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mc:AlternateContent xmlns:mc="http://schemas.openxmlformats.org/markup-compatibility/2006">
    <mc:Choice Requires="x15">
      <x15ac:absPath xmlns:x15ac="http://schemas.microsoft.com/office/spreadsheetml/2010/11/ac" url="C:\Users\user\Desktop\сми\"/>
    </mc:Choice>
  </mc:AlternateContent>
  <xr:revisionPtr revIDLastSave="0" documentId="13_ncr:1_{7BD8E397-A9F0-406D-A402-F103802CFCBF}" xr6:coauthVersionLast="46" xr6:coauthVersionMax="46" xr10:uidLastSave="{00000000-0000-0000-0000-000000000000}"/>
  <bookViews>
    <workbookView xWindow="-28920" yWindow="-120" windowWidth="29040" windowHeight="15990" xr2:uid="{00000000-000D-0000-FFFF-FFFF00000000}"/>
  </bookViews>
  <sheets>
    <sheet name="Лист1" sheetId="22" r:id="rId1"/>
    <sheet name="ГП" sheetId="2" state="hidden" r:id="rId2"/>
    <sheet name="Касса  " sheetId="12" state="hidden" r:id="rId3"/>
    <sheet name="Касса пр" sheetId="13" state="hidden" r:id="rId4"/>
    <sheet name="Рейтинг оплат" sheetId="14" state="hidden" r:id="rId5"/>
    <sheet name="Касса " sheetId="16" state="hidden" r:id="rId6"/>
    <sheet name="Экономика 1 копия" sheetId="17" state="hidden" r:id="rId7"/>
    <sheet name="Лист13" sheetId="21" state="hidden" r:id="rId8"/>
  </sheets>
  <definedNames>
    <definedName name="_xlnm._FilterDatabase" localSheetId="1" hidden="1">ГП!$A$4:$CS$466</definedName>
    <definedName name="_xlnm._FilterDatabase" localSheetId="5" hidden="1">'Касса '!$A$4:$AM$465</definedName>
    <definedName name="_xlnm._FilterDatabase" localSheetId="2" hidden="1">'Касса  '!$A$5:$AT$481</definedName>
    <definedName name="_xlnm._FilterDatabase" localSheetId="3" hidden="1">'Касса пр'!$A$3:$Q$479</definedName>
    <definedName name="_xlnm._FilterDatabase" localSheetId="4" hidden="1">'Рейтинг оплат'!$A$3:$Q$479</definedName>
    <definedName name="_xlnm._FilterDatabase" localSheetId="6" hidden="1">'Экономика 1 копия'!$A$4:$BL$481</definedName>
    <definedName name="Z_6D1DED28_A9AF_40F9_BE49_9FF3E154A839_.wvu.FilterData" localSheetId="5" hidden="1">'Касса '!$A$4:$AM$465</definedName>
    <definedName name="Z_6D1DED28_A9AF_40F9_BE49_9FF3E154A839_.wvu.FilterData" localSheetId="2" hidden="1">'Касса  '!$A$5:$AT$466</definedName>
    <definedName name="Z_6D1DED28_A9AF_40F9_BE49_9FF3E154A839_.wvu.FilterData" localSheetId="3" hidden="1">'Касса пр'!$A$3:$Q$479</definedName>
    <definedName name="Z_6D1DED28_A9AF_40F9_BE49_9FF3E154A839_.wvu.FilterData" localSheetId="4" hidden="1">'Рейтинг оплат'!$A$3:$Q$479</definedName>
  </definedNames>
  <calcPr calcId="191029"/>
  <customWorkbookViews>
    <customWorkbookView name="ЧСС" guid="{AA332888-B8F7-4807-96C0-F2060D6C043F}" maximized="1" windowWidth="0" windowHeight="0" activeSheetId="0"/>
    <customWorkbookView name="СМВ" guid="{6FBF4515-3BE9-43D9-9E5F-B809E9AAE8BD}" maximized="1" windowWidth="0" windowHeight="0" activeSheetId="0"/>
    <customWorkbookView name="МНЮ" guid="{26B00BCC-C8F9-4F9A-81B1-8C749B347D92}" maximized="1" windowWidth="0" windowHeight="0" activeSheetId="0"/>
    <customWorkbookView name="СБВ" guid="{8CB86744-D5E1-4671-AF3C-7E2D0BBCC724}" maximized="1" windowWidth="0" windowHeight="0" activeSheetId="0"/>
    <customWorkbookView name="Фильтр 1" guid="{6D1DED28-A9AF-40F9-BE49-9FF3E154A839}" maximized="1" windowWidth="0" windowHeight="0" activeSheetId="0"/>
    <customWorkbookView name="ПАА" guid="{C5355DE3-D44A-4B78-8F26-710AAC12C093}" maximized="1" windowWidth="0" windowHeight="0" activeSheetId="0"/>
  </customWorkbookViews>
</workbook>
</file>

<file path=xl/calcChain.xml><?xml version="1.0" encoding="utf-8"?>
<calcChain xmlns="http://schemas.openxmlformats.org/spreadsheetml/2006/main">
  <c r="AZ465" i="17" l="1"/>
  <c r="AT465" i="17"/>
  <c r="AN465" i="17"/>
  <c r="AH465" i="17"/>
  <c r="AB465" i="17"/>
  <c r="V465" i="17"/>
  <c r="T465" i="17"/>
  <c r="S465" i="17"/>
  <c r="R465" i="17"/>
  <c r="P465" i="17"/>
  <c r="AZ464" i="17"/>
  <c r="AT464" i="17"/>
  <c r="AN464" i="17"/>
  <c r="AH464" i="17"/>
  <c r="AB464" i="17"/>
  <c r="V464" i="17"/>
  <c r="T464" i="17"/>
  <c r="S464" i="17"/>
  <c r="R464" i="17"/>
  <c r="AZ463" i="17"/>
  <c r="AT463" i="17"/>
  <c r="AN463" i="17"/>
  <c r="AH463" i="17"/>
  <c r="AB463" i="17"/>
  <c r="V463" i="17"/>
  <c r="T463" i="17"/>
  <c r="S463" i="17"/>
  <c r="R463" i="17"/>
  <c r="AZ462" i="17"/>
  <c r="AT462" i="17"/>
  <c r="AN462" i="17"/>
  <c r="AH462" i="17"/>
  <c r="AB462" i="17"/>
  <c r="V462" i="17"/>
  <c r="T462" i="17"/>
  <c r="S462" i="17"/>
  <c r="R462" i="17"/>
  <c r="AZ461" i="17"/>
  <c r="AT461" i="17"/>
  <c r="AN461" i="17"/>
  <c r="AH461" i="17"/>
  <c r="AB461" i="17"/>
  <c r="V461" i="17"/>
  <c r="T461" i="17"/>
  <c r="P461" i="17" s="1"/>
  <c r="S461" i="17"/>
  <c r="R461" i="17"/>
  <c r="AZ460" i="17"/>
  <c r="AT460" i="17"/>
  <c r="AN460" i="17"/>
  <c r="AH460" i="17"/>
  <c r="AB460" i="17"/>
  <c r="V460" i="17"/>
  <c r="T460" i="17"/>
  <c r="S460" i="17"/>
  <c r="R460" i="17"/>
  <c r="AZ459" i="17"/>
  <c r="AT459" i="17"/>
  <c r="AR459" i="17"/>
  <c r="T459" i="17" s="1"/>
  <c r="AP459" i="17"/>
  <c r="AN459" i="17" s="1"/>
  <c r="AH459" i="17"/>
  <c r="AB459" i="17"/>
  <c r="V459" i="17"/>
  <c r="S459" i="17"/>
  <c r="AZ458" i="17"/>
  <c r="AT458" i="17"/>
  <c r="AN458" i="17"/>
  <c r="AH458" i="17"/>
  <c r="AB458" i="17"/>
  <c r="V458" i="17"/>
  <c r="T458" i="17"/>
  <c r="S458" i="17"/>
  <c r="P458" i="17" s="1"/>
  <c r="R458" i="17"/>
  <c r="AZ457" i="17"/>
  <c r="AT457" i="17"/>
  <c r="AN457" i="17"/>
  <c r="AH457" i="17"/>
  <c r="AB457" i="17"/>
  <c r="V457" i="17"/>
  <c r="T457" i="17"/>
  <c r="S457" i="17"/>
  <c r="R457" i="17"/>
  <c r="AZ456" i="17"/>
  <c r="AT456" i="17"/>
  <c r="AN456" i="17"/>
  <c r="AH456" i="17"/>
  <c r="AB456" i="17"/>
  <c r="V456" i="17"/>
  <c r="T456" i="17"/>
  <c r="S456" i="17"/>
  <c r="R456" i="17"/>
  <c r="P456" i="17"/>
  <c r="AZ455" i="17"/>
  <c r="AT455" i="17"/>
  <c r="AN455" i="17"/>
  <c r="AH455" i="17"/>
  <c r="AB455" i="17"/>
  <c r="V455" i="17"/>
  <c r="T455" i="17"/>
  <c r="S455" i="17"/>
  <c r="R455" i="17"/>
  <c r="AZ454" i="17"/>
  <c r="AT454" i="17"/>
  <c r="AN454" i="17"/>
  <c r="AH454" i="17"/>
  <c r="AB454" i="17"/>
  <c r="V454" i="17"/>
  <c r="T454" i="17"/>
  <c r="S454" i="17"/>
  <c r="R454" i="17"/>
  <c r="AZ453" i="17"/>
  <c r="AT453" i="17"/>
  <c r="AN453" i="17"/>
  <c r="AH453" i="17"/>
  <c r="AB453" i="17"/>
  <c r="V453" i="17"/>
  <c r="T453" i="17"/>
  <c r="S453" i="17"/>
  <c r="R453" i="17"/>
  <c r="AZ452" i="17"/>
  <c r="AT452" i="17"/>
  <c r="AN452" i="17"/>
  <c r="AH452" i="17"/>
  <c r="AB452" i="17"/>
  <c r="V452" i="17"/>
  <c r="T452" i="17"/>
  <c r="S452" i="17"/>
  <c r="R452" i="17"/>
  <c r="P452" i="17" s="1"/>
  <c r="AZ451" i="17"/>
  <c r="AT451" i="17"/>
  <c r="AN451" i="17"/>
  <c r="AH451" i="17"/>
  <c r="AB451" i="17"/>
  <c r="V451" i="17"/>
  <c r="T451" i="17"/>
  <c r="S451" i="17"/>
  <c r="R451" i="17"/>
  <c r="AZ450" i="17"/>
  <c r="AT450" i="17"/>
  <c r="AN450" i="17"/>
  <c r="AH450" i="17"/>
  <c r="AB450" i="17"/>
  <c r="V450" i="17"/>
  <c r="T450" i="17"/>
  <c r="S450" i="17"/>
  <c r="R450" i="17"/>
  <c r="AZ449" i="17"/>
  <c r="AT449" i="17"/>
  <c r="AN449" i="17"/>
  <c r="AH449" i="17"/>
  <c r="AB449" i="17"/>
  <c r="V449" i="17"/>
  <c r="T449" i="17"/>
  <c r="S449" i="17"/>
  <c r="R449" i="17"/>
  <c r="P449" i="17" s="1"/>
  <c r="AZ448" i="17"/>
  <c r="AT448" i="17"/>
  <c r="AN448" i="17"/>
  <c r="AH448" i="17"/>
  <c r="AF448" i="17"/>
  <c r="AD448" i="17"/>
  <c r="AB448" i="17" s="1"/>
  <c r="V448" i="17"/>
  <c r="T448" i="17"/>
  <c r="S448" i="17"/>
  <c r="AZ447" i="17"/>
  <c r="AT447" i="17"/>
  <c r="AN447" i="17"/>
  <c r="AH447" i="17"/>
  <c r="AB447" i="17"/>
  <c r="V447" i="17"/>
  <c r="T447" i="17"/>
  <c r="S447" i="17"/>
  <c r="R447" i="17"/>
  <c r="AZ446" i="17"/>
  <c r="AT446" i="17"/>
  <c r="AN446" i="17"/>
  <c r="AH446" i="17"/>
  <c r="AB446" i="17"/>
  <c r="V446" i="17"/>
  <c r="T446" i="17"/>
  <c r="S446" i="17"/>
  <c r="R446" i="17"/>
  <c r="AZ445" i="17"/>
  <c r="AT445" i="17"/>
  <c r="AN445" i="17"/>
  <c r="AH445" i="17"/>
  <c r="AB445" i="17"/>
  <c r="V445" i="17"/>
  <c r="T445" i="17"/>
  <c r="S445" i="17"/>
  <c r="R445" i="17"/>
  <c r="AZ444" i="17"/>
  <c r="AT444" i="17"/>
  <c r="AN444" i="17"/>
  <c r="AH444" i="17"/>
  <c r="AB444" i="17"/>
  <c r="V444" i="17"/>
  <c r="T444" i="17"/>
  <c r="S444" i="17"/>
  <c r="R444" i="17"/>
  <c r="AZ443" i="17"/>
  <c r="AT443" i="17"/>
  <c r="AN443" i="17"/>
  <c r="AH443" i="17"/>
  <c r="AB443" i="17"/>
  <c r="V443" i="17"/>
  <c r="T443" i="17"/>
  <c r="S443" i="17"/>
  <c r="R443" i="17"/>
  <c r="P443" i="17"/>
  <c r="AZ442" i="17"/>
  <c r="AT442" i="17"/>
  <c r="AN442" i="17"/>
  <c r="AH442" i="17"/>
  <c r="AB442" i="17"/>
  <c r="V442" i="17"/>
  <c r="T442" i="17"/>
  <c r="S442" i="17"/>
  <c r="P442" i="17" s="1"/>
  <c r="R442" i="17"/>
  <c r="AZ441" i="17"/>
  <c r="AT441" i="17"/>
  <c r="AN441" i="17"/>
  <c r="AH441" i="17"/>
  <c r="AB441" i="17"/>
  <c r="V441" i="17"/>
  <c r="T441" i="17"/>
  <c r="S441" i="17"/>
  <c r="R441" i="17"/>
  <c r="AZ440" i="17"/>
  <c r="AT440" i="17"/>
  <c r="AN440" i="17"/>
  <c r="AH440" i="17"/>
  <c r="AB440" i="17"/>
  <c r="V440" i="17"/>
  <c r="T440" i="17"/>
  <c r="S440" i="17"/>
  <c r="R440" i="17"/>
  <c r="AZ439" i="17"/>
  <c r="AT439" i="17"/>
  <c r="AN439" i="17"/>
  <c r="AH439" i="17"/>
  <c r="AB439" i="17"/>
  <c r="V439" i="17"/>
  <c r="T439" i="17"/>
  <c r="S439" i="17"/>
  <c r="R439" i="17"/>
  <c r="P439" i="17" s="1"/>
  <c r="AZ438" i="17"/>
  <c r="AT438" i="17"/>
  <c r="AN438" i="17"/>
  <c r="AH438" i="17"/>
  <c r="AB438" i="17"/>
  <c r="V438" i="17"/>
  <c r="T438" i="17"/>
  <c r="S438" i="17"/>
  <c r="R438" i="17"/>
  <c r="AZ437" i="17"/>
  <c r="AT437" i="17"/>
  <c r="AN437" i="17"/>
  <c r="AH437" i="17"/>
  <c r="AB437" i="17"/>
  <c r="V437" i="17"/>
  <c r="T437" i="17"/>
  <c r="S437" i="17"/>
  <c r="R437" i="17"/>
  <c r="AZ436" i="17"/>
  <c r="AT436" i="17"/>
  <c r="AN436" i="17"/>
  <c r="AH436" i="17"/>
  <c r="AB436" i="17"/>
  <c r="V436" i="17"/>
  <c r="T436" i="17"/>
  <c r="S436" i="17"/>
  <c r="R436" i="17"/>
  <c r="P436" i="17" s="1"/>
  <c r="AZ435" i="17"/>
  <c r="AT435" i="17"/>
  <c r="AN435" i="17"/>
  <c r="AH435" i="17"/>
  <c r="AB435" i="17"/>
  <c r="V435" i="17"/>
  <c r="T435" i="17"/>
  <c r="S435" i="17"/>
  <c r="R435" i="17"/>
  <c r="AZ434" i="17"/>
  <c r="AT434" i="17"/>
  <c r="AN434" i="17"/>
  <c r="AH434" i="17"/>
  <c r="AB434" i="17"/>
  <c r="V434" i="17"/>
  <c r="T434" i="17"/>
  <c r="S434" i="17"/>
  <c r="R434" i="17"/>
  <c r="AZ433" i="17"/>
  <c r="AT433" i="17"/>
  <c r="AN433" i="17"/>
  <c r="AH433" i="17"/>
  <c r="AB433" i="17"/>
  <c r="V433" i="17"/>
  <c r="T433" i="17"/>
  <c r="S433" i="17"/>
  <c r="R433" i="17"/>
  <c r="P433" i="17" s="1"/>
  <c r="AZ432" i="17"/>
  <c r="AT432" i="17"/>
  <c r="AN432" i="17"/>
  <c r="AH432" i="17"/>
  <c r="AB432" i="17"/>
  <c r="V432" i="17"/>
  <c r="T432" i="17"/>
  <c r="S432" i="17"/>
  <c r="P432" i="17" s="1"/>
  <c r="R432" i="17"/>
  <c r="AZ431" i="17"/>
  <c r="AT431" i="17"/>
  <c r="AN431" i="17"/>
  <c r="AH431" i="17"/>
  <c r="AB431" i="17"/>
  <c r="V431" i="17"/>
  <c r="T431" i="17"/>
  <c r="S431" i="17"/>
  <c r="R431" i="17"/>
  <c r="AZ430" i="17"/>
  <c r="AT430" i="17"/>
  <c r="AN430" i="17"/>
  <c r="AH430" i="17"/>
  <c r="AB430" i="17"/>
  <c r="V430" i="17"/>
  <c r="T430" i="17"/>
  <c r="S430" i="17"/>
  <c r="R430" i="17"/>
  <c r="AZ429" i="17"/>
  <c r="AT429" i="17"/>
  <c r="AN429" i="17"/>
  <c r="AH429" i="17"/>
  <c r="AB429" i="17"/>
  <c r="V429" i="17"/>
  <c r="T429" i="17"/>
  <c r="S429" i="17"/>
  <c r="R429" i="17"/>
  <c r="P429" i="17" s="1"/>
  <c r="AZ428" i="17"/>
  <c r="AT428" i="17"/>
  <c r="AN428" i="17"/>
  <c r="AH428" i="17"/>
  <c r="AB428" i="17"/>
  <c r="V428" i="17"/>
  <c r="T428" i="17"/>
  <c r="S428" i="17"/>
  <c r="R428" i="17"/>
  <c r="AZ427" i="17"/>
  <c r="AT427" i="17"/>
  <c r="AN427" i="17"/>
  <c r="AH427" i="17"/>
  <c r="AB427" i="17"/>
  <c r="V427" i="17"/>
  <c r="T427" i="17"/>
  <c r="S427" i="17"/>
  <c r="R427" i="17"/>
  <c r="AZ426" i="17"/>
  <c r="AT426" i="17"/>
  <c r="AN426" i="17"/>
  <c r="AH426" i="17"/>
  <c r="AB426" i="17"/>
  <c r="V426" i="17"/>
  <c r="T426" i="17"/>
  <c r="S426" i="17"/>
  <c r="R426" i="17"/>
  <c r="P426" i="17" s="1"/>
  <c r="AZ425" i="17"/>
  <c r="AT425" i="17"/>
  <c r="AN425" i="17"/>
  <c r="AH425" i="17"/>
  <c r="AB425" i="17"/>
  <c r="V425" i="17"/>
  <c r="T425" i="17"/>
  <c r="S425" i="17"/>
  <c r="R425" i="17"/>
  <c r="AZ424" i="17"/>
  <c r="AT424" i="17"/>
  <c r="AN424" i="17"/>
  <c r="AH424" i="17"/>
  <c r="AB424" i="17"/>
  <c r="V424" i="17"/>
  <c r="T424" i="17"/>
  <c r="S424" i="17"/>
  <c r="R424" i="17"/>
  <c r="AZ423" i="17"/>
  <c r="AT423" i="17"/>
  <c r="AN423" i="17"/>
  <c r="AH423" i="17"/>
  <c r="AB423" i="17"/>
  <c r="V423" i="17"/>
  <c r="T423" i="17"/>
  <c r="S423" i="17"/>
  <c r="R423" i="17"/>
  <c r="AZ422" i="17"/>
  <c r="AT422" i="17"/>
  <c r="AN422" i="17"/>
  <c r="AH422" i="17"/>
  <c r="AB422" i="17"/>
  <c r="V422" i="17"/>
  <c r="T422" i="17"/>
  <c r="S422" i="17"/>
  <c r="R422" i="17"/>
  <c r="AZ421" i="17"/>
  <c r="AT421" i="17"/>
  <c r="AN421" i="17"/>
  <c r="AH421" i="17"/>
  <c r="AB421" i="17"/>
  <c r="V421" i="17"/>
  <c r="T421" i="17"/>
  <c r="S421" i="17"/>
  <c r="R421" i="17"/>
  <c r="BF420" i="17"/>
  <c r="AZ420" i="17"/>
  <c r="AT420" i="17"/>
  <c r="AN420" i="17"/>
  <c r="AH420" i="17"/>
  <c r="T420" i="17"/>
  <c r="S420" i="17"/>
  <c r="R420" i="17"/>
  <c r="Q420" i="17"/>
  <c r="BF419" i="17"/>
  <c r="AZ419" i="17"/>
  <c r="AT419" i="17"/>
  <c r="AN419" i="17"/>
  <c r="AH419" i="17"/>
  <c r="T419" i="17"/>
  <c r="S419" i="17"/>
  <c r="R419" i="17"/>
  <c r="Q419" i="17"/>
  <c r="P419" i="17"/>
  <c r="BF418" i="17"/>
  <c r="AZ418" i="17"/>
  <c r="AT418" i="17"/>
  <c r="AN418" i="17"/>
  <c r="AH418" i="17"/>
  <c r="T418" i="17"/>
  <c r="S418" i="17"/>
  <c r="R418" i="17"/>
  <c r="Q418" i="17"/>
  <c r="BF417" i="17"/>
  <c r="AZ417" i="17"/>
  <c r="AT417" i="17"/>
  <c r="AN417" i="17"/>
  <c r="AH417" i="17"/>
  <c r="T417" i="17"/>
  <c r="S417" i="17"/>
  <c r="R417" i="17"/>
  <c r="Q417" i="17"/>
  <c r="BF416" i="17"/>
  <c r="AZ416" i="17"/>
  <c r="AT416" i="17"/>
  <c r="AN416" i="17"/>
  <c r="AH416" i="17"/>
  <c r="T416" i="17"/>
  <c r="S416" i="17"/>
  <c r="R416" i="17"/>
  <c r="Q416" i="17"/>
  <c r="P416" i="17"/>
  <c r="BF415" i="17"/>
  <c r="AZ415" i="17"/>
  <c r="AT415" i="17"/>
  <c r="AN415" i="17"/>
  <c r="AH415" i="17"/>
  <c r="T415" i="17"/>
  <c r="S415" i="17"/>
  <c r="R415" i="17"/>
  <c r="Q415" i="17"/>
  <c r="BF414" i="17"/>
  <c r="AZ414" i="17"/>
  <c r="AT414" i="17"/>
  <c r="AN414" i="17"/>
  <c r="AH414" i="17"/>
  <c r="T414" i="17"/>
  <c r="S414" i="17"/>
  <c r="R414" i="17"/>
  <c r="Q414" i="17"/>
  <c r="BF413" i="17"/>
  <c r="AZ413" i="17"/>
  <c r="AT413" i="17"/>
  <c r="AN413" i="17"/>
  <c r="AH413" i="17"/>
  <c r="T413" i="17"/>
  <c r="S413" i="17"/>
  <c r="R413" i="17"/>
  <c r="Q413" i="17"/>
  <c r="BF412" i="17"/>
  <c r="AZ412" i="17"/>
  <c r="AT412" i="17"/>
  <c r="AN412" i="17"/>
  <c r="AH412" i="17"/>
  <c r="T412" i="17"/>
  <c r="S412" i="17"/>
  <c r="R412" i="17"/>
  <c r="Q412" i="17"/>
  <c r="BF411" i="17"/>
  <c r="AZ411" i="17"/>
  <c r="AT411" i="17"/>
  <c r="AN411" i="17"/>
  <c r="AH411" i="17"/>
  <c r="T411" i="17"/>
  <c r="S411" i="17"/>
  <c r="R411" i="17"/>
  <c r="Q411" i="17"/>
  <c r="BF410" i="17"/>
  <c r="AZ410" i="17"/>
  <c r="AT410" i="17"/>
  <c r="AN410" i="17"/>
  <c r="AH410" i="17"/>
  <c r="T410" i="17"/>
  <c r="S410" i="17"/>
  <c r="R410" i="17"/>
  <c r="Q410" i="17"/>
  <c r="BF409" i="17"/>
  <c r="AZ409" i="17"/>
  <c r="AT409" i="17"/>
  <c r="AN409" i="17"/>
  <c r="AH409" i="17"/>
  <c r="T409" i="17"/>
  <c r="S409" i="17"/>
  <c r="R409" i="17"/>
  <c r="Q409" i="17"/>
  <c r="P409" i="17"/>
  <c r="BF408" i="17"/>
  <c r="AZ408" i="17"/>
  <c r="AT408" i="17"/>
  <c r="AN408" i="17"/>
  <c r="AH408" i="17"/>
  <c r="T408" i="17"/>
  <c r="S408" i="17"/>
  <c r="R408" i="17"/>
  <c r="Q408" i="17"/>
  <c r="BF407" i="17"/>
  <c r="AZ407" i="17"/>
  <c r="AT407" i="17"/>
  <c r="P407" i="17" s="1"/>
  <c r="AN407" i="17"/>
  <c r="AH407" i="17"/>
  <c r="T407" i="17"/>
  <c r="S407" i="17"/>
  <c r="R407" i="17"/>
  <c r="Q407" i="17"/>
  <c r="BF406" i="17"/>
  <c r="AZ406" i="17"/>
  <c r="AT406" i="17"/>
  <c r="AN406" i="17"/>
  <c r="AH406" i="17"/>
  <c r="P406" i="17" s="1"/>
  <c r="T406" i="17"/>
  <c r="S406" i="17"/>
  <c r="R406" i="17"/>
  <c r="Q406" i="17"/>
  <c r="BF405" i="17"/>
  <c r="AZ405" i="17"/>
  <c r="AT405" i="17"/>
  <c r="AN405" i="17"/>
  <c r="AH405" i="17"/>
  <c r="T405" i="17"/>
  <c r="S405" i="17"/>
  <c r="R405" i="17"/>
  <c r="Q405" i="17"/>
  <c r="BF404" i="17"/>
  <c r="AZ404" i="17"/>
  <c r="AT404" i="17"/>
  <c r="AN404" i="17"/>
  <c r="AH404" i="17"/>
  <c r="T404" i="17"/>
  <c r="S404" i="17"/>
  <c r="R404" i="17"/>
  <c r="Q404" i="17"/>
  <c r="BF403" i="17"/>
  <c r="AZ403" i="17"/>
  <c r="AT403" i="17"/>
  <c r="AN403" i="17"/>
  <c r="AH403" i="17"/>
  <c r="T403" i="17"/>
  <c r="S403" i="17"/>
  <c r="R403" i="17"/>
  <c r="Q403" i="17"/>
  <c r="BF402" i="17"/>
  <c r="AZ402" i="17"/>
  <c r="AT402" i="17"/>
  <c r="AN402" i="17"/>
  <c r="AH402" i="17"/>
  <c r="P402" i="17" s="1"/>
  <c r="T402" i="17"/>
  <c r="S402" i="17"/>
  <c r="R402" i="17"/>
  <c r="Q402" i="17"/>
  <c r="BF401" i="17"/>
  <c r="AZ401" i="17"/>
  <c r="AT401" i="17"/>
  <c r="AN401" i="17"/>
  <c r="AH401" i="17"/>
  <c r="P401" i="17" s="1"/>
  <c r="T401" i="17"/>
  <c r="S401" i="17"/>
  <c r="R401" i="17"/>
  <c r="Q401" i="17"/>
  <c r="BF400" i="17"/>
  <c r="AZ400" i="17"/>
  <c r="AT400" i="17"/>
  <c r="AN400" i="17"/>
  <c r="AH400" i="17"/>
  <c r="T400" i="17"/>
  <c r="S400" i="17"/>
  <c r="R400" i="17"/>
  <c r="Q400" i="17"/>
  <c r="BF399" i="17"/>
  <c r="AZ399" i="17"/>
  <c r="AT399" i="17"/>
  <c r="AN399" i="17"/>
  <c r="AH399" i="17"/>
  <c r="T399" i="17"/>
  <c r="S399" i="17"/>
  <c r="R399" i="17"/>
  <c r="Q399" i="17"/>
  <c r="BF398" i="17"/>
  <c r="AZ398" i="17"/>
  <c r="AT398" i="17"/>
  <c r="AN398" i="17"/>
  <c r="AH398" i="17"/>
  <c r="T398" i="17"/>
  <c r="S398" i="17"/>
  <c r="R398" i="17"/>
  <c r="Q398" i="17"/>
  <c r="BF397" i="17"/>
  <c r="AZ397" i="17"/>
  <c r="AT397" i="17"/>
  <c r="AN397" i="17"/>
  <c r="AH397" i="17"/>
  <c r="T397" i="17"/>
  <c r="S397" i="17"/>
  <c r="R397" i="17"/>
  <c r="Q397" i="17"/>
  <c r="BF396" i="17"/>
  <c r="AZ396" i="17"/>
  <c r="AT396" i="17"/>
  <c r="AN396" i="17"/>
  <c r="AH396" i="17"/>
  <c r="T396" i="17"/>
  <c r="S396" i="17"/>
  <c r="R396" i="17"/>
  <c r="Q396" i="17"/>
  <c r="BF395" i="17"/>
  <c r="AZ395" i="17"/>
  <c r="AT395" i="17"/>
  <c r="AN395" i="17"/>
  <c r="AH395" i="17"/>
  <c r="T395" i="17"/>
  <c r="S395" i="17"/>
  <c r="R395" i="17"/>
  <c r="Q395" i="17"/>
  <c r="BF394" i="17"/>
  <c r="AZ394" i="17"/>
  <c r="AT394" i="17"/>
  <c r="AN394" i="17"/>
  <c r="AH394" i="17"/>
  <c r="T394" i="17"/>
  <c r="S394" i="17"/>
  <c r="R394" i="17"/>
  <c r="Q394" i="17"/>
  <c r="BF393" i="17"/>
  <c r="AZ393" i="17"/>
  <c r="AT393" i="17"/>
  <c r="AN393" i="17"/>
  <c r="AH393" i="17"/>
  <c r="T393" i="17"/>
  <c r="S393" i="17"/>
  <c r="R393" i="17"/>
  <c r="Q393" i="17"/>
  <c r="BF392" i="17"/>
  <c r="AZ392" i="17"/>
  <c r="AT392" i="17"/>
  <c r="P392" i="17" s="1"/>
  <c r="AN392" i="17"/>
  <c r="AH392" i="17"/>
  <c r="T392" i="17"/>
  <c r="S392" i="17"/>
  <c r="R392" i="17"/>
  <c r="Q392" i="17"/>
  <c r="BF391" i="17"/>
  <c r="AZ391" i="17"/>
  <c r="AT391" i="17"/>
  <c r="AN391" i="17"/>
  <c r="AH391" i="17"/>
  <c r="P391" i="17" s="1"/>
  <c r="T391" i="17"/>
  <c r="S391" i="17"/>
  <c r="R391" i="17"/>
  <c r="Q391" i="17"/>
  <c r="BF390" i="17"/>
  <c r="AZ390" i="17"/>
  <c r="AT390" i="17"/>
  <c r="AN390" i="17"/>
  <c r="P390" i="17" s="1"/>
  <c r="AH390" i="17"/>
  <c r="T390" i="17"/>
  <c r="S390" i="17"/>
  <c r="R390" i="17"/>
  <c r="Q390" i="17"/>
  <c r="BF389" i="17"/>
  <c r="AZ389" i="17"/>
  <c r="AT389" i="17"/>
  <c r="AN389" i="17"/>
  <c r="AH389" i="17"/>
  <c r="T389" i="17"/>
  <c r="S389" i="17"/>
  <c r="R389" i="17"/>
  <c r="Q389" i="17"/>
  <c r="BF388" i="17"/>
  <c r="AZ388" i="17"/>
  <c r="AT388" i="17"/>
  <c r="AN388" i="17"/>
  <c r="AH388" i="17"/>
  <c r="T388" i="17"/>
  <c r="S388" i="17"/>
  <c r="R388" i="17"/>
  <c r="Q388" i="17"/>
  <c r="BF387" i="17"/>
  <c r="AZ387" i="17"/>
  <c r="AT387" i="17"/>
  <c r="AN387" i="17"/>
  <c r="AH387" i="17"/>
  <c r="T387" i="17"/>
  <c r="S387" i="17"/>
  <c r="R387" i="17"/>
  <c r="Q387" i="17"/>
  <c r="BF386" i="17"/>
  <c r="AZ386" i="17"/>
  <c r="AT386" i="17"/>
  <c r="AN386" i="17"/>
  <c r="AH386" i="17"/>
  <c r="T386" i="17"/>
  <c r="S386" i="17"/>
  <c r="R386" i="17"/>
  <c r="Q386" i="17"/>
  <c r="BF385" i="17"/>
  <c r="AZ385" i="17"/>
  <c r="AT385" i="17"/>
  <c r="AN385" i="17"/>
  <c r="AH385" i="17"/>
  <c r="T385" i="17"/>
  <c r="S385" i="17"/>
  <c r="R385" i="17"/>
  <c r="Q385" i="17"/>
  <c r="BF384" i="17"/>
  <c r="AZ384" i="17"/>
  <c r="AT384" i="17"/>
  <c r="AN384" i="17"/>
  <c r="AH384" i="17"/>
  <c r="T384" i="17"/>
  <c r="S384" i="17"/>
  <c r="R384" i="17"/>
  <c r="Q384" i="17"/>
  <c r="BF383" i="17"/>
  <c r="AZ383" i="17"/>
  <c r="AT383" i="17"/>
  <c r="AN383" i="17"/>
  <c r="AH383" i="17"/>
  <c r="T383" i="17"/>
  <c r="S383" i="17"/>
  <c r="R383" i="17"/>
  <c r="Q383" i="17"/>
  <c r="BF382" i="17"/>
  <c r="AZ382" i="17"/>
  <c r="AT382" i="17"/>
  <c r="AN382" i="17"/>
  <c r="AH382" i="17"/>
  <c r="T382" i="17"/>
  <c r="S382" i="17"/>
  <c r="R382" i="17"/>
  <c r="Q382" i="17"/>
  <c r="BF381" i="17"/>
  <c r="AZ381" i="17"/>
  <c r="AT381" i="17"/>
  <c r="AN381" i="17"/>
  <c r="AH381" i="17"/>
  <c r="T381" i="17"/>
  <c r="S381" i="17"/>
  <c r="R381" i="17"/>
  <c r="Q381" i="17"/>
  <c r="BF380" i="17"/>
  <c r="AZ380" i="17"/>
  <c r="AT380" i="17"/>
  <c r="AN380" i="17"/>
  <c r="AH380" i="17"/>
  <c r="T380" i="17"/>
  <c r="S380" i="17"/>
  <c r="R380" i="17"/>
  <c r="Q380" i="17"/>
  <c r="BF379" i="17"/>
  <c r="AZ379" i="17"/>
  <c r="AT379" i="17"/>
  <c r="AN379" i="17"/>
  <c r="AH379" i="17"/>
  <c r="T379" i="17"/>
  <c r="S379" i="17"/>
  <c r="R379" i="17"/>
  <c r="Q379" i="17"/>
  <c r="BF378" i="17"/>
  <c r="AZ378" i="17"/>
  <c r="AT378" i="17"/>
  <c r="AN378" i="17"/>
  <c r="AH378" i="17"/>
  <c r="T378" i="17"/>
  <c r="S378" i="17"/>
  <c r="R378" i="17"/>
  <c r="Q378" i="17"/>
  <c r="BF377" i="17"/>
  <c r="AZ377" i="17"/>
  <c r="AT377" i="17"/>
  <c r="AN377" i="17"/>
  <c r="AH377" i="17"/>
  <c r="T377" i="17"/>
  <c r="S377" i="17"/>
  <c r="R377" i="17"/>
  <c r="Q377" i="17"/>
  <c r="BF376" i="17"/>
  <c r="AZ376" i="17"/>
  <c r="AT376" i="17"/>
  <c r="AN376" i="17"/>
  <c r="AH376" i="17"/>
  <c r="T376" i="17"/>
  <c r="S376" i="17"/>
  <c r="R376" i="17"/>
  <c r="Q376" i="17"/>
  <c r="BF375" i="17"/>
  <c r="AZ375" i="17"/>
  <c r="AT375" i="17"/>
  <c r="AN375" i="17"/>
  <c r="AH375" i="17"/>
  <c r="T375" i="17"/>
  <c r="S375" i="17"/>
  <c r="R375" i="17"/>
  <c r="Q375" i="17"/>
  <c r="BF374" i="17"/>
  <c r="AZ374" i="17"/>
  <c r="AT374" i="17"/>
  <c r="AN374" i="17"/>
  <c r="AH374" i="17"/>
  <c r="T374" i="17"/>
  <c r="S374" i="17"/>
  <c r="R374" i="17"/>
  <c r="Q374" i="17"/>
  <c r="BF373" i="17"/>
  <c r="AZ373" i="17"/>
  <c r="AT373" i="17"/>
  <c r="AN373" i="17"/>
  <c r="AH373" i="17"/>
  <c r="T373" i="17"/>
  <c r="S373" i="17"/>
  <c r="R373" i="17"/>
  <c r="Q373" i="17"/>
  <c r="BF372" i="17"/>
  <c r="AZ372" i="17"/>
  <c r="AT372" i="17"/>
  <c r="AN372" i="17"/>
  <c r="AH372" i="17"/>
  <c r="T372" i="17"/>
  <c r="S372" i="17"/>
  <c r="R372" i="17"/>
  <c r="Q372" i="17"/>
  <c r="BF371" i="17"/>
  <c r="AZ371" i="17"/>
  <c r="AT371" i="17"/>
  <c r="AN371" i="17"/>
  <c r="AH371" i="17"/>
  <c r="T371" i="17"/>
  <c r="S371" i="17"/>
  <c r="R371" i="17"/>
  <c r="Q371" i="17"/>
  <c r="BF370" i="17"/>
  <c r="AZ370" i="17"/>
  <c r="AT370" i="17"/>
  <c r="AN370" i="17"/>
  <c r="AH370" i="17"/>
  <c r="T370" i="17"/>
  <c r="S370" i="17"/>
  <c r="R370" i="17"/>
  <c r="Q370" i="17"/>
  <c r="BF369" i="17"/>
  <c r="AZ369" i="17"/>
  <c r="AT369" i="17"/>
  <c r="AN369" i="17"/>
  <c r="AH369" i="17"/>
  <c r="T369" i="17"/>
  <c r="S369" i="17"/>
  <c r="R369" i="17"/>
  <c r="Q369" i="17"/>
  <c r="BF368" i="17"/>
  <c r="AZ368" i="17"/>
  <c r="AT368" i="17"/>
  <c r="AN368" i="17"/>
  <c r="AH368" i="17"/>
  <c r="T368" i="17"/>
  <c r="S368" i="17"/>
  <c r="R368" i="17"/>
  <c r="Q368" i="17"/>
  <c r="BF367" i="17"/>
  <c r="AZ367" i="17"/>
  <c r="AT367" i="17"/>
  <c r="AN367" i="17"/>
  <c r="AH367" i="17"/>
  <c r="T367" i="17"/>
  <c r="S367" i="17"/>
  <c r="R367" i="17"/>
  <c r="Q367" i="17"/>
  <c r="BF366" i="17"/>
  <c r="AZ366" i="17"/>
  <c r="AT366" i="17"/>
  <c r="AN366" i="17"/>
  <c r="AH366" i="17"/>
  <c r="T366" i="17"/>
  <c r="S366" i="17"/>
  <c r="R366" i="17"/>
  <c r="Q366" i="17"/>
  <c r="BF365" i="17"/>
  <c r="AZ365" i="17"/>
  <c r="AT365" i="17"/>
  <c r="AN365" i="17"/>
  <c r="AH365" i="17"/>
  <c r="T365" i="17"/>
  <c r="S365" i="17"/>
  <c r="R365" i="17"/>
  <c r="Q365" i="17"/>
  <c r="BF364" i="17"/>
  <c r="AZ364" i="17"/>
  <c r="AT364" i="17"/>
  <c r="AN364" i="17"/>
  <c r="AH364" i="17"/>
  <c r="T364" i="17"/>
  <c r="S364" i="17"/>
  <c r="R364" i="17"/>
  <c r="Q364" i="17"/>
  <c r="BF363" i="17"/>
  <c r="AZ363" i="17"/>
  <c r="AT363" i="17"/>
  <c r="AN363" i="17"/>
  <c r="AH363" i="17"/>
  <c r="T363" i="17"/>
  <c r="S363" i="17"/>
  <c r="R363" i="17"/>
  <c r="Q363" i="17"/>
  <c r="BF362" i="17"/>
  <c r="AZ362" i="17"/>
  <c r="AT362" i="17"/>
  <c r="AN362" i="17"/>
  <c r="AH362" i="17"/>
  <c r="T362" i="17"/>
  <c r="S362" i="17"/>
  <c r="R362" i="17"/>
  <c r="Q362" i="17"/>
  <c r="BF361" i="17"/>
  <c r="AZ361" i="17"/>
  <c r="AT361" i="17"/>
  <c r="AN361" i="17"/>
  <c r="AH361" i="17"/>
  <c r="T361" i="17"/>
  <c r="S361" i="17"/>
  <c r="R361" i="17"/>
  <c r="Q361" i="17"/>
  <c r="BF360" i="17"/>
  <c r="AZ360" i="17"/>
  <c r="AT360" i="17"/>
  <c r="AN360" i="17"/>
  <c r="AH360" i="17"/>
  <c r="T360" i="17"/>
  <c r="S360" i="17"/>
  <c r="R360" i="17"/>
  <c r="Q360" i="17"/>
  <c r="BF359" i="17"/>
  <c r="AZ359" i="17"/>
  <c r="AT359" i="17"/>
  <c r="AN359" i="17"/>
  <c r="AH359" i="17"/>
  <c r="T359" i="17"/>
  <c r="S359" i="17"/>
  <c r="R359" i="17"/>
  <c r="Q359" i="17"/>
  <c r="BF358" i="17"/>
  <c r="AZ358" i="17"/>
  <c r="AT358" i="17"/>
  <c r="AN358" i="17"/>
  <c r="AH358" i="17"/>
  <c r="T358" i="17"/>
  <c r="S358" i="17"/>
  <c r="R358" i="17"/>
  <c r="Q358" i="17"/>
  <c r="BF357" i="17"/>
  <c r="AZ357" i="17"/>
  <c r="AT357" i="17"/>
  <c r="AN357" i="17"/>
  <c r="AH357" i="17"/>
  <c r="T357" i="17"/>
  <c r="S357" i="17"/>
  <c r="R357" i="17"/>
  <c r="Q357" i="17"/>
  <c r="BF356" i="17"/>
  <c r="AZ356" i="17"/>
  <c r="AT356" i="17"/>
  <c r="AN356" i="17"/>
  <c r="AH356" i="17"/>
  <c r="T356" i="17"/>
  <c r="S356" i="17"/>
  <c r="R356" i="17"/>
  <c r="Q356" i="17"/>
  <c r="BF355" i="17"/>
  <c r="AZ355" i="17"/>
  <c r="AT355" i="17"/>
  <c r="AN355" i="17"/>
  <c r="AH355" i="17"/>
  <c r="T355" i="17"/>
  <c r="S355" i="17"/>
  <c r="R355" i="17"/>
  <c r="Q355" i="17"/>
  <c r="BF354" i="17"/>
  <c r="AZ354" i="17"/>
  <c r="AT354" i="17"/>
  <c r="AN354" i="17"/>
  <c r="AH354" i="17"/>
  <c r="T354" i="17"/>
  <c r="S354" i="17"/>
  <c r="R354" i="17"/>
  <c r="Q354" i="17"/>
  <c r="BF353" i="17"/>
  <c r="AZ353" i="17"/>
  <c r="AT353" i="17"/>
  <c r="AN353" i="17"/>
  <c r="AH353" i="17"/>
  <c r="T353" i="17"/>
  <c r="S353" i="17"/>
  <c r="R353" i="17"/>
  <c r="Q353" i="17"/>
  <c r="BF352" i="17"/>
  <c r="AZ352" i="17"/>
  <c r="AT352" i="17"/>
  <c r="AN352" i="17"/>
  <c r="AH352" i="17"/>
  <c r="T352" i="17"/>
  <c r="S352" i="17"/>
  <c r="R352" i="17"/>
  <c r="Q352" i="17"/>
  <c r="BF351" i="17"/>
  <c r="AZ351" i="17"/>
  <c r="AT351" i="17"/>
  <c r="AN351" i="17"/>
  <c r="AH351" i="17"/>
  <c r="T351" i="17"/>
  <c r="S351" i="17"/>
  <c r="R351" i="17"/>
  <c r="Q351" i="17"/>
  <c r="BF350" i="17"/>
  <c r="AZ350" i="17"/>
  <c r="AT350" i="17"/>
  <c r="AN350" i="17"/>
  <c r="AH350" i="17"/>
  <c r="T350" i="17"/>
  <c r="S350" i="17"/>
  <c r="R350" i="17"/>
  <c r="Q350" i="17"/>
  <c r="BF349" i="17"/>
  <c r="AZ349" i="17"/>
  <c r="AT349" i="17"/>
  <c r="AN349" i="17"/>
  <c r="AH349" i="17"/>
  <c r="T349" i="17"/>
  <c r="S349" i="17"/>
  <c r="R349" i="17"/>
  <c r="Q349" i="17"/>
  <c r="BF348" i="17"/>
  <c r="AZ348" i="17"/>
  <c r="AT348" i="17"/>
  <c r="AN348" i="17"/>
  <c r="AH348" i="17"/>
  <c r="T348" i="17"/>
  <c r="S348" i="17"/>
  <c r="R348" i="17"/>
  <c r="Q348" i="17"/>
  <c r="BF347" i="17"/>
  <c r="AZ347" i="17"/>
  <c r="AT347" i="17"/>
  <c r="AN347" i="17"/>
  <c r="AH347" i="17"/>
  <c r="P347" i="17" s="1"/>
  <c r="T347" i="17"/>
  <c r="S347" i="17"/>
  <c r="R347" i="17"/>
  <c r="Q347" i="17"/>
  <c r="BF346" i="17"/>
  <c r="AZ346" i="17"/>
  <c r="AT346" i="17"/>
  <c r="AN346" i="17"/>
  <c r="AH346" i="17"/>
  <c r="T346" i="17"/>
  <c r="S346" i="17"/>
  <c r="R346" i="17"/>
  <c r="Q346" i="17"/>
  <c r="BF345" i="17"/>
  <c r="AZ345" i="17"/>
  <c r="AT345" i="17"/>
  <c r="AN345" i="17"/>
  <c r="AH345" i="17"/>
  <c r="T345" i="17"/>
  <c r="S345" i="17"/>
  <c r="R345" i="17"/>
  <c r="Q345" i="17"/>
  <c r="BF344" i="17"/>
  <c r="AZ344" i="17"/>
  <c r="AT344" i="17"/>
  <c r="AN344" i="17"/>
  <c r="AH344" i="17"/>
  <c r="T344" i="17"/>
  <c r="S344" i="17"/>
  <c r="R344" i="17"/>
  <c r="Q344" i="17"/>
  <c r="BF343" i="17"/>
  <c r="AZ343" i="17"/>
  <c r="AT343" i="17"/>
  <c r="AN343" i="17"/>
  <c r="AH343" i="17"/>
  <c r="T343" i="17"/>
  <c r="S343" i="17"/>
  <c r="R343" i="17"/>
  <c r="Q343" i="17"/>
  <c r="BF342" i="17"/>
  <c r="AZ342" i="17"/>
  <c r="AT342" i="17"/>
  <c r="AN342" i="17"/>
  <c r="P342" i="17" s="1"/>
  <c r="AH342" i="17"/>
  <c r="T342" i="17"/>
  <c r="S342" i="17"/>
  <c r="R342" i="17"/>
  <c r="Q342" i="17"/>
  <c r="BF341" i="17"/>
  <c r="AZ341" i="17"/>
  <c r="AT341" i="17"/>
  <c r="AN341" i="17"/>
  <c r="AH341" i="17"/>
  <c r="T341" i="17"/>
  <c r="S341" i="17"/>
  <c r="R341" i="17"/>
  <c r="Q341" i="17"/>
  <c r="BF340" i="17"/>
  <c r="AZ340" i="17"/>
  <c r="AT340" i="17"/>
  <c r="AN340" i="17"/>
  <c r="AH340" i="17"/>
  <c r="T340" i="17"/>
  <c r="S340" i="17"/>
  <c r="R340" i="17"/>
  <c r="Q340" i="17"/>
  <c r="BF339" i="17"/>
  <c r="AZ339" i="17"/>
  <c r="AT339" i="17"/>
  <c r="AN339" i="17"/>
  <c r="P339" i="17" s="1"/>
  <c r="AH339" i="17"/>
  <c r="T339" i="17"/>
  <c r="S339" i="17"/>
  <c r="R339" i="17"/>
  <c r="Q339" i="17"/>
  <c r="BF338" i="17"/>
  <c r="AZ338" i="17"/>
  <c r="AT338" i="17"/>
  <c r="AN338" i="17"/>
  <c r="AH338" i="17"/>
  <c r="T338" i="17"/>
  <c r="S338" i="17"/>
  <c r="R338" i="17"/>
  <c r="Q338" i="17"/>
  <c r="BF337" i="17"/>
  <c r="AZ337" i="17"/>
  <c r="AT337" i="17"/>
  <c r="AN337" i="17"/>
  <c r="AH337" i="17"/>
  <c r="T337" i="17"/>
  <c r="S337" i="17"/>
  <c r="R337" i="17"/>
  <c r="Q337" i="17"/>
  <c r="BF336" i="17"/>
  <c r="AZ336" i="17"/>
  <c r="AT336" i="17"/>
  <c r="AN336" i="17"/>
  <c r="AH336" i="17"/>
  <c r="T336" i="17"/>
  <c r="S336" i="17"/>
  <c r="R336" i="17"/>
  <c r="Q336" i="17"/>
  <c r="BF335" i="17"/>
  <c r="AZ335" i="17"/>
  <c r="AT335" i="17"/>
  <c r="AN335" i="17"/>
  <c r="AH335" i="17"/>
  <c r="T335" i="17"/>
  <c r="S335" i="17"/>
  <c r="R335" i="17"/>
  <c r="Q335" i="17"/>
  <c r="BF334" i="17"/>
  <c r="AZ334" i="17"/>
  <c r="AT334" i="17"/>
  <c r="AN334" i="17"/>
  <c r="AH334" i="17"/>
  <c r="P334" i="17" s="1"/>
  <c r="T334" i="17"/>
  <c r="S334" i="17"/>
  <c r="R334" i="17"/>
  <c r="Q334" i="17"/>
  <c r="BF333" i="17"/>
  <c r="AZ333" i="17"/>
  <c r="AT333" i="17"/>
  <c r="AN333" i="17"/>
  <c r="AH333" i="17"/>
  <c r="T333" i="17"/>
  <c r="S333" i="17"/>
  <c r="R333" i="17"/>
  <c r="Q333" i="17"/>
  <c r="BF332" i="17"/>
  <c r="AZ332" i="17"/>
  <c r="AT332" i="17"/>
  <c r="AN332" i="17"/>
  <c r="AH332" i="17"/>
  <c r="T332" i="17"/>
  <c r="S332" i="17"/>
  <c r="R332" i="17"/>
  <c r="Q332" i="17"/>
  <c r="BF331" i="17"/>
  <c r="AZ331" i="17"/>
  <c r="AT331" i="17"/>
  <c r="AN331" i="17"/>
  <c r="AH331" i="17"/>
  <c r="T331" i="17"/>
  <c r="S331" i="17"/>
  <c r="R331" i="17"/>
  <c r="Q331" i="17"/>
  <c r="BF330" i="17"/>
  <c r="AZ330" i="17"/>
  <c r="AT330" i="17"/>
  <c r="AN330" i="17"/>
  <c r="AH330" i="17"/>
  <c r="P330" i="17" s="1"/>
  <c r="T330" i="17"/>
  <c r="S330" i="17"/>
  <c r="R330" i="17"/>
  <c r="Q330" i="17"/>
  <c r="BF329" i="17"/>
  <c r="AZ329" i="17"/>
  <c r="AT329" i="17"/>
  <c r="AN329" i="17"/>
  <c r="AH329" i="17"/>
  <c r="T329" i="17"/>
  <c r="S329" i="17"/>
  <c r="R329" i="17"/>
  <c r="Q329" i="17"/>
  <c r="BF328" i="17"/>
  <c r="AZ328" i="17"/>
  <c r="AT328" i="17"/>
  <c r="AN328" i="17"/>
  <c r="AH328" i="17"/>
  <c r="T328" i="17"/>
  <c r="S328" i="17"/>
  <c r="R328" i="17"/>
  <c r="Q328" i="17"/>
  <c r="BF327" i="17"/>
  <c r="AZ327" i="17"/>
  <c r="AT327" i="17"/>
  <c r="AN327" i="17"/>
  <c r="AH327" i="17"/>
  <c r="T327" i="17"/>
  <c r="S327" i="17"/>
  <c r="R327" i="17"/>
  <c r="Q327" i="17"/>
  <c r="BF326" i="17"/>
  <c r="AZ326" i="17"/>
  <c r="AT326" i="17"/>
  <c r="AN326" i="17"/>
  <c r="AH326" i="17"/>
  <c r="T326" i="17"/>
  <c r="S326" i="17"/>
  <c r="R326" i="17"/>
  <c r="Q326" i="17"/>
  <c r="BF325" i="17"/>
  <c r="AZ325" i="17"/>
  <c r="AT325" i="17"/>
  <c r="AN325" i="17"/>
  <c r="AH325" i="17"/>
  <c r="T325" i="17"/>
  <c r="S325" i="17"/>
  <c r="R325" i="17"/>
  <c r="Q325" i="17"/>
  <c r="BF324" i="17"/>
  <c r="AZ324" i="17"/>
  <c r="AT324" i="17"/>
  <c r="AN324" i="17"/>
  <c r="AH324" i="17"/>
  <c r="T324" i="17"/>
  <c r="S324" i="17"/>
  <c r="R324" i="17"/>
  <c r="Q324" i="17"/>
  <c r="BF323" i="17"/>
  <c r="AZ323" i="17"/>
  <c r="AT323" i="17"/>
  <c r="AN323" i="17"/>
  <c r="AH323" i="17"/>
  <c r="T323" i="17"/>
  <c r="S323" i="17"/>
  <c r="R323" i="17"/>
  <c r="Q323" i="17"/>
  <c r="BF322" i="17"/>
  <c r="AZ322" i="17"/>
  <c r="AT322" i="17"/>
  <c r="AN322" i="17"/>
  <c r="AH322" i="17"/>
  <c r="T322" i="17"/>
  <c r="S322" i="17"/>
  <c r="R322" i="17"/>
  <c r="Q322" i="17"/>
  <c r="BF321" i="17"/>
  <c r="AZ321" i="17"/>
  <c r="AT321" i="17"/>
  <c r="AN321" i="17"/>
  <c r="AH321" i="17"/>
  <c r="T321" i="17"/>
  <c r="S321" i="17"/>
  <c r="R321" i="17"/>
  <c r="Q321" i="17"/>
  <c r="BF320" i="17"/>
  <c r="AZ320" i="17"/>
  <c r="AT320" i="17"/>
  <c r="AN320" i="17"/>
  <c r="AH320" i="17"/>
  <c r="T320" i="17"/>
  <c r="S320" i="17"/>
  <c r="R320" i="17"/>
  <c r="Q320" i="17"/>
  <c r="P320" i="17"/>
  <c r="BF319" i="17"/>
  <c r="AZ319" i="17"/>
  <c r="AT319" i="17"/>
  <c r="AN319" i="17"/>
  <c r="P319" i="17" s="1"/>
  <c r="AH319" i="17"/>
  <c r="T319" i="17"/>
  <c r="S319" i="17"/>
  <c r="R319" i="17"/>
  <c r="Q319" i="17"/>
  <c r="BF318" i="17"/>
  <c r="AZ318" i="17"/>
  <c r="AT318" i="17"/>
  <c r="AN318" i="17"/>
  <c r="AH318" i="17"/>
  <c r="T318" i="17"/>
  <c r="S318" i="17"/>
  <c r="R318" i="17"/>
  <c r="Q318" i="17"/>
  <c r="BF317" i="17"/>
  <c r="AZ317" i="17"/>
  <c r="AT317" i="17"/>
  <c r="AN317" i="17"/>
  <c r="AH317" i="17"/>
  <c r="T317" i="17"/>
  <c r="S317" i="17"/>
  <c r="R317" i="17"/>
  <c r="Q317" i="17"/>
  <c r="BF316" i="17"/>
  <c r="AZ316" i="17"/>
  <c r="AT316" i="17"/>
  <c r="AN316" i="17"/>
  <c r="AH316" i="17"/>
  <c r="P316" i="17" s="1"/>
  <c r="T316" i="17"/>
  <c r="S316" i="17"/>
  <c r="R316" i="17"/>
  <c r="Q316" i="17"/>
  <c r="BF315" i="17"/>
  <c r="AZ315" i="17"/>
  <c r="AT315" i="17"/>
  <c r="AN315" i="17"/>
  <c r="P315" i="17" s="1"/>
  <c r="AH315" i="17"/>
  <c r="T315" i="17"/>
  <c r="S315" i="17"/>
  <c r="R315" i="17"/>
  <c r="Q315" i="17"/>
  <c r="BF314" i="17"/>
  <c r="AZ314" i="17"/>
  <c r="AT314" i="17"/>
  <c r="AN314" i="17"/>
  <c r="AH314" i="17"/>
  <c r="T314" i="17"/>
  <c r="S314" i="17"/>
  <c r="R314" i="17"/>
  <c r="Q314" i="17"/>
  <c r="BF313" i="17"/>
  <c r="AZ313" i="17"/>
  <c r="AT313" i="17"/>
  <c r="AN313" i="17"/>
  <c r="AH313" i="17"/>
  <c r="T313" i="17"/>
  <c r="S313" i="17"/>
  <c r="R313" i="17"/>
  <c r="Q313" i="17"/>
  <c r="BF312" i="17"/>
  <c r="AZ312" i="17"/>
  <c r="AT312" i="17"/>
  <c r="AN312" i="17"/>
  <c r="AH312" i="17"/>
  <c r="T312" i="17"/>
  <c r="S312" i="17"/>
  <c r="R312" i="17"/>
  <c r="Q312" i="17"/>
  <c r="BF311" i="17"/>
  <c r="AZ311" i="17"/>
  <c r="AT311" i="17"/>
  <c r="AN311" i="17"/>
  <c r="AH311" i="17"/>
  <c r="T311" i="17"/>
  <c r="S311" i="17"/>
  <c r="R311" i="17"/>
  <c r="Q311" i="17"/>
  <c r="BF310" i="17"/>
  <c r="AZ310" i="17"/>
  <c r="AT310" i="17"/>
  <c r="AN310" i="17"/>
  <c r="AH310" i="17"/>
  <c r="T310" i="17"/>
  <c r="S310" i="17"/>
  <c r="R310" i="17"/>
  <c r="Q310" i="17"/>
  <c r="BF309" i="17"/>
  <c r="AZ309" i="17"/>
  <c r="AT309" i="17"/>
  <c r="AN309" i="17"/>
  <c r="AH309" i="17"/>
  <c r="P309" i="17" s="1"/>
  <c r="T309" i="17"/>
  <c r="S309" i="17"/>
  <c r="R309" i="17"/>
  <c r="Q309" i="17"/>
  <c r="BF308" i="17"/>
  <c r="AZ308" i="17"/>
  <c r="AT308" i="17"/>
  <c r="AN308" i="17"/>
  <c r="P308" i="17" s="1"/>
  <c r="AH308" i="17"/>
  <c r="T308" i="17"/>
  <c r="S308" i="17"/>
  <c r="R308" i="17"/>
  <c r="Q308" i="17"/>
  <c r="BF307" i="17"/>
  <c r="AZ307" i="17"/>
  <c r="AT307" i="17"/>
  <c r="AN307" i="17"/>
  <c r="AH307" i="17"/>
  <c r="P307" i="17" s="1"/>
  <c r="T307" i="17"/>
  <c r="S307" i="17"/>
  <c r="R307" i="17"/>
  <c r="Q307" i="17"/>
  <c r="BF306" i="17"/>
  <c r="AZ306" i="17"/>
  <c r="AT306" i="17"/>
  <c r="AN306" i="17"/>
  <c r="AH306" i="17"/>
  <c r="T306" i="17"/>
  <c r="S306" i="17"/>
  <c r="R306" i="17"/>
  <c r="Q306" i="17"/>
  <c r="BF305" i="17"/>
  <c r="AZ305" i="17"/>
  <c r="AT305" i="17"/>
  <c r="AN305" i="17"/>
  <c r="AH305" i="17"/>
  <c r="P305" i="17" s="1"/>
  <c r="T305" i="17"/>
  <c r="S305" i="17"/>
  <c r="R305" i="17"/>
  <c r="Q305" i="17"/>
  <c r="BF304" i="17"/>
  <c r="AZ304" i="17"/>
  <c r="AT304" i="17"/>
  <c r="AN304" i="17"/>
  <c r="AH304" i="17"/>
  <c r="T304" i="17"/>
  <c r="S304" i="17"/>
  <c r="R304" i="17"/>
  <c r="Q304" i="17"/>
  <c r="BF303" i="17"/>
  <c r="AZ303" i="17"/>
  <c r="AT303" i="17"/>
  <c r="AN303" i="17"/>
  <c r="AH303" i="17"/>
  <c r="T303" i="17"/>
  <c r="S303" i="17"/>
  <c r="R303" i="17"/>
  <c r="Q303" i="17"/>
  <c r="BF302" i="17"/>
  <c r="AZ302" i="17"/>
  <c r="AT302" i="17"/>
  <c r="AN302" i="17"/>
  <c r="AH302" i="17"/>
  <c r="T302" i="17"/>
  <c r="S302" i="17"/>
  <c r="R302" i="17"/>
  <c r="Q302" i="17"/>
  <c r="BF301" i="17"/>
  <c r="AZ301" i="17"/>
  <c r="AT301" i="17"/>
  <c r="AN301" i="17"/>
  <c r="AH301" i="17"/>
  <c r="P301" i="17" s="1"/>
  <c r="T301" i="17"/>
  <c r="S301" i="17"/>
  <c r="R301" i="17"/>
  <c r="Q301" i="17"/>
  <c r="BF300" i="17"/>
  <c r="AZ300" i="17"/>
  <c r="AT300" i="17"/>
  <c r="AN300" i="17"/>
  <c r="AH300" i="17"/>
  <c r="T300" i="17"/>
  <c r="S300" i="17"/>
  <c r="R300" i="17"/>
  <c r="Q300" i="17"/>
  <c r="BF299" i="17"/>
  <c r="AZ299" i="17"/>
  <c r="AT299" i="17"/>
  <c r="AN299" i="17"/>
  <c r="AH299" i="17"/>
  <c r="T299" i="17"/>
  <c r="S299" i="17"/>
  <c r="R299" i="17"/>
  <c r="Q299" i="17"/>
  <c r="BF298" i="17"/>
  <c r="AZ298" i="17"/>
  <c r="AT298" i="17"/>
  <c r="AN298" i="17"/>
  <c r="AH298" i="17"/>
  <c r="T298" i="17"/>
  <c r="S298" i="17"/>
  <c r="R298" i="17"/>
  <c r="Q298" i="17"/>
  <c r="BF297" i="17"/>
  <c r="AZ297" i="17"/>
  <c r="AT297" i="17"/>
  <c r="AN297" i="17"/>
  <c r="AH297" i="17"/>
  <c r="T297" i="17"/>
  <c r="S297" i="17"/>
  <c r="R297" i="17"/>
  <c r="Q297" i="17"/>
  <c r="BF296" i="17"/>
  <c r="AZ296" i="17"/>
  <c r="AT296" i="17"/>
  <c r="AN296" i="17"/>
  <c r="AH296" i="17"/>
  <c r="T296" i="17"/>
  <c r="S296" i="17"/>
  <c r="R296" i="17"/>
  <c r="Q296" i="17"/>
  <c r="BF295" i="17"/>
  <c r="AZ295" i="17"/>
  <c r="AT295" i="17"/>
  <c r="AN295" i="17"/>
  <c r="AH295" i="17"/>
  <c r="T295" i="17"/>
  <c r="S295" i="17"/>
  <c r="R295" i="17"/>
  <c r="Q295" i="17"/>
  <c r="BF294" i="17"/>
  <c r="AZ294" i="17"/>
  <c r="AT294" i="17"/>
  <c r="AN294" i="17"/>
  <c r="AH294" i="17"/>
  <c r="T294" i="17"/>
  <c r="S294" i="17"/>
  <c r="R294" i="17"/>
  <c r="Q294" i="17"/>
  <c r="BF293" i="17"/>
  <c r="AZ293" i="17"/>
  <c r="AT293" i="17"/>
  <c r="AN293" i="17"/>
  <c r="AH293" i="17"/>
  <c r="T293" i="17"/>
  <c r="S293" i="17"/>
  <c r="R293" i="17"/>
  <c r="Q293" i="17"/>
  <c r="BF292" i="17"/>
  <c r="AZ292" i="17"/>
  <c r="AT292" i="17"/>
  <c r="AN292" i="17"/>
  <c r="AH292" i="17"/>
  <c r="T292" i="17"/>
  <c r="S292" i="17"/>
  <c r="R292" i="17"/>
  <c r="Q292" i="17"/>
  <c r="BF291" i="17"/>
  <c r="AZ291" i="17"/>
  <c r="AT291" i="17"/>
  <c r="AN291" i="17"/>
  <c r="AH291" i="17"/>
  <c r="T291" i="17"/>
  <c r="S291" i="17"/>
  <c r="R291" i="17"/>
  <c r="Q291" i="17"/>
  <c r="BF290" i="17"/>
  <c r="AZ290" i="17"/>
  <c r="AT290" i="17"/>
  <c r="AN290" i="17"/>
  <c r="AH290" i="17"/>
  <c r="T290" i="17"/>
  <c r="S290" i="17"/>
  <c r="R290" i="17"/>
  <c r="Q290" i="17"/>
  <c r="BF289" i="17"/>
  <c r="AZ289" i="17"/>
  <c r="AT289" i="17"/>
  <c r="AN289" i="17"/>
  <c r="AH289" i="17"/>
  <c r="T289" i="17"/>
  <c r="S289" i="17"/>
  <c r="R289" i="17"/>
  <c r="Q289" i="17"/>
  <c r="BF288" i="17"/>
  <c r="AZ288" i="17"/>
  <c r="AT288" i="17"/>
  <c r="AN288" i="17"/>
  <c r="AH288" i="17"/>
  <c r="T288" i="17"/>
  <c r="S288" i="17"/>
  <c r="R288" i="17"/>
  <c r="Q288" i="17"/>
  <c r="BF287" i="17"/>
  <c r="AZ287" i="17"/>
  <c r="AT287" i="17"/>
  <c r="P287" i="17" s="1"/>
  <c r="AN287" i="17"/>
  <c r="AH287" i="17"/>
  <c r="T287" i="17"/>
  <c r="S287" i="17"/>
  <c r="R287" i="17"/>
  <c r="Q287" i="17"/>
  <c r="BF286" i="17"/>
  <c r="AZ286" i="17"/>
  <c r="AT286" i="17"/>
  <c r="AN286" i="17"/>
  <c r="AH286" i="17"/>
  <c r="T286" i="17"/>
  <c r="S286" i="17"/>
  <c r="R286" i="17"/>
  <c r="Q286" i="17"/>
  <c r="P286" i="17"/>
  <c r="BF285" i="17"/>
  <c r="AZ285" i="17"/>
  <c r="AT285" i="17"/>
  <c r="AN285" i="17"/>
  <c r="P285" i="17" s="1"/>
  <c r="AH285" i="17"/>
  <c r="T285" i="17"/>
  <c r="S285" i="17"/>
  <c r="R285" i="17"/>
  <c r="Q285" i="17"/>
  <c r="BF284" i="17"/>
  <c r="AZ284" i="17"/>
  <c r="AT284" i="17"/>
  <c r="P284" i="17" s="1"/>
  <c r="AN284" i="17"/>
  <c r="AH284" i="17"/>
  <c r="T284" i="17"/>
  <c r="S284" i="17"/>
  <c r="R284" i="17"/>
  <c r="Q284" i="17"/>
  <c r="BF283" i="17"/>
  <c r="AZ283" i="17"/>
  <c r="AT283" i="17"/>
  <c r="AN283" i="17"/>
  <c r="AH283" i="17"/>
  <c r="P283" i="17" s="1"/>
  <c r="T283" i="17"/>
  <c r="S283" i="17"/>
  <c r="R283" i="17"/>
  <c r="Q283" i="17"/>
  <c r="BF282" i="17"/>
  <c r="AZ282" i="17"/>
  <c r="AT282" i="17"/>
  <c r="AN282" i="17"/>
  <c r="AH282" i="17"/>
  <c r="T282" i="17"/>
  <c r="S282" i="17"/>
  <c r="R282" i="17"/>
  <c r="Q282" i="17"/>
  <c r="BF281" i="17"/>
  <c r="AZ281" i="17"/>
  <c r="AT281" i="17"/>
  <c r="AN281" i="17"/>
  <c r="AH281" i="17"/>
  <c r="T281" i="17"/>
  <c r="S281" i="17"/>
  <c r="R281" i="17"/>
  <c r="Q281" i="17"/>
  <c r="BF280" i="17"/>
  <c r="AZ280" i="17"/>
  <c r="AT280" i="17"/>
  <c r="AN280" i="17"/>
  <c r="AH280" i="17"/>
  <c r="T280" i="17"/>
  <c r="S280" i="17"/>
  <c r="R280" i="17"/>
  <c r="Q280" i="17"/>
  <c r="P280" i="17"/>
  <c r="BF279" i="17"/>
  <c r="AZ279" i="17"/>
  <c r="AT279" i="17"/>
  <c r="AN279" i="17"/>
  <c r="AH279" i="17"/>
  <c r="T279" i="17"/>
  <c r="S279" i="17"/>
  <c r="R279" i="17"/>
  <c r="Q279" i="17"/>
  <c r="BF278" i="17"/>
  <c r="AZ278" i="17"/>
  <c r="AT278" i="17"/>
  <c r="P278" i="17" s="1"/>
  <c r="AN278" i="17"/>
  <c r="AH278" i="17"/>
  <c r="T278" i="17"/>
  <c r="S278" i="17"/>
  <c r="R278" i="17"/>
  <c r="Q278" i="17"/>
  <c r="BF277" i="17"/>
  <c r="AZ277" i="17"/>
  <c r="AT277" i="17"/>
  <c r="AN277" i="17"/>
  <c r="AH277" i="17"/>
  <c r="T277" i="17"/>
  <c r="S277" i="17"/>
  <c r="R277" i="17"/>
  <c r="Q277" i="17"/>
  <c r="BF276" i="17"/>
  <c r="AZ276" i="17"/>
  <c r="AT276" i="17"/>
  <c r="AN276" i="17"/>
  <c r="AH276" i="17"/>
  <c r="T276" i="17"/>
  <c r="S276" i="17"/>
  <c r="R276" i="17"/>
  <c r="Q276" i="17"/>
  <c r="BF275" i="17"/>
  <c r="AZ275" i="17"/>
  <c r="AT275" i="17"/>
  <c r="AN275" i="17"/>
  <c r="AH275" i="17"/>
  <c r="T275" i="17"/>
  <c r="S275" i="17"/>
  <c r="R275" i="17"/>
  <c r="Q275" i="17"/>
  <c r="BF274" i="17"/>
  <c r="AZ274" i="17"/>
  <c r="AT274" i="17"/>
  <c r="AN274" i="17"/>
  <c r="AH274" i="17"/>
  <c r="T274" i="17"/>
  <c r="S274" i="17"/>
  <c r="R274" i="17"/>
  <c r="Q274" i="17"/>
  <c r="BF273" i="17"/>
  <c r="AZ273" i="17"/>
  <c r="AT273" i="17"/>
  <c r="AN273" i="17"/>
  <c r="AH273" i="17"/>
  <c r="T273" i="17"/>
  <c r="S273" i="17"/>
  <c r="R273" i="17"/>
  <c r="Q273" i="17"/>
  <c r="BF272" i="17"/>
  <c r="AZ272" i="17"/>
  <c r="AT272" i="17"/>
  <c r="AN272" i="17"/>
  <c r="AH272" i="17"/>
  <c r="T272" i="17"/>
  <c r="S272" i="17"/>
  <c r="R272" i="17"/>
  <c r="Q272" i="17"/>
  <c r="BF271" i="17"/>
  <c r="AZ271" i="17"/>
  <c r="AT271" i="17"/>
  <c r="AN271" i="17"/>
  <c r="P271" i="17" s="1"/>
  <c r="AH271" i="17"/>
  <c r="T271" i="17"/>
  <c r="S271" i="17"/>
  <c r="R271" i="17"/>
  <c r="Q271" i="17"/>
  <c r="BF270" i="17"/>
  <c r="AZ270" i="17"/>
  <c r="AT270" i="17"/>
  <c r="AN270" i="17"/>
  <c r="AH270" i="17"/>
  <c r="T270" i="17"/>
  <c r="S270" i="17"/>
  <c r="R270" i="17"/>
  <c r="Q270" i="17"/>
  <c r="BF269" i="17"/>
  <c r="AZ269" i="17"/>
  <c r="AT269" i="17"/>
  <c r="AN269" i="17"/>
  <c r="AH269" i="17"/>
  <c r="T269" i="17"/>
  <c r="S269" i="17"/>
  <c r="R269" i="17"/>
  <c r="Q269" i="17"/>
  <c r="BF268" i="17"/>
  <c r="AZ268" i="17"/>
  <c r="AT268" i="17"/>
  <c r="AN268" i="17"/>
  <c r="AH268" i="17"/>
  <c r="T268" i="17"/>
  <c r="S268" i="17"/>
  <c r="R268" i="17"/>
  <c r="Q268" i="17"/>
  <c r="P268" i="17"/>
  <c r="BF267" i="17"/>
  <c r="AZ267" i="17"/>
  <c r="AT267" i="17"/>
  <c r="AN267" i="17"/>
  <c r="P267" i="17" s="1"/>
  <c r="AH267" i="17"/>
  <c r="T267" i="17"/>
  <c r="S267" i="17"/>
  <c r="R267" i="17"/>
  <c r="Q267" i="17"/>
  <c r="BF266" i="17"/>
  <c r="AZ266" i="17"/>
  <c r="AT266" i="17"/>
  <c r="AN266" i="17"/>
  <c r="AH266" i="17"/>
  <c r="T266" i="17"/>
  <c r="S266" i="17"/>
  <c r="R266" i="17"/>
  <c r="Q266" i="17"/>
  <c r="BF265" i="17"/>
  <c r="AZ265" i="17"/>
  <c r="AT265" i="17"/>
  <c r="AN265" i="17"/>
  <c r="AH265" i="17"/>
  <c r="T265" i="17"/>
  <c r="S265" i="17"/>
  <c r="R265" i="17"/>
  <c r="Q265" i="17"/>
  <c r="BF264" i="17"/>
  <c r="AZ264" i="17"/>
  <c r="AT264" i="17"/>
  <c r="AN264" i="17"/>
  <c r="AH264" i="17"/>
  <c r="T264" i="17"/>
  <c r="S264" i="17"/>
  <c r="R264" i="17"/>
  <c r="Q264" i="17"/>
  <c r="BF263" i="17"/>
  <c r="AZ263" i="17"/>
  <c r="AT263" i="17"/>
  <c r="AN263" i="17"/>
  <c r="AH263" i="17"/>
  <c r="T263" i="17"/>
  <c r="S263" i="17"/>
  <c r="R263" i="17"/>
  <c r="Q263" i="17"/>
  <c r="BF262" i="17"/>
  <c r="AZ262" i="17"/>
  <c r="AT262" i="17"/>
  <c r="AN262" i="17"/>
  <c r="AH262" i="17"/>
  <c r="T262" i="17"/>
  <c r="S262" i="17"/>
  <c r="R262" i="17"/>
  <c r="Q262" i="17"/>
  <c r="BF261" i="17"/>
  <c r="AZ261" i="17"/>
  <c r="AT261" i="17"/>
  <c r="AN261" i="17"/>
  <c r="AH261" i="17"/>
  <c r="T261" i="17"/>
  <c r="S261" i="17"/>
  <c r="R261" i="17"/>
  <c r="Q261" i="17"/>
  <c r="BF260" i="17"/>
  <c r="AZ260" i="17"/>
  <c r="AT260" i="17"/>
  <c r="AN260" i="17"/>
  <c r="AH260" i="17"/>
  <c r="T260" i="17"/>
  <c r="S260" i="17"/>
  <c r="R260" i="17"/>
  <c r="Q260" i="17"/>
  <c r="BF259" i="17"/>
  <c r="AZ259" i="17"/>
  <c r="AT259" i="17"/>
  <c r="AN259" i="17"/>
  <c r="AH259" i="17"/>
  <c r="T259" i="17"/>
  <c r="S259" i="17"/>
  <c r="R259" i="17"/>
  <c r="Q259" i="17"/>
  <c r="BF258" i="17"/>
  <c r="AZ258" i="17"/>
  <c r="AT258" i="17"/>
  <c r="AN258" i="17"/>
  <c r="AH258" i="17"/>
  <c r="T258" i="17"/>
  <c r="S258" i="17"/>
  <c r="R258" i="17"/>
  <c r="Q258" i="17"/>
  <c r="BF257" i="17"/>
  <c r="AZ257" i="17"/>
  <c r="AT257" i="17"/>
  <c r="AN257" i="17"/>
  <c r="AH257" i="17"/>
  <c r="P257" i="17" s="1"/>
  <c r="T257" i="17"/>
  <c r="S257" i="17"/>
  <c r="R257" i="17"/>
  <c r="Q257" i="17"/>
  <c r="BF256" i="17"/>
  <c r="AZ256" i="17"/>
  <c r="AT256" i="17"/>
  <c r="AN256" i="17"/>
  <c r="P256" i="17" s="1"/>
  <c r="AH256" i="17"/>
  <c r="T256" i="17"/>
  <c r="S256" i="17"/>
  <c r="R256" i="17"/>
  <c r="Q256" i="17"/>
  <c r="BF255" i="17"/>
  <c r="AZ255" i="17"/>
  <c r="AT255" i="17"/>
  <c r="AN255" i="17"/>
  <c r="AH255" i="17"/>
  <c r="T255" i="17"/>
  <c r="S255" i="17"/>
  <c r="R255" i="17"/>
  <c r="Q255" i="17"/>
  <c r="BF254" i="17"/>
  <c r="AZ254" i="17"/>
  <c r="AT254" i="17"/>
  <c r="AN254" i="17"/>
  <c r="AH254" i="17"/>
  <c r="T254" i="17"/>
  <c r="S254" i="17"/>
  <c r="R254" i="17"/>
  <c r="Q254" i="17"/>
  <c r="BF253" i="17"/>
  <c r="AZ253" i="17"/>
  <c r="AT253" i="17"/>
  <c r="AN253" i="17"/>
  <c r="P253" i="17" s="1"/>
  <c r="AH253" i="17"/>
  <c r="T253" i="17"/>
  <c r="S253" i="17"/>
  <c r="R253" i="17"/>
  <c r="Q253" i="17"/>
  <c r="BF252" i="17"/>
  <c r="AZ252" i="17"/>
  <c r="AT252" i="17"/>
  <c r="AN252" i="17"/>
  <c r="AH252" i="17"/>
  <c r="T252" i="17"/>
  <c r="S252" i="17"/>
  <c r="R252" i="17"/>
  <c r="Q252" i="17"/>
  <c r="BF251" i="17"/>
  <c r="AZ251" i="17"/>
  <c r="AT251" i="17"/>
  <c r="AN251" i="17"/>
  <c r="AH251" i="17"/>
  <c r="P251" i="17" s="1"/>
  <c r="T251" i="17"/>
  <c r="S251" i="17"/>
  <c r="R251" i="17"/>
  <c r="Q251" i="17"/>
  <c r="BF250" i="17"/>
  <c r="AZ250" i="17"/>
  <c r="AT250" i="17"/>
  <c r="AN250" i="17"/>
  <c r="AH250" i="17"/>
  <c r="T250" i="17"/>
  <c r="S250" i="17"/>
  <c r="R250" i="17"/>
  <c r="Q250" i="17"/>
  <c r="BF249" i="17"/>
  <c r="AZ249" i="17"/>
  <c r="AT249" i="17"/>
  <c r="AN249" i="17"/>
  <c r="AH249" i="17"/>
  <c r="T249" i="17"/>
  <c r="S249" i="17"/>
  <c r="R249" i="17"/>
  <c r="Q249" i="17"/>
  <c r="BF248" i="17"/>
  <c r="AZ248" i="17"/>
  <c r="AT248" i="17"/>
  <c r="AN248" i="17"/>
  <c r="AH248" i="17"/>
  <c r="T248" i="17"/>
  <c r="S248" i="17"/>
  <c r="R248" i="17"/>
  <c r="Q248" i="17"/>
  <c r="BF247" i="17"/>
  <c r="AZ247" i="17"/>
  <c r="AT247" i="17"/>
  <c r="AN247" i="17"/>
  <c r="AH247" i="17"/>
  <c r="T247" i="17"/>
  <c r="S247" i="17"/>
  <c r="R247" i="17"/>
  <c r="Q247" i="17"/>
  <c r="BF246" i="17"/>
  <c r="AZ246" i="17"/>
  <c r="AT246" i="17"/>
  <c r="AN246" i="17"/>
  <c r="AH246" i="17"/>
  <c r="P246" i="17" s="1"/>
  <c r="T246" i="17"/>
  <c r="S246" i="17"/>
  <c r="R246" i="17"/>
  <c r="Q246" i="17"/>
  <c r="BF245" i="17"/>
  <c r="AZ245" i="17"/>
  <c r="AT245" i="17"/>
  <c r="AN245" i="17"/>
  <c r="AH245" i="17"/>
  <c r="T245" i="17"/>
  <c r="S245" i="17"/>
  <c r="R245" i="17"/>
  <c r="Q245" i="17"/>
  <c r="BF244" i="17"/>
  <c r="AZ244" i="17"/>
  <c r="AT244" i="17"/>
  <c r="AN244" i="17"/>
  <c r="AH244" i="17"/>
  <c r="T244" i="17"/>
  <c r="S244" i="17"/>
  <c r="R244" i="17"/>
  <c r="Q244" i="17"/>
  <c r="BF243" i="17"/>
  <c r="AZ243" i="17"/>
  <c r="AT243" i="17"/>
  <c r="AN243" i="17"/>
  <c r="AH243" i="17"/>
  <c r="T243" i="17"/>
  <c r="S243" i="17"/>
  <c r="R243" i="17"/>
  <c r="Q243" i="17"/>
  <c r="BF242" i="17"/>
  <c r="AZ242" i="17"/>
  <c r="AT242" i="17"/>
  <c r="AN242" i="17"/>
  <c r="AH242" i="17"/>
  <c r="T242" i="17"/>
  <c r="S242" i="17"/>
  <c r="R242" i="17"/>
  <c r="Q242" i="17"/>
  <c r="BF241" i="17"/>
  <c r="AZ241" i="17"/>
  <c r="AT241" i="17"/>
  <c r="AN241" i="17"/>
  <c r="AH241" i="17"/>
  <c r="T241" i="17"/>
  <c r="S241" i="17"/>
  <c r="R241" i="17"/>
  <c r="Q241" i="17"/>
  <c r="BF240" i="17"/>
  <c r="AZ240" i="17"/>
  <c r="AT240" i="17"/>
  <c r="AN240" i="17"/>
  <c r="AH240" i="17"/>
  <c r="T240" i="17"/>
  <c r="S240" i="17"/>
  <c r="R240" i="17"/>
  <c r="Q240" i="17"/>
  <c r="BF239" i="17"/>
  <c r="AZ239" i="17"/>
  <c r="AT239" i="17"/>
  <c r="AN239" i="17"/>
  <c r="AH239" i="17"/>
  <c r="T239" i="17"/>
  <c r="S239" i="17"/>
  <c r="R239" i="17"/>
  <c r="Q239" i="17"/>
  <c r="BF238" i="17"/>
  <c r="AZ238" i="17"/>
  <c r="AT238" i="17"/>
  <c r="AN238" i="17"/>
  <c r="AH238" i="17"/>
  <c r="T238" i="17"/>
  <c r="S238" i="17"/>
  <c r="R238" i="17"/>
  <c r="Q238" i="17"/>
  <c r="BF237" i="17"/>
  <c r="AZ237" i="17"/>
  <c r="AT237" i="17"/>
  <c r="AN237" i="17"/>
  <c r="AH237" i="17"/>
  <c r="T237" i="17"/>
  <c r="S237" i="17"/>
  <c r="R237" i="17"/>
  <c r="Q237" i="17"/>
  <c r="BF236" i="17"/>
  <c r="AZ236" i="17"/>
  <c r="AT236" i="17"/>
  <c r="AN236" i="17"/>
  <c r="AH236" i="17"/>
  <c r="T236" i="17"/>
  <c r="S236" i="17"/>
  <c r="R236" i="17"/>
  <c r="Q236" i="17"/>
  <c r="BF235" i="17"/>
  <c r="AZ235" i="17"/>
  <c r="AT235" i="17"/>
  <c r="AN235" i="17"/>
  <c r="AH235" i="17"/>
  <c r="T235" i="17"/>
  <c r="S235" i="17"/>
  <c r="R235" i="17"/>
  <c r="Q235" i="17"/>
  <c r="BF234" i="17"/>
  <c r="AZ234" i="17"/>
  <c r="AT234" i="17"/>
  <c r="AN234" i="17"/>
  <c r="AH234" i="17"/>
  <c r="T234" i="17"/>
  <c r="S234" i="17"/>
  <c r="R234" i="17"/>
  <c r="Q234" i="17"/>
  <c r="BF233" i="17"/>
  <c r="AZ233" i="17"/>
  <c r="AT233" i="17"/>
  <c r="AN233" i="17"/>
  <c r="AH233" i="17"/>
  <c r="T233" i="17"/>
  <c r="S233" i="17"/>
  <c r="R233" i="17"/>
  <c r="Q233" i="17"/>
  <c r="BF232" i="17"/>
  <c r="AZ232" i="17"/>
  <c r="AT232" i="17"/>
  <c r="AN232" i="17"/>
  <c r="AH232" i="17"/>
  <c r="T232" i="17"/>
  <c r="S232" i="17"/>
  <c r="R232" i="17"/>
  <c r="Q232" i="17"/>
  <c r="BF231" i="17"/>
  <c r="AZ231" i="17"/>
  <c r="AT231" i="17"/>
  <c r="AN231" i="17"/>
  <c r="AH231" i="17"/>
  <c r="T231" i="17"/>
  <c r="S231" i="17"/>
  <c r="R231" i="17"/>
  <c r="Q231" i="17"/>
  <c r="BF230" i="17"/>
  <c r="AZ230" i="17"/>
  <c r="AT230" i="17"/>
  <c r="AN230" i="17"/>
  <c r="AH230" i="17"/>
  <c r="P230" i="17" s="1"/>
  <c r="T230" i="17"/>
  <c r="S230" i="17"/>
  <c r="R230" i="17"/>
  <c r="Q230" i="17"/>
  <c r="BF229" i="17"/>
  <c r="AZ229" i="17"/>
  <c r="AT229" i="17"/>
  <c r="AN229" i="17"/>
  <c r="AH229" i="17"/>
  <c r="T229" i="17"/>
  <c r="S229" i="17"/>
  <c r="R229" i="17"/>
  <c r="Q229" i="17"/>
  <c r="BF228" i="17"/>
  <c r="AZ228" i="17"/>
  <c r="AT228" i="17"/>
  <c r="AN228" i="17"/>
  <c r="AH228" i="17"/>
  <c r="P228" i="17" s="1"/>
  <c r="T228" i="17"/>
  <c r="S228" i="17"/>
  <c r="R228" i="17"/>
  <c r="Q228" i="17"/>
  <c r="BF227" i="17"/>
  <c r="AZ227" i="17"/>
  <c r="AT227" i="17"/>
  <c r="AN227" i="17"/>
  <c r="AH227" i="17"/>
  <c r="T227" i="17"/>
  <c r="S227" i="17"/>
  <c r="R227" i="17"/>
  <c r="Q227" i="17"/>
  <c r="BF226" i="17"/>
  <c r="AZ226" i="17"/>
  <c r="AT226" i="17"/>
  <c r="AN226" i="17"/>
  <c r="AH226" i="17"/>
  <c r="T226" i="17"/>
  <c r="S226" i="17"/>
  <c r="R226" i="17"/>
  <c r="Q226" i="17"/>
  <c r="BF225" i="17"/>
  <c r="AZ225" i="17"/>
  <c r="AT225" i="17"/>
  <c r="AN225" i="17"/>
  <c r="AH225" i="17"/>
  <c r="T225" i="17"/>
  <c r="S225" i="17"/>
  <c r="R225" i="17"/>
  <c r="Q225" i="17"/>
  <c r="BF224" i="17"/>
  <c r="AZ224" i="17"/>
  <c r="AT224" i="17"/>
  <c r="AN224" i="17"/>
  <c r="AH224" i="17"/>
  <c r="T224" i="17"/>
  <c r="S224" i="17"/>
  <c r="R224" i="17"/>
  <c r="Q224" i="17"/>
  <c r="BF223" i="17"/>
  <c r="AZ223" i="17"/>
  <c r="AT223" i="17"/>
  <c r="AN223" i="17"/>
  <c r="AH223" i="17"/>
  <c r="T223" i="17"/>
  <c r="S223" i="17"/>
  <c r="R223" i="17"/>
  <c r="Q223" i="17"/>
  <c r="BF222" i="17"/>
  <c r="AZ222" i="17"/>
  <c r="AT222" i="17"/>
  <c r="AN222" i="17"/>
  <c r="AH222" i="17"/>
  <c r="T222" i="17"/>
  <c r="S222" i="17"/>
  <c r="R222" i="17"/>
  <c r="Q222" i="17"/>
  <c r="BF221" i="17"/>
  <c r="AZ221" i="17"/>
  <c r="AT221" i="17"/>
  <c r="AN221" i="17"/>
  <c r="AH221" i="17"/>
  <c r="T221" i="17"/>
  <c r="S221" i="17"/>
  <c r="R221" i="17"/>
  <c r="Q221" i="17"/>
  <c r="BF220" i="17"/>
  <c r="AZ220" i="17"/>
  <c r="AT220" i="17"/>
  <c r="AN220" i="17"/>
  <c r="AH220" i="17"/>
  <c r="P220" i="17" s="1"/>
  <c r="T220" i="17"/>
  <c r="S220" i="17"/>
  <c r="R220" i="17"/>
  <c r="Q220" i="17"/>
  <c r="BF219" i="17"/>
  <c r="AZ219" i="17"/>
  <c r="AT219" i="17"/>
  <c r="AN219" i="17"/>
  <c r="AH219" i="17"/>
  <c r="T219" i="17"/>
  <c r="S219" i="17"/>
  <c r="R219" i="17"/>
  <c r="Q219" i="17"/>
  <c r="BF218" i="17"/>
  <c r="AZ218" i="17"/>
  <c r="AT218" i="17"/>
  <c r="AN218" i="17"/>
  <c r="AH218" i="17"/>
  <c r="P218" i="17" s="1"/>
  <c r="T218" i="17"/>
  <c r="S218" i="17"/>
  <c r="R218" i="17"/>
  <c r="Q218" i="17"/>
  <c r="BF217" i="17"/>
  <c r="AZ217" i="17"/>
  <c r="AT217" i="17"/>
  <c r="AN217" i="17"/>
  <c r="AH217" i="17"/>
  <c r="T217" i="17"/>
  <c r="S217" i="17"/>
  <c r="R217" i="17"/>
  <c r="Q217" i="17"/>
  <c r="BF216" i="17"/>
  <c r="AZ216" i="17"/>
  <c r="AT216" i="17"/>
  <c r="AN216" i="17"/>
  <c r="AH216" i="17"/>
  <c r="T216" i="17"/>
  <c r="S216" i="17"/>
  <c r="R216" i="17"/>
  <c r="Q216" i="17"/>
  <c r="BF215" i="17"/>
  <c r="AZ215" i="17"/>
  <c r="AT215" i="17"/>
  <c r="AN215" i="17"/>
  <c r="AH215" i="17"/>
  <c r="T215" i="17"/>
  <c r="S215" i="17"/>
  <c r="R215" i="17"/>
  <c r="Q215" i="17"/>
  <c r="BF214" i="17"/>
  <c r="AZ214" i="17"/>
  <c r="AT214" i="17"/>
  <c r="AN214" i="17"/>
  <c r="AH214" i="17"/>
  <c r="P214" i="17" s="1"/>
  <c r="T214" i="17"/>
  <c r="S214" i="17"/>
  <c r="R214" i="17"/>
  <c r="Q214" i="17"/>
  <c r="BF213" i="17"/>
  <c r="AZ213" i="17"/>
  <c r="AT213" i="17"/>
  <c r="AN213" i="17"/>
  <c r="AH213" i="17"/>
  <c r="T213" i="17"/>
  <c r="S213" i="17"/>
  <c r="R213" i="17"/>
  <c r="Q213" i="17"/>
  <c r="BF212" i="17"/>
  <c r="AZ212" i="17"/>
  <c r="AT212" i="17"/>
  <c r="AN212" i="17"/>
  <c r="AH212" i="17"/>
  <c r="T212" i="17"/>
  <c r="S212" i="17"/>
  <c r="R212" i="17"/>
  <c r="Q212" i="17"/>
  <c r="BF211" i="17"/>
  <c r="AZ211" i="17"/>
  <c r="AT211" i="17"/>
  <c r="AN211" i="17"/>
  <c r="AH211" i="17"/>
  <c r="T211" i="17"/>
  <c r="S211" i="17"/>
  <c r="R211" i="17"/>
  <c r="Q211" i="17"/>
  <c r="BF210" i="17"/>
  <c r="AZ210" i="17"/>
  <c r="AT210" i="17"/>
  <c r="AN210" i="17"/>
  <c r="AH210" i="17"/>
  <c r="P210" i="17" s="1"/>
  <c r="T210" i="17"/>
  <c r="S210" i="17"/>
  <c r="R210" i="17"/>
  <c r="Q210" i="17"/>
  <c r="BF209" i="17"/>
  <c r="AZ209" i="17"/>
  <c r="AT209" i="17"/>
  <c r="AN209" i="17"/>
  <c r="AH209" i="17"/>
  <c r="T209" i="17"/>
  <c r="S209" i="17"/>
  <c r="R209" i="17"/>
  <c r="Q209" i="17"/>
  <c r="BF208" i="17"/>
  <c r="AZ208" i="17"/>
  <c r="AT208" i="17"/>
  <c r="AN208" i="17"/>
  <c r="AH208" i="17"/>
  <c r="T208" i="17"/>
  <c r="S208" i="17"/>
  <c r="R208" i="17"/>
  <c r="Q208" i="17"/>
  <c r="BF207" i="17"/>
  <c r="AZ207" i="17"/>
  <c r="AT207" i="17"/>
  <c r="AN207" i="17"/>
  <c r="AH207" i="17"/>
  <c r="T207" i="17"/>
  <c r="S207" i="17"/>
  <c r="R207" i="17"/>
  <c r="Q207" i="17"/>
  <c r="P207" i="17"/>
  <c r="BF206" i="17"/>
  <c r="AZ206" i="17"/>
  <c r="AT206" i="17"/>
  <c r="AN206" i="17"/>
  <c r="P206" i="17" s="1"/>
  <c r="AH206" i="17"/>
  <c r="T206" i="17"/>
  <c r="S206" i="17"/>
  <c r="R206" i="17"/>
  <c r="Q206" i="17"/>
  <c r="BF205" i="17"/>
  <c r="AZ205" i="17"/>
  <c r="AT205" i="17"/>
  <c r="AN205" i="17"/>
  <c r="AH205" i="17"/>
  <c r="T205" i="17"/>
  <c r="S205" i="17"/>
  <c r="R205" i="17"/>
  <c r="Q205" i="17"/>
  <c r="BF204" i="17"/>
  <c r="AZ204" i="17"/>
  <c r="AT204" i="17"/>
  <c r="AN204" i="17"/>
  <c r="AH204" i="17"/>
  <c r="T204" i="17"/>
  <c r="S204" i="17"/>
  <c r="R204" i="17"/>
  <c r="Q204" i="17"/>
  <c r="BF203" i="17"/>
  <c r="AZ203" i="17"/>
  <c r="AT203" i="17"/>
  <c r="AN203" i="17"/>
  <c r="AH203" i="17"/>
  <c r="T203" i="17"/>
  <c r="S203" i="17"/>
  <c r="R203" i="17"/>
  <c r="Q203" i="17"/>
  <c r="BF202" i="17"/>
  <c r="AZ202" i="17"/>
  <c r="AT202" i="17"/>
  <c r="AN202" i="17"/>
  <c r="AH202" i="17"/>
  <c r="T202" i="17"/>
  <c r="S202" i="17"/>
  <c r="R202" i="17"/>
  <c r="Q202" i="17"/>
  <c r="BF201" i="17"/>
  <c r="AZ201" i="17"/>
  <c r="AT201" i="17"/>
  <c r="AN201" i="17"/>
  <c r="AH201" i="17"/>
  <c r="T201" i="17"/>
  <c r="S201" i="17"/>
  <c r="R201" i="17"/>
  <c r="Q201" i="17"/>
  <c r="BF200" i="17"/>
  <c r="AZ200" i="17"/>
  <c r="AT200" i="17"/>
  <c r="AN200" i="17"/>
  <c r="AH200" i="17"/>
  <c r="T200" i="17"/>
  <c r="S200" i="17"/>
  <c r="R200" i="17"/>
  <c r="Q200" i="17"/>
  <c r="P200" i="17"/>
  <c r="BF199" i="17"/>
  <c r="AZ199" i="17"/>
  <c r="AT199" i="17"/>
  <c r="AN199" i="17"/>
  <c r="P199" i="17" s="1"/>
  <c r="AH199" i="17"/>
  <c r="T199" i="17"/>
  <c r="S199" i="17"/>
  <c r="R199" i="17"/>
  <c r="Q199" i="17"/>
  <c r="BF198" i="17"/>
  <c r="AZ198" i="17"/>
  <c r="AT198" i="17"/>
  <c r="AN198" i="17"/>
  <c r="AH198" i="17"/>
  <c r="T198" i="17"/>
  <c r="S198" i="17"/>
  <c r="R198" i="17"/>
  <c r="Q198" i="17"/>
  <c r="BF197" i="17"/>
  <c r="AZ197" i="17"/>
  <c r="AT197" i="17"/>
  <c r="AN197" i="17"/>
  <c r="AH197" i="17"/>
  <c r="T197" i="17"/>
  <c r="S197" i="17"/>
  <c r="R197" i="17"/>
  <c r="Q197" i="17"/>
  <c r="BF196" i="17"/>
  <c r="AZ196" i="17"/>
  <c r="AT196" i="17"/>
  <c r="AN196" i="17"/>
  <c r="AH196" i="17"/>
  <c r="P196" i="17" s="1"/>
  <c r="T196" i="17"/>
  <c r="S196" i="17"/>
  <c r="R196" i="17"/>
  <c r="Q196" i="17"/>
  <c r="BF195" i="17"/>
  <c r="AZ195" i="17"/>
  <c r="AT195" i="17"/>
  <c r="AN195" i="17"/>
  <c r="AH195" i="17"/>
  <c r="T195" i="17"/>
  <c r="S195" i="17"/>
  <c r="R195" i="17"/>
  <c r="Q195" i="17"/>
  <c r="BF194" i="17"/>
  <c r="AZ194" i="17"/>
  <c r="AT194" i="17"/>
  <c r="AN194" i="17"/>
  <c r="AH194" i="17"/>
  <c r="P194" i="17" s="1"/>
  <c r="T194" i="17"/>
  <c r="S194" i="17"/>
  <c r="R194" i="17"/>
  <c r="Q194" i="17"/>
  <c r="BF193" i="17"/>
  <c r="AZ193" i="17"/>
  <c r="AT193" i="17"/>
  <c r="AN193" i="17"/>
  <c r="AH193" i="17"/>
  <c r="T193" i="17"/>
  <c r="S193" i="17"/>
  <c r="R193" i="17"/>
  <c r="Q193" i="17"/>
  <c r="BF192" i="17"/>
  <c r="AZ192" i="17"/>
  <c r="AT192" i="17"/>
  <c r="AN192" i="17"/>
  <c r="P192" i="17" s="1"/>
  <c r="AH192" i="17"/>
  <c r="T192" i="17"/>
  <c r="S192" i="17"/>
  <c r="R192" i="17"/>
  <c r="Q192" i="17"/>
  <c r="BF191" i="17"/>
  <c r="AZ191" i="17"/>
  <c r="AT191" i="17"/>
  <c r="AN191" i="17"/>
  <c r="AH191" i="17"/>
  <c r="T191" i="17"/>
  <c r="S191" i="17"/>
  <c r="R191" i="17"/>
  <c r="Q191" i="17"/>
  <c r="BF190" i="17"/>
  <c r="AZ190" i="17"/>
  <c r="AT190" i="17"/>
  <c r="AN190" i="17"/>
  <c r="AH190" i="17"/>
  <c r="P190" i="17" s="1"/>
  <c r="T190" i="17"/>
  <c r="S190" i="17"/>
  <c r="R190" i="17"/>
  <c r="Q190" i="17"/>
  <c r="BF189" i="17"/>
  <c r="AZ189" i="17"/>
  <c r="AT189" i="17"/>
  <c r="AN189" i="17"/>
  <c r="AH189" i="17"/>
  <c r="T189" i="17"/>
  <c r="S189" i="17"/>
  <c r="R189" i="17"/>
  <c r="Q189" i="17"/>
  <c r="BF188" i="17"/>
  <c r="AZ188" i="17"/>
  <c r="AT188" i="17"/>
  <c r="AN188" i="17"/>
  <c r="AH188" i="17"/>
  <c r="T188" i="17"/>
  <c r="S188" i="17"/>
  <c r="R188" i="17"/>
  <c r="Q188" i="17"/>
  <c r="BF187" i="17"/>
  <c r="AZ187" i="17"/>
  <c r="AT187" i="17"/>
  <c r="AN187" i="17"/>
  <c r="AH187" i="17"/>
  <c r="T187" i="17"/>
  <c r="S187" i="17"/>
  <c r="R187" i="17"/>
  <c r="Q187" i="17"/>
  <c r="BF186" i="17"/>
  <c r="AZ186" i="17"/>
  <c r="AT186" i="17"/>
  <c r="AN186" i="17"/>
  <c r="AH186" i="17"/>
  <c r="P186" i="17" s="1"/>
  <c r="T186" i="17"/>
  <c r="S186" i="17"/>
  <c r="R186" i="17"/>
  <c r="Q186" i="17"/>
  <c r="BF185" i="17"/>
  <c r="AZ185" i="17"/>
  <c r="AT185" i="17"/>
  <c r="AN185" i="17"/>
  <c r="AH185" i="17"/>
  <c r="T185" i="17"/>
  <c r="S185" i="17"/>
  <c r="R185" i="17"/>
  <c r="Q185" i="17"/>
  <c r="BF184" i="17"/>
  <c r="AZ184" i="17"/>
  <c r="AT184" i="17"/>
  <c r="AN184" i="17"/>
  <c r="P184" i="17" s="1"/>
  <c r="AH184" i="17"/>
  <c r="T184" i="17"/>
  <c r="S184" i="17"/>
  <c r="R184" i="17"/>
  <c r="Q184" i="17"/>
  <c r="BF183" i="17"/>
  <c r="AZ183" i="17"/>
  <c r="AT183" i="17"/>
  <c r="AN183" i="17"/>
  <c r="AH183" i="17"/>
  <c r="T183" i="17"/>
  <c r="S183" i="17"/>
  <c r="R183" i="17"/>
  <c r="Q183" i="17"/>
  <c r="BF182" i="17"/>
  <c r="AZ182" i="17"/>
  <c r="AT182" i="17"/>
  <c r="AN182" i="17"/>
  <c r="AH182" i="17"/>
  <c r="T182" i="17"/>
  <c r="S182" i="17"/>
  <c r="R182" i="17"/>
  <c r="Q182" i="17"/>
  <c r="BF181" i="17"/>
  <c r="AZ181" i="17"/>
  <c r="AT181" i="17"/>
  <c r="AN181" i="17"/>
  <c r="AH181" i="17"/>
  <c r="T181" i="17"/>
  <c r="S181" i="17"/>
  <c r="R181" i="17"/>
  <c r="Q181" i="17"/>
  <c r="BF180" i="17"/>
  <c r="AZ180" i="17"/>
  <c r="AT180" i="17"/>
  <c r="AN180" i="17"/>
  <c r="AH180" i="17"/>
  <c r="P180" i="17" s="1"/>
  <c r="T180" i="17"/>
  <c r="S180" i="17"/>
  <c r="R180" i="17"/>
  <c r="Q180" i="17"/>
  <c r="BF179" i="17"/>
  <c r="AZ179" i="17"/>
  <c r="AT179" i="17"/>
  <c r="AN179" i="17"/>
  <c r="AH179" i="17"/>
  <c r="T179" i="17"/>
  <c r="S179" i="17"/>
  <c r="R179" i="17"/>
  <c r="Q179" i="17"/>
  <c r="BF178" i="17"/>
  <c r="AZ178" i="17"/>
  <c r="AT178" i="17"/>
  <c r="AN178" i="17"/>
  <c r="AH178" i="17"/>
  <c r="T178" i="17"/>
  <c r="S178" i="17"/>
  <c r="R178" i="17"/>
  <c r="Q178" i="17"/>
  <c r="BF177" i="17"/>
  <c r="AZ177" i="17"/>
  <c r="AT177" i="17"/>
  <c r="AN177" i="17"/>
  <c r="AH177" i="17"/>
  <c r="T177" i="17"/>
  <c r="S177" i="17"/>
  <c r="R177" i="17"/>
  <c r="Q177" i="17"/>
  <c r="BF176" i="17"/>
  <c r="AZ176" i="17"/>
  <c r="AT176" i="17"/>
  <c r="AN176" i="17"/>
  <c r="AH176" i="17"/>
  <c r="T176" i="17"/>
  <c r="S176" i="17"/>
  <c r="R176" i="17"/>
  <c r="Q176" i="17"/>
  <c r="BF175" i="17"/>
  <c r="AZ175" i="17"/>
  <c r="AT175" i="17"/>
  <c r="AN175" i="17"/>
  <c r="AH175" i="17"/>
  <c r="T175" i="17"/>
  <c r="S175" i="17"/>
  <c r="R175" i="17"/>
  <c r="Q175" i="17"/>
  <c r="BF174" i="17"/>
  <c r="AZ174" i="17"/>
  <c r="AT174" i="17"/>
  <c r="AN174" i="17"/>
  <c r="AH174" i="17"/>
  <c r="P174" i="17" s="1"/>
  <c r="T174" i="17"/>
  <c r="S174" i="17"/>
  <c r="R174" i="17"/>
  <c r="Q174" i="17"/>
  <c r="BF173" i="17"/>
  <c r="AZ173" i="17"/>
  <c r="AT173" i="17"/>
  <c r="AN173" i="17"/>
  <c r="AH173" i="17"/>
  <c r="T173" i="17"/>
  <c r="S173" i="17"/>
  <c r="R173" i="17"/>
  <c r="Q173" i="17"/>
  <c r="BF172" i="17"/>
  <c r="AZ172" i="17"/>
  <c r="AT172" i="17"/>
  <c r="AN172" i="17"/>
  <c r="AH172" i="17"/>
  <c r="T172" i="17"/>
  <c r="S172" i="17"/>
  <c r="R172" i="17"/>
  <c r="Q172" i="17"/>
  <c r="BF171" i="17"/>
  <c r="AZ171" i="17"/>
  <c r="AT171" i="17"/>
  <c r="AN171" i="17"/>
  <c r="AH171" i="17"/>
  <c r="T171" i="17"/>
  <c r="S171" i="17"/>
  <c r="R171" i="17"/>
  <c r="Q171" i="17"/>
  <c r="BF170" i="17"/>
  <c r="AZ170" i="17"/>
  <c r="AT170" i="17"/>
  <c r="AN170" i="17"/>
  <c r="AH170" i="17"/>
  <c r="T170" i="17"/>
  <c r="S170" i="17"/>
  <c r="R170" i="17"/>
  <c r="Q170" i="17"/>
  <c r="BF169" i="17"/>
  <c r="AZ169" i="17"/>
  <c r="AT169" i="17"/>
  <c r="AN169" i="17"/>
  <c r="AH169" i="17"/>
  <c r="T169" i="17"/>
  <c r="S169" i="17"/>
  <c r="R169" i="17"/>
  <c r="Q169" i="17"/>
  <c r="P169" i="17"/>
  <c r="BF168" i="17"/>
  <c r="AZ168" i="17"/>
  <c r="AT168" i="17"/>
  <c r="AN168" i="17"/>
  <c r="AH168" i="17"/>
  <c r="P168" i="17" s="1"/>
  <c r="T168" i="17"/>
  <c r="S168" i="17"/>
  <c r="R168" i="17"/>
  <c r="Q168" i="17"/>
  <c r="BF167" i="17"/>
  <c r="AZ167" i="17"/>
  <c r="AT167" i="17"/>
  <c r="AN167" i="17"/>
  <c r="AH167" i="17"/>
  <c r="T167" i="17"/>
  <c r="S167" i="17"/>
  <c r="R167" i="17"/>
  <c r="Q167" i="17"/>
  <c r="BF166" i="17"/>
  <c r="AZ166" i="17"/>
  <c r="AT166" i="17"/>
  <c r="AN166" i="17"/>
  <c r="AH166" i="17"/>
  <c r="T166" i="17"/>
  <c r="S166" i="17"/>
  <c r="R166" i="17"/>
  <c r="Q166" i="17"/>
  <c r="BF165" i="17"/>
  <c r="AZ165" i="17"/>
  <c r="AT165" i="17"/>
  <c r="AN165" i="17"/>
  <c r="AH165" i="17"/>
  <c r="T165" i="17"/>
  <c r="S165" i="17"/>
  <c r="R165" i="17"/>
  <c r="Q165" i="17"/>
  <c r="BF164" i="17"/>
  <c r="AZ164" i="17"/>
  <c r="AT164" i="17"/>
  <c r="AN164" i="17"/>
  <c r="AH164" i="17"/>
  <c r="T164" i="17"/>
  <c r="S164" i="17"/>
  <c r="R164" i="17"/>
  <c r="Q164" i="17"/>
  <c r="BF163" i="17"/>
  <c r="AZ163" i="17"/>
  <c r="AT163" i="17"/>
  <c r="AN163" i="17"/>
  <c r="AH163" i="17"/>
  <c r="T163" i="17"/>
  <c r="S163" i="17"/>
  <c r="R163" i="17"/>
  <c r="Q163" i="17"/>
  <c r="BF162" i="17"/>
  <c r="AZ162" i="17"/>
  <c r="AT162" i="17"/>
  <c r="AN162" i="17"/>
  <c r="AH162" i="17"/>
  <c r="P162" i="17" s="1"/>
  <c r="T162" i="17"/>
  <c r="S162" i="17"/>
  <c r="R162" i="17"/>
  <c r="Q162" i="17"/>
  <c r="BF161" i="17"/>
  <c r="AZ161" i="17"/>
  <c r="AT161" i="17"/>
  <c r="AN161" i="17"/>
  <c r="AH161" i="17"/>
  <c r="T161" i="17"/>
  <c r="S161" i="17"/>
  <c r="R161" i="17"/>
  <c r="Q161" i="17"/>
  <c r="BF160" i="17"/>
  <c r="AZ160" i="17"/>
  <c r="AT160" i="17"/>
  <c r="AN160" i="17"/>
  <c r="AH160" i="17"/>
  <c r="T160" i="17"/>
  <c r="S160" i="17"/>
  <c r="R160" i="17"/>
  <c r="Q160" i="17"/>
  <c r="P160" i="17"/>
  <c r="BF159" i="17"/>
  <c r="AZ159" i="17"/>
  <c r="AT159" i="17"/>
  <c r="AN159" i="17"/>
  <c r="AH159" i="17"/>
  <c r="T159" i="17"/>
  <c r="S159" i="17"/>
  <c r="R159" i="17"/>
  <c r="Q159" i="17"/>
  <c r="BF158" i="17"/>
  <c r="AZ158" i="17"/>
  <c r="AT158" i="17"/>
  <c r="AN158" i="17"/>
  <c r="P158" i="17" s="1"/>
  <c r="AH158" i="17"/>
  <c r="T158" i="17"/>
  <c r="S158" i="17"/>
  <c r="R158" i="17"/>
  <c r="Q158" i="17"/>
  <c r="BF157" i="17"/>
  <c r="AZ157" i="17"/>
  <c r="AT157" i="17"/>
  <c r="AN157" i="17"/>
  <c r="AH157" i="17"/>
  <c r="P157" i="17" s="1"/>
  <c r="T157" i="17"/>
  <c r="S157" i="17"/>
  <c r="R157" i="17"/>
  <c r="Q157" i="17"/>
  <c r="BF156" i="17"/>
  <c r="AZ156" i="17"/>
  <c r="AT156" i="17"/>
  <c r="AN156" i="17"/>
  <c r="AH156" i="17"/>
  <c r="T156" i="17"/>
  <c r="S156" i="17"/>
  <c r="R156" i="17"/>
  <c r="Q156" i="17"/>
  <c r="BF155" i="17"/>
  <c r="AZ155" i="17"/>
  <c r="AT155" i="17"/>
  <c r="AN155" i="17"/>
  <c r="AH155" i="17"/>
  <c r="T155" i="17"/>
  <c r="S155" i="17"/>
  <c r="R155" i="17"/>
  <c r="Q155" i="17"/>
  <c r="BF154" i="17"/>
  <c r="AZ154" i="17"/>
  <c r="AT154" i="17"/>
  <c r="AN154" i="17"/>
  <c r="AH154" i="17"/>
  <c r="T154" i="17"/>
  <c r="S154" i="17"/>
  <c r="R154" i="17"/>
  <c r="Q154" i="17"/>
  <c r="P154" i="17"/>
  <c r="BF153" i="17"/>
  <c r="AZ153" i="17"/>
  <c r="AT153" i="17"/>
  <c r="AN153" i="17"/>
  <c r="AH153" i="17"/>
  <c r="T153" i="17"/>
  <c r="S153" i="17"/>
  <c r="R153" i="17"/>
  <c r="Q153" i="17"/>
  <c r="BF152" i="17"/>
  <c r="AZ152" i="17"/>
  <c r="AT152" i="17"/>
  <c r="AN152" i="17"/>
  <c r="AH152" i="17"/>
  <c r="P152" i="17" s="1"/>
  <c r="T152" i="17"/>
  <c r="S152" i="17"/>
  <c r="R152" i="17"/>
  <c r="Q152" i="17"/>
  <c r="BF151" i="17"/>
  <c r="AZ151" i="17"/>
  <c r="AT151" i="17"/>
  <c r="AN151" i="17"/>
  <c r="AH151" i="17"/>
  <c r="T151" i="17"/>
  <c r="S151" i="17"/>
  <c r="R151" i="17"/>
  <c r="Q151" i="17"/>
  <c r="BF150" i="17"/>
  <c r="AZ150" i="17"/>
  <c r="AT150" i="17"/>
  <c r="AN150" i="17"/>
  <c r="P150" i="17" s="1"/>
  <c r="AH150" i="17"/>
  <c r="T150" i="17"/>
  <c r="S150" i="17"/>
  <c r="R150" i="17"/>
  <c r="Q150" i="17"/>
  <c r="BF149" i="17"/>
  <c r="AZ149" i="17"/>
  <c r="AT149" i="17"/>
  <c r="AN149" i="17"/>
  <c r="AH149" i="17"/>
  <c r="T149" i="17"/>
  <c r="S149" i="17"/>
  <c r="R149" i="17"/>
  <c r="Q149" i="17"/>
  <c r="BF148" i="17"/>
  <c r="AZ148" i="17"/>
  <c r="AT148" i="17"/>
  <c r="AN148" i="17"/>
  <c r="AH148" i="17"/>
  <c r="P148" i="17" s="1"/>
  <c r="T148" i="17"/>
  <c r="S148" i="17"/>
  <c r="R148" i="17"/>
  <c r="Q148" i="17"/>
  <c r="BF147" i="17"/>
  <c r="AZ147" i="17"/>
  <c r="AT147" i="17"/>
  <c r="AN147" i="17"/>
  <c r="AH147" i="17"/>
  <c r="T147" i="17"/>
  <c r="S147" i="17"/>
  <c r="R147" i="17"/>
  <c r="Q147" i="17"/>
  <c r="BF146" i="17"/>
  <c r="AZ146" i="17"/>
  <c r="AT146" i="17"/>
  <c r="AN146" i="17"/>
  <c r="AH146" i="17"/>
  <c r="T146" i="17"/>
  <c r="S146" i="17"/>
  <c r="R146" i="17"/>
  <c r="Q146" i="17"/>
  <c r="BF145" i="17"/>
  <c r="AZ145" i="17"/>
  <c r="AT145" i="17"/>
  <c r="AN145" i="17"/>
  <c r="AH145" i="17"/>
  <c r="T145" i="17"/>
  <c r="S145" i="17"/>
  <c r="R145" i="17"/>
  <c r="Q145" i="17"/>
  <c r="BF144" i="17"/>
  <c r="AZ144" i="17"/>
  <c r="AT144" i="17"/>
  <c r="AN144" i="17"/>
  <c r="AH144" i="17"/>
  <c r="T144" i="17"/>
  <c r="S144" i="17"/>
  <c r="R144" i="17"/>
  <c r="Q144" i="17"/>
  <c r="BF143" i="17"/>
  <c r="AZ143" i="17"/>
  <c r="AT143" i="17"/>
  <c r="AN143" i="17"/>
  <c r="AH143" i="17"/>
  <c r="P143" i="17" s="1"/>
  <c r="T143" i="17"/>
  <c r="S143" i="17"/>
  <c r="R143" i="17"/>
  <c r="Q143" i="17"/>
  <c r="BF142" i="17"/>
  <c r="AZ142" i="17"/>
  <c r="AT142" i="17"/>
  <c r="AN142" i="17"/>
  <c r="AH142" i="17"/>
  <c r="P142" i="17" s="1"/>
  <c r="T142" i="17"/>
  <c r="S142" i="17"/>
  <c r="R142" i="17"/>
  <c r="Q142" i="17"/>
  <c r="BF141" i="17"/>
  <c r="AZ141" i="17"/>
  <c r="AT141" i="17"/>
  <c r="AN141" i="17"/>
  <c r="AH141" i="17"/>
  <c r="T141" i="17"/>
  <c r="S141" i="17"/>
  <c r="R141" i="17"/>
  <c r="Q141" i="17"/>
  <c r="BF140" i="17"/>
  <c r="AZ140" i="17"/>
  <c r="AT140" i="17"/>
  <c r="AN140" i="17"/>
  <c r="AH140" i="17"/>
  <c r="P140" i="17" s="1"/>
  <c r="T140" i="17"/>
  <c r="S140" i="17"/>
  <c r="R140" i="17"/>
  <c r="Q140" i="17"/>
  <c r="BF139" i="17"/>
  <c r="AZ139" i="17"/>
  <c r="AT139" i="17"/>
  <c r="AN139" i="17"/>
  <c r="AH139" i="17"/>
  <c r="T139" i="17"/>
  <c r="S139" i="17"/>
  <c r="R139" i="17"/>
  <c r="Q139" i="17"/>
  <c r="BF138" i="17"/>
  <c r="AZ138" i="17"/>
  <c r="AT138" i="17"/>
  <c r="AN138" i="17"/>
  <c r="AH138" i="17"/>
  <c r="T138" i="17"/>
  <c r="S138" i="17"/>
  <c r="R138" i="17"/>
  <c r="Q138" i="17"/>
  <c r="BF137" i="17"/>
  <c r="AZ137" i="17"/>
  <c r="AT137" i="17"/>
  <c r="AN137" i="17"/>
  <c r="AH137" i="17"/>
  <c r="T137" i="17"/>
  <c r="S137" i="17"/>
  <c r="R137" i="17"/>
  <c r="Q137" i="17"/>
  <c r="BF136" i="17"/>
  <c r="AZ136" i="17"/>
  <c r="AT136" i="17"/>
  <c r="AN136" i="17"/>
  <c r="AH136" i="17"/>
  <c r="T136" i="17"/>
  <c r="S136" i="17"/>
  <c r="R136" i="17"/>
  <c r="Q136" i="17"/>
  <c r="BF135" i="17"/>
  <c r="AZ135" i="17"/>
  <c r="AT135" i="17"/>
  <c r="AN135" i="17"/>
  <c r="AH135" i="17"/>
  <c r="T135" i="17"/>
  <c r="S135" i="17"/>
  <c r="R135" i="17"/>
  <c r="Q135" i="17"/>
  <c r="BF134" i="17"/>
  <c r="AZ134" i="17"/>
  <c r="AT134" i="17"/>
  <c r="AN134" i="17"/>
  <c r="AH134" i="17"/>
  <c r="T134" i="17"/>
  <c r="S134" i="17"/>
  <c r="R134" i="17"/>
  <c r="Q134" i="17"/>
  <c r="BF133" i="17"/>
  <c r="AZ133" i="17"/>
  <c r="AT133" i="17"/>
  <c r="AN133" i="17"/>
  <c r="AH133" i="17"/>
  <c r="T133" i="17"/>
  <c r="S133" i="17"/>
  <c r="R133" i="17"/>
  <c r="Q133" i="17"/>
  <c r="BF132" i="17"/>
  <c r="AZ132" i="17"/>
  <c r="AT132" i="17"/>
  <c r="AN132" i="17"/>
  <c r="AH132" i="17"/>
  <c r="T132" i="17"/>
  <c r="S132" i="17"/>
  <c r="R132" i="17"/>
  <c r="Q132" i="17"/>
  <c r="BF131" i="17"/>
  <c r="AZ131" i="17"/>
  <c r="AT131" i="17"/>
  <c r="AN131" i="17"/>
  <c r="AH131" i="17"/>
  <c r="T131" i="17"/>
  <c r="S131" i="17"/>
  <c r="R131" i="17"/>
  <c r="Q131" i="17"/>
  <c r="BF130" i="17"/>
  <c r="AZ130" i="17"/>
  <c r="AT130" i="17"/>
  <c r="AN130" i="17"/>
  <c r="AH130" i="17"/>
  <c r="T130" i="17"/>
  <c r="S130" i="17"/>
  <c r="R130" i="17"/>
  <c r="Q130" i="17"/>
  <c r="BF129" i="17"/>
  <c r="AZ129" i="17"/>
  <c r="AT129" i="17"/>
  <c r="AN129" i="17"/>
  <c r="AH129" i="17"/>
  <c r="P129" i="17" s="1"/>
  <c r="T129" i="17"/>
  <c r="S129" i="17"/>
  <c r="R129" i="17"/>
  <c r="Q129" i="17"/>
  <c r="BF128" i="17"/>
  <c r="AZ128" i="17"/>
  <c r="AT128" i="17"/>
  <c r="AN128" i="17"/>
  <c r="AH128" i="17"/>
  <c r="T128" i="17"/>
  <c r="S128" i="17"/>
  <c r="R128" i="17"/>
  <c r="Q128" i="17"/>
  <c r="BF127" i="17"/>
  <c r="AZ127" i="17"/>
  <c r="AT127" i="17"/>
  <c r="AN127" i="17"/>
  <c r="AH127" i="17"/>
  <c r="T127" i="17"/>
  <c r="S127" i="17"/>
  <c r="R127" i="17"/>
  <c r="Q127" i="17"/>
  <c r="BF126" i="17"/>
  <c r="AZ126" i="17"/>
  <c r="AT126" i="17"/>
  <c r="AN126" i="17"/>
  <c r="AH126" i="17"/>
  <c r="P126" i="17" s="1"/>
  <c r="T126" i="17"/>
  <c r="S126" i="17"/>
  <c r="R126" i="17"/>
  <c r="Q126" i="17"/>
  <c r="BF125" i="17"/>
  <c r="AZ125" i="17"/>
  <c r="AT125" i="17"/>
  <c r="AN125" i="17"/>
  <c r="AH125" i="17"/>
  <c r="T125" i="17"/>
  <c r="S125" i="17"/>
  <c r="R125" i="17"/>
  <c r="Q125" i="17"/>
  <c r="BF124" i="17"/>
  <c r="AZ124" i="17"/>
  <c r="AT124" i="17"/>
  <c r="AN124" i="17"/>
  <c r="AH124" i="17"/>
  <c r="T124" i="17"/>
  <c r="S124" i="17"/>
  <c r="R124" i="17"/>
  <c r="Q124" i="17"/>
  <c r="BF123" i="17"/>
  <c r="AZ123" i="17"/>
  <c r="AT123" i="17"/>
  <c r="AN123" i="17"/>
  <c r="AH123" i="17"/>
  <c r="T123" i="17"/>
  <c r="S123" i="17"/>
  <c r="R123" i="17"/>
  <c r="Q123" i="17"/>
  <c r="BF122" i="17"/>
  <c r="AZ122" i="17"/>
  <c r="AT122" i="17"/>
  <c r="AN122" i="17"/>
  <c r="AH122" i="17"/>
  <c r="P122" i="17" s="1"/>
  <c r="T122" i="17"/>
  <c r="S122" i="17"/>
  <c r="R122" i="17"/>
  <c r="Q122" i="17"/>
  <c r="BF121" i="17"/>
  <c r="AZ121" i="17"/>
  <c r="AT121" i="17"/>
  <c r="AN121" i="17"/>
  <c r="AH121" i="17"/>
  <c r="T121" i="17"/>
  <c r="S121" i="17"/>
  <c r="R121" i="17"/>
  <c r="Q121" i="17"/>
  <c r="BF120" i="17"/>
  <c r="AZ120" i="17"/>
  <c r="AT120" i="17"/>
  <c r="AN120" i="17"/>
  <c r="AH120" i="17"/>
  <c r="T120" i="17"/>
  <c r="S120" i="17"/>
  <c r="R120" i="17"/>
  <c r="Q120" i="17"/>
  <c r="BF119" i="17"/>
  <c r="AZ119" i="17"/>
  <c r="AT119" i="17"/>
  <c r="AN119" i="17"/>
  <c r="AH119" i="17"/>
  <c r="T119" i="17"/>
  <c r="S119" i="17"/>
  <c r="R119" i="17"/>
  <c r="Q119" i="17"/>
  <c r="P119" i="17"/>
  <c r="BF118" i="17"/>
  <c r="AZ118" i="17"/>
  <c r="AT118" i="17"/>
  <c r="AN118" i="17"/>
  <c r="AH118" i="17"/>
  <c r="T118" i="17"/>
  <c r="S118" i="17"/>
  <c r="R118" i="17"/>
  <c r="Q118" i="17"/>
  <c r="BF117" i="17"/>
  <c r="AZ117" i="17"/>
  <c r="AT117" i="17"/>
  <c r="AN117" i="17"/>
  <c r="AH117" i="17"/>
  <c r="T117" i="17"/>
  <c r="S117" i="17"/>
  <c r="R117" i="17"/>
  <c r="Q117" i="17"/>
  <c r="BF116" i="17"/>
  <c r="AZ116" i="17"/>
  <c r="AT116" i="17"/>
  <c r="AN116" i="17"/>
  <c r="AH116" i="17"/>
  <c r="T116" i="17"/>
  <c r="S116" i="17"/>
  <c r="R116" i="17"/>
  <c r="Q116" i="17"/>
  <c r="BF115" i="17"/>
  <c r="AZ115" i="17"/>
  <c r="AT115" i="17"/>
  <c r="AN115" i="17"/>
  <c r="AH115" i="17"/>
  <c r="T115" i="17"/>
  <c r="S115" i="17"/>
  <c r="R115" i="17"/>
  <c r="Q115" i="17"/>
  <c r="BF114" i="17"/>
  <c r="AZ114" i="17"/>
  <c r="AT114" i="17"/>
  <c r="AN114" i="17"/>
  <c r="AH114" i="17"/>
  <c r="T114" i="17"/>
  <c r="S114" i="17"/>
  <c r="R114" i="17"/>
  <c r="Q114" i="17"/>
  <c r="BF113" i="17"/>
  <c r="AZ113" i="17"/>
  <c r="AT113" i="17"/>
  <c r="P113" i="17" s="1"/>
  <c r="AN113" i="17"/>
  <c r="AH113" i="17"/>
  <c r="T113" i="17"/>
  <c r="S113" i="17"/>
  <c r="R113" i="17"/>
  <c r="Q113" i="17"/>
  <c r="BF112" i="17"/>
  <c r="AZ112" i="17"/>
  <c r="AT112" i="17"/>
  <c r="AN112" i="17"/>
  <c r="AH112" i="17"/>
  <c r="T112" i="17"/>
  <c r="S112" i="17"/>
  <c r="R112" i="17"/>
  <c r="Q112" i="17"/>
  <c r="BF111" i="17"/>
  <c r="AZ111" i="17"/>
  <c r="AT111" i="17"/>
  <c r="AN111" i="17"/>
  <c r="AH111" i="17"/>
  <c r="P111" i="17" s="1"/>
  <c r="T111" i="17"/>
  <c r="S111" i="17"/>
  <c r="R111" i="17"/>
  <c r="Q111" i="17"/>
  <c r="BF110" i="17"/>
  <c r="AZ110" i="17"/>
  <c r="AT110" i="17"/>
  <c r="AN110" i="17"/>
  <c r="AH110" i="17"/>
  <c r="T110" i="17"/>
  <c r="S110" i="17"/>
  <c r="R110" i="17"/>
  <c r="Q110" i="17"/>
  <c r="BF109" i="17"/>
  <c r="AZ109" i="17"/>
  <c r="AT109" i="17"/>
  <c r="P109" i="17" s="1"/>
  <c r="AN109" i="17"/>
  <c r="AH109" i="17"/>
  <c r="T109" i="17"/>
  <c r="S109" i="17"/>
  <c r="R109" i="17"/>
  <c r="Q109" i="17"/>
  <c r="BF108" i="17"/>
  <c r="AZ108" i="17"/>
  <c r="AT108" i="17"/>
  <c r="AN108" i="17"/>
  <c r="P108" i="17" s="1"/>
  <c r="AH108" i="17"/>
  <c r="T108" i="17"/>
  <c r="R108" i="17"/>
  <c r="Q108" i="17"/>
  <c r="BF107" i="17"/>
  <c r="AZ107" i="17"/>
  <c r="AT107" i="17"/>
  <c r="AN107" i="17"/>
  <c r="AH107" i="17"/>
  <c r="T107" i="17"/>
  <c r="R107" i="17"/>
  <c r="Q107" i="17"/>
  <c r="BF106" i="17"/>
  <c r="AZ106" i="17"/>
  <c r="AT106" i="17"/>
  <c r="AN106" i="17"/>
  <c r="AH106" i="17"/>
  <c r="T106" i="17"/>
  <c r="R106" i="17"/>
  <c r="Q106" i="17"/>
  <c r="BF105" i="17"/>
  <c r="AZ105" i="17"/>
  <c r="AT105" i="17"/>
  <c r="AN105" i="17"/>
  <c r="AH105" i="17"/>
  <c r="T105" i="17"/>
  <c r="R105" i="17"/>
  <c r="Q105" i="17"/>
  <c r="BF104" i="17"/>
  <c r="AZ104" i="17"/>
  <c r="AT104" i="17"/>
  <c r="AN104" i="17"/>
  <c r="AH104" i="17"/>
  <c r="T104" i="17"/>
  <c r="R104" i="17"/>
  <c r="Q104" i="17"/>
  <c r="P104" i="17"/>
  <c r="BF103" i="17"/>
  <c r="AZ103" i="17"/>
  <c r="AT103" i="17"/>
  <c r="AN103" i="17"/>
  <c r="P103" i="17" s="1"/>
  <c r="AH103" i="17"/>
  <c r="T103" i="17"/>
  <c r="R103" i="17"/>
  <c r="Q103" i="17"/>
  <c r="BF102" i="17"/>
  <c r="AZ102" i="17"/>
  <c r="AT102" i="17"/>
  <c r="AN102" i="17"/>
  <c r="P102" i="17" s="1"/>
  <c r="AH102" i="17"/>
  <c r="T102" i="17"/>
  <c r="R102" i="17"/>
  <c r="Q102" i="17"/>
  <c r="BF101" i="17"/>
  <c r="AZ101" i="17"/>
  <c r="AT101" i="17"/>
  <c r="AN101" i="17"/>
  <c r="AH101" i="17"/>
  <c r="T101" i="17"/>
  <c r="R101" i="17"/>
  <c r="Q101" i="17"/>
  <c r="BF100" i="17"/>
  <c r="AZ100" i="17"/>
  <c r="AT100" i="17"/>
  <c r="AN100" i="17"/>
  <c r="P100" i="17" s="1"/>
  <c r="AH100" i="17"/>
  <c r="T100" i="17"/>
  <c r="R100" i="17"/>
  <c r="Q100" i="17"/>
  <c r="BF99" i="17"/>
  <c r="AZ99" i="17"/>
  <c r="P99" i="17" s="1"/>
  <c r="AT99" i="17"/>
  <c r="AN99" i="17"/>
  <c r="AH99" i="17"/>
  <c r="T99" i="17"/>
  <c r="R99" i="17"/>
  <c r="Q99" i="17"/>
  <c r="BF98" i="17"/>
  <c r="AZ98" i="17"/>
  <c r="AT98" i="17"/>
  <c r="AN98" i="17"/>
  <c r="AH98" i="17"/>
  <c r="T98" i="17"/>
  <c r="R98" i="17"/>
  <c r="Q98" i="17"/>
  <c r="BF97" i="17"/>
  <c r="AZ97" i="17"/>
  <c r="AT97" i="17"/>
  <c r="AN97" i="17"/>
  <c r="AH97" i="17"/>
  <c r="T97" i="17"/>
  <c r="R97" i="17"/>
  <c r="Q97" i="17"/>
  <c r="BF96" i="17"/>
  <c r="AZ96" i="17"/>
  <c r="AT96" i="17"/>
  <c r="AN96" i="17"/>
  <c r="AH96" i="17"/>
  <c r="T96" i="17"/>
  <c r="R96" i="17"/>
  <c r="Q96" i="17"/>
  <c r="BF95" i="17"/>
  <c r="AZ95" i="17"/>
  <c r="AT95" i="17"/>
  <c r="AN95" i="17"/>
  <c r="AH95" i="17"/>
  <c r="T95" i="17"/>
  <c r="R95" i="17"/>
  <c r="Q95" i="17"/>
  <c r="P95" i="17"/>
  <c r="BF94" i="17"/>
  <c r="AZ94" i="17"/>
  <c r="AT94" i="17"/>
  <c r="AN94" i="17"/>
  <c r="P94" i="17" s="1"/>
  <c r="AH94" i="17"/>
  <c r="T94" i="17"/>
  <c r="R94" i="17"/>
  <c r="Q94" i="17"/>
  <c r="BF93" i="17"/>
  <c r="AZ93" i="17"/>
  <c r="AT93" i="17"/>
  <c r="AN93" i="17"/>
  <c r="P93" i="17" s="1"/>
  <c r="AH93" i="17"/>
  <c r="T93" i="17"/>
  <c r="R93" i="17"/>
  <c r="Q93" i="17"/>
  <c r="BF92" i="17"/>
  <c r="AZ92" i="17"/>
  <c r="AT92" i="17"/>
  <c r="AN92" i="17"/>
  <c r="AH92" i="17"/>
  <c r="T92" i="17"/>
  <c r="R92" i="17"/>
  <c r="Q92" i="17"/>
  <c r="BF91" i="17"/>
  <c r="AZ91" i="17"/>
  <c r="AT91" i="17"/>
  <c r="AN91" i="17"/>
  <c r="P91" i="17" s="1"/>
  <c r="AH91" i="17"/>
  <c r="T91" i="17"/>
  <c r="R91" i="17"/>
  <c r="Q91" i="17"/>
  <c r="BF90" i="17"/>
  <c r="AZ90" i="17"/>
  <c r="AT90" i="17"/>
  <c r="AN90" i="17"/>
  <c r="AH90" i="17"/>
  <c r="T90" i="17"/>
  <c r="R90" i="17"/>
  <c r="Q90" i="17"/>
  <c r="BF89" i="17"/>
  <c r="AZ89" i="17"/>
  <c r="AT89" i="17"/>
  <c r="AN89" i="17"/>
  <c r="AH89" i="17"/>
  <c r="T89" i="17"/>
  <c r="R89" i="17"/>
  <c r="Q89" i="17"/>
  <c r="BF88" i="17"/>
  <c r="AZ88" i="17"/>
  <c r="AT88" i="17"/>
  <c r="AN88" i="17"/>
  <c r="AH88" i="17"/>
  <c r="T88" i="17"/>
  <c r="R88" i="17"/>
  <c r="Q88" i="17"/>
  <c r="P88" i="17"/>
  <c r="BF87" i="17"/>
  <c r="AZ87" i="17"/>
  <c r="AT87" i="17"/>
  <c r="AN87" i="17"/>
  <c r="P87" i="17" s="1"/>
  <c r="AH87" i="17"/>
  <c r="T87" i="17"/>
  <c r="R87" i="17"/>
  <c r="Q87" i="17"/>
  <c r="BF86" i="17"/>
  <c r="AZ86" i="17"/>
  <c r="AT86" i="17"/>
  <c r="AN86" i="17"/>
  <c r="AH86" i="17"/>
  <c r="T86" i="17"/>
  <c r="R86" i="17"/>
  <c r="Q86" i="17"/>
  <c r="BF85" i="17"/>
  <c r="AZ85" i="17"/>
  <c r="AT85" i="17"/>
  <c r="AN85" i="17"/>
  <c r="P85" i="17" s="1"/>
  <c r="AH85" i="17"/>
  <c r="T85" i="17"/>
  <c r="R85" i="17"/>
  <c r="Q85" i="17"/>
  <c r="BF84" i="17"/>
  <c r="AZ84" i="17"/>
  <c r="AT84" i="17"/>
  <c r="AN84" i="17"/>
  <c r="AH84" i="17"/>
  <c r="T84" i="17"/>
  <c r="R84" i="17"/>
  <c r="Q84" i="17"/>
  <c r="BF83" i="17"/>
  <c r="AZ83" i="17"/>
  <c r="AT83" i="17"/>
  <c r="AN83" i="17"/>
  <c r="P83" i="17" s="1"/>
  <c r="AH83" i="17"/>
  <c r="T83" i="17"/>
  <c r="R83" i="17"/>
  <c r="Q83" i="17"/>
  <c r="BF82" i="17"/>
  <c r="AZ82" i="17"/>
  <c r="AT82" i="17"/>
  <c r="AN82" i="17"/>
  <c r="AH82" i="17"/>
  <c r="T82" i="17"/>
  <c r="R82" i="17"/>
  <c r="Q82" i="17"/>
  <c r="BF81" i="17"/>
  <c r="AZ81" i="17"/>
  <c r="AT81" i="17"/>
  <c r="AN81" i="17"/>
  <c r="AH81" i="17"/>
  <c r="T81" i="17"/>
  <c r="R81" i="17"/>
  <c r="Q81" i="17"/>
  <c r="BF80" i="17"/>
  <c r="AZ80" i="17"/>
  <c r="AT80" i="17"/>
  <c r="P80" i="17" s="1"/>
  <c r="AN80" i="17"/>
  <c r="AH80" i="17"/>
  <c r="T80" i="17"/>
  <c r="R80" i="17"/>
  <c r="Q80" i="17"/>
  <c r="BF79" i="17"/>
  <c r="AZ79" i="17"/>
  <c r="AT79" i="17"/>
  <c r="P79" i="17" s="1"/>
  <c r="AN79" i="17"/>
  <c r="AH79" i="17"/>
  <c r="T79" i="17"/>
  <c r="R79" i="17"/>
  <c r="Q79" i="17"/>
  <c r="BF78" i="17"/>
  <c r="AZ78" i="17"/>
  <c r="AT78" i="17"/>
  <c r="AN78" i="17"/>
  <c r="AH78" i="17"/>
  <c r="T78" i="17"/>
  <c r="R78" i="17"/>
  <c r="Q78" i="17"/>
  <c r="BF77" i="17"/>
  <c r="AZ77" i="17"/>
  <c r="AT77" i="17"/>
  <c r="AN77" i="17"/>
  <c r="AH77" i="17"/>
  <c r="T77" i="17"/>
  <c r="R77" i="17"/>
  <c r="Q77" i="17"/>
  <c r="BF76" i="17"/>
  <c r="AZ76" i="17"/>
  <c r="AT76" i="17"/>
  <c r="AN76" i="17"/>
  <c r="AH76" i="17"/>
  <c r="T76" i="17"/>
  <c r="R76" i="17"/>
  <c r="Q76" i="17"/>
  <c r="BF75" i="17"/>
  <c r="AZ75" i="17"/>
  <c r="AT75" i="17"/>
  <c r="AN75" i="17"/>
  <c r="AH75" i="17"/>
  <c r="T75" i="17"/>
  <c r="R75" i="17"/>
  <c r="Q75" i="17"/>
  <c r="BF74" i="17"/>
  <c r="AZ74" i="17"/>
  <c r="AT74" i="17"/>
  <c r="AN74" i="17"/>
  <c r="AH74" i="17"/>
  <c r="T74" i="17"/>
  <c r="R74" i="17"/>
  <c r="Q74" i="17"/>
  <c r="BF73" i="17"/>
  <c r="AZ73" i="17"/>
  <c r="AT73" i="17"/>
  <c r="AN73" i="17"/>
  <c r="AH73" i="17"/>
  <c r="T73" i="17"/>
  <c r="R73" i="17"/>
  <c r="Q73" i="17"/>
  <c r="BF72" i="17"/>
  <c r="AZ72" i="17"/>
  <c r="AT72" i="17"/>
  <c r="AN72" i="17"/>
  <c r="AH72" i="17"/>
  <c r="T72" i="17"/>
  <c r="R72" i="17"/>
  <c r="Q72" i="17"/>
  <c r="BF71" i="17"/>
  <c r="AZ71" i="17"/>
  <c r="AT71" i="17"/>
  <c r="AN71" i="17"/>
  <c r="AH71" i="17"/>
  <c r="T71" i="17"/>
  <c r="R71" i="17"/>
  <c r="Q71" i="17"/>
  <c r="BF70" i="17"/>
  <c r="AZ70" i="17"/>
  <c r="AT70" i="17"/>
  <c r="AN70" i="17"/>
  <c r="AH70" i="17"/>
  <c r="T70" i="17"/>
  <c r="R70" i="17"/>
  <c r="Q70" i="17"/>
  <c r="BF69" i="17"/>
  <c r="AZ69" i="17"/>
  <c r="AT69" i="17"/>
  <c r="AN69" i="17"/>
  <c r="AH69" i="17"/>
  <c r="T69" i="17"/>
  <c r="R69" i="17"/>
  <c r="Q69" i="17"/>
  <c r="BF68" i="17"/>
  <c r="AZ68" i="17"/>
  <c r="AT68" i="17"/>
  <c r="AN68" i="17"/>
  <c r="AH68" i="17"/>
  <c r="T68" i="17"/>
  <c r="R68" i="17"/>
  <c r="Q68" i="17"/>
  <c r="BF67" i="17"/>
  <c r="AZ67" i="17"/>
  <c r="AT67" i="17"/>
  <c r="AN67" i="17"/>
  <c r="AH67" i="17"/>
  <c r="T67" i="17"/>
  <c r="R67" i="17"/>
  <c r="Q67" i="17"/>
  <c r="BF66" i="17"/>
  <c r="AZ66" i="17"/>
  <c r="P66" i="17" s="1"/>
  <c r="AT66" i="17"/>
  <c r="AN66" i="17"/>
  <c r="AH66" i="17"/>
  <c r="T66" i="17"/>
  <c r="R66" i="17"/>
  <c r="Q66" i="17"/>
  <c r="BF65" i="17"/>
  <c r="AZ65" i="17"/>
  <c r="AT65" i="17"/>
  <c r="AN65" i="17"/>
  <c r="P65" i="17" s="1"/>
  <c r="AH65" i="17"/>
  <c r="T65" i="17"/>
  <c r="R65" i="17"/>
  <c r="Q65" i="17"/>
  <c r="BF64" i="17"/>
  <c r="AZ64" i="17"/>
  <c r="AT64" i="17"/>
  <c r="AN64" i="17"/>
  <c r="AH64" i="17"/>
  <c r="T64" i="17"/>
  <c r="R64" i="17"/>
  <c r="Q64" i="17"/>
  <c r="P64" i="17"/>
  <c r="BF63" i="17"/>
  <c r="AZ63" i="17"/>
  <c r="AT63" i="17"/>
  <c r="AN63" i="17"/>
  <c r="P63" i="17" s="1"/>
  <c r="AH63" i="17"/>
  <c r="T63" i="17"/>
  <c r="R63" i="17"/>
  <c r="Q63" i="17"/>
  <c r="BF62" i="17"/>
  <c r="AZ62" i="17"/>
  <c r="AT62" i="17"/>
  <c r="AN62" i="17"/>
  <c r="AH62" i="17"/>
  <c r="T62" i="17"/>
  <c r="R62" i="17"/>
  <c r="Q62" i="17"/>
  <c r="BF61" i="17"/>
  <c r="AZ61" i="17"/>
  <c r="AT61" i="17"/>
  <c r="AN61" i="17"/>
  <c r="AH61" i="17"/>
  <c r="T61" i="17"/>
  <c r="R61" i="17"/>
  <c r="Q61" i="17"/>
  <c r="BF60" i="17"/>
  <c r="AZ60" i="17"/>
  <c r="AT60" i="17"/>
  <c r="AN60" i="17"/>
  <c r="AH60" i="17"/>
  <c r="T60" i="17"/>
  <c r="R60" i="17"/>
  <c r="Q60" i="17"/>
  <c r="BF59" i="17"/>
  <c r="AZ59" i="17"/>
  <c r="AT59" i="17"/>
  <c r="P59" i="17" s="1"/>
  <c r="AN59" i="17"/>
  <c r="AH59" i="17"/>
  <c r="T59" i="17"/>
  <c r="R59" i="17"/>
  <c r="Q59" i="17"/>
  <c r="BF58" i="17"/>
  <c r="AZ58" i="17"/>
  <c r="AT58" i="17"/>
  <c r="AN58" i="17"/>
  <c r="AH58" i="17"/>
  <c r="T58" i="17"/>
  <c r="R58" i="17"/>
  <c r="Q58" i="17"/>
  <c r="BF57" i="17"/>
  <c r="AZ57" i="17"/>
  <c r="AT57" i="17"/>
  <c r="AN57" i="17"/>
  <c r="AH57" i="17"/>
  <c r="T57" i="17"/>
  <c r="R57" i="17"/>
  <c r="Q57" i="17"/>
  <c r="BF56" i="17"/>
  <c r="AZ56" i="17"/>
  <c r="AT56" i="17"/>
  <c r="P56" i="17" s="1"/>
  <c r="AN56" i="17"/>
  <c r="AH56" i="17"/>
  <c r="T56" i="17"/>
  <c r="R56" i="17"/>
  <c r="Q56" i="17"/>
  <c r="BF55" i="17"/>
  <c r="AZ55" i="17"/>
  <c r="AT55" i="17"/>
  <c r="P55" i="17" s="1"/>
  <c r="AN55" i="17"/>
  <c r="AH55" i="17"/>
  <c r="T55" i="17"/>
  <c r="R55" i="17"/>
  <c r="Q55" i="17"/>
  <c r="BF54" i="17"/>
  <c r="AZ54" i="17"/>
  <c r="AT54" i="17"/>
  <c r="P54" i="17" s="1"/>
  <c r="AN54" i="17"/>
  <c r="AH54" i="17"/>
  <c r="T54" i="17"/>
  <c r="R54" i="17"/>
  <c r="Q54" i="17"/>
  <c r="BF53" i="17"/>
  <c r="AZ53" i="17"/>
  <c r="AT53" i="17"/>
  <c r="AN53" i="17"/>
  <c r="AH53" i="17"/>
  <c r="T53" i="17"/>
  <c r="R53" i="17"/>
  <c r="Q53" i="17"/>
  <c r="BF52" i="17"/>
  <c r="AZ52" i="17"/>
  <c r="AT52" i="17"/>
  <c r="AN52" i="17"/>
  <c r="AH52" i="17"/>
  <c r="T52" i="17"/>
  <c r="R52" i="17"/>
  <c r="Q52" i="17"/>
  <c r="BF51" i="17"/>
  <c r="AZ51" i="17"/>
  <c r="AT51" i="17"/>
  <c r="AN51" i="17"/>
  <c r="AH51" i="17"/>
  <c r="T51" i="17"/>
  <c r="R51" i="17"/>
  <c r="Q51" i="17"/>
  <c r="BF50" i="17"/>
  <c r="AZ50" i="17"/>
  <c r="AT50" i="17"/>
  <c r="P50" i="17" s="1"/>
  <c r="AN50" i="17"/>
  <c r="AH50" i="17"/>
  <c r="T50" i="17"/>
  <c r="R50" i="17"/>
  <c r="Q50" i="17"/>
  <c r="BF49" i="17"/>
  <c r="AZ49" i="17"/>
  <c r="AT49" i="17"/>
  <c r="AN49" i="17"/>
  <c r="AH49" i="17"/>
  <c r="T49" i="17"/>
  <c r="R49" i="17"/>
  <c r="Q49" i="17"/>
  <c r="BF48" i="17"/>
  <c r="AZ48" i="17"/>
  <c r="AT48" i="17"/>
  <c r="AN48" i="17"/>
  <c r="AH48" i="17"/>
  <c r="T48" i="17"/>
  <c r="R48" i="17"/>
  <c r="Q48" i="17"/>
  <c r="BF47" i="17"/>
  <c r="AZ47" i="17"/>
  <c r="AT47" i="17"/>
  <c r="AN47" i="17"/>
  <c r="AH47" i="17"/>
  <c r="T47" i="17"/>
  <c r="R47" i="17"/>
  <c r="Q47" i="17"/>
  <c r="BF46" i="17"/>
  <c r="AZ46" i="17"/>
  <c r="AT46" i="17"/>
  <c r="AN46" i="17"/>
  <c r="AH46" i="17"/>
  <c r="T46" i="17"/>
  <c r="R46" i="17"/>
  <c r="Q46" i="17"/>
  <c r="BF45" i="17"/>
  <c r="AZ45" i="17"/>
  <c r="AT45" i="17"/>
  <c r="AN45" i="17"/>
  <c r="P45" i="17" s="1"/>
  <c r="AH45" i="17"/>
  <c r="T45" i="17"/>
  <c r="R45" i="17"/>
  <c r="Q45" i="17"/>
  <c r="BF44" i="17"/>
  <c r="AZ44" i="17"/>
  <c r="AT44" i="17"/>
  <c r="AN44" i="17"/>
  <c r="AH44" i="17"/>
  <c r="T44" i="17"/>
  <c r="R44" i="17"/>
  <c r="Q44" i="17"/>
  <c r="P44" i="17"/>
  <c r="BF43" i="17"/>
  <c r="AZ43" i="17"/>
  <c r="AT43" i="17"/>
  <c r="AN43" i="17"/>
  <c r="P43" i="17" s="1"/>
  <c r="AH43" i="17"/>
  <c r="T43" i="17"/>
  <c r="R43" i="17"/>
  <c r="Q43" i="17"/>
  <c r="BF42" i="17"/>
  <c r="AZ42" i="17"/>
  <c r="AT42" i="17"/>
  <c r="AN42" i="17"/>
  <c r="AH42" i="17"/>
  <c r="T42" i="17"/>
  <c r="R42" i="17"/>
  <c r="Q42" i="17"/>
  <c r="BF41" i="17"/>
  <c r="AT41" i="17"/>
  <c r="AN41" i="17"/>
  <c r="AH41" i="17"/>
  <c r="T41" i="17"/>
  <c r="R41" i="17"/>
  <c r="Q41" i="17"/>
  <c r="BF40" i="17"/>
  <c r="AZ40" i="17"/>
  <c r="AT40" i="17"/>
  <c r="AN40" i="17"/>
  <c r="AH40" i="17"/>
  <c r="T40" i="17"/>
  <c r="R40" i="17"/>
  <c r="Q40" i="17"/>
  <c r="BF39" i="17"/>
  <c r="AZ39" i="17"/>
  <c r="AT39" i="17"/>
  <c r="AN39" i="17"/>
  <c r="AH39" i="17"/>
  <c r="T39" i="17"/>
  <c r="R39" i="17"/>
  <c r="Q39" i="17"/>
  <c r="BF38" i="17"/>
  <c r="AZ38" i="17"/>
  <c r="AT38" i="17"/>
  <c r="AN38" i="17"/>
  <c r="AH38" i="17"/>
  <c r="T38" i="17"/>
  <c r="R38" i="17"/>
  <c r="Q38" i="17"/>
  <c r="BF37" i="17"/>
  <c r="AZ37" i="17"/>
  <c r="AT37" i="17"/>
  <c r="AN37" i="17"/>
  <c r="AH37" i="17"/>
  <c r="T37" i="17"/>
  <c r="R37" i="17"/>
  <c r="Q37" i="17"/>
  <c r="BF36" i="17"/>
  <c r="AZ36" i="17"/>
  <c r="AT36" i="17"/>
  <c r="AN36" i="17"/>
  <c r="AH36" i="17"/>
  <c r="T36" i="17"/>
  <c r="R36" i="17"/>
  <c r="Q36" i="17"/>
  <c r="BF35" i="17"/>
  <c r="AZ35" i="17"/>
  <c r="AT35" i="17"/>
  <c r="AN35" i="17"/>
  <c r="AH35" i="17"/>
  <c r="T35" i="17"/>
  <c r="R35" i="17"/>
  <c r="Q35" i="17"/>
  <c r="BF34" i="17"/>
  <c r="AZ34" i="17"/>
  <c r="AT34" i="17"/>
  <c r="AN34" i="17"/>
  <c r="AH34" i="17"/>
  <c r="T34" i="17"/>
  <c r="R34" i="17"/>
  <c r="Q34" i="17"/>
  <c r="BF33" i="17"/>
  <c r="AZ33" i="17"/>
  <c r="AT33" i="17"/>
  <c r="AN33" i="17"/>
  <c r="AH33" i="17"/>
  <c r="T33" i="17"/>
  <c r="R33" i="17"/>
  <c r="Q33" i="17"/>
  <c r="BF32" i="17"/>
  <c r="AZ32" i="17"/>
  <c r="AT32" i="17"/>
  <c r="AN32" i="17"/>
  <c r="AH32" i="17"/>
  <c r="T32" i="17"/>
  <c r="R32" i="17"/>
  <c r="Q32" i="17"/>
  <c r="BF31" i="17"/>
  <c r="AZ31" i="17"/>
  <c r="AT31" i="17"/>
  <c r="AN31" i="17"/>
  <c r="AH31" i="17"/>
  <c r="T31" i="17"/>
  <c r="R31" i="17"/>
  <c r="Q31" i="17"/>
  <c r="BF30" i="17"/>
  <c r="AZ30" i="17"/>
  <c r="AT30" i="17"/>
  <c r="AN30" i="17"/>
  <c r="AH30" i="17"/>
  <c r="T30" i="17"/>
  <c r="R30" i="17"/>
  <c r="Q30" i="17"/>
  <c r="BF29" i="17"/>
  <c r="AZ29" i="17"/>
  <c r="AT29" i="17"/>
  <c r="AN29" i="17"/>
  <c r="AH29" i="17"/>
  <c r="T29" i="17"/>
  <c r="R29" i="17"/>
  <c r="Q29" i="17"/>
  <c r="P29" i="17"/>
  <c r="BF28" i="17"/>
  <c r="AZ28" i="17"/>
  <c r="AT28" i="17"/>
  <c r="AN28" i="17"/>
  <c r="P28" i="17" s="1"/>
  <c r="AH28" i="17"/>
  <c r="T28" i="17"/>
  <c r="R28" i="17"/>
  <c r="Q28" i="17"/>
  <c r="BF27" i="17"/>
  <c r="AZ27" i="17"/>
  <c r="AT27" i="17"/>
  <c r="AN27" i="17"/>
  <c r="AH27" i="17"/>
  <c r="T27" i="17"/>
  <c r="R27" i="17"/>
  <c r="Q27" i="17"/>
  <c r="BF26" i="17"/>
  <c r="AZ26" i="17"/>
  <c r="AT26" i="17"/>
  <c r="AN26" i="17"/>
  <c r="P26" i="17" s="1"/>
  <c r="AH26" i="17"/>
  <c r="T26" i="17"/>
  <c r="R26" i="17"/>
  <c r="Q26" i="17"/>
  <c r="BF25" i="17"/>
  <c r="AZ25" i="17"/>
  <c r="AT25" i="17"/>
  <c r="AN25" i="17"/>
  <c r="P25" i="17" s="1"/>
  <c r="AH25" i="17"/>
  <c r="T25" i="17"/>
  <c r="R25" i="17"/>
  <c r="Q25" i="17"/>
  <c r="BF24" i="17"/>
  <c r="AZ24" i="17"/>
  <c r="AT24" i="17"/>
  <c r="AN24" i="17"/>
  <c r="AH24" i="17"/>
  <c r="T24" i="17"/>
  <c r="R24" i="17"/>
  <c r="Q24" i="17"/>
  <c r="BF23" i="17"/>
  <c r="AZ23" i="17"/>
  <c r="AT23" i="17"/>
  <c r="P23" i="17" s="1"/>
  <c r="AN23" i="17"/>
  <c r="AH23" i="17"/>
  <c r="T23" i="17"/>
  <c r="R23" i="17"/>
  <c r="Q23" i="17"/>
  <c r="BF22" i="17"/>
  <c r="AZ22" i="17"/>
  <c r="AT22" i="17"/>
  <c r="AN22" i="17"/>
  <c r="AH22" i="17"/>
  <c r="T22" i="17"/>
  <c r="R22" i="17"/>
  <c r="Q22" i="17"/>
  <c r="BF21" i="17"/>
  <c r="AZ21" i="17"/>
  <c r="AT21" i="17"/>
  <c r="P21" i="17" s="1"/>
  <c r="AN21" i="17"/>
  <c r="AH21" i="17"/>
  <c r="T21" i="17"/>
  <c r="R21" i="17"/>
  <c r="Q21" i="17"/>
  <c r="BF20" i="17"/>
  <c r="AZ20" i="17"/>
  <c r="AT20" i="17"/>
  <c r="AN20" i="17"/>
  <c r="AH20" i="17"/>
  <c r="T20" i="17"/>
  <c r="R20" i="17"/>
  <c r="Q20" i="17"/>
  <c r="BF19" i="17"/>
  <c r="AZ19" i="17"/>
  <c r="AT19" i="17"/>
  <c r="AN19" i="17"/>
  <c r="AH19" i="17"/>
  <c r="T19" i="17"/>
  <c r="R19" i="17"/>
  <c r="Q19" i="17"/>
  <c r="BF18" i="17"/>
  <c r="AZ18" i="17"/>
  <c r="AT18" i="17"/>
  <c r="AN18" i="17"/>
  <c r="AH18" i="17"/>
  <c r="T18" i="17"/>
  <c r="R18" i="17"/>
  <c r="Q18" i="17"/>
  <c r="BF17" i="17"/>
  <c r="AZ17" i="17"/>
  <c r="AT17" i="17"/>
  <c r="AN17" i="17"/>
  <c r="P17" i="17" s="1"/>
  <c r="AH17" i="17"/>
  <c r="T17" i="17"/>
  <c r="R17" i="17"/>
  <c r="Q17" i="17"/>
  <c r="BF16" i="17"/>
  <c r="AZ16" i="17"/>
  <c r="AT16" i="17"/>
  <c r="AN16" i="17"/>
  <c r="AH16" i="17"/>
  <c r="T16" i="17"/>
  <c r="R16" i="17"/>
  <c r="Q16" i="17"/>
  <c r="BF15" i="17"/>
  <c r="AZ15" i="17"/>
  <c r="AT15" i="17"/>
  <c r="AN15" i="17"/>
  <c r="AH15" i="17"/>
  <c r="T15" i="17"/>
  <c r="R15" i="17"/>
  <c r="Q15" i="17"/>
  <c r="BF14" i="17"/>
  <c r="AZ14" i="17"/>
  <c r="AT14" i="17"/>
  <c r="AN14" i="17"/>
  <c r="AH14" i="17"/>
  <c r="T14" i="17"/>
  <c r="R14" i="17"/>
  <c r="Q14" i="17"/>
  <c r="BF13" i="17"/>
  <c r="AZ13" i="17"/>
  <c r="AT13" i="17"/>
  <c r="AN13" i="17"/>
  <c r="AH13" i="17"/>
  <c r="T13" i="17"/>
  <c r="R13" i="17"/>
  <c r="Q13" i="17"/>
  <c r="P13" i="17"/>
  <c r="BF12" i="17"/>
  <c r="AZ12" i="17"/>
  <c r="AT12" i="17"/>
  <c r="AN12" i="17"/>
  <c r="P12" i="17" s="1"/>
  <c r="AH12" i="17"/>
  <c r="T12" i="17"/>
  <c r="R12" i="17"/>
  <c r="Q12" i="17"/>
  <c r="BF11" i="17"/>
  <c r="AZ11" i="17"/>
  <c r="AT11" i="17"/>
  <c r="AN11" i="17"/>
  <c r="P11" i="17" s="1"/>
  <c r="AH11" i="17"/>
  <c r="T11" i="17"/>
  <c r="R11" i="17"/>
  <c r="Q11" i="17"/>
  <c r="BF10" i="17"/>
  <c r="AZ10" i="17"/>
  <c r="AT10" i="17"/>
  <c r="AN10" i="17"/>
  <c r="P10" i="17" s="1"/>
  <c r="AH10" i="17"/>
  <c r="T10" i="17"/>
  <c r="R10" i="17"/>
  <c r="Q10" i="17"/>
  <c r="BF9" i="17"/>
  <c r="AZ9" i="17"/>
  <c r="AT9" i="17"/>
  <c r="AN9" i="17"/>
  <c r="P9" i="17" s="1"/>
  <c r="AH9" i="17"/>
  <c r="T9" i="17"/>
  <c r="R9" i="17"/>
  <c r="Q9" i="17"/>
  <c r="BF8" i="17"/>
  <c r="AZ8" i="17"/>
  <c r="AT8" i="17"/>
  <c r="AN8" i="17"/>
  <c r="P8" i="17" s="1"/>
  <c r="AH8" i="17"/>
  <c r="T8" i="17"/>
  <c r="R8" i="17"/>
  <c r="Q8" i="17"/>
  <c r="BF7" i="17"/>
  <c r="AZ7" i="17"/>
  <c r="AT7" i="17"/>
  <c r="AN7" i="17"/>
  <c r="P7" i="17" s="1"/>
  <c r="AH7" i="17"/>
  <c r="T7" i="17"/>
  <c r="R7" i="17"/>
  <c r="Q7" i="17"/>
  <c r="BF6" i="17"/>
  <c r="AZ6" i="17"/>
  <c r="AT6" i="17"/>
  <c r="AN6" i="17"/>
  <c r="AH6" i="17"/>
  <c r="T6" i="17"/>
  <c r="R6" i="17"/>
  <c r="Q6" i="17"/>
  <c r="BF5" i="17"/>
  <c r="AZ5" i="17"/>
  <c r="AT5" i="17"/>
  <c r="P5" i="17" s="1"/>
  <c r="AN5" i="17"/>
  <c r="AH5" i="17"/>
  <c r="T5" i="17"/>
  <c r="R5" i="17"/>
  <c r="Q5" i="17"/>
  <c r="Z465" i="12"/>
  <c r="Z463" i="12"/>
  <c r="Z460" i="12"/>
  <c r="Z459" i="12"/>
  <c r="Z453" i="12"/>
  <c r="Z452" i="12"/>
  <c r="Z450" i="12"/>
  <c r="Z449" i="12"/>
  <c r="Z446" i="12"/>
  <c r="Z445" i="12"/>
  <c r="Z444" i="12"/>
  <c r="Z441" i="12"/>
  <c r="Z440" i="12"/>
  <c r="Z439" i="12"/>
  <c r="Z437" i="12"/>
  <c r="Z435" i="12"/>
  <c r="Z434" i="12"/>
  <c r="Z433" i="12"/>
  <c r="Z432" i="12"/>
  <c r="Z430" i="12"/>
  <c r="Z425" i="12"/>
  <c r="Z418" i="12"/>
  <c r="Z411" i="12"/>
  <c r="Z408" i="12"/>
  <c r="Z389" i="12"/>
  <c r="Z388" i="12"/>
  <c r="Z387" i="12"/>
  <c r="Z385" i="12"/>
  <c r="Z384" i="12"/>
  <c r="Z382" i="12"/>
  <c r="Z381" i="12"/>
  <c r="Z380" i="12"/>
  <c r="Z379" i="12"/>
  <c r="Z378" i="12"/>
  <c r="Z377" i="12"/>
  <c r="Z376" i="12"/>
  <c r="Z375" i="12"/>
  <c r="Z374" i="12"/>
  <c r="Z373" i="12"/>
  <c r="Z372" i="12"/>
  <c r="Z371" i="12"/>
  <c r="Z370" i="12"/>
  <c r="Z369" i="12"/>
  <c r="Z368" i="12"/>
  <c r="Z367" i="12"/>
  <c r="Z366" i="12"/>
  <c r="Z365" i="12"/>
  <c r="Z364" i="12"/>
  <c r="Z363" i="12"/>
  <c r="Z362" i="12"/>
  <c r="Z361" i="12"/>
  <c r="Z360" i="12"/>
  <c r="Z359" i="12"/>
  <c r="Z358" i="12"/>
  <c r="Z357" i="12"/>
  <c r="Z356" i="12"/>
  <c r="Z355" i="12"/>
  <c r="Z354" i="12"/>
  <c r="Z353" i="12"/>
  <c r="Z352" i="12"/>
  <c r="Z351" i="12"/>
  <c r="Z350" i="12"/>
  <c r="Z349" i="12"/>
  <c r="Z348" i="12"/>
  <c r="Z347" i="12"/>
  <c r="Z309" i="12"/>
  <c r="Z308" i="12"/>
  <c r="Z302" i="12"/>
  <c r="Z301" i="12"/>
  <c r="Z300" i="12"/>
  <c r="Z298" i="12"/>
  <c r="Z296" i="12"/>
  <c r="Z294" i="12"/>
  <c r="Z287" i="12"/>
  <c r="Z284" i="12"/>
  <c r="Z282" i="12"/>
  <c r="Z281" i="12"/>
  <c r="Z280" i="12"/>
  <c r="Z279" i="12"/>
  <c r="Z278" i="12"/>
  <c r="Z277" i="12"/>
  <c r="Z276" i="12"/>
  <c r="Z275" i="12"/>
  <c r="Z272" i="12"/>
  <c r="Z263" i="12"/>
  <c r="Z262" i="12"/>
  <c r="Z261" i="12"/>
  <c r="Z259" i="12"/>
  <c r="Z257" i="12"/>
  <c r="Z253" i="12"/>
  <c r="Z252" i="12"/>
  <c r="Z251" i="12"/>
  <c r="Z246" i="12"/>
  <c r="Z234" i="12"/>
  <c r="Z233" i="12"/>
  <c r="Z232" i="12"/>
  <c r="Z229" i="12"/>
  <c r="Z226" i="12"/>
  <c r="Z220" i="12"/>
  <c r="Z214" i="12"/>
  <c r="Z213" i="12"/>
  <c r="Z212" i="12"/>
  <c r="Z211" i="12"/>
  <c r="Z210" i="12"/>
  <c r="Z208" i="12"/>
  <c r="Z206" i="12"/>
  <c r="Z205" i="12"/>
  <c r="Z204" i="12"/>
  <c r="Z202" i="12"/>
  <c r="Z201" i="12"/>
  <c r="Z200" i="12"/>
  <c r="Z198" i="12"/>
  <c r="Z197" i="12"/>
  <c r="Z193" i="12"/>
  <c r="Z192" i="12"/>
  <c r="Z191" i="12"/>
  <c r="Z190" i="12"/>
  <c r="Z182" i="12"/>
  <c r="Z181" i="12"/>
  <c r="Z174" i="12"/>
  <c r="Z171" i="12"/>
  <c r="Z169" i="12"/>
  <c r="Z166" i="12"/>
  <c r="Z165" i="12"/>
  <c r="Z164" i="12"/>
  <c r="Z163" i="12"/>
  <c r="Z162" i="12"/>
  <c r="Z161" i="12"/>
  <c r="Z160" i="12"/>
  <c r="Z159" i="12"/>
  <c r="Z158" i="12"/>
  <c r="Z157" i="12"/>
  <c r="Z156" i="12"/>
  <c r="Z155" i="12"/>
  <c r="Z154" i="12"/>
  <c r="Z153" i="12"/>
  <c r="Z152" i="12"/>
  <c r="Z151" i="12"/>
  <c r="Z150" i="12"/>
  <c r="Z149" i="12"/>
  <c r="Z148" i="12"/>
  <c r="Z147" i="12"/>
  <c r="Z146" i="12"/>
  <c r="Z145" i="12"/>
  <c r="Z144" i="12"/>
  <c r="Z143" i="12"/>
  <c r="Z142" i="12"/>
  <c r="Z141" i="12"/>
  <c r="Z140" i="12"/>
  <c r="Z139" i="12"/>
  <c r="Z138" i="12"/>
  <c r="Z137" i="12"/>
  <c r="Z136" i="12"/>
  <c r="Z135" i="12"/>
  <c r="Z134" i="12"/>
  <c r="Z133" i="12"/>
  <c r="Z132" i="12"/>
  <c r="Z130" i="12"/>
  <c r="Z129" i="12"/>
  <c r="Z128" i="12"/>
  <c r="Z127" i="12"/>
  <c r="Z126" i="12"/>
  <c r="Z125" i="12"/>
  <c r="Z124" i="12"/>
  <c r="Z123" i="12"/>
  <c r="Z117" i="12"/>
  <c r="Z116" i="12"/>
  <c r="Z115" i="12"/>
  <c r="Z114" i="12"/>
  <c r="Z113" i="12"/>
  <c r="Z109" i="12"/>
  <c r="Z108" i="12"/>
  <c r="Z107" i="12"/>
  <c r="Z106" i="12"/>
  <c r="Z105" i="12"/>
  <c r="Z104" i="12"/>
  <c r="Z103" i="12"/>
  <c r="Z102" i="12"/>
  <c r="Z101" i="12"/>
  <c r="Z100" i="12"/>
  <c r="Z99" i="12"/>
  <c r="Z98" i="12"/>
  <c r="Z97" i="12"/>
  <c r="Z96" i="12"/>
  <c r="Z95" i="12"/>
  <c r="Z94" i="12"/>
  <c r="Z93" i="12"/>
  <c r="Z92" i="12"/>
  <c r="Z90" i="12"/>
  <c r="Z89" i="12"/>
  <c r="Z88" i="12"/>
  <c r="Z87" i="12"/>
  <c r="Z86" i="12"/>
  <c r="Z85" i="12"/>
  <c r="Z84" i="12"/>
  <c r="Z83" i="12"/>
  <c r="Z82" i="12"/>
  <c r="Z81" i="12"/>
  <c r="Z80" i="12"/>
  <c r="Z79" i="12"/>
  <c r="Z78" i="12"/>
  <c r="Z76" i="12"/>
  <c r="Z74" i="12"/>
  <c r="Z73" i="12"/>
  <c r="Z72" i="12"/>
  <c r="Z71" i="12"/>
  <c r="Z70" i="12"/>
  <c r="Z69" i="12"/>
  <c r="Z68" i="12"/>
  <c r="Z67" i="12"/>
  <c r="Z66" i="12"/>
  <c r="Z65" i="12"/>
  <c r="Z64" i="12"/>
  <c r="Z63" i="12"/>
  <c r="Z62" i="12"/>
  <c r="Z61" i="12"/>
  <c r="Z60" i="12"/>
  <c r="Z59" i="12"/>
  <c r="Z58" i="12"/>
  <c r="Z57" i="12"/>
  <c r="Z56" i="12"/>
  <c r="Z55" i="12"/>
  <c r="Z54" i="12"/>
  <c r="Z53" i="12"/>
  <c r="Z52" i="12"/>
  <c r="Z51" i="12"/>
  <c r="Z50" i="12"/>
  <c r="Z49" i="12"/>
  <c r="Z48" i="12"/>
  <c r="Z47" i="12"/>
  <c r="Z46" i="12"/>
  <c r="Z45" i="12"/>
  <c r="Z44" i="12"/>
  <c r="Z43" i="12"/>
  <c r="Z42" i="12"/>
  <c r="Z41" i="12"/>
  <c r="Z40" i="12"/>
  <c r="Z39" i="12"/>
  <c r="Z38" i="12"/>
  <c r="Z37" i="12"/>
  <c r="Z36" i="12"/>
  <c r="Z35" i="12"/>
  <c r="Z34" i="12"/>
  <c r="Z33" i="12"/>
  <c r="Z32" i="12"/>
  <c r="Z30" i="12"/>
  <c r="Z29" i="12"/>
  <c r="Z28" i="12"/>
  <c r="Z27" i="12"/>
  <c r="Z26" i="12"/>
  <c r="Z25" i="12"/>
  <c r="Z24" i="12"/>
  <c r="Z23" i="12"/>
  <c r="Z22" i="12"/>
  <c r="Z21" i="12"/>
  <c r="Z20" i="12"/>
  <c r="Z19" i="12"/>
  <c r="Z18" i="12"/>
  <c r="Z15" i="12"/>
  <c r="Z14" i="12"/>
  <c r="Z13" i="12"/>
  <c r="Z12" i="12"/>
  <c r="Z11" i="12"/>
  <c r="Z10" i="12"/>
  <c r="Z9" i="12"/>
  <c r="Z8" i="12"/>
  <c r="CA3" i="2"/>
  <c r="F478" i="17"/>
  <c r="F474" i="17"/>
  <c r="F470" i="17"/>
  <c r="F466" i="17"/>
  <c r="K465" i="17"/>
  <c r="G463" i="17"/>
  <c r="B461" i="17"/>
  <c r="L460" i="17"/>
  <c r="C459" i="17"/>
  <c r="G458" i="17"/>
  <c r="K456" i="17"/>
  <c r="F455" i="17"/>
  <c r="C454" i="17"/>
  <c r="N453" i="17"/>
  <c r="C452" i="17"/>
  <c r="I451" i="17"/>
  <c r="B450" i="17"/>
  <c r="D449" i="17"/>
  <c r="I448" i="17"/>
  <c r="D447" i="17"/>
  <c r="L446" i="17"/>
  <c r="C444" i="17"/>
  <c r="G443" i="17"/>
  <c r="G441" i="17"/>
  <c r="K437" i="17"/>
  <c r="G435" i="17"/>
  <c r="B431" i="17"/>
  <c r="J430" i="17"/>
  <c r="F428" i="17"/>
  <c r="I426" i="17"/>
  <c r="C425" i="17"/>
  <c r="D424" i="17"/>
  <c r="O423" i="17"/>
  <c r="K422" i="17"/>
  <c r="H420" i="17"/>
  <c r="B419" i="17"/>
  <c r="L418" i="17"/>
  <c r="B417" i="17"/>
  <c r="N416" i="17"/>
  <c r="H415" i="17"/>
  <c r="K413" i="17"/>
  <c r="F412" i="17"/>
  <c r="D410" i="17"/>
  <c r="H408" i="17"/>
  <c r="I406" i="17"/>
  <c r="D405" i="17"/>
  <c r="O404" i="17"/>
  <c r="I403" i="17"/>
  <c r="C402" i="17"/>
  <c r="N401" i="17"/>
  <c r="I400" i="17"/>
  <c r="D399" i="17"/>
  <c r="O398" i="17"/>
  <c r="I397" i="17"/>
  <c r="F396" i="17"/>
  <c r="K394" i="17"/>
  <c r="F393" i="17"/>
  <c r="B392" i="17"/>
  <c r="L391" i="17"/>
  <c r="G390" i="17"/>
  <c r="C389" i="17"/>
  <c r="N388" i="17"/>
  <c r="G386" i="17"/>
  <c r="D384" i="17"/>
  <c r="O383" i="17"/>
  <c r="G382" i="17"/>
  <c r="D380" i="17"/>
  <c r="O379" i="17"/>
  <c r="B378" i="17"/>
  <c r="I377" i="17"/>
  <c r="F375" i="17"/>
  <c r="C373" i="17"/>
  <c r="N372" i="17"/>
  <c r="G370" i="17"/>
  <c r="D368" i="17"/>
  <c r="O367" i="17"/>
  <c r="B366" i="17"/>
  <c r="I365" i="17"/>
  <c r="F363" i="17"/>
  <c r="C361" i="17"/>
  <c r="N360" i="17"/>
  <c r="G358" i="17"/>
  <c r="D356" i="17"/>
  <c r="O355" i="17"/>
  <c r="B354" i="17"/>
  <c r="I353" i="17"/>
  <c r="F351" i="17"/>
  <c r="C349" i="17"/>
  <c r="G348" i="17"/>
  <c r="B346" i="17"/>
  <c r="L345" i="17"/>
  <c r="I344" i="17"/>
  <c r="D343" i="17"/>
  <c r="K341" i="17"/>
  <c r="G340" i="17"/>
  <c r="D339" i="17"/>
  <c r="O338" i="17"/>
  <c r="J337" i="17"/>
  <c r="G336" i="17"/>
  <c r="C335" i="17"/>
  <c r="N334" i="17"/>
  <c r="J333" i="17"/>
  <c r="F332" i="17"/>
  <c r="B331" i="17"/>
  <c r="L330" i="17"/>
  <c r="I329" i="17"/>
  <c r="G328" i="17"/>
  <c r="C327" i="17"/>
  <c r="O326" i="17"/>
  <c r="K325" i="17"/>
  <c r="H324" i="17"/>
  <c r="B323" i="17"/>
  <c r="J322" i="17"/>
  <c r="G321" i="17"/>
  <c r="D320" i="17"/>
  <c r="O319" i="17"/>
  <c r="I477" i="17"/>
  <c r="I473" i="17"/>
  <c r="I469" i="17"/>
  <c r="J465" i="17"/>
  <c r="F463" i="17"/>
  <c r="K460" i="17"/>
  <c r="B459" i="17"/>
  <c r="D458" i="17"/>
  <c r="L457" i="17"/>
  <c r="J456" i="17"/>
  <c r="D455" i="17"/>
  <c r="O454" i="17"/>
  <c r="B454" i="17"/>
  <c r="M453" i="17"/>
  <c r="B452" i="17"/>
  <c r="G451" i="17"/>
  <c r="C449" i="17"/>
  <c r="G448" i="17"/>
  <c r="C447" i="17"/>
  <c r="K446" i="17"/>
  <c r="B444" i="17"/>
  <c r="D443" i="17"/>
  <c r="L442" i="17"/>
  <c r="F441" i="17"/>
  <c r="J437" i="17"/>
  <c r="F435" i="17"/>
  <c r="H430" i="17"/>
  <c r="D428" i="17"/>
  <c r="L427" i="17"/>
  <c r="H426" i="17"/>
  <c r="B425" i="17"/>
  <c r="C424" i="17"/>
  <c r="N423" i="17"/>
  <c r="J422" i="17"/>
  <c r="G420" i="17"/>
  <c r="K418" i="17"/>
  <c r="L416" i="17"/>
  <c r="G415" i="17"/>
  <c r="I413" i="17"/>
  <c r="D412" i="17"/>
  <c r="O411" i="17"/>
  <c r="G477" i="17"/>
  <c r="G473" i="17"/>
  <c r="G469" i="17"/>
  <c r="H465" i="17"/>
  <c r="D463" i="17"/>
  <c r="G462" i="17"/>
  <c r="J460" i="17"/>
  <c r="C458" i="17"/>
  <c r="K457" i="17"/>
  <c r="I456" i="17"/>
  <c r="C455" i="17"/>
  <c r="N454" i="17"/>
  <c r="L453" i="17"/>
  <c r="D451" i="17"/>
  <c r="N450" i="17"/>
  <c r="B449" i="17"/>
  <c r="D448" i="17"/>
  <c r="O447" i="17"/>
  <c r="B447" i="17"/>
  <c r="J446" i="17"/>
  <c r="C443" i="17"/>
  <c r="K442" i="17"/>
  <c r="D441" i="17"/>
  <c r="G440" i="17"/>
  <c r="I437" i="17"/>
  <c r="D435" i="17"/>
  <c r="G434" i="17"/>
  <c r="G430" i="17"/>
  <c r="C428" i="17"/>
  <c r="K427" i="17"/>
  <c r="G426" i="17"/>
  <c r="B424" i="17"/>
  <c r="L423" i="17"/>
  <c r="I422" i="17"/>
  <c r="F420" i="17"/>
  <c r="I418" i="17"/>
  <c r="K416" i="17"/>
  <c r="F415" i="17"/>
  <c r="H413" i="17"/>
  <c r="C412" i="17"/>
  <c r="N411" i="17"/>
  <c r="B410" i="17"/>
  <c r="N409" i="17"/>
  <c r="F408" i="17"/>
  <c r="G406" i="17"/>
  <c r="B405" i="17"/>
  <c r="L404" i="17"/>
  <c r="G403" i="17"/>
  <c r="K401" i="17"/>
  <c r="G400" i="17"/>
  <c r="B399" i="17"/>
  <c r="L398" i="17"/>
  <c r="G397" i="17"/>
  <c r="C396" i="17"/>
  <c r="N395" i="17"/>
  <c r="H394" i="17"/>
  <c r="C393" i="17"/>
  <c r="O392" i="17"/>
  <c r="I391" i="17"/>
  <c r="D390" i="17"/>
  <c r="O389" i="17"/>
  <c r="G388" i="17"/>
  <c r="D386" i="17"/>
  <c r="O385" i="17"/>
  <c r="B384" i="17"/>
  <c r="I383" i="17"/>
  <c r="D382" i="17"/>
  <c r="O381" i="17"/>
  <c r="B380" i="17"/>
  <c r="I379" i="17"/>
  <c r="F377" i="17"/>
  <c r="C375" i="17"/>
  <c r="N374" i="17"/>
  <c r="G372" i="17"/>
  <c r="D370" i="17"/>
  <c r="O369" i="17"/>
  <c r="B368" i="17"/>
  <c r="I367" i="17"/>
  <c r="F365" i="17"/>
  <c r="C363" i="17"/>
  <c r="N362" i="17"/>
  <c r="G360" i="17"/>
  <c r="D358" i="17"/>
  <c r="O357" i="17"/>
  <c r="B356" i="17"/>
  <c r="I355" i="17"/>
  <c r="F353" i="17"/>
  <c r="C351" i="17"/>
  <c r="N350" i="17"/>
  <c r="D348" i="17"/>
  <c r="I347" i="17"/>
  <c r="J345" i="17"/>
  <c r="G344" i="17"/>
  <c r="B343" i="17"/>
  <c r="N342" i="17"/>
  <c r="F477" i="17"/>
  <c r="F473" i="17"/>
  <c r="F469" i="17"/>
  <c r="G465" i="17"/>
  <c r="C463" i="17"/>
  <c r="D462" i="17"/>
  <c r="I460" i="17"/>
  <c r="B458" i="17"/>
  <c r="J457" i="17"/>
  <c r="H456" i="17"/>
  <c r="B455" i="17"/>
  <c r="M454" i="17"/>
  <c r="K453" i="17"/>
  <c r="C451" i="17"/>
  <c r="L450" i="17"/>
  <c r="C448" i="17"/>
  <c r="N447" i="17"/>
  <c r="H446" i="17"/>
  <c r="B443" i="17"/>
  <c r="J442" i="17"/>
  <c r="C441" i="17"/>
  <c r="F440" i="17"/>
  <c r="H437" i="17"/>
  <c r="C435" i="17"/>
  <c r="D434" i="17"/>
  <c r="G433" i="17"/>
  <c r="F430" i="17"/>
  <c r="B428" i="17"/>
  <c r="J427" i="17"/>
  <c r="F426" i="17"/>
  <c r="K423" i="17"/>
  <c r="H422" i="17"/>
  <c r="D420" i="17"/>
  <c r="H418" i="17"/>
  <c r="I416" i="17"/>
  <c r="D415" i="17"/>
  <c r="O414" i="17"/>
  <c r="G413" i="17"/>
  <c r="B412" i="17"/>
  <c r="I411" i="17"/>
  <c r="L409" i="17"/>
  <c r="D408" i="17"/>
  <c r="F406" i="17"/>
  <c r="K404" i="17"/>
  <c r="F403" i="17"/>
  <c r="I401" i="17"/>
  <c r="F400" i="17"/>
  <c r="K398" i="17"/>
  <c r="F397" i="17"/>
  <c r="B396" i="17"/>
  <c r="L395" i="17"/>
  <c r="G394" i="17"/>
  <c r="B393" i="17"/>
  <c r="N392" i="17"/>
  <c r="H391" i="17"/>
  <c r="C390" i="17"/>
  <c r="N389" i="17"/>
  <c r="F388" i="17"/>
  <c r="C386" i="17"/>
  <c r="N385" i="17"/>
  <c r="G383" i="17"/>
  <c r="C382" i="17"/>
  <c r="N381" i="17"/>
  <c r="G379" i="17"/>
  <c r="D377" i="17"/>
  <c r="O376" i="17"/>
  <c r="B375" i="17"/>
  <c r="I374" i="17"/>
  <c r="F372" i="17"/>
  <c r="C370" i="17"/>
  <c r="N369" i="17"/>
  <c r="G367" i="17"/>
  <c r="D365" i="17"/>
  <c r="O364" i="17"/>
  <c r="B363" i="17"/>
  <c r="I362" i="17"/>
  <c r="F360" i="17"/>
  <c r="C358" i="17"/>
  <c r="N357" i="17"/>
  <c r="G355" i="17"/>
  <c r="D353" i="17"/>
  <c r="O352" i="17"/>
  <c r="B351" i="17"/>
  <c r="I350" i="17"/>
  <c r="C348" i="17"/>
  <c r="G347" i="17"/>
  <c r="I345" i="17"/>
  <c r="F344" i="17"/>
  <c r="L342" i="17"/>
  <c r="G341" i="17"/>
  <c r="I480" i="17"/>
  <c r="I476" i="17"/>
  <c r="I472" i="17"/>
  <c r="I468" i="17"/>
  <c r="F465" i="17"/>
  <c r="B463" i="17"/>
  <c r="C462" i="17"/>
  <c r="L461" i="17"/>
  <c r="H460" i="17"/>
  <c r="H457" i="17"/>
  <c r="G456" i="17"/>
  <c r="L454" i="17"/>
  <c r="J453" i="17"/>
  <c r="B451" i="17"/>
  <c r="K450" i="17"/>
  <c r="B448" i="17"/>
  <c r="M447" i="17"/>
  <c r="G446" i="17"/>
  <c r="H442" i="17"/>
  <c r="B441" i="17"/>
  <c r="D440" i="17"/>
  <c r="G437" i="17"/>
  <c r="B435" i="17"/>
  <c r="C434" i="17"/>
  <c r="F433" i="17"/>
  <c r="D430" i="17"/>
  <c r="H427" i="17"/>
  <c r="D426" i="17"/>
  <c r="L425" i="17"/>
  <c r="J423" i="17"/>
  <c r="G422" i="17"/>
  <c r="C420" i="17"/>
  <c r="O419" i="17"/>
  <c r="G418" i="17"/>
  <c r="H416" i="17"/>
  <c r="C415" i="17"/>
  <c r="N414" i="17"/>
  <c r="F413" i="17"/>
  <c r="H411" i="17"/>
  <c r="K409" i="17"/>
  <c r="C408" i="17"/>
  <c r="I407" i="17"/>
  <c r="D406" i="17"/>
  <c r="O405" i="17"/>
  <c r="I404" i="17"/>
  <c r="D403" i="17"/>
  <c r="H401" i="17"/>
  <c r="D400" i="17"/>
  <c r="O399" i="17"/>
  <c r="I398" i="17"/>
  <c r="D397" i="17"/>
  <c r="K395" i="17"/>
  <c r="F394" i="17"/>
  <c r="L392" i="17"/>
  <c r="G391" i="17"/>
  <c r="B390" i="17"/>
  <c r="L389" i="17"/>
  <c r="G480" i="17"/>
  <c r="G476" i="17"/>
  <c r="G472" i="17"/>
  <c r="G468" i="17"/>
  <c r="D465" i="17"/>
  <c r="G464" i="17"/>
  <c r="B462" i="17"/>
  <c r="K461" i="17"/>
  <c r="G460" i="17"/>
  <c r="G457" i="17"/>
  <c r="F456" i="17"/>
  <c r="K454" i="17"/>
  <c r="I453" i="17"/>
  <c r="J450" i="17"/>
  <c r="L447" i="17"/>
  <c r="F446" i="17"/>
  <c r="G442" i="17"/>
  <c r="C440" i="17"/>
  <c r="G439" i="17"/>
  <c r="F437" i="17"/>
  <c r="B434" i="17"/>
  <c r="D433" i="17"/>
  <c r="L432" i="17"/>
  <c r="C430" i="17"/>
  <c r="G429" i="17"/>
  <c r="G427" i="17"/>
  <c r="C426" i="17"/>
  <c r="K425" i="17"/>
  <c r="I423" i="17"/>
  <c r="F422" i="17"/>
  <c r="B420" i="17"/>
  <c r="N419" i="17"/>
  <c r="F418" i="17"/>
  <c r="G416" i="17"/>
  <c r="B415" i="17"/>
  <c r="I414" i="17"/>
  <c r="D413" i="17"/>
  <c r="O412" i="17"/>
  <c r="G411" i="17"/>
  <c r="I409" i="17"/>
  <c r="B408" i="17"/>
  <c r="G407" i="17"/>
  <c r="C406" i="17"/>
  <c r="N405" i="17"/>
  <c r="H404" i="17"/>
  <c r="C403" i="17"/>
  <c r="O402" i="17"/>
  <c r="G401" i="17"/>
  <c r="C400" i="17"/>
  <c r="N399" i="17"/>
  <c r="H398" i="17"/>
  <c r="C397" i="17"/>
  <c r="O396" i="17"/>
  <c r="I395" i="17"/>
  <c r="D394" i="17"/>
  <c r="O393" i="17"/>
  <c r="K392" i="17"/>
  <c r="F391" i="17"/>
  <c r="K389" i="17"/>
  <c r="C388" i="17"/>
  <c r="N387" i="17"/>
  <c r="G385" i="17"/>
  <c r="D383" i="17"/>
  <c r="O382" i="17"/>
  <c r="G381" i="17"/>
  <c r="D379" i="17"/>
  <c r="O378" i="17"/>
  <c r="B377" i="17"/>
  <c r="I376" i="17"/>
  <c r="F374" i="17"/>
  <c r="C372" i="17"/>
  <c r="N371" i="17"/>
  <c r="G369" i="17"/>
  <c r="D367" i="17"/>
  <c r="O366" i="17"/>
  <c r="B365" i="17"/>
  <c r="I364" i="17"/>
  <c r="F362" i="17"/>
  <c r="C360" i="17"/>
  <c r="N359" i="17"/>
  <c r="G357" i="17"/>
  <c r="D355" i="17"/>
  <c r="O354" i="17"/>
  <c r="B353" i="17"/>
  <c r="I352" i="17"/>
  <c r="F350" i="17"/>
  <c r="D347" i="17"/>
  <c r="O346" i="17"/>
  <c r="G345" i="17"/>
  <c r="C344" i="17"/>
  <c r="N343" i="17"/>
  <c r="I342" i="17"/>
  <c r="D341" i="17"/>
  <c r="O340" i="17"/>
  <c r="L339" i="17"/>
  <c r="H338" i="17"/>
  <c r="D337" i="17"/>
  <c r="O336" i="17"/>
  <c r="K335" i="17"/>
  <c r="H334" i="17"/>
  <c r="D333" i="17"/>
  <c r="O332" i="17"/>
  <c r="J331" i="17"/>
  <c r="G330" i="17"/>
  <c r="C329" i="17"/>
  <c r="O328" i="17"/>
  <c r="K327" i="17"/>
  <c r="I326" i="17"/>
  <c r="F325" i="17"/>
  <c r="B324" i="17"/>
  <c r="J323" i="17"/>
  <c r="D322" i="17"/>
  <c r="O321" i="17"/>
  <c r="L320" i="17"/>
  <c r="D319" i="17"/>
  <c r="F480" i="17"/>
  <c r="F476" i="17"/>
  <c r="F472" i="17"/>
  <c r="F468" i="17"/>
  <c r="C465" i="17"/>
  <c r="F464" i="17"/>
  <c r="J461" i="17"/>
  <c r="F460" i="17"/>
  <c r="F457" i="17"/>
  <c r="D456" i="17"/>
  <c r="L455" i="17"/>
  <c r="J454" i="17"/>
  <c r="H453" i="17"/>
  <c r="I450" i="17"/>
  <c r="K447" i="17"/>
  <c r="D446" i="17"/>
  <c r="I445" i="17"/>
  <c r="F442" i="17"/>
  <c r="B440" i="17"/>
  <c r="F439" i="17"/>
  <c r="D437" i="17"/>
  <c r="C433" i="17"/>
  <c r="K432" i="17"/>
  <c r="B430" i="17"/>
  <c r="F429" i="17"/>
  <c r="F427" i="17"/>
  <c r="B426" i="17"/>
  <c r="J425" i="17"/>
  <c r="H423" i="17"/>
  <c r="D422" i="17"/>
  <c r="I421" i="17"/>
  <c r="I419" i="17"/>
  <c r="D418" i="17"/>
  <c r="F416" i="17"/>
  <c r="H414" i="17"/>
  <c r="C413" i="17"/>
  <c r="N412" i="17"/>
  <c r="F411" i="17"/>
  <c r="H409" i="17"/>
  <c r="F407" i="17"/>
  <c r="B406" i="17"/>
  <c r="L405" i="17"/>
  <c r="G404" i="17"/>
  <c r="B403" i="17"/>
  <c r="N402" i="17"/>
  <c r="F401" i="17"/>
  <c r="B400" i="17"/>
  <c r="L399" i="17"/>
  <c r="G398" i="17"/>
  <c r="B397" i="17"/>
  <c r="N396" i="17"/>
  <c r="H395" i="17"/>
  <c r="C394" i="17"/>
  <c r="N393" i="17"/>
  <c r="I392" i="17"/>
  <c r="D391" i="17"/>
  <c r="O390" i="17"/>
  <c r="J389" i="17"/>
  <c r="B388" i="17"/>
  <c r="I387" i="17"/>
  <c r="F385" i="17"/>
  <c r="C383" i="17"/>
  <c r="N382" i="17"/>
  <c r="F381" i="17"/>
  <c r="C379" i="17"/>
  <c r="N378" i="17"/>
  <c r="G376" i="17"/>
  <c r="D374" i="17"/>
  <c r="O373" i="17"/>
  <c r="B372" i="17"/>
  <c r="I371" i="17"/>
  <c r="F369" i="17"/>
  <c r="C367" i="17"/>
  <c r="N366" i="17"/>
  <c r="G364" i="17"/>
  <c r="D362" i="17"/>
  <c r="O361" i="17"/>
  <c r="B360" i="17"/>
  <c r="I359" i="17"/>
  <c r="F357" i="17"/>
  <c r="C355" i="17"/>
  <c r="N354" i="17"/>
  <c r="G352" i="17"/>
  <c r="D350" i="17"/>
  <c r="O349" i="17"/>
  <c r="C347" i="17"/>
  <c r="N346" i="17"/>
  <c r="F345" i="17"/>
  <c r="B344" i="17"/>
  <c r="L343" i="17"/>
  <c r="H342" i="17"/>
  <c r="C341" i="17"/>
  <c r="N340" i="17"/>
  <c r="K339" i="17"/>
  <c r="G338" i="17"/>
  <c r="C337" i="17"/>
  <c r="N336" i="17"/>
  <c r="J335" i="17"/>
  <c r="G334" i="17"/>
  <c r="C333" i="17"/>
  <c r="N332" i="17"/>
  <c r="I331" i="17"/>
  <c r="F330" i="17"/>
  <c r="B329" i="17"/>
  <c r="N328" i="17"/>
  <c r="J327" i="17"/>
  <c r="H326" i="17"/>
  <c r="D325" i="17"/>
  <c r="O324" i="17"/>
  <c r="I323" i="17"/>
  <c r="C322" i="17"/>
  <c r="N321" i="17"/>
  <c r="I479" i="17"/>
  <c r="I475" i="17"/>
  <c r="I471" i="17"/>
  <c r="I467" i="17"/>
  <c r="B465" i="17"/>
  <c r="D464" i="17"/>
  <c r="L463" i="17"/>
  <c r="H461" i="17"/>
  <c r="D460" i="17"/>
  <c r="D457" i="17"/>
  <c r="C456" i="17"/>
  <c r="K455" i="17"/>
  <c r="I454" i="17"/>
  <c r="G453" i="17"/>
  <c r="H450" i="17"/>
  <c r="J447" i="17"/>
  <c r="C446" i="17"/>
  <c r="H445" i="17"/>
  <c r="D442" i="17"/>
  <c r="L441" i="17"/>
  <c r="D439" i="17"/>
  <c r="G438" i="17"/>
  <c r="C437" i="17"/>
  <c r="G436" i="17"/>
  <c r="B433" i="17"/>
  <c r="G432" i="17"/>
  <c r="D429" i="17"/>
  <c r="L428" i="17"/>
  <c r="D427" i="17"/>
  <c r="O426" i="17"/>
  <c r="I425" i="17"/>
  <c r="G423" i="17"/>
  <c r="C422" i="17"/>
  <c r="H421" i="17"/>
  <c r="H419" i="17"/>
  <c r="C418" i="17"/>
  <c r="I417" i="17"/>
  <c r="D416" i="17"/>
  <c r="O415" i="17"/>
  <c r="G414" i="17"/>
  <c r="B413" i="17"/>
  <c r="L412" i="17"/>
  <c r="D411" i="17"/>
  <c r="O410" i="17"/>
  <c r="G409" i="17"/>
  <c r="D407" i="17"/>
  <c r="K405" i="17"/>
  <c r="F404" i="17"/>
  <c r="I402" i="17"/>
  <c r="D401" i="17"/>
  <c r="K399" i="17"/>
  <c r="F398" i="17"/>
  <c r="L396" i="17"/>
  <c r="G395" i="17"/>
  <c r="B394" i="17"/>
  <c r="L393" i="17"/>
  <c r="H392" i="17"/>
  <c r="C391" i="17"/>
  <c r="N390" i="17"/>
  <c r="I389" i="17"/>
  <c r="G387" i="17"/>
  <c r="D385" i="17"/>
  <c r="O384" i="17"/>
  <c r="B383" i="17"/>
  <c r="L382" i="17"/>
  <c r="D381" i="17"/>
  <c r="O380" i="17"/>
  <c r="B379" i="17"/>
  <c r="I378" i="17"/>
  <c r="F376" i="17"/>
  <c r="C374" i="17"/>
  <c r="N373" i="17"/>
  <c r="G371" i="17"/>
  <c r="D369" i="17"/>
  <c r="O368" i="17"/>
  <c r="B367" i="17"/>
  <c r="I366" i="17"/>
  <c r="F364" i="17"/>
  <c r="C362" i="17"/>
  <c r="N361" i="17"/>
  <c r="G359" i="17"/>
  <c r="D357" i="17"/>
  <c r="O356" i="17"/>
  <c r="B355" i="17"/>
  <c r="I354" i="17"/>
  <c r="F352" i="17"/>
  <c r="C350" i="17"/>
  <c r="N349" i="17"/>
  <c r="B347" i="17"/>
  <c r="I346" i="17"/>
  <c r="D345" i="17"/>
  <c r="O344" i="17"/>
  <c r="K343" i="17"/>
  <c r="G342" i="17"/>
  <c r="B341" i="17"/>
  <c r="L340" i="17"/>
  <c r="J339" i="17"/>
  <c r="F338" i="17"/>
  <c r="B337" i="17"/>
  <c r="L336" i="17"/>
  <c r="I335" i="17"/>
  <c r="F334" i="17"/>
  <c r="B333" i="17"/>
  <c r="L332" i="17"/>
  <c r="H331" i="17"/>
  <c r="D330" i="17"/>
  <c r="O329" i="17"/>
  <c r="L328" i="17"/>
  <c r="I327" i="17"/>
  <c r="G326" i="17"/>
  <c r="C325" i="17"/>
  <c r="N324" i="17"/>
  <c r="H323" i="17"/>
  <c r="B322" i="17"/>
  <c r="L321" i="17"/>
  <c r="J320" i="17"/>
  <c r="B319" i="17"/>
  <c r="G478" i="17"/>
  <c r="G474" i="17"/>
  <c r="G470" i="17"/>
  <c r="G466" i="17"/>
  <c r="L465" i="17"/>
  <c r="H463" i="17"/>
  <c r="C461" i="17"/>
  <c r="N460" i="17"/>
  <c r="D459" i="17"/>
  <c r="K458" i="17"/>
  <c r="L456" i="17"/>
  <c r="G455" i="17"/>
  <c r="D454" i="17"/>
  <c r="O453" i="17"/>
  <c r="B453" i="17"/>
  <c r="D452" i="17"/>
  <c r="C450" i="17"/>
  <c r="G449" i="17"/>
  <c r="F447" i="17"/>
  <c r="B445" i="17"/>
  <c r="D444" i="17"/>
  <c r="H441" i="17"/>
  <c r="B438" i="17"/>
  <c r="L437" i="17"/>
  <c r="H435" i="17"/>
  <c r="B432" i="17"/>
  <c r="C431" i="17"/>
  <c r="K430" i="17"/>
  <c r="G428" i="17"/>
  <c r="J426" i="17"/>
  <c r="D425" i="17"/>
  <c r="G424" i="17"/>
  <c r="B423" i="17"/>
  <c r="L422" i="17"/>
  <c r="B421" i="17"/>
  <c r="I420" i="17"/>
  <c r="C419" i="17"/>
  <c r="N418" i="17"/>
  <c r="C417" i="17"/>
  <c r="O416" i="17"/>
  <c r="I415" i="17"/>
  <c r="B414" i="17"/>
  <c r="L413" i="17"/>
  <c r="G412" i="17"/>
  <c r="F410" i="17"/>
  <c r="B409" i="17"/>
  <c r="I408" i="17"/>
  <c r="K406" i="17"/>
  <c r="F405" i="17"/>
  <c r="K403" i="17"/>
  <c r="D402" i="17"/>
  <c r="O401" i="17"/>
  <c r="K400" i="17"/>
  <c r="F399" i="17"/>
  <c r="K397" i="17"/>
  <c r="G396" i="17"/>
  <c r="B395" i="17"/>
  <c r="L394" i="17"/>
  <c r="G393" i="17"/>
  <c r="C392" i="17"/>
  <c r="N391" i="17"/>
  <c r="H390" i="17"/>
  <c r="D389" i="17"/>
  <c r="O388" i="17"/>
  <c r="B387" i="17"/>
  <c r="I386" i="17"/>
  <c r="F384" i="17"/>
  <c r="H382" i="17"/>
  <c r="F380" i="17"/>
  <c r="C378" i="17"/>
  <c r="N377" i="17"/>
  <c r="G375" i="17"/>
  <c r="D373" i="17"/>
  <c r="O372" i="17"/>
  <c r="B371" i="17"/>
  <c r="I370" i="17"/>
  <c r="F368" i="17"/>
  <c r="C366" i="17"/>
  <c r="N365" i="17"/>
  <c r="G363" i="17"/>
  <c r="D361" i="17"/>
  <c r="O360" i="17"/>
  <c r="B359" i="17"/>
  <c r="I358" i="17"/>
  <c r="F356" i="17"/>
  <c r="C354" i="17"/>
  <c r="N353" i="17"/>
  <c r="G351" i="17"/>
  <c r="D349" i="17"/>
  <c r="I348" i="17"/>
  <c r="C346" i="17"/>
  <c r="N345" i="17"/>
  <c r="J344" i="17"/>
  <c r="F343" i="17"/>
  <c r="B342" i="17"/>
  <c r="L341" i="17"/>
  <c r="H340" i="17"/>
  <c r="F339" i="17"/>
  <c r="K337" i="17"/>
  <c r="H336" i="17"/>
  <c r="D335" i="17"/>
  <c r="O334" i="17"/>
  <c r="K333" i="17"/>
  <c r="G332" i="17"/>
  <c r="C331" i="17"/>
  <c r="N330" i="17"/>
  <c r="J329" i="17"/>
  <c r="H328" i="17"/>
  <c r="D327" i="17"/>
  <c r="B326" i="17"/>
  <c r="L325" i="17"/>
  <c r="I324" i="17"/>
  <c r="C323" i="17"/>
  <c r="N322" i="17"/>
  <c r="H321" i="17"/>
  <c r="F320" i="17"/>
  <c r="I466" i="17"/>
  <c r="C439" i="17"/>
  <c r="D438" i="17"/>
  <c r="N437" i="17"/>
  <c r="D436" i="17"/>
  <c r="L435" i="17"/>
  <c r="D423" i="17"/>
  <c r="N422" i="17"/>
  <c r="D421" i="17"/>
  <c r="N420" i="17"/>
  <c r="F419" i="17"/>
  <c r="B418" i="17"/>
  <c r="F417" i="17"/>
  <c r="C416" i="17"/>
  <c r="L415" i="17"/>
  <c r="D414" i="17"/>
  <c r="N413" i="17"/>
  <c r="H412" i="17"/>
  <c r="C410" i="17"/>
  <c r="F409" i="17"/>
  <c r="O408" i="17"/>
  <c r="C399" i="17"/>
  <c r="C398" i="17"/>
  <c r="N397" i="17"/>
  <c r="B382" i="17"/>
  <c r="B381" i="17"/>
  <c r="G380" i="17"/>
  <c r="F379" i="17"/>
  <c r="D378" i="17"/>
  <c r="C377" i="17"/>
  <c r="C376" i="17"/>
  <c r="N375" i="17"/>
  <c r="O374" i="17"/>
  <c r="I373" i="17"/>
  <c r="O371" i="17"/>
  <c r="D344" i="17"/>
  <c r="H343" i="17"/>
  <c r="I339" i="17"/>
  <c r="F337" i="17"/>
  <c r="I336" i="17"/>
  <c r="B334" i="17"/>
  <c r="L333" i="17"/>
  <c r="I330" i="17"/>
  <c r="B328" i="17"/>
  <c r="L327" i="17"/>
  <c r="G325" i="17"/>
  <c r="K324" i="17"/>
  <c r="C321" i="17"/>
  <c r="O320" i="17"/>
  <c r="I318" i="17"/>
  <c r="F317" i="17"/>
  <c r="G315" i="17"/>
  <c r="B314" i="17"/>
  <c r="L313" i="17"/>
  <c r="C312" i="17"/>
  <c r="N311" i="17"/>
  <c r="I310" i="17"/>
  <c r="F309" i="17"/>
  <c r="L306" i="17"/>
  <c r="G305" i="17"/>
  <c r="B304" i="17"/>
  <c r="L303" i="17"/>
  <c r="H302" i="17"/>
  <c r="D299" i="17"/>
  <c r="O298" i="17"/>
  <c r="G297" i="17"/>
  <c r="B296" i="17"/>
  <c r="I295" i="17"/>
  <c r="C294" i="17"/>
  <c r="N293" i="17"/>
  <c r="K292" i="17"/>
  <c r="F291" i="17"/>
  <c r="B290" i="17"/>
  <c r="L289" i="17"/>
  <c r="I288" i="17"/>
  <c r="D287" i="17"/>
  <c r="G285" i="17"/>
  <c r="C284" i="17"/>
  <c r="N283" i="17"/>
  <c r="G282" i="17"/>
  <c r="F280" i="17"/>
  <c r="C278" i="17"/>
  <c r="N277" i="17"/>
  <c r="D275" i="17"/>
  <c r="O274" i="17"/>
  <c r="D273" i="17"/>
  <c r="O272" i="17"/>
  <c r="G271" i="17"/>
  <c r="C270" i="17"/>
  <c r="O269" i="17"/>
  <c r="J268" i="17"/>
  <c r="B267" i="17"/>
  <c r="L266" i="17"/>
  <c r="G265" i="17"/>
  <c r="B264" i="17"/>
  <c r="N263" i="17"/>
  <c r="D262" i="17"/>
  <c r="O261" i="17"/>
  <c r="C260" i="17"/>
  <c r="N259" i="17"/>
  <c r="D258" i="17"/>
  <c r="O257" i="17"/>
  <c r="I256" i="17"/>
  <c r="C255" i="17"/>
  <c r="N254" i="17"/>
  <c r="K253" i="17"/>
  <c r="C252" i="17"/>
  <c r="O251" i="17"/>
  <c r="B250" i="17"/>
  <c r="L249" i="17"/>
  <c r="I248" i="17"/>
  <c r="C247" i="17"/>
  <c r="N246" i="17"/>
  <c r="C245" i="17"/>
  <c r="N244" i="17"/>
  <c r="F243" i="17"/>
  <c r="H241" i="17"/>
  <c r="B240" i="17"/>
  <c r="J239" i="17"/>
  <c r="D238" i="17"/>
  <c r="O237" i="17"/>
  <c r="G236" i="17"/>
  <c r="I234" i="17"/>
  <c r="G232" i="17"/>
  <c r="H230" i="17"/>
  <c r="C229" i="17"/>
  <c r="G479" i="17"/>
  <c r="G450" i="17"/>
  <c r="B439" i="17"/>
  <c r="C438" i="17"/>
  <c r="B437" i="17"/>
  <c r="C436" i="17"/>
  <c r="K435" i="17"/>
  <c r="C423" i="17"/>
  <c r="B422" i="17"/>
  <c r="C421" i="17"/>
  <c r="D419" i="17"/>
  <c r="D417" i="17"/>
  <c r="B416" i="17"/>
  <c r="K415" i="17"/>
  <c r="C414" i="17"/>
  <c r="D409" i="17"/>
  <c r="N408" i="17"/>
  <c r="C407" i="17"/>
  <c r="O406" i="17"/>
  <c r="B398" i="17"/>
  <c r="L397" i="17"/>
  <c r="K396" i="17"/>
  <c r="C380" i="17"/>
  <c r="B376" i="17"/>
  <c r="I375" i="17"/>
  <c r="G374" i="17"/>
  <c r="G373" i="17"/>
  <c r="I372" i="17"/>
  <c r="F371" i="17"/>
  <c r="O370" i="17"/>
  <c r="G343" i="17"/>
  <c r="O342" i="17"/>
  <c r="H339" i="17"/>
  <c r="F336" i="17"/>
  <c r="I333" i="17"/>
  <c r="H330" i="17"/>
  <c r="N329" i="17"/>
  <c r="H327" i="17"/>
  <c r="B325" i="17"/>
  <c r="J324" i="17"/>
  <c r="B321" i="17"/>
  <c r="N320" i="17"/>
  <c r="H318" i="17"/>
  <c r="D317" i="17"/>
  <c r="O316" i="17"/>
  <c r="F315" i="17"/>
  <c r="K313" i="17"/>
  <c r="B312" i="17"/>
  <c r="L311" i="17"/>
  <c r="H310" i="17"/>
  <c r="D309" i="17"/>
  <c r="K306" i="17"/>
  <c r="F305" i="17"/>
  <c r="K303" i="17"/>
  <c r="G302" i="17"/>
  <c r="C299" i="17"/>
  <c r="N298" i="17"/>
  <c r="F297" i="17"/>
  <c r="G295" i="17"/>
  <c r="B294" i="17"/>
  <c r="L293" i="17"/>
  <c r="I292" i="17"/>
  <c r="D291" i="17"/>
  <c r="O290" i="17"/>
  <c r="K289" i="17"/>
  <c r="H288" i="17"/>
  <c r="C287" i="17"/>
  <c r="O286" i="17"/>
  <c r="F285" i="17"/>
  <c r="B284" i="17"/>
  <c r="L283" i="17"/>
  <c r="F282" i="17"/>
  <c r="D280" i="17"/>
  <c r="O279" i="17"/>
  <c r="B278" i="17"/>
  <c r="I277" i="17"/>
  <c r="C275" i="17"/>
  <c r="N274" i="17"/>
  <c r="C273" i="17"/>
  <c r="N272" i="17"/>
  <c r="F271" i="17"/>
  <c r="B270" i="17"/>
  <c r="N269" i="17"/>
  <c r="I268" i="17"/>
  <c r="K266" i="17"/>
  <c r="F265" i="17"/>
  <c r="L263" i="17"/>
  <c r="C262" i="17"/>
  <c r="N261" i="17"/>
  <c r="B260" i="17"/>
  <c r="L259" i="17"/>
  <c r="C258" i="17"/>
  <c r="N257" i="17"/>
  <c r="G256" i="17"/>
  <c r="B255" i="17"/>
  <c r="F479" i="17"/>
  <c r="F450" i="17"/>
  <c r="K441" i="17"/>
  <c r="B436" i="17"/>
  <c r="J435" i="17"/>
  <c r="N426" i="17"/>
  <c r="H425" i="17"/>
  <c r="C409" i="17"/>
  <c r="G408" i="17"/>
  <c r="B407" i="17"/>
  <c r="N406" i="17"/>
  <c r="I405" i="17"/>
  <c r="H397" i="17"/>
  <c r="I396" i="17"/>
  <c r="O395" i="17"/>
  <c r="D375" i="17"/>
  <c r="B374" i="17"/>
  <c r="F373" i="17"/>
  <c r="D372" i="17"/>
  <c r="D371" i="17"/>
  <c r="N370" i="17"/>
  <c r="I369" i="17"/>
  <c r="N368" i="17"/>
  <c r="G366" i="17"/>
  <c r="O365" i="17"/>
  <c r="N364" i="17"/>
  <c r="C343" i="17"/>
  <c r="K342" i="17"/>
  <c r="G339" i="17"/>
  <c r="N338" i="17"/>
  <c r="D336" i="17"/>
  <c r="O335" i="17"/>
  <c r="H333" i="17"/>
  <c r="K332" i="17"/>
  <c r="C330" i="17"/>
  <c r="L329" i="17"/>
  <c r="G327" i="17"/>
  <c r="G324" i="17"/>
  <c r="K320" i="17"/>
  <c r="G318" i="17"/>
  <c r="C317" i="17"/>
  <c r="N316" i="17"/>
  <c r="D315" i="17"/>
  <c r="O314" i="17"/>
  <c r="H313" i="17"/>
  <c r="K311" i="17"/>
  <c r="G310" i="17"/>
  <c r="C309" i="17"/>
  <c r="I308" i="17"/>
  <c r="I306" i="17"/>
  <c r="D305" i="17"/>
  <c r="O304" i="17"/>
  <c r="I303" i="17"/>
  <c r="F302" i="17"/>
  <c r="B299" i="17"/>
  <c r="L298" i="17"/>
  <c r="D297" i="17"/>
  <c r="O296" i="17"/>
  <c r="F295" i="17"/>
  <c r="K293" i="17"/>
  <c r="H292" i="17"/>
  <c r="C291" i="17"/>
  <c r="N290" i="17"/>
  <c r="J289" i="17"/>
  <c r="G288" i="17"/>
  <c r="B287" i="17"/>
  <c r="N286" i="17"/>
  <c r="D285" i="17"/>
  <c r="K283" i="17"/>
  <c r="D282" i="17"/>
  <c r="O281" i="17"/>
  <c r="C280" i="17"/>
  <c r="N279" i="17"/>
  <c r="G277" i="17"/>
  <c r="B275" i="17"/>
  <c r="L274" i="17"/>
  <c r="B273" i="17"/>
  <c r="L272" i="17"/>
  <c r="D271" i="17"/>
  <c r="O270" i="17"/>
  <c r="J269" i="17"/>
  <c r="H268" i="17"/>
  <c r="I266" i="17"/>
  <c r="D265" i="17"/>
  <c r="O264" i="17"/>
  <c r="K263" i="17"/>
  <c r="B262" i="17"/>
  <c r="I261" i="17"/>
  <c r="K259" i="17"/>
  <c r="B258" i="17"/>
  <c r="L257" i="17"/>
  <c r="F256" i="17"/>
  <c r="K254" i="17"/>
  <c r="I253" i="17"/>
  <c r="I251" i="17"/>
  <c r="J249" i="17"/>
  <c r="G248" i="17"/>
  <c r="I246" i="17"/>
  <c r="I478" i="17"/>
  <c r="C457" i="17"/>
  <c r="O456" i="17"/>
  <c r="D450" i="17"/>
  <c r="C442" i="17"/>
  <c r="J441" i="17"/>
  <c r="K428" i="17"/>
  <c r="C427" i="17"/>
  <c r="L426" i="17"/>
  <c r="G425" i="17"/>
  <c r="L406" i="17"/>
  <c r="H405" i="17"/>
  <c r="N404" i="17"/>
  <c r="H396" i="17"/>
  <c r="F395" i="17"/>
  <c r="O394" i="17"/>
  <c r="K393" i="17"/>
  <c r="B373" i="17"/>
  <c r="C371" i="17"/>
  <c r="F370" i="17"/>
  <c r="C369" i="17"/>
  <c r="I368" i="17"/>
  <c r="N367" i="17"/>
  <c r="F366" i="17"/>
  <c r="G365" i="17"/>
  <c r="D364" i="17"/>
  <c r="O363" i="17"/>
  <c r="F342" i="17"/>
  <c r="O341" i="17"/>
  <c r="C339" i="17"/>
  <c r="L338" i="17"/>
  <c r="C336" i="17"/>
  <c r="N335" i="17"/>
  <c r="G333" i="17"/>
  <c r="I332" i="17"/>
  <c r="B330" i="17"/>
  <c r="K329" i="17"/>
  <c r="F327" i="17"/>
  <c r="N326" i="17"/>
  <c r="F324" i="17"/>
  <c r="O323" i="17"/>
  <c r="I320" i="17"/>
  <c r="F318" i="17"/>
  <c r="B317" i="17"/>
  <c r="I316" i="17"/>
  <c r="C315" i="17"/>
  <c r="N314" i="17"/>
  <c r="G313" i="17"/>
  <c r="I311" i="17"/>
  <c r="F310" i="17"/>
  <c r="B309" i="17"/>
  <c r="G308" i="17"/>
  <c r="H306" i="17"/>
  <c r="C305" i="17"/>
  <c r="N304" i="17"/>
  <c r="H303" i="17"/>
  <c r="D302" i="17"/>
  <c r="I301" i="17"/>
  <c r="K298" i="17"/>
  <c r="C297" i="17"/>
  <c r="N296" i="17"/>
  <c r="D295" i="17"/>
  <c r="O294" i="17"/>
  <c r="J293" i="17"/>
  <c r="G292" i="17"/>
  <c r="G475" i="17"/>
  <c r="B457" i="17"/>
  <c r="N456" i="17"/>
  <c r="J455" i="17"/>
  <c r="H454" i="17"/>
  <c r="F453" i="17"/>
  <c r="H452" i="17"/>
  <c r="B442" i="17"/>
  <c r="I441" i="17"/>
  <c r="C429" i="17"/>
  <c r="J428" i="17"/>
  <c r="B427" i="17"/>
  <c r="K426" i="17"/>
  <c r="F425" i="17"/>
  <c r="H406" i="17"/>
  <c r="G405" i="17"/>
  <c r="D404" i="17"/>
  <c r="O403" i="17"/>
  <c r="D396" i="17"/>
  <c r="D395" i="17"/>
  <c r="N394" i="17"/>
  <c r="I393" i="17"/>
  <c r="B370" i="17"/>
  <c r="B369" i="17"/>
  <c r="G368" i="17"/>
  <c r="F367" i="17"/>
  <c r="D366" i="17"/>
  <c r="C365" i="17"/>
  <c r="C364" i="17"/>
  <c r="N363" i="17"/>
  <c r="O362" i="17"/>
  <c r="I361" i="17"/>
  <c r="O359" i="17"/>
  <c r="D342" i="17"/>
  <c r="N341" i="17"/>
  <c r="B339" i="17"/>
  <c r="K338" i="17"/>
  <c r="B336" i="17"/>
  <c r="L335" i="17"/>
  <c r="F333" i="17"/>
  <c r="H332" i="17"/>
  <c r="H329" i="17"/>
  <c r="B327" i="17"/>
  <c r="L326" i="17"/>
  <c r="D324" i="17"/>
  <c r="N323" i="17"/>
  <c r="H320" i="17"/>
  <c r="D318" i="17"/>
  <c r="O317" i="17"/>
  <c r="H316" i="17"/>
  <c r="B315" i="17"/>
  <c r="L314" i="17"/>
  <c r="F313" i="17"/>
  <c r="H311" i="17"/>
  <c r="D310" i="17"/>
  <c r="O309" i="17"/>
  <c r="F308" i="17"/>
  <c r="G306" i="17"/>
  <c r="B305" i="17"/>
  <c r="L304" i="17"/>
  <c r="G303" i="17"/>
  <c r="C302" i="17"/>
  <c r="G301" i="17"/>
  <c r="J298" i="17"/>
  <c r="B297" i="17"/>
  <c r="L296" i="17"/>
  <c r="C295" i="17"/>
  <c r="N294" i="17"/>
  <c r="I293" i="17"/>
  <c r="F292" i="17"/>
  <c r="K290" i="17"/>
  <c r="H289" i="17"/>
  <c r="D288" i="17"/>
  <c r="O287" i="17"/>
  <c r="G286" i="17"/>
  <c r="B285" i="17"/>
  <c r="N284" i="17"/>
  <c r="G283" i="17"/>
  <c r="B282" i="17"/>
  <c r="I281" i="17"/>
  <c r="G279" i="17"/>
  <c r="D277" i="17"/>
  <c r="O276" i="17"/>
  <c r="I274" i="17"/>
  <c r="I272" i="17"/>
  <c r="B271" i="17"/>
  <c r="L270" i="17"/>
  <c r="H269" i="17"/>
  <c r="F268" i="17"/>
  <c r="F266" i="17"/>
  <c r="B265" i="17"/>
  <c r="L264" i="17"/>
  <c r="I263" i="17"/>
  <c r="F261" i="17"/>
  <c r="I259" i="17"/>
  <c r="J257" i="17"/>
  <c r="C256" i="17"/>
  <c r="N255" i="17"/>
  <c r="I254" i="17"/>
  <c r="G253" i="17"/>
  <c r="F251" i="17"/>
  <c r="H249" i="17"/>
  <c r="D248" i="17"/>
  <c r="O247" i="17"/>
  <c r="G246" i="17"/>
  <c r="G244" i="17"/>
  <c r="I242" i="17"/>
  <c r="C241" i="17"/>
  <c r="N240" i="17"/>
  <c r="F239" i="17"/>
  <c r="H237" i="17"/>
  <c r="B236" i="17"/>
  <c r="J235" i="17"/>
  <c r="D234" i="17"/>
  <c r="O233" i="17"/>
  <c r="B232" i="17"/>
  <c r="I231" i="17"/>
  <c r="C230" i="17"/>
  <c r="O229" i="17"/>
  <c r="F228" i="17"/>
  <c r="F475" i="17"/>
  <c r="G461" i="17"/>
  <c r="O460" i="17"/>
  <c r="M456" i="17"/>
  <c r="I455" i="17"/>
  <c r="G454" i="17"/>
  <c r="D453" i="17"/>
  <c r="G452" i="17"/>
  <c r="L430" i="17"/>
  <c r="B429" i="17"/>
  <c r="H428" i="17"/>
  <c r="C405" i="17"/>
  <c r="C404" i="17"/>
  <c r="N403" i="17"/>
  <c r="C395" i="17"/>
  <c r="I394" i="17"/>
  <c r="H393" i="17"/>
  <c r="G392" i="17"/>
  <c r="O391" i="17"/>
  <c r="L390" i="17"/>
  <c r="C368" i="17"/>
  <c r="B364" i="17"/>
  <c r="I363" i="17"/>
  <c r="G362" i="17"/>
  <c r="G361" i="17"/>
  <c r="I360" i="17"/>
  <c r="F359" i="17"/>
  <c r="O358" i="17"/>
  <c r="C342" i="17"/>
  <c r="I341" i="17"/>
  <c r="K340" i="17"/>
  <c r="I338" i="17"/>
  <c r="H335" i="17"/>
  <c r="D332" i="17"/>
  <c r="O331" i="17"/>
  <c r="G329" i="17"/>
  <c r="K326" i="17"/>
  <c r="C324" i="17"/>
  <c r="G323" i="17"/>
  <c r="O322" i="17"/>
  <c r="G320" i="17"/>
  <c r="N319" i="17"/>
  <c r="C318" i="17"/>
  <c r="N317" i="17"/>
  <c r="G316" i="17"/>
  <c r="K314" i="17"/>
  <c r="D313" i="17"/>
  <c r="L312" i="17"/>
  <c r="G311" i="17"/>
  <c r="C310" i="17"/>
  <c r="N309" i="17"/>
  <c r="D308" i="17"/>
  <c r="F306" i="17"/>
  <c r="K304" i="17"/>
  <c r="F303" i="17"/>
  <c r="B302" i="17"/>
  <c r="F301" i="17"/>
  <c r="I298" i="17"/>
  <c r="K296" i="17"/>
  <c r="B295" i="17"/>
  <c r="L294" i="17"/>
  <c r="H293" i="17"/>
  <c r="D292" i="17"/>
  <c r="O291" i="17"/>
  <c r="J290" i="17"/>
  <c r="G289" i="17"/>
  <c r="C288" i="17"/>
  <c r="N287" i="17"/>
  <c r="F286" i="17"/>
  <c r="L284" i="17"/>
  <c r="F283" i="17"/>
  <c r="G281" i="17"/>
  <c r="F279" i="17"/>
  <c r="C277" i="17"/>
  <c r="N276" i="17"/>
  <c r="G274" i="17"/>
  <c r="H272" i="17"/>
  <c r="K270" i="17"/>
  <c r="G269" i="17"/>
  <c r="D268" i="17"/>
  <c r="O267" i="17"/>
  <c r="D266" i="17"/>
  <c r="O265" i="17"/>
  <c r="K264" i="17"/>
  <c r="G263" i="17"/>
  <c r="D261" i="17"/>
  <c r="G259" i="17"/>
  <c r="I257" i="17"/>
  <c r="B256" i="17"/>
  <c r="L255" i="17"/>
  <c r="H254" i="17"/>
  <c r="F253" i="17"/>
  <c r="D251" i="17"/>
  <c r="O250" i="17"/>
  <c r="G249" i="17"/>
  <c r="C248" i="17"/>
  <c r="N247" i="17"/>
  <c r="F246" i="17"/>
  <c r="F244" i="17"/>
  <c r="H242" i="17"/>
  <c r="B241" i="17"/>
  <c r="J240" i="17"/>
  <c r="D239" i="17"/>
  <c r="O238" i="17"/>
  <c r="G237" i="17"/>
  <c r="I235" i="17"/>
  <c r="C234" i="17"/>
  <c r="N233" i="17"/>
  <c r="I474" i="17"/>
  <c r="F461" i="17"/>
  <c r="C460" i="17"/>
  <c r="B456" i="17"/>
  <c r="H455" i="17"/>
  <c r="F454" i="17"/>
  <c r="C453" i="17"/>
  <c r="G445" i="17"/>
  <c r="I444" i="17"/>
  <c r="F432" i="17"/>
  <c r="G431" i="17"/>
  <c r="B404" i="17"/>
  <c r="L403" i="17"/>
  <c r="H402" i="17"/>
  <c r="D393" i="17"/>
  <c r="F392" i="17"/>
  <c r="K391" i="17"/>
  <c r="K390" i="17"/>
  <c r="H389" i="17"/>
  <c r="O387" i="17"/>
  <c r="D363" i="17"/>
  <c r="B362" i="17"/>
  <c r="F361" i="17"/>
  <c r="D360" i="17"/>
  <c r="D359" i="17"/>
  <c r="N358" i="17"/>
  <c r="I357" i="17"/>
  <c r="N356" i="17"/>
  <c r="G354" i="17"/>
  <c r="O353" i="17"/>
  <c r="N352" i="17"/>
  <c r="G346" i="17"/>
  <c r="O345" i="17"/>
  <c r="H341" i="17"/>
  <c r="J340" i="17"/>
  <c r="D338" i="17"/>
  <c r="O337" i="17"/>
  <c r="G335" i="17"/>
  <c r="L334" i="17"/>
  <c r="C332" i="17"/>
  <c r="N331" i="17"/>
  <c r="F329" i="17"/>
  <c r="K328" i="17"/>
  <c r="J326" i="17"/>
  <c r="F323" i="17"/>
  <c r="I322" i="17"/>
  <c r="C320" i="17"/>
  <c r="I319" i="17"/>
  <c r="B318" i="17"/>
  <c r="L317" i="17"/>
  <c r="F316" i="17"/>
  <c r="I314" i="17"/>
  <c r="C313" i="17"/>
  <c r="K312" i="17"/>
  <c r="F311" i="17"/>
  <c r="B310" i="17"/>
  <c r="L309" i="17"/>
  <c r="C308" i="17"/>
  <c r="I307" i="17"/>
  <c r="D306" i="17"/>
  <c r="O305" i="17"/>
  <c r="I304" i="17"/>
  <c r="D303" i="17"/>
  <c r="O302" i="17"/>
  <c r="D301" i="17"/>
  <c r="I300" i="17"/>
  <c r="H298" i="17"/>
  <c r="I296" i="17"/>
  <c r="K294" i="17"/>
  <c r="G293" i="17"/>
  <c r="C292" i="17"/>
  <c r="N291" i="17"/>
  <c r="I290" i="17"/>
  <c r="F289" i="17"/>
  <c r="B288" i="17"/>
  <c r="L287" i="17"/>
  <c r="D286" i="17"/>
  <c r="O285" i="17"/>
  <c r="K284" i="17"/>
  <c r="D283" i="17"/>
  <c r="O282" i="17"/>
  <c r="F281" i="17"/>
  <c r="D279" i="17"/>
  <c r="O278" i="17"/>
  <c r="B277" i="17"/>
  <c r="I276" i="17"/>
  <c r="F274" i="17"/>
  <c r="G272" i="17"/>
  <c r="J270" i="17"/>
  <c r="F269" i="17"/>
  <c r="C268" i="17"/>
  <c r="N267" i="17"/>
  <c r="C266" i="17"/>
  <c r="N265" i="17"/>
  <c r="J264" i="17"/>
  <c r="F263" i="17"/>
  <c r="C261" i="17"/>
  <c r="O260" i="17"/>
  <c r="F259" i="17"/>
  <c r="H257" i="17"/>
  <c r="K255" i="17"/>
  <c r="G254" i="17"/>
  <c r="D253" i="17"/>
  <c r="O252" i="17"/>
  <c r="C251" i="17"/>
  <c r="N250" i="17"/>
  <c r="F249" i="17"/>
  <c r="B248" i="17"/>
  <c r="J247" i="17"/>
  <c r="D246" i="17"/>
  <c r="O245" i="17"/>
  <c r="D244" i="17"/>
  <c r="O243" i="17"/>
  <c r="G242" i="17"/>
  <c r="I240" i="17"/>
  <c r="C239" i="17"/>
  <c r="N238" i="17"/>
  <c r="F237" i="17"/>
  <c r="H235" i="17"/>
  <c r="B234" i="17"/>
  <c r="I233" i="17"/>
  <c r="F231" i="17"/>
  <c r="J229" i="17"/>
  <c r="C228" i="17"/>
  <c r="N227" i="17"/>
  <c r="G471" i="17"/>
  <c r="K463" i="17"/>
  <c r="D461" i="17"/>
  <c r="B460" i="17"/>
  <c r="K459" i="17"/>
  <c r="D445" i="17"/>
  <c r="G444" i="17"/>
  <c r="D432" i="17"/>
  <c r="D431" i="17"/>
  <c r="H403" i="17"/>
  <c r="G402" i="17"/>
  <c r="L401" i="17"/>
  <c r="D392" i="17"/>
  <c r="B391" i="17"/>
  <c r="I390" i="17"/>
  <c r="G389" i="17"/>
  <c r="I388" i="17"/>
  <c r="F387" i="17"/>
  <c r="O386" i="17"/>
  <c r="B361" i="17"/>
  <c r="C359" i="17"/>
  <c r="F358" i="17"/>
  <c r="C357" i="17"/>
  <c r="I356" i="17"/>
  <c r="N355" i="17"/>
  <c r="F354" i="17"/>
  <c r="G353" i="17"/>
  <c r="D352" i="17"/>
  <c r="O351" i="17"/>
  <c r="F346" i="17"/>
  <c r="K345" i="17"/>
  <c r="F341" i="17"/>
  <c r="I340" i="17"/>
  <c r="C338" i="17"/>
  <c r="N337" i="17"/>
  <c r="F335" i="17"/>
  <c r="K334" i="17"/>
  <c r="B332" i="17"/>
  <c r="L331" i="17"/>
  <c r="D329" i="17"/>
  <c r="J328" i="17"/>
  <c r="F326" i="17"/>
  <c r="O325" i="17"/>
  <c r="D323" i="17"/>
  <c r="H322" i="17"/>
  <c r="K321" i="17"/>
  <c r="B320" i="17"/>
  <c r="G319" i="17"/>
  <c r="O318" i="17"/>
  <c r="K317" i="17"/>
  <c r="D316" i="17"/>
  <c r="H314" i="17"/>
  <c r="B313" i="17"/>
  <c r="I312" i="17"/>
  <c r="D311" i="17"/>
  <c r="O310" i="17"/>
  <c r="K309" i="17"/>
  <c r="B308" i="17"/>
  <c r="G307" i="17"/>
  <c r="C306" i="17"/>
  <c r="N305" i="17"/>
  <c r="H304" i="17"/>
  <c r="C303" i="17"/>
  <c r="N302" i="17"/>
  <c r="C301" i="17"/>
  <c r="G300" i="17"/>
  <c r="G298" i="17"/>
  <c r="H296" i="17"/>
  <c r="I294" i="17"/>
  <c r="F293" i="17"/>
  <c r="B292" i="17"/>
  <c r="L291" i="17"/>
  <c r="H290" i="17"/>
  <c r="D289" i="17"/>
  <c r="O288" i="17"/>
  <c r="K287" i="17"/>
  <c r="C286" i="17"/>
  <c r="N285" i="17"/>
  <c r="I284" i="17"/>
  <c r="C283" i="17"/>
  <c r="N282" i="17"/>
  <c r="D281" i="17"/>
  <c r="C279" i="17"/>
  <c r="N278" i="17"/>
  <c r="G276" i="17"/>
  <c r="D274" i="17"/>
  <c r="O273" i="17"/>
  <c r="F272" i="17"/>
  <c r="I270" i="17"/>
  <c r="D269" i="17"/>
  <c r="B268" i="17"/>
  <c r="I267" i="17"/>
  <c r="B266" i="17"/>
  <c r="L265" i="17"/>
  <c r="I264" i="17"/>
  <c r="D263" i="17"/>
  <c r="O262" i="17"/>
  <c r="B261" i="17"/>
  <c r="N260" i="17"/>
  <c r="D259" i="17"/>
  <c r="O258" i="17"/>
  <c r="G257" i="17"/>
  <c r="J255" i="17"/>
  <c r="F254" i="17"/>
  <c r="C253" i="17"/>
  <c r="N252" i="17"/>
  <c r="B251" i="17"/>
  <c r="I250" i="17"/>
  <c r="D249" i="17"/>
  <c r="O248" i="17"/>
  <c r="I247" i="17"/>
  <c r="C246" i="17"/>
  <c r="N245" i="17"/>
  <c r="C244" i="17"/>
  <c r="N243" i="17"/>
  <c r="F242" i="17"/>
  <c r="H240" i="17"/>
  <c r="I470" i="17"/>
  <c r="B464" i="17"/>
  <c r="I463" i="17"/>
  <c r="H447" i="17"/>
  <c r="N410" i="17"/>
  <c r="B402" i="17"/>
  <c r="B401" i="17"/>
  <c r="N400" i="17"/>
  <c r="I399" i="17"/>
  <c r="B389" i="17"/>
  <c r="C387" i="17"/>
  <c r="F386" i="17"/>
  <c r="C385" i="17"/>
  <c r="I384" i="17"/>
  <c r="N383" i="17"/>
  <c r="J382" i="17"/>
  <c r="C356" i="17"/>
  <c r="B352" i="17"/>
  <c r="I351" i="17"/>
  <c r="G350" i="17"/>
  <c r="G349" i="17"/>
  <c r="F348" i="17"/>
  <c r="C345" i="17"/>
  <c r="L344" i="17"/>
  <c r="D340" i="17"/>
  <c r="I337" i="17"/>
  <c r="I334" i="17"/>
  <c r="G331" i="17"/>
  <c r="O330" i="17"/>
  <c r="F328" i="17"/>
  <c r="C326" i="17"/>
  <c r="J325" i="17"/>
  <c r="F322" i="17"/>
  <c r="I321" i="17"/>
  <c r="C319" i="17"/>
  <c r="L318" i="17"/>
  <c r="I317" i="17"/>
  <c r="B316" i="17"/>
  <c r="N315" i="17"/>
  <c r="F314" i="17"/>
  <c r="G312" i="17"/>
  <c r="B311" i="17"/>
  <c r="L310" i="17"/>
  <c r="I309" i="17"/>
  <c r="D307" i="17"/>
  <c r="K305" i="17"/>
  <c r="F304" i="17"/>
  <c r="K302" i="17"/>
  <c r="D300" i="17"/>
  <c r="I299" i="17"/>
  <c r="D298" i="17"/>
  <c r="O297" i="17"/>
  <c r="F296" i="17"/>
  <c r="G294" i="17"/>
  <c r="C293" i="17"/>
  <c r="O292" i="17"/>
  <c r="I291" i="17"/>
  <c r="F290" i="17"/>
  <c r="B289" i="17"/>
  <c r="L288" i="17"/>
  <c r="H287" i="17"/>
  <c r="K285" i="17"/>
  <c r="G284" i="17"/>
  <c r="K282" i="17"/>
  <c r="O418" i="17"/>
  <c r="C411" i="17"/>
  <c r="G410" i="17"/>
  <c r="B386" i="17"/>
  <c r="O375" i="17"/>
  <c r="C353" i="17"/>
  <c r="H345" i="17"/>
  <c r="K344" i="17"/>
  <c r="I343" i="17"/>
  <c r="J334" i="17"/>
  <c r="O333" i="17"/>
  <c r="F307" i="17"/>
  <c r="C300" i="17"/>
  <c r="F299" i="17"/>
  <c r="B298" i="17"/>
  <c r="C290" i="17"/>
  <c r="I289" i="17"/>
  <c r="K288" i="17"/>
  <c r="I287" i="17"/>
  <c r="L285" i="17"/>
  <c r="I271" i="17"/>
  <c r="H270" i="17"/>
  <c r="C264" i="17"/>
  <c r="J263" i="17"/>
  <c r="N262" i="17"/>
  <c r="I260" i="17"/>
  <c r="C254" i="17"/>
  <c r="O253" i="17"/>
  <c r="J248" i="17"/>
  <c r="H247" i="17"/>
  <c r="C243" i="17"/>
  <c r="N242" i="17"/>
  <c r="G239" i="17"/>
  <c r="I238" i="17"/>
  <c r="D236" i="17"/>
  <c r="N235" i="17"/>
  <c r="D232" i="17"/>
  <c r="N231" i="17"/>
  <c r="G229" i="17"/>
  <c r="C227" i="17"/>
  <c r="N226" i="17"/>
  <c r="C225" i="17"/>
  <c r="N224" i="17"/>
  <c r="J223" i="17"/>
  <c r="G222" i="17"/>
  <c r="C221" i="17"/>
  <c r="O220" i="17"/>
  <c r="G219" i="17"/>
  <c r="I217" i="17"/>
  <c r="C216" i="17"/>
  <c r="N215" i="17"/>
  <c r="H214" i="17"/>
  <c r="F212" i="17"/>
  <c r="C210" i="17"/>
  <c r="N209" i="17"/>
  <c r="D208" i="17"/>
  <c r="F206" i="17"/>
  <c r="C204" i="17"/>
  <c r="N203" i="17"/>
  <c r="G202" i="17"/>
  <c r="F200" i="17"/>
  <c r="H198" i="17"/>
  <c r="F196" i="17"/>
  <c r="B195" i="17"/>
  <c r="N194" i="17"/>
  <c r="J193" i="17"/>
  <c r="C192" i="17"/>
  <c r="N191" i="17"/>
  <c r="G189" i="17"/>
  <c r="C188" i="17"/>
  <c r="N187" i="17"/>
  <c r="K186" i="17"/>
  <c r="F185" i="17"/>
  <c r="H183" i="17"/>
  <c r="B182" i="17"/>
  <c r="I181" i="17"/>
  <c r="I179" i="17"/>
  <c r="C178" i="17"/>
  <c r="N177" i="17"/>
  <c r="F176" i="17"/>
  <c r="I174" i="17"/>
  <c r="B173" i="17"/>
  <c r="J172" i="17"/>
  <c r="D171" i="17"/>
  <c r="O170" i="17"/>
  <c r="F169" i="17"/>
  <c r="G167" i="17"/>
  <c r="G165" i="17"/>
  <c r="F163" i="17"/>
  <c r="D161" i="17"/>
  <c r="C159" i="17"/>
  <c r="O158" i="17"/>
  <c r="B157" i="17"/>
  <c r="N156" i="17"/>
  <c r="I154" i="17"/>
  <c r="G152" i="17"/>
  <c r="F150" i="17"/>
  <c r="D148" i="17"/>
  <c r="O147" i="17"/>
  <c r="D146" i="17"/>
  <c r="O145" i="17"/>
  <c r="D144" i="17"/>
  <c r="O143" i="17"/>
  <c r="C142" i="17"/>
  <c r="N141" i="17"/>
  <c r="G139" i="17"/>
  <c r="F137" i="17"/>
  <c r="F135" i="17"/>
  <c r="H133" i="17"/>
  <c r="B132" i="17"/>
  <c r="J131" i="17"/>
  <c r="F130" i="17"/>
  <c r="L128" i="17"/>
  <c r="G127" i="17"/>
  <c r="I125" i="17"/>
  <c r="C124" i="17"/>
  <c r="N123" i="17"/>
  <c r="F122" i="17"/>
  <c r="F438" i="17"/>
  <c r="K412" i="17"/>
  <c r="B411" i="17"/>
  <c r="O397" i="17"/>
  <c r="D387" i="17"/>
  <c r="N376" i="17"/>
  <c r="B345" i="17"/>
  <c r="H344" i="17"/>
  <c r="D334" i="17"/>
  <c r="N333" i="17"/>
  <c r="N310" i="17"/>
  <c r="J309" i="17"/>
  <c r="C307" i="17"/>
  <c r="O306" i="17"/>
  <c r="L305" i="17"/>
  <c r="G304" i="17"/>
  <c r="O303" i="17"/>
  <c r="L302" i="17"/>
  <c r="B301" i="17"/>
  <c r="B300" i="17"/>
  <c r="C289" i="17"/>
  <c r="J288" i="17"/>
  <c r="G287" i="17"/>
  <c r="I286" i="17"/>
  <c r="I285" i="17"/>
  <c r="C271" i="17"/>
  <c r="G270" i="17"/>
  <c r="C263" i="17"/>
  <c r="I262" i="17"/>
  <c r="G261" i="17"/>
  <c r="G260" i="17"/>
  <c r="O259" i="17"/>
  <c r="B254" i="17"/>
  <c r="N253" i="17"/>
  <c r="H248" i="17"/>
  <c r="G247" i="17"/>
  <c r="B243" i="17"/>
  <c r="J242" i="17"/>
  <c r="B239" i="17"/>
  <c r="H238" i="17"/>
  <c r="C236" i="17"/>
  <c r="G235" i="17"/>
  <c r="C232" i="17"/>
  <c r="G231" i="17"/>
  <c r="F229" i="17"/>
  <c r="B227" i="17"/>
  <c r="J226" i="17"/>
  <c r="B225" i="17"/>
  <c r="L224" i="17"/>
  <c r="I223" i="17"/>
  <c r="F222" i="17"/>
  <c r="B221" i="17"/>
  <c r="N220" i="17"/>
  <c r="F219" i="17"/>
  <c r="H217" i="17"/>
  <c r="B216" i="17"/>
  <c r="J215" i="17"/>
  <c r="G214" i="17"/>
  <c r="D212" i="17"/>
  <c r="O211" i="17"/>
  <c r="B210" i="17"/>
  <c r="I209" i="17"/>
  <c r="C208" i="17"/>
  <c r="O207" i="17"/>
  <c r="D206" i="17"/>
  <c r="O205" i="17"/>
  <c r="B204" i="17"/>
  <c r="I203" i="17"/>
  <c r="F202" i="17"/>
  <c r="D200" i="17"/>
  <c r="O199" i="17"/>
  <c r="G198" i="17"/>
  <c r="D196" i="17"/>
  <c r="O195" i="17"/>
  <c r="L194" i="17"/>
  <c r="I193" i="17"/>
  <c r="B192" i="17"/>
  <c r="I191" i="17"/>
  <c r="F189" i="17"/>
  <c r="B188" i="17"/>
  <c r="L187" i="17"/>
  <c r="J186" i="17"/>
  <c r="D185" i="17"/>
  <c r="O184" i="17"/>
  <c r="G183" i="17"/>
  <c r="G181" i="17"/>
  <c r="H179" i="17"/>
  <c r="B178" i="17"/>
  <c r="J177" i="17"/>
  <c r="D176" i="17"/>
  <c r="O175" i="17"/>
  <c r="H174" i="17"/>
  <c r="J463" i="17"/>
  <c r="G419" i="17"/>
  <c r="I412" i="17"/>
  <c r="N398" i="17"/>
  <c r="O377" i="17"/>
  <c r="D376" i="17"/>
  <c r="D354" i="17"/>
  <c r="D346" i="17"/>
  <c r="B335" i="17"/>
  <c r="C334" i="17"/>
  <c r="H312" i="17"/>
  <c r="O311" i="17"/>
  <c r="K310" i="17"/>
  <c r="H309" i="17"/>
  <c r="B307" i="17"/>
  <c r="N306" i="17"/>
  <c r="I305" i="17"/>
  <c r="D304" i="17"/>
  <c r="N303" i="17"/>
  <c r="J302" i="17"/>
  <c r="F288" i="17"/>
  <c r="F287" i="17"/>
  <c r="B286" i="17"/>
  <c r="H285" i="17"/>
  <c r="O284" i="17"/>
  <c r="F270" i="17"/>
  <c r="I269" i="17"/>
  <c r="B263" i="17"/>
  <c r="G262" i="17"/>
  <c r="F260" i="17"/>
  <c r="J259" i="17"/>
  <c r="N258" i="17"/>
  <c r="L253" i="17"/>
  <c r="F248" i="17"/>
  <c r="F247" i="17"/>
  <c r="O246" i="17"/>
  <c r="D242" i="17"/>
  <c r="O241" i="17"/>
  <c r="G238" i="17"/>
  <c r="F235" i="17"/>
  <c r="D231" i="17"/>
  <c r="D229" i="17"/>
  <c r="O228" i="17"/>
  <c r="I226" i="17"/>
  <c r="K224" i="17"/>
  <c r="H223" i="17"/>
  <c r="D222" i="17"/>
  <c r="O221" i="17"/>
  <c r="L220" i="17"/>
  <c r="D219" i="17"/>
  <c r="O218" i="17"/>
  <c r="G217" i="17"/>
  <c r="I215" i="17"/>
  <c r="F214" i="17"/>
  <c r="C212" i="17"/>
  <c r="N211" i="17"/>
  <c r="G209" i="17"/>
  <c r="B208" i="17"/>
  <c r="N207" i="17"/>
  <c r="C206" i="17"/>
  <c r="N205" i="17"/>
  <c r="G203" i="17"/>
  <c r="D202" i="17"/>
  <c r="O201" i="17"/>
  <c r="C200" i="17"/>
  <c r="N199" i="17"/>
  <c r="F198" i="17"/>
  <c r="C196" i="17"/>
  <c r="N195" i="17"/>
  <c r="K194" i="17"/>
  <c r="H193" i="17"/>
  <c r="G191" i="17"/>
  <c r="D189" i="17"/>
  <c r="O188" i="17"/>
  <c r="K187" i="17"/>
  <c r="I186" i="17"/>
  <c r="C185" i="17"/>
  <c r="N184" i="17"/>
  <c r="F183" i="17"/>
  <c r="F181" i="17"/>
  <c r="G179" i="17"/>
  <c r="I177" i="17"/>
  <c r="C176" i="17"/>
  <c r="N175" i="17"/>
  <c r="G174" i="17"/>
  <c r="H172" i="17"/>
  <c r="B171" i="17"/>
  <c r="I170" i="17"/>
  <c r="C169" i="17"/>
  <c r="O168" i="17"/>
  <c r="D167" i="17"/>
  <c r="O166" i="17"/>
  <c r="D165" i="17"/>
  <c r="C163" i="17"/>
  <c r="O162" i="17"/>
  <c r="B161" i="17"/>
  <c r="N160" i="17"/>
  <c r="I158" i="17"/>
  <c r="G156" i="17"/>
  <c r="F154" i="17"/>
  <c r="D152" i="17"/>
  <c r="O151" i="17"/>
  <c r="C150" i="17"/>
  <c r="N149" i="17"/>
  <c r="B148" i="17"/>
  <c r="I147" i="17"/>
  <c r="B146" i="17"/>
  <c r="J145" i="17"/>
  <c r="B144" i="17"/>
  <c r="I143" i="17"/>
  <c r="G141" i="17"/>
  <c r="D139" i="17"/>
  <c r="C137" i="17"/>
  <c r="N136" i="17"/>
  <c r="C135" i="17"/>
  <c r="N134" i="17"/>
  <c r="F133" i="17"/>
  <c r="G131" i="17"/>
  <c r="C130" i="17"/>
  <c r="O129" i="17"/>
  <c r="J128" i="17"/>
  <c r="D127" i="17"/>
  <c r="O126" i="17"/>
  <c r="G125" i="17"/>
  <c r="I123" i="17"/>
  <c r="C122" i="17"/>
  <c r="O420" i="17"/>
  <c r="O413" i="17"/>
  <c r="O400" i="17"/>
  <c r="H399" i="17"/>
  <c r="D398" i="17"/>
  <c r="D388" i="17"/>
  <c r="G378" i="17"/>
  <c r="G377" i="17"/>
  <c r="L337" i="17"/>
  <c r="K336" i="17"/>
  <c r="N325" i="17"/>
  <c r="L324" i="17"/>
  <c r="O315" i="17"/>
  <c r="G314" i="17"/>
  <c r="O313" i="17"/>
  <c r="F312" i="17"/>
  <c r="C311" i="17"/>
  <c r="J310" i="17"/>
  <c r="G309" i="17"/>
  <c r="B306" i="17"/>
  <c r="H305" i="17"/>
  <c r="C304" i="17"/>
  <c r="B303" i="17"/>
  <c r="I302" i="17"/>
  <c r="C285" i="17"/>
  <c r="H284" i="17"/>
  <c r="O283" i="17"/>
  <c r="L282" i="17"/>
  <c r="D270" i="17"/>
  <c r="C269" i="17"/>
  <c r="O268" i="17"/>
  <c r="F262" i="17"/>
  <c r="D260" i="17"/>
  <c r="C259" i="17"/>
  <c r="I258" i="17"/>
  <c r="K257" i="17"/>
  <c r="J253" i="17"/>
  <c r="I252" i="17"/>
  <c r="D247" i="17"/>
  <c r="J246" i="17"/>
  <c r="I245" i="17"/>
  <c r="C242" i="17"/>
  <c r="N241" i="17"/>
  <c r="F238" i="17"/>
  <c r="N237" i="17"/>
  <c r="D235" i="17"/>
  <c r="O234" i="17"/>
  <c r="C231" i="17"/>
  <c r="O230" i="17"/>
  <c r="B229" i="17"/>
  <c r="N228" i="17"/>
  <c r="H226" i="17"/>
  <c r="J224" i="17"/>
  <c r="G223" i="17"/>
  <c r="C222" i="17"/>
  <c r="N221" i="17"/>
  <c r="K220" i="17"/>
  <c r="C219" i="17"/>
  <c r="N218" i="17"/>
  <c r="C464" i="17"/>
  <c r="C401" i="17"/>
  <c r="L400" i="17"/>
  <c r="G399" i="17"/>
  <c r="F378" i="17"/>
  <c r="F355" i="17"/>
  <c r="F347" i="17"/>
  <c r="H337" i="17"/>
  <c r="J336" i="17"/>
  <c r="I325" i="17"/>
  <c r="N318" i="17"/>
  <c r="J317" i="17"/>
  <c r="C316" i="17"/>
  <c r="I315" i="17"/>
  <c r="D314" i="17"/>
  <c r="N313" i="17"/>
  <c r="D312" i="17"/>
  <c r="F284" i="17"/>
  <c r="I283" i="17"/>
  <c r="I282" i="17"/>
  <c r="N281" i="17"/>
  <c r="B269" i="17"/>
  <c r="N268" i="17"/>
  <c r="B259" i="17"/>
  <c r="G258" i="17"/>
  <c r="F257" i="17"/>
  <c r="H253" i="17"/>
  <c r="G252" i="17"/>
  <c r="B247" i="17"/>
  <c r="H246" i="17"/>
  <c r="G245" i="17"/>
  <c r="B242" i="17"/>
  <c r="J241" i="17"/>
  <c r="C238" i="17"/>
  <c r="J237" i="17"/>
  <c r="C235" i="17"/>
  <c r="N234" i="17"/>
  <c r="B231" i="17"/>
  <c r="N230" i="17"/>
  <c r="I228" i="17"/>
  <c r="G226" i="17"/>
  <c r="I224" i="17"/>
  <c r="F223" i="17"/>
  <c r="B222" i="17"/>
  <c r="L221" i="17"/>
  <c r="J220" i="17"/>
  <c r="B219" i="17"/>
  <c r="J218" i="17"/>
  <c r="D217" i="17"/>
  <c r="O216" i="17"/>
  <c r="G215" i="17"/>
  <c r="C214" i="17"/>
  <c r="N213" i="17"/>
  <c r="G211" i="17"/>
  <c r="D209" i="17"/>
  <c r="G207" i="17"/>
  <c r="G205" i="17"/>
  <c r="D203" i="17"/>
  <c r="B202" i="17"/>
  <c r="I201" i="17"/>
  <c r="G199" i="17"/>
  <c r="C198" i="17"/>
  <c r="N197" i="17"/>
  <c r="K195" i="17"/>
  <c r="I194" i="17"/>
  <c r="F193" i="17"/>
  <c r="D191" i="17"/>
  <c r="O190" i="17"/>
  <c r="B189" i="17"/>
  <c r="L188" i="17"/>
  <c r="I187" i="17"/>
  <c r="G186" i="17"/>
  <c r="I184" i="17"/>
  <c r="C183" i="17"/>
  <c r="N182" i="17"/>
  <c r="C181" i="17"/>
  <c r="O180" i="17"/>
  <c r="D179" i="17"/>
  <c r="O178" i="17"/>
  <c r="G177" i="17"/>
  <c r="I175" i="17"/>
  <c r="D174" i="17"/>
  <c r="F172" i="17"/>
  <c r="F170" i="17"/>
  <c r="I168" i="17"/>
  <c r="B167" i="17"/>
  <c r="J166" i="17"/>
  <c r="B165" i="17"/>
  <c r="N164" i="17"/>
  <c r="I162" i="17"/>
  <c r="G160" i="17"/>
  <c r="F158" i="17"/>
  <c r="D156" i="17"/>
  <c r="O155" i="17"/>
  <c r="C154" i="17"/>
  <c r="N153" i="17"/>
  <c r="B152" i="17"/>
  <c r="I151" i="17"/>
  <c r="G149" i="17"/>
  <c r="F147" i="17"/>
  <c r="H145" i="17"/>
  <c r="F143" i="17"/>
  <c r="D141" i="17"/>
  <c r="O140" i="17"/>
  <c r="B139" i="17"/>
  <c r="N138" i="17"/>
  <c r="G136" i="17"/>
  <c r="I134" i="17"/>
  <c r="C133" i="17"/>
  <c r="N132" i="17"/>
  <c r="D131" i="17"/>
  <c r="O130" i="17"/>
  <c r="J129" i="17"/>
  <c r="H128" i="17"/>
  <c r="B127" i="17"/>
  <c r="J126" i="17"/>
  <c r="D125" i="17"/>
  <c r="O124" i="17"/>
  <c r="G123" i="17"/>
  <c r="G421" i="17"/>
  <c r="F414" i="17"/>
  <c r="H400" i="17"/>
  <c r="F389" i="17"/>
  <c r="N379" i="17"/>
  <c r="F340" i="17"/>
  <c r="B338" i="17"/>
  <c r="G337" i="17"/>
  <c r="I328" i="17"/>
  <c r="O327" i="17"/>
  <c r="D326" i="17"/>
  <c r="H325" i="17"/>
  <c r="K318" i="17"/>
  <c r="H317" i="17"/>
  <c r="H315" i="17"/>
  <c r="C314" i="17"/>
  <c r="F471" i="17"/>
  <c r="G459" i="17"/>
  <c r="F402" i="17"/>
  <c r="N380" i="17"/>
  <c r="G356" i="17"/>
  <c r="I349" i="17"/>
  <c r="B348" i="17"/>
  <c r="C340" i="17"/>
  <c r="O339" i="17"/>
  <c r="D328" i="17"/>
  <c r="N327" i="17"/>
  <c r="F319" i="17"/>
  <c r="J318" i="17"/>
  <c r="G317" i="17"/>
  <c r="C282" i="17"/>
  <c r="B281" i="17"/>
  <c r="N280" i="17"/>
  <c r="I278" i="17"/>
  <c r="F276" i="17"/>
  <c r="K268" i="17"/>
  <c r="F267" i="17"/>
  <c r="O266" i="17"/>
  <c r="K265" i="17"/>
  <c r="C257" i="17"/>
  <c r="O256" i="17"/>
  <c r="O255" i="17"/>
  <c r="D252" i="17"/>
  <c r="N251" i="17"/>
  <c r="F250" i="17"/>
  <c r="O249" i="17"/>
  <c r="D245" i="17"/>
  <c r="J244" i="17"/>
  <c r="G241" i="17"/>
  <c r="O240" i="17"/>
  <c r="D237" i="17"/>
  <c r="O236" i="17"/>
  <c r="H234" i="17"/>
  <c r="G233" i="17"/>
  <c r="I230" i="17"/>
  <c r="D228" i="17"/>
  <c r="J227" i="17"/>
  <c r="D226" i="17"/>
  <c r="O225" i="17"/>
  <c r="G224" i="17"/>
  <c r="C223" i="17"/>
  <c r="N222" i="17"/>
  <c r="J221" i="17"/>
  <c r="H220" i="17"/>
  <c r="H218" i="17"/>
  <c r="B217" i="17"/>
  <c r="J216" i="17"/>
  <c r="D215" i="17"/>
  <c r="O214" i="17"/>
  <c r="G213" i="17"/>
  <c r="D211" i="17"/>
  <c r="O210" i="17"/>
  <c r="B209" i="17"/>
  <c r="N208" i="17"/>
  <c r="D207" i="17"/>
  <c r="O206" i="17"/>
  <c r="D205" i="17"/>
  <c r="O204" i="17"/>
  <c r="B203" i="17"/>
  <c r="N202" i="17"/>
  <c r="F201" i="17"/>
  <c r="D199" i="17"/>
  <c r="O198" i="17"/>
  <c r="G197" i="17"/>
  <c r="I195" i="17"/>
  <c r="G467" i="17"/>
  <c r="C445" i="17"/>
  <c r="O422" i="17"/>
  <c r="N415" i="17"/>
  <c r="F390" i="17"/>
  <c r="K382" i="17"/>
  <c r="I381" i="17"/>
  <c r="I380" i="17"/>
  <c r="O350" i="17"/>
  <c r="F349" i="17"/>
  <c r="B340" i="17"/>
  <c r="N339" i="17"/>
  <c r="C328" i="17"/>
  <c r="I280" i="17"/>
  <c r="I279" i="17"/>
  <c r="G278" i="17"/>
  <c r="O277" i="17"/>
  <c r="D276" i="17"/>
  <c r="I275" i="17"/>
  <c r="K274" i="17"/>
  <c r="N273" i="17"/>
  <c r="G268" i="17"/>
  <c r="D267" i="17"/>
  <c r="N266" i="17"/>
  <c r="J265" i="17"/>
  <c r="B257" i="17"/>
  <c r="N256" i="17"/>
  <c r="I255" i="17"/>
  <c r="B252" i="17"/>
  <c r="G251" i="17"/>
  <c r="D250" i="17"/>
  <c r="N249" i="17"/>
  <c r="B245" i="17"/>
  <c r="I244" i="17"/>
  <c r="J243" i="17"/>
  <c r="F241" i="17"/>
  <c r="G240" i="17"/>
  <c r="C237" i="17"/>
  <c r="N236" i="17"/>
  <c r="G234" i="17"/>
  <c r="F233" i="17"/>
  <c r="G230" i="17"/>
  <c r="B228" i="17"/>
  <c r="I227" i="17"/>
  <c r="C226" i="17"/>
  <c r="N225" i="17"/>
  <c r="F224" i="17"/>
  <c r="B223" i="17"/>
  <c r="L222" i="17"/>
  <c r="I221" i="17"/>
  <c r="G220" i="17"/>
  <c r="G218" i="17"/>
  <c r="I216" i="17"/>
  <c r="C215" i="17"/>
  <c r="N214" i="17"/>
  <c r="F213" i="17"/>
  <c r="C211" i="17"/>
  <c r="N210" i="17"/>
  <c r="J208" i="17"/>
  <c r="C207" i="17"/>
  <c r="N206" i="17"/>
  <c r="C205" i="17"/>
  <c r="N204" i="17"/>
  <c r="L202" i="17"/>
  <c r="D201" i="17"/>
  <c r="C199" i="17"/>
  <c r="N198" i="17"/>
  <c r="F197" i="17"/>
  <c r="H195" i="17"/>
  <c r="F194" i="17"/>
  <c r="B193" i="17"/>
  <c r="N192" i="17"/>
  <c r="G190" i="17"/>
  <c r="I188" i="17"/>
  <c r="F187" i="17"/>
  <c r="C186" i="17"/>
  <c r="N185" i="17"/>
  <c r="F184" i="17"/>
  <c r="H182" i="17"/>
  <c r="G180" i="17"/>
  <c r="I178" i="17"/>
  <c r="C177" i="17"/>
  <c r="N176" i="17"/>
  <c r="F175" i="17"/>
  <c r="I173" i="17"/>
  <c r="B172" i="17"/>
  <c r="J171" i="17"/>
  <c r="B170" i="17"/>
  <c r="N169" i="17"/>
  <c r="D168" i="17"/>
  <c r="O167" i="17"/>
  <c r="G166" i="17"/>
  <c r="F164" i="17"/>
  <c r="D162" i="17"/>
  <c r="O161" i="17"/>
  <c r="C160" i="17"/>
  <c r="N159" i="17"/>
  <c r="B158" i="17"/>
  <c r="I157" i="17"/>
  <c r="G155" i="17"/>
  <c r="F153" i="17"/>
  <c r="D151" i="17"/>
  <c r="C149" i="17"/>
  <c r="O148" i="17"/>
  <c r="B147" i="17"/>
  <c r="J146" i="17"/>
  <c r="D145" i="17"/>
  <c r="O144" i="17"/>
  <c r="B143" i="17"/>
  <c r="N142" i="17"/>
  <c r="G140" i="17"/>
  <c r="F138" i="17"/>
  <c r="C136" i="17"/>
  <c r="N135" i="17"/>
  <c r="F134" i="17"/>
  <c r="H132" i="17"/>
  <c r="K130" i="17"/>
  <c r="G129" i="17"/>
  <c r="D128" i="17"/>
  <c r="O127" i="17"/>
  <c r="G126" i="17"/>
  <c r="I124" i="17"/>
  <c r="C123" i="17"/>
  <c r="N122" i="17"/>
  <c r="F121" i="17"/>
  <c r="B446" i="17"/>
  <c r="F423" i="17"/>
  <c r="N384" i="17"/>
  <c r="F383" i="17"/>
  <c r="F382" i="17"/>
  <c r="D351" i="17"/>
  <c r="F331" i="17"/>
  <c r="J330" i="17"/>
  <c r="F321" i="17"/>
  <c r="G296" i="17"/>
  <c r="O295" i="17"/>
  <c r="F294" i="17"/>
  <c r="D293" i="17"/>
  <c r="N292" i="17"/>
  <c r="H291" i="17"/>
  <c r="L290" i="17"/>
  <c r="B280" i="17"/>
  <c r="D278" i="17"/>
  <c r="B276" i="17"/>
  <c r="F275" i="17"/>
  <c r="B274" i="17"/>
  <c r="G273" i="17"/>
  <c r="D272" i="17"/>
  <c r="H265" i="17"/>
  <c r="G264" i="17"/>
  <c r="F255" i="17"/>
  <c r="L254" i="17"/>
  <c r="I249" i="17"/>
  <c r="N248" i="17"/>
  <c r="B244" i="17"/>
  <c r="H243" i="17"/>
  <c r="D240" i="17"/>
  <c r="N239" i="17"/>
  <c r="I236" i="17"/>
  <c r="C233" i="17"/>
  <c r="N232" i="17"/>
  <c r="D230" i="17"/>
  <c r="N229" i="17"/>
  <c r="G227" i="17"/>
  <c r="G225" i="17"/>
  <c r="C224" i="17"/>
  <c r="N223" i="17"/>
  <c r="J222" i="17"/>
  <c r="G221" i="17"/>
  <c r="D220" i="17"/>
  <c r="O219" i="17"/>
  <c r="D218" i="17"/>
  <c r="O217" i="17"/>
  <c r="G216" i="17"/>
  <c r="K214" i="17"/>
  <c r="C213" i="17"/>
  <c r="N212" i="17"/>
  <c r="G210" i="17"/>
  <c r="H208" i="17"/>
  <c r="I206" i="17"/>
  <c r="G204" i="17"/>
  <c r="J202" i="17"/>
  <c r="B201" i="17"/>
  <c r="N200" i="17"/>
  <c r="K198" i="17"/>
  <c r="C197" i="17"/>
  <c r="N196" i="17"/>
  <c r="F195" i="17"/>
  <c r="C194" i="17"/>
  <c r="N193" i="17"/>
  <c r="G192" i="17"/>
  <c r="D190" i="17"/>
  <c r="O189" i="17"/>
  <c r="G188" i="17"/>
  <c r="C187" i="17"/>
  <c r="O186" i="17"/>
  <c r="I185" i="17"/>
  <c r="C184" i="17"/>
  <c r="N183" i="17"/>
  <c r="F182" i="17"/>
  <c r="D180" i="17"/>
  <c r="O179" i="17"/>
  <c r="G178" i="17"/>
  <c r="I176" i="17"/>
  <c r="C175" i="17"/>
  <c r="O174" i="17"/>
  <c r="F173" i="17"/>
  <c r="H171" i="17"/>
  <c r="I169" i="17"/>
  <c r="B168" i="17"/>
  <c r="J167" i="17"/>
  <c r="D166" i="17"/>
  <c r="O165" i="17"/>
  <c r="C164" i="17"/>
  <c r="N163" i="17"/>
  <c r="B162" i="17"/>
  <c r="I161" i="17"/>
  <c r="G159" i="17"/>
  <c r="F157" i="17"/>
  <c r="D155" i="17"/>
  <c r="C153" i="17"/>
  <c r="G447" i="17"/>
  <c r="O437" i="17"/>
  <c r="G417" i="17"/>
  <c r="I410" i="17"/>
  <c r="O409" i="17"/>
  <c r="N386" i="17"/>
  <c r="B385" i="17"/>
  <c r="C384" i="17"/>
  <c r="N344" i="17"/>
  <c r="O343" i="17"/>
  <c r="F300" i="17"/>
  <c r="G299" i="17"/>
  <c r="C298" i="17"/>
  <c r="I297" i="17"/>
  <c r="C296" i="17"/>
  <c r="B291" i="17"/>
  <c r="D290" i="17"/>
  <c r="N289" i="17"/>
  <c r="N288" i="17"/>
  <c r="B272" i="17"/>
  <c r="N271" i="17"/>
  <c r="N270" i="17"/>
  <c r="D264" i="17"/>
  <c r="O263" i="17"/>
  <c r="D254" i="17"/>
  <c r="B249" i="17"/>
  <c r="K248" i="17"/>
  <c r="D243" i="17"/>
  <c r="O242" i="17"/>
  <c r="H239" i="17"/>
  <c r="J238" i="17"/>
  <c r="F236" i="17"/>
  <c r="O235" i="17"/>
  <c r="F232" i="17"/>
  <c r="O231" i="17"/>
  <c r="H229" i="17"/>
  <c r="D227" i="17"/>
  <c r="O226" i="17"/>
  <c r="D225" i="17"/>
  <c r="O224" i="17"/>
  <c r="K223" i="17"/>
  <c r="H222" i="17"/>
  <c r="D221" i="17"/>
  <c r="B220" i="17"/>
  <c r="I219" i="17"/>
  <c r="B218" i="17"/>
  <c r="J217" i="17"/>
  <c r="D216" i="17"/>
  <c r="O215" i="17"/>
  <c r="I214" i="17"/>
  <c r="G212" i="17"/>
  <c r="D210" i="17"/>
  <c r="O209" i="17"/>
  <c r="F208" i="17"/>
  <c r="G206" i="17"/>
  <c r="D204" i="17"/>
  <c r="O203" i="17"/>
  <c r="H202" i="17"/>
  <c r="G200" i="17"/>
  <c r="I198" i="17"/>
  <c r="G196" i="17"/>
  <c r="C195" i="17"/>
  <c r="O194" i="17"/>
  <c r="K193" i="17"/>
  <c r="D192" i="17"/>
  <c r="O191" i="17"/>
  <c r="B190" i="17"/>
  <c r="I189" i="17"/>
  <c r="D188" i="17"/>
  <c r="O187" i="17"/>
  <c r="L186" i="17"/>
  <c r="G185" i="17"/>
  <c r="I183" i="17"/>
  <c r="C182" i="17"/>
  <c r="N181" i="17"/>
  <c r="B180" i="17"/>
  <c r="J179" i="17"/>
  <c r="D178" i="17"/>
  <c r="O177" i="17"/>
  <c r="G176" i="17"/>
  <c r="J174" i="17"/>
  <c r="C173" i="17"/>
  <c r="N172" i="17"/>
  <c r="F171" i="17"/>
  <c r="G169" i="17"/>
  <c r="H167" i="17"/>
  <c r="B166" i="17"/>
  <c r="I165" i="17"/>
  <c r="G163" i="17"/>
  <c r="F161" i="17"/>
  <c r="D159" i="17"/>
  <c r="F467" i="17"/>
  <c r="C381" i="17"/>
  <c r="C352" i="17"/>
  <c r="F258" i="17"/>
  <c r="G250" i="17"/>
  <c r="C249" i="17"/>
  <c r="I243" i="17"/>
  <c r="F234" i="17"/>
  <c r="F298" i="17"/>
  <c r="G290" i="17"/>
  <c r="F278" i="17"/>
  <c r="C250" i="17"/>
  <c r="O244" i="17"/>
  <c r="G243" i="17"/>
  <c r="B235" i="17"/>
  <c r="I218" i="17"/>
  <c r="N217" i="17"/>
  <c r="N216" i="17"/>
  <c r="H215" i="17"/>
  <c r="L214" i="17"/>
  <c r="D193" i="17"/>
  <c r="O192" i="17"/>
  <c r="F191" i="17"/>
  <c r="N190" i="17"/>
  <c r="N188" i="17"/>
  <c r="B184" i="17"/>
  <c r="D183" i="17"/>
  <c r="J182" i="17"/>
  <c r="C174" i="17"/>
  <c r="O173" i="17"/>
  <c r="F168" i="17"/>
  <c r="I167" i="17"/>
  <c r="N166" i="17"/>
  <c r="D160" i="17"/>
  <c r="I159" i="17"/>
  <c r="G154" i="17"/>
  <c r="O153" i="17"/>
  <c r="D150" i="17"/>
  <c r="I149" i="17"/>
  <c r="F145" i="17"/>
  <c r="N144" i="17"/>
  <c r="D140" i="17"/>
  <c r="O139" i="17"/>
  <c r="D136" i="17"/>
  <c r="J135" i="17"/>
  <c r="D133" i="17"/>
  <c r="J132" i="17"/>
  <c r="D130" i="17"/>
  <c r="N129" i="17"/>
  <c r="B128" i="17"/>
  <c r="I127" i="17"/>
  <c r="G124" i="17"/>
  <c r="H121" i="17"/>
  <c r="C120" i="17"/>
  <c r="O119" i="17"/>
  <c r="J118" i="17"/>
  <c r="G117" i="17"/>
  <c r="I115" i="17"/>
  <c r="C114" i="17"/>
  <c r="N113" i="17"/>
  <c r="H112" i="17"/>
  <c r="B111" i="17"/>
  <c r="L110" i="17"/>
  <c r="I109" i="17"/>
  <c r="F107" i="17"/>
  <c r="O106" i="17"/>
  <c r="G104" i="17"/>
  <c r="B102" i="17"/>
  <c r="G101" i="17"/>
  <c r="C99" i="17"/>
  <c r="I98" i="17"/>
  <c r="C96" i="17"/>
  <c r="N95" i="17"/>
  <c r="D93" i="17"/>
  <c r="N92" i="17"/>
  <c r="H90" i="17"/>
  <c r="D88" i="17"/>
  <c r="N87" i="17"/>
  <c r="G85" i="17"/>
  <c r="F83" i="17"/>
  <c r="O82" i="17"/>
  <c r="D81" i="17"/>
  <c r="N80" i="17"/>
  <c r="B79" i="17"/>
  <c r="H78" i="17"/>
  <c r="F76" i="17"/>
  <c r="O75" i="17"/>
  <c r="G74" i="17"/>
  <c r="B72" i="17"/>
  <c r="F71" i="17"/>
  <c r="O70" i="17"/>
  <c r="D68" i="17"/>
  <c r="N67" i="17"/>
  <c r="D65" i="17"/>
  <c r="O64" i="17"/>
  <c r="F62" i="17"/>
  <c r="O61" i="17"/>
  <c r="F59" i="17"/>
  <c r="O58" i="17"/>
  <c r="B57" i="17"/>
  <c r="F56" i="17"/>
  <c r="O55" i="17"/>
  <c r="C53" i="17"/>
  <c r="G52" i="17"/>
  <c r="C50" i="17"/>
  <c r="I49" i="17"/>
  <c r="B47" i="17"/>
  <c r="G46" i="17"/>
  <c r="C44" i="17"/>
  <c r="I43" i="17"/>
  <c r="B41" i="17"/>
  <c r="F40" i="17"/>
  <c r="O39" i="17"/>
  <c r="G37" i="17"/>
  <c r="D35" i="17"/>
  <c r="N34" i="17"/>
  <c r="B33" i="17"/>
  <c r="H32" i="17"/>
  <c r="I30" i="17"/>
  <c r="F28" i="17"/>
  <c r="O27" i="17"/>
  <c r="G25" i="17"/>
  <c r="B23" i="17"/>
  <c r="G22" i="17"/>
  <c r="C20" i="17"/>
  <c r="I19" i="17"/>
  <c r="I382" i="17"/>
  <c r="B357" i="17"/>
  <c r="K330" i="17"/>
  <c r="K291" i="17"/>
  <c r="K272" i="17"/>
  <c r="O271" i="17"/>
  <c r="N264" i="17"/>
  <c r="H244" i="17"/>
  <c r="J236" i="17"/>
  <c r="H224" i="17"/>
  <c r="O223" i="17"/>
  <c r="O222" i="17"/>
  <c r="K221" i="17"/>
  <c r="F218" i="17"/>
  <c r="F217" i="17"/>
  <c r="H216" i="17"/>
  <c r="F215" i="17"/>
  <c r="J214" i="17"/>
  <c r="O213" i="17"/>
  <c r="F209" i="17"/>
  <c r="O208" i="17"/>
  <c r="F203" i="17"/>
  <c r="O202" i="17"/>
  <c r="C193" i="17"/>
  <c r="I192" i="17"/>
  <c r="C191" i="17"/>
  <c r="I190" i="17"/>
  <c r="N189" i="17"/>
  <c r="K188" i="17"/>
  <c r="B183" i="17"/>
  <c r="I182" i="17"/>
  <c r="O181" i="17"/>
  <c r="B174" i="17"/>
  <c r="N173" i="17"/>
  <c r="O172" i="17"/>
  <c r="C168" i="17"/>
  <c r="F167" i="17"/>
  <c r="I166" i="17"/>
  <c r="B160" i="17"/>
  <c r="F159" i="17"/>
  <c r="N158" i="17"/>
  <c r="D154" i="17"/>
  <c r="I153" i="17"/>
  <c r="B150" i="17"/>
  <c r="F149" i="17"/>
  <c r="C145" i="17"/>
  <c r="I144" i="17"/>
  <c r="C140" i="17"/>
  <c r="N139" i="17"/>
  <c r="B136" i="17"/>
  <c r="I135" i="17"/>
  <c r="B133" i="17"/>
  <c r="I132" i="17"/>
  <c r="B130" i="17"/>
  <c r="I129" i="17"/>
  <c r="H127" i="17"/>
  <c r="N126" i="17"/>
  <c r="F124" i="17"/>
  <c r="O123" i="17"/>
  <c r="G121" i="17"/>
  <c r="B120" i="17"/>
  <c r="N119" i="17"/>
  <c r="I118" i="17"/>
  <c r="F117" i="17"/>
  <c r="H115" i="17"/>
  <c r="B114" i="17"/>
  <c r="J113" i="17"/>
  <c r="G112" i="17"/>
  <c r="K110" i="17"/>
  <c r="H109" i="17"/>
  <c r="D107" i="17"/>
  <c r="N106" i="17"/>
  <c r="F104" i="17"/>
  <c r="O103" i="17"/>
  <c r="F101" i="17"/>
  <c r="B99" i="17"/>
  <c r="G98" i="17"/>
  <c r="B96" i="17"/>
  <c r="I95" i="17"/>
  <c r="C93" i="17"/>
  <c r="I92" i="17"/>
  <c r="G90" i="17"/>
  <c r="C88" i="17"/>
  <c r="I87" i="17"/>
  <c r="F85" i="17"/>
  <c r="O84" i="17"/>
  <c r="D83" i="17"/>
  <c r="N82" i="17"/>
  <c r="C81" i="17"/>
  <c r="I80" i="17"/>
  <c r="G78" i="17"/>
  <c r="D76" i="17"/>
  <c r="N75" i="17"/>
  <c r="F74" i="17"/>
  <c r="O73" i="17"/>
  <c r="D71" i="17"/>
  <c r="N70" i="17"/>
  <c r="C68" i="17"/>
  <c r="I67" i="17"/>
  <c r="C65" i="17"/>
  <c r="N64" i="17"/>
  <c r="D62" i="17"/>
  <c r="N61" i="17"/>
  <c r="D59" i="17"/>
  <c r="N58" i="17"/>
  <c r="D56" i="17"/>
  <c r="N55" i="17"/>
  <c r="B53" i="17"/>
  <c r="F52" i="17"/>
  <c r="O51" i="17"/>
  <c r="B50" i="17"/>
  <c r="G49" i="17"/>
  <c r="F46" i="17"/>
  <c r="B44" i="17"/>
  <c r="G43" i="17"/>
  <c r="D40" i="17"/>
  <c r="N39" i="17"/>
  <c r="F37" i="17"/>
  <c r="O36" i="17"/>
  <c r="C35" i="17"/>
  <c r="I34" i="17"/>
  <c r="G32" i="17"/>
  <c r="H30" i="17"/>
  <c r="D28" i="17"/>
  <c r="N27" i="17"/>
  <c r="F25" i="17"/>
  <c r="O24" i="17"/>
  <c r="F22" i="17"/>
  <c r="B20" i="17"/>
  <c r="G19" i="17"/>
  <c r="K331" i="17"/>
  <c r="J321" i="17"/>
  <c r="G291" i="17"/>
  <c r="B279" i="17"/>
  <c r="I273" i="17"/>
  <c r="C272" i="17"/>
  <c r="I265" i="17"/>
  <c r="F264" i="17"/>
  <c r="F245" i="17"/>
  <c r="I237" i="17"/>
  <c r="H236" i="17"/>
  <c r="I225" i="17"/>
  <c r="D224" i="17"/>
  <c r="L223" i="17"/>
  <c r="K222" i="17"/>
  <c r="H221" i="17"/>
  <c r="I220" i="17"/>
  <c r="N219" i="17"/>
  <c r="C218" i="17"/>
  <c r="C217" i="17"/>
  <c r="F216" i="17"/>
  <c r="B215" i="17"/>
  <c r="D214" i="17"/>
  <c r="I213" i="17"/>
  <c r="O212" i="17"/>
  <c r="I211" i="17"/>
  <c r="I210" i="17"/>
  <c r="C209" i="17"/>
  <c r="I208" i="17"/>
  <c r="I207" i="17"/>
  <c r="J206" i="17"/>
  <c r="I205" i="17"/>
  <c r="I204" i="17"/>
  <c r="C203" i="17"/>
  <c r="K202" i="17"/>
  <c r="N201" i="17"/>
  <c r="F192" i="17"/>
  <c r="B191" i="17"/>
  <c r="F190" i="17"/>
  <c r="C189" i="17"/>
  <c r="J188" i="17"/>
  <c r="J187" i="17"/>
  <c r="G182" i="17"/>
  <c r="D181" i="17"/>
  <c r="N180" i="17"/>
  <c r="G173" i="17"/>
  <c r="I172" i="17"/>
  <c r="C167" i="17"/>
  <c r="H166" i="17"/>
  <c r="N165" i="17"/>
  <c r="B159" i="17"/>
  <c r="G158" i="17"/>
  <c r="O157" i="17"/>
  <c r="B154" i="17"/>
  <c r="G153" i="17"/>
  <c r="D149" i="17"/>
  <c r="N148" i="17"/>
  <c r="B145" i="17"/>
  <c r="G144" i="17"/>
  <c r="N143" i="17"/>
  <c r="B140" i="17"/>
  <c r="I139" i="17"/>
  <c r="H135" i="17"/>
  <c r="G132" i="17"/>
  <c r="H129" i="17"/>
  <c r="F127" i="17"/>
  <c r="I126" i="17"/>
  <c r="D124" i="17"/>
  <c r="J123" i="17"/>
  <c r="D121" i="17"/>
  <c r="O120" i="17"/>
  <c r="J119" i="17"/>
  <c r="H118" i="17"/>
  <c r="D117" i="17"/>
  <c r="O116" i="17"/>
  <c r="G115" i="17"/>
  <c r="I113" i="17"/>
  <c r="F112" i="17"/>
  <c r="J110" i="17"/>
  <c r="G109" i="17"/>
  <c r="C107" i="17"/>
  <c r="I106" i="17"/>
  <c r="D104" i="17"/>
  <c r="N103" i="17"/>
  <c r="D101" i="17"/>
  <c r="O100" i="17"/>
  <c r="F98" i="17"/>
  <c r="O97" i="17"/>
  <c r="G95" i="17"/>
  <c r="B93" i="17"/>
  <c r="G92" i="17"/>
  <c r="F90" i="17"/>
  <c r="O89" i="17"/>
  <c r="B88" i="17"/>
  <c r="G87" i="17"/>
  <c r="D85" i="17"/>
  <c r="N84" i="17"/>
  <c r="C83" i="17"/>
  <c r="I82" i="17"/>
  <c r="B81" i="17"/>
  <c r="H80" i="17"/>
  <c r="F78" i="17"/>
  <c r="C76" i="17"/>
  <c r="I75" i="17"/>
  <c r="D74" i="17"/>
  <c r="N73" i="17"/>
  <c r="C71" i="17"/>
  <c r="G70" i="17"/>
  <c r="B68" i="17"/>
  <c r="G67" i="17"/>
  <c r="B65" i="17"/>
  <c r="G64" i="17"/>
  <c r="C62" i="17"/>
  <c r="G61" i="17"/>
  <c r="C59" i="17"/>
  <c r="I58" i="17"/>
  <c r="C56" i="17"/>
  <c r="G55" i="17"/>
  <c r="D52" i="17"/>
  <c r="N51" i="17"/>
  <c r="F49" i="17"/>
  <c r="O48" i="17"/>
  <c r="D46" i="17"/>
  <c r="O45" i="17"/>
  <c r="F43" i="17"/>
  <c r="O42" i="17"/>
  <c r="C40" i="17"/>
  <c r="B358" i="17"/>
  <c r="D331" i="17"/>
  <c r="D321" i="17"/>
  <c r="O293" i="17"/>
  <c r="L292" i="17"/>
  <c r="O280" i="17"/>
  <c r="F273" i="17"/>
  <c r="C265" i="17"/>
  <c r="F252" i="17"/>
  <c r="B237" i="17"/>
  <c r="O227" i="17"/>
  <c r="F226" i="17"/>
  <c r="F225" i="17"/>
  <c r="G322" i="17"/>
  <c r="H294" i="17"/>
  <c r="B293" i="17"/>
  <c r="C281" i="17"/>
  <c r="G280" i="17"/>
  <c r="C274" i="17"/>
  <c r="G266" i="17"/>
  <c r="B246" i="17"/>
  <c r="B238" i="17"/>
  <c r="H227" i="17"/>
  <c r="B226" i="17"/>
  <c r="C220" i="17"/>
  <c r="B213" i="17"/>
  <c r="B212" i="17"/>
  <c r="B211" i="17"/>
  <c r="B207" i="17"/>
  <c r="B206" i="17"/>
  <c r="B205" i="17"/>
  <c r="C202" i="17"/>
  <c r="C201" i="17"/>
  <c r="I200" i="17"/>
  <c r="F199" i="17"/>
  <c r="J198" i="17"/>
  <c r="O197" i="17"/>
  <c r="F188" i="17"/>
  <c r="G187" i="17"/>
  <c r="F180" i="17"/>
  <c r="F179" i="17"/>
  <c r="N178" i="17"/>
  <c r="D172" i="17"/>
  <c r="N171" i="17"/>
  <c r="C166" i="17"/>
  <c r="C165" i="17"/>
  <c r="I164" i="17"/>
  <c r="C158" i="17"/>
  <c r="G157" i="17"/>
  <c r="B153" i="17"/>
  <c r="N152" i="17"/>
  <c r="G148" i="17"/>
  <c r="N147" i="17"/>
  <c r="C144" i="17"/>
  <c r="D143" i="17"/>
  <c r="O142" i="17"/>
  <c r="C139" i="17"/>
  <c r="I138" i="17"/>
  <c r="D135" i="17"/>
  <c r="J134" i="17"/>
  <c r="D132" i="17"/>
  <c r="N131" i="17"/>
  <c r="D129" i="17"/>
  <c r="F126" i="17"/>
  <c r="F123" i="17"/>
  <c r="O122" i="17"/>
  <c r="B121" i="17"/>
  <c r="L120" i="17"/>
  <c r="H119" i="17"/>
  <c r="F118" i="17"/>
  <c r="B117" i="17"/>
  <c r="J116" i="17"/>
  <c r="D115" i="17"/>
  <c r="O114" i="17"/>
  <c r="G113" i="17"/>
  <c r="C112" i="17"/>
  <c r="N111" i="17"/>
  <c r="H110" i="17"/>
  <c r="D109" i="17"/>
  <c r="O108" i="17"/>
  <c r="F106" i="17"/>
  <c r="O105" i="17"/>
  <c r="B104" i="17"/>
  <c r="G103" i="17"/>
  <c r="B101" i="17"/>
  <c r="G100" i="17"/>
  <c r="C98" i="17"/>
  <c r="I97" i="17"/>
  <c r="D95" i="17"/>
  <c r="N94" i="17"/>
  <c r="D92" i="17"/>
  <c r="O91" i="17"/>
  <c r="C90" i="17"/>
  <c r="I89" i="17"/>
  <c r="D87" i="17"/>
  <c r="N86" i="17"/>
  <c r="B85" i="17"/>
  <c r="H84" i="17"/>
  <c r="G82" i="17"/>
  <c r="F80" i="17"/>
  <c r="C78" i="17"/>
  <c r="N77" i="17"/>
  <c r="G75" i="17"/>
  <c r="B74" i="17"/>
  <c r="H73" i="17"/>
  <c r="D70" i="17"/>
  <c r="N69" i="17"/>
  <c r="D67" i="17"/>
  <c r="N66" i="17"/>
  <c r="D64" i="17"/>
  <c r="O63" i="17"/>
  <c r="D61" i="17"/>
  <c r="N60" i="17"/>
  <c r="G58" i="17"/>
  <c r="D55" i="17"/>
  <c r="N54" i="17"/>
  <c r="B52" i="17"/>
  <c r="G51" i="17"/>
  <c r="C49" i="17"/>
  <c r="G48" i="17"/>
  <c r="B46" i="17"/>
  <c r="G45" i="17"/>
  <c r="C43" i="17"/>
  <c r="G42" i="17"/>
  <c r="O41" i="17"/>
  <c r="G39" i="17"/>
  <c r="B37" i="17"/>
  <c r="H36" i="17"/>
  <c r="C432" i="17"/>
  <c r="B349" i="17"/>
  <c r="D294" i="17"/>
  <c r="G267" i="17"/>
  <c r="O254" i="17"/>
  <c r="B253" i="17"/>
  <c r="O239" i="17"/>
  <c r="G384" i="17"/>
  <c r="N295" i="17"/>
  <c r="H282" i="17"/>
  <c r="G275" i="17"/>
  <c r="C267" i="17"/>
  <c r="G255" i="17"/>
  <c r="J254" i="17"/>
  <c r="F240" i="17"/>
  <c r="I239" i="17"/>
  <c r="F230" i="17"/>
  <c r="I229" i="17"/>
  <c r="B198" i="17"/>
  <c r="D197" i="17"/>
  <c r="I196" i="17"/>
  <c r="J195" i="17"/>
  <c r="B187" i="17"/>
  <c r="H186" i="17"/>
  <c r="B179" i="17"/>
  <c r="H178" i="17"/>
  <c r="F177" i="17"/>
  <c r="O176" i="17"/>
  <c r="G171" i="17"/>
  <c r="G170" i="17"/>
  <c r="D164" i="17"/>
  <c r="I163" i="17"/>
  <c r="C157" i="17"/>
  <c r="I156" i="17"/>
  <c r="F152" i="17"/>
  <c r="G151" i="17"/>
  <c r="C148" i="17"/>
  <c r="D147" i="17"/>
  <c r="N146" i="17"/>
  <c r="G142" i="17"/>
  <c r="D138" i="17"/>
  <c r="O137" i="17"/>
  <c r="G134" i="17"/>
  <c r="F131" i="17"/>
  <c r="N130" i="17"/>
  <c r="B129" i="17"/>
  <c r="N128" i="17"/>
  <c r="C126" i="17"/>
  <c r="N125" i="17"/>
  <c r="B123" i="17"/>
  <c r="I122" i="17"/>
  <c r="J120" i="17"/>
  <c r="F119" i="17"/>
  <c r="C118" i="17"/>
  <c r="N117" i="17"/>
  <c r="H116" i="17"/>
  <c r="B115" i="17"/>
  <c r="J114" i="17"/>
  <c r="D113" i="17"/>
  <c r="O112" i="17"/>
  <c r="I111" i="17"/>
  <c r="F110" i="17"/>
  <c r="B109" i="17"/>
  <c r="I108" i="17"/>
  <c r="C106" i="17"/>
  <c r="I105" i="17"/>
  <c r="D103" i="17"/>
  <c r="N102" i="17"/>
  <c r="D100" i="17"/>
  <c r="O99" i="17"/>
  <c r="F97" i="17"/>
  <c r="O96" i="17"/>
  <c r="B95" i="17"/>
  <c r="G94" i="17"/>
  <c r="B92" i="17"/>
  <c r="G91" i="17"/>
  <c r="F89" i="17"/>
  <c r="B87" i="17"/>
  <c r="H86" i="17"/>
  <c r="F84" i="17"/>
  <c r="D82" i="17"/>
  <c r="N81" i="17"/>
  <c r="C80" i="17"/>
  <c r="N79" i="17"/>
  <c r="G77" i="17"/>
  <c r="D75" i="17"/>
  <c r="N74" i="17"/>
  <c r="F73" i="17"/>
  <c r="O72" i="17"/>
  <c r="B70" i="17"/>
  <c r="G69" i="17"/>
  <c r="B67" i="17"/>
  <c r="G66" i="17"/>
  <c r="B64" i="17"/>
  <c r="I63" i="17"/>
  <c r="B61" i="17"/>
  <c r="H60" i="17"/>
  <c r="D58" i="17"/>
  <c r="N57" i="17"/>
  <c r="B55" i="17"/>
  <c r="G54" i="17"/>
  <c r="B350" i="17"/>
  <c r="L268" i="17"/>
  <c r="D255" i="17"/>
  <c r="I241" i="17"/>
  <c r="C240" i="17"/>
  <c r="B230" i="17"/>
  <c r="B197" i="17"/>
  <c r="B196" i="17"/>
  <c r="G195" i="17"/>
  <c r="J194" i="17"/>
  <c r="F186" i="17"/>
  <c r="O185" i="17"/>
  <c r="F178" i="17"/>
  <c r="D177" i="17"/>
  <c r="J176" i="17"/>
  <c r="J175" i="17"/>
  <c r="C171" i="17"/>
  <c r="D170" i="17"/>
  <c r="O169" i="17"/>
  <c r="B164" i="17"/>
  <c r="D163" i="17"/>
  <c r="N162" i="17"/>
  <c r="F156" i="17"/>
  <c r="N155" i="17"/>
  <c r="C152" i="17"/>
  <c r="F151" i="17"/>
  <c r="C147" i="17"/>
  <c r="I146" i="17"/>
  <c r="F142" i="17"/>
  <c r="O141" i="17"/>
  <c r="C138" i="17"/>
  <c r="N137" i="17"/>
  <c r="D134" i="17"/>
  <c r="O133" i="17"/>
  <c r="C131" i="17"/>
  <c r="L130" i="17"/>
  <c r="K128" i="17"/>
  <c r="B126" i="17"/>
  <c r="J125" i="17"/>
  <c r="H122" i="17"/>
  <c r="I120" i="17"/>
  <c r="D119" i="17"/>
  <c r="B118" i="17"/>
  <c r="L117" i="17"/>
  <c r="G116" i="17"/>
  <c r="I114" i="17"/>
  <c r="C113" i="17"/>
  <c r="N112" i="17"/>
  <c r="H111" i="17"/>
  <c r="D110" i="17"/>
  <c r="O109" i="17"/>
  <c r="G108" i="17"/>
  <c r="B106" i="17"/>
  <c r="G105" i="17"/>
  <c r="C103" i="17"/>
  <c r="I102" i="17"/>
  <c r="C100" i="17"/>
  <c r="N99" i="17"/>
  <c r="D97" i="17"/>
  <c r="N96" i="17"/>
  <c r="F94" i="17"/>
  <c r="O93" i="17"/>
  <c r="F91" i="17"/>
  <c r="D89" i="17"/>
  <c r="O88" i="17"/>
  <c r="G86" i="17"/>
  <c r="D84" i="17"/>
  <c r="O83" i="17"/>
  <c r="C82" i="17"/>
  <c r="J81" i="17"/>
  <c r="B80" i="17"/>
  <c r="I79" i="17"/>
  <c r="F77" i="17"/>
  <c r="O76" i="17"/>
  <c r="C75" i="17"/>
  <c r="L74" i="17"/>
  <c r="D73" i="17"/>
  <c r="N72" i="17"/>
  <c r="F69" i="17"/>
  <c r="O68" i="17"/>
  <c r="F66" i="17"/>
  <c r="G63" i="17"/>
  <c r="G60" i="17"/>
  <c r="C58" i="17"/>
  <c r="I57" i="17"/>
  <c r="F54" i="17"/>
  <c r="O53" i="17"/>
  <c r="C51" i="17"/>
  <c r="N50" i="17"/>
  <c r="C48" i="17"/>
  <c r="I47" i="17"/>
  <c r="C45" i="17"/>
  <c r="N44" i="17"/>
  <c r="C42" i="17"/>
  <c r="H41" i="17"/>
  <c r="C39" i="17"/>
  <c r="G38" i="17"/>
  <c r="D36" i="17"/>
  <c r="N35" i="17"/>
  <c r="B34" i="17"/>
  <c r="H33" i="17"/>
  <c r="F31" i="17"/>
  <c r="O30" i="17"/>
  <c r="G29" i="17"/>
  <c r="B27" i="17"/>
  <c r="G26" i="17"/>
  <c r="C24" i="17"/>
  <c r="I23" i="17"/>
  <c r="D21" i="17"/>
  <c r="N20" i="17"/>
  <c r="I385" i="17"/>
  <c r="D296" i="17"/>
  <c r="B283" i="17"/>
  <c r="C276" i="17"/>
  <c r="D256" i="17"/>
  <c r="D241" i="17"/>
  <c r="O232" i="17"/>
  <c r="D195" i="17"/>
  <c r="H194" i="17"/>
  <c r="D186" i="17"/>
  <c r="J185" i="17"/>
  <c r="J184" i="17"/>
  <c r="B177" i="17"/>
  <c r="H176" i="17"/>
  <c r="H175" i="17"/>
  <c r="C170" i="17"/>
  <c r="J169" i="17"/>
  <c r="B163" i="17"/>
  <c r="G162" i="17"/>
  <c r="N161" i="17"/>
  <c r="C156" i="17"/>
  <c r="I155" i="17"/>
  <c r="C151" i="17"/>
  <c r="O150" i="17"/>
  <c r="H146" i="17"/>
  <c r="D142" i="17"/>
  <c r="I141" i="17"/>
  <c r="B138" i="17"/>
  <c r="I137" i="17"/>
  <c r="C134" i="17"/>
  <c r="N133" i="17"/>
  <c r="B131" i="17"/>
  <c r="J130" i="17"/>
  <c r="I128" i="17"/>
  <c r="H125" i="17"/>
  <c r="G122" i="17"/>
  <c r="O121" i="17"/>
  <c r="H120" i="17"/>
  <c r="C119" i="17"/>
  <c r="O118" i="17"/>
  <c r="K117" i="17"/>
  <c r="F116" i="17"/>
  <c r="H114" i="17"/>
  <c r="B113" i="17"/>
  <c r="L112" i="17"/>
  <c r="G111" i="17"/>
  <c r="C110" i="17"/>
  <c r="N109" i="17"/>
  <c r="F108" i="17"/>
  <c r="O107" i="17"/>
  <c r="F105" i="17"/>
  <c r="B103" i="17"/>
  <c r="G102" i="17"/>
  <c r="B100" i="17"/>
  <c r="I99" i="17"/>
  <c r="C97" i="17"/>
  <c r="I96" i="17"/>
  <c r="D94" i="17"/>
  <c r="N93" i="17"/>
  <c r="D91" i="17"/>
  <c r="O90" i="17"/>
  <c r="C89" i="17"/>
  <c r="N88" i="17"/>
  <c r="F86" i="17"/>
  <c r="O85" i="17"/>
  <c r="C84" i="17"/>
  <c r="N83" i="17"/>
  <c r="B82" i="17"/>
  <c r="I81" i="17"/>
  <c r="G79" i="17"/>
  <c r="D77" i="17"/>
  <c r="N76" i="17"/>
  <c r="B75" i="17"/>
  <c r="K74" i="17"/>
  <c r="C73" i="17"/>
  <c r="G72" i="17"/>
  <c r="D69" i="17"/>
  <c r="N68" i="17"/>
  <c r="D66" i="17"/>
  <c r="O65" i="17"/>
  <c r="F63" i="17"/>
  <c r="O62" i="17"/>
  <c r="F60" i="17"/>
  <c r="O59" i="17"/>
  <c r="B58" i="17"/>
  <c r="G57" i="17"/>
  <c r="D54" i="17"/>
  <c r="N53" i="17"/>
  <c r="B51" i="17"/>
  <c r="I50" i="17"/>
  <c r="B48" i="17"/>
  <c r="G47" i="17"/>
  <c r="B45" i="17"/>
  <c r="I44" i="17"/>
  <c r="B42" i="17"/>
  <c r="G41" i="17"/>
  <c r="B39" i="17"/>
  <c r="F38" i="17"/>
  <c r="O37" i="17"/>
  <c r="C36" i="17"/>
  <c r="I35" i="17"/>
  <c r="G33" i="17"/>
  <c r="D31" i="17"/>
  <c r="N30" i="17"/>
  <c r="F29" i="17"/>
  <c r="O28" i="17"/>
  <c r="F26" i="17"/>
  <c r="B24" i="17"/>
  <c r="G23" i="17"/>
  <c r="C21" i="17"/>
  <c r="I20" i="17"/>
  <c r="C18" i="17"/>
  <c r="G194" i="17"/>
  <c r="O193" i="17"/>
  <c r="H187" i="17"/>
  <c r="N186" i="17"/>
  <c r="B185" i="17"/>
  <c r="D184" i="17"/>
  <c r="D175" i="17"/>
  <c r="N174" i="17"/>
  <c r="D173" i="17"/>
  <c r="F162" i="17"/>
  <c r="C161" i="17"/>
  <c r="I160" i="17"/>
  <c r="F141" i="17"/>
  <c r="N140" i="17"/>
  <c r="F139" i="17"/>
  <c r="G138" i="17"/>
  <c r="B137" i="17"/>
  <c r="F136" i="17"/>
  <c r="B135" i="17"/>
  <c r="B134" i="17"/>
  <c r="G133" i="17"/>
  <c r="C132" i="17"/>
  <c r="F128" i="17"/>
  <c r="J127" i="17"/>
  <c r="D126" i="17"/>
  <c r="C125" i="17"/>
  <c r="J124" i="17"/>
  <c r="H123" i="17"/>
  <c r="D122" i="17"/>
  <c r="J121" i="17"/>
  <c r="N120" i="17"/>
  <c r="B116" i="17"/>
  <c r="J115" i="17"/>
  <c r="N114" i="17"/>
  <c r="B108" i="17"/>
  <c r="B107" i="17"/>
  <c r="O81" i="17"/>
  <c r="O80" i="17"/>
  <c r="O79" i="17"/>
  <c r="O78" i="17"/>
  <c r="O74" i="17"/>
  <c r="F72" i="17"/>
  <c r="N71" i="17"/>
  <c r="C70" i="17"/>
  <c r="B69" i="17"/>
  <c r="I51" i="17"/>
  <c r="O50" i="17"/>
  <c r="O49" i="17"/>
  <c r="N48" i="17"/>
  <c r="N47" i="17"/>
  <c r="O46" i="17"/>
  <c r="I41" i="17"/>
  <c r="O40" i="17"/>
  <c r="I39" i="17"/>
  <c r="O38" i="17"/>
  <c r="D32" i="17"/>
  <c r="N31" i="17"/>
  <c r="B29" i="17"/>
  <c r="C28" i="17"/>
  <c r="F27" i="17"/>
  <c r="N26" i="17"/>
  <c r="G21" i="17"/>
  <c r="G20" i="17"/>
  <c r="N19" i="17"/>
  <c r="B17" i="17"/>
  <c r="K16" i="17"/>
  <c r="G15" i="17"/>
  <c r="C13" i="17"/>
  <c r="G12" i="17"/>
  <c r="B10" i="17"/>
  <c r="H9" i="17"/>
  <c r="I7" i="17"/>
  <c r="D6" i="17"/>
  <c r="O5" i="17"/>
  <c r="O465" i="16"/>
  <c r="M464" i="16"/>
  <c r="L463" i="16"/>
  <c r="L462" i="16"/>
  <c r="H461" i="16"/>
  <c r="H460" i="16"/>
  <c r="E459" i="16"/>
  <c r="O457" i="16"/>
  <c r="P456" i="16"/>
  <c r="P455" i="16"/>
  <c r="R454" i="16"/>
  <c r="D454" i="16"/>
  <c r="F453" i="16"/>
  <c r="C452" i="16"/>
  <c r="O450" i="16"/>
  <c r="M449" i="16"/>
  <c r="K448" i="16"/>
  <c r="I447" i="16"/>
  <c r="H446" i="16"/>
  <c r="F445" i="16"/>
  <c r="D444" i="16"/>
  <c r="M442" i="16"/>
  <c r="M441" i="16"/>
  <c r="L440" i="16"/>
  <c r="H439" i="16"/>
  <c r="F438" i="16"/>
  <c r="F437" i="16"/>
  <c r="C436" i="16"/>
  <c r="O434" i="16"/>
  <c r="K433" i="16"/>
  <c r="G432" i="16"/>
  <c r="D431" i="16"/>
  <c r="C430" i="16"/>
  <c r="M428" i="16"/>
  <c r="L427" i="16"/>
  <c r="L426" i="16"/>
  <c r="M425" i="16"/>
  <c r="L424" i="16"/>
  <c r="I423" i="16"/>
  <c r="I422" i="16"/>
  <c r="I421" i="16"/>
  <c r="G420" i="16"/>
  <c r="F419" i="16"/>
  <c r="E418" i="16"/>
  <c r="C417" i="16"/>
  <c r="P415" i="16"/>
  <c r="M414" i="16"/>
  <c r="L413" i="16"/>
  <c r="K412" i="16"/>
  <c r="I411" i="16"/>
  <c r="G410" i="16"/>
  <c r="F409" i="16"/>
  <c r="E408" i="16"/>
  <c r="C407" i="16"/>
  <c r="P405" i="16"/>
  <c r="M404" i="16"/>
  <c r="L403" i="16"/>
  <c r="K402" i="16"/>
  <c r="I401" i="16"/>
  <c r="I400" i="16"/>
  <c r="I399" i="16"/>
  <c r="I398" i="16"/>
  <c r="I397" i="16"/>
  <c r="I396" i="16"/>
  <c r="I395" i="16"/>
  <c r="I394" i="16"/>
  <c r="I393" i="16"/>
  <c r="I392" i="16"/>
  <c r="I391" i="16"/>
  <c r="I390" i="16"/>
  <c r="H389" i="16"/>
  <c r="F388" i="16"/>
  <c r="I447" i="17"/>
  <c r="K249" i="17"/>
  <c r="L195" i="17"/>
  <c r="D194" i="17"/>
  <c r="L193" i="17"/>
  <c r="D187" i="17"/>
  <c r="B186" i="17"/>
  <c r="B176" i="17"/>
  <c r="B175" i="17"/>
  <c r="F174" i="17"/>
  <c r="O163" i="17"/>
  <c r="C162" i="17"/>
  <c r="F160" i="17"/>
  <c r="G143" i="17"/>
  <c r="I142" i="17"/>
  <c r="C141" i="17"/>
  <c r="I140" i="17"/>
  <c r="C128" i="17"/>
  <c r="C127" i="17"/>
  <c r="B125" i="17"/>
  <c r="H124" i="17"/>
  <c r="D123" i="17"/>
  <c r="B122" i="17"/>
  <c r="I121" i="17"/>
  <c r="K120" i="17"/>
  <c r="F115" i="17"/>
  <c r="G114" i="17"/>
  <c r="O113" i="17"/>
  <c r="K112" i="17"/>
  <c r="O86" i="17"/>
  <c r="H81" i="17"/>
  <c r="G80" i="17"/>
  <c r="F79" i="17"/>
  <c r="N78" i="17"/>
  <c r="J74" i="17"/>
  <c r="I73" i="17"/>
  <c r="D72" i="17"/>
  <c r="G71" i="17"/>
  <c r="O52" i="17"/>
  <c r="F51" i="17"/>
  <c r="G50" i="17"/>
  <c r="N49" i="17"/>
  <c r="F48" i="17"/>
  <c r="F47" i="17"/>
  <c r="N46" i="17"/>
  <c r="N45" i="17"/>
  <c r="O44" i="17"/>
  <c r="O43" i="17"/>
  <c r="N42" i="17"/>
  <c r="F41" i="17"/>
  <c r="N40" i="17"/>
  <c r="H39" i="17"/>
  <c r="N38" i="17"/>
  <c r="N37" i="17"/>
  <c r="C32" i="17"/>
  <c r="I31" i="17"/>
  <c r="B28" i="17"/>
  <c r="D27" i="17"/>
  <c r="I26" i="17"/>
  <c r="F21" i="17"/>
  <c r="F20" i="17"/>
  <c r="F19" i="17"/>
  <c r="O18" i="17"/>
  <c r="J16" i="17"/>
  <c r="F15" i="17"/>
  <c r="O14" i="17"/>
  <c r="B13" i="17"/>
  <c r="F12" i="17"/>
  <c r="O11" i="17"/>
  <c r="G9" i="17"/>
  <c r="H7" i="17"/>
  <c r="C6" i="17"/>
  <c r="N5" i="17"/>
  <c r="M465" i="16"/>
  <c r="L464" i="16"/>
  <c r="K463" i="16"/>
  <c r="K462" i="16"/>
  <c r="G461" i="16"/>
  <c r="G460" i="16"/>
  <c r="D459" i="16"/>
  <c r="M457" i="16"/>
  <c r="O456" i="16"/>
  <c r="O455" i="16"/>
  <c r="P454" i="16"/>
  <c r="C454" i="16"/>
  <c r="E453" i="16"/>
  <c r="P451" i="16"/>
  <c r="M450" i="16"/>
  <c r="L449" i="16"/>
  <c r="G448" i="16"/>
  <c r="H447" i="16"/>
  <c r="G446" i="16"/>
  <c r="E445" i="16"/>
  <c r="C444" i="16"/>
  <c r="L442" i="16"/>
  <c r="L441" i="16"/>
  <c r="K440" i="16"/>
  <c r="G439" i="16"/>
  <c r="E438" i="16"/>
  <c r="E437" i="16"/>
  <c r="O435" i="16"/>
  <c r="M434" i="16"/>
  <c r="H433" i="16"/>
  <c r="F432" i="16"/>
  <c r="C431" i="16"/>
  <c r="O429" i="16"/>
  <c r="L428" i="16"/>
  <c r="K427" i="16"/>
  <c r="K426" i="16"/>
  <c r="L425" i="16"/>
  <c r="K424" i="16"/>
  <c r="H423" i="16"/>
  <c r="H422" i="16"/>
  <c r="G421" i="16"/>
  <c r="F420" i="16"/>
  <c r="E419" i="16"/>
  <c r="D418" i="16"/>
  <c r="P416" i="16"/>
  <c r="M415" i="16"/>
  <c r="L414" i="16"/>
  <c r="K413" i="16"/>
  <c r="I412" i="16"/>
  <c r="H411" i="16"/>
  <c r="F410" i="16"/>
  <c r="E409" i="16"/>
  <c r="D408" i="16"/>
  <c r="P406" i="16"/>
  <c r="F210" i="17"/>
  <c r="B194" i="17"/>
  <c r="G193" i="17"/>
  <c r="H188" i="17"/>
  <c r="O164" i="17"/>
  <c r="O146" i="17"/>
  <c r="C143" i="17"/>
  <c r="B142" i="17"/>
  <c r="B141" i="17"/>
  <c r="F140" i="17"/>
  <c r="B124" i="17"/>
  <c r="C121" i="17"/>
  <c r="G120" i="17"/>
  <c r="C115" i="17"/>
  <c r="F114" i="17"/>
  <c r="H113" i="17"/>
  <c r="J112" i="17"/>
  <c r="O92" i="17"/>
  <c r="N91" i="17"/>
  <c r="N90" i="17"/>
  <c r="O87" i="17"/>
  <c r="I86" i="17"/>
  <c r="N85" i="17"/>
  <c r="I84" i="17"/>
  <c r="I83" i="17"/>
  <c r="H82" i="17"/>
  <c r="G81" i="17"/>
  <c r="D80" i="17"/>
  <c r="D79" i="17"/>
  <c r="I78" i="17"/>
  <c r="O77" i="17"/>
  <c r="I76" i="17"/>
  <c r="H75" i="17"/>
  <c r="I74" i="17"/>
  <c r="G73" i="17"/>
  <c r="C72" i="17"/>
  <c r="B71" i="17"/>
  <c r="O54" i="17"/>
  <c r="G53" i="17"/>
  <c r="N52" i="17"/>
  <c r="D51" i="17"/>
  <c r="F50" i="17"/>
  <c r="D49" i="17"/>
  <c r="D48" i="17"/>
  <c r="D47" i="17"/>
  <c r="I46" i="17"/>
  <c r="F45" i="17"/>
  <c r="G44" i="17"/>
  <c r="N43" i="17"/>
  <c r="F42" i="17"/>
  <c r="D41" i="17"/>
  <c r="G40" i="17"/>
  <c r="F39" i="17"/>
  <c r="D38" i="17"/>
  <c r="I37" i="17"/>
  <c r="N36" i="17"/>
  <c r="B32" i="17"/>
  <c r="H31" i="17"/>
  <c r="L30" i="17"/>
  <c r="C27" i="17"/>
  <c r="D26" i="17"/>
  <c r="O25" i="17"/>
  <c r="B21" i="17"/>
  <c r="D20" i="17"/>
  <c r="D19" i="17"/>
  <c r="N18" i="17"/>
  <c r="I16" i="17"/>
  <c r="D15" i="17"/>
  <c r="N14" i="17"/>
  <c r="D12" i="17"/>
  <c r="N11" i="17"/>
  <c r="F9" i="17"/>
  <c r="O8" i="17"/>
  <c r="G7" i="17"/>
  <c r="B6" i="17"/>
  <c r="L5" i="17"/>
  <c r="L465" i="16"/>
  <c r="K464" i="16"/>
  <c r="J463" i="16"/>
  <c r="G462" i="16"/>
  <c r="F461" i="16"/>
  <c r="F460" i="16"/>
  <c r="C459" i="16"/>
  <c r="L457" i="16"/>
  <c r="M456" i="16"/>
  <c r="M455" i="16"/>
  <c r="O454" i="16"/>
  <c r="R453" i="16"/>
  <c r="D453" i="16"/>
  <c r="O451" i="16"/>
  <c r="L450" i="16"/>
  <c r="K449" i="16"/>
  <c r="F448" i="16"/>
  <c r="G447" i="16"/>
  <c r="F446" i="16"/>
  <c r="D445" i="16"/>
  <c r="O443" i="16"/>
  <c r="K442" i="16"/>
  <c r="K441" i="16"/>
  <c r="H440" i="16"/>
  <c r="F439" i="16"/>
  <c r="D438" i="16"/>
  <c r="D437" i="16"/>
  <c r="M435" i="16"/>
  <c r="L434" i="16"/>
  <c r="G433" i="16"/>
  <c r="E432" i="16"/>
  <c r="O430" i="16"/>
  <c r="M429" i="16"/>
  <c r="K428" i="16"/>
  <c r="I427" i="16"/>
  <c r="J426" i="16"/>
  <c r="K425" i="16"/>
  <c r="G424" i="16"/>
  <c r="G423" i="16"/>
  <c r="G422" i="16"/>
  <c r="F421" i="16"/>
  <c r="E420" i="16"/>
  <c r="D419" i="16"/>
  <c r="C418" i="16"/>
  <c r="M416" i="16"/>
  <c r="L415" i="16"/>
  <c r="K414" i="16"/>
  <c r="I413" i="16"/>
  <c r="H412" i="16"/>
  <c r="G411" i="16"/>
  <c r="E410" i="16"/>
  <c r="D409" i="16"/>
  <c r="C408" i="16"/>
  <c r="M406" i="16"/>
  <c r="L405" i="16"/>
  <c r="K404" i="16"/>
  <c r="I403" i="16"/>
  <c r="H402" i="16"/>
  <c r="G401" i="16"/>
  <c r="G400" i="16"/>
  <c r="G399" i="16"/>
  <c r="G398" i="16"/>
  <c r="G397" i="16"/>
  <c r="G396" i="16"/>
  <c r="G395" i="16"/>
  <c r="G394" i="16"/>
  <c r="G393" i="16"/>
  <c r="G392" i="16"/>
  <c r="G391" i="16"/>
  <c r="G390" i="16"/>
  <c r="F389" i="16"/>
  <c r="D388" i="16"/>
  <c r="F277" i="17"/>
  <c r="I232" i="17"/>
  <c r="F220" i="17"/>
  <c r="F204" i="17"/>
  <c r="O196" i="17"/>
  <c r="H177" i="17"/>
  <c r="F165" i="17"/>
  <c r="G164" i="17"/>
  <c r="G146" i="17"/>
  <c r="N145" i="17"/>
  <c r="F144" i="17"/>
  <c r="F120" i="17"/>
  <c r="I119" i="17"/>
  <c r="D114" i="17"/>
  <c r="F113" i="17"/>
  <c r="I112" i="17"/>
  <c r="O111" i="17"/>
  <c r="O94" i="17"/>
  <c r="I93" i="17"/>
  <c r="F92" i="17"/>
  <c r="C91" i="17"/>
  <c r="J90" i="17"/>
  <c r="N89" i="17"/>
  <c r="I88" i="17"/>
  <c r="F87" i="17"/>
  <c r="D86" i="17"/>
  <c r="I85" i="17"/>
  <c r="G84" i="17"/>
  <c r="H83" i="17"/>
  <c r="F82" i="17"/>
  <c r="F81" i="17"/>
  <c r="C79" i="17"/>
  <c r="D78" i="17"/>
  <c r="I77" i="17"/>
  <c r="H76" i="17"/>
  <c r="F75" i="17"/>
  <c r="H74" i="17"/>
  <c r="B73" i="17"/>
  <c r="I54" i="17"/>
  <c r="F53" i="17"/>
  <c r="C52" i="17"/>
  <c r="D50" i="17"/>
  <c r="B49" i="17"/>
  <c r="C47" i="17"/>
  <c r="C46" i="17"/>
  <c r="D45" i="17"/>
  <c r="F44" i="17"/>
  <c r="D43" i="17"/>
  <c r="D42" i="17"/>
  <c r="C41" i="17"/>
  <c r="B40" i="17"/>
  <c r="D39" i="17"/>
  <c r="C38" i="17"/>
  <c r="H37" i="17"/>
  <c r="I36" i="17"/>
  <c r="O35" i="17"/>
  <c r="G31" i="17"/>
  <c r="K30" i="17"/>
  <c r="C26" i="17"/>
  <c r="N25" i="17"/>
  <c r="C19" i="17"/>
  <c r="I18" i="17"/>
  <c r="H16" i="17"/>
  <c r="C15" i="17"/>
  <c r="I14" i="17"/>
  <c r="C12" i="17"/>
  <c r="G11" i="17"/>
  <c r="D9" i="17"/>
  <c r="N8" i="17"/>
  <c r="F7" i="17"/>
  <c r="O6" i="17"/>
  <c r="K5" i="17"/>
  <c r="K465" i="16"/>
  <c r="H464" i="16"/>
  <c r="I463" i="16"/>
  <c r="F462" i="16"/>
  <c r="E461" i="16"/>
  <c r="E460" i="16"/>
  <c r="O458" i="16"/>
  <c r="K457" i="16"/>
  <c r="L456" i="16"/>
  <c r="L455" i="16"/>
  <c r="M454" i="16"/>
  <c r="P453" i="16"/>
  <c r="C453" i="16"/>
  <c r="M451" i="16"/>
  <c r="K450" i="16"/>
  <c r="G449" i="16"/>
  <c r="E448" i="16"/>
  <c r="F447" i="16"/>
  <c r="E446" i="16"/>
  <c r="C445" i="16"/>
  <c r="M443" i="16"/>
  <c r="I442" i="16"/>
  <c r="J441" i="16"/>
  <c r="G440" i="16"/>
  <c r="E439" i="16"/>
  <c r="C438" i="16"/>
  <c r="C437" i="16"/>
  <c r="L435" i="16"/>
  <c r="K434" i="16"/>
  <c r="F433" i="16"/>
  <c r="D432" i="16"/>
  <c r="M430" i="16"/>
  <c r="L429" i="16"/>
  <c r="I428" i="16"/>
  <c r="H427" i="16"/>
  <c r="I426" i="16"/>
  <c r="I425" i="16"/>
  <c r="F424" i="16"/>
  <c r="F423" i="16"/>
  <c r="F422" i="16"/>
  <c r="E421" i="16"/>
  <c r="D420" i="16"/>
  <c r="C419" i="16"/>
  <c r="P417" i="16"/>
  <c r="L416" i="16"/>
  <c r="K415" i="16"/>
  <c r="I414" i="16"/>
  <c r="H413" i="16"/>
  <c r="G412" i="16"/>
  <c r="F411" i="16"/>
  <c r="D410" i="16"/>
  <c r="C409" i="16"/>
  <c r="P407" i="16"/>
  <c r="L406" i="16"/>
  <c r="K405" i="16"/>
  <c r="I404" i="16"/>
  <c r="H403" i="16"/>
  <c r="G402" i="16"/>
  <c r="F401" i="16"/>
  <c r="F400" i="16"/>
  <c r="F399" i="16"/>
  <c r="F398" i="16"/>
  <c r="F397" i="16"/>
  <c r="F396" i="16"/>
  <c r="F395" i="16"/>
  <c r="F394" i="16"/>
  <c r="F393" i="16"/>
  <c r="F392" i="16"/>
  <c r="F391" i="16"/>
  <c r="F390" i="16"/>
  <c r="E389" i="16"/>
  <c r="N351" i="17"/>
  <c r="D233" i="17"/>
  <c r="F221" i="17"/>
  <c r="F211" i="17"/>
  <c r="G147" i="17"/>
  <c r="F146" i="17"/>
  <c r="I145" i="17"/>
  <c r="D120" i="17"/>
  <c r="G119" i="17"/>
  <c r="N118" i="17"/>
  <c r="D112" i="17"/>
  <c r="J111" i="17"/>
  <c r="G96" i="17"/>
  <c r="O95" i="17"/>
  <c r="I94" i="17"/>
  <c r="G93" i="17"/>
  <c r="C92" i="17"/>
  <c r="B91" i="17"/>
  <c r="I90" i="17"/>
  <c r="G89" i="17"/>
  <c r="G88" i="17"/>
  <c r="C87" i="17"/>
  <c r="C86" i="17"/>
  <c r="H85" i="17"/>
  <c r="B84" i="17"/>
  <c r="G83" i="17"/>
  <c r="B78" i="17"/>
  <c r="C77" i="17"/>
  <c r="G76" i="17"/>
  <c r="C74" i="17"/>
  <c r="O57" i="17"/>
  <c r="O56" i="17"/>
  <c r="F55" i="17"/>
  <c r="C54" i="17"/>
  <c r="D53" i="17"/>
  <c r="D44" i="17"/>
  <c r="B43" i="17"/>
  <c r="B38" i="17"/>
  <c r="D37" i="17"/>
  <c r="G36" i="17"/>
  <c r="H35" i="17"/>
  <c r="O34" i="17"/>
  <c r="C31" i="17"/>
  <c r="J30" i="17"/>
  <c r="B26" i="17"/>
  <c r="I25" i="17"/>
  <c r="N24" i="17"/>
  <c r="B19" i="17"/>
  <c r="G18" i="17"/>
  <c r="G16" i="17"/>
  <c r="B15" i="17"/>
  <c r="G14" i="17"/>
  <c r="B12" i="17"/>
  <c r="F11" i="17"/>
  <c r="O10" i="17"/>
  <c r="C9" i="17"/>
  <c r="J8" i="17"/>
  <c r="D7" i="17"/>
  <c r="N6" i="17"/>
  <c r="J5" i="17"/>
  <c r="I465" i="16"/>
  <c r="G464" i="16"/>
  <c r="H463" i="16"/>
  <c r="E462" i="16"/>
  <c r="D461" i="16"/>
  <c r="D460" i="16"/>
  <c r="M458" i="16"/>
  <c r="I457" i="16"/>
  <c r="K456" i="16"/>
  <c r="K455" i="16"/>
  <c r="L454" i="16"/>
  <c r="O453" i="16"/>
  <c r="O452" i="16"/>
  <c r="L451" i="16"/>
  <c r="I450" i="16"/>
  <c r="F449" i="16"/>
  <c r="D448" i="16"/>
  <c r="E447" i="16"/>
  <c r="D446" i="16"/>
  <c r="P444" i="16"/>
  <c r="L443" i="16"/>
  <c r="H442" i="16"/>
  <c r="H441" i="16"/>
  <c r="F440" i="16"/>
  <c r="D439" i="16"/>
  <c r="P437" i="16"/>
  <c r="O436" i="16"/>
  <c r="K435" i="16"/>
  <c r="G434" i="16"/>
  <c r="E433" i="16"/>
  <c r="C432" i="16"/>
  <c r="L430" i="16"/>
  <c r="K429" i="16"/>
  <c r="H428" i="16"/>
  <c r="G427" i="16"/>
  <c r="H426" i="16"/>
  <c r="H425" i="16"/>
  <c r="E424" i="16"/>
  <c r="E423" i="16"/>
  <c r="E422" i="16"/>
  <c r="D421" i="16"/>
  <c r="C420" i="16"/>
  <c r="P418" i="16"/>
  <c r="M417" i="16"/>
  <c r="K416" i="16"/>
  <c r="I415" i="16"/>
  <c r="H414" i="16"/>
  <c r="G413" i="16"/>
  <c r="F412" i="16"/>
  <c r="E411" i="16"/>
  <c r="C410" i="16"/>
  <c r="P408" i="16"/>
  <c r="M407" i="16"/>
  <c r="K406" i="16"/>
  <c r="I405" i="16"/>
  <c r="H404" i="16"/>
  <c r="G403" i="16"/>
  <c r="F402" i="16"/>
  <c r="E401" i="16"/>
  <c r="E400" i="16"/>
  <c r="E399" i="16"/>
  <c r="E398" i="16"/>
  <c r="E397" i="16"/>
  <c r="E396" i="16"/>
  <c r="E395" i="16"/>
  <c r="B233" i="17"/>
  <c r="F205" i="17"/>
  <c r="I197" i="17"/>
  <c r="J178" i="17"/>
  <c r="F166" i="17"/>
  <c r="N151" i="17"/>
  <c r="N150" i="17"/>
  <c r="O149" i="17"/>
  <c r="I148" i="17"/>
  <c r="C146" i="17"/>
  <c r="G145" i="17"/>
  <c r="B119" i="17"/>
  <c r="L118" i="17"/>
  <c r="B112" i="17"/>
  <c r="F111" i="17"/>
  <c r="O110" i="17"/>
  <c r="O98" i="17"/>
  <c r="N97" i="17"/>
  <c r="F96" i="17"/>
  <c r="F95" i="17"/>
  <c r="C94" i="17"/>
  <c r="F93" i="17"/>
  <c r="D90" i="17"/>
  <c r="B89" i="17"/>
  <c r="F88" i="17"/>
  <c r="B86" i="17"/>
  <c r="C85" i="17"/>
  <c r="B83" i="17"/>
  <c r="B77" i="17"/>
  <c r="B76" i="17"/>
  <c r="O60" i="17"/>
  <c r="F57" i="17"/>
  <c r="N56" i="17"/>
  <c r="C55" i="17"/>
  <c r="B54" i="17"/>
  <c r="C37" i="17"/>
  <c r="F36" i="17"/>
  <c r="G35" i="17"/>
  <c r="H34" i="17"/>
  <c r="B31" i="17"/>
  <c r="G30" i="17"/>
  <c r="D25" i="17"/>
  <c r="I24" i="17"/>
  <c r="O23" i="17"/>
  <c r="F18" i="17"/>
  <c r="H206" i="17"/>
  <c r="I199" i="17"/>
  <c r="D198" i="17"/>
  <c r="C190" i="17"/>
  <c r="I180" i="17"/>
  <c r="C179" i="17"/>
  <c r="H169" i="17"/>
  <c r="N167" i="17"/>
  <c r="F155" i="17"/>
  <c r="D153" i="17"/>
  <c r="I152" i="17"/>
  <c r="G150" i="17"/>
  <c r="G118" i="17"/>
  <c r="J117" i="17"/>
  <c r="C111" i="17"/>
  <c r="I110" i="17"/>
  <c r="L109" i="17"/>
  <c r="N105" i="17"/>
  <c r="F102" i="17"/>
  <c r="N101" i="17"/>
  <c r="N100" i="17"/>
  <c r="F99" i="17"/>
  <c r="D98" i="17"/>
  <c r="B97" i="17"/>
  <c r="O66" i="17"/>
  <c r="N63" i="17"/>
  <c r="N62" i="17"/>
  <c r="F61" i="17"/>
  <c r="D60" i="17"/>
  <c r="I59" i="17"/>
  <c r="F58" i="17"/>
  <c r="C57" i="17"/>
  <c r="B56" i="17"/>
  <c r="B35" i="17"/>
  <c r="F34" i="17"/>
  <c r="N33" i="17"/>
  <c r="D30" i="17"/>
  <c r="O29" i="17"/>
  <c r="B25" i="17"/>
  <c r="F24" i="17"/>
  <c r="F23" i="17"/>
  <c r="N22" i="17"/>
  <c r="B18" i="17"/>
  <c r="I17" i="17"/>
  <c r="C16" i="17"/>
  <c r="L15" i="17"/>
  <c r="C14" i="17"/>
  <c r="N13" i="17"/>
  <c r="B11" i="17"/>
  <c r="H10" i="17"/>
  <c r="G8" i="17"/>
  <c r="J6" i="17"/>
  <c r="G5" i="17"/>
  <c r="F465" i="16"/>
  <c r="D464" i="16"/>
  <c r="E463" i="16"/>
  <c r="O461" i="16"/>
  <c r="O460" i="16"/>
  <c r="M459" i="16"/>
  <c r="G458" i="16"/>
  <c r="F457" i="16"/>
  <c r="G456" i="16"/>
  <c r="G455" i="16"/>
  <c r="I454" i="16"/>
  <c r="K453" i="16"/>
  <c r="K452" i="16"/>
  <c r="F451" i="16"/>
  <c r="F450" i="16"/>
  <c r="C449" i="16"/>
  <c r="P447" i="16"/>
  <c r="O446" i="16"/>
  <c r="O445" i="16"/>
  <c r="L444" i="16"/>
  <c r="F443" i="16"/>
  <c r="E442" i="16"/>
  <c r="E441" i="16"/>
  <c r="C440" i="16"/>
  <c r="M438" i="16"/>
  <c r="L437" i="16"/>
  <c r="K436" i="16"/>
  <c r="G435" i="16"/>
  <c r="D434" i="16"/>
  <c r="O432" i="16"/>
  <c r="L431" i="16"/>
  <c r="H430" i="16"/>
  <c r="F429" i="16"/>
  <c r="E428" i="16"/>
  <c r="D427" i="16"/>
  <c r="E426" i="16"/>
  <c r="E425" i="16"/>
  <c r="P423" i="16"/>
  <c r="P422" i="16"/>
  <c r="P421" i="16"/>
  <c r="M420" i="16"/>
  <c r="L419" i="16"/>
  <c r="K418" i="16"/>
  <c r="H417" i="16"/>
  <c r="G416" i="16"/>
  <c r="F415" i="16"/>
  <c r="E414" i="16"/>
  <c r="D413" i="16"/>
  <c r="C412" i="16"/>
  <c r="P410" i="16"/>
  <c r="L409" i="16"/>
  <c r="K408" i="16"/>
  <c r="H407" i="16"/>
  <c r="G406" i="16"/>
  <c r="F405" i="16"/>
  <c r="E404" i="16"/>
  <c r="D403" i="16"/>
  <c r="C402" i="16"/>
  <c r="P400" i="16"/>
  <c r="P399" i="16"/>
  <c r="P398" i="16"/>
  <c r="P397" i="16"/>
  <c r="P396" i="16"/>
  <c r="P395" i="16"/>
  <c r="P394" i="16"/>
  <c r="P393" i="16"/>
  <c r="P392" i="16"/>
  <c r="P391" i="16"/>
  <c r="P390" i="16"/>
  <c r="P389" i="16"/>
  <c r="M388" i="16"/>
  <c r="K387" i="16"/>
  <c r="D257" i="17"/>
  <c r="F207" i="17"/>
  <c r="G201" i="17"/>
  <c r="B200" i="17"/>
  <c r="O182" i="17"/>
  <c r="O171" i="17"/>
  <c r="B169" i="17"/>
  <c r="G168" i="17"/>
  <c r="D157" i="17"/>
  <c r="B156" i="17"/>
  <c r="B155" i="17"/>
  <c r="N154" i="17"/>
  <c r="I130" i="17"/>
  <c r="H117" i="17"/>
  <c r="I116" i="17"/>
  <c r="B110" i="17"/>
  <c r="J109" i="17"/>
  <c r="N108" i="17"/>
  <c r="N107" i="17"/>
  <c r="G106" i="17"/>
  <c r="C105" i="17"/>
  <c r="N104" i="17"/>
  <c r="F103" i="17"/>
  <c r="C102" i="17"/>
  <c r="C101" i="17"/>
  <c r="O69" i="17"/>
  <c r="I68" i="17"/>
  <c r="F67" i="17"/>
  <c r="C66" i="17"/>
  <c r="G65" i="17"/>
  <c r="C64" i="17"/>
  <c r="C63" i="17"/>
  <c r="G62" i="17"/>
  <c r="B60" i="17"/>
  <c r="B59" i="17"/>
  <c r="C34" i="17"/>
  <c r="F33" i="17"/>
  <c r="N32" i="17"/>
  <c r="B30" i="17"/>
  <c r="I29" i="17"/>
  <c r="N28" i="17"/>
  <c r="C23" i="17"/>
  <c r="D22" i="17"/>
  <c r="O21" i="17"/>
  <c r="F17" i="17"/>
  <c r="O16" i="17"/>
  <c r="J15" i="17"/>
  <c r="G13" i="17"/>
  <c r="F10" i="17"/>
  <c r="O9" i="17"/>
  <c r="D8" i="17"/>
  <c r="O7" i="17"/>
  <c r="H6" i="17"/>
  <c r="D5" i="17"/>
  <c r="D465" i="16"/>
  <c r="P463" i="16"/>
  <c r="C463" i="16"/>
  <c r="L461" i="16"/>
  <c r="L460" i="16"/>
  <c r="K459" i="16"/>
  <c r="E458" i="16"/>
  <c r="D457" i="16"/>
  <c r="E456" i="16"/>
  <c r="E455" i="16"/>
  <c r="G454" i="16"/>
  <c r="I453" i="16"/>
  <c r="F452" i="16"/>
  <c r="D451" i="16"/>
  <c r="D450" i="16"/>
  <c r="O448" i="16"/>
  <c r="M447" i="16"/>
  <c r="L446" i="16"/>
  <c r="L445" i="16"/>
  <c r="G444" i="16"/>
  <c r="D443" i="16"/>
  <c r="C442" i="16"/>
  <c r="C441" i="16"/>
  <c r="M439" i="16"/>
  <c r="K438" i="16"/>
  <c r="J437" i="16"/>
  <c r="F436" i="16"/>
  <c r="E435" i="16"/>
  <c r="O433" i="16"/>
  <c r="L432" i="16"/>
  <c r="G431" i="16"/>
  <c r="F430" i="16"/>
  <c r="D429" i="16"/>
  <c r="C428" i="16"/>
  <c r="P426" i="16"/>
  <c r="C426" i="16"/>
  <c r="C425" i="16"/>
  <c r="O289" i="17"/>
  <c r="D284" i="17"/>
  <c r="B224" i="17"/>
  <c r="B214" i="17"/>
  <c r="G208" i="17"/>
  <c r="H184" i="17"/>
  <c r="O183" i="17"/>
  <c r="D182" i="17"/>
  <c r="G172" i="17"/>
  <c r="I171" i="17"/>
  <c r="D158" i="17"/>
  <c r="G137" i="17"/>
  <c r="O136" i="17"/>
  <c r="O135" i="17"/>
  <c r="O134" i="17"/>
  <c r="J133" i="17"/>
  <c r="O132" i="17"/>
  <c r="O131" i="17"/>
  <c r="H130" i="17"/>
  <c r="F129" i="17"/>
  <c r="O128" i="17"/>
  <c r="O125" i="17"/>
  <c r="C117" i="17"/>
  <c r="D116" i="17"/>
  <c r="O115" i="17"/>
  <c r="F109" i="17"/>
  <c r="D108" i="17"/>
  <c r="I107" i="17"/>
  <c r="D106" i="17"/>
  <c r="B105" i="17"/>
  <c r="I104" i="17"/>
  <c r="I69" i="17"/>
  <c r="G68" i="17"/>
  <c r="C67" i="17"/>
  <c r="B66" i="17"/>
  <c r="F65" i="17"/>
  <c r="B63" i="17"/>
  <c r="F227" i="17"/>
  <c r="B199" i="17"/>
  <c r="G175" i="17"/>
  <c r="D169" i="17"/>
  <c r="B151" i="17"/>
  <c r="C129" i="17"/>
  <c r="N116" i="17"/>
  <c r="D111" i="17"/>
  <c r="F100" i="17"/>
  <c r="I27" i="17"/>
  <c r="O20" i="17"/>
  <c r="H465" i="16"/>
  <c r="D463" i="16"/>
  <c r="I460" i="16"/>
  <c r="G457" i="16"/>
  <c r="D455" i="16"/>
  <c r="M452" i="16"/>
  <c r="E450" i="16"/>
  <c r="K447" i="16"/>
  <c r="M444" i="16"/>
  <c r="P441" i="16"/>
  <c r="C439" i="16"/>
  <c r="G436" i="16"/>
  <c r="L433" i="16"/>
  <c r="I430" i="16"/>
  <c r="O427" i="16"/>
  <c r="G425" i="16"/>
  <c r="C423" i="16"/>
  <c r="P420" i="16"/>
  <c r="L418" i="16"/>
  <c r="H416" i="16"/>
  <c r="F414" i="16"/>
  <c r="D412" i="16"/>
  <c r="M409" i="16"/>
  <c r="K407" i="16"/>
  <c r="H405" i="16"/>
  <c r="M403" i="16"/>
  <c r="M401" i="16"/>
  <c r="C400" i="16"/>
  <c r="H398" i="16"/>
  <c r="K396" i="16"/>
  <c r="M394" i="16"/>
  <c r="H393" i="16"/>
  <c r="M391" i="16"/>
  <c r="H390" i="16"/>
  <c r="L388" i="16"/>
  <c r="E387" i="16"/>
  <c r="C386" i="16"/>
  <c r="P384" i="16"/>
  <c r="L383" i="16"/>
  <c r="I382" i="16"/>
  <c r="G381" i="16"/>
  <c r="E380" i="16"/>
  <c r="C379" i="16"/>
  <c r="M377" i="16"/>
  <c r="K376" i="16"/>
  <c r="G375" i="16"/>
  <c r="E374" i="16"/>
  <c r="C373" i="16"/>
  <c r="M371" i="16"/>
  <c r="K370" i="16"/>
  <c r="G369" i="16"/>
  <c r="E368" i="16"/>
  <c r="C367" i="16"/>
  <c r="M365" i="16"/>
  <c r="K364" i="16"/>
  <c r="G363" i="16"/>
  <c r="E362" i="16"/>
  <c r="C361" i="16"/>
  <c r="M359" i="16"/>
  <c r="K358" i="16"/>
  <c r="G357" i="16"/>
  <c r="E356" i="16"/>
  <c r="C355" i="16"/>
  <c r="M353" i="16"/>
  <c r="K352" i="16"/>
  <c r="G351" i="16"/>
  <c r="E350" i="16"/>
  <c r="C349" i="16"/>
  <c r="M347" i="16"/>
  <c r="K346" i="16"/>
  <c r="H345" i="16"/>
  <c r="G344" i="16"/>
  <c r="F343" i="16"/>
  <c r="E342" i="16"/>
  <c r="D341" i="16"/>
  <c r="C340" i="16"/>
  <c r="P338" i="16"/>
  <c r="M337" i="16"/>
  <c r="L336" i="16"/>
  <c r="K335" i="16"/>
  <c r="I334" i="16"/>
  <c r="H333" i="16"/>
  <c r="G332" i="16"/>
  <c r="F331" i="16"/>
  <c r="E330" i="16"/>
  <c r="D329" i="16"/>
  <c r="C328" i="16"/>
  <c r="P326" i="16"/>
  <c r="M325" i="16"/>
  <c r="L324" i="16"/>
  <c r="K323" i="16"/>
  <c r="I322" i="16"/>
  <c r="H321" i="16"/>
  <c r="G320" i="16"/>
  <c r="F319" i="16"/>
  <c r="E318" i="16"/>
  <c r="D317" i="16"/>
  <c r="D316" i="16"/>
  <c r="D315" i="16"/>
  <c r="C314" i="16"/>
  <c r="M312" i="16"/>
  <c r="L311" i="16"/>
  <c r="K310" i="16"/>
  <c r="K309" i="16"/>
  <c r="K308" i="16"/>
  <c r="G307" i="16"/>
  <c r="F306" i="16"/>
  <c r="E305" i="16"/>
  <c r="D223" i="17"/>
  <c r="C180" i="17"/>
  <c r="N170" i="17"/>
  <c r="I136" i="17"/>
  <c r="G130" i="17"/>
  <c r="O117" i="17"/>
  <c r="C116" i="17"/>
  <c r="O101" i="17"/>
  <c r="C95" i="17"/>
  <c r="F68" i="17"/>
  <c r="D63" i="17"/>
  <c r="H58" i="17"/>
  <c r="F35" i="17"/>
  <c r="G27" i="17"/>
  <c r="O22" i="17"/>
  <c r="G465" i="16"/>
  <c r="O462" i="16"/>
  <c r="C460" i="16"/>
  <c r="E457" i="16"/>
  <c r="C455" i="16"/>
  <c r="L452" i="16"/>
  <c r="C450" i="16"/>
  <c r="G228" i="17"/>
  <c r="O200" i="17"/>
  <c r="B181" i="17"/>
  <c r="O159" i="17"/>
  <c r="O152" i="17"/>
  <c r="K118" i="17"/>
  <c r="I117" i="17"/>
  <c r="I101" i="17"/>
  <c r="I28" i="17"/>
  <c r="I22" i="17"/>
  <c r="N21" i="17"/>
  <c r="E465" i="16"/>
  <c r="M462" i="16"/>
  <c r="O459" i="16"/>
  <c r="C457" i="16"/>
  <c r="K454" i="16"/>
  <c r="G452" i="16"/>
  <c r="O449" i="16"/>
  <c r="C447" i="16"/>
  <c r="F444" i="16"/>
  <c r="G441" i="16"/>
  <c r="L438" i="16"/>
  <c r="D436" i="16"/>
  <c r="C433" i="16"/>
  <c r="E430" i="16"/>
  <c r="F427" i="16"/>
  <c r="D425" i="16"/>
  <c r="M422" i="16"/>
  <c r="K420" i="16"/>
  <c r="H418" i="16"/>
  <c r="E416" i="16"/>
  <c r="C414" i="16"/>
  <c r="M411" i="16"/>
  <c r="I409" i="16"/>
  <c r="F407" i="16"/>
  <c r="E405" i="16"/>
  <c r="F403" i="16"/>
  <c r="K401" i="16"/>
  <c r="L399" i="16"/>
  <c r="C398" i="16"/>
  <c r="H396" i="16"/>
  <c r="K394" i="16"/>
  <c r="D393" i="16"/>
  <c r="K391" i="16"/>
  <c r="D390" i="16"/>
  <c r="H388" i="16"/>
  <c r="C387" i="16"/>
  <c r="M385" i="16"/>
  <c r="L384" i="16"/>
  <c r="H383" i="16"/>
  <c r="G382" i="16"/>
  <c r="E381" i="16"/>
  <c r="C380" i="16"/>
  <c r="M378" i="16"/>
  <c r="K377" i="16"/>
  <c r="G376" i="16"/>
  <c r="E375" i="16"/>
  <c r="C374" i="16"/>
  <c r="M372" i="16"/>
  <c r="K371" i="16"/>
  <c r="G370" i="16"/>
  <c r="E369" i="16"/>
  <c r="C368" i="16"/>
  <c r="M366" i="16"/>
  <c r="K365" i="16"/>
  <c r="G364" i="16"/>
  <c r="E363" i="16"/>
  <c r="C362" i="16"/>
  <c r="M360" i="16"/>
  <c r="K359" i="16"/>
  <c r="G358" i="16"/>
  <c r="E357" i="16"/>
  <c r="C356" i="16"/>
  <c r="M354" i="16"/>
  <c r="K353" i="16"/>
  <c r="G352" i="16"/>
  <c r="E351" i="16"/>
  <c r="C350" i="16"/>
  <c r="M348" i="16"/>
  <c r="K347" i="16"/>
  <c r="G346" i="16"/>
  <c r="F345" i="16"/>
  <c r="E344" i="16"/>
  <c r="D343" i="16"/>
  <c r="C342" i="16"/>
  <c r="P340" i="16"/>
  <c r="M339" i="16"/>
  <c r="L338" i="16"/>
  <c r="K337" i="16"/>
  <c r="J336" i="16"/>
  <c r="H335" i="16"/>
  <c r="G334" i="16"/>
  <c r="F333" i="16"/>
  <c r="E332" i="16"/>
  <c r="D331" i="16"/>
  <c r="C330" i="16"/>
  <c r="P328" i="16"/>
  <c r="M327" i="16"/>
  <c r="L326" i="16"/>
  <c r="K325" i="16"/>
  <c r="I324" i="16"/>
  <c r="H323" i="16"/>
  <c r="G322" i="16"/>
  <c r="F321" i="16"/>
  <c r="E320" i="16"/>
  <c r="D319" i="16"/>
  <c r="C318" i="16"/>
  <c r="P316" i="16"/>
  <c r="P315" i="16"/>
  <c r="P314" i="16"/>
  <c r="L313" i="16"/>
  <c r="K312" i="16"/>
  <c r="I311" i="16"/>
  <c r="I310" i="16"/>
  <c r="I309" i="16"/>
  <c r="G308" i="16"/>
  <c r="E307" i="16"/>
  <c r="J234" i="17"/>
  <c r="D137" i="17"/>
  <c r="I131" i="17"/>
  <c r="N124" i="17"/>
  <c r="D118" i="17"/>
  <c r="O102" i="17"/>
  <c r="D96" i="17"/>
  <c r="F64" i="17"/>
  <c r="N59" i="17"/>
  <c r="N29" i="17"/>
  <c r="G28" i="17"/>
  <c r="N23" i="17"/>
  <c r="C22" i="17"/>
  <c r="I21" i="17"/>
  <c r="N10" i="17"/>
  <c r="I8" i="17"/>
  <c r="C465" i="16"/>
  <c r="D462" i="16"/>
  <c r="L459" i="16"/>
  <c r="R456" i="16"/>
  <c r="J454" i="16"/>
  <c r="E452" i="16"/>
  <c r="E449" i="16"/>
  <c r="M446" i="16"/>
  <c r="E444" i="16"/>
  <c r="F441" i="16"/>
  <c r="H438" i="16"/>
  <c r="I435" i="16"/>
  <c r="M432" i="16"/>
  <c r="D430" i="16"/>
  <c r="E427" i="16"/>
  <c r="O424" i="16"/>
  <c r="L422" i="16"/>
  <c r="I420" i="16"/>
  <c r="G418" i="16"/>
  <c r="D416" i="16"/>
  <c r="P413" i="16"/>
  <c r="L411" i="16"/>
  <c r="H409" i="16"/>
  <c r="E407" i="16"/>
  <c r="D405" i="16"/>
  <c r="E403" i="16"/>
  <c r="H401" i="16"/>
  <c r="K399" i="16"/>
  <c r="M397" i="16"/>
  <c r="D396" i="16"/>
  <c r="J394" i="16"/>
  <c r="C393" i="16"/>
  <c r="J391" i="16"/>
  <c r="C390" i="16"/>
  <c r="G388" i="16"/>
  <c r="P386" i="16"/>
  <c r="L385" i="16"/>
  <c r="K384" i="16"/>
  <c r="G383" i="16"/>
  <c r="F382" i="16"/>
  <c r="D381" i="16"/>
  <c r="P379" i="16"/>
  <c r="L378" i="16"/>
  <c r="H377" i="16"/>
  <c r="F376" i="16"/>
  <c r="D375" i="16"/>
  <c r="P373" i="16"/>
  <c r="L372" i="16"/>
  <c r="H371" i="16"/>
  <c r="F370" i="16"/>
  <c r="D369" i="16"/>
  <c r="P367" i="16"/>
  <c r="L366" i="16"/>
  <c r="H365" i="16"/>
  <c r="F364" i="16"/>
  <c r="D363" i="16"/>
  <c r="P361" i="16"/>
  <c r="L360" i="16"/>
  <c r="H359" i="16"/>
  <c r="F358" i="16"/>
  <c r="D357" i="16"/>
  <c r="P355" i="16"/>
  <c r="L354" i="16"/>
  <c r="H353" i="16"/>
  <c r="F352" i="16"/>
  <c r="D351" i="16"/>
  <c r="P349" i="16"/>
  <c r="L348" i="16"/>
  <c r="H347" i="16"/>
  <c r="F346" i="16"/>
  <c r="E345" i="16"/>
  <c r="D344" i="16"/>
  <c r="C343" i="16"/>
  <c r="P341" i="16"/>
  <c r="M340" i="16"/>
  <c r="L339" i="16"/>
  <c r="K338" i="16"/>
  <c r="I337" i="16"/>
  <c r="H336" i="16"/>
  <c r="G335" i="16"/>
  <c r="F334" i="16"/>
  <c r="E333" i="16"/>
  <c r="D332" i="16"/>
  <c r="C331" i="16"/>
  <c r="P329" i="16"/>
  <c r="M328" i="16"/>
  <c r="L327" i="16"/>
  <c r="K326" i="16"/>
  <c r="I325" i="16"/>
  <c r="H324" i="16"/>
  <c r="G323" i="16"/>
  <c r="F322" i="16"/>
  <c r="E321" i="16"/>
  <c r="D320" i="16"/>
  <c r="C319" i="16"/>
  <c r="P317" i="16"/>
  <c r="M316" i="16"/>
  <c r="O315" i="16"/>
  <c r="M314" i="16"/>
  <c r="K313" i="16"/>
  <c r="I312" i="16"/>
  <c r="H311" i="16"/>
  <c r="H310" i="16"/>
  <c r="H309" i="16"/>
  <c r="F308" i="16"/>
  <c r="D307" i="16"/>
  <c r="C306" i="16"/>
  <c r="P304" i="16"/>
  <c r="O160" i="17"/>
  <c r="D102" i="17"/>
  <c r="C69" i="17"/>
  <c r="G59" i="17"/>
  <c r="B36" i="17"/>
  <c r="F30" i="17"/>
  <c r="D29" i="17"/>
  <c r="D23" i="17"/>
  <c r="B22" i="17"/>
  <c r="O17" i="17"/>
  <c r="I10" i="17"/>
  <c r="N9" i="17"/>
  <c r="H8" i="17"/>
  <c r="O464" i="16"/>
  <c r="C462" i="16"/>
  <c r="G459" i="16"/>
  <c r="J456" i="16"/>
  <c r="J230" i="17"/>
  <c r="G161" i="17"/>
  <c r="O138" i="17"/>
  <c r="F132" i="17"/>
  <c r="F125" i="17"/>
  <c r="G107" i="17"/>
  <c r="N65" i="17"/>
  <c r="I60" i="17"/>
  <c r="C30" i="17"/>
  <c r="C29" i="17"/>
  <c r="G24" i="17"/>
  <c r="N17" i="17"/>
  <c r="N16" i="17"/>
  <c r="D11" i="17"/>
  <c r="G10" i="17"/>
  <c r="I9" i="17"/>
  <c r="F8" i="17"/>
  <c r="N7" i="17"/>
  <c r="L6" i="17"/>
  <c r="F464" i="16"/>
  <c r="M461" i="16"/>
  <c r="F459" i="16"/>
  <c r="H456" i="16"/>
  <c r="F454" i="16"/>
  <c r="K451" i="16"/>
  <c r="P448" i="16"/>
  <c r="I446" i="16"/>
  <c r="G443" i="16"/>
  <c r="O440" i="16"/>
  <c r="O437" i="16"/>
  <c r="F435" i="16"/>
  <c r="H432" i="16"/>
  <c r="G429" i="16"/>
  <c r="O426" i="16"/>
  <c r="D424" i="16"/>
  <c r="D422" i="16"/>
  <c r="P419" i="16"/>
  <c r="L417" i="16"/>
  <c r="H415" i="16"/>
  <c r="F413" i="16"/>
  <c r="D411" i="16"/>
  <c r="M408" i="16"/>
  <c r="I406" i="16"/>
  <c r="P404" i="16"/>
  <c r="P402" i="16"/>
  <c r="C401" i="16"/>
  <c r="H399" i="16"/>
  <c r="K397" i="16"/>
  <c r="M395" i="16"/>
  <c r="E394" i="16"/>
  <c r="L392" i="16"/>
  <c r="E391" i="16"/>
  <c r="L389" i="16"/>
  <c r="C388" i="16"/>
  <c r="L386" i="16"/>
  <c r="I385" i="16"/>
  <c r="G384" i="16"/>
  <c r="E383" i="16"/>
  <c r="D382" i="16"/>
  <c r="P380" i="16"/>
  <c r="L379" i="16"/>
  <c r="H378" i="16"/>
  <c r="F377" i="16"/>
  <c r="D376" i="16"/>
  <c r="P374" i="16"/>
  <c r="L373" i="16"/>
  <c r="H372" i="16"/>
  <c r="F371" i="16"/>
  <c r="D370" i="16"/>
  <c r="P368" i="16"/>
  <c r="L367" i="16"/>
  <c r="H366" i="16"/>
  <c r="F365" i="16"/>
  <c r="D364" i="16"/>
  <c r="P362" i="16"/>
  <c r="L361" i="16"/>
  <c r="H360" i="16"/>
  <c r="F359" i="16"/>
  <c r="D358" i="16"/>
  <c r="P356" i="16"/>
  <c r="L355" i="16"/>
  <c r="H354" i="16"/>
  <c r="F353" i="16"/>
  <c r="D352" i="16"/>
  <c r="P350" i="16"/>
  <c r="L349" i="16"/>
  <c r="H348" i="16"/>
  <c r="F347" i="16"/>
  <c r="D346" i="16"/>
  <c r="C345" i="16"/>
  <c r="P343" i="16"/>
  <c r="M342" i="16"/>
  <c r="L341" i="16"/>
  <c r="K340" i="16"/>
  <c r="I339" i="16"/>
  <c r="H338" i="16"/>
  <c r="G337" i="16"/>
  <c r="F336" i="16"/>
  <c r="E335" i="16"/>
  <c r="D334" i="16"/>
  <c r="C333" i="16"/>
  <c r="P331" i="16"/>
  <c r="M330" i="16"/>
  <c r="L329" i="16"/>
  <c r="K328" i="16"/>
  <c r="I327" i="16"/>
  <c r="H326" i="16"/>
  <c r="G325" i="16"/>
  <c r="F324" i="16"/>
  <c r="E323" i="16"/>
  <c r="D322" i="16"/>
  <c r="C321" i="16"/>
  <c r="P319" i="16"/>
  <c r="M318" i="16"/>
  <c r="L317" i="16"/>
  <c r="K316" i="16"/>
  <c r="L315" i="16"/>
  <c r="K314" i="16"/>
  <c r="H313" i="16"/>
  <c r="G312" i="16"/>
  <c r="F311" i="16"/>
  <c r="F310" i="16"/>
  <c r="F309" i="16"/>
  <c r="D308" i="16"/>
  <c r="P306" i="16"/>
  <c r="M305" i="16"/>
  <c r="L304" i="16"/>
  <c r="I202" i="17"/>
  <c r="C172" i="17"/>
  <c r="O154" i="17"/>
  <c r="I103" i="17"/>
  <c r="G97" i="17"/>
  <c r="C60" i="17"/>
  <c r="D24" i="17"/>
  <c r="D18" i="17"/>
  <c r="G17" i="17"/>
  <c r="L16" i="17"/>
  <c r="O15" i="17"/>
  <c r="C11" i="17"/>
  <c r="D10" i="17"/>
  <c r="B9" i="17"/>
  <c r="C8" i="17"/>
  <c r="J7" i="17"/>
  <c r="K6" i="17"/>
  <c r="E464" i="16"/>
  <c r="K461" i="16"/>
  <c r="L458" i="16"/>
  <c r="F456" i="16"/>
  <c r="E454" i="16"/>
  <c r="G451" i="16"/>
  <c r="M448" i="16"/>
  <c r="C446" i="16"/>
  <c r="E443" i="16"/>
  <c r="M440" i="16"/>
  <c r="M437" i="16"/>
  <c r="D435" i="16"/>
  <c r="O431" i="16"/>
  <c r="E429" i="16"/>
  <c r="M426" i="16"/>
  <c r="C424" i="16"/>
  <c r="C422" i="16"/>
  <c r="M419" i="16"/>
  <c r="K417" i="16"/>
  <c r="G415" i="16"/>
  <c r="E413" i="16"/>
  <c r="C411" i="16"/>
  <c r="L408" i="16"/>
  <c r="H406" i="16"/>
  <c r="L404" i="16"/>
  <c r="M402" i="16"/>
  <c r="M400" i="16"/>
  <c r="D399" i="16"/>
  <c r="J397" i="16"/>
  <c r="L395" i="16"/>
  <c r="D394" i="16"/>
  <c r="K392" i="16"/>
  <c r="D391" i="16"/>
  <c r="K389" i="16"/>
  <c r="P387" i="16"/>
  <c r="K386" i="16"/>
  <c r="H385" i="16"/>
  <c r="F384" i="16"/>
  <c r="D383" i="16"/>
  <c r="C382" i="16"/>
  <c r="M380" i="16"/>
  <c r="K379" i="16"/>
  <c r="G378" i="16"/>
  <c r="E377" i="16"/>
  <c r="C376" i="16"/>
  <c r="M374" i="16"/>
  <c r="K373" i="16"/>
  <c r="G372" i="16"/>
  <c r="E371" i="16"/>
  <c r="C370" i="16"/>
  <c r="M368" i="16"/>
  <c r="K367" i="16"/>
  <c r="G366" i="16"/>
  <c r="E365" i="16"/>
  <c r="C364" i="16"/>
  <c r="M362" i="16"/>
  <c r="K361" i="16"/>
  <c r="G360" i="16"/>
  <c r="E359" i="16"/>
  <c r="C358" i="16"/>
  <c r="M356" i="16"/>
  <c r="K355" i="16"/>
  <c r="G354" i="16"/>
  <c r="E353" i="16"/>
  <c r="C352" i="16"/>
  <c r="M350" i="16"/>
  <c r="K349" i="16"/>
  <c r="G348" i="16"/>
  <c r="E347" i="16"/>
  <c r="C346" i="16"/>
  <c r="P344" i="16"/>
  <c r="M343" i="16"/>
  <c r="L342" i="16"/>
  <c r="K341" i="16"/>
  <c r="I340" i="16"/>
  <c r="H339" i="16"/>
  <c r="G338" i="16"/>
  <c r="F337" i="16"/>
  <c r="E336" i="16"/>
  <c r="D335" i="16"/>
  <c r="C334" i="16"/>
  <c r="P332" i="16"/>
  <c r="M331" i="16"/>
  <c r="L330" i="16"/>
  <c r="K329" i="16"/>
  <c r="I328" i="16"/>
  <c r="H327" i="16"/>
  <c r="G326" i="16"/>
  <c r="F325" i="16"/>
  <c r="E324" i="16"/>
  <c r="D323" i="16"/>
  <c r="C322" i="16"/>
  <c r="P320" i="16"/>
  <c r="M319" i="16"/>
  <c r="L318" i="16"/>
  <c r="K317" i="16"/>
  <c r="J316" i="16"/>
  <c r="K315" i="16"/>
  <c r="I314" i="16"/>
  <c r="G313" i="16"/>
  <c r="F312" i="16"/>
  <c r="E311" i="16"/>
  <c r="E310" i="16"/>
  <c r="E309" i="16"/>
  <c r="C308" i="16"/>
  <c r="M306" i="16"/>
  <c r="L305" i="16"/>
  <c r="J183" i="17"/>
  <c r="C155" i="17"/>
  <c r="I133" i="17"/>
  <c r="H126" i="17"/>
  <c r="F70" i="17"/>
  <c r="I66" i="17"/>
  <c r="G56" i="17"/>
  <c r="O31" i="17"/>
  <c r="D17" i="17"/>
  <c r="F16" i="17"/>
  <c r="N15" i="17"/>
  <c r="F14" i="17"/>
  <c r="O13" i="17"/>
  <c r="O12" i="17"/>
  <c r="C10" i="17"/>
  <c r="B8" i="17"/>
  <c r="C7" i="17"/>
  <c r="I6" i="17"/>
  <c r="I5" i="17"/>
  <c r="C464" i="16"/>
  <c r="I461" i="16"/>
  <c r="K458" i="16"/>
  <c r="D456" i="16"/>
  <c r="M453" i="16"/>
  <c r="E451" i="16"/>
  <c r="L448" i="16"/>
  <c r="P445" i="16"/>
  <c r="C443" i="16"/>
  <c r="E440" i="16"/>
  <c r="K437" i="16"/>
  <c r="C435" i="16"/>
  <c r="M431" i="16"/>
  <c r="C429" i="16"/>
  <c r="G426" i="16"/>
  <c r="O423" i="16"/>
  <c r="O421" i="16"/>
  <c r="K419" i="16"/>
  <c r="G417" i="16"/>
  <c r="E415" i="16"/>
  <c r="C413" i="16"/>
  <c r="M410" i="16"/>
  <c r="I408" i="16"/>
  <c r="F406" i="16"/>
  <c r="G404" i="16"/>
  <c r="L402" i="16"/>
  <c r="L400" i="16"/>
  <c r="C399" i="16"/>
  <c r="H397" i="16"/>
  <c r="K395" i="16"/>
  <c r="C394" i="16"/>
  <c r="J392" i="16"/>
  <c r="C391" i="16"/>
  <c r="I389" i="16"/>
  <c r="M387" i="16"/>
  <c r="H386" i="16"/>
  <c r="G385" i="16"/>
  <c r="E384" i="16"/>
  <c r="C383" i="16"/>
  <c r="P381" i="16"/>
  <c r="L380" i="16"/>
  <c r="H379" i="16"/>
  <c r="F378" i="16"/>
  <c r="D377" i="16"/>
  <c r="P375" i="16"/>
  <c r="L374" i="16"/>
  <c r="H373" i="16"/>
  <c r="F372" i="16"/>
  <c r="D371" i="16"/>
  <c r="P369" i="16"/>
  <c r="L368" i="16"/>
  <c r="H367" i="16"/>
  <c r="F366" i="16"/>
  <c r="D365" i="16"/>
  <c r="P363" i="16"/>
  <c r="L362" i="16"/>
  <c r="H361" i="16"/>
  <c r="F360" i="16"/>
  <c r="D359" i="16"/>
  <c r="P357" i="16"/>
  <c r="L356" i="16"/>
  <c r="H355" i="16"/>
  <c r="F354" i="16"/>
  <c r="D353" i="16"/>
  <c r="P351" i="16"/>
  <c r="L350" i="16"/>
  <c r="H349" i="16"/>
  <c r="F348" i="16"/>
  <c r="D347" i="16"/>
  <c r="P345" i="16"/>
  <c r="M344" i="16"/>
  <c r="L343" i="16"/>
  <c r="K342" i="16"/>
  <c r="I341" i="16"/>
  <c r="H340" i="16"/>
  <c r="G339" i="16"/>
  <c r="F338" i="16"/>
  <c r="E337" i="16"/>
  <c r="D336" i="16"/>
  <c r="C335" i="16"/>
  <c r="P333" i="16"/>
  <c r="M332" i="16"/>
  <c r="L331" i="16"/>
  <c r="K330" i="16"/>
  <c r="I329" i="16"/>
  <c r="H328" i="16"/>
  <c r="G327" i="16"/>
  <c r="F326" i="16"/>
  <c r="E325" i="16"/>
  <c r="D324" i="16"/>
  <c r="C323" i="16"/>
  <c r="P321" i="16"/>
  <c r="M320" i="16"/>
  <c r="L319" i="16"/>
  <c r="K318" i="16"/>
  <c r="J317" i="16"/>
  <c r="I316" i="16"/>
  <c r="I315" i="16"/>
  <c r="H314" i="16"/>
  <c r="F313" i="16"/>
  <c r="E312" i="16"/>
  <c r="D311" i="16"/>
  <c r="D310" i="16"/>
  <c r="D309" i="16"/>
  <c r="P307" i="16"/>
  <c r="L306" i="16"/>
  <c r="K305" i="16"/>
  <c r="L248" i="17"/>
  <c r="I212" i="17"/>
  <c r="F148" i="17"/>
  <c r="N121" i="17"/>
  <c r="C108" i="17"/>
  <c r="O104" i="17"/>
  <c r="N98" i="17"/>
  <c r="C61" i="17"/>
  <c r="O33" i="17"/>
  <c r="O32" i="17"/>
  <c r="C25" i="17"/>
  <c r="C17" i="17"/>
  <c r="D16" i="17"/>
  <c r="K15" i="17"/>
  <c r="D14" i="17"/>
  <c r="I13" i="17"/>
  <c r="N12" i="17"/>
  <c r="B7" i="17"/>
  <c r="G6" i="17"/>
  <c r="H5" i="17"/>
  <c r="O463" i="16"/>
  <c r="C461" i="16"/>
  <c r="F458" i="16"/>
  <c r="C456" i="16"/>
  <c r="L453" i="16"/>
  <c r="C451" i="16"/>
  <c r="C448" i="16"/>
  <c r="M445" i="16"/>
  <c r="O442" i="16"/>
  <c r="D440" i="16"/>
  <c r="H437" i="16"/>
  <c r="F434" i="16"/>
  <c r="K431" i="16"/>
  <c r="O428" i="16"/>
  <c r="F426" i="16"/>
  <c r="M423" i="16"/>
  <c r="M421" i="16"/>
  <c r="I419" i="16"/>
  <c r="F417" i="16"/>
  <c r="D415" i="16"/>
  <c r="P412" i="16"/>
  <c r="L410" i="16"/>
  <c r="H408" i="16"/>
  <c r="E406" i="16"/>
  <c r="F404" i="16"/>
  <c r="I402" i="16"/>
  <c r="K400" i="16"/>
  <c r="M398" i="16"/>
  <c r="D397" i="16"/>
  <c r="J395" i="16"/>
  <c r="M393" i="16"/>
  <c r="H392" i="16"/>
  <c r="M390" i="16"/>
  <c r="G389" i="16"/>
  <c r="L387" i="16"/>
  <c r="G386" i="16"/>
  <c r="F385" i="16"/>
  <c r="D384" i="16"/>
  <c r="P382" i="16"/>
  <c r="M381" i="16"/>
  <c r="K380" i="16"/>
  <c r="G379" i="16"/>
  <c r="E378" i="16"/>
  <c r="C377" i="16"/>
  <c r="M375" i="16"/>
  <c r="K374" i="16"/>
  <c r="G373" i="16"/>
  <c r="E372" i="16"/>
  <c r="C371" i="16"/>
  <c r="M369" i="16"/>
  <c r="K368" i="16"/>
  <c r="G367" i="16"/>
  <c r="E366" i="16"/>
  <c r="C365" i="16"/>
  <c r="M363" i="16"/>
  <c r="K362" i="16"/>
  <c r="G361" i="16"/>
  <c r="E360" i="16"/>
  <c r="C359" i="16"/>
  <c r="M357" i="16"/>
  <c r="K356" i="16"/>
  <c r="G355" i="16"/>
  <c r="E354" i="16"/>
  <c r="C353" i="16"/>
  <c r="M351" i="16"/>
  <c r="K350" i="16"/>
  <c r="G349" i="16"/>
  <c r="E348" i="16"/>
  <c r="C347" i="16"/>
  <c r="M345" i="16"/>
  <c r="L344" i="16"/>
  <c r="K343" i="16"/>
  <c r="I342" i="16"/>
  <c r="G184" i="17"/>
  <c r="O156" i="17"/>
  <c r="B149" i="17"/>
  <c r="H134" i="17"/>
  <c r="N127" i="17"/>
  <c r="K109" i="17"/>
  <c r="C104" i="17"/>
  <c r="B98" i="17"/>
  <c r="B90" i="17"/>
  <c r="O47" i="17"/>
  <c r="I33" i="17"/>
  <c r="I32" i="17"/>
  <c r="O19" i="17"/>
  <c r="B16" i="17"/>
  <c r="I15" i="17"/>
  <c r="B14" i="17"/>
  <c r="F13" i="17"/>
  <c r="F6" i="17"/>
  <c r="F5" i="17"/>
  <c r="M463" i="16"/>
  <c r="P460" i="16"/>
  <c r="D458" i="16"/>
  <c r="J455" i="16"/>
  <c r="J453" i="16"/>
  <c r="P450" i="16"/>
  <c r="R447" i="16"/>
  <c r="K445" i="16"/>
  <c r="G442" i="16"/>
  <c r="O439" i="16"/>
  <c r="G437" i="16"/>
  <c r="E434" i="16"/>
  <c r="F431" i="16"/>
  <c r="G428" i="16"/>
  <c r="D426" i="16"/>
  <c r="L423" i="16"/>
  <c r="L421" i="16"/>
  <c r="H419" i="16"/>
  <c r="E417" i="16"/>
  <c r="C415" i="16"/>
  <c r="M412" i="16"/>
  <c r="K410" i="16"/>
  <c r="G408" i="16"/>
  <c r="D406" i="16"/>
  <c r="D404" i="16"/>
  <c r="E402" i="16"/>
  <c r="J400" i="16"/>
  <c r="L398" i="16"/>
  <c r="C397" i="16"/>
  <c r="H395" i="16"/>
  <c r="L393" i="16"/>
  <c r="E392" i="16"/>
  <c r="L390" i="16"/>
  <c r="D389" i="16"/>
  <c r="H387" i="16"/>
  <c r="F386" i="16"/>
  <c r="E385" i="16"/>
  <c r="C384" i="16"/>
  <c r="M382" i="16"/>
  <c r="L381" i="16"/>
  <c r="H380" i="16"/>
  <c r="F379" i="16"/>
  <c r="D378" i="16"/>
  <c r="P376" i="16"/>
  <c r="L375" i="16"/>
  <c r="H374" i="16"/>
  <c r="F373" i="16"/>
  <c r="D372" i="16"/>
  <c r="P370" i="16"/>
  <c r="L369" i="16"/>
  <c r="H368" i="16"/>
  <c r="F367" i="16"/>
  <c r="D366" i="16"/>
  <c r="P364" i="16"/>
  <c r="L363" i="16"/>
  <c r="H362" i="16"/>
  <c r="F361" i="16"/>
  <c r="D360" i="16"/>
  <c r="P358" i="16"/>
  <c r="L357" i="16"/>
  <c r="H356" i="16"/>
  <c r="F355" i="16"/>
  <c r="D354" i="16"/>
  <c r="P352" i="16"/>
  <c r="L351" i="16"/>
  <c r="H350" i="16"/>
  <c r="F349" i="16"/>
  <c r="D348" i="16"/>
  <c r="P346" i="16"/>
  <c r="L345" i="16"/>
  <c r="K344" i="16"/>
  <c r="I343" i="16"/>
  <c r="H342" i="16"/>
  <c r="G341" i="16"/>
  <c r="F340" i="16"/>
  <c r="E339" i="16"/>
  <c r="D338" i="16"/>
  <c r="C337" i="16"/>
  <c r="P335" i="16"/>
  <c r="M334" i="16"/>
  <c r="L333" i="16"/>
  <c r="K332" i="16"/>
  <c r="I331" i="16"/>
  <c r="H330" i="16"/>
  <c r="G329" i="16"/>
  <c r="F328" i="16"/>
  <c r="E327" i="16"/>
  <c r="D326" i="16"/>
  <c r="C325" i="16"/>
  <c r="P323" i="16"/>
  <c r="M322" i="16"/>
  <c r="L321" i="16"/>
  <c r="K320" i="16"/>
  <c r="I319" i="16"/>
  <c r="H318" i="16"/>
  <c r="G317" i="16"/>
  <c r="G316" i="16"/>
  <c r="G315" i="16"/>
  <c r="F314" i="16"/>
  <c r="D313" i="16"/>
  <c r="C312" i="16"/>
  <c r="P310" i="16"/>
  <c r="P309" i="16"/>
  <c r="P308" i="16"/>
  <c r="L307" i="16"/>
  <c r="I306" i="16"/>
  <c r="N115" i="17"/>
  <c r="D99" i="17"/>
  <c r="G34" i="17"/>
  <c r="D13" i="17"/>
  <c r="K460" i="16"/>
  <c r="O447" i="16"/>
  <c r="L439" i="16"/>
  <c r="E431" i="16"/>
  <c r="K423" i="16"/>
  <c r="D417" i="16"/>
  <c r="H410" i="16"/>
  <c r="C404" i="16"/>
  <c r="K398" i="16"/>
  <c r="K393" i="16"/>
  <c r="C389" i="16"/>
  <c r="D385" i="16"/>
  <c r="K381" i="16"/>
  <c r="C378" i="16"/>
  <c r="G374" i="16"/>
  <c r="M370" i="16"/>
  <c r="E367" i="16"/>
  <c r="K363" i="16"/>
  <c r="C360" i="16"/>
  <c r="G356" i="16"/>
  <c r="M352" i="16"/>
  <c r="E349" i="16"/>
  <c r="K345" i="16"/>
  <c r="G342" i="16"/>
  <c r="P339" i="16"/>
  <c r="D337" i="16"/>
  <c r="K334" i="16"/>
  <c r="C332" i="16"/>
  <c r="F329" i="16"/>
  <c r="M326" i="16"/>
  <c r="C324" i="16"/>
  <c r="I321" i="16"/>
  <c r="P318" i="16"/>
  <c r="F316" i="16"/>
  <c r="M313" i="16"/>
  <c r="C311" i="16"/>
  <c r="L308" i="16"/>
  <c r="D306" i="16"/>
  <c r="G304" i="16"/>
  <c r="F303" i="16"/>
  <c r="F302" i="16"/>
  <c r="D301" i="16"/>
  <c r="P299" i="16"/>
  <c r="L298" i="16"/>
  <c r="L297" i="16"/>
  <c r="I296" i="16"/>
  <c r="G295" i="16"/>
  <c r="F294" i="16"/>
  <c r="D293" i="16"/>
  <c r="C292" i="16"/>
  <c r="P290" i="16"/>
  <c r="P289" i="16"/>
  <c r="M288" i="16"/>
  <c r="L287" i="16"/>
  <c r="K286" i="16"/>
  <c r="H285" i="16"/>
  <c r="G284" i="16"/>
  <c r="E283" i="16"/>
  <c r="E282" i="16"/>
  <c r="C281" i="16"/>
  <c r="M279" i="16"/>
  <c r="K278" i="16"/>
  <c r="G277" i="16"/>
  <c r="E276" i="16"/>
  <c r="C275" i="16"/>
  <c r="M273" i="16"/>
  <c r="L272" i="16"/>
  <c r="K271" i="16"/>
  <c r="H270" i="16"/>
  <c r="G269" i="16"/>
  <c r="F268" i="16"/>
  <c r="E267" i="16"/>
  <c r="D266" i="16"/>
  <c r="C265" i="16"/>
  <c r="C264" i="16"/>
  <c r="P262" i="16"/>
  <c r="L261" i="16"/>
  <c r="H260" i="16"/>
  <c r="G259" i="16"/>
  <c r="E258" i="16"/>
  <c r="D257" i="16"/>
  <c r="P255" i="16"/>
  <c r="M254" i="16"/>
  <c r="L253" i="16"/>
  <c r="L252" i="16"/>
  <c r="H251" i="16"/>
  <c r="F250" i="16"/>
  <c r="E249" i="16"/>
  <c r="D248" i="16"/>
  <c r="C247" i="16"/>
  <c r="P245" i="16"/>
  <c r="L244" i="16"/>
  <c r="K243" i="16"/>
  <c r="I242" i="16"/>
  <c r="H241" i="16"/>
  <c r="G240" i="16"/>
  <c r="G239" i="16"/>
  <c r="F238" i="16"/>
  <c r="F237" i="16"/>
  <c r="F236" i="16"/>
  <c r="E235" i="16"/>
  <c r="E234" i="16"/>
  <c r="C233" i="16"/>
  <c r="M231" i="16"/>
  <c r="K230" i="16"/>
  <c r="J229" i="16"/>
  <c r="H228" i="16"/>
  <c r="G227" i="16"/>
  <c r="F226" i="16"/>
  <c r="D225" i="16"/>
  <c r="E224" i="16"/>
  <c r="F223" i="16"/>
  <c r="G222" i="16"/>
  <c r="H221" i="16"/>
  <c r="I220" i="16"/>
  <c r="G219" i="16"/>
  <c r="F218" i="16"/>
  <c r="E217" i="16"/>
  <c r="D216" i="16"/>
  <c r="C215" i="16"/>
  <c r="P213" i="16"/>
  <c r="L212" i="16"/>
  <c r="L198" i="17"/>
  <c r="D34" i="17"/>
  <c r="C458" i="16"/>
  <c r="L447" i="16"/>
  <c r="K439" i="16"/>
  <c r="K430" i="16"/>
  <c r="D423" i="16"/>
  <c r="I416" i="16"/>
  <c r="P409" i="16"/>
  <c r="P403" i="16"/>
  <c r="J398" i="16"/>
  <c r="J393" i="16"/>
  <c r="P388" i="16"/>
  <c r="C385" i="16"/>
  <c r="H381" i="16"/>
  <c r="P377" i="16"/>
  <c r="F374" i="16"/>
  <c r="L370" i="16"/>
  <c r="D367" i="16"/>
  <c r="H363" i="16"/>
  <c r="P359" i="16"/>
  <c r="F356" i="16"/>
  <c r="L352" i="16"/>
  <c r="D349" i="16"/>
  <c r="I345" i="16"/>
  <c r="F342" i="16"/>
  <c r="K339" i="16"/>
  <c r="P336" i="16"/>
  <c r="H334" i="16"/>
  <c r="K331" i="16"/>
  <c r="E329" i="16"/>
  <c r="I326" i="16"/>
  <c r="M323" i="16"/>
  <c r="G321" i="16"/>
  <c r="J318" i="16"/>
  <c r="E316" i="16"/>
  <c r="I313" i="16"/>
  <c r="M310" i="16"/>
  <c r="H308" i="16"/>
  <c r="P305" i="16"/>
  <c r="F304" i="16"/>
  <c r="E303" i="16"/>
  <c r="E302" i="16"/>
  <c r="C301" i="16"/>
  <c r="M299" i="16"/>
  <c r="K298" i="16"/>
  <c r="K297" i="16"/>
  <c r="H296" i="16"/>
  <c r="F295" i="16"/>
  <c r="E294" i="16"/>
  <c r="C293" i="16"/>
  <c r="P291" i="16"/>
  <c r="M290" i="16"/>
  <c r="M289" i="16"/>
  <c r="L288" i="16"/>
  <c r="K287" i="16"/>
  <c r="H286" i="16"/>
  <c r="G285" i="16"/>
  <c r="F284" i="16"/>
  <c r="D283" i="16"/>
  <c r="D282" i="16"/>
  <c r="P280" i="16"/>
  <c r="L279" i="16"/>
  <c r="H278" i="16"/>
  <c r="F277" i="16"/>
  <c r="D276" i="16"/>
  <c r="P274" i="16"/>
  <c r="L273" i="16"/>
  <c r="K272" i="16"/>
  <c r="H271" i="16"/>
  <c r="G270" i="16"/>
  <c r="F269" i="16"/>
  <c r="E268" i="16"/>
  <c r="D267" i="16"/>
  <c r="C266" i="16"/>
  <c r="P264" i="16"/>
  <c r="P263" i="16"/>
  <c r="M262" i="16"/>
  <c r="K261" i="16"/>
  <c r="G260" i="16"/>
  <c r="F259" i="16"/>
  <c r="D258" i="16"/>
  <c r="C257" i="16"/>
  <c r="M255" i="16"/>
  <c r="L254" i="16"/>
  <c r="K253" i="16"/>
  <c r="K252" i="16"/>
  <c r="G251" i="16"/>
  <c r="E250" i="16"/>
  <c r="D249" i="16"/>
  <c r="C248" i="16"/>
  <c r="P246" i="16"/>
  <c r="M245" i="16"/>
  <c r="K244" i="16"/>
  <c r="I243" i="16"/>
  <c r="H242" i="16"/>
  <c r="G241" i="16"/>
  <c r="F240" i="16"/>
  <c r="F239" i="16"/>
  <c r="E238" i="16"/>
  <c r="E237" i="16"/>
  <c r="E236" i="16"/>
  <c r="D235" i="16"/>
  <c r="D234" i="16"/>
  <c r="P232" i="16"/>
  <c r="L231" i="16"/>
  <c r="I230" i="16"/>
  <c r="I229" i="16"/>
  <c r="G228" i="16"/>
  <c r="F227" i="16"/>
  <c r="E226" i="16"/>
  <c r="C225" i="16"/>
  <c r="D224" i="16"/>
  <c r="E223" i="16"/>
  <c r="F222" i="16"/>
  <c r="G221" i="16"/>
  <c r="H220" i="16"/>
  <c r="F219" i="16"/>
  <c r="E218" i="16"/>
  <c r="D217" i="16"/>
  <c r="C216" i="16"/>
  <c r="N41" i="17"/>
  <c r="H455" i="16"/>
  <c r="K446" i="16"/>
  <c r="G438" i="16"/>
  <c r="H429" i="16"/>
  <c r="K422" i="16"/>
  <c r="C416" i="16"/>
  <c r="G409" i="16"/>
  <c r="C403" i="16"/>
  <c r="L397" i="16"/>
  <c r="M392" i="16"/>
  <c r="E388" i="16"/>
  <c r="H384" i="16"/>
  <c r="C381" i="16"/>
  <c r="G377" i="16"/>
  <c r="M373" i="16"/>
  <c r="E370" i="16"/>
  <c r="K366" i="16"/>
  <c r="C363" i="16"/>
  <c r="G359" i="16"/>
  <c r="M355" i="16"/>
  <c r="E352" i="16"/>
  <c r="K348" i="16"/>
  <c r="D345" i="16"/>
  <c r="M341" i="16"/>
  <c r="D339" i="16"/>
  <c r="K336" i="16"/>
  <c r="M333" i="16"/>
  <c r="G331" i="16"/>
  <c r="L328" i="16"/>
  <c r="C326" i="16"/>
  <c r="I323" i="16"/>
  <c r="L320" i="16"/>
  <c r="F318" i="16"/>
  <c r="M315" i="16"/>
  <c r="C313" i="16"/>
  <c r="J310" i="16"/>
  <c r="M307" i="16"/>
  <c r="H305" i="16"/>
  <c r="D304" i="16"/>
  <c r="C303" i="16"/>
  <c r="C302" i="16"/>
  <c r="M300" i="16"/>
  <c r="K299" i="16"/>
  <c r="I298" i="16"/>
  <c r="G297" i="16"/>
  <c r="F296" i="16"/>
  <c r="D295" i="16"/>
  <c r="C294" i="16"/>
  <c r="M292" i="16"/>
  <c r="L291" i="16"/>
  <c r="K290" i="16"/>
  <c r="K289" i="16"/>
  <c r="J288" i="16"/>
  <c r="H287" i="16"/>
  <c r="F286" i="16"/>
  <c r="E285" i="16"/>
  <c r="D284" i="16"/>
  <c r="P282" i="16"/>
  <c r="P281" i="16"/>
  <c r="L280" i="16"/>
  <c r="H279" i="16"/>
  <c r="F278" i="16"/>
  <c r="D277" i="16"/>
  <c r="P275" i="16"/>
  <c r="L274" i="16"/>
  <c r="I273" i="16"/>
  <c r="H272" i="16"/>
  <c r="F271" i="16"/>
  <c r="E270" i="16"/>
  <c r="D269" i="16"/>
  <c r="C268" i="16"/>
  <c r="P266" i="16"/>
  <c r="M265" i="16"/>
  <c r="L264" i="16"/>
  <c r="L263" i="16"/>
  <c r="K262" i="16"/>
  <c r="G261" i="16"/>
  <c r="E260" i="16"/>
  <c r="D259" i="16"/>
  <c r="P257" i="16"/>
  <c r="M256" i="16"/>
  <c r="K255" i="16"/>
  <c r="I254" i="16"/>
  <c r="I253" i="16"/>
  <c r="G252" i="16"/>
  <c r="E251" i="16"/>
  <c r="C250" i="16"/>
  <c r="P248" i="16"/>
  <c r="M247" i="16"/>
  <c r="L246" i="16"/>
  <c r="K245" i="16"/>
  <c r="H244" i="16"/>
  <c r="G243" i="16"/>
  <c r="F242" i="16"/>
  <c r="E241" i="16"/>
  <c r="D240" i="16"/>
  <c r="D239" i="16"/>
  <c r="C238" i="16"/>
  <c r="C237" i="16"/>
  <c r="C236" i="16"/>
  <c r="P234" i="16"/>
  <c r="P233" i="16"/>
  <c r="L232" i="16"/>
  <c r="H231" i="16"/>
  <c r="G230" i="16"/>
  <c r="G229" i="16"/>
  <c r="E228" i="16"/>
  <c r="D227" i="16"/>
  <c r="C226" i="16"/>
  <c r="P224" i="16"/>
  <c r="S223" i="16"/>
  <c r="C223" i="16"/>
  <c r="D222" i="16"/>
  <c r="E221" i="16"/>
  <c r="F220" i="16"/>
  <c r="D219" i="16"/>
  <c r="C218" i="16"/>
  <c r="P216" i="16"/>
  <c r="M215" i="16"/>
  <c r="L214" i="16"/>
  <c r="K213" i="16"/>
  <c r="D57" i="17"/>
  <c r="F455" i="16"/>
  <c r="G445" i="16"/>
  <c r="M436" i="16"/>
  <c r="F428" i="16"/>
  <c r="K421" i="16"/>
  <c r="P414" i="16"/>
  <c r="F408" i="16"/>
  <c r="D402" i="16"/>
  <c r="M396" i="16"/>
  <c r="D392" i="16"/>
  <c r="G387" i="16"/>
  <c r="P383" i="16"/>
  <c r="G380" i="16"/>
  <c r="M376" i="16"/>
  <c r="E373" i="16"/>
  <c r="K369" i="16"/>
  <c r="C366" i="16"/>
  <c r="G362" i="16"/>
  <c r="M358" i="16"/>
  <c r="E355" i="16"/>
  <c r="K351" i="16"/>
  <c r="C348" i="16"/>
  <c r="I344" i="16"/>
  <c r="H341" i="16"/>
  <c r="C339" i="16"/>
  <c r="G336" i="16"/>
  <c r="K333" i="16"/>
  <c r="E331" i="16"/>
  <c r="G328" i="16"/>
  <c r="P325" i="16"/>
  <c r="F323" i="16"/>
  <c r="I320" i="16"/>
  <c r="D318" i="16"/>
  <c r="H315" i="16"/>
  <c r="P312" i="16"/>
  <c r="G310" i="16"/>
  <c r="K307" i="16"/>
  <c r="G305" i="16"/>
  <c r="C304" i="16"/>
  <c r="P302" i="16"/>
  <c r="P301" i="16"/>
  <c r="L300" i="16"/>
  <c r="H299" i="16"/>
  <c r="H298" i="16"/>
  <c r="F297" i="16"/>
  <c r="E296" i="16"/>
  <c r="C295" i="16"/>
  <c r="P293" i="16"/>
  <c r="L292" i="16"/>
  <c r="K291" i="16"/>
  <c r="J290" i="16"/>
  <c r="J289" i="16"/>
  <c r="H288" i="16"/>
  <c r="G287" i="16"/>
  <c r="E286" i="16"/>
  <c r="D285" i="16"/>
  <c r="C284" i="16"/>
  <c r="M282" i="16"/>
  <c r="M281" i="16"/>
  <c r="K280" i="16"/>
  <c r="G279" i="16"/>
  <c r="E278" i="16"/>
  <c r="C277" i="16"/>
  <c r="M275" i="16"/>
  <c r="K274" i="16"/>
  <c r="H273" i="16"/>
  <c r="G272" i="16"/>
  <c r="E271" i="16"/>
  <c r="D270" i="16"/>
  <c r="C269" i="16"/>
  <c r="P267" i="16"/>
  <c r="M266" i="16"/>
  <c r="L265" i="16"/>
  <c r="K264" i="16"/>
  <c r="K263" i="16"/>
  <c r="H262" i="16"/>
  <c r="F261" i="16"/>
  <c r="D260" i="16"/>
  <c r="C259" i="16"/>
  <c r="M257" i="16"/>
  <c r="L256" i="16"/>
  <c r="J255" i="16"/>
  <c r="H254" i="16"/>
  <c r="H253" i="16"/>
  <c r="F252" i="16"/>
  <c r="D251" i="16"/>
  <c r="P249" i="16"/>
  <c r="M248" i="16"/>
  <c r="L247" i="16"/>
  <c r="K246" i="16"/>
  <c r="H245" i="16"/>
  <c r="G244" i="16"/>
  <c r="F243" i="16"/>
  <c r="E242" i="16"/>
  <c r="D241" i="16"/>
  <c r="C240" i="16"/>
  <c r="C239" i="16"/>
  <c r="P237" i="16"/>
  <c r="P236" i="16"/>
  <c r="P235" i="16"/>
  <c r="M234" i="16"/>
  <c r="M233" i="16"/>
  <c r="K232" i="16"/>
  <c r="G231" i="16"/>
  <c r="F230" i="16"/>
  <c r="F229" i="16"/>
  <c r="D228" i="16"/>
  <c r="C227" i="16"/>
  <c r="P225" i="16"/>
  <c r="M224" i="16"/>
  <c r="P223" i="16"/>
  <c r="S222" i="16"/>
  <c r="C222" i="16"/>
  <c r="D221" i="16"/>
  <c r="E220" i="16"/>
  <c r="C219" i="16"/>
  <c r="P217" i="16"/>
  <c r="M216" i="16"/>
  <c r="L215" i="16"/>
  <c r="K214" i="16"/>
  <c r="D213" i="17"/>
  <c r="G135" i="17"/>
  <c r="O71" i="17"/>
  <c r="H454" i="16"/>
  <c r="O444" i="16"/>
  <c r="L436" i="16"/>
  <c r="D428" i="16"/>
  <c r="C421" i="16"/>
  <c r="G414" i="16"/>
  <c r="L407" i="16"/>
  <c r="P401" i="16"/>
  <c r="L396" i="16"/>
  <c r="C392" i="16"/>
  <c r="F387" i="16"/>
  <c r="M383" i="16"/>
  <c r="F380" i="16"/>
  <c r="L376" i="16"/>
  <c r="D373" i="16"/>
  <c r="H369" i="16"/>
  <c r="P365" i="16"/>
  <c r="F362" i="16"/>
  <c r="L358" i="16"/>
  <c r="D355" i="16"/>
  <c r="H351" i="16"/>
  <c r="P347" i="16"/>
  <c r="H344" i="16"/>
  <c r="F341" i="16"/>
  <c r="M338" i="16"/>
  <c r="C336" i="16"/>
  <c r="I333" i="16"/>
  <c r="P330" i="16"/>
  <c r="E328" i="16"/>
  <c r="L325" i="16"/>
  <c r="P322" i="16"/>
  <c r="H320" i="16"/>
  <c r="M317" i="16"/>
  <c r="F315" i="16"/>
  <c r="L312" i="16"/>
  <c r="C310" i="16"/>
  <c r="H307" i="16"/>
  <c r="F305" i="16"/>
  <c r="P303" i="16"/>
  <c r="M302" i="16"/>
  <c r="M301" i="16"/>
  <c r="K300" i="16"/>
  <c r="G299" i="16"/>
  <c r="G298" i="16"/>
  <c r="E297" i="16"/>
  <c r="D296" i="16"/>
  <c r="P294" i="16"/>
  <c r="M293" i="16"/>
  <c r="K292" i="16"/>
  <c r="I291" i="16"/>
  <c r="I290" i="16"/>
  <c r="H289" i="16"/>
  <c r="G288" i="16"/>
  <c r="F287" i="16"/>
  <c r="D286" i="16"/>
  <c r="C285" i="16"/>
  <c r="P283" i="16"/>
  <c r="L282" i="16"/>
  <c r="L281" i="16"/>
  <c r="H280" i="16"/>
  <c r="F279" i="16"/>
  <c r="D278" i="16"/>
  <c r="P276" i="16"/>
  <c r="L275" i="16"/>
  <c r="H274" i="16"/>
  <c r="G273" i="16"/>
  <c r="F272" i="16"/>
  <c r="D271" i="16"/>
  <c r="C270" i="16"/>
  <c r="P268" i="16"/>
  <c r="M267" i="16"/>
  <c r="L266" i="16"/>
  <c r="K265" i="16"/>
  <c r="J264" i="16"/>
  <c r="I263" i="16"/>
  <c r="G262" i="16"/>
  <c r="E261" i="16"/>
  <c r="I222" i="17"/>
  <c r="N168" i="17"/>
  <c r="J122" i="17"/>
  <c r="B94" i="17"/>
  <c r="H15" i="17"/>
  <c r="H453" i="16"/>
  <c r="K444" i="16"/>
  <c r="E436" i="16"/>
  <c r="M427" i="16"/>
  <c r="L420" i="16"/>
  <c r="D414" i="16"/>
  <c r="G407" i="16"/>
  <c r="L401" i="16"/>
  <c r="J396" i="16"/>
  <c r="L391" i="16"/>
  <c r="D387" i="16"/>
  <c r="K383" i="16"/>
  <c r="D380" i="16"/>
  <c r="H376" i="16"/>
  <c r="P372" i="16"/>
  <c r="F369" i="16"/>
  <c r="L365" i="16"/>
  <c r="D362" i="16"/>
  <c r="H358" i="16"/>
  <c r="P354" i="16"/>
  <c r="F351" i="16"/>
  <c r="L347" i="16"/>
  <c r="F344" i="16"/>
  <c r="E341" i="16"/>
  <c r="I338" i="16"/>
  <c r="M335" i="16"/>
  <c r="G333" i="16"/>
  <c r="I330" i="16"/>
  <c r="D328" i="16"/>
  <c r="H325" i="16"/>
  <c r="L322" i="16"/>
  <c r="F320" i="16"/>
  <c r="H317" i="16"/>
  <c r="E315" i="16"/>
  <c r="H312" i="16"/>
  <c r="M309" i="16"/>
  <c r="F307" i="16"/>
  <c r="D305" i="16"/>
  <c r="M303" i="16"/>
  <c r="L302" i="16"/>
  <c r="L301" i="16"/>
  <c r="H300" i="16"/>
  <c r="F299" i="16"/>
  <c r="F298" i="16"/>
  <c r="D297" i="16"/>
  <c r="C296" i="16"/>
  <c r="M294" i="16"/>
  <c r="L293" i="16"/>
  <c r="I292" i="16"/>
  <c r="H291" i="16"/>
  <c r="H290" i="16"/>
  <c r="G289" i="16"/>
  <c r="F288" i="16"/>
  <c r="E287" i="16"/>
  <c r="C286" i="16"/>
  <c r="P284" i="16"/>
  <c r="M283" i="16"/>
  <c r="K282" i="16"/>
  <c r="K281" i="16"/>
  <c r="G280" i="16"/>
  <c r="E279" i="16"/>
  <c r="C278" i="16"/>
  <c r="M276" i="16"/>
  <c r="K275" i="16"/>
  <c r="G274" i="16"/>
  <c r="F273" i="16"/>
  <c r="E272" i="16"/>
  <c r="C271" i="16"/>
  <c r="P269" i="16"/>
  <c r="M268" i="16"/>
  <c r="L267" i="16"/>
  <c r="K266" i="16"/>
  <c r="I265" i="16"/>
  <c r="I264" i="16"/>
  <c r="H263" i="16"/>
  <c r="F262" i="16"/>
  <c r="D261" i="16"/>
  <c r="P259" i="16"/>
  <c r="M258" i="16"/>
  <c r="K257" i="16"/>
  <c r="H256" i="16"/>
  <c r="G255" i="16"/>
  <c r="F254" i="16"/>
  <c r="F253" i="16"/>
  <c r="D252" i="16"/>
  <c r="P250" i="16"/>
  <c r="L249" i="16"/>
  <c r="K248" i="16"/>
  <c r="I247" i="16"/>
  <c r="H246" i="16"/>
  <c r="F245" i="16"/>
  <c r="E244" i="16"/>
  <c r="D243" i="16"/>
  <c r="C242" i="16"/>
  <c r="P240" i="16"/>
  <c r="M239" i="16"/>
  <c r="M238" i="16"/>
  <c r="L237" i="16"/>
  <c r="L236" i="16"/>
  <c r="L235" i="16"/>
  <c r="K234" i="16"/>
  <c r="K233" i="16"/>
  <c r="G232" i="16"/>
  <c r="E231" i="16"/>
  <c r="D230" i="16"/>
  <c r="D229" i="16"/>
  <c r="P227" i="16"/>
  <c r="M226" i="16"/>
  <c r="L225" i="16"/>
  <c r="K224" i="16"/>
  <c r="L223" i="16"/>
  <c r="M222" i="16"/>
  <c r="P221" i="16"/>
  <c r="S220" i="16"/>
  <c r="C220" i="16"/>
  <c r="M218" i="16"/>
  <c r="L217" i="16"/>
  <c r="K216" i="16"/>
  <c r="I215" i="16"/>
  <c r="H214" i="16"/>
  <c r="F213" i="16"/>
  <c r="D105" i="17"/>
  <c r="C5" i="17"/>
  <c r="G453" i="16"/>
  <c r="K443" i="16"/>
  <c r="H435" i="16"/>
  <c r="C427" i="16"/>
  <c r="H420" i="16"/>
  <c r="M413" i="16"/>
  <c r="D407" i="16"/>
  <c r="D401" i="16"/>
  <c r="C396" i="16"/>
  <c r="H391" i="16"/>
  <c r="M386" i="16"/>
  <c r="F383" i="16"/>
  <c r="M379" i="16"/>
  <c r="E376" i="16"/>
  <c r="K372" i="16"/>
  <c r="C369" i="16"/>
  <c r="G365" i="16"/>
  <c r="M361" i="16"/>
  <c r="E358" i="16"/>
  <c r="K354" i="16"/>
  <c r="C351" i="16"/>
  <c r="G347" i="16"/>
  <c r="C344" i="16"/>
  <c r="C341" i="16"/>
  <c r="E338" i="16"/>
  <c r="L335" i="16"/>
  <c r="D333" i="16"/>
  <c r="G330" i="16"/>
  <c r="P327" i="16"/>
  <c r="D325" i="16"/>
  <c r="K322" i="16"/>
  <c r="C320" i="16"/>
  <c r="F317" i="16"/>
  <c r="C315" i="16"/>
  <c r="D312" i="16"/>
  <c r="L309" i="16"/>
  <c r="C307" i="16"/>
  <c r="C305" i="16"/>
  <c r="L303" i="16"/>
  <c r="K302" i="16"/>
  <c r="K301" i="16"/>
  <c r="G300" i="16"/>
  <c r="E299" i="16"/>
  <c r="E298" i="16"/>
  <c r="C297" i="16"/>
  <c r="P295" i="16"/>
  <c r="L294" i="16"/>
  <c r="K293" i="16"/>
  <c r="H292" i="16"/>
  <c r="G291" i="16"/>
  <c r="G290" i="16"/>
  <c r="F289" i="16"/>
  <c r="E288" i="16"/>
  <c r="D287" i="16"/>
  <c r="P285" i="16"/>
  <c r="M284" i="16"/>
  <c r="L283" i="16"/>
  <c r="J282" i="16"/>
  <c r="H281" i="16"/>
  <c r="F280" i="16"/>
  <c r="D279" i="16"/>
  <c r="P277" i="16"/>
  <c r="L276" i="16"/>
  <c r="H275" i="16"/>
  <c r="F274" i="16"/>
  <c r="E273" i="16"/>
  <c r="D272" i="16"/>
  <c r="P270" i="16"/>
  <c r="M269" i="16"/>
  <c r="L268" i="16"/>
  <c r="K267" i="16"/>
  <c r="I266" i="16"/>
  <c r="H265" i="16"/>
  <c r="H264" i="16"/>
  <c r="G263" i="16"/>
  <c r="E262" i="16"/>
  <c r="C261" i="16"/>
  <c r="M259" i="16"/>
  <c r="L258" i="16"/>
  <c r="I257" i="16"/>
  <c r="G256" i="16"/>
  <c r="F255" i="16"/>
  <c r="E254" i="16"/>
  <c r="E253" i="16"/>
  <c r="C252" i="16"/>
  <c r="M250" i="16"/>
  <c r="K249" i="16"/>
  <c r="I248" i="16"/>
  <c r="H247" i="16"/>
  <c r="G246" i="16"/>
  <c r="E245" i="16"/>
  <c r="D244" i="16"/>
  <c r="C243" i="16"/>
  <c r="P241" i="16"/>
  <c r="M240" i="16"/>
  <c r="L239" i="16"/>
  <c r="L238" i="16"/>
  <c r="K237" i="16"/>
  <c r="K236" i="16"/>
  <c r="K235" i="16"/>
  <c r="J234" i="16"/>
  <c r="H233" i="16"/>
  <c r="F232" i="16"/>
  <c r="D231" i="16"/>
  <c r="C230" i="16"/>
  <c r="C229" i="16"/>
  <c r="M227" i="16"/>
  <c r="L226" i="16"/>
  <c r="K225" i="16"/>
  <c r="J224" i="16"/>
  <c r="K223" i="16"/>
  <c r="L222" i="16"/>
  <c r="M221" i="16"/>
  <c r="P220" i="16"/>
  <c r="P219" i="16"/>
  <c r="L218" i="16"/>
  <c r="K217" i="16"/>
  <c r="I216" i="16"/>
  <c r="H215" i="16"/>
  <c r="G214" i="16"/>
  <c r="E213" i="16"/>
  <c r="F32" i="17"/>
  <c r="B5" i="17"/>
  <c r="D452" i="16"/>
  <c r="F442" i="16"/>
  <c r="C434" i="16"/>
  <c r="P425" i="16"/>
  <c r="G419" i="16"/>
  <c r="L412" i="16"/>
  <c r="C406" i="16"/>
  <c r="H400" i="16"/>
  <c r="D395" i="16"/>
  <c r="K390" i="16"/>
  <c r="E386" i="16"/>
  <c r="L382" i="16"/>
  <c r="E379" i="16"/>
  <c r="K375" i="16"/>
  <c r="C372" i="16"/>
  <c r="G368" i="16"/>
  <c r="M364" i="16"/>
  <c r="E361" i="16"/>
  <c r="K357" i="16"/>
  <c r="C354" i="16"/>
  <c r="G350" i="16"/>
  <c r="M346" i="16"/>
  <c r="H343" i="16"/>
  <c r="L340" i="16"/>
  <c r="C338" i="16"/>
  <c r="I335" i="16"/>
  <c r="L332" i="16"/>
  <c r="F330" i="16"/>
  <c r="K327" i="16"/>
  <c r="P324" i="16"/>
  <c r="H322" i="16"/>
  <c r="K319" i="16"/>
  <c r="E317" i="16"/>
  <c r="L314" i="16"/>
  <c r="P311" i="16"/>
  <c r="J309" i="16"/>
  <c r="K306" i="16"/>
  <c r="M304" i="16"/>
  <c r="K303" i="16"/>
  <c r="J302" i="16"/>
  <c r="H301" i="16"/>
  <c r="F300" i="16"/>
  <c r="D299" i="16"/>
  <c r="D298" i="16"/>
  <c r="P296" i="16"/>
  <c r="M295" i="16"/>
  <c r="K294" i="16"/>
  <c r="H293" i="16"/>
  <c r="G292" i="16"/>
  <c r="F291" i="16"/>
  <c r="F290" i="16"/>
  <c r="E289" i="16"/>
  <c r="D288" i="16"/>
  <c r="C287" i="16"/>
  <c r="M285" i="16"/>
  <c r="L284" i="16"/>
  <c r="K283" i="16"/>
  <c r="I282" i="16"/>
  <c r="G281" i="16"/>
  <c r="E280" i="16"/>
  <c r="C279" i="16"/>
  <c r="M277" i="16"/>
  <c r="K276" i="16"/>
  <c r="G275" i="16"/>
  <c r="E274" i="16"/>
  <c r="D273" i="16"/>
  <c r="C272" i="16"/>
  <c r="M270" i="16"/>
  <c r="L269" i="16"/>
  <c r="K268" i="16"/>
  <c r="I267" i="16"/>
  <c r="H266" i="16"/>
  <c r="G265" i="16"/>
  <c r="G264" i="16"/>
  <c r="F263" i="16"/>
  <c r="D262" i="16"/>
  <c r="P260" i="16"/>
  <c r="L259" i="16"/>
  <c r="K258" i="16"/>
  <c r="H257" i="16"/>
  <c r="F256" i="16"/>
  <c r="E255" i="16"/>
  <c r="D254" i="16"/>
  <c r="D253" i="16"/>
  <c r="P251" i="16"/>
  <c r="L250" i="16"/>
  <c r="I249" i="16"/>
  <c r="H248" i="16"/>
  <c r="G247" i="16"/>
  <c r="F246" i="16"/>
  <c r="D245" i="16"/>
  <c r="C244" i="16"/>
  <c r="P242" i="16"/>
  <c r="M241" i="16"/>
  <c r="L240" i="16"/>
  <c r="K239" i="16"/>
  <c r="K238" i="16"/>
  <c r="J237" i="16"/>
  <c r="J236" i="16"/>
  <c r="I235" i="16"/>
  <c r="I234" i="16"/>
  <c r="G233" i="16"/>
  <c r="E232" i="16"/>
  <c r="C231" i="16"/>
  <c r="P229" i="16"/>
  <c r="P228" i="16"/>
  <c r="L227" i="16"/>
  <c r="K226" i="16"/>
  <c r="H225" i="16"/>
  <c r="I224" i="16"/>
  <c r="J223" i="16"/>
  <c r="K222" i="16"/>
  <c r="L221" i="16"/>
  <c r="M220" i="16"/>
  <c r="M219" i="16"/>
  <c r="K218" i="16"/>
  <c r="I217" i="16"/>
  <c r="H216" i="16"/>
  <c r="G215" i="16"/>
  <c r="F214" i="16"/>
  <c r="D213" i="16"/>
  <c r="C109" i="17"/>
  <c r="G463" i="16"/>
  <c r="H450" i="16"/>
  <c r="D442" i="16"/>
  <c r="M433" i="16"/>
  <c r="O425" i="16"/>
  <c r="M418" i="16"/>
  <c r="E412" i="16"/>
  <c r="M405" i="16"/>
  <c r="D400" i="16"/>
  <c r="C395" i="16"/>
  <c r="N297" i="17"/>
  <c r="G128" i="17"/>
  <c r="G110" i="17"/>
  <c r="G99" i="17"/>
  <c r="B62" i="17"/>
  <c r="C33" i="17"/>
  <c r="M460" i="16"/>
  <c r="D449" i="16"/>
  <c r="D441" i="16"/>
  <c r="K432" i="16"/>
  <c r="M424" i="16"/>
  <c r="F418" i="16"/>
  <c r="K411" i="16"/>
  <c r="C405" i="16"/>
  <c r="J399" i="16"/>
  <c r="H394" i="16"/>
  <c r="M389" i="16"/>
  <c r="K385" i="16"/>
  <c r="E382" i="16"/>
  <c r="K378" i="16"/>
  <c r="C375" i="16"/>
  <c r="G371" i="16"/>
  <c r="M367" i="16"/>
  <c r="E364" i="16"/>
  <c r="K360" i="16"/>
  <c r="C357" i="16"/>
  <c r="G353" i="16"/>
  <c r="M349" i="16"/>
  <c r="E346" i="16"/>
  <c r="P342" i="16"/>
  <c r="D340" i="16"/>
  <c r="H337" i="16"/>
  <c r="L334" i="16"/>
  <c r="F332" i="16"/>
  <c r="H329" i="16"/>
  <c r="C327" i="16"/>
  <c r="G324" i="16"/>
  <c r="K321" i="16"/>
  <c r="E319" i="16"/>
  <c r="H316" i="16"/>
  <c r="D314" i="16"/>
  <c r="G311" i="16"/>
  <c r="M308" i="16"/>
  <c r="E306" i="16"/>
  <c r="H304" i="16"/>
  <c r="G303" i="16"/>
  <c r="G302" i="16"/>
  <c r="E301" i="16"/>
  <c r="C300" i="16"/>
  <c r="M298" i="16"/>
  <c r="M297" i="16"/>
  <c r="K296" i="16"/>
  <c r="H295" i="16"/>
  <c r="G294" i="16"/>
  <c r="E293" i="16"/>
  <c r="D292" i="16"/>
  <c r="C291" i="16"/>
  <c r="C290" i="16"/>
  <c r="P288" i="16"/>
  <c r="M287" i="16"/>
  <c r="L286" i="16"/>
  <c r="I285" i="16"/>
  <c r="H284" i="16"/>
  <c r="F283" i="16"/>
  <c r="F282" i="16"/>
  <c r="D281" i="16"/>
  <c r="P279" i="16"/>
  <c r="L278" i="16"/>
  <c r="H277" i="16"/>
  <c r="F276" i="16"/>
  <c r="D275" i="16"/>
  <c r="P273" i="16"/>
  <c r="M272" i="16"/>
  <c r="L271" i="16"/>
  <c r="J270" i="16"/>
  <c r="H269" i="16"/>
  <c r="G268" i="16"/>
  <c r="F267" i="16"/>
  <c r="E266" i="16"/>
  <c r="D265" i="16"/>
  <c r="D264" i="16"/>
  <c r="C263" i="16"/>
  <c r="M261" i="16"/>
  <c r="K260" i="16"/>
  <c r="H259" i="16"/>
  <c r="F258" i="16"/>
  <c r="E257" i="16"/>
  <c r="C256" i="16"/>
  <c r="P254" i="16"/>
  <c r="M253" i="16"/>
  <c r="M252" i="16"/>
  <c r="K251" i="16"/>
  <c r="G250" i="16"/>
  <c r="F249" i="16"/>
  <c r="E248" i="16"/>
  <c r="D247" i="16"/>
  <c r="C246" i="16"/>
  <c r="M244" i="16"/>
  <c r="L243" i="16"/>
  <c r="K242" i="16"/>
  <c r="J241" i="16"/>
  <c r="H240" i="16"/>
  <c r="H239" i="16"/>
  <c r="G238" i="16"/>
  <c r="G237" i="16"/>
  <c r="G236" i="16"/>
  <c r="F235" i="16"/>
  <c r="F234" i="16"/>
  <c r="D233" i="16"/>
  <c r="P231" i="16"/>
  <c r="L230" i="16"/>
  <c r="K229" i="16"/>
  <c r="K228" i="16"/>
  <c r="H227" i="16"/>
  <c r="G226" i="16"/>
  <c r="E225" i="16"/>
  <c r="F224" i="16"/>
  <c r="G223" i="16"/>
  <c r="H222" i="16"/>
  <c r="I221" i="16"/>
  <c r="J220" i="16"/>
  <c r="H219" i="16"/>
  <c r="G218" i="16"/>
  <c r="F217" i="16"/>
  <c r="E216" i="16"/>
  <c r="D215" i="16"/>
  <c r="C214" i="16"/>
  <c r="H185" i="17"/>
  <c r="O67" i="17"/>
  <c r="O441" i="16"/>
  <c r="M399" i="16"/>
  <c r="F381" i="16"/>
  <c r="P366" i="16"/>
  <c r="H352" i="16"/>
  <c r="F339" i="16"/>
  <c r="C329" i="16"/>
  <c r="G318" i="16"/>
  <c r="E308" i="16"/>
  <c r="D302" i="16"/>
  <c r="H297" i="16"/>
  <c r="P292" i="16"/>
  <c r="K288" i="16"/>
  <c r="E284" i="16"/>
  <c r="K279" i="16"/>
  <c r="M274" i="16"/>
  <c r="F270" i="16"/>
  <c r="P265" i="16"/>
  <c r="H261" i="16"/>
  <c r="L257" i="16"/>
  <c r="G254" i="16"/>
  <c r="C251" i="16"/>
  <c r="K247" i="16"/>
  <c r="F244" i="16"/>
  <c r="C241" i="16"/>
  <c r="M237" i="16"/>
  <c r="L234" i="16"/>
  <c r="F231" i="16"/>
  <c r="C228" i="16"/>
  <c r="L224" i="16"/>
  <c r="S221" i="16"/>
  <c r="P218" i="16"/>
  <c r="K215" i="16"/>
  <c r="C213" i="16"/>
  <c r="L211" i="16"/>
  <c r="H210" i="16"/>
  <c r="F209" i="16"/>
  <c r="F208" i="16"/>
  <c r="D207" i="16"/>
  <c r="C206" i="16"/>
  <c r="M204" i="16"/>
  <c r="K203" i="16"/>
  <c r="H202" i="16"/>
  <c r="F201" i="16"/>
  <c r="D200" i="16"/>
  <c r="P198" i="16"/>
  <c r="M197" i="16"/>
  <c r="K196" i="16"/>
  <c r="H195" i="16"/>
  <c r="G194" i="16"/>
  <c r="F193" i="16"/>
  <c r="D192" i="16"/>
  <c r="P190" i="16"/>
  <c r="L189" i="16"/>
  <c r="I188" i="16"/>
  <c r="H187" i="16"/>
  <c r="G186" i="16"/>
  <c r="G185" i="16"/>
  <c r="G184" i="16"/>
  <c r="G183" i="16"/>
  <c r="G182" i="16"/>
  <c r="E181" i="16"/>
  <c r="C180" i="16"/>
  <c r="C179" i="16"/>
  <c r="C178" i="16"/>
  <c r="C177" i="16"/>
  <c r="C176" i="16"/>
  <c r="C175" i="16"/>
  <c r="C174" i="16"/>
  <c r="M172" i="16"/>
  <c r="M171" i="16"/>
  <c r="M170" i="16"/>
  <c r="K169" i="16"/>
  <c r="K168" i="16"/>
  <c r="I167" i="16"/>
  <c r="I166" i="16"/>
  <c r="G165" i="16"/>
  <c r="E164" i="16"/>
  <c r="C163" i="16"/>
  <c r="M161" i="16"/>
  <c r="K160" i="16"/>
  <c r="G159" i="16"/>
  <c r="E158" i="16"/>
  <c r="C157" i="16"/>
  <c r="M155" i="16"/>
  <c r="K154" i="16"/>
  <c r="G153" i="16"/>
  <c r="E152" i="16"/>
  <c r="E151" i="16"/>
  <c r="E150" i="16"/>
  <c r="C149" i="16"/>
  <c r="C148" i="16"/>
  <c r="M146" i="16"/>
  <c r="K145" i="16"/>
  <c r="G144" i="16"/>
  <c r="E143" i="16"/>
  <c r="C142" i="16"/>
  <c r="M140" i="16"/>
  <c r="K139" i="16"/>
  <c r="G138" i="16"/>
  <c r="E137" i="16"/>
  <c r="C136" i="16"/>
  <c r="M134" i="16"/>
  <c r="K133" i="16"/>
  <c r="G132" i="16"/>
  <c r="E131" i="16"/>
  <c r="D130" i="16"/>
  <c r="P128" i="16"/>
  <c r="L127" i="16"/>
  <c r="H126" i="16"/>
  <c r="F125" i="16"/>
  <c r="D124" i="16"/>
  <c r="P122" i="16"/>
  <c r="N121" i="16"/>
  <c r="M120" i="16"/>
  <c r="N119" i="16"/>
  <c r="M118" i="16"/>
  <c r="L117" i="16"/>
  <c r="K116" i="16"/>
  <c r="G115" i="16"/>
  <c r="E114" i="16"/>
  <c r="C113" i="16"/>
  <c r="M111" i="16"/>
  <c r="L110" i="16"/>
  <c r="K109" i="16"/>
  <c r="H108" i="16"/>
  <c r="F107" i="16"/>
  <c r="D106" i="16"/>
  <c r="O26" i="17"/>
  <c r="O438" i="16"/>
  <c r="D398" i="16"/>
  <c r="D379" i="16"/>
  <c r="L364" i="16"/>
  <c r="F350" i="16"/>
  <c r="P337" i="16"/>
  <c r="F327" i="16"/>
  <c r="C317" i="16"/>
  <c r="H306" i="16"/>
  <c r="G301" i="16"/>
  <c r="M296" i="16"/>
  <c r="F292" i="16"/>
  <c r="C288" i="16"/>
  <c r="H283" i="16"/>
  <c r="P278" i="16"/>
  <c r="D274" i="16"/>
  <c r="K269" i="16"/>
  <c r="F265" i="16"/>
  <c r="M260" i="16"/>
  <c r="G257" i="16"/>
  <c r="C254" i="16"/>
  <c r="K250" i="16"/>
  <c r="F247" i="16"/>
  <c r="P243" i="16"/>
  <c r="K240" i="16"/>
  <c r="I237" i="16"/>
  <c r="H234" i="16"/>
  <c r="P230" i="16"/>
  <c r="K227" i="16"/>
  <c r="H224" i="16"/>
  <c r="K221" i="16"/>
  <c r="I218" i="16"/>
  <c r="F215" i="16"/>
  <c r="P212" i="16"/>
  <c r="K211" i="16"/>
  <c r="G210" i="16"/>
  <c r="E209" i="16"/>
  <c r="E208" i="16"/>
  <c r="C207" i="16"/>
  <c r="P205" i="16"/>
  <c r="L204" i="16"/>
  <c r="H203" i="16"/>
  <c r="G202" i="16"/>
  <c r="E201" i="16"/>
  <c r="C200" i="16"/>
  <c r="M198" i="16"/>
  <c r="L197" i="16"/>
  <c r="H196" i="16"/>
  <c r="G195" i="16"/>
  <c r="F194" i="16"/>
  <c r="E193" i="16"/>
  <c r="C192" i="16"/>
  <c r="M190" i="16"/>
  <c r="K189" i="16"/>
  <c r="H188" i="16"/>
  <c r="G187" i="16"/>
  <c r="F186" i="16"/>
  <c r="F185" i="16"/>
  <c r="F184" i="16"/>
  <c r="F183" i="16"/>
  <c r="F182" i="16"/>
  <c r="D181" i="16"/>
  <c r="P179" i="16"/>
  <c r="P178" i="16"/>
  <c r="P177" i="16"/>
  <c r="P176" i="16"/>
  <c r="P175" i="16"/>
  <c r="P174" i="16"/>
  <c r="P173" i="16"/>
  <c r="L172" i="16"/>
  <c r="L171" i="16"/>
  <c r="D433" i="16"/>
  <c r="L394" i="16"/>
  <c r="P378" i="16"/>
  <c r="H364" i="16"/>
  <c r="D350" i="16"/>
  <c r="L337" i="16"/>
  <c r="D327" i="16"/>
  <c r="L316" i="16"/>
  <c r="G306" i="16"/>
  <c r="F301" i="16"/>
  <c r="L296" i="16"/>
  <c r="E292" i="16"/>
  <c r="P287" i="16"/>
  <c r="G283" i="16"/>
  <c r="M278" i="16"/>
  <c r="C274" i="16"/>
  <c r="I269" i="16"/>
  <c r="E265" i="16"/>
  <c r="L260" i="16"/>
  <c r="F257" i="16"/>
  <c r="P253" i="16"/>
  <c r="H250" i="16"/>
  <c r="E247" i="16"/>
  <c r="M243" i="16"/>
  <c r="J240" i="16"/>
  <c r="H237" i="16"/>
  <c r="G234" i="16"/>
  <c r="M230" i="16"/>
  <c r="J227" i="16"/>
  <c r="G224" i="16"/>
  <c r="J221" i="16"/>
  <c r="H218" i="16"/>
  <c r="E215" i="16"/>
  <c r="M212" i="16"/>
  <c r="H211" i="16"/>
  <c r="F210" i="16"/>
  <c r="D209" i="16"/>
  <c r="D208" i="16"/>
  <c r="P206" i="16"/>
  <c r="M205" i="16"/>
  <c r="K204" i="16"/>
  <c r="G203" i="16"/>
  <c r="F202" i="16"/>
  <c r="D201" i="16"/>
  <c r="P199" i="16"/>
  <c r="L198" i="16"/>
  <c r="K197" i="16"/>
  <c r="G196" i="16"/>
  <c r="F195" i="16"/>
  <c r="E194" i="16"/>
  <c r="D193" i="16"/>
  <c r="P191" i="16"/>
  <c r="L190" i="16"/>
  <c r="H189" i="16"/>
  <c r="G188" i="16"/>
  <c r="F187" i="16"/>
  <c r="E186" i="16"/>
  <c r="E185" i="16"/>
  <c r="E184" i="16"/>
  <c r="E183" i="16"/>
  <c r="E182" i="16"/>
  <c r="C181" i="16"/>
  <c r="M179" i="16"/>
  <c r="M178" i="16"/>
  <c r="M177" i="16"/>
  <c r="M176" i="16"/>
  <c r="M175" i="16"/>
  <c r="M174" i="16"/>
  <c r="M173" i="16"/>
  <c r="K172" i="16"/>
  <c r="K171" i="16"/>
  <c r="K170" i="16"/>
  <c r="I169" i="16"/>
  <c r="G168" i="16"/>
  <c r="G167" i="16"/>
  <c r="G166" i="16"/>
  <c r="E165" i="16"/>
  <c r="C164" i="16"/>
  <c r="M162" i="16"/>
  <c r="K161" i="16"/>
  <c r="G160" i="16"/>
  <c r="E159" i="16"/>
  <c r="C158" i="16"/>
  <c r="M156" i="16"/>
  <c r="K155" i="16"/>
  <c r="G154" i="16"/>
  <c r="E153" i="16"/>
  <c r="C152" i="16"/>
  <c r="C151" i="16"/>
  <c r="C150" i="16"/>
  <c r="O148" i="16"/>
  <c r="M147" i="16"/>
  <c r="K146" i="16"/>
  <c r="G145" i="16"/>
  <c r="E144" i="16"/>
  <c r="C143" i="16"/>
  <c r="M141" i="16"/>
  <c r="K140" i="16"/>
  <c r="G139" i="16"/>
  <c r="E138" i="16"/>
  <c r="C137" i="16"/>
  <c r="M135" i="16"/>
  <c r="K134" i="16"/>
  <c r="G133" i="16"/>
  <c r="E132" i="16"/>
  <c r="C131" i="16"/>
  <c r="P129" i="16"/>
  <c r="L128" i="16"/>
  <c r="H127" i="16"/>
  <c r="F126" i="16"/>
  <c r="D125" i="16"/>
  <c r="P123" i="16"/>
  <c r="L122" i="16"/>
  <c r="L121" i="16"/>
  <c r="K120" i="16"/>
  <c r="L119" i="16"/>
  <c r="K118" i="16"/>
  <c r="I117" i="16"/>
  <c r="G116" i="16"/>
  <c r="E115" i="16"/>
  <c r="C114" i="16"/>
  <c r="M112" i="16"/>
  <c r="K111" i="16"/>
  <c r="I110" i="16"/>
  <c r="H109" i="16"/>
  <c r="F108" i="16"/>
  <c r="D107" i="16"/>
  <c r="P105" i="16"/>
  <c r="N110" i="17"/>
  <c r="D33" i="17"/>
  <c r="G430" i="16"/>
  <c r="E393" i="16"/>
  <c r="L377" i="16"/>
  <c r="F363" i="16"/>
  <c r="P348" i="16"/>
  <c r="M336" i="16"/>
  <c r="E326" i="16"/>
  <c r="C316" i="16"/>
  <c r="I305" i="16"/>
  <c r="P300" i="16"/>
  <c r="G296" i="16"/>
  <c r="M291" i="16"/>
  <c r="I287" i="16"/>
  <c r="C283" i="16"/>
  <c r="G278" i="16"/>
  <c r="K273" i="16"/>
  <c r="E269" i="16"/>
  <c r="M264" i="16"/>
  <c r="F260" i="16"/>
  <c r="P256" i="16"/>
  <c r="J253" i="16"/>
  <c r="D250" i="16"/>
  <c r="M246" i="16"/>
  <c r="H243" i="16"/>
  <c r="E240" i="16"/>
  <c r="D237" i="16"/>
  <c r="C234" i="16"/>
  <c r="H230" i="16"/>
  <c r="E227" i="16"/>
  <c r="C224" i="16"/>
  <c r="F221" i="16"/>
  <c r="D218" i="16"/>
  <c r="P214" i="16"/>
  <c r="K212" i="16"/>
  <c r="G211" i="16"/>
  <c r="E210" i="16"/>
  <c r="C209" i="16"/>
  <c r="C208" i="16"/>
  <c r="M206" i="16"/>
  <c r="L205" i="16"/>
  <c r="H204" i="16"/>
  <c r="F203" i="16"/>
  <c r="E202" i="16"/>
  <c r="C201" i="16"/>
  <c r="M199" i="16"/>
  <c r="K198" i="16"/>
  <c r="H197" i="16"/>
  <c r="F196" i="16"/>
  <c r="E195" i="16"/>
  <c r="D194" i="16"/>
  <c r="C193" i="16"/>
  <c r="M191" i="16"/>
  <c r="K190" i="16"/>
  <c r="G189" i="16"/>
  <c r="F188" i="16"/>
  <c r="E187" i="16"/>
  <c r="D186" i="16"/>
  <c r="D185" i="16"/>
  <c r="D184" i="16"/>
  <c r="D183" i="16"/>
  <c r="D182" i="16"/>
  <c r="P180" i="16"/>
  <c r="L179" i="16"/>
  <c r="L178" i="16"/>
  <c r="L177" i="16"/>
  <c r="L176" i="16"/>
  <c r="L175" i="16"/>
  <c r="L174" i="16"/>
  <c r="L173" i="16"/>
  <c r="J172" i="16"/>
  <c r="J171" i="16"/>
  <c r="H170" i="16"/>
  <c r="H169" i="16"/>
  <c r="F168" i="16"/>
  <c r="F167" i="16"/>
  <c r="F166" i="16"/>
  <c r="D165" i="16"/>
  <c r="P163" i="16"/>
  <c r="L162" i="16"/>
  <c r="H161" i="16"/>
  <c r="F160" i="16"/>
  <c r="D159" i="16"/>
  <c r="P157" i="16"/>
  <c r="L156" i="16"/>
  <c r="H155" i="16"/>
  <c r="F154" i="16"/>
  <c r="D153" i="16"/>
  <c r="P151" i="16"/>
  <c r="P150" i="16"/>
  <c r="P149" i="16"/>
  <c r="N148" i="16"/>
  <c r="L147" i="16"/>
  <c r="H146" i="16"/>
  <c r="F145" i="16"/>
  <c r="D144" i="16"/>
  <c r="P142" i="16"/>
  <c r="L141" i="16"/>
  <c r="H140" i="16"/>
  <c r="F139" i="16"/>
  <c r="D138" i="16"/>
  <c r="P136" i="16"/>
  <c r="L135" i="16"/>
  <c r="H134" i="16"/>
  <c r="F133" i="16"/>
  <c r="D132" i="16"/>
  <c r="P130" i="16"/>
  <c r="M129" i="16"/>
  <c r="K128" i="16"/>
  <c r="G127" i="16"/>
  <c r="E126" i="16"/>
  <c r="C125" i="16"/>
  <c r="M123" i="16"/>
  <c r="K122" i="16"/>
  <c r="K121" i="16"/>
  <c r="I120" i="16"/>
  <c r="K119" i="16"/>
  <c r="I118" i="16"/>
  <c r="H117" i="16"/>
  <c r="F116" i="16"/>
  <c r="D115" i="16"/>
  <c r="P113" i="16"/>
  <c r="L112" i="16"/>
  <c r="I111" i="16"/>
  <c r="H110" i="16"/>
  <c r="G109" i="16"/>
  <c r="E108" i="16"/>
  <c r="C107" i="16"/>
  <c r="M105" i="16"/>
  <c r="F425" i="16"/>
  <c r="J390" i="16"/>
  <c r="H375" i="16"/>
  <c r="D361" i="16"/>
  <c r="L346" i="16"/>
  <c r="F335" i="16"/>
  <c r="M324" i="16"/>
  <c r="G314" i="16"/>
  <c r="K304" i="16"/>
  <c r="E300" i="16"/>
  <c r="L295" i="16"/>
  <c r="E291" i="16"/>
  <c r="P286" i="16"/>
  <c r="H282" i="16"/>
  <c r="L277" i="16"/>
  <c r="C273" i="16"/>
  <c r="I268" i="16"/>
  <c r="F264" i="16"/>
  <c r="C260" i="16"/>
  <c r="K256" i="16"/>
  <c r="G253" i="16"/>
  <c r="M249" i="16"/>
  <c r="I246" i="16"/>
  <c r="E243" i="16"/>
  <c r="P239" i="16"/>
  <c r="M236" i="16"/>
  <c r="L233" i="16"/>
  <c r="E230" i="16"/>
  <c r="P226" i="16"/>
  <c r="M223" i="16"/>
  <c r="C221" i="16"/>
  <c r="M217" i="16"/>
  <c r="M214" i="16"/>
  <c r="H212" i="16"/>
  <c r="F211" i="16"/>
  <c r="D210" i="16"/>
  <c r="P208" i="16"/>
  <c r="P207" i="16"/>
  <c r="L206" i="16"/>
  <c r="K205" i="16"/>
  <c r="G204" i="16"/>
  <c r="E203" i="16"/>
  <c r="D202" i="16"/>
  <c r="P200" i="16"/>
  <c r="L199" i="16"/>
  <c r="I198" i="16"/>
  <c r="G197" i="16"/>
  <c r="E196" i="16"/>
  <c r="D195" i="16"/>
  <c r="C194" i="16"/>
  <c r="P192" i="16"/>
  <c r="L191" i="16"/>
  <c r="H190" i="16"/>
  <c r="F189" i="16"/>
  <c r="E188" i="16"/>
  <c r="D187" i="16"/>
  <c r="C186" i="16"/>
  <c r="C185" i="16"/>
  <c r="C184" i="16"/>
  <c r="C183" i="16"/>
  <c r="C182" i="16"/>
  <c r="M180" i="16"/>
  <c r="K179" i="16"/>
  <c r="K178" i="16"/>
  <c r="K177" i="16"/>
  <c r="K176" i="16"/>
  <c r="K175" i="16"/>
  <c r="K174" i="16"/>
  <c r="K173" i="16"/>
  <c r="I172" i="16"/>
  <c r="I171" i="16"/>
  <c r="G170" i="16"/>
  <c r="G169" i="16"/>
  <c r="E168" i="16"/>
  <c r="E167" i="16"/>
  <c r="E166" i="16"/>
  <c r="C165" i="16"/>
  <c r="M163" i="16"/>
  <c r="K162" i="16"/>
  <c r="G161" i="16"/>
  <c r="E160" i="16"/>
  <c r="C159" i="16"/>
  <c r="M157" i="16"/>
  <c r="K156" i="16"/>
  <c r="G155" i="16"/>
  <c r="E154" i="16"/>
  <c r="C153" i="16"/>
  <c r="O151" i="16"/>
  <c r="O150" i="16"/>
  <c r="M149" i="16"/>
  <c r="M148" i="16"/>
  <c r="K147" i="16"/>
  <c r="G146" i="16"/>
  <c r="E145" i="16"/>
  <c r="C144" i="16"/>
  <c r="M142" i="16"/>
  <c r="K141" i="16"/>
  <c r="G140" i="16"/>
  <c r="E139" i="16"/>
  <c r="C138" i="16"/>
  <c r="M136" i="16"/>
  <c r="K135" i="16"/>
  <c r="G134" i="16"/>
  <c r="E133" i="16"/>
  <c r="C132" i="16"/>
  <c r="M130" i="16"/>
  <c r="L129" i="16"/>
  <c r="H128" i="16"/>
  <c r="F127" i="16"/>
  <c r="D126" i="16"/>
  <c r="P124" i="16"/>
  <c r="L123" i="16"/>
  <c r="H122" i="16"/>
  <c r="I121" i="16"/>
  <c r="H120" i="16"/>
  <c r="I119" i="16"/>
  <c r="H118" i="16"/>
  <c r="G117" i="16"/>
  <c r="E116" i="16"/>
  <c r="C115" i="16"/>
  <c r="M113" i="16"/>
  <c r="K112" i="16"/>
  <c r="H111" i="16"/>
  <c r="G110" i="16"/>
  <c r="F109" i="16"/>
  <c r="D108" i="16"/>
  <c r="P106" i="16"/>
  <c r="O422" i="16"/>
  <c r="E390" i="16"/>
  <c r="F375" i="16"/>
  <c r="P360" i="16"/>
  <c r="H346" i="16"/>
  <c r="P334" i="16"/>
  <c r="K324" i="16"/>
  <c r="E314" i="16"/>
  <c r="I304" i="16"/>
  <c r="D300" i="16"/>
  <c r="K295" i="16"/>
  <c r="D291" i="16"/>
  <c r="M286" i="16"/>
  <c r="G282" i="16"/>
  <c r="K277" i="16"/>
  <c r="P272" i="16"/>
  <c r="H268" i="16"/>
  <c r="E264" i="16"/>
  <c r="K259" i="16"/>
  <c r="E256" i="16"/>
  <c r="C253" i="16"/>
  <c r="H249" i="16"/>
  <c r="E246" i="16"/>
  <c r="M242" i="16"/>
  <c r="J239" i="16"/>
  <c r="I236" i="16"/>
  <c r="F233" i="16"/>
  <c r="M229" i="16"/>
  <c r="I226" i="16"/>
  <c r="I223" i="16"/>
  <c r="L220" i="16"/>
  <c r="H217" i="16"/>
  <c r="I214" i="16"/>
  <c r="G212" i="16"/>
  <c r="E211" i="16"/>
  <c r="C210" i="16"/>
  <c r="M208" i="16"/>
  <c r="M207" i="16"/>
  <c r="K206" i="16"/>
  <c r="H205" i="16"/>
  <c r="F204" i="16"/>
  <c r="D203" i="16"/>
  <c r="C202" i="16"/>
  <c r="M200" i="16"/>
  <c r="K199" i="16"/>
  <c r="H198" i="16"/>
  <c r="F197" i="16"/>
  <c r="D196" i="16"/>
  <c r="C195" i="16"/>
  <c r="P193" i="16"/>
  <c r="M192" i="16"/>
  <c r="K191" i="16"/>
  <c r="G190" i="16"/>
  <c r="E189" i="16"/>
  <c r="D188" i="16"/>
  <c r="C187" i="16"/>
  <c r="P185" i="16"/>
  <c r="P184" i="16"/>
  <c r="P183" i="16"/>
  <c r="P182" i="16"/>
  <c r="P181" i="16"/>
  <c r="L180" i="16"/>
  <c r="J179" i="16"/>
  <c r="J178" i="16"/>
  <c r="J177" i="16"/>
  <c r="I418" i="16"/>
  <c r="K388" i="16"/>
  <c r="D374" i="16"/>
  <c r="L359" i="16"/>
  <c r="G345" i="16"/>
  <c r="E334" i="16"/>
  <c r="L323" i="16"/>
  <c r="E313" i="16"/>
  <c r="E304" i="16"/>
  <c r="L299" i="16"/>
  <c r="E295" i="16"/>
  <c r="L290" i="16"/>
  <c r="G286" i="16"/>
  <c r="C282" i="16"/>
  <c r="E277" i="16"/>
  <c r="I272" i="16"/>
  <c r="D268" i="16"/>
  <c r="M263" i="16"/>
  <c r="J259" i="16"/>
  <c r="D256" i="16"/>
  <c r="P252" i="16"/>
  <c r="G249" i="16"/>
  <c r="D246" i="16"/>
  <c r="L242" i="16"/>
  <c r="I239" i="16"/>
  <c r="H236" i="16"/>
  <c r="E233" i="16"/>
  <c r="L229" i="16"/>
  <c r="H226" i="16"/>
  <c r="H223" i="16"/>
  <c r="K220" i="16"/>
  <c r="G217" i="16"/>
  <c r="E214" i="16"/>
  <c r="F212" i="16"/>
  <c r="D211" i="16"/>
  <c r="P209" i="16"/>
  <c r="L208" i="16"/>
  <c r="L207" i="16"/>
  <c r="J206" i="16"/>
  <c r="G205" i="16"/>
  <c r="E204" i="16"/>
  <c r="C203" i="16"/>
  <c r="P201" i="16"/>
  <c r="L200" i="16"/>
  <c r="H199" i="16"/>
  <c r="G198" i="16"/>
  <c r="E197" i="16"/>
  <c r="C196" i="16"/>
  <c r="P194" i="16"/>
  <c r="M193" i="16"/>
  <c r="L192" i="16"/>
  <c r="H191" i="16"/>
  <c r="F190" i="16"/>
  <c r="D189" i="16"/>
  <c r="C188" i="16"/>
  <c r="P186" i="16"/>
  <c r="M185" i="16"/>
  <c r="M184" i="16"/>
  <c r="M183" i="16"/>
  <c r="M182" i="16"/>
  <c r="M181" i="16"/>
  <c r="K180" i="16"/>
  <c r="I179" i="16"/>
  <c r="I178" i="16"/>
  <c r="I177" i="16"/>
  <c r="I176" i="16"/>
  <c r="I175" i="16"/>
  <c r="I174" i="16"/>
  <c r="G173" i="16"/>
  <c r="G172" i="16"/>
  <c r="G171" i="16"/>
  <c r="E170" i="16"/>
  <c r="E169" i="16"/>
  <c r="C168" i="16"/>
  <c r="C167" i="16"/>
  <c r="C166" i="16"/>
  <c r="M164" i="16"/>
  <c r="K163" i="16"/>
  <c r="G162" i="16"/>
  <c r="E161" i="16"/>
  <c r="C160" i="16"/>
  <c r="M158" i="16"/>
  <c r="K157" i="16"/>
  <c r="G156" i="16"/>
  <c r="E155" i="16"/>
  <c r="C154" i="16"/>
  <c r="M152" i="16"/>
  <c r="M151" i="16"/>
  <c r="M150" i="16"/>
  <c r="K149" i="16"/>
  <c r="K148" i="16"/>
  <c r="G147" i="16"/>
  <c r="E146" i="16"/>
  <c r="C145" i="16"/>
  <c r="M143" i="16"/>
  <c r="K142" i="16"/>
  <c r="G141" i="16"/>
  <c r="E140" i="16"/>
  <c r="C139" i="16"/>
  <c r="M137" i="16"/>
  <c r="K136" i="16"/>
  <c r="G135" i="16"/>
  <c r="E134" i="16"/>
  <c r="C133" i="16"/>
  <c r="M131" i="16"/>
  <c r="K130" i="16"/>
  <c r="H129" i="16"/>
  <c r="F128" i="16"/>
  <c r="D127" i="16"/>
  <c r="P125" i="16"/>
  <c r="L124" i="16"/>
  <c r="H123" i="16"/>
  <c r="F122" i="16"/>
  <c r="G121" i="16"/>
  <c r="F120" i="16"/>
  <c r="G119" i="16"/>
  <c r="F118" i="16"/>
  <c r="E117" i="16"/>
  <c r="C116" i="16"/>
  <c r="M114" i="16"/>
  <c r="K113" i="16"/>
  <c r="G112" i="16"/>
  <c r="F111" i="16"/>
  <c r="E110" i="16"/>
  <c r="D109" i="16"/>
  <c r="P107" i="16"/>
  <c r="L106" i="16"/>
  <c r="H105" i="16"/>
  <c r="I150" i="17"/>
  <c r="F416" i="16"/>
  <c r="D386" i="16"/>
  <c r="P371" i="16"/>
  <c r="H357" i="16"/>
  <c r="G343" i="16"/>
  <c r="I332" i="16"/>
  <c r="E322" i="16"/>
  <c r="M311" i="16"/>
  <c r="I303" i="16"/>
  <c r="C299" i="16"/>
  <c r="I294" i="16"/>
  <c r="E290" i="16"/>
  <c r="L285" i="16"/>
  <c r="F281" i="16"/>
  <c r="H276" i="16"/>
  <c r="P271" i="16"/>
  <c r="H267" i="16"/>
  <c r="E263" i="16"/>
  <c r="E259" i="16"/>
  <c r="L255" i="16"/>
  <c r="H252" i="16"/>
  <c r="C249" i="16"/>
  <c r="L245" i="16"/>
  <c r="G242" i="16"/>
  <c r="E239" i="16"/>
  <c r="D236" i="16"/>
  <c r="M232" i="16"/>
  <c r="H229" i="16"/>
  <c r="D226" i="16"/>
  <c r="D223" i="16"/>
  <c r="G220" i="16"/>
  <c r="C217" i="16"/>
  <c r="D214" i="16"/>
  <c r="E212" i="16"/>
  <c r="C211" i="16"/>
  <c r="M209" i="16"/>
  <c r="K208" i="16"/>
  <c r="K207" i="16"/>
  <c r="H206" i="16"/>
  <c r="F205" i="16"/>
  <c r="D204" i="16"/>
  <c r="P202" i="16"/>
  <c r="M201" i="16"/>
  <c r="K200" i="16"/>
  <c r="G199" i="16"/>
  <c r="F198" i="16"/>
  <c r="D197" i="16"/>
  <c r="P195" i="16"/>
  <c r="M194" i="16"/>
  <c r="L193" i="16"/>
  <c r="K192" i="16"/>
  <c r="G191" i="16"/>
  <c r="E190" i="16"/>
  <c r="C189" i="16"/>
  <c r="P187" i="16"/>
  <c r="M186" i="16"/>
  <c r="L185" i="16"/>
  <c r="L184" i="16"/>
  <c r="L183" i="16"/>
  <c r="L182" i="16"/>
  <c r="L181" i="16"/>
  <c r="H180" i="16"/>
  <c r="H179" i="16"/>
  <c r="H178" i="16"/>
  <c r="H177" i="16"/>
  <c r="H176" i="16"/>
  <c r="H175" i="16"/>
  <c r="H174" i="16"/>
  <c r="F173" i="16"/>
  <c r="F172" i="16"/>
  <c r="F171" i="16"/>
  <c r="D170" i="16"/>
  <c r="D169" i="16"/>
  <c r="P167" i="16"/>
  <c r="P166" i="16"/>
  <c r="P165" i="16"/>
  <c r="L164" i="16"/>
  <c r="H163" i="16"/>
  <c r="F162" i="16"/>
  <c r="D161" i="16"/>
  <c r="P159" i="16"/>
  <c r="L158" i="16"/>
  <c r="H157" i="16"/>
  <c r="F156" i="16"/>
  <c r="D155" i="16"/>
  <c r="P153" i="16"/>
  <c r="L152" i="16"/>
  <c r="L151" i="16"/>
  <c r="L150" i="16"/>
  <c r="H149" i="16"/>
  <c r="H148" i="16"/>
  <c r="F147" i="16"/>
  <c r="D146" i="16"/>
  <c r="P144" i="16"/>
  <c r="L143" i="16"/>
  <c r="H142" i="16"/>
  <c r="F141" i="16"/>
  <c r="D140" i="16"/>
  <c r="P138" i="16"/>
  <c r="L137" i="16"/>
  <c r="H136" i="16"/>
  <c r="F135" i="16"/>
  <c r="D134" i="16"/>
  <c r="P132" i="16"/>
  <c r="L131" i="16"/>
  <c r="I130" i="16"/>
  <c r="G129" i="16"/>
  <c r="E128" i="16"/>
  <c r="C127" i="16"/>
  <c r="M125" i="16"/>
  <c r="K124" i="16"/>
  <c r="G123" i="16"/>
  <c r="E122" i="16"/>
  <c r="F121" i="16"/>
  <c r="E120" i="16"/>
  <c r="F119" i="16"/>
  <c r="E118" i="16"/>
  <c r="D117" i="16"/>
  <c r="P115" i="16"/>
  <c r="L114" i="16"/>
  <c r="H113" i="16"/>
  <c r="F112" i="16"/>
  <c r="E111" i="16"/>
  <c r="D110" i="16"/>
  <c r="C109" i="16"/>
  <c r="M107" i="16"/>
  <c r="N179" i="17"/>
  <c r="I62" i="17"/>
  <c r="F463" i="16"/>
  <c r="P411" i="16"/>
  <c r="P385" i="16"/>
  <c r="L371" i="16"/>
  <c r="F357" i="16"/>
  <c r="E343" i="16"/>
  <c r="H332" i="16"/>
  <c r="M321" i="16"/>
  <c r="K311" i="16"/>
  <c r="H303" i="16"/>
  <c r="P298" i="16"/>
  <c r="H294" i="16"/>
  <c r="D290" i="16"/>
  <c r="K285" i="16"/>
  <c r="E281" i="16"/>
  <c r="G276" i="16"/>
  <c r="M271" i="16"/>
  <c r="G267" i="16"/>
  <c r="D263" i="16"/>
  <c r="P258" i="16"/>
  <c r="H255" i="16"/>
  <c r="E252" i="16"/>
  <c r="L248" i="16"/>
  <c r="G245" i="16"/>
  <c r="D242" i="16"/>
  <c r="P238" i="16"/>
  <c r="M235" i="16"/>
  <c r="H232" i="16"/>
  <c r="E229" i="16"/>
  <c r="M225" i="16"/>
  <c r="P222" i="16"/>
  <c r="D220" i="16"/>
  <c r="L216" i="16"/>
  <c r="M213" i="16"/>
  <c r="D212" i="16"/>
  <c r="P210" i="16"/>
  <c r="L209" i="16"/>
  <c r="J208" i="16"/>
  <c r="H207" i="16"/>
  <c r="G206" i="16"/>
  <c r="E205" i="16"/>
  <c r="C204" i="16"/>
  <c r="M202" i="16"/>
  <c r="L201" i="16"/>
  <c r="H200" i="16"/>
  <c r="F199" i="16"/>
  <c r="E198" i="16"/>
  <c r="C197" i="16"/>
  <c r="M195" i="16"/>
  <c r="L194" i="16"/>
  <c r="K193" i="16"/>
  <c r="H192" i="16"/>
  <c r="F191" i="16"/>
  <c r="D190" i="16"/>
  <c r="P188" i="16"/>
  <c r="M187" i="16"/>
  <c r="L186" i="16"/>
  <c r="K185" i="16"/>
  <c r="K184" i="16"/>
  <c r="K183" i="16"/>
  <c r="K182" i="16"/>
  <c r="K181" i="16"/>
  <c r="G180" i="16"/>
  <c r="G179" i="16"/>
  <c r="G178" i="16"/>
  <c r="G177" i="16"/>
  <c r="G176" i="16"/>
  <c r="G175" i="16"/>
  <c r="G174" i="16"/>
  <c r="E173" i="16"/>
  <c r="E172" i="16"/>
  <c r="E171" i="16"/>
  <c r="C170" i="16"/>
  <c r="C169" i="16"/>
  <c r="M167" i="16"/>
  <c r="M166" i="16"/>
  <c r="M165" i="16"/>
  <c r="K164" i="16"/>
  <c r="G163" i="16"/>
  <c r="E162" i="16"/>
  <c r="C161" i="16"/>
  <c r="M159" i="16"/>
  <c r="K158" i="16"/>
  <c r="G157" i="16"/>
  <c r="E156" i="16"/>
  <c r="C155" i="16"/>
  <c r="M153" i="16"/>
  <c r="K152" i="16"/>
  <c r="K151" i="16"/>
  <c r="K150" i="16"/>
  <c r="G149" i="16"/>
  <c r="G148" i="16"/>
  <c r="E147" i="16"/>
  <c r="C146" i="16"/>
  <c r="M144" i="16"/>
  <c r="K143" i="16"/>
  <c r="G142" i="16"/>
  <c r="E141" i="16"/>
  <c r="C140" i="16"/>
  <c r="M138" i="16"/>
  <c r="K137" i="16"/>
  <c r="G136" i="16"/>
  <c r="E135" i="16"/>
  <c r="C134" i="16"/>
  <c r="M132" i="16"/>
  <c r="K131" i="16"/>
  <c r="H130" i="16"/>
  <c r="H457" i="16"/>
  <c r="K409" i="16"/>
  <c r="M384" i="16"/>
  <c r="H370" i="16"/>
  <c r="D356" i="16"/>
  <c r="D342" i="16"/>
  <c r="H331" i="16"/>
  <c r="D321" i="16"/>
  <c r="L310" i="16"/>
  <c r="D303" i="16"/>
  <c r="J298" i="16"/>
  <c r="D294" i="16"/>
  <c r="L289" i="16"/>
  <c r="F285" i="16"/>
  <c r="M280" i="16"/>
  <c r="C276" i="16"/>
  <c r="G271" i="16"/>
  <c r="C267" i="16"/>
  <c r="L262" i="16"/>
  <c r="H258" i="16"/>
  <c r="D255" i="16"/>
  <c r="M251" i="16"/>
  <c r="G248" i="16"/>
  <c r="C245" i="16"/>
  <c r="L241" i="16"/>
  <c r="J238" i="16"/>
  <c r="H235" i="16"/>
  <c r="D232" i="16"/>
  <c r="M228" i="16"/>
  <c r="G225" i="16"/>
  <c r="J222" i="16"/>
  <c r="L219" i="16"/>
  <c r="G216" i="16"/>
  <c r="L213" i="16"/>
  <c r="C212" i="16"/>
  <c r="M210" i="16"/>
  <c r="K209" i="16"/>
  <c r="I208" i="16"/>
  <c r="G207" i="16"/>
  <c r="F206" i="16"/>
  <c r="D205" i="16"/>
  <c r="P203" i="16"/>
  <c r="L202" i="16"/>
  <c r="K201" i="16"/>
  <c r="G200" i="16"/>
  <c r="E199" i="16"/>
  <c r="D198" i="16"/>
  <c r="P196" i="16"/>
  <c r="L195" i="16"/>
  <c r="K194" i="16"/>
  <c r="I193" i="16"/>
  <c r="G192" i="16"/>
  <c r="E191" i="16"/>
  <c r="C190" i="16"/>
  <c r="M188" i="16"/>
  <c r="L187" i="16"/>
  <c r="K186" i="16"/>
  <c r="J185" i="16"/>
  <c r="J184" i="16"/>
  <c r="J183" i="16"/>
  <c r="J182" i="16"/>
  <c r="H181" i="16"/>
  <c r="F180" i="16"/>
  <c r="F179" i="16"/>
  <c r="F178" i="16"/>
  <c r="F177" i="16"/>
  <c r="F176" i="16"/>
  <c r="F175" i="16"/>
  <c r="F174" i="16"/>
  <c r="D173" i="16"/>
  <c r="D172" i="16"/>
  <c r="D171" i="16"/>
  <c r="P169" i="16"/>
  <c r="P168" i="16"/>
  <c r="L167" i="16"/>
  <c r="L166" i="16"/>
  <c r="L165" i="16"/>
  <c r="H164" i="16"/>
  <c r="F163" i="16"/>
  <c r="D162" i="16"/>
  <c r="P160" i="16"/>
  <c r="L159" i="16"/>
  <c r="H158" i="16"/>
  <c r="F157" i="16"/>
  <c r="D156" i="16"/>
  <c r="P154" i="16"/>
  <c r="L153" i="16"/>
  <c r="H152" i="16"/>
  <c r="H151" i="16"/>
  <c r="H150" i="16"/>
  <c r="F149" i="16"/>
  <c r="F148" i="16"/>
  <c r="D147" i="16"/>
  <c r="P145" i="16"/>
  <c r="N157" i="17"/>
  <c r="D447" i="16"/>
  <c r="K403" i="16"/>
  <c r="H382" i="16"/>
  <c r="D368" i="16"/>
  <c r="L353" i="16"/>
  <c r="E340" i="16"/>
  <c r="M329" i="16"/>
  <c r="G319" i="16"/>
  <c r="C309" i="16"/>
  <c r="H302" i="16"/>
  <c r="P297" i="16"/>
  <c r="F293" i="16"/>
  <c r="C289" i="16"/>
  <c r="I284" i="16"/>
  <c r="C280" i="16"/>
  <c r="E275" i="16"/>
  <c r="K270" i="16"/>
  <c r="F266" i="16"/>
  <c r="P261" i="16"/>
  <c r="C258" i="16"/>
  <c r="K254" i="16"/>
  <c r="F251" i="16"/>
  <c r="P247" i="16"/>
  <c r="I244" i="16"/>
  <c r="F241" i="16"/>
  <c r="D238" i="16"/>
  <c r="C235" i="16"/>
  <c r="K231" i="16"/>
  <c r="F228" i="16"/>
  <c r="S224" i="16"/>
  <c r="E222" i="16"/>
  <c r="E219" i="16"/>
  <c r="P215" i="16"/>
  <c r="G213" i="16"/>
  <c r="M211" i="16"/>
  <c r="K210" i="16"/>
  <c r="G209" i="16"/>
  <c r="G208" i="16"/>
  <c r="E207" i="16"/>
  <c r="D206" i="16"/>
  <c r="P204" i="16"/>
  <c r="L203" i="16"/>
  <c r="I202" i="16"/>
  <c r="G201" i="16"/>
  <c r="E200" i="16"/>
  <c r="C199" i="16"/>
  <c r="P197" i="16"/>
  <c r="L196" i="16"/>
  <c r="I195" i="16"/>
  <c r="H194" i="16"/>
  <c r="G193" i="16"/>
  <c r="E192" i="16"/>
  <c r="C191" i="16"/>
  <c r="M189" i="16"/>
  <c r="K188" i="16"/>
  <c r="I187" i="16"/>
  <c r="H186" i="16"/>
  <c r="H185" i="16"/>
  <c r="H184" i="16"/>
  <c r="H183" i="16"/>
  <c r="H182" i="16"/>
  <c r="F181" i="16"/>
  <c r="D180" i="16"/>
  <c r="D179" i="16"/>
  <c r="D178" i="16"/>
  <c r="D177" i="16"/>
  <c r="D176" i="16"/>
  <c r="D175" i="16"/>
  <c r="D174" i="16"/>
  <c r="P172" i="16"/>
  <c r="P171" i="16"/>
  <c r="P170" i="16"/>
  <c r="L169" i="16"/>
  <c r="L168" i="16"/>
  <c r="J167" i="16"/>
  <c r="J166" i="16"/>
  <c r="H165" i="16"/>
  <c r="F164" i="16"/>
  <c r="D163" i="16"/>
  <c r="P161" i="16"/>
  <c r="L160" i="16"/>
  <c r="H159" i="16"/>
  <c r="F158" i="16"/>
  <c r="D157" i="16"/>
  <c r="P155" i="16"/>
  <c r="L154" i="16"/>
  <c r="H153" i="16"/>
  <c r="F152" i="16"/>
  <c r="F151" i="16"/>
  <c r="F150" i="16"/>
  <c r="D149" i="16"/>
  <c r="D148" i="16"/>
  <c r="P146" i="16"/>
  <c r="L145" i="16"/>
  <c r="H144" i="16"/>
  <c r="F143" i="16"/>
  <c r="D142" i="16"/>
  <c r="P140" i="16"/>
  <c r="L139" i="16"/>
  <c r="H138" i="16"/>
  <c r="F137" i="16"/>
  <c r="D136" i="16"/>
  <c r="P134" i="16"/>
  <c r="L133" i="16"/>
  <c r="H132" i="16"/>
  <c r="F131" i="16"/>
  <c r="E130" i="16"/>
  <c r="C129" i="16"/>
  <c r="M127" i="16"/>
  <c r="K126" i="16"/>
  <c r="G125" i="16"/>
  <c r="E124" i="16"/>
  <c r="C123" i="16"/>
  <c r="O121" i="16"/>
  <c r="P120" i="16"/>
  <c r="O119" i="16"/>
  <c r="P118" i="16"/>
  <c r="M117" i="16"/>
  <c r="L116" i="16"/>
  <c r="H115" i="16"/>
  <c r="F114" i="16"/>
  <c r="D113" i="16"/>
  <c r="P111" i="16"/>
  <c r="M110" i="16"/>
  <c r="L109" i="16"/>
  <c r="K108" i="16"/>
  <c r="G107" i="16"/>
  <c r="E106" i="16"/>
  <c r="C105" i="16"/>
  <c r="G293" i="16"/>
  <c r="P244" i="16"/>
  <c r="L210" i="16"/>
  <c r="M196" i="16"/>
  <c r="I183" i="16"/>
  <c r="E174" i="16"/>
  <c r="M168" i="16"/>
  <c r="G164" i="16"/>
  <c r="K159" i="16"/>
  <c r="M154" i="16"/>
  <c r="G150" i="16"/>
  <c r="M145" i="16"/>
  <c r="E142" i="16"/>
  <c r="K138" i="16"/>
  <c r="C135" i="16"/>
  <c r="G131" i="16"/>
  <c r="D128" i="16"/>
  <c r="H125" i="16"/>
  <c r="G122" i="16"/>
  <c r="C120" i="16"/>
  <c r="K117" i="16"/>
  <c r="K114" i="16"/>
  <c r="C112" i="16"/>
  <c r="E109" i="16"/>
  <c r="G450" i="16"/>
  <c r="D289" i="16"/>
  <c r="K241" i="16"/>
  <c r="H209" i="16"/>
  <c r="K195" i="16"/>
  <c r="I182" i="16"/>
  <c r="H173" i="16"/>
  <c r="H168" i="16"/>
  <c r="D164" i="16"/>
  <c r="F159" i="16"/>
  <c r="H154" i="16"/>
  <c r="D150" i="16"/>
  <c r="H145" i="16"/>
  <c r="P141" i="16"/>
  <c r="F138" i="16"/>
  <c r="L134" i="16"/>
  <c r="D131" i="16"/>
  <c r="C128" i="16"/>
  <c r="E125" i="16"/>
  <c r="D122" i="16"/>
  <c r="P119" i="16"/>
  <c r="F117" i="16"/>
  <c r="H114" i="16"/>
  <c r="L111" i="16"/>
  <c r="P108" i="16"/>
  <c r="G106" i="16"/>
  <c r="K104" i="16"/>
  <c r="G103" i="16"/>
  <c r="E102" i="16"/>
  <c r="C101" i="16"/>
  <c r="L99" i="16"/>
  <c r="H98" i="16"/>
  <c r="F97" i="16"/>
  <c r="D96" i="16"/>
  <c r="P94" i="16"/>
  <c r="L93" i="16"/>
  <c r="H92" i="16"/>
  <c r="E91" i="16"/>
  <c r="D90" i="16"/>
  <c r="P88" i="16"/>
  <c r="L87" i="16"/>
  <c r="H86" i="16"/>
  <c r="F85" i="16"/>
  <c r="D84" i="16"/>
  <c r="P82" i="16"/>
  <c r="L81" i="16"/>
  <c r="H80" i="16"/>
  <c r="F79" i="16"/>
  <c r="D78" i="16"/>
  <c r="S76" i="16"/>
  <c r="P75" i="16"/>
  <c r="M74" i="16"/>
  <c r="L73" i="16"/>
  <c r="G72" i="16"/>
  <c r="D71" i="16"/>
  <c r="M69" i="16"/>
  <c r="K68" i="16"/>
  <c r="G67" i="16"/>
  <c r="E66" i="16"/>
  <c r="M64" i="16"/>
  <c r="K63" i="16"/>
  <c r="G62" i="16"/>
  <c r="D61" i="16"/>
  <c r="P59" i="16"/>
  <c r="L58" i="16"/>
  <c r="H57" i="16"/>
  <c r="E56" i="16"/>
  <c r="P54" i="16"/>
  <c r="K53" i="16"/>
  <c r="F52" i="16"/>
  <c r="D51" i="16"/>
  <c r="P49" i="16"/>
  <c r="K48" i="16"/>
  <c r="G47" i="16"/>
  <c r="E46" i="16"/>
  <c r="P44" i="16"/>
  <c r="L43" i="16"/>
  <c r="G42" i="16"/>
  <c r="E41" i="16"/>
  <c r="P39" i="16"/>
  <c r="K38" i="16"/>
  <c r="G37" i="16"/>
  <c r="E36" i="16"/>
  <c r="C35" i="16"/>
  <c r="M33" i="16"/>
  <c r="K32" i="16"/>
  <c r="G31" i="16"/>
  <c r="G30" i="16"/>
  <c r="E29" i="16"/>
  <c r="C28" i="16"/>
  <c r="M26" i="16"/>
  <c r="K25" i="16"/>
  <c r="G24" i="16"/>
  <c r="E23" i="16"/>
  <c r="C22" i="16"/>
  <c r="M20" i="16"/>
  <c r="K19" i="16"/>
  <c r="G18" i="16"/>
  <c r="E17" i="16"/>
  <c r="E16" i="16"/>
  <c r="E15" i="16"/>
  <c r="C14" i="16"/>
  <c r="L12" i="16"/>
  <c r="G11" i="16"/>
  <c r="E10" i="16"/>
  <c r="C9" i="16"/>
  <c r="M7" i="16"/>
  <c r="L6" i="16"/>
  <c r="O5" i="16"/>
  <c r="I479" i="14"/>
  <c r="D478" i="14"/>
  <c r="F476" i="14"/>
  <c r="H474" i="14"/>
  <c r="C473" i="14"/>
  <c r="E471" i="14"/>
  <c r="G469" i="14"/>
  <c r="I467" i="14"/>
  <c r="D466" i="14"/>
  <c r="I464" i="14"/>
  <c r="E463" i="14"/>
  <c r="L461" i="14"/>
  <c r="I460" i="14"/>
  <c r="E459" i="14"/>
  <c r="L457" i="14"/>
  <c r="I456" i="14"/>
  <c r="E455" i="14"/>
  <c r="M453" i="14"/>
  <c r="G405" i="16"/>
  <c r="K284" i="16"/>
  <c r="H238" i="16"/>
  <c r="H208" i="16"/>
  <c r="I194" i="16"/>
  <c r="G181" i="16"/>
  <c r="C173" i="16"/>
  <c r="D168" i="16"/>
  <c r="L163" i="16"/>
  <c r="P158" i="16"/>
  <c r="D154" i="16"/>
  <c r="L149" i="16"/>
  <c r="D145" i="16"/>
  <c r="H141" i="16"/>
  <c r="P137" i="16"/>
  <c r="F134" i="16"/>
  <c r="L130" i="16"/>
  <c r="P127" i="16"/>
  <c r="M124" i="16"/>
  <c r="C122" i="16"/>
  <c r="M119" i="16"/>
  <c r="C117" i="16"/>
  <c r="G114" i="16"/>
  <c r="G111" i="16"/>
  <c r="M108" i="16"/>
  <c r="F106" i="16"/>
  <c r="H104" i="16"/>
  <c r="F103" i="16"/>
  <c r="D102" i="16"/>
  <c r="M100" i="16"/>
  <c r="K99" i="16"/>
  <c r="G98" i="16"/>
  <c r="E97" i="16"/>
  <c r="C96" i="16"/>
  <c r="M94" i="16"/>
  <c r="K93" i="16"/>
  <c r="G92" i="16"/>
  <c r="D91" i="16"/>
  <c r="C90" i="16"/>
  <c r="M88" i="16"/>
  <c r="K87" i="16"/>
  <c r="G86" i="16"/>
  <c r="E85" i="16"/>
  <c r="C84" i="16"/>
  <c r="M82" i="16"/>
  <c r="K81" i="16"/>
  <c r="G80" i="16"/>
  <c r="E79" i="16"/>
  <c r="C78" i="16"/>
  <c r="P76" i="16"/>
  <c r="M75" i="16"/>
  <c r="L74" i="16"/>
  <c r="K73" i="16"/>
  <c r="F72" i="16"/>
  <c r="C71" i="16"/>
  <c r="L69" i="16"/>
  <c r="H68" i="16"/>
  <c r="F67" i="16"/>
  <c r="D66" i="16"/>
  <c r="L64" i="16"/>
  <c r="H63" i="16"/>
  <c r="F62" i="16"/>
  <c r="C61" i="16"/>
  <c r="M59" i="16"/>
  <c r="K58" i="16"/>
  <c r="G57" i="16"/>
  <c r="D56" i="16"/>
  <c r="M54" i="16"/>
  <c r="H53" i="16"/>
  <c r="E52" i="16"/>
  <c r="C51" i="16"/>
  <c r="M49" i="16"/>
  <c r="H48" i="16"/>
  <c r="F47" i="16"/>
  <c r="D46" i="16"/>
  <c r="M44" i="16"/>
  <c r="K43" i="16"/>
  <c r="F42" i="16"/>
  <c r="D41" i="16"/>
  <c r="M39" i="16"/>
  <c r="H38" i="16"/>
  <c r="F37" i="16"/>
  <c r="D36" i="16"/>
  <c r="P34" i="16"/>
  <c r="L33" i="16"/>
  <c r="H32" i="16"/>
  <c r="F31" i="16"/>
  <c r="F30" i="16"/>
  <c r="D29" i="16"/>
  <c r="P27" i="16"/>
  <c r="L26" i="16"/>
  <c r="H25" i="16"/>
  <c r="F24" i="16"/>
  <c r="D23" i="16"/>
  <c r="P21" i="16"/>
  <c r="L20" i="16"/>
  <c r="H19" i="16"/>
  <c r="F18" i="16"/>
  <c r="D17" i="16"/>
  <c r="D16" i="16"/>
  <c r="D15" i="16"/>
  <c r="P13" i="16"/>
  <c r="K12" i="16"/>
  <c r="F11" i="16"/>
  <c r="D10" i="16"/>
  <c r="P8" i="16"/>
  <c r="L7" i="16"/>
  <c r="K6" i="16"/>
  <c r="N5" i="16"/>
  <c r="H479" i="14"/>
  <c r="C478" i="14"/>
  <c r="E476" i="14"/>
  <c r="G474" i="14"/>
  <c r="I472" i="14"/>
  <c r="D471" i="14"/>
  <c r="F469" i="14"/>
  <c r="H467" i="14"/>
  <c r="C466" i="14"/>
  <c r="G464" i="14"/>
  <c r="D463" i="14"/>
  <c r="K461" i="14"/>
  <c r="G460" i="14"/>
  <c r="D459" i="14"/>
  <c r="K457" i="14"/>
  <c r="G456" i="14"/>
  <c r="K382" i="16"/>
  <c r="D280" i="16"/>
  <c r="G235" i="16"/>
  <c r="F207" i="16"/>
  <c r="H193" i="16"/>
  <c r="E180" i="16"/>
  <c r="H172" i="16"/>
  <c r="K167" i="16"/>
  <c r="E163" i="16"/>
  <c r="G158" i="16"/>
  <c r="K153" i="16"/>
  <c r="E149" i="16"/>
  <c r="L144" i="16"/>
  <c r="D141" i="16"/>
  <c r="H137" i="16"/>
  <c r="P133" i="16"/>
  <c r="G130" i="16"/>
  <c r="K127" i="16"/>
  <c r="H124" i="16"/>
  <c r="P121" i="16"/>
  <c r="H119" i="16"/>
  <c r="P116" i="16"/>
  <c r="D114" i="16"/>
  <c r="D111" i="16"/>
  <c r="L108" i="16"/>
  <c r="C106" i="16"/>
  <c r="G104" i="16"/>
  <c r="E103" i="16"/>
  <c r="C102" i="16"/>
  <c r="L100" i="16"/>
  <c r="H99" i="16"/>
  <c r="F98" i="16"/>
  <c r="D97" i="16"/>
  <c r="P95" i="16"/>
  <c r="L94" i="16"/>
  <c r="H93" i="16"/>
  <c r="F92" i="16"/>
  <c r="C91" i="16"/>
  <c r="P89" i="16"/>
  <c r="L88" i="16"/>
  <c r="H87" i="16"/>
  <c r="F86" i="16"/>
  <c r="D85" i="16"/>
  <c r="P83" i="16"/>
  <c r="L82" i="16"/>
  <c r="H81" i="16"/>
  <c r="F80" i="16"/>
  <c r="D79" i="16"/>
  <c r="P77" i="16"/>
  <c r="M76" i="16"/>
  <c r="L75" i="16"/>
  <c r="K74" i="16"/>
  <c r="H73" i="16"/>
  <c r="E72" i="16"/>
  <c r="M70" i="16"/>
  <c r="K69" i="16"/>
  <c r="G68" i="16"/>
  <c r="E67" i="16"/>
  <c r="C66" i="16"/>
  <c r="K64" i="16"/>
  <c r="G63" i="16"/>
  <c r="E62" i="16"/>
  <c r="P60" i="16"/>
  <c r="L59" i="16"/>
  <c r="H58" i="16"/>
  <c r="F57" i="16"/>
  <c r="C56" i="16"/>
  <c r="L54" i="16"/>
  <c r="G53" i="16"/>
  <c r="D52" i="16"/>
  <c r="P50" i="16"/>
  <c r="L49" i="16"/>
  <c r="G48" i="16"/>
  <c r="E47" i="16"/>
  <c r="C46" i="16"/>
  <c r="L44" i="16"/>
  <c r="H43" i="16"/>
  <c r="E42" i="16"/>
  <c r="C41" i="16"/>
  <c r="L39" i="16"/>
  <c r="G38" i="16"/>
  <c r="E37" i="16"/>
  <c r="C36" i="16"/>
  <c r="M34" i="16"/>
  <c r="K33" i="16"/>
  <c r="G32" i="16"/>
  <c r="E31" i="16"/>
  <c r="E30" i="16"/>
  <c r="C29" i="16"/>
  <c r="M27" i="16"/>
  <c r="K26" i="16"/>
  <c r="G25" i="16"/>
  <c r="E24" i="16"/>
  <c r="C23" i="16"/>
  <c r="M21" i="16"/>
  <c r="K20" i="16"/>
  <c r="G19" i="16"/>
  <c r="E18" i="16"/>
  <c r="C17" i="16"/>
  <c r="C16" i="16"/>
  <c r="C15" i="16"/>
  <c r="M13" i="16"/>
  <c r="H12" i="16"/>
  <c r="E11" i="16"/>
  <c r="C10" i="16"/>
  <c r="M8" i="16"/>
  <c r="K7" i="16"/>
  <c r="I6" i="16"/>
  <c r="M5" i="16"/>
  <c r="G479" i="14"/>
  <c r="I477" i="14"/>
  <c r="D476" i="14"/>
  <c r="F474" i="14"/>
  <c r="H472" i="14"/>
  <c r="C471" i="14"/>
  <c r="E469" i="14"/>
  <c r="G467" i="14"/>
  <c r="I465" i="14"/>
  <c r="F464" i="14"/>
  <c r="C463" i="14"/>
  <c r="J461" i="14"/>
  <c r="F460" i="14"/>
  <c r="C459" i="14"/>
  <c r="J457" i="14"/>
  <c r="F456" i="14"/>
  <c r="C455" i="14"/>
  <c r="K453" i="14"/>
  <c r="F368" i="16"/>
  <c r="F275" i="16"/>
  <c r="C232" i="16"/>
  <c r="E206" i="16"/>
  <c r="F192" i="16"/>
  <c r="E179" i="16"/>
  <c r="C172" i="16"/>
  <c r="H167" i="16"/>
  <c r="P162" i="16"/>
  <c r="D158" i="16"/>
  <c r="F153" i="16"/>
  <c r="P148" i="16"/>
  <c r="K144" i="16"/>
  <c r="C141" i="16"/>
  <c r="G137" i="16"/>
  <c r="M133" i="16"/>
  <c r="F130" i="16"/>
  <c r="E127" i="16"/>
  <c r="G124" i="16"/>
  <c r="M121" i="16"/>
  <c r="E119" i="16"/>
  <c r="M116" i="16"/>
  <c r="L113" i="16"/>
  <c r="C111" i="16"/>
  <c r="G108" i="16"/>
  <c r="L105" i="16"/>
  <c r="F104" i="16"/>
  <c r="D103" i="16"/>
  <c r="P101" i="16"/>
  <c r="K100" i="16"/>
  <c r="G99" i="16"/>
  <c r="E98" i="16"/>
  <c r="C97" i="16"/>
  <c r="M95" i="16"/>
  <c r="K94" i="16"/>
  <c r="G93" i="16"/>
  <c r="E92" i="16"/>
  <c r="P90" i="16"/>
  <c r="M89" i="16"/>
  <c r="K88" i="16"/>
  <c r="G87" i="16"/>
  <c r="E86" i="16"/>
  <c r="C85" i="16"/>
  <c r="M83" i="16"/>
  <c r="K82" i="16"/>
  <c r="G81" i="16"/>
  <c r="E80" i="16"/>
  <c r="C79" i="16"/>
  <c r="M77" i="16"/>
  <c r="L76" i="16"/>
  <c r="K75" i="16"/>
  <c r="I74" i="16"/>
  <c r="G73" i="16"/>
  <c r="D72" i="16"/>
  <c r="L70" i="16"/>
  <c r="H69" i="16"/>
  <c r="F68" i="16"/>
  <c r="D67" i="16"/>
  <c r="M65" i="16"/>
  <c r="H64" i="16"/>
  <c r="F63" i="16"/>
  <c r="D62" i="16"/>
  <c r="M60" i="16"/>
  <c r="K59" i="16"/>
  <c r="G58" i="16"/>
  <c r="E57" i="16"/>
  <c r="M55" i="16"/>
  <c r="K54" i="16"/>
  <c r="F53" i="16"/>
  <c r="C52" i="16"/>
  <c r="M50" i="16"/>
  <c r="K49" i="16"/>
  <c r="F48" i="16"/>
  <c r="D47" i="16"/>
  <c r="M45" i="16"/>
  <c r="K44" i="16"/>
  <c r="G43" i="16"/>
  <c r="D42" i="16"/>
  <c r="M40" i="16"/>
  <c r="K39" i="16"/>
  <c r="F38" i="16"/>
  <c r="D37" i="16"/>
  <c r="P35" i="16"/>
  <c r="L34" i="16"/>
  <c r="H33" i="16"/>
  <c r="F32" i="16"/>
  <c r="D31" i="16"/>
  <c r="D30" i="16"/>
  <c r="P28" i="16"/>
  <c r="L27" i="16"/>
  <c r="H26" i="16"/>
  <c r="F25" i="16"/>
  <c r="D24" i="16"/>
  <c r="P22" i="16"/>
  <c r="L21" i="16"/>
  <c r="H20" i="16"/>
  <c r="F19" i="16"/>
  <c r="D18" i="16"/>
  <c r="S16" i="16"/>
  <c r="S15" i="16"/>
  <c r="P14" i="16"/>
  <c r="L13" i="16"/>
  <c r="G12" i="16"/>
  <c r="D11" i="16"/>
  <c r="P9" i="16"/>
  <c r="L8" i="16"/>
  <c r="H7" i="16"/>
  <c r="H6" i="16"/>
  <c r="L5" i="16"/>
  <c r="F479" i="14"/>
  <c r="H477" i="14"/>
  <c r="C476" i="14"/>
  <c r="E474" i="14"/>
  <c r="G472" i="14"/>
  <c r="I470" i="14"/>
  <c r="D469" i="14"/>
  <c r="F467" i="14"/>
  <c r="H465" i="14"/>
  <c r="E464" i="14"/>
  <c r="L462" i="14"/>
  <c r="I461" i="14"/>
  <c r="E460" i="14"/>
  <c r="L458" i="14"/>
  <c r="I457" i="14"/>
  <c r="E456" i="14"/>
  <c r="L454" i="14"/>
  <c r="J453" i="14"/>
  <c r="P353" i="16"/>
  <c r="L270" i="16"/>
  <c r="L228" i="16"/>
  <c r="C205" i="16"/>
  <c r="D191" i="16"/>
  <c r="E178" i="16"/>
  <c r="H171" i="16"/>
  <c r="D167" i="16"/>
  <c r="H162" i="16"/>
  <c r="L157" i="16"/>
  <c r="P152" i="16"/>
  <c r="L148" i="16"/>
  <c r="F144" i="16"/>
  <c r="L140" i="16"/>
  <c r="D137" i="16"/>
  <c r="H133" i="16"/>
  <c r="C130" i="16"/>
  <c r="P126" i="16"/>
  <c r="F124" i="16"/>
  <c r="H121" i="16"/>
  <c r="D119" i="16"/>
  <c r="H116" i="16"/>
  <c r="G113" i="16"/>
  <c r="P110" i="16"/>
  <c r="C108" i="16"/>
  <c r="K105" i="16"/>
  <c r="E104" i="16"/>
  <c r="C103" i="16"/>
  <c r="M101" i="16"/>
  <c r="H100" i="16"/>
  <c r="F99" i="16"/>
  <c r="D98" i="16"/>
  <c r="P96" i="16"/>
  <c r="L95" i="16"/>
  <c r="H94" i="16"/>
  <c r="F93" i="16"/>
  <c r="D92" i="16"/>
  <c r="M90" i="16"/>
  <c r="L89" i="16"/>
  <c r="H88" i="16"/>
  <c r="F87" i="16"/>
  <c r="D86" i="16"/>
  <c r="P84" i="16"/>
  <c r="L83" i="16"/>
  <c r="H82" i="16"/>
  <c r="F81" i="16"/>
  <c r="D80" i="16"/>
  <c r="P78" i="16"/>
  <c r="L77" i="16"/>
  <c r="K76" i="16"/>
  <c r="H75" i="16"/>
  <c r="H74" i="16"/>
  <c r="F73" i="16"/>
  <c r="C72" i="16"/>
  <c r="K70" i="16"/>
  <c r="G69" i="16"/>
  <c r="E68" i="16"/>
  <c r="C67" i="16"/>
  <c r="L65" i="16"/>
  <c r="G64" i="16"/>
  <c r="E63" i="16"/>
  <c r="C62" i="16"/>
  <c r="L60" i="16"/>
  <c r="H59" i="16"/>
  <c r="F58" i="16"/>
  <c r="D57" i="16"/>
  <c r="L55" i="16"/>
  <c r="H54" i="16"/>
  <c r="E53" i="16"/>
  <c r="P51" i="16"/>
  <c r="L50" i="16"/>
  <c r="H49" i="16"/>
  <c r="E48" i="16"/>
  <c r="C47" i="16"/>
  <c r="L45" i="16"/>
  <c r="H44" i="16"/>
  <c r="F43" i="16"/>
  <c r="C42" i="16"/>
  <c r="L40" i="16"/>
  <c r="H39" i="16"/>
  <c r="E38" i="16"/>
  <c r="C37" i="16"/>
  <c r="M35" i="16"/>
  <c r="K34" i="16"/>
  <c r="G33" i="16"/>
  <c r="E32" i="16"/>
  <c r="C31" i="16"/>
  <c r="C30" i="16"/>
  <c r="M28" i="16"/>
  <c r="K27" i="16"/>
  <c r="G26" i="16"/>
  <c r="E25" i="16"/>
  <c r="C24" i="16"/>
  <c r="M22" i="16"/>
  <c r="K21" i="16"/>
  <c r="G20" i="16"/>
  <c r="E19" i="16"/>
  <c r="C18" i="16"/>
  <c r="P16" i="16"/>
  <c r="P15" i="16"/>
  <c r="M14" i="16"/>
  <c r="K13" i="16"/>
  <c r="F12" i="16"/>
  <c r="C11" i="16"/>
  <c r="M9" i="16"/>
  <c r="K8" i="16"/>
  <c r="G7" i="16"/>
  <c r="G6" i="16"/>
  <c r="K5" i="16"/>
  <c r="E479" i="14"/>
  <c r="G477" i="14"/>
  <c r="I475" i="14"/>
  <c r="D474" i="14"/>
  <c r="F472" i="14"/>
  <c r="H470" i="14"/>
  <c r="C469" i="14"/>
  <c r="G340" i="16"/>
  <c r="G266" i="16"/>
  <c r="F225" i="16"/>
  <c r="M203" i="16"/>
  <c r="P189" i="16"/>
  <c r="E177" i="16"/>
  <c r="C171" i="16"/>
  <c r="K166" i="16"/>
  <c r="C162" i="16"/>
  <c r="E157" i="16"/>
  <c r="G152" i="16"/>
  <c r="E148" i="16"/>
  <c r="P143" i="16"/>
  <c r="F140" i="16"/>
  <c r="L136" i="16"/>
  <c r="D133" i="16"/>
  <c r="K129" i="16"/>
  <c r="M126" i="16"/>
  <c r="C124" i="16"/>
  <c r="E121" i="16"/>
  <c r="C119" i="16"/>
  <c r="D116" i="16"/>
  <c r="F113" i="16"/>
  <c r="K110" i="16"/>
  <c r="L107" i="16"/>
  <c r="G105" i="16"/>
  <c r="D104" i="16"/>
  <c r="P102" i="16"/>
  <c r="L101" i="16"/>
  <c r="G100" i="16"/>
  <c r="E99" i="16"/>
  <c r="C98" i="16"/>
  <c r="M96" i="16"/>
  <c r="K95" i="16"/>
  <c r="G94" i="16"/>
  <c r="E93" i="16"/>
  <c r="C92" i="16"/>
  <c r="L90" i="16"/>
  <c r="D330" i="16"/>
  <c r="C262" i="16"/>
  <c r="I222" i="16"/>
  <c r="K202" i="16"/>
  <c r="L188" i="16"/>
  <c r="J176" i="16"/>
  <c r="L170" i="16"/>
  <c r="H166" i="16"/>
  <c r="L161" i="16"/>
  <c r="P156" i="16"/>
  <c r="D152" i="16"/>
  <c r="P147" i="16"/>
  <c r="H143" i="16"/>
  <c r="P139" i="16"/>
  <c r="F136" i="16"/>
  <c r="L132" i="16"/>
  <c r="F129" i="16"/>
  <c r="L126" i="16"/>
  <c r="K123" i="16"/>
  <c r="D121" i="16"/>
  <c r="L118" i="16"/>
  <c r="M115" i="16"/>
  <c r="E113" i="16"/>
  <c r="F110" i="16"/>
  <c r="K107" i="16"/>
  <c r="F105" i="16"/>
  <c r="C104" i="16"/>
  <c r="M102" i="16"/>
  <c r="K101" i="16"/>
  <c r="F100" i="16"/>
  <c r="D99" i="16"/>
  <c r="P97" i="16"/>
  <c r="L96" i="16"/>
  <c r="H95" i="16"/>
  <c r="F94" i="16"/>
  <c r="D93" i="16"/>
  <c r="M91" i="16"/>
  <c r="K90" i="16"/>
  <c r="H89" i="16"/>
  <c r="F88" i="16"/>
  <c r="D87" i="16"/>
  <c r="P85" i="16"/>
  <c r="L84" i="16"/>
  <c r="H83" i="16"/>
  <c r="F82" i="16"/>
  <c r="D81" i="16"/>
  <c r="P79" i="16"/>
  <c r="L78" i="16"/>
  <c r="H77" i="16"/>
  <c r="H76" i="16"/>
  <c r="F75" i="16"/>
  <c r="F74" i="16"/>
  <c r="D73" i="16"/>
  <c r="L71" i="16"/>
  <c r="G70" i="16"/>
  <c r="E69" i="16"/>
  <c r="C68" i="16"/>
  <c r="M66" i="16"/>
  <c r="H65" i="16"/>
  <c r="E64" i="16"/>
  <c r="C63" i="16"/>
  <c r="L61" i="16"/>
  <c r="H60" i="16"/>
  <c r="F59" i="16"/>
  <c r="D58" i="16"/>
  <c r="M56" i="16"/>
  <c r="H55" i="16"/>
  <c r="F54" i="16"/>
  <c r="C53" i="16"/>
  <c r="L51" i="16"/>
  <c r="H50" i="16"/>
  <c r="F49" i="16"/>
  <c r="C48" i="16"/>
  <c r="M46" i="16"/>
  <c r="H45" i="16"/>
  <c r="F44" i="16"/>
  <c r="D43" i="16"/>
  <c r="M41" i="16"/>
  <c r="H40" i="16"/>
  <c r="F39" i="16"/>
  <c r="C38" i="16"/>
  <c r="M36" i="16"/>
  <c r="K35" i="16"/>
  <c r="G34" i="16"/>
  <c r="E33" i="16"/>
  <c r="C32" i="16"/>
  <c r="P30" i="16"/>
  <c r="M29" i="16"/>
  <c r="K28" i="16"/>
  <c r="G27" i="16"/>
  <c r="E26" i="16"/>
  <c r="C25" i="16"/>
  <c r="M23" i="16"/>
  <c r="K22" i="16"/>
  <c r="G21" i="16"/>
  <c r="E20" i="16"/>
  <c r="C19" i="16"/>
  <c r="M17" i="16"/>
  <c r="L16" i="16"/>
  <c r="L15" i="16"/>
  <c r="K14" i="16"/>
  <c r="G13" i="16"/>
  <c r="D12" i="16"/>
  <c r="M10" i="16"/>
  <c r="K9" i="16"/>
  <c r="G8" i="16"/>
  <c r="E7" i="16"/>
  <c r="E6" i="16"/>
  <c r="H5" i="16"/>
  <c r="C479" i="14"/>
  <c r="E477" i="14"/>
  <c r="G475" i="14"/>
  <c r="I473" i="14"/>
  <c r="D472" i="14"/>
  <c r="F470" i="14"/>
  <c r="H468" i="14"/>
  <c r="C467" i="14"/>
  <c r="E465" i="14"/>
  <c r="L463" i="14"/>
  <c r="I462" i="14"/>
  <c r="E461" i="14"/>
  <c r="L459" i="14"/>
  <c r="I458" i="14"/>
  <c r="E457" i="14"/>
  <c r="L455" i="14"/>
  <c r="I454" i="14"/>
  <c r="F453" i="14"/>
  <c r="H319" i="16"/>
  <c r="G258" i="16"/>
  <c r="K219" i="16"/>
  <c r="H201" i="16"/>
  <c r="K187" i="16"/>
  <c r="E176" i="16"/>
  <c r="F170" i="16"/>
  <c r="D166" i="16"/>
  <c r="F161" i="16"/>
  <c r="H156" i="16"/>
  <c r="N151" i="16"/>
  <c r="H147" i="16"/>
  <c r="G143" i="16"/>
  <c r="M139" i="16"/>
  <c r="E136" i="16"/>
  <c r="K132" i="16"/>
  <c r="E129" i="16"/>
  <c r="G126" i="16"/>
  <c r="F123" i="16"/>
  <c r="C121" i="16"/>
  <c r="G118" i="16"/>
  <c r="L115" i="16"/>
  <c r="P112" i="16"/>
  <c r="C110" i="16"/>
  <c r="H107" i="16"/>
  <c r="E105" i="16"/>
  <c r="P103" i="16"/>
  <c r="L102" i="16"/>
  <c r="H101" i="16"/>
  <c r="E100" i="16"/>
  <c r="C99" i="16"/>
  <c r="M97" i="16"/>
  <c r="K96" i="16"/>
  <c r="G95" i="16"/>
  <c r="E94" i="16"/>
  <c r="C93" i="16"/>
  <c r="L91" i="16"/>
  <c r="I90" i="16"/>
  <c r="G89" i="16"/>
  <c r="E88" i="16"/>
  <c r="C87" i="16"/>
  <c r="M85" i="16"/>
  <c r="K84" i="16"/>
  <c r="G83" i="16"/>
  <c r="E82" i="16"/>
  <c r="C81" i="16"/>
  <c r="M79" i="16"/>
  <c r="K78" i="16"/>
  <c r="G77" i="16"/>
  <c r="G76" i="16"/>
  <c r="E75" i="16"/>
  <c r="E74" i="16"/>
  <c r="C73" i="16"/>
  <c r="K71" i="16"/>
  <c r="F70" i="16"/>
  <c r="D69" i="16"/>
  <c r="P67" i="16"/>
  <c r="L66" i="16"/>
  <c r="G65" i="16"/>
  <c r="D64" i="16"/>
  <c r="P62" i="16"/>
  <c r="K61" i="16"/>
  <c r="G60" i="16"/>
  <c r="E59" i="16"/>
  <c r="C58" i="16"/>
  <c r="L56" i="16"/>
  <c r="G55" i="16"/>
  <c r="E54" i="16"/>
  <c r="M52" i="16"/>
  <c r="K51" i="16"/>
  <c r="G50" i="16"/>
  <c r="E49" i="16"/>
  <c r="P47" i="16"/>
  <c r="L46" i="16"/>
  <c r="G45" i="16"/>
  <c r="E44" i="16"/>
  <c r="C43" i="16"/>
  <c r="L41" i="16"/>
  <c r="G40" i="16"/>
  <c r="E39" i="16"/>
  <c r="P37" i="16"/>
  <c r="L36" i="16"/>
  <c r="H35" i="16"/>
  <c r="F34" i="16"/>
  <c r="D33" i="16"/>
  <c r="P31" i="16"/>
  <c r="M30" i="16"/>
  <c r="L29" i="16"/>
  <c r="H28" i="16"/>
  <c r="F27" i="16"/>
  <c r="D26" i="16"/>
  <c r="P24" i="16"/>
  <c r="L23" i="16"/>
  <c r="H22" i="16"/>
  <c r="F21" i="16"/>
  <c r="D20" i="16"/>
  <c r="P18" i="16"/>
  <c r="L17" i="16"/>
  <c r="K16" i="16"/>
  <c r="K15" i="16"/>
  <c r="H14" i="16"/>
  <c r="F13" i="16"/>
  <c r="C12" i="16"/>
  <c r="L10" i="16"/>
  <c r="H9" i="16"/>
  <c r="F8" i="16"/>
  <c r="D7" i="16"/>
  <c r="D6" i="16"/>
  <c r="G5" i="16"/>
  <c r="I478" i="14"/>
  <c r="D477" i="14"/>
  <c r="F475" i="14"/>
  <c r="H473" i="14"/>
  <c r="C472" i="14"/>
  <c r="E470" i="14"/>
  <c r="G468" i="14"/>
  <c r="I466" i="14"/>
  <c r="D465" i="14"/>
  <c r="K463" i="14"/>
  <c r="G462" i="14"/>
  <c r="D461" i="14"/>
  <c r="K459" i="14"/>
  <c r="G458" i="14"/>
  <c r="D457" i="14"/>
  <c r="K455" i="14"/>
  <c r="G309" i="16"/>
  <c r="C255" i="16"/>
  <c r="F216" i="16"/>
  <c r="F200" i="16"/>
  <c r="I186" i="16"/>
  <c r="J175" i="16"/>
  <c r="M169" i="16"/>
  <c r="K165" i="16"/>
  <c r="M160" i="16"/>
  <c r="C156" i="16"/>
  <c r="G151" i="16"/>
  <c r="C147" i="16"/>
  <c r="D143" i="16"/>
  <c r="H139" i="16"/>
  <c r="P135" i="16"/>
  <c r="F132" i="16"/>
  <c r="D129" i="16"/>
  <c r="C126" i="16"/>
  <c r="E123" i="16"/>
  <c r="L120" i="16"/>
  <c r="D118" i="16"/>
  <c r="K115" i="16"/>
  <c r="H112" i="16"/>
  <c r="P109" i="16"/>
  <c r="E107" i="16"/>
  <c r="D105" i="16"/>
  <c r="M103" i="16"/>
  <c r="K102" i="16"/>
  <c r="G101" i="16"/>
  <c r="D100" i="16"/>
  <c r="P98" i="16"/>
  <c r="L97" i="16"/>
  <c r="H96" i="16"/>
  <c r="F95" i="16"/>
  <c r="D94" i="16"/>
  <c r="P92" i="16"/>
  <c r="K91" i="16"/>
  <c r="H90" i="16"/>
  <c r="F89" i="16"/>
  <c r="D88" i="16"/>
  <c r="P86" i="16"/>
  <c r="L85" i="16"/>
  <c r="H84" i="16"/>
  <c r="F83" i="16"/>
  <c r="D82" i="16"/>
  <c r="P80" i="16"/>
  <c r="L79" i="16"/>
  <c r="H78" i="16"/>
  <c r="F77" i="16"/>
  <c r="F76" i="16"/>
  <c r="D75" i="16"/>
  <c r="D74" i="16"/>
  <c r="M72" i="16"/>
  <c r="H71" i="16"/>
  <c r="E70" i="16"/>
  <c r="C69" i="16"/>
  <c r="M67" i="16"/>
  <c r="K66" i="16"/>
  <c r="F65" i="16"/>
  <c r="C64" i="16"/>
  <c r="M62" i="16"/>
  <c r="H61" i="16"/>
  <c r="F60" i="16"/>
  <c r="D59" i="16"/>
  <c r="P57" i="16"/>
  <c r="K56" i="16"/>
  <c r="F55" i="16"/>
  <c r="D54" i="16"/>
  <c r="L52" i="16"/>
  <c r="H51" i="16"/>
  <c r="F50" i="16"/>
  <c r="D49" i="16"/>
  <c r="M47" i="16"/>
  <c r="K46" i="16"/>
  <c r="F45" i="16"/>
  <c r="D44" i="16"/>
  <c r="M42" i="16"/>
  <c r="K41" i="16"/>
  <c r="F40" i="16"/>
  <c r="D39" i="16"/>
  <c r="M37" i="16"/>
  <c r="K36" i="16"/>
  <c r="G35" i="16"/>
  <c r="E34" i="16"/>
  <c r="C33" i="16"/>
  <c r="M31" i="16"/>
  <c r="L30" i="16"/>
  <c r="K29" i="16"/>
  <c r="G28" i="16"/>
  <c r="E27" i="16"/>
  <c r="C26" i="16"/>
  <c r="M24" i="16"/>
  <c r="K23" i="16"/>
  <c r="G22" i="16"/>
  <c r="E21" i="16"/>
  <c r="C20" i="16"/>
  <c r="M18" i="16"/>
  <c r="K17" i="16"/>
  <c r="I16" i="16"/>
  <c r="I15" i="16"/>
  <c r="G14" i="16"/>
  <c r="E13" i="16"/>
  <c r="M11" i="16"/>
  <c r="K10" i="16"/>
  <c r="G9" i="16"/>
  <c r="E8" i="16"/>
  <c r="C7" i="16"/>
  <c r="C6" i="16"/>
  <c r="F5" i="16"/>
  <c r="H478" i="14"/>
  <c r="C477" i="14"/>
  <c r="E475" i="14"/>
  <c r="G473" i="14"/>
  <c r="I471" i="14"/>
  <c r="D470" i="14"/>
  <c r="F468" i="14"/>
  <c r="H466" i="14"/>
  <c r="C465" i="14"/>
  <c r="J463" i="14"/>
  <c r="F462" i="14"/>
  <c r="C461" i="14"/>
  <c r="J459" i="14"/>
  <c r="F458" i="14"/>
  <c r="C457" i="14"/>
  <c r="J455" i="14"/>
  <c r="F454" i="14"/>
  <c r="C298" i="16"/>
  <c r="F248" i="16"/>
  <c r="P211" i="16"/>
  <c r="C198" i="16"/>
  <c r="I184" i="16"/>
  <c r="J174" i="16"/>
  <c r="F169" i="16"/>
  <c r="P164" i="16"/>
  <c r="D160" i="16"/>
  <c r="F155" i="16"/>
  <c r="N150" i="16"/>
  <c r="F146" i="16"/>
  <c r="F142" i="16"/>
  <c r="L138" i="16"/>
  <c r="D135" i="16"/>
  <c r="H131" i="16"/>
  <c r="G128" i="16"/>
  <c r="K125" i="16"/>
  <c r="M122" i="16"/>
  <c r="D120" i="16"/>
  <c r="P117" i="16"/>
  <c r="P114" i="16"/>
  <c r="D112" i="16"/>
  <c r="I109" i="16"/>
  <c r="K106" i="16"/>
  <c r="M104" i="16"/>
  <c r="K103" i="16"/>
  <c r="G102" i="16"/>
  <c r="E101" i="16"/>
  <c r="P99" i="16"/>
  <c r="L98" i="16"/>
  <c r="H97" i="16"/>
  <c r="F96" i="16"/>
  <c r="D95" i="16"/>
  <c r="P93" i="16"/>
  <c r="L92" i="16"/>
  <c r="G91" i="16"/>
  <c r="F90" i="16"/>
  <c r="D89" i="16"/>
  <c r="P87" i="16"/>
  <c r="L86" i="16"/>
  <c r="H85" i="16"/>
  <c r="F84" i="16"/>
  <c r="D83" i="16"/>
  <c r="P81" i="16"/>
  <c r="L80" i="16"/>
  <c r="H79" i="16"/>
  <c r="F78" i="16"/>
  <c r="D77" i="16"/>
  <c r="D76" i="16"/>
  <c r="S74" i="16"/>
  <c r="P73" i="16"/>
  <c r="K72" i="16"/>
  <c r="F71" i="16"/>
  <c r="C70" i="16"/>
  <c r="M68" i="16"/>
  <c r="K67" i="16"/>
  <c r="G66" i="16"/>
  <c r="D65" i="16"/>
  <c r="M63" i="16"/>
  <c r="K62" i="16"/>
  <c r="F61" i="16"/>
  <c r="D60" i="16"/>
  <c r="P58" i="16"/>
  <c r="L57" i="16"/>
  <c r="G56" i="16"/>
  <c r="D55" i="16"/>
  <c r="M53" i="16"/>
  <c r="H52" i="16"/>
  <c r="F51" i="16"/>
  <c r="D50" i="16"/>
  <c r="M48" i="16"/>
  <c r="K47" i="16"/>
  <c r="G46" i="16"/>
  <c r="D45" i="16"/>
  <c r="P43" i="16"/>
  <c r="K42" i="16"/>
  <c r="G41" i="16"/>
  <c r="D40" i="16"/>
  <c r="M38" i="16"/>
  <c r="K37" i="16"/>
  <c r="G36" i="16"/>
  <c r="E35" i="16"/>
  <c r="C34" i="16"/>
  <c r="M32" i="16"/>
  <c r="K31" i="16"/>
  <c r="I30" i="16"/>
  <c r="G29" i="16"/>
  <c r="E28" i="16"/>
  <c r="C27" i="16"/>
  <c r="M25" i="16"/>
  <c r="K24" i="16"/>
  <c r="G23" i="16"/>
  <c r="E22" i="16"/>
  <c r="C21" i="16"/>
  <c r="M19" i="16"/>
  <c r="K18" i="16"/>
  <c r="G17" i="16"/>
  <c r="G16" i="16"/>
  <c r="G15" i="16"/>
  <c r="E14" i="16"/>
  <c r="C13" i="16"/>
  <c r="K11" i="16"/>
  <c r="G10" i="16"/>
  <c r="E9" i="16"/>
  <c r="C8" i="16"/>
  <c r="P6" i="16"/>
  <c r="R5" i="16"/>
  <c r="D5" i="16"/>
  <c r="F478" i="14"/>
  <c r="H476" i="14"/>
  <c r="C475" i="14"/>
  <c r="E473" i="14"/>
  <c r="G471" i="14"/>
  <c r="I469" i="14"/>
  <c r="D468" i="14"/>
  <c r="F466" i="14"/>
  <c r="K464" i="14"/>
  <c r="G463" i="14"/>
  <c r="D462" i="14"/>
  <c r="K460" i="14"/>
  <c r="G459" i="14"/>
  <c r="D458" i="14"/>
  <c r="K456" i="14"/>
  <c r="G455" i="14"/>
  <c r="D454" i="14"/>
  <c r="L155" i="16"/>
  <c r="F115" i="16"/>
  <c r="D101" i="16"/>
  <c r="M93" i="16"/>
  <c r="M87" i="16"/>
  <c r="C83" i="16"/>
  <c r="E78" i="16"/>
  <c r="M73" i="16"/>
  <c r="L68" i="16"/>
  <c r="L63" i="16"/>
  <c r="M58" i="16"/>
  <c r="L53" i="16"/>
  <c r="L48" i="16"/>
  <c r="M43" i="16"/>
  <c r="L38" i="16"/>
  <c r="P33" i="16"/>
  <c r="F29" i="16"/>
  <c r="H24" i="16"/>
  <c r="L19" i="16"/>
  <c r="F15" i="16"/>
  <c r="F10" i="16"/>
  <c r="P5" i="16"/>
  <c r="I474" i="14"/>
  <c r="C468" i="14"/>
  <c r="F463" i="14"/>
  <c r="F459" i="14"/>
  <c r="F455" i="14"/>
  <c r="C453" i="14"/>
  <c r="J451" i="14"/>
  <c r="F450" i="14"/>
  <c r="C449" i="14"/>
  <c r="J447" i="14"/>
  <c r="F446" i="14"/>
  <c r="C445" i="14"/>
  <c r="J443" i="14"/>
  <c r="F442" i="14"/>
  <c r="C441" i="14"/>
  <c r="J439" i="14"/>
  <c r="F438" i="14"/>
  <c r="C437" i="14"/>
  <c r="J435" i="14"/>
  <c r="F434" i="14"/>
  <c r="C433" i="14"/>
  <c r="J431" i="14"/>
  <c r="F430" i="14"/>
  <c r="C429" i="14"/>
  <c r="J427" i="14"/>
  <c r="F426" i="14"/>
  <c r="C425" i="14"/>
  <c r="J423" i="14"/>
  <c r="F422" i="14"/>
  <c r="C421" i="14"/>
  <c r="K419" i="14"/>
  <c r="I418" i="14"/>
  <c r="G417" i="14"/>
  <c r="E416" i="14"/>
  <c r="C415" i="14"/>
  <c r="K413" i="14"/>
  <c r="I412" i="14"/>
  <c r="G411" i="14"/>
  <c r="E410" i="14"/>
  <c r="C409" i="14"/>
  <c r="K407" i="14"/>
  <c r="I406" i="14"/>
  <c r="H405" i="14"/>
  <c r="F404" i="14"/>
  <c r="D403" i="14"/>
  <c r="C402" i="14"/>
  <c r="K400" i="14"/>
  <c r="I399" i="14"/>
  <c r="G398" i="14"/>
  <c r="F397" i="14"/>
  <c r="E396" i="14"/>
  <c r="C395" i="14"/>
  <c r="K393" i="14"/>
  <c r="I392" i="14"/>
  <c r="H391" i="14"/>
  <c r="G390" i="14"/>
  <c r="E389" i="14"/>
  <c r="C388" i="14"/>
  <c r="K386" i="14"/>
  <c r="J385" i="14"/>
  <c r="H384" i="14"/>
  <c r="F383" i="14"/>
  <c r="D382" i="14"/>
  <c r="L380" i="14"/>
  <c r="J379" i="14"/>
  <c r="H378" i="14"/>
  <c r="F377" i="14"/>
  <c r="D376" i="14"/>
  <c r="L374" i="14"/>
  <c r="J373" i="14"/>
  <c r="H372" i="14"/>
  <c r="F371" i="14"/>
  <c r="D370" i="14"/>
  <c r="L368" i="14"/>
  <c r="J367" i="14"/>
  <c r="H366" i="14"/>
  <c r="F365" i="14"/>
  <c r="D364" i="14"/>
  <c r="L362" i="14"/>
  <c r="J361" i="14"/>
  <c r="H360" i="14"/>
  <c r="F359" i="14"/>
  <c r="D358" i="14"/>
  <c r="L356" i="14"/>
  <c r="J355" i="14"/>
  <c r="H354" i="14"/>
  <c r="F353" i="14"/>
  <c r="D352" i="14"/>
  <c r="L350" i="14"/>
  <c r="J349" i="14"/>
  <c r="H348" i="14"/>
  <c r="F347" i="14"/>
  <c r="D346" i="14"/>
  <c r="M344" i="14"/>
  <c r="L343" i="14"/>
  <c r="J342" i="14"/>
  <c r="H341" i="14"/>
  <c r="F340" i="14"/>
  <c r="E339" i="14"/>
  <c r="D338" i="14"/>
  <c r="M336" i="14"/>
  <c r="K335" i="14"/>
  <c r="J334" i="14"/>
  <c r="I333" i="14"/>
  <c r="G332" i="14"/>
  <c r="D151" i="16"/>
  <c r="E112" i="16"/>
  <c r="C100" i="16"/>
  <c r="M92" i="16"/>
  <c r="E87" i="16"/>
  <c r="G82" i="16"/>
  <c r="K77" i="16"/>
  <c r="E73" i="16"/>
  <c r="D68" i="16"/>
  <c r="D63" i="16"/>
  <c r="E58" i="16"/>
  <c r="D53" i="16"/>
  <c r="D48" i="16"/>
  <c r="E43" i="16"/>
  <c r="D38" i="16"/>
  <c r="F33" i="16"/>
  <c r="L28" i="16"/>
  <c r="P23" i="16"/>
  <c r="D19" i="16"/>
  <c r="L14" i="16"/>
  <c r="L9" i="16"/>
  <c r="I5" i="16"/>
  <c r="C474" i="14"/>
  <c r="E467" i="14"/>
  <c r="K462" i="14"/>
  <c r="K458" i="14"/>
  <c r="D455" i="14"/>
  <c r="L452" i="14"/>
  <c r="I451" i="14"/>
  <c r="E450" i="14"/>
  <c r="L448" i="14"/>
  <c r="I447" i="14"/>
  <c r="E446" i="14"/>
  <c r="L444" i="14"/>
  <c r="I443" i="14"/>
  <c r="E442" i="14"/>
  <c r="L440" i="14"/>
  <c r="I439" i="14"/>
  <c r="E438" i="14"/>
  <c r="L436" i="14"/>
  <c r="I435" i="14"/>
  <c r="E434" i="14"/>
  <c r="L432" i="14"/>
  <c r="I431" i="14"/>
  <c r="E430" i="14"/>
  <c r="L428" i="14"/>
  <c r="I427" i="14"/>
  <c r="E426" i="14"/>
  <c r="L424" i="14"/>
  <c r="I423" i="14"/>
  <c r="E422" i="14"/>
  <c r="L420" i="14"/>
  <c r="J419" i="14"/>
  <c r="H418" i="14"/>
  <c r="F417" i="14"/>
  <c r="D416" i="14"/>
  <c r="L414" i="14"/>
  <c r="J413" i="14"/>
  <c r="H412" i="14"/>
  <c r="F411" i="14"/>
  <c r="D410" i="14"/>
  <c r="L408" i="14"/>
  <c r="J407" i="14"/>
  <c r="H406" i="14"/>
  <c r="G405" i="14"/>
  <c r="E404" i="14"/>
  <c r="C403" i="14"/>
  <c r="L401" i="14"/>
  <c r="J400" i="14"/>
  <c r="H399" i="14"/>
  <c r="F398" i="14"/>
  <c r="E397" i="14"/>
  <c r="D396" i="14"/>
  <c r="L394" i="14"/>
  <c r="J393" i="14"/>
  <c r="H392" i="14"/>
  <c r="G391" i="14"/>
  <c r="F390" i="14"/>
  <c r="D389" i="14"/>
  <c r="L387" i="14"/>
  <c r="J386" i="14"/>
  <c r="I385" i="14"/>
  <c r="G384" i="14"/>
  <c r="E383" i="14"/>
  <c r="C382" i="14"/>
  <c r="K380" i="14"/>
  <c r="I379" i="14"/>
  <c r="G378" i="14"/>
  <c r="E377" i="14"/>
  <c r="C376" i="14"/>
  <c r="K374" i="14"/>
  <c r="I373" i="14"/>
  <c r="G372" i="14"/>
  <c r="E371" i="14"/>
  <c r="C370" i="14"/>
  <c r="K368" i="14"/>
  <c r="I367" i="14"/>
  <c r="G366" i="14"/>
  <c r="E365" i="14"/>
  <c r="C364" i="14"/>
  <c r="K362" i="14"/>
  <c r="I361" i="14"/>
  <c r="G360" i="14"/>
  <c r="E359" i="14"/>
  <c r="L146" i="16"/>
  <c r="M109" i="16"/>
  <c r="M99" i="16"/>
  <c r="K92" i="16"/>
  <c r="M86" i="16"/>
  <c r="C82" i="16"/>
  <c r="E77" i="16"/>
  <c r="L72" i="16"/>
  <c r="L67" i="16"/>
  <c r="L62" i="16"/>
  <c r="M57" i="16"/>
  <c r="K52" i="16"/>
  <c r="L47" i="16"/>
  <c r="L42" i="16"/>
  <c r="L37" i="16"/>
  <c r="P32" i="16"/>
  <c r="F28" i="16"/>
  <c r="H23" i="16"/>
  <c r="L18" i="16"/>
  <c r="F14" i="16"/>
  <c r="F9" i="16"/>
  <c r="E5" i="16"/>
  <c r="F473" i="14"/>
  <c r="D467" i="14"/>
  <c r="J462" i="14"/>
  <c r="J458" i="14"/>
  <c r="K454" i="14"/>
  <c r="K452" i="14"/>
  <c r="G451" i="14"/>
  <c r="D450" i="14"/>
  <c r="K448" i="14"/>
  <c r="G447" i="14"/>
  <c r="D446" i="14"/>
  <c r="K444" i="14"/>
  <c r="G443" i="14"/>
  <c r="D442" i="14"/>
  <c r="K440" i="14"/>
  <c r="G439" i="14"/>
  <c r="D438" i="14"/>
  <c r="K436" i="14"/>
  <c r="G435" i="14"/>
  <c r="D434" i="14"/>
  <c r="K432" i="14"/>
  <c r="G431" i="14"/>
  <c r="D430" i="14"/>
  <c r="K428" i="14"/>
  <c r="G427" i="14"/>
  <c r="D426" i="14"/>
  <c r="K424" i="14"/>
  <c r="G423" i="14"/>
  <c r="D422" i="14"/>
  <c r="K420" i="14"/>
  <c r="I419" i="14"/>
  <c r="G418" i="14"/>
  <c r="E417" i="14"/>
  <c r="C416" i="14"/>
  <c r="K414" i="14"/>
  <c r="I413" i="14"/>
  <c r="G412" i="14"/>
  <c r="E411" i="14"/>
  <c r="C410" i="14"/>
  <c r="K408" i="14"/>
  <c r="I407" i="14"/>
  <c r="G406" i="14"/>
  <c r="F405" i="14"/>
  <c r="D404" i="14"/>
  <c r="M402" i="14"/>
  <c r="K401" i="14"/>
  <c r="I400" i="14"/>
  <c r="G399" i="14"/>
  <c r="E398" i="14"/>
  <c r="D397" i="14"/>
  <c r="C396" i="14"/>
  <c r="K394" i="14"/>
  <c r="I393" i="14"/>
  <c r="G392" i="14"/>
  <c r="F391" i="14"/>
  <c r="E390" i="14"/>
  <c r="C389" i="14"/>
  <c r="K387" i="14"/>
  <c r="I386" i="14"/>
  <c r="H385" i="14"/>
  <c r="F384" i="14"/>
  <c r="D383" i="14"/>
  <c r="L381" i="14"/>
  <c r="J380" i="14"/>
  <c r="H379" i="14"/>
  <c r="F378" i="14"/>
  <c r="D377" i="14"/>
  <c r="L375" i="14"/>
  <c r="J374" i="14"/>
  <c r="H373" i="14"/>
  <c r="F372" i="14"/>
  <c r="D371" i="14"/>
  <c r="L369" i="14"/>
  <c r="J368" i="14"/>
  <c r="H367" i="14"/>
  <c r="F366" i="14"/>
  <c r="D365" i="14"/>
  <c r="L363" i="14"/>
  <c r="J362" i="14"/>
  <c r="H361" i="14"/>
  <c r="F360" i="14"/>
  <c r="D359" i="14"/>
  <c r="L357" i="14"/>
  <c r="J356" i="14"/>
  <c r="H355" i="14"/>
  <c r="F354" i="14"/>
  <c r="D353" i="14"/>
  <c r="L351" i="14"/>
  <c r="J350" i="14"/>
  <c r="H349" i="14"/>
  <c r="F348" i="14"/>
  <c r="D347" i="14"/>
  <c r="L345" i="14"/>
  <c r="K344" i="14"/>
  <c r="J343" i="14"/>
  <c r="H342" i="14"/>
  <c r="F341" i="14"/>
  <c r="D340" i="14"/>
  <c r="C339" i="14"/>
  <c r="L337" i="14"/>
  <c r="K336" i="14"/>
  <c r="I335" i="14"/>
  <c r="H334" i="14"/>
  <c r="G333" i="14"/>
  <c r="I302" i="16"/>
  <c r="L142" i="16"/>
  <c r="M106" i="16"/>
  <c r="M98" i="16"/>
  <c r="H91" i="16"/>
  <c r="K86" i="16"/>
  <c r="M81" i="16"/>
  <c r="C77" i="16"/>
  <c r="H72" i="16"/>
  <c r="H67" i="16"/>
  <c r="H62" i="16"/>
  <c r="K57" i="16"/>
  <c r="G52" i="16"/>
  <c r="H47" i="16"/>
  <c r="H42" i="16"/>
  <c r="H37" i="16"/>
  <c r="L32" i="16"/>
  <c r="D28" i="16"/>
  <c r="F23" i="16"/>
  <c r="H18" i="16"/>
  <c r="D14" i="16"/>
  <c r="D9" i="16"/>
  <c r="C5" i="16"/>
  <c r="D473" i="14"/>
  <c r="G466" i="14"/>
  <c r="E462" i="14"/>
  <c r="E458" i="14"/>
  <c r="J454" i="14"/>
  <c r="J452" i="14"/>
  <c r="F451" i="14"/>
  <c r="C450" i="14"/>
  <c r="J448" i="14"/>
  <c r="F447" i="14"/>
  <c r="C446" i="14"/>
  <c r="J444" i="14"/>
  <c r="F443" i="14"/>
  <c r="C442" i="14"/>
  <c r="J440" i="14"/>
  <c r="F439" i="14"/>
  <c r="C438" i="14"/>
  <c r="J436" i="14"/>
  <c r="F435" i="14"/>
  <c r="C434" i="14"/>
  <c r="J432" i="14"/>
  <c r="F431" i="14"/>
  <c r="C430" i="14"/>
  <c r="J428" i="14"/>
  <c r="F427" i="14"/>
  <c r="C426" i="14"/>
  <c r="J424" i="14"/>
  <c r="F423" i="14"/>
  <c r="C422" i="14"/>
  <c r="J420" i="14"/>
  <c r="H419" i="14"/>
  <c r="F418" i="14"/>
  <c r="D417" i="14"/>
  <c r="L415" i="14"/>
  <c r="J414" i="14"/>
  <c r="H413" i="14"/>
  <c r="F412" i="14"/>
  <c r="D411" i="14"/>
  <c r="L409" i="14"/>
  <c r="J408" i="14"/>
  <c r="H407" i="14"/>
  <c r="F406" i="14"/>
  <c r="E405" i="14"/>
  <c r="C404" i="14"/>
  <c r="L402" i="14"/>
  <c r="J401" i="14"/>
  <c r="H400" i="14"/>
  <c r="F399" i="14"/>
  <c r="D398" i="14"/>
  <c r="C397" i="14"/>
  <c r="L395" i="14"/>
  <c r="J394" i="14"/>
  <c r="H393" i="14"/>
  <c r="F392" i="14"/>
  <c r="E391" i="14"/>
  <c r="D390" i="14"/>
  <c r="L388" i="14"/>
  <c r="J387" i="14"/>
  <c r="H386" i="14"/>
  <c r="G385" i="14"/>
  <c r="E384" i="14"/>
  <c r="C383" i="14"/>
  <c r="K381" i="14"/>
  <c r="I380" i="14"/>
  <c r="G379" i="14"/>
  <c r="E378" i="14"/>
  <c r="C377" i="14"/>
  <c r="K375" i="14"/>
  <c r="I374" i="14"/>
  <c r="G373" i="14"/>
  <c r="E372" i="14"/>
  <c r="C371" i="14"/>
  <c r="K369" i="14"/>
  <c r="I368" i="14"/>
  <c r="G367" i="14"/>
  <c r="E366" i="14"/>
  <c r="C365" i="14"/>
  <c r="K363" i="14"/>
  <c r="I362" i="14"/>
  <c r="G361" i="14"/>
  <c r="E360" i="14"/>
  <c r="C359" i="14"/>
  <c r="K357" i="14"/>
  <c r="I356" i="14"/>
  <c r="G355" i="14"/>
  <c r="E354" i="14"/>
  <c r="C353" i="14"/>
  <c r="K351" i="14"/>
  <c r="I350" i="14"/>
  <c r="G349" i="14"/>
  <c r="E348" i="14"/>
  <c r="C347" i="14"/>
  <c r="K345" i="14"/>
  <c r="J344" i="14"/>
  <c r="I343" i="14"/>
  <c r="G342" i="14"/>
  <c r="E341" i="14"/>
  <c r="C340" i="14"/>
  <c r="M338" i="14"/>
  <c r="K337" i="14"/>
  <c r="J336" i="14"/>
  <c r="H335" i="14"/>
  <c r="G334" i="14"/>
  <c r="F333" i="14"/>
  <c r="L251" i="16"/>
  <c r="D139" i="16"/>
  <c r="H106" i="16"/>
  <c r="K98" i="16"/>
  <c r="F91" i="16"/>
  <c r="C86" i="16"/>
  <c r="E81" i="16"/>
  <c r="I76" i="16"/>
  <c r="M71" i="16"/>
  <c r="P66" i="16"/>
  <c r="M61" i="16"/>
  <c r="C57" i="16"/>
  <c r="M51" i="16"/>
  <c r="P46" i="16"/>
  <c r="P41" i="16"/>
  <c r="P36" i="16"/>
  <c r="D32" i="16"/>
  <c r="H27" i="16"/>
  <c r="L22" i="16"/>
  <c r="P17" i="16"/>
  <c r="H13" i="16"/>
  <c r="H8" i="16"/>
  <c r="D479" i="14"/>
  <c r="E472" i="14"/>
  <c r="E466" i="14"/>
  <c r="C462" i="14"/>
  <c r="C458" i="14"/>
  <c r="G454" i="14"/>
  <c r="I452" i="14"/>
  <c r="E451" i="14"/>
  <c r="L449" i="14"/>
  <c r="I448" i="14"/>
  <c r="E447" i="14"/>
  <c r="L445" i="14"/>
  <c r="I444" i="14"/>
  <c r="E443" i="14"/>
  <c r="L441" i="14"/>
  <c r="I440" i="14"/>
  <c r="E439" i="14"/>
  <c r="L437" i="14"/>
  <c r="I436" i="14"/>
  <c r="E435" i="14"/>
  <c r="L433" i="14"/>
  <c r="I432" i="14"/>
  <c r="E431" i="14"/>
  <c r="L429" i="14"/>
  <c r="I428" i="14"/>
  <c r="E427" i="14"/>
  <c r="L425" i="14"/>
  <c r="I424" i="14"/>
  <c r="E423" i="14"/>
  <c r="L421" i="14"/>
  <c r="I420" i="14"/>
  <c r="G419" i="14"/>
  <c r="E418" i="14"/>
  <c r="C417" i="14"/>
  <c r="K415" i="14"/>
  <c r="I414" i="14"/>
  <c r="G413" i="14"/>
  <c r="E412" i="14"/>
  <c r="C411" i="14"/>
  <c r="K409" i="14"/>
  <c r="I408" i="14"/>
  <c r="G407" i="14"/>
  <c r="E406" i="14"/>
  <c r="D405" i="14"/>
  <c r="L403" i="14"/>
  <c r="K402" i="14"/>
  <c r="I401" i="14"/>
  <c r="G400" i="14"/>
  <c r="E399" i="14"/>
  <c r="C398" i="14"/>
  <c r="M396" i="14"/>
  <c r="K395" i="14"/>
  <c r="I394" i="14"/>
  <c r="G393" i="14"/>
  <c r="E392" i="14"/>
  <c r="D391" i="14"/>
  <c r="C390" i="14"/>
  <c r="K388" i="14"/>
  <c r="I387" i="14"/>
  <c r="G386" i="14"/>
  <c r="F385" i="14"/>
  <c r="D384" i="14"/>
  <c r="L382" i="14"/>
  <c r="J381" i="14"/>
  <c r="H380" i="14"/>
  <c r="F379" i="14"/>
  <c r="D378" i="14"/>
  <c r="L376" i="14"/>
  <c r="J375" i="14"/>
  <c r="H374" i="14"/>
  <c r="F373" i="14"/>
  <c r="D372" i="14"/>
  <c r="L370" i="14"/>
  <c r="J369" i="14"/>
  <c r="H368" i="14"/>
  <c r="F367" i="14"/>
  <c r="D366" i="14"/>
  <c r="L364" i="14"/>
  <c r="J363" i="14"/>
  <c r="H362" i="14"/>
  <c r="F361" i="14"/>
  <c r="D360" i="14"/>
  <c r="L358" i="14"/>
  <c r="J357" i="14"/>
  <c r="H356" i="14"/>
  <c r="F355" i="14"/>
  <c r="D354" i="14"/>
  <c r="L352" i="14"/>
  <c r="J351" i="14"/>
  <c r="H350" i="14"/>
  <c r="F349" i="14"/>
  <c r="D348" i="14"/>
  <c r="L346" i="14"/>
  <c r="J345" i="14"/>
  <c r="I344" i="14"/>
  <c r="H343" i="14"/>
  <c r="F342" i="14"/>
  <c r="D341" i="14"/>
  <c r="M339" i="14"/>
  <c r="L338" i="14"/>
  <c r="J337" i="14"/>
  <c r="I336" i="14"/>
  <c r="G335" i="14"/>
  <c r="F334" i="14"/>
  <c r="E333" i="14"/>
  <c r="H213" i="16"/>
  <c r="H135" i="16"/>
  <c r="P104" i="16"/>
  <c r="K97" i="16"/>
  <c r="G90" i="16"/>
  <c r="K85" i="16"/>
  <c r="M80" i="16"/>
  <c r="E76" i="16"/>
  <c r="G71" i="16"/>
  <c r="H66" i="16"/>
  <c r="G61" i="16"/>
  <c r="H56" i="16"/>
  <c r="G51" i="16"/>
  <c r="H46" i="16"/>
  <c r="H41" i="16"/>
  <c r="H36" i="16"/>
  <c r="L31" i="16"/>
  <c r="D27" i="16"/>
  <c r="F22" i="16"/>
  <c r="H17" i="16"/>
  <c r="D13" i="16"/>
  <c r="D8" i="16"/>
  <c r="G478" i="14"/>
  <c r="H471" i="14"/>
  <c r="G465" i="14"/>
  <c r="G461" i="14"/>
  <c r="G457" i="14"/>
  <c r="E454" i="14"/>
  <c r="G452" i="14"/>
  <c r="D451" i="14"/>
  <c r="K449" i="14"/>
  <c r="G448" i="14"/>
  <c r="D447" i="14"/>
  <c r="K445" i="14"/>
  <c r="G444" i="14"/>
  <c r="D443" i="14"/>
  <c r="K441" i="14"/>
  <c r="G440" i="14"/>
  <c r="D439" i="14"/>
  <c r="K437" i="14"/>
  <c r="G436" i="14"/>
  <c r="D435" i="14"/>
  <c r="K433" i="14"/>
  <c r="G432" i="14"/>
  <c r="D431" i="14"/>
  <c r="K429" i="14"/>
  <c r="G428" i="14"/>
  <c r="D427" i="14"/>
  <c r="K425" i="14"/>
  <c r="G424" i="14"/>
  <c r="D423" i="14"/>
  <c r="K421" i="14"/>
  <c r="G420" i="14"/>
  <c r="F419" i="14"/>
  <c r="D418" i="14"/>
  <c r="L416" i="14"/>
  <c r="J415" i="14"/>
  <c r="H414" i="14"/>
  <c r="F413" i="14"/>
  <c r="D412" i="14"/>
  <c r="L410" i="14"/>
  <c r="J409" i="14"/>
  <c r="H408" i="14"/>
  <c r="F407" i="14"/>
  <c r="D406" i="14"/>
  <c r="C405" i="14"/>
  <c r="K403" i="14"/>
  <c r="J402" i="14"/>
  <c r="H401" i="14"/>
  <c r="F400" i="14"/>
  <c r="D399" i="14"/>
  <c r="M397" i="14"/>
  <c r="L396" i="14"/>
  <c r="J395" i="14"/>
  <c r="H394" i="14"/>
  <c r="F393" i="14"/>
  <c r="D392" i="14"/>
  <c r="C391" i="14"/>
  <c r="L389" i="14"/>
  <c r="J388" i="14"/>
  <c r="H387" i="14"/>
  <c r="F386" i="14"/>
  <c r="E385" i="14"/>
  <c r="C384" i="14"/>
  <c r="K382" i="14"/>
  <c r="I381" i="14"/>
  <c r="G380" i="14"/>
  <c r="E379" i="14"/>
  <c r="C378" i="14"/>
  <c r="K376" i="14"/>
  <c r="I375" i="14"/>
  <c r="G374" i="14"/>
  <c r="E373" i="14"/>
  <c r="C372" i="14"/>
  <c r="K370" i="14"/>
  <c r="I369" i="14"/>
  <c r="G368" i="14"/>
  <c r="E367" i="14"/>
  <c r="C366" i="14"/>
  <c r="K364" i="14"/>
  <c r="I363" i="14"/>
  <c r="G362" i="14"/>
  <c r="E361" i="14"/>
  <c r="C360" i="14"/>
  <c r="K358" i="14"/>
  <c r="I357" i="14"/>
  <c r="G356" i="14"/>
  <c r="E355" i="14"/>
  <c r="C354" i="14"/>
  <c r="K352" i="14"/>
  <c r="I351" i="14"/>
  <c r="G350" i="14"/>
  <c r="E349" i="14"/>
  <c r="C348" i="14"/>
  <c r="K346" i="14"/>
  <c r="I345" i="14"/>
  <c r="H344" i="14"/>
  <c r="G343" i="14"/>
  <c r="E342" i="14"/>
  <c r="C341" i="14"/>
  <c r="L339" i="14"/>
  <c r="K338" i="14"/>
  <c r="I337" i="14"/>
  <c r="H336" i="14"/>
  <c r="F335" i="14"/>
  <c r="E334" i="14"/>
  <c r="D333" i="14"/>
  <c r="D199" i="16"/>
  <c r="P131" i="16"/>
  <c r="L104" i="16"/>
  <c r="G97" i="16"/>
  <c r="E90" i="16"/>
  <c r="G85" i="16"/>
  <c r="K80" i="16"/>
  <c r="C76" i="16"/>
  <c r="E71" i="16"/>
  <c r="F66" i="16"/>
  <c r="E61" i="16"/>
  <c r="F56" i="16"/>
  <c r="E51" i="16"/>
  <c r="F46" i="16"/>
  <c r="F41" i="16"/>
  <c r="F36" i="16"/>
  <c r="H31" i="16"/>
  <c r="P26" i="16"/>
  <c r="D22" i="16"/>
  <c r="F17" i="16"/>
  <c r="M12" i="16"/>
  <c r="P7" i="16"/>
  <c r="E478" i="14"/>
  <c r="F471" i="14"/>
  <c r="F465" i="14"/>
  <c r="F461" i="14"/>
  <c r="F457" i="14"/>
  <c r="C454" i="14"/>
  <c r="F452" i="14"/>
  <c r="C451" i="14"/>
  <c r="J449" i="14"/>
  <c r="F448" i="14"/>
  <c r="C447" i="14"/>
  <c r="J445" i="14"/>
  <c r="F444" i="14"/>
  <c r="C443" i="14"/>
  <c r="J441" i="14"/>
  <c r="F440" i="14"/>
  <c r="C439" i="14"/>
  <c r="J437" i="14"/>
  <c r="F436" i="14"/>
  <c r="C435" i="14"/>
  <c r="J433" i="14"/>
  <c r="F432" i="14"/>
  <c r="C431" i="14"/>
  <c r="J429" i="14"/>
  <c r="F428" i="14"/>
  <c r="C427" i="14"/>
  <c r="J425" i="14"/>
  <c r="F424" i="14"/>
  <c r="C423" i="14"/>
  <c r="J421" i="14"/>
  <c r="F420" i="14"/>
  <c r="E419" i="14"/>
  <c r="C418" i="14"/>
  <c r="K416" i="14"/>
  <c r="I415" i="14"/>
  <c r="G414" i="14"/>
  <c r="E413" i="14"/>
  <c r="C412" i="14"/>
  <c r="K410" i="14"/>
  <c r="I409" i="14"/>
  <c r="G408" i="14"/>
  <c r="E407" i="14"/>
  <c r="C406" i="14"/>
  <c r="L404" i="14"/>
  <c r="J403" i="14"/>
  <c r="I402" i="14"/>
  <c r="G401" i="14"/>
  <c r="E400" i="14"/>
  <c r="C399" i="14"/>
  <c r="L397" i="14"/>
  <c r="K396" i="14"/>
  <c r="I395" i="14"/>
  <c r="G394" i="14"/>
  <c r="E393" i="14"/>
  <c r="C392" i="14"/>
  <c r="M390" i="14"/>
  <c r="K389" i="14"/>
  <c r="I388" i="14"/>
  <c r="G387" i="14"/>
  <c r="E386" i="14"/>
  <c r="D385" i="14"/>
  <c r="L383" i="14"/>
  <c r="J382" i="14"/>
  <c r="H381" i="14"/>
  <c r="F380" i="14"/>
  <c r="D379" i="14"/>
  <c r="L377" i="14"/>
  <c r="J376" i="14"/>
  <c r="H375" i="14"/>
  <c r="F374" i="14"/>
  <c r="D373" i="14"/>
  <c r="L371" i="14"/>
  <c r="J370" i="14"/>
  <c r="H369" i="14"/>
  <c r="F368" i="14"/>
  <c r="D367" i="14"/>
  <c r="L365" i="14"/>
  <c r="J364" i="14"/>
  <c r="H363" i="14"/>
  <c r="F362" i="14"/>
  <c r="D361" i="14"/>
  <c r="L359" i="14"/>
  <c r="J358" i="14"/>
  <c r="H357" i="14"/>
  <c r="F356" i="14"/>
  <c r="D355" i="14"/>
  <c r="L353" i="14"/>
  <c r="J352" i="14"/>
  <c r="H351" i="14"/>
  <c r="F350" i="14"/>
  <c r="D349" i="14"/>
  <c r="L347" i="14"/>
  <c r="J346" i="14"/>
  <c r="H345" i="14"/>
  <c r="G344" i="14"/>
  <c r="F343" i="14"/>
  <c r="D342" i="14"/>
  <c r="L340" i="14"/>
  <c r="K339" i="14"/>
  <c r="J338" i="14"/>
  <c r="H337" i="14"/>
  <c r="G336" i="14"/>
  <c r="E335" i="14"/>
  <c r="D334" i="14"/>
  <c r="C333" i="14"/>
  <c r="K331" i="14"/>
  <c r="I185" i="16"/>
  <c r="M128" i="16"/>
  <c r="L103" i="16"/>
  <c r="G96" i="16"/>
  <c r="K89" i="16"/>
  <c r="M84" i="16"/>
  <c r="C80" i="16"/>
  <c r="G75" i="16"/>
  <c r="H70" i="16"/>
  <c r="K65" i="16"/>
  <c r="K60" i="16"/>
  <c r="K55" i="16"/>
  <c r="K50" i="16"/>
  <c r="K45" i="16"/>
  <c r="K40" i="16"/>
  <c r="L35" i="16"/>
  <c r="S30" i="16"/>
  <c r="F26" i="16"/>
  <c r="H21" i="16"/>
  <c r="M16" i="16"/>
  <c r="E12" i="16"/>
  <c r="F7" i="16"/>
  <c r="F477" i="14"/>
  <c r="G470" i="14"/>
  <c r="L464" i="14"/>
  <c r="L460" i="14"/>
  <c r="L456" i="14"/>
  <c r="L453" i="14"/>
  <c r="E452" i="14"/>
  <c r="L450" i="14"/>
  <c r="I449" i="14"/>
  <c r="E448" i="14"/>
  <c r="L446" i="14"/>
  <c r="I445" i="14"/>
  <c r="E444" i="14"/>
  <c r="L442" i="14"/>
  <c r="I441" i="14"/>
  <c r="E440" i="14"/>
  <c r="L438" i="14"/>
  <c r="I437" i="14"/>
  <c r="E436" i="14"/>
  <c r="L434" i="14"/>
  <c r="I433" i="14"/>
  <c r="E432" i="14"/>
  <c r="L430" i="14"/>
  <c r="I429" i="14"/>
  <c r="E428" i="14"/>
  <c r="L426" i="14"/>
  <c r="I425" i="14"/>
  <c r="E424" i="14"/>
  <c r="L422" i="14"/>
  <c r="I421" i="14"/>
  <c r="E420" i="14"/>
  <c r="D419" i="14"/>
  <c r="L417" i="14"/>
  <c r="J416" i="14"/>
  <c r="H415" i="14"/>
  <c r="F414" i="14"/>
  <c r="D413" i="14"/>
  <c r="L411" i="14"/>
  <c r="J410" i="14"/>
  <c r="H409" i="14"/>
  <c r="F408" i="14"/>
  <c r="D407" i="14"/>
  <c r="M405" i="14"/>
  <c r="K404" i="14"/>
  <c r="I403" i="14"/>
  <c r="H402" i="14"/>
  <c r="F401" i="14"/>
  <c r="D400" i="14"/>
  <c r="L398" i="14"/>
  <c r="K397" i="14"/>
  <c r="J396" i="14"/>
  <c r="H395" i="14"/>
  <c r="F394" i="14"/>
  <c r="D393" i="14"/>
  <c r="M391" i="14"/>
  <c r="L390" i="14"/>
  <c r="J389" i="14"/>
  <c r="H388" i="14"/>
  <c r="F387" i="14"/>
  <c r="D386" i="14"/>
  <c r="C385" i="14"/>
  <c r="K383" i="14"/>
  <c r="I382" i="14"/>
  <c r="G381" i="14"/>
  <c r="E380" i="14"/>
  <c r="C379" i="14"/>
  <c r="K377" i="14"/>
  <c r="I376" i="14"/>
  <c r="G375" i="14"/>
  <c r="E374" i="14"/>
  <c r="C373" i="14"/>
  <c r="K371" i="14"/>
  <c r="I370" i="14"/>
  <c r="G369" i="14"/>
  <c r="E368" i="14"/>
  <c r="C367" i="14"/>
  <c r="K365" i="14"/>
  <c r="I364" i="14"/>
  <c r="G363" i="14"/>
  <c r="E362" i="14"/>
  <c r="C361" i="14"/>
  <c r="K359" i="14"/>
  <c r="I358" i="14"/>
  <c r="G357" i="14"/>
  <c r="E356" i="14"/>
  <c r="C355" i="14"/>
  <c r="K353" i="14"/>
  <c r="I352" i="14"/>
  <c r="G351" i="14"/>
  <c r="E350" i="14"/>
  <c r="C349" i="14"/>
  <c r="K347" i="14"/>
  <c r="I346" i="14"/>
  <c r="G345" i="14"/>
  <c r="F344" i="14"/>
  <c r="E343" i="14"/>
  <c r="C342" i="14"/>
  <c r="K340" i="14"/>
  <c r="E175" i="16"/>
  <c r="L125" i="16"/>
  <c r="H103" i="16"/>
  <c r="E96" i="16"/>
  <c r="E89" i="16"/>
  <c r="G84" i="16"/>
  <c r="K79" i="16"/>
  <c r="C75" i="16"/>
  <c r="D70" i="16"/>
  <c r="E65" i="16"/>
  <c r="E60" i="16"/>
  <c r="E55" i="16"/>
  <c r="E50" i="16"/>
  <c r="E45" i="16"/>
  <c r="E40" i="16"/>
  <c r="F35" i="16"/>
  <c r="K30" i="16"/>
  <c r="P25" i="16"/>
  <c r="D21" i="16"/>
  <c r="H16" i="16"/>
  <c r="L11" i="16"/>
  <c r="S6" i="16"/>
  <c r="I476" i="14"/>
  <c r="C470" i="14"/>
  <c r="J464" i="14"/>
  <c r="J460" i="14"/>
  <c r="J456" i="14"/>
  <c r="I453" i="14"/>
  <c r="D452" i="14"/>
  <c r="K450" i="14"/>
  <c r="G449" i="14"/>
  <c r="D448" i="14"/>
  <c r="K446" i="14"/>
  <c r="G445" i="14"/>
  <c r="D444" i="14"/>
  <c r="K442" i="14"/>
  <c r="G441" i="14"/>
  <c r="D440" i="14"/>
  <c r="K438" i="14"/>
  <c r="G437" i="14"/>
  <c r="D436" i="14"/>
  <c r="K434" i="14"/>
  <c r="G433" i="14"/>
  <c r="D432" i="14"/>
  <c r="K430" i="14"/>
  <c r="G429" i="14"/>
  <c r="D428" i="14"/>
  <c r="K426" i="14"/>
  <c r="G425" i="14"/>
  <c r="D424" i="14"/>
  <c r="K422" i="14"/>
  <c r="G421" i="14"/>
  <c r="D420" i="14"/>
  <c r="C419" i="14"/>
  <c r="K417" i="14"/>
  <c r="I416" i="14"/>
  <c r="G415" i="14"/>
  <c r="E414" i="14"/>
  <c r="C413" i="14"/>
  <c r="K411" i="14"/>
  <c r="I410" i="14"/>
  <c r="G409" i="14"/>
  <c r="E408" i="14"/>
  <c r="C407" i="14"/>
  <c r="L405" i="14"/>
  <c r="J404" i="14"/>
  <c r="H403" i="14"/>
  <c r="G402" i="14"/>
  <c r="E401" i="14"/>
  <c r="C400" i="14"/>
  <c r="K398" i="14"/>
  <c r="J397" i="14"/>
  <c r="I396" i="14"/>
  <c r="G395" i="14"/>
  <c r="E394" i="14"/>
  <c r="C393" i="14"/>
  <c r="L391" i="14"/>
  <c r="K390" i="14"/>
  <c r="I389" i="14"/>
  <c r="G388" i="14"/>
  <c r="E387" i="14"/>
  <c r="C386" i="14"/>
  <c r="L384" i="14"/>
  <c r="J383" i="14"/>
  <c r="H382" i="14"/>
  <c r="F381" i="14"/>
  <c r="D380" i="14"/>
  <c r="L378" i="14"/>
  <c r="J377" i="14"/>
  <c r="H376" i="14"/>
  <c r="F375" i="14"/>
  <c r="D374" i="14"/>
  <c r="L372" i="14"/>
  <c r="J371" i="14"/>
  <c r="H370" i="14"/>
  <c r="F369" i="14"/>
  <c r="D368" i="14"/>
  <c r="L366" i="14"/>
  <c r="J365" i="14"/>
  <c r="H364" i="14"/>
  <c r="F363" i="14"/>
  <c r="D362" i="14"/>
  <c r="L360" i="14"/>
  <c r="J359" i="14"/>
  <c r="H358" i="14"/>
  <c r="F357" i="14"/>
  <c r="D356" i="14"/>
  <c r="L354" i="14"/>
  <c r="J353" i="14"/>
  <c r="H352" i="14"/>
  <c r="F351" i="14"/>
  <c r="D350" i="14"/>
  <c r="L348" i="14"/>
  <c r="J347" i="14"/>
  <c r="H346" i="14"/>
  <c r="F345" i="14"/>
  <c r="E344" i="14"/>
  <c r="D343" i="14"/>
  <c r="L341" i="14"/>
  <c r="J340" i="14"/>
  <c r="I339" i="14"/>
  <c r="H338" i="14"/>
  <c r="F337" i="14"/>
  <c r="E336" i="14"/>
  <c r="C335" i="14"/>
  <c r="M333" i="14"/>
  <c r="K332" i="14"/>
  <c r="H160" i="16"/>
  <c r="C118" i="16"/>
  <c r="F101" i="16"/>
  <c r="C94" i="16"/>
  <c r="C88" i="16"/>
  <c r="E83" i="16"/>
  <c r="G78" i="16"/>
  <c r="C74" i="16"/>
  <c r="P68" i="16"/>
  <c r="P63" i="16"/>
  <c r="C59" i="16"/>
  <c r="C54" i="16"/>
  <c r="C49" i="16"/>
  <c r="C44" i="16"/>
  <c r="C39" i="16"/>
  <c r="D34" i="16"/>
  <c r="H29" i="16"/>
  <c r="L24" i="16"/>
  <c r="P19" i="16"/>
  <c r="H15" i="16"/>
  <c r="H10" i="16"/>
  <c r="S5" i="16"/>
  <c r="D475" i="14"/>
  <c r="E468" i="14"/>
  <c r="I463" i="14"/>
  <c r="I459" i="14"/>
  <c r="I455" i="14"/>
  <c r="D453" i="14"/>
  <c r="K451" i="14"/>
  <c r="G450" i="14"/>
  <c r="D449" i="14"/>
  <c r="K447" i="14"/>
  <c r="G446" i="14"/>
  <c r="D445" i="14"/>
  <c r="K443" i="14"/>
  <c r="G442" i="14"/>
  <c r="D441" i="14"/>
  <c r="K439" i="14"/>
  <c r="G438" i="14"/>
  <c r="D437" i="14"/>
  <c r="K435" i="14"/>
  <c r="G434" i="14"/>
  <c r="D433" i="14"/>
  <c r="K431" i="14"/>
  <c r="G430" i="14"/>
  <c r="D429" i="14"/>
  <c r="K427" i="14"/>
  <c r="G426" i="14"/>
  <c r="D425" i="14"/>
  <c r="K423" i="14"/>
  <c r="G422" i="14"/>
  <c r="D421" i="14"/>
  <c r="L419" i="14"/>
  <c r="J418" i="14"/>
  <c r="H417" i="14"/>
  <c r="F416" i="14"/>
  <c r="D415" i="14"/>
  <c r="L413" i="14"/>
  <c r="J412" i="14"/>
  <c r="H411" i="14"/>
  <c r="F410" i="14"/>
  <c r="D409" i="14"/>
  <c r="L407" i="14"/>
  <c r="J406" i="14"/>
  <c r="I405" i="14"/>
  <c r="G404" i="14"/>
  <c r="E403" i="14"/>
  <c r="D402" i="14"/>
  <c r="L400" i="14"/>
  <c r="J399" i="14"/>
  <c r="H398" i="14"/>
  <c r="G397" i="14"/>
  <c r="F396" i="14"/>
  <c r="D395" i="14"/>
  <c r="L393" i="14"/>
  <c r="J392" i="14"/>
  <c r="I391" i="14"/>
  <c r="H390" i="14"/>
  <c r="F389" i="14"/>
  <c r="D388" i="14"/>
  <c r="L386" i="14"/>
  <c r="K385" i="14"/>
  <c r="I384" i="14"/>
  <c r="G383" i="14"/>
  <c r="E382" i="14"/>
  <c r="C381" i="14"/>
  <c r="K379" i="14"/>
  <c r="I378" i="14"/>
  <c r="G377" i="14"/>
  <c r="E376" i="14"/>
  <c r="C375" i="14"/>
  <c r="K373" i="14"/>
  <c r="I372" i="14"/>
  <c r="G371" i="14"/>
  <c r="E370" i="14"/>
  <c r="C369" i="14"/>
  <c r="K367" i="14"/>
  <c r="I366" i="14"/>
  <c r="G365" i="14"/>
  <c r="E364" i="14"/>
  <c r="C363" i="14"/>
  <c r="K361" i="14"/>
  <c r="I360" i="14"/>
  <c r="G359" i="14"/>
  <c r="E358" i="14"/>
  <c r="C357" i="14"/>
  <c r="K355" i="14"/>
  <c r="I354" i="14"/>
  <c r="G353" i="14"/>
  <c r="E352" i="14"/>
  <c r="C351" i="14"/>
  <c r="K349" i="14"/>
  <c r="I348" i="14"/>
  <c r="G347" i="14"/>
  <c r="E346" i="14"/>
  <c r="C345" i="14"/>
  <c r="M343" i="14"/>
  <c r="K342" i="14"/>
  <c r="I341" i="14"/>
  <c r="G340" i="14"/>
  <c r="F339" i="14"/>
  <c r="E338" i="14"/>
  <c r="C337" i="14"/>
  <c r="L335" i="14"/>
  <c r="K334" i="14"/>
  <c r="J333" i="14"/>
  <c r="H332" i="14"/>
  <c r="F331" i="14"/>
  <c r="E330" i="14"/>
  <c r="D329" i="14"/>
  <c r="E95" i="16"/>
  <c r="C65" i="16"/>
  <c r="D35" i="16"/>
  <c r="M6" i="16"/>
  <c r="G453" i="14"/>
  <c r="F445" i="14"/>
  <c r="F437" i="14"/>
  <c r="F429" i="14"/>
  <c r="F421" i="14"/>
  <c r="D414" i="14"/>
  <c r="L406" i="14"/>
  <c r="L399" i="14"/>
  <c r="L392" i="14"/>
  <c r="M385" i="14"/>
  <c r="K378" i="14"/>
  <c r="I371" i="14"/>
  <c r="G364" i="14"/>
  <c r="C358" i="14"/>
  <c r="E353" i="14"/>
  <c r="G348" i="14"/>
  <c r="K343" i="14"/>
  <c r="G339" i="14"/>
  <c r="C336" i="14"/>
  <c r="I332" i="14"/>
  <c r="C331" i="14"/>
  <c r="L329" i="14"/>
  <c r="J328" i="14"/>
  <c r="I327" i="14"/>
  <c r="H326" i="14"/>
  <c r="G325" i="14"/>
  <c r="F324" i="14"/>
  <c r="E323" i="14"/>
  <c r="C322" i="14"/>
  <c r="L320" i="14"/>
  <c r="J319" i="14"/>
  <c r="I318" i="14"/>
  <c r="G317" i="14"/>
  <c r="E316" i="14"/>
  <c r="D315" i="14"/>
  <c r="M313" i="14"/>
  <c r="K312" i="14"/>
  <c r="I311" i="14"/>
  <c r="G310" i="14"/>
  <c r="E309" i="14"/>
  <c r="C308" i="14"/>
  <c r="K306" i="14"/>
  <c r="I305" i="14"/>
  <c r="G304" i="14"/>
  <c r="E303" i="14"/>
  <c r="C302" i="14"/>
  <c r="K300" i="14"/>
  <c r="I299" i="14"/>
  <c r="G298" i="14"/>
  <c r="E297" i="14"/>
  <c r="C296" i="14"/>
  <c r="K294" i="14"/>
  <c r="I293" i="14"/>
  <c r="G292" i="14"/>
  <c r="E291" i="14"/>
  <c r="C290" i="14"/>
  <c r="K288" i="14"/>
  <c r="I287" i="14"/>
  <c r="H286" i="14"/>
  <c r="F285" i="14"/>
  <c r="D284" i="14"/>
  <c r="L282" i="14"/>
  <c r="K281" i="14"/>
  <c r="I280" i="14"/>
  <c r="G279" i="14"/>
  <c r="E278" i="14"/>
  <c r="C277" i="14"/>
  <c r="K275" i="14"/>
  <c r="I274" i="14"/>
  <c r="G273" i="14"/>
  <c r="E272" i="14"/>
  <c r="D271" i="14"/>
  <c r="L269" i="14"/>
  <c r="J268" i="14"/>
  <c r="H267" i="14"/>
  <c r="F266" i="14"/>
  <c r="D265" i="14"/>
  <c r="C264" i="14"/>
  <c r="K262" i="14"/>
  <c r="I261" i="14"/>
  <c r="G260" i="14"/>
  <c r="E259" i="14"/>
  <c r="D258" i="14"/>
  <c r="M256" i="14"/>
  <c r="K255" i="14"/>
  <c r="J254" i="14"/>
  <c r="H253" i="14"/>
  <c r="G252" i="14"/>
  <c r="E251" i="14"/>
  <c r="C250" i="14"/>
  <c r="K248" i="14"/>
  <c r="I247" i="14"/>
  <c r="G246" i="14"/>
  <c r="F245" i="14"/>
  <c r="D244" i="14"/>
  <c r="M242" i="14"/>
  <c r="L241" i="14"/>
  <c r="J240" i="14"/>
  <c r="H239" i="14"/>
  <c r="F238" i="14"/>
  <c r="D237" i="14"/>
  <c r="L235" i="14"/>
  <c r="J234" i="14"/>
  <c r="I233" i="14"/>
  <c r="G232" i="14"/>
  <c r="E231" i="14"/>
  <c r="C230" i="14"/>
  <c r="M228" i="14"/>
  <c r="K227" i="14"/>
  <c r="I226" i="14"/>
  <c r="G225" i="14"/>
  <c r="E224" i="14"/>
  <c r="C223" i="14"/>
  <c r="L221" i="14"/>
  <c r="J220" i="14"/>
  <c r="I219" i="14"/>
  <c r="G218" i="14"/>
  <c r="E217" i="14"/>
  <c r="C216" i="14"/>
  <c r="K214" i="14"/>
  <c r="I213" i="14"/>
  <c r="G212" i="14"/>
  <c r="E211" i="14"/>
  <c r="C210" i="14"/>
  <c r="K208" i="14"/>
  <c r="C95" i="16"/>
  <c r="F64" i="16"/>
  <c r="H34" i="16"/>
  <c r="F6" i="16"/>
  <c r="E453" i="14"/>
  <c r="E445" i="14"/>
  <c r="E437" i="14"/>
  <c r="E429" i="14"/>
  <c r="E421" i="14"/>
  <c r="C414" i="14"/>
  <c r="K406" i="14"/>
  <c r="K399" i="14"/>
  <c r="K392" i="14"/>
  <c r="L385" i="14"/>
  <c r="J378" i="14"/>
  <c r="H371" i="14"/>
  <c r="F364" i="14"/>
  <c r="E357" i="14"/>
  <c r="G352" i="14"/>
  <c r="I347" i="14"/>
  <c r="C343" i="14"/>
  <c r="D339" i="14"/>
  <c r="J335" i="14"/>
  <c r="F332" i="14"/>
  <c r="M330" i="14"/>
  <c r="K329" i="14"/>
  <c r="I328" i="14"/>
  <c r="H327" i="14"/>
  <c r="G326" i="14"/>
  <c r="F325" i="14"/>
  <c r="E324" i="14"/>
  <c r="D323" i="14"/>
  <c r="L321" i="14"/>
  <c r="K320" i="14"/>
  <c r="I319" i="14"/>
  <c r="H318" i="14"/>
  <c r="F317" i="14"/>
  <c r="D316" i="14"/>
  <c r="C315" i="14"/>
  <c r="L313" i="14"/>
  <c r="J312" i="14"/>
  <c r="H311" i="14"/>
  <c r="F310" i="14"/>
  <c r="D309" i="14"/>
  <c r="L307" i="14"/>
  <c r="J306" i="14"/>
  <c r="H305" i="14"/>
  <c r="F304" i="14"/>
  <c r="D303" i="14"/>
  <c r="L301" i="14"/>
  <c r="J300" i="14"/>
  <c r="H299" i="14"/>
  <c r="F298" i="14"/>
  <c r="D297" i="14"/>
  <c r="L295" i="14"/>
  <c r="J294" i="14"/>
  <c r="H293" i="14"/>
  <c r="F292" i="14"/>
  <c r="D291" i="14"/>
  <c r="L289" i="14"/>
  <c r="J288" i="14"/>
  <c r="H287" i="14"/>
  <c r="G286" i="14"/>
  <c r="E285" i="14"/>
  <c r="C284" i="14"/>
  <c r="K282" i="14"/>
  <c r="J281" i="14"/>
  <c r="H280" i="14"/>
  <c r="F279" i="14"/>
  <c r="D278" i="14"/>
  <c r="L276" i="14"/>
  <c r="J275" i="14"/>
  <c r="H274" i="14"/>
  <c r="F273" i="14"/>
  <c r="D272" i="14"/>
  <c r="C271" i="14"/>
  <c r="C89" i="16"/>
  <c r="C60" i="16"/>
  <c r="H30" i="16"/>
  <c r="G476" i="14"/>
  <c r="C452" i="14"/>
  <c r="C444" i="14"/>
  <c r="C436" i="14"/>
  <c r="C428" i="14"/>
  <c r="C420" i="14"/>
  <c r="L412" i="14"/>
  <c r="K405" i="14"/>
  <c r="J398" i="14"/>
  <c r="K391" i="14"/>
  <c r="K384" i="14"/>
  <c r="I377" i="14"/>
  <c r="G370" i="14"/>
  <c r="E363" i="14"/>
  <c r="D357" i="14"/>
  <c r="F352" i="14"/>
  <c r="H347" i="14"/>
  <c r="L342" i="14"/>
  <c r="I338" i="14"/>
  <c r="D335" i="14"/>
  <c r="E332" i="14"/>
  <c r="L330" i="14"/>
  <c r="J329" i="14"/>
  <c r="H328" i="14"/>
  <c r="G327" i="14"/>
  <c r="F326" i="14"/>
  <c r="G88" i="16"/>
  <c r="G59" i="16"/>
  <c r="P29" i="16"/>
  <c r="H475" i="14"/>
  <c r="L451" i="14"/>
  <c r="L443" i="14"/>
  <c r="L435" i="14"/>
  <c r="L427" i="14"/>
  <c r="M419" i="14"/>
  <c r="K412" i="14"/>
  <c r="J405" i="14"/>
  <c r="I398" i="14"/>
  <c r="J391" i="14"/>
  <c r="J384" i="14"/>
  <c r="H377" i="14"/>
  <c r="F370" i="14"/>
  <c r="D363" i="14"/>
  <c r="K356" i="14"/>
  <c r="C352" i="14"/>
  <c r="E347" i="14"/>
  <c r="I342" i="14"/>
  <c r="G338" i="14"/>
  <c r="M334" i="14"/>
  <c r="D332" i="14"/>
  <c r="K330" i="14"/>
  <c r="I329" i="14"/>
  <c r="G328" i="14"/>
  <c r="F327" i="14"/>
  <c r="E326" i="14"/>
  <c r="D325" i="14"/>
  <c r="C324" i="14"/>
  <c r="L322" i="14"/>
  <c r="J321" i="14"/>
  <c r="I320" i="14"/>
  <c r="G319" i="14"/>
  <c r="F318" i="14"/>
  <c r="D317" i="14"/>
  <c r="M315" i="14"/>
  <c r="K314" i="14"/>
  <c r="J313" i="14"/>
  <c r="H312" i="14"/>
  <c r="F311" i="14"/>
  <c r="D310" i="14"/>
  <c r="L308" i="14"/>
  <c r="J307" i="14"/>
  <c r="H306" i="14"/>
  <c r="F305" i="14"/>
  <c r="D304" i="14"/>
  <c r="L302" i="14"/>
  <c r="J301" i="14"/>
  <c r="H300" i="14"/>
  <c r="F299" i="14"/>
  <c r="D298" i="14"/>
  <c r="L296" i="14"/>
  <c r="J295" i="14"/>
  <c r="H294" i="14"/>
  <c r="F293" i="14"/>
  <c r="D292" i="14"/>
  <c r="L290" i="14"/>
  <c r="J289" i="14"/>
  <c r="H288" i="14"/>
  <c r="F287" i="14"/>
  <c r="E286" i="14"/>
  <c r="C285" i="14"/>
  <c r="K283" i="14"/>
  <c r="I282" i="14"/>
  <c r="H281" i="14"/>
  <c r="F280" i="14"/>
  <c r="D279" i="14"/>
  <c r="L277" i="14"/>
  <c r="J276" i="14"/>
  <c r="H275" i="14"/>
  <c r="F274" i="14"/>
  <c r="D273" i="14"/>
  <c r="M271" i="14"/>
  <c r="K270" i="14"/>
  <c r="I269" i="14"/>
  <c r="G268" i="14"/>
  <c r="E267" i="14"/>
  <c r="C266" i="14"/>
  <c r="L264" i="14"/>
  <c r="J263" i="14"/>
  <c r="H262" i="14"/>
  <c r="F261" i="14"/>
  <c r="D260" i="14"/>
  <c r="M258" i="14"/>
  <c r="K257" i="14"/>
  <c r="J256" i="14"/>
  <c r="H255" i="14"/>
  <c r="G254" i="14"/>
  <c r="E253" i="14"/>
  <c r="D252" i="14"/>
  <c r="L250" i="14"/>
  <c r="J249" i="14"/>
  <c r="H248" i="14"/>
  <c r="F247" i="14"/>
  <c r="D246" i="14"/>
  <c r="C245" i="14"/>
  <c r="K243" i="14"/>
  <c r="J242" i="14"/>
  <c r="I241" i="14"/>
  <c r="G240" i="14"/>
  <c r="E239" i="14"/>
  <c r="C238" i="14"/>
  <c r="K236" i="14"/>
  <c r="I235" i="14"/>
  <c r="G234" i="14"/>
  <c r="F233" i="14"/>
  <c r="D232" i="14"/>
  <c r="L230" i="14"/>
  <c r="K229" i="14"/>
  <c r="J228" i="14"/>
  <c r="H227" i="14"/>
  <c r="F226" i="14"/>
  <c r="D225" i="14"/>
  <c r="L223" i="14"/>
  <c r="K222" i="14"/>
  <c r="I221" i="14"/>
  <c r="G220" i="14"/>
  <c r="F219" i="14"/>
  <c r="D218" i="14"/>
  <c r="L216" i="14"/>
  <c r="J215" i="14"/>
  <c r="H214" i="14"/>
  <c r="F213" i="14"/>
  <c r="D212" i="14"/>
  <c r="L210" i="14"/>
  <c r="E84" i="16"/>
  <c r="C55" i="16"/>
  <c r="L25" i="16"/>
  <c r="H469" i="14"/>
  <c r="J450" i="14"/>
  <c r="J442" i="14"/>
  <c r="J434" i="14"/>
  <c r="J426" i="14"/>
  <c r="L418" i="14"/>
  <c r="J411" i="14"/>
  <c r="I404" i="14"/>
  <c r="I397" i="14"/>
  <c r="J390" i="14"/>
  <c r="I383" i="14"/>
  <c r="G376" i="14"/>
  <c r="E369" i="14"/>
  <c r="C362" i="14"/>
  <c r="C356" i="14"/>
  <c r="E351" i="14"/>
  <c r="G346" i="14"/>
  <c r="K341" i="14"/>
  <c r="F338" i="14"/>
  <c r="L334" i="14"/>
  <c r="C332" i="14"/>
  <c r="J330" i="14"/>
  <c r="H329" i="14"/>
  <c r="F328" i="14"/>
  <c r="E327" i="14"/>
  <c r="D326" i="14"/>
  <c r="C325" i="14"/>
  <c r="M323" i="14"/>
  <c r="K322" i="14"/>
  <c r="I321" i="14"/>
  <c r="H320" i="14"/>
  <c r="F319" i="14"/>
  <c r="E318" i="14"/>
  <c r="C317" i="14"/>
  <c r="L315" i="14"/>
  <c r="J314" i="14"/>
  <c r="I313" i="14"/>
  <c r="G312" i="14"/>
  <c r="E311" i="14"/>
  <c r="C310" i="14"/>
  <c r="K308" i="14"/>
  <c r="I307" i="14"/>
  <c r="G306" i="14"/>
  <c r="E305" i="14"/>
  <c r="C304" i="14"/>
  <c r="K302" i="14"/>
  <c r="I301" i="14"/>
  <c r="G300" i="14"/>
  <c r="E299" i="14"/>
  <c r="C298" i="14"/>
  <c r="K296" i="14"/>
  <c r="I295" i="14"/>
  <c r="G294" i="14"/>
  <c r="E293" i="14"/>
  <c r="C292" i="14"/>
  <c r="K290" i="14"/>
  <c r="I289" i="14"/>
  <c r="G288" i="14"/>
  <c r="E287" i="14"/>
  <c r="D286" i="14"/>
  <c r="L284" i="14"/>
  <c r="J283" i="14"/>
  <c r="H282" i="14"/>
  <c r="G281" i="14"/>
  <c r="E280" i="14"/>
  <c r="C279" i="14"/>
  <c r="K277" i="14"/>
  <c r="I276" i="14"/>
  <c r="G275" i="14"/>
  <c r="E274" i="14"/>
  <c r="C273" i="14"/>
  <c r="L271" i="14"/>
  <c r="J270" i="14"/>
  <c r="H269" i="14"/>
  <c r="F268" i="14"/>
  <c r="D267" i="14"/>
  <c r="L265" i="14"/>
  <c r="K264" i="14"/>
  <c r="I263" i="14"/>
  <c r="G262" i="14"/>
  <c r="E261" i="14"/>
  <c r="C260" i="14"/>
  <c r="L258" i="14"/>
  <c r="J257" i="14"/>
  <c r="I256" i="14"/>
  <c r="G255" i="14"/>
  <c r="F254" i="14"/>
  <c r="D253" i="14"/>
  <c r="C252" i="14"/>
  <c r="K250" i="14"/>
  <c r="I249" i="14"/>
  <c r="G248" i="14"/>
  <c r="E247" i="14"/>
  <c r="C246" i="14"/>
  <c r="L244" i="14"/>
  <c r="J243" i="14"/>
  <c r="I242" i="14"/>
  <c r="H241" i="14"/>
  <c r="F240" i="14"/>
  <c r="D239" i="14"/>
  <c r="L237" i="14"/>
  <c r="J236" i="14"/>
  <c r="H235" i="14"/>
  <c r="F234" i="14"/>
  <c r="E233" i="14"/>
  <c r="C232" i="14"/>
  <c r="K230" i="14"/>
  <c r="J229" i="14"/>
  <c r="K83" i="16"/>
  <c r="G54" i="16"/>
  <c r="D25" i="16"/>
  <c r="I468" i="14"/>
  <c r="I450" i="14"/>
  <c r="I442" i="14"/>
  <c r="I434" i="14"/>
  <c r="I426" i="14"/>
  <c r="K418" i="14"/>
  <c r="I411" i="14"/>
  <c r="H404" i="14"/>
  <c r="H397" i="14"/>
  <c r="I390" i="14"/>
  <c r="H383" i="14"/>
  <c r="F376" i="14"/>
  <c r="D369" i="14"/>
  <c r="L361" i="14"/>
  <c r="L355" i="14"/>
  <c r="D351" i="14"/>
  <c r="F346" i="14"/>
  <c r="J341" i="14"/>
  <c r="C338" i="14"/>
  <c r="I334" i="14"/>
  <c r="L331" i="14"/>
  <c r="I330" i="14"/>
  <c r="G329" i="14"/>
  <c r="E328" i="14"/>
  <c r="D327" i="14"/>
  <c r="C326" i="14"/>
  <c r="M324" i="14"/>
  <c r="L323" i="14"/>
  <c r="J322" i="14"/>
  <c r="H321" i="14"/>
  <c r="G320" i="14"/>
  <c r="E319" i="14"/>
  <c r="D318" i="14"/>
  <c r="L316" i="14"/>
  <c r="K315" i="14"/>
  <c r="I314" i="14"/>
  <c r="H313" i="14"/>
  <c r="F312" i="14"/>
  <c r="D311" i="14"/>
  <c r="L309" i="14"/>
  <c r="J308" i="14"/>
  <c r="H307" i="14"/>
  <c r="F306" i="14"/>
  <c r="D305" i="14"/>
  <c r="L303" i="14"/>
  <c r="J302" i="14"/>
  <c r="H301" i="14"/>
  <c r="F300" i="14"/>
  <c r="D299" i="14"/>
  <c r="L297" i="14"/>
  <c r="J296" i="14"/>
  <c r="H295" i="14"/>
  <c r="F294" i="14"/>
  <c r="D293" i="14"/>
  <c r="L291" i="14"/>
  <c r="J290" i="14"/>
  <c r="H289" i="14"/>
  <c r="F288" i="14"/>
  <c r="D287" i="14"/>
  <c r="C286" i="14"/>
  <c r="K284" i="14"/>
  <c r="I283" i="14"/>
  <c r="G282" i="14"/>
  <c r="F281" i="14"/>
  <c r="D280" i="14"/>
  <c r="L278" i="14"/>
  <c r="J277" i="14"/>
  <c r="H276" i="14"/>
  <c r="F275" i="14"/>
  <c r="D274" i="14"/>
  <c r="L272" i="14"/>
  <c r="K271" i="14"/>
  <c r="I270" i="14"/>
  <c r="G269" i="14"/>
  <c r="E268" i="14"/>
  <c r="C267" i="14"/>
  <c r="K265" i="14"/>
  <c r="J264" i="14"/>
  <c r="H263" i="14"/>
  <c r="F262" i="14"/>
  <c r="D261" i="14"/>
  <c r="L259" i="14"/>
  <c r="K258" i="14"/>
  <c r="I257" i="14"/>
  <c r="H256" i="14"/>
  <c r="F255" i="14"/>
  <c r="E254" i="14"/>
  <c r="C253" i="14"/>
  <c r="L251" i="14"/>
  <c r="J250" i="14"/>
  <c r="H249" i="14"/>
  <c r="F248" i="14"/>
  <c r="D247" i="14"/>
  <c r="M245" i="14"/>
  <c r="J169" i="16"/>
  <c r="G79" i="16"/>
  <c r="C50" i="16"/>
  <c r="P20" i="16"/>
  <c r="D464" i="14"/>
  <c r="F449" i="14"/>
  <c r="F441" i="14"/>
  <c r="F433" i="14"/>
  <c r="F425" i="14"/>
  <c r="J417" i="14"/>
  <c r="H410" i="14"/>
  <c r="G403" i="14"/>
  <c r="H396" i="14"/>
  <c r="H389" i="14"/>
  <c r="G382" i="14"/>
  <c r="E375" i="14"/>
  <c r="C368" i="14"/>
  <c r="K360" i="14"/>
  <c r="I355" i="14"/>
  <c r="K350" i="14"/>
  <c r="C346" i="14"/>
  <c r="G341" i="14"/>
  <c r="G337" i="14"/>
  <c r="C334" i="14"/>
  <c r="J331" i="14"/>
  <c r="H330" i="14"/>
  <c r="F329" i="14"/>
  <c r="D328" i="14"/>
  <c r="C327" i="14"/>
  <c r="M325" i="14"/>
  <c r="L324" i="14"/>
  <c r="K323" i="14"/>
  <c r="I322" i="14"/>
  <c r="G321" i="14"/>
  <c r="F320" i="14"/>
  <c r="D319" i="14"/>
  <c r="C318" i="14"/>
  <c r="K316" i="14"/>
  <c r="J315" i="14"/>
  <c r="H314" i="14"/>
  <c r="G313" i="14"/>
  <c r="E312" i="14"/>
  <c r="C311" i="14"/>
  <c r="K309" i="14"/>
  <c r="I308" i="14"/>
  <c r="G307" i="14"/>
  <c r="E306" i="14"/>
  <c r="C305" i="14"/>
  <c r="K303" i="14"/>
  <c r="I302" i="14"/>
  <c r="G301" i="14"/>
  <c r="E300" i="14"/>
  <c r="C299" i="14"/>
  <c r="K297" i="14"/>
  <c r="I296" i="14"/>
  <c r="G295" i="14"/>
  <c r="E294" i="14"/>
  <c r="C293" i="14"/>
  <c r="K291" i="14"/>
  <c r="I290" i="14"/>
  <c r="G289" i="14"/>
  <c r="E288" i="14"/>
  <c r="C287" i="14"/>
  <c r="L285" i="14"/>
  <c r="J284" i="14"/>
  <c r="H283" i="14"/>
  <c r="F282" i="14"/>
  <c r="E281" i="14"/>
  <c r="C280" i="14"/>
  <c r="K278" i="14"/>
  <c r="I277" i="14"/>
  <c r="G276" i="14"/>
  <c r="E275" i="14"/>
  <c r="C274" i="14"/>
  <c r="K272" i="14"/>
  <c r="J271" i="14"/>
  <c r="H270" i="14"/>
  <c r="F269" i="14"/>
  <c r="D268" i="14"/>
  <c r="L266" i="14"/>
  <c r="J265" i="14"/>
  <c r="I264" i="14"/>
  <c r="G263" i="14"/>
  <c r="E262" i="14"/>
  <c r="C261" i="14"/>
  <c r="K259" i="14"/>
  <c r="J258" i="14"/>
  <c r="H257" i="14"/>
  <c r="G256" i="14"/>
  <c r="E255" i="14"/>
  <c r="D254" i="14"/>
  <c r="M252" i="14"/>
  <c r="K251" i="14"/>
  <c r="I250" i="14"/>
  <c r="G249" i="14"/>
  <c r="E248" i="14"/>
  <c r="C247" i="14"/>
  <c r="L245" i="14"/>
  <c r="J244" i="14"/>
  <c r="H243" i="14"/>
  <c r="G242" i="14"/>
  <c r="F241" i="14"/>
  <c r="D240" i="14"/>
  <c r="L238" i="14"/>
  <c r="J237" i="14"/>
  <c r="H236" i="14"/>
  <c r="F235" i="14"/>
  <c r="D234" i="14"/>
  <c r="C233" i="14"/>
  <c r="K231" i="14"/>
  <c r="I230" i="14"/>
  <c r="H229" i="14"/>
  <c r="G228" i="14"/>
  <c r="E227" i="14"/>
  <c r="C226" i="14"/>
  <c r="K224" i="14"/>
  <c r="I223" i="14"/>
  <c r="H222" i="14"/>
  <c r="F221" i="14"/>
  <c r="D220" i="14"/>
  <c r="C219" i="14"/>
  <c r="K217" i="14"/>
  <c r="I216" i="14"/>
  <c r="G215" i="14"/>
  <c r="E214" i="14"/>
  <c r="C213" i="14"/>
  <c r="K211" i="14"/>
  <c r="I210" i="14"/>
  <c r="G209" i="14"/>
  <c r="F165" i="16"/>
  <c r="M78" i="16"/>
  <c r="G49" i="16"/>
  <c r="F20" i="16"/>
  <c r="C464" i="14"/>
  <c r="E449" i="14"/>
  <c r="E441" i="14"/>
  <c r="E433" i="14"/>
  <c r="E425" i="14"/>
  <c r="I417" i="14"/>
  <c r="G410" i="14"/>
  <c r="F403" i="14"/>
  <c r="G396" i="14"/>
  <c r="G389" i="14"/>
  <c r="F382" i="14"/>
  <c r="D375" i="14"/>
  <c r="L367" i="14"/>
  <c r="J360" i="14"/>
  <c r="K354" i="14"/>
  <c r="C350" i="14"/>
  <c r="E345" i="14"/>
  <c r="I340" i="14"/>
  <c r="E337" i="14"/>
  <c r="L333" i="14"/>
  <c r="I331" i="14"/>
  <c r="G330" i="14"/>
  <c r="E329" i="14"/>
  <c r="C328" i="14"/>
  <c r="M326" i="14"/>
  <c r="L325" i="14"/>
  <c r="K324" i="14"/>
  <c r="J323" i="14"/>
  <c r="H322" i="14"/>
  <c r="F321" i="14"/>
  <c r="E320" i="14"/>
  <c r="C319" i="14"/>
  <c r="L317" i="14"/>
  <c r="J316" i="14"/>
  <c r="I315" i="14"/>
  <c r="G314" i="14"/>
  <c r="F313" i="14"/>
  <c r="D312" i="14"/>
  <c r="L310" i="14"/>
  <c r="J309" i="14"/>
  <c r="H308" i="14"/>
  <c r="F307" i="14"/>
  <c r="D306" i="14"/>
  <c r="L304" i="14"/>
  <c r="J303" i="14"/>
  <c r="H302" i="14"/>
  <c r="F301" i="14"/>
  <c r="D300" i="14"/>
  <c r="L298" i="14"/>
  <c r="J297" i="14"/>
  <c r="H296" i="14"/>
  <c r="F295" i="14"/>
  <c r="D294" i="14"/>
  <c r="L292" i="14"/>
  <c r="J291" i="14"/>
  <c r="H290" i="14"/>
  <c r="F289" i="14"/>
  <c r="D288" i="14"/>
  <c r="M286" i="14"/>
  <c r="K285" i="14"/>
  <c r="I284" i="14"/>
  <c r="G283" i="14"/>
  <c r="E282" i="14"/>
  <c r="D281" i="14"/>
  <c r="L279" i="14"/>
  <c r="J278" i="14"/>
  <c r="H277" i="14"/>
  <c r="F276" i="14"/>
  <c r="D275" i="14"/>
  <c r="L273" i="14"/>
  <c r="J272" i="14"/>
  <c r="I271" i="14"/>
  <c r="G270" i="14"/>
  <c r="E269" i="14"/>
  <c r="C268" i="14"/>
  <c r="K266" i="14"/>
  <c r="I265" i="14"/>
  <c r="H264" i="14"/>
  <c r="F263" i="14"/>
  <c r="D262" i="14"/>
  <c r="L260" i="14"/>
  <c r="J259" i="14"/>
  <c r="I258" i="14"/>
  <c r="G257" i="14"/>
  <c r="F256" i="14"/>
  <c r="D255" i="14"/>
  <c r="C254" i="14"/>
  <c r="L252" i="14"/>
  <c r="J251" i="14"/>
  <c r="H250" i="14"/>
  <c r="F249" i="14"/>
  <c r="D248" i="14"/>
  <c r="L246" i="14"/>
  <c r="K245" i="14"/>
  <c r="I244" i="14"/>
  <c r="G243" i="14"/>
  <c r="F242" i="14"/>
  <c r="E241" i="14"/>
  <c r="C240" i="14"/>
  <c r="K238" i="14"/>
  <c r="I237" i="14"/>
  <c r="G236" i="14"/>
  <c r="E235" i="14"/>
  <c r="C234" i="14"/>
  <c r="L232" i="14"/>
  <c r="J231" i="14"/>
  <c r="H230" i="14"/>
  <c r="G229" i="14"/>
  <c r="F228" i="14"/>
  <c r="D227" i="14"/>
  <c r="L225" i="14"/>
  <c r="J224" i="14"/>
  <c r="H223" i="14"/>
  <c r="G222" i="14"/>
  <c r="E221" i="14"/>
  <c r="C220" i="14"/>
  <c r="L218" i="14"/>
  <c r="J217" i="14"/>
  <c r="H216" i="14"/>
  <c r="F215" i="14"/>
  <c r="D214" i="14"/>
  <c r="L212" i="14"/>
  <c r="D123" i="16"/>
  <c r="P74" i="16"/>
  <c r="C45" i="16"/>
  <c r="F16" i="16"/>
  <c r="D460" i="14"/>
  <c r="C448" i="14"/>
  <c r="C440" i="14"/>
  <c r="C432" i="14"/>
  <c r="C424" i="14"/>
  <c r="H416" i="14"/>
  <c r="F409" i="14"/>
  <c r="F402" i="14"/>
  <c r="F395" i="14"/>
  <c r="F388" i="14"/>
  <c r="E381" i="14"/>
  <c r="C374" i="14"/>
  <c r="K366" i="14"/>
  <c r="I359" i="14"/>
  <c r="J354" i="14"/>
  <c r="L349" i="14"/>
  <c r="D345" i="14"/>
  <c r="H340" i="14"/>
  <c r="D337" i="14"/>
  <c r="K333" i="14"/>
  <c r="H331" i="14"/>
  <c r="F330" i="14"/>
  <c r="C329" i="14"/>
  <c r="M327" i="14"/>
  <c r="L326" i="14"/>
  <c r="K325" i="14"/>
  <c r="J324" i="14"/>
  <c r="I323" i="14"/>
  <c r="G322" i="14"/>
  <c r="E321" i="14"/>
  <c r="D320" i="14"/>
  <c r="M318" i="14"/>
  <c r="K317" i="14"/>
  <c r="I316" i="14"/>
  <c r="H315" i="14"/>
  <c r="F314" i="14"/>
  <c r="E313" i="14"/>
  <c r="C312" i="14"/>
  <c r="K310" i="14"/>
  <c r="I309" i="14"/>
  <c r="G308" i="14"/>
  <c r="E307" i="14"/>
  <c r="C306" i="14"/>
  <c r="K304" i="14"/>
  <c r="I303" i="14"/>
  <c r="G302" i="14"/>
  <c r="E301" i="14"/>
  <c r="C300" i="14"/>
  <c r="K298" i="14"/>
  <c r="I297" i="14"/>
  <c r="G296" i="14"/>
  <c r="E295" i="14"/>
  <c r="C294" i="14"/>
  <c r="K292" i="14"/>
  <c r="I291" i="14"/>
  <c r="G290" i="14"/>
  <c r="E289" i="14"/>
  <c r="C288" i="14"/>
  <c r="L286" i="14"/>
  <c r="J285" i="14"/>
  <c r="H284" i="14"/>
  <c r="F283" i="14"/>
  <c r="D282" i="14"/>
  <c r="C281" i="14"/>
  <c r="K279" i="14"/>
  <c r="I278" i="14"/>
  <c r="G277" i="14"/>
  <c r="E276" i="14"/>
  <c r="C275" i="14"/>
  <c r="K273" i="14"/>
  <c r="I272" i="14"/>
  <c r="H271" i="14"/>
  <c r="F270" i="14"/>
  <c r="D269" i="14"/>
  <c r="L267" i="14"/>
  <c r="J266" i="14"/>
  <c r="H265" i="14"/>
  <c r="G264" i="14"/>
  <c r="E263" i="14"/>
  <c r="C262" i="14"/>
  <c r="K260" i="14"/>
  <c r="I259" i="14"/>
  <c r="H258" i="14"/>
  <c r="F257" i="14"/>
  <c r="E256" i="14"/>
  <c r="C255" i="14"/>
  <c r="L253" i="14"/>
  <c r="K252" i="14"/>
  <c r="I251" i="14"/>
  <c r="G250" i="14"/>
  <c r="E249" i="14"/>
  <c r="C248" i="14"/>
  <c r="K246" i="14"/>
  <c r="J245" i="14"/>
  <c r="H244" i="14"/>
  <c r="F243" i="14"/>
  <c r="E242" i="14"/>
  <c r="D241" i="14"/>
  <c r="L239" i="14"/>
  <c r="J238" i="14"/>
  <c r="H237" i="14"/>
  <c r="F236" i="14"/>
  <c r="D235" i="14"/>
  <c r="M233" i="14"/>
  <c r="K232" i="14"/>
  <c r="I231" i="14"/>
  <c r="G230" i="14"/>
  <c r="F229" i="14"/>
  <c r="E228" i="14"/>
  <c r="C227" i="14"/>
  <c r="K225" i="14"/>
  <c r="I224" i="14"/>
  <c r="G223" i="14"/>
  <c r="F222" i="14"/>
  <c r="D221" i="14"/>
  <c r="M219" i="14"/>
  <c r="K218" i="14"/>
  <c r="I217" i="14"/>
  <c r="G216" i="14"/>
  <c r="E215" i="14"/>
  <c r="C214" i="14"/>
  <c r="K212" i="14"/>
  <c r="I211" i="14"/>
  <c r="G210" i="14"/>
  <c r="G120" i="16"/>
  <c r="G74" i="16"/>
  <c r="G44" i="16"/>
  <c r="M15" i="16"/>
  <c r="C460" i="14"/>
  <c r="L447" i="14"/>
  <c r="L439" i="14"/>
  <c r="L431" i="14"/>
  <c r="L423" i="14"/>
  <c r="G416" i="14"/>
  <c r="E409" i="14"/>
  <c r="E402" i="14"/>
  <c r="E395" i="14"/>
  <c r="E388" i="14"/>
  <c r="D381" i="14"/>
  <c r="L373" i="14"/>
  <c r="J366" i="14"/>
  <c r="H359" i="14"/>
  <c r="G354" i="14"/>
  <c r="I349" i="14"/>
  <c r="L344" i="14"/>
  <c r="E340" i="14"/>
  <c r="L336" i="14"/>
  <c r="H333" i="14"/>
  <c r="G331" i="14"/>
  <c r="D330" i="14"/>
  <c r="M328" i="14"/>
  <c r="L327" i="14"/>
  <c r="K326" i="14"/>
  <c r="J325" i="14"/>
  <c r="I324" i="14"/>
  <c r="H323" i="14"/>
  <c r="F322" i="14"/>
  <c r="D321" i="14"/>
  <c r="C320" i="14"/>
  <c r="L318" i="14"/>
  <c r="J317" i="14"/>
  <c r="H316" i="14"/>
  <c r="G315" i="14"/>
  <c r="E314" i="14"/>
  <c r="D313" i="14"/>
  <c r="L311" i="14"/>
  <c r="J310" i="14"/>
  <c r="H309" i="14"/>
  <c r="F308" i="14"/>
  <c r="D307" i="14"/>
  <c r="L305" i="14"/>
  <c r="J304" i="14"/>
  <c r="H303" i="14"/>
  <c r="F302" i="14"/>
  <c r="D301" i="14"/>
  <c r="L299" i="14"/>
  <c r="J298" i="14"/>
  <c r="H297" i="14"/>
  <c r="F296" i="14"/>
  <c r="D295" i="14"/>
  <c r="L293" i="14"/>
  <c r="J292" i="14"/>
  <c r="H291" i="14"/>
  <c r="F290" i="14"/>
  <c r="D289" i="14"/>
  <c r="L287" i="14"/>
  <c r="K286" i="14"/>
  <c r="I285" i="14"/>
  <c r="G284" i="14"/>
  <c r="E283" i="14"/>
  <c r="C282" i="14"/>
  <c r="L280" i="14"/>
  <c r="J279" i="14"/>
  <c r="H278" i="14"/>
  <c r="F277" i="14"/>
  <c r="D276" i="14"/>
  <c r="L274" i="14"/>
  <c r="J273" i="14"/>
  <c r="H272" i="14"/>
  <c r="G271" i="14"/>
  <c r="E270" i="14"/>
  <c r="C269" i="14"/>
  <c r="K267" i="14"/>
  <c r="I266" i="14"/>
  <c r="G265" i="14"/>
  <c r="F264" i="14"/>
  <c r="D263" i="14"/>
  <c r="L261" i="14"/>
  <c r="J260" i="14"/>
  <c r="H259" i="14"/>
  <c r="G258" i="14"/>
  <c r="E257" i="14"/>
  <c r="D256" i="14"/>
  <c r="M254" i="14"/>
  <c r="K253" i="14"/>
  <c r="J252" i="14"/>
  <c r="H251" i="14"/>
  <c r="F250" i="14"/>
  <c r="D249" i="14"/>
  <c r="L247" i="14"/>
  <c r="J246" i="14"/>
  <c r="I245" i="14"/>
  <c r="G244" i="14"/>
  <c r="E243" i="14"/>
  <c r="D242" i="14"/>
  <c r="C241" i="14"/>
  <c r="K239" i="14"/>
  <c r="I238" i="14"/>
  <c r="G237" i="14"/>
  <c r="E236" i="14"/>
  <c r="C235" i="14"/>
  <c r="L233" i="14"/>
  <c r="J232" i="14"/>
  <c r="H231" i="14"/>
  <c r="F230" i="14"/>
  <c r="E229" i="14"/>
  <c r="D228" i="14"/>
  <c r="L226" i="14"/>
  <c r="J225" i="14"/>
  <c r="H224" i="14"/>
  <c r="F223" i="14"/>
  <c r="E222" i="14"/>
  <c r="C221" i="14"/>
  <c r="L219" i="14"/>
  <c r="J218" i="14"/>
  <c r="H217" i="14"/>
  <c r="F216" i="14"/>
  <c r="D215" i="14"/>
  <c r="L213" i="14"/>
  <c r="J212" i="14"/>
  <c r="H211" i="14"/>
  <c r="F102" i="16"/>
  <c r="F69" i="16"/>
  <c r="G39" i="16"/>
  <c r="P10" i="16"/>
  <c r="C456" i="14"/>
  <c r="I446" i="14"/>
  <c r="I438" i="14"/>
  <c r="I430" i="14"/>
  <c r="I422" i="14"/>
  <c r="E415" i="14"/>
  <c r="C408" i="14"/>
  <c r="C401" i="14"/>
  <c r="C394" i="14"/>
  <c r="C387" i="14"/>
  <c r="L379" i="14"/>
  <c r="J372" i="14"/>
  <c r="H365" i="14"/>
  <c r="F358" i="14"/>
  <c r="H353" i="14"/>
  <c r="J348" i="14"/>
  <c r="C344" i="14"/>
  <c r="H339" i="14"/>
  <c r="D336" i="14"/>
  <c r="J332" i="14"/>
  <c r="D331" i="14"/>
  <c r="M329" i="14"/>
  <c r="K328" i="14"/>
  <c r="J327" i="14"/>
  <c r="I326" i="14"/>
  <c r="H325" i="14"/>
  <c r="G324" i="14"/>
  <c r="F323" i="14"/>
  <c r="D322" i="14"/>
  <c r="M320" i="14"/>
  <c r="K319" i="14"/>
  <c r="J318" i="14"/>
  <c r="H317" i="14"/>
  <c r="F316" i="14"/>
  <c r="E315" i="14"/>
  <c r="C314" i="14"/>
  <c r="L312" i="14"/>
  <c r="J311" i="14"/>
  <c r="H310" i="14"/>
  <c r="F309" i="14"/>
  <c r="D308" i="14"/>
  <c r="L306" i="14"/>
  <c r="J305" i="14"/>
  <c r="H304" i="14"/>
  <c r="F303" i="14"/>
  <c r="D302" i="14"/>
  <c r="L300" i="14"/>
  <c r="J299" i="14"/>
  <c r="H298" i="14"/>
  <c r="F297" i="14"/>
  <c r="D296" i="14"/>
  <c r="L294" i="14"/>
  <c r="J293" i="14"/>
  <c r="H292" i="14"/>
  <c r="F291" i="14"/>
  <c r="D290" i="14"/>
  <c r="L288" i="14"/>
  <c r="J287" i="14"/>
  <c r="I286" i="14"/>
  <c r="G285" i="14"/>
  <c r="E284" i="14"/>
  <c r="C283" i="14"/>
  <c r="L281" i="14"/>
  <c r="J280" i="14"/>
  <c r="H279" i="14"/>
  <c r="F278" i="14"/>
  <c r="D277" i="14"/>
  <c r="L275" i="14"/>
  <c r="J274" i="14"/>
  <c r="H273" i="14"/>
  <c r="F272" i="14"/>
  <c r="E271" i="14"/>
  <c r="C270" i="14"/>
  <c r="K268" i="14"/>
  <c r="I267" i="14"/>
  <c r="G266" i="14"/>
  <c r="E265" i="14"/>
  <c r="D264" i="14"/>
  <c r="L262" i="14"/>
  <c r="J261" i="14"/>
  <c r="H260" i="14"/>
  <c r="F259" i="14"/>
  <c r="E258" i="14"/>
  <c r="C257" i="14"/>
  <c r="L255" i="14"/>
  <c r="K254" i="14"/>
  <c r="I253" i="14"/>
  <c r="H252" i="14"/>
  <c r="F251" i="14"/>
  <c r="D250" i="14"/>
  <c r="L248" i="14"/>
  <c r="J247" i="14"/>
  <c r="H246" i="14"/>
  <c r="G245" i="14"/>
  <c r="E244" i="14"/>
  <c r="C243" i="14"/>
  <c r="M241" i="14"/>
  <c r="K240" i="14"/>
  <c r="I239" i="14"/>
  <c r="G238" i="14"/>
  <c r="E237" i="14"/>
  <c r="C236" i="14"/>
  <c r="K234" i="14"/>
  <c r="J233" i="14"/>
  <c r="H232" i="14"/>
  <c r="F231" i="14"/>
  <c r="D230" i="14"/>
  <c r="C229" i="14"/>
  <c r="L227" i="14"/>
  <c r="J226" i="14"/>
  <c r="H225" i="14"/>
  <c r="F224" i="14"/>
  <c r="D223" i="14"/>
  <c r="C222" i="14"/>
  <c r="K220" i="14"/>
  <c r="J219" i="14"/>
  <c r="H218" i="14"/>
  <c r="F217" i="14"/>
  <c r="D216" i="14"/>
  <c r="L214" i="14"/>
  <c r="J213" i="14"/>
  <c r="H212" i="14"/>
  <c r="F211" i="14"/>
  <c r="D210" i="14"/>
  <c r="D456" i="14"/>
  <c r="I365" i="14"/>
  <c r="J326" i="14"/>
  <c r="H319" i="14"/>
  <c r="I312" i="14"/>
  <c r="G305" i="14"/>
  <c r="E298" i="14"/>
  <c r="C291" i="14"/>
  <c r="L283" i="14"/>
  <c r="K276" i="14"/>
  <c r="K269" i="14"/>
  <c r="C265" i="14"/>
  <c r="F260" i="14"/>
  <c r="J255" i="14"/>
  <c r="D251" i="14"/>
  <c r="F246" i="14"/>
  <c r="K242" i="14"/>
  <c r="F239" i="14"/>
  <c r="J235" i="14"/>
  <c r="E232" i="14"/>
  <c r="K228" i="14"/>
  <c r="D226" i="14"/>
  <c r="M222" i="14"/>
  <c r="F220" i="14"/>
  <c r="G217" i="14"/>
  <c r="I214" i="14"/>
  <c r="L211" i="14"/>
  <c r="J209" i="14"/>
  <c r="F208" i="14"/>
  <c r="D207" i="14"/>
  <c r="L205" i="14"/>
  <c r="J204" i="14"/>
  <c r="H203" i="14"/>
  <c r="F202" i="14"/>
  <c r="D201" i="14"/>
  <c r="L199" i="14"/>
  <c r="J198" i="14"/>
  <c r="H197" i="14"/>
  <c r="F196" i="14"/>
  <c r="D195" i="14"/>
  <c r="L193" i="14"/>
  <c r="J192" i="14"/>
  <c r="H191" i="14"/>
  <c r="F190" i="14"/>
  <c r="D189" i="14"/>
  <c r="L187" i="14"/>
  <c r="J186" i="14"/>
  <c r="H185" i="14"/>
  <c r="F184" i="14"/>
  <c r="D183" i="14"/>
  <c r="L181" i="14"/>
  <c r="J180" i="14"/>
  <c r="H179" i="14"/>
  <c r="F178" i="14"/>
  <c r="D177" i="14"/>
  <c r="L175" i="14"/>
  <c r="J174" i="14"/>
  <c r="H173" i="14"/>
  <c r="F172" i="14"/>
  <c r="D171" i="14"/>
  <c r="L169" i="14"/>
  <c r="J168" i="14"/>
  <c r="H167" i="14"/>
  <c r="F166" i="14"/>
  <c r="D165" i="14"/>
  <c r="L163" i="14"/>
  <c r="J162" i="14"/>
  <c r="H161" i="14"/>
  <c r="F160" i="14"/>
  <c r="D159" i="14"/>
  <c r="L157" i="14"/>
  <c r="J156" i="14"/>
  <c r="H155" i="14"/>
  <c r="F154" i="14"/>
  <c r="D153" i="14"/>
  <c r="L151" i="14"/>
  <c r="J150" i="14"/>
  <c r="H149" i="14"/>
  <c r="F148" i="14"/>
  <c r="D147" i="14"/>
  <c r="L145" i="14"/>
  <c r="J144" i="14"/>
  <c r="H143" i="14"/>
  <c r="F142" i="14"/>
  <c r="D141" i="14"/>
  <c r="L139" i="14"/>
  <c r="J138" i="14"/>
  <c r="H137" i="14"/>
  <c r="F136" i="14"/>
  <c r="D135" i="14"/>
  <c r="L133" i="14"/>
  <c r="J132" i="14"/>
  <c r="H131" i="14"/>
  <c r="F130" i="14"/>
  <c r="D129" i="14"/>
  <c r="L127" i="14"/>
  <c r="J126" i="14"/>
  <c r="H125" i="14"/>
  <c r="F124" i="14"/>
  <c r="D123" i="14"/>
  <c r="L121" i="14"/>
  <c r="J120" i="14"/>
  <c r="I119" i="14"/>
  <c r="H118" i="14"/>
  <c r="G117" i="14"/>
  <c r="F116" i="14"/>
  <c r="D115" i="14"/>
  <c r="L113" i="14"/>
  <c r="J112" i="14"/>
  <c r="I111" i="14"/>
  <c r="H110" i="14"/>
  <c r="G109" i="14"/>
  <c r="E108" i="14"/>
  <c r="L106" i="14"/>
  <c r="H105" i="14"/>
  <c r="E104" i="14"/>
  <c r="L102" i="14"/>
  <c r="H101" i="14"/>
  <c r="E100" i="14"/>
  <c r="L98" i="14"/>
  <c r="H97" i="14"/>
  <c r="E96" i="14"/>
  <c r="L94" i="14"/>
  <c r="H93" i="14"/>
  <c r="E92" i="14"/>
  <c r="L90" i="14"/>
  <c r="H89" i="14"/>
  <c r="E88" i="14"/>
  <c r="L86" i="14"/>
  <c r="H85" i="14"/>
  <c r="E84" i="14"/>
  <c r="L82" i="14"/>
  <c r="H81" i="14"/>
  <c r="E80" i="14"/>
  <c r="L78" i="14"/>
  <c r="H77" i="14"/>
  <c r="E76" i="14"/>
  <c r="L74" i="14"/>
  <c r="J73" i="14"/>
  <c r="F72" i="14"/>
  <c r="C71" i="14"/>
  <c r="J69" i="14"/>
  <c r="F68" i="14"/>
  <c r="C67" i="14"/>
  <c r="J65" i="14"/>
  <c r="F64" i="14"/>
  <c r="C63" i="14"/>
  <c r="J61" i="14"/>
  <c r="F60" i="14"/>
  <c r="C59" i="14"/>
  <c r="J57" i="14"/>
  <c r="F56" i="14"/>
  <c r="C55" i="14"/>
  <c r="J53" i="14"/>
  <c r="F52" i="14"/>
  <c r="C51" i="14"/>
  <c r="J49" i="14"/>
  <c r="F48" i="14"/>
  <c r="C47" i="14"/>
  <c r="J45" i="14"/>
  <c r="F44" i="14"/>
  <c r="C43" i="14"/>
  <c r="J41" i="14"/>
  <c r="F40" i="14"/>
  <c r="C39" i="14"/>
  <c r="J37" i="14"/>
  <c r="F36" i="14"/>
  <c r="C35" i="14"/>
  <c r="J33" i="14"/>
  <c r="F32" i="14"/>
  <c r="C31" i="14"/>
  <c r="K29" i="14"/>
  <c r="G28" i="14"/>
  <c r="D27" i="14"/>
  <c r="K25" i="14"/>
  <c r="G24" i="14"/>
  <c r="D23" i="14"/>
  <c r="K21" i="14"/>
  <c r="G20" i="14"/>
  <c r="D19" i="14"/>
  <c r="K17" i="14"/>
  <c r="G16" i="14"/>
  <c r="E15" i="14"/>
  <c r="C14" i="14"/>
  <c r="J12" i="14"/>
  <c r="F11" i="14"/>
  <c r="C10" i="14"/>
  <c r="J8" i="14"/>
  <c r="F7" i="14"/>
  <c r="C6" i="14"/>
  <c r="L4" i="14"/>
  <c r="G479" i="13"/>
  <c r="I477" i="13"/>
  <c r="D476" i="13"/>
  <c r="F474" i="13"/>
  <c r="H472" i="13"/>
  <c r="C471" i="13"/>
  <c r="E469" i="13"/>
  <c r="G467" i="13"/>
  <c r="I465" i="13"/>
  <c r="F464" i="13"/>
  <c r="D463" i="13"/>
  <c r="B462" i="13"/>
  <c r="K460" i="13"/>
  <c r="I459" i="13"/>
  <c r="F458" i="13"/>
  <c r="D457" i="13"/>
  <c r="B456" i="13"/>
  <c r="K454" i="13"/>
  <c r="J453" i="13"/>
  <c r="G452" i="13"/>
  <c r="E451" i="13"/>
  <c r="C450" i="13"/>
  <c r="L448" i="13"/>
  <c r="J447" i="13"/>
  <c r="G446" i="13"/>
  <c r="E445" i="13"/>
  <c r="C444" i="13"/>
  <c r="L442" i="13"/>
  <c r="J441" i="13"/>
  <c r="G440" i="13"/>
  <c r="E439" i="13"/>
  <c r="C438" i="13"/>
  <c r="L436" i="13"/>
  <c r="J435" i="13"/>
  <c r="G434" i="13"/>
  <c r="E433" i="13"/>
  <c r="C432" i="13"/>
  <c r="L430" i="13"/>
  <c r="J429" i="13"/>
  <c r="G428" i="13"/>
  <c r="E427" i="13"/>
  <c r="C426" i="13"/>
  <c r="L424" i="13"/>
  <c r="J423" i="13"/>
  <c r="G422" i="13"/>
  <c r="E421" i="13"/>
  <c r="C420" i="13"/>
  <c r="C419" i="13"/>
  <c r="B418" i="13"/>
  <c r="L416" i="13"/>
  <c r="K415" i="13"/>
  <c r="J414" i="13"/>
  <c r="I413" i="13"/>
  <c r="H412" i="13"/>
  <c r="G411" i="13"/>
  <c r="F410" i="13"/>
  <c r="E409" i="13"/>
  <c r="D408" i="13"/>
  <c r="C407" i="13"/>
  <c r="J446" i="14"/>
  <c r="G358" i="14"/>
  <c r="I325" i="14"/>
  <c r="K318" i="14"/>
  <c r="K311" i="14"/>
  <c r="I304" i="14"/>
  <c r="G297" i="14"/>
  <c r="E290" i="14"/>
  <c r="D283" i="14"/>
  <c r="C276" i="14"/>
  <c r="J269" i="14"/>
  <c r="M264" i="14"/>
  <c r="E260" i="14"/>
  <c r="I255" i="14"/>
  <c r="C251" i="14"/>
  <c r="E246" i="14"/>
  <c r="H242" i="14"/>
  <c r="C239" i="14"/>
  <c r="G235" i="14"/>
  <c r="L231" i="14"/>
  <c r="I228" i="14"/>
  <c r="I225" i="14"/>
  <c r="L222" i="14"/>
  <c r="E220" i="14"/>
  <c r="D217" i="14"/>
  <c r="G214" i="14"/>
  <c r="J211" i="14"/>
  <c r="I209" i="14"/>
  <c r="E208" i="14"/>
  <c r="C207" i="14"/>
  <c r="K205" i="14"/>
  <c r="I204" i="14"/>
  <c r="G203" i="14"/>
  <c r="E202" i="14"/>
  <c r="C201" i="14"/>
  <c r="K199" i="14"/>
  <c r="I198" i="14"/>
  <c r="G197" i="14"/>
  <c r="E196" i="14"/>
  <c r="C195" i="14"/>
  <c r="K193" i="14"/>
  <c r="I192" i="14"/>
  <c r="G191" i="14"/>
  <c r="E190" i="14"/>
  <c r="C189" i="14"/>
  <c r="K187" i="14"/>
  <c r="I186" i="14"/>
  <c r="G185" i="14"/>
  <c r="E184" i="14"/>
  <c r="C183" i="14"/>
  <c r="K181" i="14"/>
  <c r="I180" i="14"/>
  <c r="G179" i="14"/>
  <c r="E178" i="14"/>
  <c r="C177" i="14"/>
  <c r="K175" i="14"/>
  <c r="I174" i="14"/>
  <c r="G173" i="14"/>
  <c r="E172" i="14"/>
  <c r="C171" i="14"/>
  <c r="K169" i="14"/>
  <c r="I168" i="14"/>
  <c r="G167" i="14"/>
  <c r="E166" i="14"/>
  <c r="C165" i="14"/>
  <c r="K163" i="14"/>
  <c r="I162" i="14"/>
  <c r="G161" i="14"/>
  <c r="E160" i="14"/>
  <c r="C159" i="14"/>
  <c r="K157" i="14"/>
  <c r="I156" i="14"/>
  <c r="G155" i="14"/>
  <c r="E154" i="14"/>
  <c r="C153" i="14"/>
  <c r="K151" i="14"/>
  <c r="I150" i="14"/>
  <c r="G149" i="14"/>
  <c r="E148" i="14"/>
  <c r="C147" i="14"/>
  <c r="K145" i="14"/>
  <c r="I144" i="14"/>
  <c r="G143" i="14"/>
  <c r="E142" i="14"/>
  <c r="C141" i="14"/>
  <c r="K139" i="14"/>
  <c r="I138" i="14"/>
  <c r="G137" i="14"/>
  <c r="E136" i="14"/>
  <c r="C135" i="14"/>
  <c r="K133" i="14"/>
  <c r="I132" i="14"/>
  <c r="G131" i="14"/>
  <c r="E130" i="14"/>
  <c r="C129" i="14"/>
  <c r="K127" i="14"/>
  <c r="I126" i="14"/>
  <c r="G125" i="14"/>
  <c r="E124" i="14"/>
  <c r="C123" i="14"/>
  <c r="K121" i="14"/>
  <c r="I120" i="14"/>
  <c r="H119" i="14"/>
  <c r="G118" i="14"/>
  <c r="F117" i="14"/>
  <c r="E116" i="14"/>
  <c r="C115" i="14"/>
  <c r="K113" i="14"/>
  <c r="I112" i="14"/>
  <c r="H111" i="14"/>
  <c r="G110" i="14"/>
  <c r="F109" i="14"/>
  <c r="D108" i="14"/>
  <c r="K106" i="14"/>
  <c r="G105" i="14"/>
  <c r="D104" i="14"/>
  <c r="K102" i="14"/>
  <c r="G101" i="14"/>
  <c r="D100" i="14"/>
  <c r="K98" i="14"/>
  <c r="G97" i="14"/>
  <c r="D96" i="14"/>
  <c r="K94" i="14"/>
  <c r="G93" i="14"/>
  <c r="D92" i="14"/>
  <c r="K90" i="14"/>
  <c r="G89" i="14"/>
  <c r="D88" i="14"/>
  <c r="K86" i="14"/>
  <c r="G85" i="14"/>
  <c r="D84" i="14"/>
  <c r="K82" i="14"/>
  <c r="G81" i="14"/>
  <c r="D80" i="14"/>
  <c r="K78" i="14"/>
  <c r="G77" i="14"/>
  <c r="D76" i="14"/>
  <c r="K74" i="14"/>
  <c r="H73" i="14"/>
  <c r="E72" i="14"/>
  <c r="L70" i="14"/>
  <c r="H69" i="14"/>
  <c r="E68" i="14"/>
  <c r="L66" i="14"/>
  <c r="H65" i="14"/>
  <c r="E64" i="14"/>
  <c r="L62" i="14"/>
  <c r="H61" i="14"/>
  <c r="E60" i="14"/>
  <c r="L58" i="14"/>
  <c r="H57" i="14"/>
  <c r="E56" i="14"/>
  <c r="L54" i="14"/>
  <c r="H53" i="14"/>
  <c r="E52" i="14"/>
  <c r="L50" i="14"/>
  <c r="H49" i="14"/>
  <c r="E48" i="14"/>
  <c r="L46" i="14"/>
  <c r="H45" i="14"/>
  <c r="E44" i="14"/>
  <c r="L42" i="14"/>
  <c r="H41" i="14"/>
  <c r="E40" i="14"/>
  <c r="L38" i="14"/>
  <c r="H37" i="14"/>
  <c r="E36" i="14"/>
  <c r="L34" i="14"/>
  <c r="H33" i="14"/>
  <c r="E32" i="14"/>
  <c r="L30" i="14"/>
  <c r="J29" i="14"/>
  <c r="F28" i="14"/>
  <c r="C27" i="14"/>
  <c r="J25" i="14"/>
  <c r="F24" i="14"/>
  <c r="C23" i="14"/>
  <c r="J21" i="14"/>
  <c r="F20" i="14"/>
  <c r="C19" i="14"/>
  <c r="J17" i="14"/>
  <c r="F16" i="14"/>
  <c r="D15" i="14"/>
  <c r="L13" i="14"/>
  <c r="H12" i="14"/>
  <c r="E11" i="14"/>
  <c r="L9" i="14"/>
  <c r="H8" i="14"/>
  <c r="E7" i="14"/>
  <c r="M5" i="14"/>
  <c r="K4" i="14"/>
  <c r="F479" i="13"/>
  <c r="H477" i="13"/>
  <c r="C476" i="13"/>
  <c r="E474" i="13"/>
  <c r="G472" i="13"/>
  <c r="I470" i="13"/>
  <c r="D469" i="13"/>
  <c r="F467" i="13"/>
  <c r="H465" i="13"/>
  <c r="E464" i="13"/>
  <c r="C463" i="13"/>
  <c r="L461" i="13"/>
  <c r="J460" i="13"/>
  <c r="G459" i="13"/>
  <c r="E458" i="13"/>
  <c r="C457" i="13"/>
  <c r="L455" i="13"/>
  <c r="J454" i="13"/>
  <c r="I453" i="13"/>
  <c r="F452" i="13"/>
  <c r="D451" i="13"/>
  <c r="B450" i="13"/>
  <c r="K448" i="13"/>
  <c r="I447" i="13"/>
  <c r="F446" i="13"/>
  <c r="D445" i="13"/>
  <c r="B444" i="13"/>
  <c r="K442" i="13"/>
  <c r="I441" i="13"/>
  <c r="F440" i="13"/>
  <c r="D439" i="13"/>
  <c r="B438" i="13"/>
  <c r="K436" i="13"/>
  <c r="I435" i="13"/>
  <c r="F434" i="13"/>
  <c r="D433" i="13"/>
  <c r="B432" i="13"/>
  <c r="K430" i="13"/>
  <c r="I429" i="13"/>
  <c r="F428" i="13"/>
  <c r="D427" i="13"/>
  <c r="B426" i="13"/>
  <c r="K424" i="13"/>
  <c r="I423" i="13"/>
  <c r="F422" i="13"/>
  <c r="D421" i="13"/>
  <c r="B420" i="13"/>
  <c r="B419" i="13"/>
  <c r="L417" i="13"/>
  <c r="K416" i="13"/>
  <c r="J415" i="13"/>
  <c r="I414" i="13"/>
  <c r="H413" i="13"/>
  <c r="G412" i="13"/>
  <c r="F411" i="13"/>
  <c r="E410" i="13"/>
  <c r="D409" i="13"/>
  <c r="C408" i="13"/>
  <c r="B407" i="13"/>
  <c r="M405" i="13"/>
  <c r="L404" i="13"/>
  <c r="K403" i="13"/>
  <c r="K402" i="13"/>
  <c r="J401" i="13"/>
  <c r="J438" i="14"/>
  <c r="I353" i="14"/>
  <c r="E325" i="14"/>
  <c r="G318" i="14"/>
  <c r="G311" i="14"/>
  <c r="E304" i="14"/>
  <c r="C297" i="14"/>
  <c r="K289" i="14"/>
  <c r="J282" i="14"/>
  <c r="I275" i="14"/>
  <c r="L268" i="14"/>
  <c r="E264" i="14"/>
  <c r="G259" i="14"/>
  <c r="L254" i="14"/>
  <c r="E250" i="14"/>
  <c r="H245" i="14"/>
  <c r="C242" i="14"/>
  <c r="H238" i="14"/>
  <c r="L234" i="14"/>
  <c r="G231" i="14"/>
  <c r="H228" i="14"/>
  <c r="F225" i="14"/>
  <c r="J222" i="14"/>
  <c r="K219" i="14"/>
  <c r="C217" i="14"/>
  <c r="F214" i="14"/>
  <c r="G211" i="14"/>
  <c r="H209" i="14"/>
  <c r="D208" i="14"/>
  <c r="L206" i="14"/>
  <c r="J205" i="14"/>
  <c r="H204" i="14"/>
  <c r="F203" i="14"/>
  <c r="D202" i="14"/>
  <c r="L200" i="14"/>
  <c r="J199" i="14"/>
  <c r="H198" i="14"/>
  <c r="F197" i="14"/>
  <c r="D196" i="14"/>
  <c r="L194" i="14"/>
  <c r="J193" i="14"/>
  <c r="H192" i="14"/>
  <c r="F191" i="14"/>
  <c r="D190" i="14"/>
  <c r="L188" i="14"/>
  <c r="J187" i="14"/>
  <c r="H186" i="14"/>
  <c r="F185" i="14"/>
  <c r="D184" i="14"/>
  <c r="L182" i="14"/>
  <c r="J181" i="14"/>
  <c r="H180" i="14"/>
  <c r="F179" i="14"/>
  <c r="D178" i="14"/>
  <c r="L176" i="14"/>
  <c r="J175" i="14"/>
  <c r="H174" i="14"/>
  <c r="F173" i="14"/>
  <c r="D172" i="14"/>
  <c r="L170" i="14"/>
  <c r="J169" i="14"/>
  <c r="H168" i="14"/>
  <c r="F167" i="14"/>
  <c r="D166" i="14"/>
  <c r="L164" i="14"/>
  <c r="J163" i="14"/>
  <c r="H162" i="14"/>
  <c r="F161" i="14"/>
  <c r="D160" i="14"/>
  <c r="L158" i="14"/>
  <c r="J157" i="14"/>
  <c r="H156" i="14"/>
  <c r="F155" i="14"/>
  <c r="D154" i="14"/>
  <c r="L152" i="14"/>
  <c r="J151" i="14"/>
  <c r="H150" i="14"/>
  <c r="F149" i="14"/>
  <c r="D148" i="14"/>
  <c r="L146" i="14"/>
  <c r="J145" i="14"/>
  <c r="H144" i="14"/>
  <c r="F143" i="14"/>
  <c r="D142" i="14"/>
  <c r="L140" i="14"/>
  <c r="J139" i="14"/>
  <c r="H138" i="14"/>
  <c r="F137" i="14"/>
  <c r="D136" i="14"/>
  <c r="L134" i="14"/>
  <c r="J133" i="14"/>
  <c r="H132" i="14"/>
  <c r="F131" i="14"/>
  <c r="D130" i="14"/>
  <c r="L128" i="14"/>
  <c r="J127" i="14"/>
  <c r="H126" i="14"/>
  <c r="F125" i="14"/>
  <c r="D124" i="14"/>
  <c r="L122" i="14"/>
  <c r="J121" i="14"/>
  <c r="H120" i="14"/>
  <c r="G119" i="14"/>
  <c r="F118" i="14"/>
  <c r="E117" i="14"/>
  <c r="D116" i="14"/>
  <c r="L114" i="14"/>
  <c r="J113" i="14"/>
  <c r="H112" i="14"/>
  <c r="G111" i="14"/>
  <c r="F110" i="14"/>
  <c r="E109" i="14"/>
  <c r="C108" i="14"/>
  <c r="J106" i="14"/>
  <c r="F105" i="14"/>
  <c r="C104" i="14"/>
  <c r="J102" i="14"/>
  <c r="F101" i="14"/>
  <c r="C100" i="14"/>
  <c r="J98" i="14"/>
  <c r="F97" i="14"/>
  <c r="C96" i="14"/>
  <c r="J94" i="14"/>
  <c r="F93" i="14"/>
  <c r="C92" i="14"/>
  <c r="J90" i="14"/>
  <c r="F89" i="14"/>
  <c r="C88" i="14"/>
  <c r="J86" i="14"/>
  <c r="F85" i="14"/>
  <c r="C84" i="14"/>
  <c r="J82" i="14"/>
  <c r="F81" i="14"/>
  <c r="C80" i="14"/>
  <c r="J78" i="14"/>
  <c r="F77" i="14"/>
  <c r="C76" i="14"/>
  <c r="J74" i="14"/>
  <c r="G73" i="14"/>
  <c r="D72" i="14"/>
  <c r="K70" i="14"/>
  <c r="G69" i="14"/>
  <c r="D68" i="14"/>
  <c r="K66" i="14"/>
  <c r="G65" i="14"/>
  <c r="D64" i="14"/>
  <c r="K62" i="14"/>
  <c r="G61" i="14"/>
  <c r="D60" i="14"/>
  <c r="K58" i="14"/>
  <c r="G57" i="14"/>
  <c r="D56" i="14"/>
  <c r="K54" i="14"/>
  <c r="G53" i="14"/>
  <c r="D52" i="14"/>
  <c r="K50" i="14"/>
  <c r="G49" i="14"/>
  <c r="D48" i="14"/>
  <c r="K46" i="14"/>
  <c r="G45" i="14"/>
  <c r="D44" i="14"/>
  <c r="K42" i="14"/>
  <c r="G41" i="14"/>
  <c r="D40" i="14"/>
  <c r="K38" i="14"/>
  <c r="G37" i="14"/>
  <c r="D36" i="14"/>
  <c r="K34" i="14"/>
  <c r="G33" i="14"/>
  <c r="D32" i="14"/>
  <c r="K30" i="14"/>
  <c r="H29" i="14"/>
  <c r="E28" i="14"/>
  <c r="L26" i="14"/>
  <c r="H25" i="14"/>
  <c r="E24" i="14"/>
  <c r="L22" i="14"/>
  <c r="H21" i="14"/>
  <c r="E20" i="14"/>
  <c r="L18" i="14"/>
  <c r="H17" i="14"/>
  <c r="E16" i="14"/>
  <c r="C15" i="14"/>
  <c r="K13" i="14"/>
  <c r="G12" i="14"/>
  <c r="D11" i="14"/>
  <c r="K9" i="14"/>
  <c r="G8" i="14"/>
  <c r="D7" i="14"/>
  <c r="L5" i="14"/>
  <c r="J4" i="14"/>
  <c r="E479" i="13"/>
  <c r="G477" i="13"/>
  <c r="I475" i="13"/>
  <c r="D474" i="13"/>
  <c r="F472" i="13"/>
  <c r="H470" i="13"/>
  <c r="C469" i="13"/>
  <c r="E467" i="13"/>
  <c r="G465" i="13"/>
  <c r="D464" i="13"/>
  <c r="B463" i="13"/>
  <c r="K461" i="13"/>
  <c r="I460" i="13"/>
  <c r="F459" i="13"/>
  <c r="D458" i="13"/>
  <c r="B457" i="13"/>
  <c r="K455" i="13"/>
  <c r="I454" i="13"/>
  <c r="G453" i="13"/>
  <c r="E452" i="13"/>
  <c r="C451" i="13"/>
  <c r="L449" i="13"/>
  <c r="J448" i="13"/>
  <c r="G447" i="13"/>
  <c r="E446" i="13"/>
  <c r="C445" i="13"/>
  <c r="L443" i="13"/>
  <c r="J442" i="13"/>
  <c r="G441" i="13"/>
  <c r="E440" i="13"/>
  <c r="C439" i="13"/>
  <c r="L437" i="13"/>
  <c r="J436" i="13"/>
  <c r="G435" i="13"/>
  <c r="E434" i="13"/>
  <c r="C433" i="13"/>
  <c r="L431" i="13"/>
  <c r="J430" i="13"/>
  <c r="G429" i="13"/>
  <c r="E428" i="13"/>
  <c r="C427" i="13"/>
  <c r="L425" i="13"/>
  <c r="J424" i="13"/>
  <c r="G423" i="13"/>
  <c r="E422" i="13"/>
  <c r="C421" i="13"/>
  <c r="M419" i="13"/>
  <c r="L418" i="13"/>
  <c r="K417" i="13"/>
  <c r="J416" i="13"/>
  <c r="I415" i="13"/>
  <c r="H414" i="13"/>
  <c r="G413" i="13"/>
  <c r="F412" i="13"/>
  <c r="E411" i="13"/>
  <c r="D410" i="13"/>
  <c r="C409" i="13"/>
  <c r="J430" i="14"/>
  <c r="K348" i="14"/>
  <c r="H324" i="14"/>
  <c r="I317" i="14"/>
  <c r="I310" i="14"/>
  <c r="G303" i="14"/>
  <c r="E296" i="14"/>
  <c r="C289" i="14"/>
  <c r="M281" i="14"/>
  <c r="K274" i="14"/>
  <c r="I268" i="14"/>
  <c r="L263" i="14"/>
  <c r="D259" i="14"/>
  <c r="I254" i="14"/>
  <c r="L249" i="14"/>
  <c r="E245" i="14"/>
  <c r="K241" i="14"/>
  <c r="E238" i="14"/>
  <c r="I234" i="14"/>
  <c r="D231" i="14"/>
  <c r="C228" i="14"/>
  <c r="E225" i="14"/>
  <c r="I222" i="14"/>
  <c r="H219" i="14"/>
  <c r="K216" i="14"/>
  <c r="K213" i="14"/>
  <c r="D211" i="14"/>
  <c r="F209" i="14"/>
  <c r="C208" i="14"/>
  <c r="K206" i="14"/>
  <c r="I205" i="14"/>
  <c r="G204" i="14"/>
  <c r="E203" i="14"/>
  <c r="C202" i="14"/>
  <c r="K200" i="14"/>
  <c r="I199" i="14"/>
  <c r="G198" i="14"/>
  <c r="E197" i="14"/>
  <c r="C196" i="14"/>
  <c r="K194" i="14"/>
  <c r="I193" i="14"/>
  <c r="G192" i="14"/>
  <c r="E191" i="14"/>
  <c r="C190" i="14"/>
  <c r="K188" i="14"/>
  <c r="I187" i="14"/>
  <c r="G186" i="14"/>
  <c r="E185" i="14"/>
  <c r="C184" i="14"/>
  <c r="K182" i="14"/>
  <c r="I181" i="14"/>
  <c r="G180" i="14"/>
  <c r="E179" i="14"/>
  <c r="C178" i="14"/>
  <c r="K176" i="14"/>
  <c r="I175" i="14"/>
  <c r="G174" i="14"/>
  <c r="E173" i="14"/>
  <c r="C172" i="14"/>
  <c r="K170" i="14"/>
  <c r="I169" i="14"/>
  <c r="G168" i="14"/>
  <c r="E167" i="14"/>
  <c r="C166" i="14"/>
  <c r="K164" i="14"/>
  <c r="I163" i="14"/>
  <c r="G162" i="14"/>
  <c r="E161" i="14"/>
  <c r="C160" i="14"/>
  <c r="K158" i="14"/>
  <c r="I157" i="14"/>
  <c r="G156" i="14"/>
  <c r="E155" i="14"/>
  <c r="C154" i="14"/>
  <c r="K152" i="14"/>
  <c r="I151" i="14"/>
  <c r="G150" i="14"/>
  <c r="E149" i="14"/>
  <c r="C148" i="14"/>
  <c r="K146" i="14"/>
  <c r="I145" i="14"/>
  <c r="G144" i="14"/>
  <c r="E143" i="14"/>
  <c r="C142" i="14"/>
  <c r="K140" i="14"/>
  <c r="I139" i="14"/>
  <c r="G138" i="14"/>
  <c r="E137" i="14"/>
  <c r="C136" i="14"/>
  <c r="K134" i="14"/>
  <c r="I133" i="14"/>
  <c r="G132" i="14"/>
  <c r="E131" i="14"/>
  <c r="C130" i="14"/>
  <c r="K128" i="14"/>
  <c r="I127" i="14"/>
  <c r="G126" i="14"/>
  <c r="E125" i="14"/>
  <c r="C124" i="14"/>
  <c r="K122" i="14"/>
  <c r="I121" i="14"/>
  <c r="G120" i="14"/>
  <c r="F119" i="14"/>
  <c r="E118" i="14"/>
  <c r="D117" i="14"/>
  <c r="C116" i="14"/>
  <c r="K114" i="14"/>
  <c r="I113" i="14"/>
  <c r="G112" i="14"/>
  <c r="F111" i="14"/>
  <c r="E110" i="14"/>
  <c r="D109" i="14"/>
  <c r="L107" i="14"/>
  <c r="H106" i="14"/>
  <c r="E105" i="14"/>
  <c r="L103" i="14"/>
  <c r="H102" i="14"/>
  <c r="E101" i="14"/>
  <c r="L99" i="14"/>
  <c r="H98" i="14"/>
  <c r="E97" i="14"/>
  <c r="L95" i="14"/>
  <c r="H94" i="14"/>
  <c r="E93" i="14"/>
  <c r="L91" i="14"/>
  <c r="H90" i="14"/>
  <c r="E89" i="14"/>
  <c r="L87" i="14"/>
  <c r="H86" i="14"/>
  <c r="E85" i="14"/>
  <c r="L83" i="14"/>
  <c r="H82" i="14"/>
  <c r="E81" i="14"/>
  <c r="L79" i="14"/>
  <c r="H78" i="14"/>
  <c r="E77" i="14"/>
  <c r="L75" i="14"/>
  <c r="H74" i="14"/>
  <c r="F73" i="14"/>
  <c r="C72" i="14"/>
  <c r="J70" i="14"/>
  <c r="F69" i="14"/>
  <c r="C68" i="14"/>
  <c r="J66" i="14"/>
  <c r="F65" i="14"/>
  <c r="C64" i="14"/>
  <c r="J62" i="14"/>
  <c r="F61" i="14"/>
  <c r="C60" i="14"/>
  <c r="J58" i="14"/>
  <c r="F57" i="14"/>
  <c r="C56" i="14"/>
  <c r="J54" i="14"/>
  <c r="F53" i="14"/>
  <c r="C52" i="14"/>
  <c r="J50" i="14"/>
  <c r="F49" i="14"/>
  <c r="C48" i="14"/>
  <c r="J46" i="14"/>
  <c r="F45" i="14"/>
  <c r="C44" i="14"/>
  <c r="J42" i="14"/>
  <c r="F41" i="14"/>
  <c r="C40" i="14"/>
  <c r="J38" i="14"/>
  <c r="F37" i="14"/>
  <c r="C36" i="14"/>
  <c r="J34" i="14"/>
  <c r="F33" i="14"/>
  <c r="C32" i="14"/>
  <c r="J30" i="14"/>
  <c r="G29" i="14"/>
  <c r="D28" i="14"/>
  <c r="K26" i="14"/>
  <c r="G25" i="14"/>
  <c r="D24" i="14"/>
  <c r="K22" i="14"/>
  <c r="G21" i="14"/>
  <c r="D20" i="14"/>
  <c r="K18" i="14"/>
  <c r="G17" i="14"/>
  <c r="D16" i="14"/>
  <c r="M14" i="14"/>
  <c r="J13" i="14"/>
  <c r="F12" i="14"/>
  <c r="C11" i="14"/>
  <c r="J9" i="14"/>
  <c r="F8" i="14"/>
  <c r="C7" i="14"/>
  <c r="K5" i="14"/>
  <c r="I4" i="14"/>
  <c r="D479" i="13"/>
  <c r="F477" i="13"/>
  <c r="H475" i="13"/>
  <c r="C474" i="13"/>
  <c r="E472" i="13"/>
  <c r="G470" i="13"/>
  <c r="I468" i="13"/>
  <c r="D467" i="13"/>
  <c r="F465" i="13"/>
  <c r="C464" i="13"/>
  <c r="L462" i="13"/>
  <c r="J461" i="13"/>
  <c r="G460" i="13"/>
  <c r="E459" i="13"/>
  <c r="C458" i="13"/>
  <c r="L456" i="13"/>
  <c r="J455" i="13"/>
  <c r="G454" i="13"/>
  <c r="F453" i="13"/>
  <c r="D452" i="13"/>
  <c r="B451" i="13"/>
  <c r="K449" i="13"/>
  <c r="I448" i="13"/>
  <c r="F447" i="13"/>
  <c r="D446" i="13"/>
  <c r="B445" i="13"/>
  <c r="K443" i="13"/>
  <c r="I442" i="13"/>
  <c r="F441" i="13"/>
  <c r="D440" i="13"/>
  <c r="B439" i="13"/>
  <c r="K437" i="13"/>
  <c r="I436" i="13"/>
  <c r="F435" i="13"/>
  <c r="D434" i="13"/>
  <c r="B433" i="13"/>
  <c r="K431" i="13"/>
  <c r="I430" i="13"/>
  <c r="F429" i="13"/>
  <c r="D428" i="13"/>
  <c r="B427" i="13"/>
  <c r="K425" i="13"/>
  <c r="I424" i="13"/>
  <c r="F423" i="13"/>
  <c r="D422" i="13"/>
  <c r="B421" i="13"/>
  <c r="L419" i="13"/>
  <c r="K418" i="13"/>
  <c r="J417" i="13"/>
  <c r="I416" i="13"/>
  <c r="H415" i="13"/>
  <c r="G414" i="13"/>
  <c r="F413" i="13"/>
  <c r="E412" i="13"/>
  <c r="D411" i="13"/>
  <c r="C410" i="13"/>
  <c r="B409" i="13"/>
  <c r="L407" i="13"/>
  <c r="K406" i="13"/>
  <c r="J422" i="14"/>
  <c r="D344" i="14"/>
  <c r="D324" i="14"/>
  <c r="E317" i="14"/>
  <c r="E310" i="14"/>
  <c r="C303" i="14"/>
  <c r="K295" i="14"/>
  <c r="I288" i="14"/>
  <c r="I281" i="14"/>
  <c r="G274" i="14"/>
  <c r="H268" i="14"/>
  <c r="K263" i="14"/>
  <c r="C259" i="14"/>
  <c r="H254" i="14"/>
  <c r="K249" i="14"/>
  <c r="D245" i="14"/>
  <c r="J241" i="14"/>
  <c r="D238" i="14"/>
  <c r="H234" i="14"/>
  <c r="C231" i="14"/>
  <c r="J227" i="14"/>
  <c r="C225" i="14"/>
  <c r="D222" i="14"/>
  <c r="G219" i="14"/>
  <c r="J216" i="14"/>
  <c r="H213" i="14"/>
  <c r="C211" i="14"/>
  <c r="E209" i="14"/>
  <c r="L207" i="14"/>
  <c r="J206" i="14"/>
  <c r="H205" i="14"/>
  <c r="F204" i="14"/>
  <c r="D203" i="14"/>
  <c r="L201" i="14"/>
  <c r="J200" i="14"/>
  <c r="H199" i="14"/>
  <c r="F198" i="14"/>
  <c r="D197" i="14"/>
  <c r="L195" i="14"/>
  <c r="J194" i="14"/>
  <c r="H193" i="14"/>
  <c r="F192" i="14"/>
  <c r="D191" i="14"/>
  <c r="L189" i="14"/>
  <c r="J188" i="14"/>
  <c r="H187" i="14"/>
  <c r="F186" i="14"/>
  <c r="D185" i="14"/>
  <c r="L183" i="14"/>
  <c r="J182" i="14"/>
  <c r="H181" i="14"/>
  <c r="F180" i="14"/>
  <c r="D179" i="14"/>
  <c r="L177" i="14"/>
  <c r="J176" i="14"/>
  <c r="H175" i="14"/>
  <c r="F174" i="14"/>
  <c r="D173" i="14"/>
  <c r="L171" i="14"/>
  <c r="J170" i="14"/>
  <c r="H169" i="14"/>
  <c r="F168" i="14"/>
  <c r="D167" i="14"/>
  <c r="L165" i="14"/>
  <c r="J164" i="14"/>
  <c r="H163" i="14"/>
  <c r="F162" i="14"/>
  <c r="D161" i="14"/>
  <c r="L159" i="14"/>
  <c r="J158" i="14"/>
  <c r="H157" i="14"/>
  <c r="F156" i="14"/>
  <c r="D155" i="14"/>
  <c r="L153" i="14"/>
  <c r="J152" i="14"/>
  <c r="H151" i="14"/>
  <c r="F150" i="14"/>
  <c r="D149" i="14"/>
  <c r="L147" i="14"/>
  <c r="J146" i="14"/>
  <c r="H145" i="14"/>
  <c r="F144" i="14"/>
  <c r="D143" i="14"/>
  <c r="L141" i="14"/>
  <c r="J140" i="14"/>
  <c r="H139" i="14"/>
  <c r="F138" i="14"/>
  <c r="D137" i="14"/>
  <c r="L135" i="14"/>
  <c r="J134" i="14"/>
  <c r="H133" i="14"/>
  <c r="F132" i="14"/>
  <c r="D131" i="14"/>
  <c r="L129" i="14"/>
  <c r="J128" i="14"/>
  <c r="H127" i="14"/>
  <c r="F126" i="14"/>
  <c r="D125" i="14"/>
  <c r="L123" i="14"/>
  <c r="J122" i="14"/>
  <c r="H121" i="14"/>
  <c r="F120" i="14"/>
  <c r="E119" i="14"/>
  <c r="D118" i="14"/>
  <c r="C117" i="14"/>
  <c r="L115" i="14"/>
  <c r="J114" i="14"/>
  <c r="H113" i="14"/>
  <c r="F112" i="14"/>
  <c r="E111" i="14"/>
  <c r="D110" i="14"/>
  <c r="C109" i="14"/>
  <c r="K107" i="14"/>
  <c r="G106" i="14"/>
  <c r="D105" i="14"/>
  <c r="K103" i="14"/>
  <c r="G102" i="14"/>
  <c r="D101" i="14"/>
  <c r="K99" i="14"/>
  <c r="G98" i="14"/>
  <c r="D97" i="14"/>
  <c r="K95" i="14"/>
  <c r="G94" i="14"/>
  <c r="D93" i="14"/>
  <c r="K91" i="14"/>
  <c r="G90" i="14"/>
  <c r="D89" i="14"/>
  <c r="K87" i="14"/>
  <c r="G86" i="14"/>
  <c r="D85" i="14"/>
  <c r="K83" i="14"/>
  <c r="G82" i="14"/>
  <c r="D81" i="14"/>
  <c r="K79" i="14"/>
  <c r="G78" i="14"/>
  <c r="D77" i="14"/>
  <c r="K75" i="14"/>
  <c r="G74" i="14"/>
  <c r="E73" i="14"/>
  <c r="L71" i="14"/>
  <c r="H70" i="14"/>
  <c r="E69" i="14"/>
  <c r="L67" i="14"/>
  <c r="H66" i="14"/>
  <c r="E65" i="14"/>
  <c r="L63" i="14"/>
  <c r="H62" i="14"/>
  <c r="E61" i="14"/>
  <c r="L59" i="14"/>
  <c r="H58" i="14"/>
  <c r="E57" i="14"/>
  <c r="L55" i="14"/>
  <c r="H54" i="14"/>
  <c r="E53" i="14"/>
  <c r="L51" i="14"/>
  <c r="H50" i="14"/>
  <c r="E49" i="14"/>
  <c r="L47" i="14"/>
  <c r="H46" i="14"/>
  <c r="E45" i="14"/>
  <c r="L43" i="14"/>
  <c r="H42" i="14"/>
  <c r="E41" i="14"/>
  <c r="L39" i="14"/>
  <c r="H38" i="14"/>
  <c r="E37" i="14"/>
  <c r="L35" i="14"/>
  <c r="H34" i="14"/>
  <c r="E33" i="14"/>
  <c r="L31" i="14"/>
  <c r="H30" i="14"/>
  <c r="F29" i="14"/>
  <c r="C28" i="14"/>
  <c r="J26" i="14"/>
  <c r="F25" i="14"/>
  <c r="C24" i="14"/>
  <c r="J22" i="14"/>
  <c r="F21" i="14"/>
  <c r="C20" i="14"/>
  <c r="J18" i="14"/>
  <c r="F17" i="14"/>
  <c r="C16" i="14"/>
  <c r="L14" i="14"/>
  <c r="H13" i="14"/>
  <c r="E12" i="14"/>
  <c r="L10" i="14"/>
  <c r="H9" i="14"/>
  <c r="E8" i="14"/>
  <c r="L6" i="14"/>
  <c r="J5" i="14"/>
  <c r="H4" i="14"/>
  <c r="C479" i="13"/>
  <c r="E477" i="13"/>
  <c r="G475" i="13"/>
  <c r="I473" i="13"/>
  <c r="D472" i="13"/>
  <c r="F470" i="13"/>
  <c r="H468" i="13"/>
  <c r="C467" i="13"/>
  <c r="E465" i="13"/>
  <c r="B464" i="13"/>
  <c r="K462" i="13"/>
  <c r="I461" i="13"/>
  <c r="F460" i="13"/>
  <c r="D459" i="13"/>
  <c r="B458" i="13"/>
  <c r="K456" i="13"/>
  <c r="I455" i="13"/>
  <c r="F454" i="13"/>
  <c r="E453" i="13"/>
  <c r="C452" i="13"/>
  <c r="L450" i="13"/>
  <c r="J449" i="13"/>
  <c r="G448" i="13"/>
  <c r="E447" i="13"/>
  <c r="C446" i="13"/>
  <c r="L444" i="13"/>
  <c r="J443" i="13"/>
  <c r="G442" i="13"/>
  <c r="E441" i="13"/>
  <c r="C440" i="13"/>
  <c r="L438" i="13"/>
  <c r="J437" i="13"/>
  <c r="G436" i="13"/>
  <c r="E435" i="13"/>
  <c r="C434" i="13"/>
  <c r="L432" i="13"/>
  <c r="J431" i="13"/>
  <c r="G430" i="13"/>
  <c r="E429" i="13"/>
  <c r="C428" i="13"/>
  <c r="L426" i="13"/>
  <c r="J425" i="13"/>
  <c r="G424" i="13"/>
  <c r="E423" i="13"/>
  <c r="C422" i="13"/>
  <c r="L420" i="13"/>
  <c r="K419" i="13"/>
  <c r="J418" i="13"/>
  <c r="I417" i="13"/>
  <c r="H416" i="13"/>
  <c r="G415" i="13"/>
  <c r="F414" i="13"/>
  <c r="E413" i="13"/>
  <c r="D412" i="13"/>
  <c r="C411" i="13"/>
  <c r="B410" i="13"/>
  <c r="L408" i="13"/>
  <c r="K407" i="13"/>
  <c r="J406" i="13"/>
  <c r="J405" i="13"/>
  <c r="I404" i="13"/>
  <c r="H403" i="13"/>
  <c r="H402" i="13"/>
  <c r="G401" i="13"/>
  <c r="F415" i="14"/>
  <c r="J339" i="14"/>
  <c r="G323" i="14"/>
  <c r="G316" i="14"/>
  <c r="G309" i="14"/>
  <c r="E302" i="14"/>
  <c r="C295" i="14"/>
  <c r="K287" i="14"/>
  <c r="K280" i="14"/>
  <c r="I273" i="14"/>
  <c r="J267" i="14"/>
  <c r="C263" i="14"/>
  <c r="F258" i="14"/>
  <c r="J253" i="14"/>
  <c r="C249" i="14"/>
  <c r="K244" i="14"/>
  <c r="G241" i="14"/>
  <c r="K237" i="14"/>
  <c r="E234" i="14"/>
  <c r="J230" i="14"/>
  <c r="I227" i="14"/>
  <c r="L224" i="14"/>
  <c r="K221" i="14"/>
  <c r="E219" i="14"/>
  <c r="E216" i="14"/>
  <c r="G213" i="14"/>
  <c r="K210" i="14"/>
  <c r="D209" i="14"/>
  <c r="K207" i="14"/>
  <c r="I206" i="14"/>
  <c r="G205" i="14"/>
  <c r="E204" i="14"/>
  <c r="C203" i="14"/>
  <c r="K201" i="14"/>
  <c r="I200" i="14"/>
  <c r="G199" i="14"/>
  <c r="E198" i="14"/>
  <c r="C197" i="14"/>
  <c r="K195" i="14"/>
  <c r="I194" i="14"/>
  <c r="G193" i="14"/>
  <c r="E192" i="14"/>
  <c r="C191" i="14"/>
  <c r="K189" i="14"/>
  <c r="I188" i="14"/>
  <c r="G187" i="14"/>
  <c r="E186" i="14"/>
  <c r="C185" i="14"/>
  <c r="K183" i="14"/>
  <c r="I182" i="14"/>
  <c r="G181" i="14"/>
  <c r="E180" i="14"/>
  <c r="C179" i="14"/>
  <c r="K177" i="14"/>
  <c r="I176" i="14"/>
  <c r="G175" i="14"/>
  <c r="E174" i="14"/>
  <c r="C173" i="14"/>
  <c r="K171" i="14"/>
  <c r="I170" i="14"/>
  <c r="G169" i="14"/>
  <c r="E168" i="14"/>
  <c r="C167" i="14"/>
  <c r="K165" i="14"/>
  <c r="I164" i="14"/>
  <c r="G163" i="14"/>
  <c r="E162" i="14"/>
  <c r="C161" i="14"/>
  <c r="K159" i="14"/>
  <c r="I158" i="14"/>
  <c r="G157" i="14"/>
  <c r="E156" i="14"/>
  <c r="C155" i="14"/>
  <c r="K153" i="14"/>
  <c r="I152" i="14"/>
  <c r="G151" i="14"/>
  <c r="E150" i="14"/>
  <c r="C149" i="14"/>
  <c r="K147" i="14"/>
  <c r="I146" i="14"/>
  <c r="G145" i="14"/>
  <c r="E144" i="14"/>
  <c r="C143" i="14"/>
  <c r="K141" i="14"/>
  <c r="I140" i="14"/>
  <c r="G139" i="14"/>
  <c r="E138" i="14"/>
  <c r="C137" i="14"/>
  <c r="K135" i="14"/>
  <c r="I134" i="14"/>
  <c r="G133" i="14"/>
  <c r="E132" i="14"/>
  <c r="C131" i="14"/>
  <c r="K129" i="14"/>
  <c r="I128" i="14"/>
  <c r="G127" i="14"/>
  <c r="E126" i="14"/>
  <c r="C125" i="14"/>
  <c r="K123" i="14"/>
  <c r="I122" i="14"/>
  <c r="G121" i="14"/>
  <c r="E120" i="14"/>
  <c r="D119" i="14"/>
  <c r="C118" i="14"/>
  <c r="M116" i="14"/>
  <c r="K115" i="14"/>
  <c r="I114" i="14"/>
  <c r="G113" i="14"/>
  <c r="E112" i="14"/>
  <c r="D111" i="14"/>
  <c r="C110" i="14"/>
  <c r="L108" i="14"/>
  <c r="J107" i="14"/>
  <c r="F106" i="14"/>
  <c r="C105" i="14"/>
  <c r="J103" i="14"/>
  <c r="F102" i="14"/>
  <c r="C101" i="14"/>
  <c r="J99" i="14"/>
  <c r="F98" i="14"/>
  <c r="C97" i="14"/>
  <c r="J95" i="14"/>
  <c r="F94" i="14"/>
  <c r="C93" i="14"/>
  <c r="J91" i="14"/>
  <c r="F90" i="14"/>
  <c r="C89" i="14"/>
  <c r="J87" i="14"/>
  <c r="F86" i="14"/>
  <c r="C85" i="14"/>
  <c r="J83" i="14"/>
  <c r="F82" i="14"/>
  <c r="C81" i="14"/>
  <c r="J79" i="14"/>
  <c r="F78" i="14"/>
  <c r="C77" i="14"/>
  <c r="J75" i="14"/>
  <c r="F74" i="14"/>
  <c r="D73" i="14"/>
  <c r="K71" i="14"/>
  <c r="G70" i="14"/>
  <c r="D69" i="14"/>
  <c r="K67" i="14"/>
  <c r="G66" i="14"/>
  <c r="D65" i="14"/>
  <c r="K63" i="14"/>
  <c r="G62" i="14"/>
  <c r="D61" i="14"/>
  <c r="K59" i="14"/>
  <c r="G58" i="14"/>
  <c r="D57" i="14"/>
  <c r="K55" i="14"/>
  <c r="G54" i="14"/>
  <c r="D53" i="14"/>
  <c r="K51" i="14"/>
  <c r="G50" i="14"/>
  <c r="D49" i="14"/>
  <c r="K47" i="14"/>
  <c r="G46" i="14"/>
  <c r="D45" i="14"/>
  <c r="K43" i="14"/>
  <c r="G42" i="14"/>
  <c r="D41" i="14"/>
  <c r="K39" i="14"/>
  <c r="G38" i="14"/>
  <c r="D37" i="14"/>
  <c r="K35" i="14"/>
  <c r="G34" i="14"/>
  <c r="D33" i="14"/>
  <c r="K31" i="14"/>
  <c r="G30" i="14"/>
  <c r="E29" i="14"/>
  <c r="L27" i="14"/>
  <c r="H26" i="14"/>
  <c r="E25" i="14"/>
  <c r="L23" i="14"/>
  <c r="H22" i="14"/>
  <c r="E21" i="14"/>
  <c r="L19" i="14"/>
  <c r="H18" i="14"/>
  <c r="E17" i="14"/>
  <c r="M15" i="14"/>
  <c r="K14" i="14"/>
  <c r="G13" i="14"/>
  <c r="D12" i="14"/>
  <c r="K10" i="14"/>
  <c r="G9" i="14"/>
  <c r="D8" i="14"/>
  <c r="K6" i="14"/>
  <c r="H5" i="14"/>
  <c r="G4" i="14"/>
  <c r="I478" i="13"/>
  <c r="D477" i="13"/>
  <c r="F475" i="13"/>
  <c r="H473" i="13"/>
  <c r="C472" i="13"/>
  <c r="E470" i="13"/>
  <c r="G468" i="13"/>
  <c r="I466" i="13"/>
  <c r="D465" i="13"/>
  <c r="L463" i="13"/>
  <c r="J462" i="13"/>
  <c r="G461" i="13"/>
  <c r="E460" i="13"/>
  <c r="C459" i="13"/>
  <c r="L457" i="13"/>
  <c r="J456" i="13"/>
  <c r="G455" i="13"/>
  <c r="E454" i="13"/>
  <c r="D453" i="13"/>
  <c r="B452" i="13"/>
  <c r="K450" i="13"/>
  <c r="I449" i="13"/>
  <c r="F448" i="13"/>
  <c r="D447" i="13"/>
  <c r="B446" i="13"/>
  <c r="K444" i="13"/>
  <c r="I443" i="13"/>
  <c r="F442" i="13"/>
  <c r="D441" i="13"/>
  <c r="B440" i="13"/>
  <c r="K438" i="13"/>
  <c r="I437" i="13"/>
  <c r="F436" i="13"/>
  <c r="D435" i="13"/>
  <c r="B434" i="13"/>
  <c r="K432" i="13"/>
  <c r="I431" i="13"/>
  <c r="F430" i="13"/>
  <c r="D429" i="13"/>
  <c r="B428" i="13"/>
  <c r="K426" i="13"/>
  <c r="I425" i="13"/>
  <c r="F424" i="13"/>
  <c r="D423" i="13"/>
  <c r="B422" i="13"/>
  <c r="K420" i="13"/>
  <c r="J419" i="13"/>
  <c r="I418" i="13"/>
  <c r="H417" i="13"/>
  <c r="G416" i="13"/>
  <c r="F415" i="13"/>
  <c r="E414" i="13"/>
  <c r="D413" i="13"/>
  <c r="C412" i="13"/>
  <c r="B411" i="13"/>
  <c r="L409" i="13"/>
  <c r="K408" i="13"/>
  <c r="J407" i="13"/>
  <c r="I406" i="13"/>
  <c r="I405" i="13"/>
  <c r="H404" i="13"/>
  <c r="G403" i="13"/>
  <c r="D408" i="14"/>
  <c r="F336" i="14"/>
  <c r="C323" i="14"/>
  <c r="C316" i="14"/>
  <c r="C309" i="14"/>
  <c r="K301" i="14"/>
  <c r="I294" i="14"/>
  <c r="G287" i="14"/>
  <c r="G280" i="14"/>
  <c r="E273" i="14"/>
  <c r="G267" i="14"/>
  <c r="J262" i="14"/>
  <c r="C258" i="14"/>
  <c r="G253" i="14"/>
  <c r="J248" i="14"/>
  <c r="F244" i="14"/>
  <c r="L240" i="14"/>
  <c r="F237" i="14"/>
  <c r="K233" i="14"/>
  <c r="E230" i="14"/>
  <c r="G227" i="14"/>
  <c r="G224" i="14"/>
  <c r="J221" i="14"/>
  <c r="D219" i="14"/>
  <c r="L215" i="14"/>
  <c r="E213" i="14"/>
  <c r="J210" i="14"/>
  <c r="C209" i="14"/>
  <c r="J207" i="14"/>
  <c r="H206" i="14"/>
  <c r="F205" i="14"/>
  <c r="D204" i="14"/>
  <c r="L202" i="14"/>
  <c r="J201" i="14"/>
  <c r="H200" i="14"/>
  <c r="F199" i="14"/>
  <c r="D198" i="14"/>
  <c r="L196" i="14"/>
  <c r="J195" i="14"/>
  <c r="H194" i="14"/>
  <c r="F193" i="14"/>
  <c r="D192" i="14"/>
  <c r="L190" i="14"/>
  <c r="J189" i="14"/>
  <c r="H188" i="14"/>
  <c r="F187" i="14"/>
  <c r="D186" i="14"/>
  <c r="L184" i="14"/>
  <c r="J183" i="14"/>
  <c r="H182" i="14"/>
  <c r="F181" i="14"/>
  <c r="D180" i="14"/>
  <c r="L178" i="14"/>
  <c r="J177" i="14"/>
  <c r="H176" i="14"/>
  <c r="F175" i="14"/>
  <c r="D174" i="14"/>
  <c r="L172" i="14"/>
  <c r="J171" i="14"/>
  <c r="H170" i="14"/>
  <c r="F169" i="14"/>
  <c r="D168" i="14"/>
  <c r="L166" i="14"/>
  <c r="J165" i="14"/>
  <c r="H164" i="14"/>
  <c r="F163" i="14"/>
  <c r="D162" i="14"/>
  <c r="L160" i="14"/>
  <c r="J159" i="14"/>
  <c r="H158" i="14"/>
  <c r="F157" i="14"/>
  <c r="D156" i="14"/>
  <c r="L154" i="14"/>
  <c r="J153" i="14"/>
  <c r="H152" i="14"/>
  <c r="F151" i="14"/>
  <c r="D150" i="14"/>
  <c r="L148" i="14"/>
  <c r="J147" i="14"/>
  <c r="H146" i="14"/>
  <c r="F145" i="14"/>
  <c r="D144" i="14"/>
  <c r="L142" i="14"/>
  <c r="J141" i="14"/>
  <c r="H140" i="14"/>
  <c r="F139" i="14"/>
  <c r="D138" i="14"/>
  <c r="L136" i="14"/>
  <c r="J135" i="14"/>
  <c r="H134" i="14"/>
  <c r="F133" i="14"/>
  <c r="D132" i="14"/>
  <c r="L130" i="14"/>
  <c r="J129" i="14"/>
  <c r="H128" i="14"/>
  <c r="F127" i="14"/>
  <c r="D126" i="14"/>
  <c r="L124" i="14"/>
  <c r="J123" i="14"/>
  <c r="H122" i="14"/>
  <c r="F121" i="14"/>
  <c r="D120" i="14"/>
  <c r="C119" i="14"/>
  <c r="M117" i="14"/>
  <c r="L116" i="14"/>
  <c r="J115" i="14"/>
  <c r="H114" i="14"/>
  <c r="F113" i="14"/>
  <c r="D112" i="14"/>
  <c r="C111" i="14"/>
  <c r="M109" i="14"/>
  <c r="K108" i="14"/>
  <c r="H107" i="14"/>
  <c r="E106" i="14"/>
  <c r="L104" i="14"/>
  <c r="H103" i="14"/>
  <c r="E102" i="14"/>
  <c r="L100" i="14"/>
  <c r="H99" i="14"/>
  <c r="E98" i="14"/>
  <c r="L96" i="14"/>
  <c r="H95" i="14"/>
  <c r="E94" i="14"/>
  <c r="L92" i="14"/>
  <c r="H91" i="14"/>
  <c r="E90" i="14"/>
  <c r="L88" i="14"/>
  <c r="H87" i="14"/>
  <c r="E86" i="14"/>
  <c r="L84" i="14"/>
  <c r="H83" i="14"/>
  <c r="E82" i="14"/>
  <c r="L80" i="14"/>
  <c r="H79" i="14"/>
  <c r="E78" i="14"/>
  <c r="L76" i="14"/>
  <c r="H75" i="14"/>
  <c r="E74" i="14"/>
  <c r="C73" i="14"/>
  <c r="J71" i="14"/>
  <c r="F70" i="14"/>
  <c r="C69" i="14"/>
  <c r="J67" i="14"/>
  <c r="F66" i="14"/>
  <c r="C65" i="14"/>
  <c r="J63" i="14"/>
  <c r="F62" i="14"/>
  <c r="C61" i="14"/>
  <c r="J59" i="14"/>
  <c r="F58" i="14"/>
  <c r="C57" i="14"/>
  <c r="J55" i="14"/>
  <c r="F54" i="14"/>
  <c r="C53" i="14"/>
  <c r="J51" i="14"/>
  <c r="F50" i="14"/>
  <c r="C49" i="14"/>
  <c r="J47" i="14"/>
  <c r="F46" i="14"/>
  <c r="C45" i="14"/>
  <c r="J43" i="14"/>
  <c r="F42" i="14"/>
  <c r="C41" i="14"/>
  <c r="J39" i="14"/>
  <c r="F38" i="14"/>
  <c r="C37" i="14"/>
  <c r="J35" i="14"/>
  <c r="F34" i="14"/>
  <c r="C33" i="14"/>
  <c r="J31" i="14"/>
  <c r="F30" i="14"/>
  <c r="D29" i="14"/>
  <c r="K27" i="14"/>
  <c r="G26" i="14"/>
  <c r="D25" i="14"/>
  <c r="K23" i="14"/>
  <c r="G22" i="14"/>
  <c r="D21" i="14"/>
  <c r="K19" i="14"/>
  <c r="G18" i="14"/>
  <c r="D17" i="14"/>
  <c r="L15" i="14"/>
  <c r="J14" i="14"/>
  <c r="F13" i="14"/>
  <c r="C12" i="14"/>
  <c r="J10" i="14"/>
  <c r="F9" i="14"/>
  <c r="C8" i="14"/>
  <c r="J6" i="14"/>
  <c r="G5" i="14"/>
  <c r="F4" i="14"/>
  <c r="H478" i="13"/>
  <c r="C477" i="13"/>
  <c r="E475" i="13"/>
  <c r="G473" i="13"/>
  <c r="I471" i="13"/>
  <c r="D470" i="13"/>
  <c r="F468" i="13"/>
  <c r="H466" i="13"/>
  <c r="C465" i="13"/>
  <c r="K463" i="13"/>
  <c r="I462" i="13"/>
  <c r="F461" i="13"/>
  <c r="D460" i="13"/>
  <c r="B459" i="13"/>
  <c r="K457" i="13"/>
  <c r="I456" i="13"/>
  <c r="F455" i="13"/>
  <c r="D454" i="13"/>
  <c r="C453" i="13"/>
  <c r="L451" i="13"/>
  <c r="J450" i="13"/>
  <c r="G449" i="13"/>
  <c r="E448" i="13"/>
  <c r="C447" i="13"/>
  <c r="L445" i="13"/>
  <c r="J444" i="13"/>
  <c r="G443" i="13"/>
  <c r="E442" i="13"/>
  <c r="C441" i="13"/>
  <c r="L439" i="13"/>
  <c r="J438" i="13"/>
  <c r="G437" i="13"/>
  <c r="E436" i="13"/>
  <c r="C435" i="13"/>
  <c r="L433" i="13"/>
  <c r="J432" i="13"/>
  <c r="G431" i="13"/>
  <c r="E430" i="13"/>
  <c r="C429" i="13"/>
  <c r="L427" i="13"/>
  <c r="J426" i="13"/>
  <c r="G425" i="13"/>
  <c r="E424" i="13"/>
  <c r="C423" i="13"/>
  <c r="L421" i="13"/>
  <c r="J420" i="13"/>
  <c r="I419" i="13"/>
  <c r="H418" i="13"/>
  <c r="G417" i="13"/>
  <c r="F416" i="13"/>
  <c r="E415" i="13"/>
  <c r="D414" i="13"/>
  <c r="C413" i="13"/>
  <c r="B412" i="13"/>
  <c r="D401" i="14"/>
  <c r="L332" i="14"/>
  <c r="E322" i="14"/>
  <c r="F315" i="14"/>
  <c r="E308" i="14"/>
  <c r="C301" i="14"/>
  <c r="K293" i="14"/>
  <c r="J286" i="14"/>
  <c r="I279" i="14"/>
  <c r="G272" i="14"/>
  <c r="F267" i="14"/>
  <c r="I262" i="14"/>
  <c r="L257" i="14"/>
  <c r="F253" i="14"/>
  <c r="I248" i="14"/>
  <c r="C244" i="14"/>
  <c r="I240" i="14"/>
  <c r="C237" i="14"/>
  <c r="H233" i="14"/>
  <c r="M229" i="14"/>
  <c r="F227" i="14"/>
  <c r="D224" i="14"/>
  <c r="H221" i="14"/>
  <c r="I218" i="14"/>
  <c r="K215" i="14"/>
  <c r="D213" i="14"/>
  <c r="H210" i="14"/>
  <c r="L208" i="14"/>
  <c r="I207" i="14"/>
  <c r="G206" i="14"/>
  <c r="E205" i="14"/>
  <c r="C204" i="14"/>
  <c r="K202" i="14"/>
  <c r="I201" i="14"/>
  <c r="G200" i="14"/>
  <c r="E199" i="14"/>
  <c r="C198" i="14"/>
  <c r="K196" i="14"/>
  <c r="I195" i="14"/>
  <c r="G194" i="14"/>
  <c r="E193" i="14"/>
  <c r="C192" i="14"/>
  <c r="K190" i="14"/>
  <c r="I189" i="14"/>
  <c r="G188" i="14"/>
  <c r="E187" i="14"/>
  <c r="C186" i="14"/>
  <c r="K184" i="14"/>
  <c r="I183" i="14"/>
  <c r="G182" i="14"/>
  <c r="E181" i="14"/>
  <c r="C180" i="14"/>
  <c r="K178" i="14"/>
  <c r="I177" i="14"/>
  <c r="G176" i="14"/>
  <c r="E175" i="14"/>
  <c r="C174" i="14"/>
  <c r="K172" i="14"/>
  <c r="I171" i="14"/>
  <c r="G170" i="14"/>
  <c r="E169" i="14"/>
  <c r="C168" i="14"/>
  <c r="K166" i="14"/>
  <c r="I165" i="14"/>
  <c r="G164" i="14"/>
  <c r="E163" i="14"/>
  <c r="C162" i="14"/>
  <c r="K160" i="14"/>
  <c r="I159" i="14"/>
  <c r="G158" i="14"/>
  <c r="E157" i="14"/>
  <c r="C156" i="14"/>
  <c r="K154" i="14"/>
  <c r="I153" i="14"/>
  <c r="G152" i="14"/>
  <c r="E151" i="14"/>
  <c r="C150" i="14"/>
  <c r="K148" i="14"/>
  <c r="I147" i="14"/>
  <c r="G146" i="14"/>
  <c r="E145" i="14"/>
  <c r="C144" i="14"/>
  <c r="K142" i="14"/>
  <c r="I141" i="14"/>
  <c r="G140" i="14"/>
  <c r="E139" i="14"/>
  <c r="C138" i="14"/>
  <c r="K136" i="14"/>
  <c r="I135" i="14"/>
  <c r="G134" i="14"/>
  <c r="E133" i="14"/>
  <c r="C132" i="14"/>
  <c r="K130" i="14"/>
  <c r="I129" i="14"/>
  <c r="G128" i="14"/>
  <c r="E127" i="14"/>
  <c r="C126" i="14"/>
  <c r="K124" i="14"/>
  <c r="I123" i="14"/>
  <c r="G122" i="14"/>
  <c r="E121" i="14"/>
  <c r="C120" i="14"/>
  <c r="M118" i="14"/>
  <c r="L117" i="14"/>
  <c r="K116" i="14"/>
  <c r="I115" i="14"/>
  <c r="G114" i="14"/>
  <c r="E113" i="14"/>
  <c r="C112" i="14"/>
  <c r="M110" i="14"/>
  <c r="L109" i="14"/>
  <c r="J108" i="14"/>
  <c r="G107" i="14"/>
  <c r="D106" i="14"/>
  <c r="K104" i="14"/>
  <c r="G103" i="14"/>
  <c r="D102" i="14"/>
  <c r="K100" i="14"/>
  <c r="G99" i="14"/>
  <c r="D98" i="14"/>
  <c r="K96" i="14"/>
  <c r="G95" i="14"/>
  <c r="D94" i="14"/>
  <c r="K92" i="14"/>
  <c r="G91" i="14"/>
  <c r="D90" i="14"/>
  <c r="K88" i="14"/>
  <c r="G87" i="14"/>
  <c r="D86" i="14"/>
  <c r="K84" i="14"/>
  <c r="G83" i="14"/>
  <c r="D82" i="14"/>
  <c r="K80" i="14"/>
  <c r="G79" i="14"/>
  <c r="D78" i="14"/>
  <c r="K76" i="14"/>
  <c r="G75" i="14"/>
  <c r="D74" i="14"/>
  <c r="L72" i="14"/>
  <c r="H71" i="14"/>
  <c r="E70" i="14"/>
  <c r="L68" i="14"/>
  <c r="H67" i="14"/>
  <c r="E66" i="14"/>
  <c r="L64" i="14"/>
  <c r="H63" i="14"/>
  <c r="E62" i="14"/>
  <c r="L60" i="14"/>
  <c r="H59" i="14"/>
  <c r="E58" i="14"/>
  <c r="L56" i="14"/>
  <c r="H55" i="14"/>
  <c r="E54" i="14"/>
  <c r="L52" i="14"/>
  <c r="H51" i="14"/>
  <c r="E50" i="14"/>
  <c r="L48" i="14"/>
  <c r="H47" i="14"/>
  <c r="E46" i="14"/>
  <c r="L44" i="14"/>
  <c r="H43" i="14"/>
  <c r="E42" i="14"/>
  <c r="L40" i="14"/>
  <c r="H39" i="14"/>
  <c r="E38" i="14"/>
  <c r="L36" i="14"/>
  <c r="H35" i="14"/>
  <c r="E34" i="14"/>
  <c r="L32" i="14"/>
  <c r="H31" i="14"/>
  <c r="E30" i="14"/>
  <c r="C29" i="14"/>
  <c r="J27" i="14"/>
  <c r="F26" i="14"/>
  <c r="C25" i="14"/>
  <c r="J23" i="14"/>
  <c r="F22" i="14"/>
  <c r="C21" i="14"/>
  <c r="J19" i="14"/>
  <c r="F18" i="14"/>
  <c r="C17" i="14"/>
  <c r="K15" i="14"/>
  <c r="H14" i="14"/>
  <c r="E13" i="14"/>
  <c r="L11" i="14"/>
  <c r="H10" i="14"/>
  <c r="E9" i="14"/>
  <c r="L7" i="14"/>
  <c r="H6" i="14"/>
  <c r="F5" i="14"/>
  <c r="E4" i="14"/>
  <c r="G478" i="13"/>
  <c r="I476" i="13"/>
  <c r="D475" i="13"/>
  <c r="F473" i="13"/>
  <c r="H471" i="13"/>
  <c r="C470" i="13"/>
  <c r="E468" i="13"/>
  <c r="G466" i="13"/>
  <c r="L464" i="13"/>
  <c r="J463" i="13"/>
  <c r="G462" i="13"/>
  <c r="E461" i="13"/>
  <c r="C460" i="13"/>
  <c r="L458" i="13"/>
  <c r="J457" i="13"/>
  <c r="G456" i="13"/>
  <c r="E455" i="13"/>
  <c r="C454" i="13"/>
  <c r="B453" i="13"/>
  <c r="K451" i="13"/>
  <c r="I450" i="13"/>
  <c r="F449" i="13"/>
  <c r="D448" i="13"/>
  <c r="B447" i="13"/>
  <c r="K445" i="13"/>
  <c r="I444" i="13"/>
  <c r="F443" i="13"/>
  <c r="D442" i="13"/>
  <c r="B441" i="13"/>
  <c r="K439" i="13"/>
  <c r="I438" i="13"/>
  <c r="F437" i="13"/>
  <c r="D436" i="13"/>
  <c r="B435" i="13"/>
  <c r="K433" i="13"/>
  <c r="I432" i="13"/>
  <c r="F431" i="13"/>
  <c r="D430" i="13"/>
  <c r="B429" i="13"/>
  <c r="K427" i="13"/>
  <c r="I426" i="13"/>
  <c r="F425" i="13"/>
  <c r="D424" i="13"/>
  <c r="B423" i="13"/>
  <c r="K421" i="13"/>
  <c r="I420" i="13"/>
  <c r="H419" i="13"/>
  <c r="G418" i="13"/>
  <c r="F417" i="13"/>
  <c r="E416" i="13"/>
  <c r="D415" i="13"/>
  <c r="C414" i="13"/>
  <c r="B413" i="13"/>
  <c r="L411" i="13"/>
  <c r="K410" i="13"/>
  <c r="J409" i="13"/>
  <c r="I408" i="13"/>
  <c r="H102" i="16"/>
  <c r="D394" i="14"/>
  <c r="E331" i="14"/>
  <c r="K321" i="14"/>
  <c r="L314" i="14"/>
  <c r="K307" i="14"/>
  <c r="I300" i="14"/>
  <c r="G293" i="14"/>
  <c r="F286" i="14"/>
  <c r="E279" i="14"/>
  <c r="C272" i="14"/>
  <c r="H266" i="14"/>
  <c r="K261" i="14"/>
  <c r="D257" i="14"/>
  <c r="I252" i="14"/>
  <c r="K247" i="14"/>
  <c r="L243" i="14"/>
  <c r="H240" i="14"/>
  <c r="L236" i="14"/>
  <c r="G233" i="14"/>
  <c r="L229" i="14"/>
  <c r="K226" i="14"/>
  <c r="C224" i="14"/>
  <c r="G221" i="14"/>
  <c r="F218" i="14"/>
  <c r="I215" i="14"/>
  <c r="I212" i="14"/>
  <c r="F210" i="14"/>
  <c r="J208" i="14"/>
  <c r="H207" i="14"/>
  <c r="F206" i="14"/>
  <c r="D205" i="14"/>
  <c r="L203" i="14"/>
  <c r="J202" i="14"/>
  <c r="H201" i="14"/>
  <c r="F200" i="14"/>
  <c r="D199" i="14"/>
  <c r="L197" i="14"/>
  <c r="J196" i="14"/>
  <c r="H195" i="14"/>
  <c r="F194" i="14"/>
  <c r="D193" i="14"/>
  <c r="L191" i="14"/>
  <c r="J190" i="14"/>
  <c r="H189" i="14"/>
  <c r="F188" i="14"/>
  <c r="D187" i="14"/>
  <c r="L185" i="14"/>
  <c r="J184" i="14"/>
  <c r="P69" i="16"/>
  <c r="D387" i="14"/>
  <c r="C330" i="14"/>
  <c r="C321" i="14"/>
  <c r="D314" i="14"/>
  <c r="C307" i="14"/>
  <c r="K299" i="14"/>
  <c r="I292" i="14"/>
  <c r="H285" i="14"/>
  <c r="G278" i="14"/>
  <c r="F271" i="14"/>
  <c r="E266" i="14"/>
  <c r="H261" i="14"/>
  <c r="L256" i="14"/>
  <c r="F252" i="14"/>
  <c r="H247" i="14"/>
  <c r="I243" i="14"/>
  <c r="E240" i="14"/>
  <c r="I236" i="14"/>
  <c r="D233" i="14"/>
  <c r="I229" i="14"/>
  <c r="H226" i="14"/>
  <c r="K223" i="14"/>
  <c r="L220" i="14"/>
  <c r="E218" i="14"/>
  <c r="H215" i="14"/>
  <c r="F212" i="14"/>
  <c r="E210" i="14"/>
  <c r="I208" i="14"/>
  <c r="G207" i="14"/>
  <c r="E206" i="14"/>
  <c r="C205" i="14"/>
  <c r="K203" i="14"/>
  <c r="I202" i="14"/>
  <c r="G201" i="14"/>
  <c r="E200" i="14"/>
  <c r="C199" i="14"/>
  <c r="K197" i="14"/>
  <c r="I196" i="14"/>
  <c r="G195" i="14"/>
  <c r="E194" i="14"/>
  <c r="C193" i="14"/>
  <c r="K191" i="14"/>
  <c r="I190" i="14"/>
  <c r="G189" i="14"/>
  <c r="E188" i="14"/>
  <c r="C187" i="14"/>
  <c r="K185" i="14"/>
  <c r="I184" i="14"/>
  <c r="G183" i="14"/>
  <c r="E182" i="14"/>
  <c r="C181" i="14"/>
  <c r="K179" i="14"/>
  <c r="I178" i="14"/>
  <c r="G177" i="14"/>
  <c r="E176" i="14"/>
  <c r="C175" i="14"/>
  <c r="K173" i="14"/>
  <c r="I172" i="14"/>
  <c r="G171" i="14"/>
  <c r="E170" i="14"/>
  <c r="C169" i="14"/>
  <c r="K167" i="14"/>
  <c r="I166" i="14"/>
  <c r="G165" i="14"/>
  <c r="H11" i="16"/>
  <c r="K372" i="14"/>
  <c r="K327" i="14"/>
  <c r="L319" i="14"/>
  <c r="C313" i="14"/>
  <c r="K305" i="14"/>
  <c r="I298" i="14"/>
  <c r="G291" i="14"/>
  <c r="F284" i="14"/>
  <c r="E277" i="14"/>
  <c r="D270" i="14"/>
  <c r="F265" i="14"/>
  <c r="I260" i="14"/>
  <c r="C256" i="14"/>
  <c r="G251" i="14"/>
  <c r="I246" i="14"/>
  <c r="L242" i="14"/>
  <c r="G239" i="14"/>
  <c r="K235" i="14"/>
  <c r="F232" i="14"/>
  <c r="L228" i="14"/>
  <c r="E226" i="14"/>
  <c r="E223" i="14"/>
  <c r="H220" i="14"/>
  <c r="L217" i="14"/>
  <c r="J214" i="14"/>
  <c r="C212" i="14"/>
  <c r="K209" i="14"/>
  <c r="G208" i="14"/>
  <c r="E207" i="14"/>
  <c r="C206" i="14"/>
  <c r="K204" i="14"/>
  <c r="I203" i="14"/>
  <c r="G202" i="14"/>
  <c r="E201" i="14"/>
  <c r="C200" i="14"/>
  <c r="K198" i="14"/>
  <c r="I197" i="14"/>
  <c r="G196" i="14"/>
  <c r="E195" i="14"/>
  <c r="C194" i="14"/>
  <c r="K192" i="14"/>
  <c r="I191" i="14"/>
  <c r="G190" i="14"/>
  <c r="E189" i="14"/>
  <c r="C188" i="14"/>
  <c r="K186" i="14"/>
  <c r="I185" i="14"/>
  <c r="G184" i="14"/>
  <c r="E183" i="14"/>
  <c r="C182" i="14"/>
  <c r="K180" i="14"/>
  <c r="I179" i="14"/>
  <c r="G178" i="14"/>
  <c r="E177" i="14"/>
  <c r="C176" i="14"/>
  <c r="K174" i="14"/>
  <c r="I173" i="14"/>
  <c r="G172" i="14"/>
  <c r="E171" i="14"/>
  <c r="C170" i="14"/>
  <c r="K168" i="14"/>
  <c r="I167" i="14"/>
  <c r="G166" i="14"/>
  <c r="E165" i="14"/>
  <c r="C164" i="14"/>
  <c r="K162" i="14"/>
  <c r="I161" i="14"/>
  <c r="G160" i="14"/>
  <c r="E159" i="14"/>
  <c r="C158" i="14"/>
  <c r="K156" i="14"/>
  <c r="I155" i="14"/>
  <c r="G154" i="14"/>
  <c r="E153" i="14"/>
  <c r="C152" i="14"/>
  <c r="K150" i="14"/>
  <c r="I149" i="14"/>
  <c r="G148" i="14"/>
  <c r="E147" i="14"/>
  <c r="C146" i="14"/>
  <c r="K144" i="14"/>
  <c r="I143" i="14"/>
  <c r="G142" i="14"/>
  <c r="E141" i="14"/>
  <c r="C140" i="14"/>
  <c r="K138" i="14"/>
  <c r="I137" i="14"/>
  <c r="G136" i="14"/>
  <c r="E135" i="14"/>
  <c r="C134" i="14"/>
  <c r="K132" i="14"/>
  <c r="I131" i="14"/>
  <c r="G130" i="14"/>
  <c r="E129" i="14"/>
  <c r="C128" i="14"/>
  <c r="K126" i="14"/>
  <c r="I125" i="14"/>
  <c r="G124" i="14"/>
  <c r="E123" i="14"/>
  <c r="C122" i="14"/>
  <c r="K120" i="14"/>
  <c r="J119" i="14"/>
  <c r="I118" i="14"/>
  <c r="H117" i="14"/>
  <c r="G116" i="14"/>
  <c r="E115" i="14"/>
  <c r="C114" i="14"/>
  <c r="K112" i="14"/>
  <c r="J111" i="14"/>
  <c r="I110" i="14"/>
  <c r="H109" i="14"/>
  <c r="F108" i="14"/>
  <c r="C107" i="14"/>
  <c r="J105" i="14"/>
  <c r="F104" i="14"/>
  <c r="C103" i="14"/>
  <c r="J101" i="14"/>
  <c r="F100" i="14"/>
  <c r="C99" i="14"/>
  <c r="J97" i="14"/>
  <c r="F96" i="14"/>
  <c r="C95" i="14"/>
  <c r="J93" i="14"/>
  <c r="F92" i="14"/>
  <c r="C91" i="14"/>
  <c r="J89" i="14"/>
  <c r="F88" i="14"/>
  <c r="C87" i="14"/>
  <c r="J85" i="14"/>
  <c r="F84" i="14"/>
  <c r="C83" i="14"/>
  <c r="J81" i="14"/>
  <c r="F80" i="14"/>
  <c r="C79" i="14"/>
  <c r="J77" i="14"/>
  <c r="F76" i="14"/>
  <c r="C75" i="14"/>
  <c r="K73" i="14"/>
  <c r="G72" i="14"/>
  <c r="D71" i="14"/>
  <c r="K69" i="14"/>
  <c r="G68" i="14"/>
  <c r="D67" i="14"/>
  <c r="K65" i="14"/>
  <c r="G64" i="14"/>
  <c r="D63" i="14"/>
  <c r="K61" i="14"/>
  <c r="G60" i="14"/>
  <c r="D59" i="14"/>
  <c r="K57" i="14"/>
  <c r="G56" i="14"/>
  <c r="D55" i="14"/>
  <c r="K53" i="14"/>
  <c r="G52" i="14"/>
  <c r="D51" i="14"/>
  <c r="K49" i="14"/>
  <c r="G48" i="14"/>
  <c r="D47" i="14"/>
  <c r="K45" i="14"/>
  <c r="G44" i="14"/>
  <c r="D43" i="14"/>
  <c r="K41" i="14"/>
  <c r="G40" i="14"/>
  <c r="D39" i="14"/>
  <c r="K37" i="14"/>
  <c r="G36" i="14"/>
  <c r="D35" i="14"/>
  <c r="K33" i="14"/>
  <c r="G32" i="14"/>
  <c r="D31" i="14"/>
  <c r="L29" i="14"/>
  <c r="H28" i="14"/>
  <c r="E27" i="14"/>
  <c r="L25" i="14"/>
  <c r="H24" i="14"/>
  <c r="E23" i="14"/>
  <c r="L21" i="14"/>
  <c r="H20" i="14"/>
  <c r="E19" i="14"/>
  <c r="L17" i="14"/>
  <c r="H16" i="14"/>
  <c r="F15" i="14"/>
  <c r="D14" i="14"/>
  <c r="K12" i="14"/>
  <c r="G11" i="14"/>
  <c r="D10" i="14"/>
  <c r="K8" i="14"/>
  <c r="G7" i="14"/>
  <c r="D6" i="14"/>
  <c r="M4" i="14"/>
  <c r="H479" i="13"/>
  <c r="C478" i="13"/>
  <c r="E476" i="13"/>
  <c r="G474" i="13"/>
  <c r="I472" i="13"/>
  <c r="D471" i="13"/>
  <c r="F469" i="13"/>
  <c r="H467" i="13"/>
  <c r="C466" i="13"/>
  <c r="G464" i="13"/>
  <c r="E463" i="13"/>
  <c r="C462" i="13"/>
  <c r="L460" i="13"/>
  <c r="J459" i="13"/>
  <c r="G458" i="13"/>
  <c r="E457" i="13"/>
  <c r="C456" i="13"/>
  <c r="L454" i="13"/>
  <c r="K453" i="13"/>
  <c r="I452" i="13"/>
  <c r="F451" i="13"/>
  <c r="D450" i="13"/>
  <c r="B449" i="13"/>
  <c r="K447" i="13"/>
  <c r="I446" i="13"/>
  <c r="F445" i="13"/>
  <c r="D444" i="13"/>
  <c r="B443" i="13"/>
  <c r="K441" i="13"/>
  <c r="I440" i="13"/>
  <c r="F439" i="13"/>
  <c r="D438" i="13"/>
  <c r="B437" i="13"/>
  <c r="K435" i="13"/>
  <c r="I434" i="13"/>
  <c r="F433" i="13"/>
  <c r="D432" i="13"/>
  <c r="B431" i="13"/>
  <c r="K429" i="13"/>
  <c r="I428" i="13"/>
  <c r="F427" i="13"/>
  <c r="D426" i="13"/>
  <c r="B425" i="13"/>
  <c r="K423" i="13"/>
  <c r="I422" i="13"/>
  <c r="F421" i="13"/>
  <c r="D420" i="13"/>
  <c r="D419" i="13"/>
  <c r="C418" i="13"/>
  <c r="B417" i="13"/>
  <c r="L415" i="13"/>
  <c r="K414" i="13"/>
  <c r="J413" i="13"/>
  <c r="I412" i="13"/>
  <c r="H411" i="13"/>
  <c r="G410" i="13"/>
  <c r="F409" i="13"/>
  <c r="E408" i="13"/>
  <c r="D407" i="13"/>
  <c r="C406" i="13"/>
  <c r="L328" i="14"/>
  <c r="E252" i="14"/>
  <c r="E212" i="14"/>
  <c r="H196" i="14"/>
  <c r="F183" i="14"/>
  <c r="D176" i="14"/>
  <c r="L168" i="14"/>
  <c r="L162" i="14"/>
  <c r="D158" i="14"/>
  <c r="F153" i="14"/>
  <c r="H148" i="14"/>
  <c r="J143" i="14"/>
  <c r="L138" i="14"/>
  <c r="D134" i="14"/>
  <c r="F129" i="14"/>
  <c r="H124" i="14"/>
  <c r="K119" i="14"/>
  <c r="F115" i="14"/>
  <c r="J110" i="14"/>
  <c r="K105" i="14"/>
  <c r="G100" i="14"/>
  <c r="D95" i="14"/>
  <c r="K89" i="14"/>
  <c r="G84" i="14"/>
  <c r="D79" i="14"/>
  <c r="L73" i="14"/>
  <c r="H68" i="14"/>
  <c r="E63" i="14"/>
  <c r="L57" i="14"/>
  <c r="H52" i="14"/>
  <c r="E47" i="14"/>
  <c r="L41" i="14"/>
  <c r="H36" i="14"/>
  <c r="E31" i="14"/>
  <c r="C26" i="14"/>
  <c r="J20" i="14"/>
  <c r="G15" i="14"/>
  <c r="E10" i="14"/>
  <c r="C5" i="14"/>
  <c r="H474" i="13"/>
  <c r="I467" i="13"/>
  <c r="D462" i="13"/>
  <c r="F457" i="13"/>
  <c r="J452" i="13"/>
  <c r="L447" i="13"/>
  <c r="C443" i="13"/>
  <c r="E438" i="13"/>
  <c r="G433" i="13"/>
  <c r="J428" i="13"/>
  <c r="L423" i="13"/>
  <c r="E419" i="13"/>
  <c r="L414" i="13"/>
  <c r="I410" i="13"/>
  <c r="H407" i="13"/>
  <c r="K405" i="13"/>
  <c r="E404" i="13"/>
  <c r="M402" i="13"/>
  <c r="I401" i="13"/>
  <c r="G400" i="13"/>
  <c r="F399" i="13"/>
  <c r="E398" i="13"/>
  <c r="E397" i="13"/>
  <c r="E396" i="13"/>
  <c r="D395" i="13"/>
  <c r="C394" i="13"/>
  <c r="B393" i="13"/>
  <c r="M391" i="13"/>
  <c r="M390" i="13"/>
  <c r="L389" i="13"/>
  <c r="K388" i="13"/>
  <c r="J387" i="13"/>
  <c r="I386" i="13"/>
  <c r="I385" i="13"/>
  <c r="H384" i="13"/>
  <c r="G383" i="13"/>
  <c r="F382" i="13"/>
  <c r="E381" i="13"/>
  <c r="D380" i="13"/>
  <c r="C379" i="13"/>
  <c r="B378" i="13"/>
  <c r="L376" i="13"/>
  <c r="K375" i="13"/>
  <c r="J374" i="13"/>
  <c r="I373" i="13"/>
  <c r="H372" i="13"/>
  <c r="G371" i="13"/>
  <c r="F370" i="13"/>
  <c r="E369" i="13"/>
  <c r="D368" i="13"/>
  <c r="C367" i="13"/>
  <c r="B366" i="13"/>
  <c r="L364" i="13"/>
  <c r="K363" i="13"/>
  <c r="J362" i="13"/>
  <c r="I361" i="13"/>
  <c r="H360" i="13"/>
  <c r="G359" i="13"/>
  <c r="F358" i="13"/>
  <c r="E357" i="13"/>
  <c r="D356" i="13"/>
  <c r="C355" i="13"/>
  <c r="B354" i="13"/>
  <c r="L352" i="13"/>
  <c r="K351" i="13"/>
  <c r="J350" i="13"/>
  <c r="I349" i="13"/>
  <c r="H348" i="13"/>
  <c r="G347" i="13"/>
  <c r="F346" i="13"/>
  <c r="E345" i="13"/>
  <c r="E344" i="13"/>
  <c r="E343" i="13"/>
  <c r="D342" i="13"/>
  <c r="C341" i="13"/>
  <c r="B340" i="13"/>
  <c r="B339" i="13"/>
  <c r="B338" i="13"/>
  <c r="M336" i="13"/>
  <c r="L335" i="13"/>
  <c r="L334" i="13"/>
  <c r="L333" i="13"/>
  <c r="K332" i="13"/>
  <c r="J331" i="13"/>
  <c r="J330" i="13"/>
  <c r="J329" i="13"/>
  <c r="J328" i="13"/>
  <c r="J327" i="13"/>
  <c r="J326" i="13"/>
  <c r="J325" i="13"/>
  <c r="J324" i="13"/>
  <c r="J323" i="13"/>
  <c r="I322" i="13"/>
  <c r="H321" i="13"/>
  <c r="H320" i="13"/>
  <c r="G319" i="13"/>
  <c r="G318" i="13"/>
  <c r="F317" i="13"/>
  <c r="E316" i="13"/>
  <c r="E315" i="13"/>
  <c r="D314" i="13"/>
  <c r="D313" i="13"/>
  <c r="C312" i="13"/>
  <c r="B311" i="13"/>
  <c r="L309" i="13"/>
  <c r="K308" i="13"/>
  <c r="J307" i="13"/>
  <c r="I306" i="13"/>
  <c r="H305" i="13"/>
  <c r="G304" i="13"/>
  <c r="F303" i="13"/>
  <c r="E302" i="13"/>
  <c r="D301" i="13"/>
  <c r="C300" i="13"/>
  <c r="B299" i="13"/>
  <c r="L297" i="13"/>
  <c r="K296" i="13"/>
  <c r="J295" i="13"/>
  <c r="I294" i="13"/>
  <c r="H293" i="13"/>
  <c r="G292" i="13"/>
  <c r="F291" i="13"/>
  <c r="E290" i="13"/>
  <c r="D289" i="13"/>
  <c r="C288" i="13"/>
  <c r="B287" i="13"/>
  <c r="B286" i="13"/>
  <c r="L284" i="13"/>
  <c r="K283" i="13"/>
  <c r="J282" i="13"/>
  <c r="J281" i="13"/>
  <c r="I280" i="13"/>
  <c r="H279" i="13"/>
  <c r="G278" i="13"/>
  <c r="F277" i="13"/>
  <c r="E276" i="13"/>
  <c r="D275" i="13"/>
  <c r="C274" i="13"/>
  <c r="B273" i="13"/>
  <c r="M271" i="13"/>
  <c r="L270" i="13"/>
  <c r="K269" i="13"/>
  <c r="J268" i="13"/>
  <c r="I267" i="13"/>
  <c r="H266" i="13"/>
  <c r="G265" i="13"/>
  <c r="G264" i="13"/>
  <c r="F263" i="13"/>
  <c r="E262" i="13"/>
  <c r="D261" i="13"/>
  <c r="C260" i="13"/>
  <c r="B259" i="13"/>
  <c r="B258" i="13"/>
  <c r="M256" i="13"/>
  <c r="L255" i="13"/>
  <c r="L254" i="13"/>
  <c r="K253" i="13"/>
  <c r="K252" i="13"/>
  <c r="J251" i="13"/>
  <c r="I250" i="13"/>
  <c r="H249" i="13"/>
  <c r="G248" i="13"/>
  <c r="F247" i="13"/>
  <c r="E246" i="13"/>
  <c r="E245" i="13"/>
  <c r="D244" i="13"/>
  <c r="C243" i="13"/>
  <c r="C242" i="13"/>
  <c r="C241" i="13"/>
  <c r="B240" i="13"/>
  <c r="L238" i="13"/>
  <c r="K237" i="13"/>
  <c r="J236" i="13"/>
  <c r="I235" i="13"/>
  <c r="H234" i="13"/>
  <c r="H233" i="13"/>
  <c r="G232" i="13"/>
  <c r="F231" i="13"/>
  <c r="E230" i="13"/>
  <c r="E229" i="13"/>
  <c r="E228" i="13"/>
  <c r="D227" i="13"/>
  <c r="C226" i="13"/>
  <c r="B225" i="13"/>
  <c r="L223" i="13"/>
  <c r="L222" i="13"/>
  <c r="K221" i="13"/>
  <c r="J220" i="13"/>
  <c r="J219" i="13"/>
  <c r="I218" i="13"/>
  <c r="H217" i="13"/>
  <c r="G216" i="13"/>
  <c r="F215" i="13"/>
  <c r="E214" i="13"/>
  <c r="D213" i="13"/>
  <c r="C212" i="13"/>
  <c r="B211" i="13"/>
  <c r="L209" i="13"/>
  <c r="K208" i="13"/>
  <c r="J207" i="13"/>
  <c r="I206" i="13"/>
  <c r="H205" i="13"/>
  <c r="G204" i="13"/>
  <c r="F203" i="13"/>
  <c r="E202" i="13"/>
  <c r="D201" i="13"/>
  <c r="C200" i="13"/>
  <c r="B199" i="13"/>
  <c r="L197" i="13"/>
  <c r="K196" i="13"/>
  <c r="J195" i="13"/>
  <c r="I194" i="13"/>
  <c r="H193" i="13"/>
  <c r="G192" i="13"/>
  <c r="F191" i="13"/>
  <c r="E190" i="13"/>
  <c r="J320" i="14"/>
  <c r="G247" i="14"/>
  <c r="L209" i="14"/>
  <c r="F195" i="14"/>
  <c r="F182" i="14"/>
  <c r="D175" i="14"/>
  <c r="L167" i="14"/>
  <c r="L161" i="14"/>
  <c r="D157" i="14"/>
  <c r="F152" i="14"/>
  <c r="H147" i="14"/>
  <c r="J142" i="14"/>
  <c r="L137" i="14"/>
  <c r="D133" i="14"/>
  <c r="F128" i="14"/>
  <c r="H123" i="14"/>
  <c r="L118" i="14"/>
  <c r="F114" i="14"/>
  <c r="K109" i="14"/>
  <c r="J104" i="14"/>
  <c r="F99" i="14"/>
  <c r="C94" i="14"/>
  <c r="J88" i="14"/>
  <c r="F83" i="14"/>
  <c r="C78" i="14"/>
  <c r="K72" i="14"/>
  <c r="G67" i="14"/>
  <c r="D62" i="14"/>
  <c r="K56" i="14"/>
  <c r="G51" i="14"/>
  <c r="D46" i="14"/>
  <c r="K40" i="14"/>
  <c r="G35" i="14"/>
  <c r="D30" i="14"/>
  <c r="L24" i="14"/>
  <c r="H19" i="14"/>
  <c r="G14" i="14"/>
  <c r="D9" i="14"/>
  <c r="D4" i="14"/>
  <c r="E473" i="13"/>
  <c r="F466" i="13"/>
  <c r="D461" i="13"/>
  <c r="F456" i="13"/>
  <c r="J451" i="13"/>
  <c r="L446" i="13"/>
  <c r="C442" i="13"/>
  <c r="E437" i="13"/>
  <c r="G432" i="13"/>
  <c r="J427" i="13"/>
  <c r="L422" i="13"/>
  <c r="F418" i="13"/>
  <c r="B414" i="13"/>
  <c r="H410" i="13"/>
  <c r="G407" i="13"/>
  <c r="H405" i="13"/>
  <c r="D404" i="13"/>
  <c r="L402" i="13"/>
  <c r="H401" i="13"/>
  <c r="F400" i="13"/>
  <c r="E399" i="13"/>
  <c r="D398" i="13"/>
  <c r="D397" i="13"/>
  <c r="D396" i="13"/>
  <c r="C395" i="13"/>
  <c r="B394" i="13"/>
  <c r="L392" i="13"/>
  <c r="L391" i="13"/>
  <c r="L390" i="13"/>
  <c r="K389" i="13"/>
  <c r="J388" i="13"/>
  <c r="I387" i="13"/>
  <c r="H386" i="13"/>
  <c r="H385" i="13"/>
  <c r="G384" i="13"/>
  <c r="F383" i="13"/>
  <c r="E382" i="13"/>
  <c r="D381" i="13"/>
  <c r="C380" i="13"/>
  <c r="B379" i="13"/>
  <c r="L377" i="13"/>
  <c r="K376" i="13"/>
  <c r="J375" i="13"/>
  <c r="I374" i="13"/>
  <c r="H373" i="13"/>
  <c r="G372" i="13"/>
  <c r="F371" i="13"/>
  <c r="E370" i="13"/>
  <c r="D369" i="13"/>
  <c r="C368" i="13"/>
  <c r="B367" i="13"/>
  <c r="L365" i="13"/>
  <c r="K364" i="13"/>
  <c r="J363" i="13"/>
  <c r="I362" i="13"/>
  <c r="H361" i="13"/>
  <c r="G360" i="13"/>
  <c r="F359" i="13"/>
  <c r="E358" i="13"/>
  <c r="D357" i="13"/>
  <c r="C356" i="13"/>
  <c r="B355" i="13"/>
  <c r="L353" i="13"/>
  <c r="K352" i="13"/>
  <c r="J351" i="13"/>
  <c r="I350" i="13"/>
  <c r="H349" i="13"/>
  <c r="G348" i="13"/>
  <c r="F347" i="13"/>
  <c r="E346" i="13"/>
  <c r="D345" i="13"/>
  <c r="D344" i="13"/>
  <c r="D343" i="13"/>
  <c r="C342" i="13"/>
  <c r="B341" i="13"/>
  <c r="M339" i="13"/>
  <c r="M338" i="13"/>
  <c r="L337" i="13"/>
  <c r="L336" i="13"/>
  <c r="K335" i="13"/>
  <c r="K334" i="13"/>
  <c r="K333" i="13"/>
  <c r="J332" i="13"/>
  <c r="I331" i="13"/>
  <c r="I330" i="13"/>
  <c r="I329" i="13"/>
  <c r="I328" i="13"/>
  <c r="I327" i="13"/>
  <c r="I326" i="13"/>
  <c r="I325" i="13"/>
  <c r="I324" i="13"/>
  <c r="I323" i="13"/>
  <c r="H322" i="13"/>
  <c r="G321" i="13"/>
  <c r="G320" i="13"/>
  <c r="F319" i="13"/>
  <c r="F318" i="13"/>
  <c r="E317" i="13"/>
  <c r="D316" i="13"/>
  <c r="D315" i="13"/>
  <c r="C314" i="13"/>
  <c r="C313" i="13"/>
  <c r="B312" i="13"/>
  <c r="L310" i="13"/>
  <c r="K309" i="13"/>
  <c r="J308" i="13"/>
  <c r="I307" i="13"/>
  <c r="H306" i="13"/>
  <c r="G305" i="13"/>
  <c r="F304" i="13"/>
  <c r="E303" i="13"/>
  <c r="D302" i="13"/>
  <c r="C301" i="13"/>
  <c r="B300" i="13"/>
  <c r="L298" i="13"/>
  <c r="K297" i="13"/>
  <c r="J296" i="13"/>
  <c r="I295" i="13"/>
  <c r="H294" i="13"/>
  <c r="G293" i="13"/>
  <c r="F292" i="13"/>
  <c r="E291" i="13"/>
  <c r="D290" i="13"/>
  <c r="C289" i="13"/>
  <c r="B288" i="13"/>
  <c r="M286" i="13"/>
  <c r="L285" i="13"/>
  <c r="K284" i="13"/>
  <c r="J283" i="13"/>
  <c r="I282" i="13"/>
  <c r="I281" i="13"/>
  <c r="H280" i="13"/>
  <c r="G279" i="13"/>
  <c r="F278" i="13"/>
  <c r="E277" i="13"/>
  <c r="D276" i="13"/>
  <c r="C275" i="13"/>
  <c r="B274" i="13"/>
  <c r="L272" i="13"/>
  <c r="L271" i="13"/>
  <c r="K270" i="13"/>
  <c r="J269" i="13"/>
  <c r="I268" i="13"/>
  <c r="H267" i="13"/>
  <c r="G266" i="13"/>
  <c r="F265" i="13"/>
  <c r="F264" i="13"/>
  <c r="E263" i="13"/>
  <c r="D262" i="13"/>
  <c r="C261" i="13"/>
  <c r="B260" i="13"/>
  <c r="M258" i="13"/>
  <c r="L257" i="13"/>
  <c r="L256" i="13"/>
  <c r="K255" i="13"/>
  <c r="K254" i="13"/>
  <c r="J253" i="13"/>
  <c r="J252" i="13"/>
  <c r="I251" i="13"/>
  <c r="H250" i="13"/>
  <c r="G249" i="13"/>
  <c r="F248" i="13"/>
  <c r="E247" i="13"/>
  <c r="D246" i="13"/>
  <c r="D245" i="13"/>
  <c r="C244" i="13"/>
  <c r="B243" i="13"/>
  <c r="B242" i="13"/>
  <c r="B241" i="13"/>
  <c r="L239" i="13"/>
  <c r="K238" i="13"/>
  <c r="J237" i="13"/>
  <c r="I236" i="13"/>
  <c r="H235" i="13"/>
  <c r="G234" i="13"/>
  <c r="G233" i="13"/>
  <c r="F232" i="13"/>
  <c r="E231" i="13"/>
  <c r="D230" i="13"/>
  <c r="D229" i="13"/>
  <c r="D228" i="13"/>
  <c r="C227" i="13"/>
  <c r="B226" i="13"/>
  <c r="L224" i="13"/>
  <c r="K223" i="13"/>
  <c r="K222" i="13"/>
  <c r="K313" i="14"/>
  <c r="D243" i="14"/>
  <c r="H208" i="14"/>
  <c r="D194" i="14"/>
  <c r="D182" i="14"/>
  <c r="L174" i="14"/>
  <c r="J167" i="14"/>
  <c r="K161" i="14"/>
  <c r="C157" i="14"/>
  <c r="E152" i="14"/>
  <c r="G147" i="14"/>
  <c r="I142" i="14"/>
  <c r="K137" i="14"/>
  <c r="C133" i="14"/>
  <c r="E128" i="14"/>
  <c r="G123" i="14"/>
  <c r="K118" i="14"/>
  <c r="E114" i="14"/>
  <c r="J109" i="14"/>
  <c r="H104" i="14"/>
  <c r="E99" i="14"/>
  <c r="L93" i="14"/>
  <c r="H88" i="14"/>
  <c r="E83" i="14"/>
  <c r="L77" i="14"/>
  <c r="J72" i="14"/>
  <c r="F67" i="14"/>
  <c r="C62" i="14"/>
  <c r="J56" i="14"/>
  <c r="F51" i="14"/>
  <c r="C46" i="14"/>
  <c r="J40" i="14"/>
  <c r="F35" i="14"/>
  <c r="C30" i="14"/>
  <c r="K24" i="14"/>
  <c r="G19" i="14"/>
  <c r="F14" i="14"/>
  <c r="C9" i="14"/>
  <c r="C4" i="14"/>
  <c r="D473" i="13"/>
  <c r="E466" i="13"/>
  <c r="C461" i="13"/>
  <c r="E456" i="13"/>
  <c r="I451" i="13"/>
  <c r="K446" i="13"/>
  <c r="B442" i="13"/>
  <c r="D437" i="13"/>
  <c r="F432" i="13"/>
  <c r="I427" i="13"/>
  <c r="K422" i="13"/>
  <c r="E418" i="13"/>
  <c r="L413" i="13"/>
  <c r="K409" i="13"/>
  <c r="F407" i="13"/>
  <c r="G405" i="13"/>
  <c r="C404" i="13"/>
  <c r="J402" i="13"/>
  <c r="F401" i="13"/>
  <c r="E400" i="13"/>
  <c r="D399" i="13"/>
  <c r="C398" i="13"/>
  <c r="C397" i="13"/>
  <c r="C396" i="13"/>
  <c r="B395" i="13"/>
  <c r="L393" i="13"/>
  <c r="K392" i="13"/>
  <c r="K391" i="13"/>
  <c r="K390" i="13"/>
  <c r="J389" i="13"/>
  <c r="I388" i="13"/>
  <c r="H387" i="13"/>
  <c r="G386" i="13"/>
  <c r="G385" i="13"/>
  <c r="F384" i="13"/>
  <c r="E383" i="13"/>
  <c r="D382" i="13"/>
  <c r="C381" i="13"/>
  <c r="B380" i="13"/>
  <c r="L378" i="13"/>
  <c r="K377" i="13"/>
  <c r="J376" i="13"/>
  <c r="I375" i="13"/>
  <c r="H374" i="13"/>
  <c r="G373" i="13"/>
  <c r="F372" i="13"/>
  <c r="E371" i="13"/>
  <c r="D370" i="13"/>
  <c r="C369" i="13"/>
  <c r="B368" i="13"/>
  <c r="L366" i="13"/>
  <c r="K365" i="13"/>
  <c r="J364" i="13"/>
  <c r="I363" i="13"/>
  <c r="H362" i="13"/>
  <c r="G361" i="13"/>
  <c r="F360" i="13"/>
  <c r="E359" i="13"/>
  <c r="D358" i="13"/>
  <c r="C357" i="13"/>
  <c r="B356" i="13"/>
  <c r="L354" i="13"/>
  <c r="K353" i="13"/>
  <c r="J352" i="13"/>
  <c r="I351" i="13"/>
  <c r="H350" i="13"/>
  <c r="G349" i="13"/>
  <c r="F348" i="13"/>
  <c r="E347" i="13"/>
  <c r="D346" i="13"/>
  <c r="C345" i="13"/>
  <c r="C344" i="13"/>
  <c r="C343" i="13"/>
  <c r="B342" i="13"/>
  <c r="L340" i="13"/>
  <c r="L339" i="13"/>
  <c r="L338" i="13"/>
  <c r="K337" i="13"/>
  <c r="K336" i="13"/>
  <c r="J335" i="13"/>
  <c r="J334" i="13"/>
  <c r="J333" i="13"/>
  <c r="I332" i="13"/>
  <c r="H331" i="13"/>
  <c r="H330" i="13"/>
  <c r="H329" i="13"/>
  <c r="H328" i="13"/>
  <c r="H327" i="13"/>
  <c r="H326" i="13"/>
  <c r="H325" i="13"/>
  <c r="H324" i="13"/>
  <c r="H323" i="13"/>
  <c r="G322" i="13"/>
  <c r="F321" i="13"/>
  <c r="F320" i="13"/>
  <c r="E319" i="13"/>
  <c r="E318" i="13"/>
  <c r="D317" i="13"/>
  <c r="C316" i="13"/>
  <c r="C315" i="13"/>
  <c r="B314" i="13"/>
  <c r="B313" i="13"/>
  <c r="L311" i="13"/>
  <c r="K310" i="13"/>
  <c r="J309" i="13"/>
  <c r="I308" i="13"/>
  <c r="H307" i="13"/>
  <c r="G306" i="13"/>
  <c r="F305" i="13"/>
  <c r="E304" i="13"/>
  <c r="D303" i="13"/>
  <c r="C302" i="13"/>
  <c r="B301" i="13"/>
  <c r="L299" i="13"/>
  <c r="K298" i="13"/>
  <c r="J297" i="13"/>
  <c r="I296" i="13"/>
  <c r="H295" i="13"/>
  <c r="G294" i="13"/>
  <c r="F293" i="13"/>
  <c r="E292" i="13"/>
  <c r="D291" i="13"/>
  <c r="C290" i="13"/>
  <c r="B289" i="13"/>
  <c r="L287" i="13"/>
  <c r="L286" i="13"/>
  <c r="K285" i="13"/>
  <c r="J284" i="13"/>
  <c r="I283" i="13"/>
  <c r="H282" i="13"/>
  <c r="H281" i="13"/>
  <c r="G280" i="13"/>
  <c r="F279" i="13"/>
  <c r="E278" i="13"/>
  <c r="D277" i="13"/>
  <c r="C276" i="13"/>
  <c r="B275" i="13"/>
  <c r="L273" i="13"/>
  <c r="K272" i="13"/>
  <c r="K271" i="13"/>
  <c r="J270" i="13"/>
  <c r="I269" i="13"/>
  <c r="H268" i="13"/>
  <c r="G267" i="13"/>
  <c r="F266" i="13"/>
  <c r="E265" i="13"/>
  <c r="E264" i="13"/>
  <c r="D263" i="13"/>
  <c r="C262" i="13"/>
  <c r="B261" i="13"/>
  <c r="L259" i="13"/>
  <c r="L258" i="13"/>
  <c r="K257" i="13"/>
  <c r="K256" i="13"/>
  <c r="J255" i="13"/>
  <c r="J254" i="13"/>
  <c r="I253" i="13"/>
  <c r="I252" i="13"/>
  <c r="H251" i="13"/>
  <c r="G250" i="13"/>
  <c r="F249" i="13"/>
  <c r="E248" i="13"/>
  <c r="D247" i="13"/>
  <c r="C246" i="13"/>
  <c r="C245" i="13"/>
  <c r="B244" i="13"/>
  <c r="M242" i="13"/>
  <c r="M241" i="13"/>
  <c r="L240" i="13"/>
  <c r="K239" i="13"/>
  <c r="J238" i="13"/>
  <c r="I237" i="13"/>
  <c r="H236" i="13"/>
  <c r="G235" i="13"/>
  <c r="F234" i="13"/>
  <c r="F233" i="13"/>
  <c r="E232" i="13"/>
  <c r="D231" i="13"/>
  <c r="C230" i="13"/>
  <c r="C229" i="13"/>
  <c r="C228" i="13"/>
  <c r="B227" i="13"/>
  <c r="L225" i="13"/>
  <c r="K224" i="13"/>
  <c r="J223" i="13"/>
  <c r="J222" i="13"/>
  <c r="I221" i="13"/>
  <c r="H220" i="13"/>
  <c r="H219" i="13"/>
  <c r="G218" i="13"/>
  <c r="F217" i="13"/>
  <c r="E216" i="13"/>
  <c r="D215" i="13"/>
  <c r="C214" i="13"/>
  <c r="B213" i="13"/>
  <c r="L211" i="13"/>
  <c r="K210" i="13"/>
  <c r="J209" i="13"/>
  <c r="I208" i="13"/>
  <c r="H207" i="13"/>
  <c r="G206" i="13"/>
  <c r="F205" i="13"/>
  <c r="E204" i="13"/>
  <c r="D203" i="13"/>
  <c r="C202" i="13"/>
  <c r="B201" i="13"/>
  <c r="L199" i="13"/>
  <c r="K198" i="13"/>
  <c r="J197" i="13"/>
  <c r="I196" i="13"/>
  <c r="H195" i="13"/>
  <c r="G194" i="13"/>
  <c r="F193" i="13"/>
  <c r="E192" i="13"/>
  <c r="I306" i="14"/>
  <c r="J239" i="14"/>
  <c r="F207" i="14"/>
  <c r="L192" i="14"/>
  <c r="D181" i="14"/>
  <c r="L173" i="14"/>
  <c r="J166" i="14"/>
  <c r="J161" i="14"/>
  <c r="L156" i="14"/>
  <c r="D152" i="14"/>
  <c r="F147" i="14"/>
  <c r="H142" i="14"/>
  <c r="J137" i="14"/>
  <c r="L132" i="14"/>
  <c r="D128" i="14"/>
  <c r="F123" i="14"/>
  <c r="J118" i="14"/>
  <c r="D114" i="14"/>
  <c r="I109" i="14"/>
  <c r="G104" i="14"/>
  <c r="D99" i="14"/>
  <c r="K93" i="14"/>
  <c r="G88" i="14"/>
  <c r="D83" i="14"/>
  <c r="K77" i="14"/>
  <c r="H72" i="14"/>
  <c r="E67" i="14"/>
  <c r="L61" i="14"/>
  <c r="H56" i="14"/>
  <c r="E51" i="14"/>
  <c r="L45" i="14"/>
  <c r="H40" i="14"/>
  <c r="E35" i="14"/>
  <c r="M29" i="14"/>
  <c r="J24" i="14"/>
  <c r="F19" i="14"/>
  <c r="E14" i="14"/>
  <c r="L8" i="14"/>
  <c r="I479" i="13"/>
  <c r="C473" i="13"/>
  <c r="D466" i="13"/>
  <c r="B461" i="13"/>
  <c r="D456" i="13"/>
  <c r="G451" i="13"/>
  <c r="J446" i="13"/>
  <c r="L441" i="13"/>
  <c r="C437" i="13"/>
  <c r="E432" i="13"/>
  <c r="G427" i="13"/>
  <c r="J422" i="13"/>
  <c r="D418" i="13"/>
  <c r="K413" i="13"/>
  <c r="I409" i="13"/>
  <c r="E407" i="13"/>
  <c r="F405" i="13"/>
  <c r="B404" i="13"/>
  <c r="I402" i="13"/>
  <c r="E401" i="13"/>
  <c r="D400" i="13"/>
  <c r="C399" i="13"/>
  <c r="B398" i="13"/>
  <c r="B397" i="13"/>
  <c r="B396" i="13"/>
  <c r="L394" i="13"/>
  <c r="K393" i="13"/>
  <c r="J392" i="13"/>
  <c r="J391" i="13"/>
  <c r="J390" i="13"/>
  <c r="I389" i="13"/>
  <c r="H388" i="13"/>
  <c r="G387" i="13"/>
  <c r="F386" i="13"/>
  <c r="F385" i="13"/>
  <c r="E384" i="13"/>
  <c r="D383" i="13"/>
  <c r="C382" i="13"/>
  <c r="B381" i="13"/>
  <c r="L379" i="13"/>
  <c r="K378" i="13"/>
  <c r="J377" i="13"/>
  <c r="I376" i="13"/>
  <c r="H375" i="13"/>
  <c r="G374" i="13"/>
  <c r="F373" i="13"/>
  <c r="E372" i="13"/>
  <c r="D371" i="13"/>
  <c r="C370" i="13"/>
  <c r="B369" i="13"/>
  <c r="L367" i="13"/>
  <c r="K366" i="13"/>
  <c r="J365" i="13"/>
  <c r="I364" i="13"/>
  <c r="H363" i="13"/>
  <c r="G362" i="13"/>
  <c r="F361" i="13"/>
  <c r="E360" i="13"/>
  <c r="D359" i="13"/>
  <c r="C358" i="13"/>
  <c r="B357" i="13"/>
  <c r="L355" i="13"/>
  <c r="K354" i="13"/>
  <c r="J353" i="13"/>
  <c r="I352" i="13"/>
  <c r="H351" i="13"/>
  <c r="G350" i="13"/>
  <c r="F349" i="13"/>
  <c r="E348" i="13"/>
  <c r="D347" i="13"/>
  <c r="C346" i="13"/>
  <c r="B345" i="13"/>
  <c r="B344" i="13"/>
  <c r="B343" i="13"/>
  <c r="L341" i="13"/>
  <c r="K340" i="13"/>
  <c r="K339" i="13"/>
  <c r="K338" i="13"/>
  <c r="J337" i="13"/>
  <c r="J336" i="13"/>
  <c r="I335" i="13"/>
  <c r="I334" i="13"/>
  <c r="I333" i="13"/>
  <c r="H332" i="13"/>
  <c r="G331" i="13"/>
  <c r="G330" i="13"/>
  <c r="G329" i="13"/>
  <c r="G328" i="13"/>
  <c r="G327" i="13"/>
  <c r="G326" i="13"/>
  <c r="G325" i="13"/>
  <c r="G324" i="13"/>
  <c r="G323" i="13"/>
  <c r="F322" i="13"/>
  <c r="E321" i="13"/>
  <c r="E320" i="13"/>
  <c r="D319" i="13"/>
  <c r="D318" i="13"/>
  <c r="C317" i="13"/>
  <c r="B316" i="13"/>
  <c r="B315" i="13"/>
  <c r="M313" i="13"/>
  <c r="L312" i="13"/>
  <c r="K311" i="13"/>
  <c r="J310" i="13"/>
  <c r="I309" i="13"/>
  <c r="H308" i="13"/>
  <c r="G307" i="13"/>
  <c r="F306" i="13"/>
  <c r="E305" i="13"/>
  <c r="D304" i="13"/>
  <c r="C303" i="13"/>
  <c r="B302" i="13"/>
  <c r="L300" i="13"/>
  <c r="K299" i="13"/>
  <c r="J298" i="13"/>
  <c r="I297" i="13"/>
  <c r="H296" i="13"/>
  <c r="G295" i="13"/>
  <c r="F294" i="13"/>
  <c r="E293" i="13"/>
  <c r="D292" i="13"/>
  <c r="C291" i="13"/>
  <c r="B290" i="13"/>
  <c r="L288" i="13"/>
  <c r="K287" i="13"/>
  <c r="K286" i="13"/>
  <c r="J285" i="13"/>
  <c r="I284" i="13"/>
  <c r="H283" i="13"/>
  <c r="G282" i="13"/>
  <c r="G281" i="13"/>
  <c r="F280" i="13"/>
  <c r="E279" i="13"/>
  <c r="D278" i="13"/>
  <c r="C277" i="13"/>
  <c r="B276" i="13"/>
  <c r="L274" i="13"/>
  <c r="K273" i="13"/>
  <c r="J272" i="13"/>
  <c r="J271" i="13"/>
  <c r="I270" i="13"/>
  <c r="H269" i="13"/>
  <c r="G268" i="13"/>
  <c r="F267" i="13"/>
  <c r="E266" i="13"/>
  <c r="D265" i="13"/>
  <c r="D264" i="13"/>
  <c r="C263" i="13"/>
  <c r="B262" i="13"/>
  <c r="L260" i="13"/>
  <c r="K259" i="13"/>
  <c r="K258" i="13"/>
  <c r="J257" i="13"/>
  <c r="J256" i="13"/>
  <c r="I255" i="13"/>
  <c r="I254" i="13"/>
  <c r="H253" i="13"/>
  <c r="H252" i="13"/>
  <c r="G251" i="13"/>
  <c r="F250" i="13"/>
  <c r="E249" i="13"/>
  <c r="D248" i="13"/>
  <c r="C247" i="13"/>
  <c r="B246" i="13"/>
  <c r="B245" i="13"/>
  <c r="L243" i="13"/>
  <c r="L242" i="13"/>
  <c r="L241" i="13"/>
  <c r="K240" i="13"/>
  <c r="J239" i="13"/>
  <c r="I238" i="13"/>
  <c r="H237" i="13"/>
  <c r="G236" i="13"/>
  <c r="F235" i="13"/>
  <c r="E234" i="13"/>
  <c r="E233" i="13"/>
  <c r="D232" i="13"/>
  <c r="C231" i="13"/>
  <c r="B230" i="13"/>
  <c r="B229" i="13"/>
  <c r="B228" i="13"/>
  <c r="L226" i="13"/>
  <c r="K225" i="13"/>
  <c r="J224" i="13"/>
  <c r="I223" i="13"/>
  <c r="I222" i="13"/>
  <c r="H221" i="13"/>
  <c r="G220" i="13"/>
  <c r="G219" i="13"/>
  <c r="F218" i="13"/>
  <c r="E217" i="13"/>
  <c r="D216" i="13"/>
  <c r="C215" i="13"/>
  <c r="B214" i="13"/>
  <c r="L212" i="13"/>
  <c r="K211" i="13"/>
  <c r="J210" i="13"/>
  <c r="I209" i="13"/>
  <c r="H208" i="13"/>
  <c r="G207" i="13"/>
  <c r="F206" i="13"/>
  <c r="E205" i="13"/>
  <c r="D204" i="13"/>
  <c r="C203" i="13"/>
  <c r="B202" i="13"/>
  <c r="L200" i="13"/>
  <c r="K199" i="13"/>
  <c r="J198" i="13"/>
  <c r="I197" i="13"/>
  <c r="H196" i="13"/>
  <c r="G195" i="13"/>
  <c r="F194" i="13"/>
  <c r="E193" i="13"/>
  <c r="D192" i="13"/>
  <c r="C191" i="13"/>
  <c r="G299" i="14"/>
  <c r="D236" i="14"/>
  <c r="D206" i="14"/>
  <c r="J191" i="14"/>
  <c r="L180" i="14"/>
  <c r="J173" i="14"/>
  <c r="H166" i="14"/>
  <c r="J160" i="14"/>
  <c r="L155" i="14"/>
  <c r="D151" i="14"/>
  <c r="F146" i="14"/>
  <c r="H141" i="14"/>
  <c r="J136" i="14"/>
  <c r="L131" i="14"/>
  <c r="D127" i="14"/>
  <c r="F122" i="14"/>
  <c r="K117" i="14"/>
  <c r="D113" i="14"/>
  <c r="I108" i="14"/>
  <c r="F103" i="14"/>
  <c r="C98" i="14"/>
  <c r="J92" i="14"/>
  <c r="F87" i="14"/>
  <c r="C82" i="14"/>
  <c r="J76" i="14"/>
  <c r="G71" i="14"/>
  <c r="D66" i="14"/>
  <c r="K60" i="14"/>
  <c r="G55" i="14"/>
  <c r="D50" i="14"/>
  <c r="K44" i="14"/>
  <c r="G39" i="14"/>
  <c r="D34" i="14"/>
  <c r="L28" i="14"/>
  <c r="H23" i="14"/>
  <c r="E18" i="14"/>
  <c r="D13" i="14"/>
  <c r="K7" i="14"/>
  <c r="F478" i="13"/>
  <c r="G471" i="13"/>
  <c r="K464" i="13"/>
  <c r="B460" i="13"/>
  <c r="D455" i="13"/>
  <c r="G450" i="13"/>
  <c r="J445" i="13"/>
  <c r="L440" i="13"/>
  <c r="C436" i="13"/>
  <c r="E431" i="13"/>
  <c r="G426" i="13"/>
  <c r="J421" i="13"/>
  <c r="E417" i="13"/>
  <c r="L412" i="13"/>
  <c r="H409" i="13"/>
  <c r="L406" i="13"/>
  <c r="E405" i="13"/>
  <c r="L403" i="13"/>
  <c r="G402" i="13"/>
  <c r="D401" i="13"/>
  <c r="C400" i="13"/>
  <c r="B399" i="13"/>
  <c r="M397" i="13"/>
  <c r="M396" i="13"/>
  <c r="L395" i="13"/>
  <c r="K394" i="13"/>
  <c r="J393" i="13"/>
  <c r="I392" i="13"/>
  <c r="I391" i="13"/>
  <c r="I390" i="13"/>
  <c r="H389" i="13"/>
  <c r="G388" i="13"/>
  <c r="F387" i="13"/>
  <c r="E386" i="13"/>
  <c r="E385" i="13"/>
  <c r="D384" i="13"/>
  <c r="C383" i="13"/>
  <c r="B382" i="13"/>
  <c r="L380" i="13"/>
  <c r="K379" i="13"/>
  <c r="J378" i="13"/>
  <c r="I377" i="13"/>
  <c r="H376" i="13"/>
  <c r="G375" i="13"/>
  <c r="F374" i="13"/>
  <c r="E373" i="13"/>
  <c r="D372" i="13"/>
  <c r="C371" i="13"/>
  <c r="B370" i="13"/>
  <c r="L368" i="13"/>
  <c r="K367" i="13"/>
  <c r="J366" i="13"/>
  <c r="I365" i="13"/>
  <c r="H364" i="13"/>
  <c r="G363" i="13"/>
  <c r="F362" i="13"/>
  <c r="E361" i="13"/>
  <c r="D360" i="13"/>
  <c r="C359" i="13"/>
  <c r="B358" i="13"/>
  <c r="L356" i="13"/>
  <c r="K355" i="13"/>
  <c r="J354" i="13"/>
  <c r="I353" i="13"/>
  <c r="H352" i="13"/>
  <c r="G351" i="13"/>
  <c r="F350" i="13"/>
  <c r="E349" i="13"/>
  <c r="D348" i="13"/>
  <c r="C347" i="13"/>
  <c r="B346" i="13"/>
  <c r="M344" i="13"/>
  <c r="M343" i="13"/>
  <c r="L342" i="13"/>
  <c r="K341" i="13"/>
  <c r="J340" i="13"/>
  <c r="J339" i="13"/>
  <c r="J338" i="13"/>
  <c r="I337" i="13"/>
  <c r="I336" i="13"/>
  <c r="H335" i="13"/>
  <c r="H334" i="13"/>
  <c r="H333" i="13"/>
  <c r="G332" i="13"/>
  <c r="F331" i="13"/>
  <c r="F330" i="13"/>
  <c r="F329" i="13"/>
  <c r="F328" i="13"/>
  <c r="F327" i="13"/>
  <c r="F326" i="13"/>
  <c r="F325" i="13"/>
  <c r="F324" i="13"/>
  <c r="F323" i="13"/>
  <c r="E322" i="13"/>
  <c r="D321" i="13"/>
  <c r="D320" i="13"/>
  <c r="C319" i="13"/>
  <c r="C318" i="13"/>
  <c r="B317" i="13"/>
  <c r="M315" i="13"/>
  <c r="L314" i="13"/>
  <c r="L313" i="13"/>
  <c r="K312" i="13"/>
  <c r="J311" i="13"/>
  <c r="I310" i="13"/>
  <c r="H309" i="13"/>
  <c r="G308" i="13"/>
  <c r="F307" i="13"/>
  <c r="E306" i="13"/>
  <c r="D305" i="13"/>
  <c r="C304" i="13"/>
  <c r="B303" i="13"/>
  <c r="L301" i="13"/>
  <c r="K300" i="13"/>
  <c r="J299" i="13"/>
  <c r="I298" i="13"/>
  <c r="H297" i="13"/>
  <c r="G296" i="13"/>
  <c r="F295" i="13"/>
  <c r="E294" i="13"/>
  <c r="D293" i="13"/>
  <c r="C292" i="13"/>
  <c r="B291" i="13"/>
  <c r="L289" i="13"/>
  <c r="K288" i="13"/>
  <c r="J287" i="13"/>
  <c r="J286" i="13"/>
  <c r="I285" i="13"/>
  <c r="H284" i="13"/>
  <c r="G283" i="13"/>
  <c r="F282" i="13"/>
  <c r="F281" i="13"/>
  <c r="E280" i="13"/>
  <c r="D279" i="13"/>
  <c r="C278" i="13"/>
  <c r="B277" i="13"/>
  <c r="L275" i="13"/>
  <c r="K274" i="13"/>
  <c r="J273" i="13"/>
  <c r="I272" i="13"/>
  <c r="I271" i="13"/>
  <c r="H270" i="13"/>
  <c r="G269" i="13"/>
  <c r="F268" i="13"/>
  <c r="E267" i="13"/>
  <c r="D266" i="13"/>
  <c r="C265" i="13"/>
  <c r="C264" i="13"/>
  <c r="B263" i="13"/>
  <c r="L261" i="13"/>
  <c r="K260" i="13"/>
  <c r="J259" i="13"/>
  <c r="J258" i="13"/>
  <c r="I257" i="13"/>
  <c r="I256" i="13"/>
  <c r="H255" i="13"/>
  <c r="H254" i="13"/>
  <c r="G253" i="13"/>
  <c r="G252" i="13"/>
  <c r="F251" i="13"/>
  <c r="E250" i="13"/>
  <c r="D249" i="13"/>
  <c r="C248" i="13"/>
  <c r="B247" i="13"/>
  <c r="M245" i="13"/>
  <c r="L244" i="13"/>
  <c r="K243" i="13"/>
  <c r="K242" i="13"/>
  <c r="K241" i="13"/>
  <c r="J240" i="13"/>
  <c r="I239" i="13"/>
  <c r="H238" i="13"/>
  <c r="G237" i="13"/>
  <c r="F236" i="13"/>
  <c r="E235" i="13"/>
  <c r="D234" i="13"/>
  <c r="D233" i="13"/>
  <c r="C232" i="13"/>
  <c r="B231" i="13"/>
  <c r="M229" i="13"/>
  <c r="M228" i="13"/>
  <c r="L227" i="13"/>
  <c r="K226" i="13"/>
  <c r="J225" i="13"/>
  <c r="E292" i="14"/>
  <c r="I232" i="14"/>
  <c r="L204" i="14"/>
  <c r="H190" i="14"/>
  <c r="L179" i="14"/>
  <c r="J172" i="14"/>
  <c r="H165" i="14"/>
  <c r="I160" i="14"/>
  <c r="K155" i="14"/>
  <c r="C151" i="14"/>
  <c r="E146" i="14"/>
  <c r="G141" i="14"/>
  <c r="I136" i="14"/>
  <c r="K131" i="14"/>
  <c r="C127" i="14"/>
  <c r="E122" i="14"/>
  <c r="J117" i="14"/>
  <c r="C113" i="14"/>
  <c r="H108" i="14"/>
  <c r="E103" i="14"/>
  <c r="L97" i="14"/>
  <c r="H92" i="14"/>
  <c r="E87" i="14"/>
  <c r="L81" i="14"/>
  <c r="H76" i="14"/>
  <c r="F71" i="14"/>
  <c r="C66" i="14"/>
  <c r="J60" i="14"/>
  <c r="F55" i="14"/>
  <c r="C50" i="14"/>
  <c r="J44" i="14"/>
  <c r="F39" i="14"/>
  <c r="C34" i="14"/>
  <c r="K28" i="14"/>
  <c r="G23" i="14"/>
  <c r="D18" i="14"/>
  <c r="C13" i="14"/>
  <c r="J7" i="14"/>
  <c r="E478" i="13"/>
  <c r="F471" i="13"/>
  <c r="J464" i="13"/>
  <c r="L459" i="13"/>
  <c r="C455" i="13"/>
  <c r="F450" i="13"/>
  <c r="I445" i="13"/>
  <c r="K440" i="13"/>
  <c r="B436" i="13"/>
  <c r="D431" i="13"/>
  <c r="F426" i="13"/>
  <c r="I421" i="13"/>
  <c r="D417" i="13"/>
  <c r="K412" i="13"/>
  <c r="G409" i="13"/>
  <c r="H406" i="13"/>
  <c r="D405" i="13"/>
  <c r="J403" i="13"/>
  <c r="F402" i="13"/>
  <c r="C401" i="13"/>
  <c r="B400" i="13"/>
  <c r="L398" i="13"/>
  <c r="L397" i="13"/>
  <c r="L396" i="13"/>
  <c r="K395" i="13"/>
  <c r="J394" i="13"/>
  <c r="I393" i="13"/>
  <c r="H392" i="13"/>
  <c r="H391" i="13"/>
  <c r="H390" i="13"/>
  <c r="G389" i="13"/>
  <c r="F388" i="13"/>
  <c r="E387" i="13"/>
  <c r="D386" i="13"/>
  <c r="D385" i="13"/>
  <c r="C384" i="13"/>
  <c r="B383" i="13"/>
  <c r="L381" i="13"/>
  <c r="K380" i="13"/>
  <c r="J379" i="13"/>
  <c r="I378" i="13"/>
  <c r="H377" i="13"/>
  <c r="G376" i="13"/>
  <c r="F375" i="13"/>
  <c r="E374" i="13"/>
  <c r="D373" i="13"/>
  <c r="C372" i="13"/>
  <c r="B371" i="13"/>
  <c r="L369" i="13"/>
  <c r="K368" i="13"/>
  <c r="J367" i="13"/>
  <c r="I366" i="13"/>
  <c r="H365" i="13"/>
  <c r="G364" i="13"/>
  <c r="F363" i="13"/>
  <c r="E362" i="13"/>
  <c r="D361" i="13"/>
  <c r="C360" i="13"/>
  <c r="B359" i="13"/>
  <c r="L357" i="13"/>
  <c r="K356" i="13"/>
  <c r="J355" i="13"/>
  <c r="I354" i="13"/>
  <c r="H353" i="13"/>
  <c r="G352" i="13"/>
  <c r="F351" i="13"/>
  <c r="E350" i="13"/>
  <c r="D349" i="13"/>
  <c r="C348" i="13"/>
  <c r="B347" i="13"/>
  <c r="L345" i="13"/>
  <c r="L344" i="13"/>
  <c r="L343" i="13"/>
  <c r="K342" i="13"/>
  <c r="J341" i="13"/>
  <c r="I340" i="13"/>
  <c r="I339" i="13"/>
  <c r="I338" i="13"/>
  <c r="H337" i="13"/>
  <c r="H336" i="13"/>
  <c r="G335" i="13"/>
  <c r="G334" i="13"/>
  <c r="G333" i="13"/>
  <c r="F332" i="13"/>
  <c r="E331" i="13"/>
  <c r="E330" i="13"/>
  <c r="E329" i="13"/>
  <c r="E328" i="13"/>
  <c r="E327" i="13"/>
  <c r="E326" i="13"/>
  <c r="E325" i="13"/>
  <c r="E324" i="13"/>
  <c r="E323" i="13"/>
  <c r="D322" i="13"/>
  <c r="C321" i="13"/>
  <c r="C320" i="13"/>
  <c r="B319" i="13"/>
  <c r="B318" i="13"/>
  <c r="L316" i="13"/>
  <c r="L315" i="13"/>
  <c r="K314" i="13"/>
  <c r="K313" i="13"/>
  <c r="J312" i="13"/>
  <c r="I311" i="13"/>
  <c r="H310" i="13"/>
  <c r="G309" i="13"/>
  <c r="F308" i="13"/>
  <c r="E307" i="13"/>
  <c r="D306" i="13"/>
  <c r="C305" i="13"/>
  <c r="B304" i="13"/>
  <c r="L302" i="13"/>
  <c r="K301" i="13"/>
  <c r="J300" i="13"/>
  <c r="I299" i="13"/>
  <c r="H298" i="13"/>
  <c r="G297" i="13"/>
  <c r="F296" i="13"/>
  <c r="E295" i="13"/>
  <c r="D294" i="13"/>
  <c r="C293" i="13"/>
  <c r="B292" i="13"/>
  <c r="L290" i="13"/>
  <c r="K289" i="13"/>
  <c r="J288" i="13"/>
  <c r="I287" i="13"/>
  <c r="I286" i="13"/>
  <c r="H285" i="13"/>
  <c r="G284" i="13"/>
  <c r="F283" i="13"/>
  <c r="E282" i="13"/>
  <c r="E281" i="13"/>
  <c r="D280" i="13"/>
  <c r="C279" i="13"/>
  <c r="B278" i="13"/>
  <c r="L276" i="13"/>
  <c r="K275" i="13"/>
  <c r="J274" i="13"/>
  <c r="I273" i="13"/>
  <c r="H272" i="13"/>
  <c r="H271" i="13"/>
  <c r="G270" i="13"/>
  <c r="F269" i="13"/>
  <c r="E268" i="13"/>
  <c r="D267" i="13"/>
  <c r="C266" i="13"/>
  <c r="B265" i="13"/>
  <c r="B264" i="13"/>
  <c r="L262" i="13"/>
  <c r="K261" i="13"/>
  <c r="J260" i="13"/>
  <c r="I259" i="13"/>
  <c r="I258" i="13"/>
  <c r="H257" i="13"/>
  <c r="H256" i="13"/>
  <c r="G255" i="13"/>
  <c r="G254" i="13"/>
  <c r="F253" i="13"/>
  <c r="F252" i="13"/>
  <c r="E251" i="13"/>
  <c r="D250" i="13"/>
  <c r="C249" i="13"/>
  <c r="B248" i="13"/>
  <c r="L246" i="13"/>
  <c r="L245" i="13"/>
  <c r="K244" i="13"/>
  <c r="J243" i="13"/>
  <c r="J242" i="13"/>
  <c r="J241" i="13"/>
  <c r="I240" i="13"/>
  <c r="H239" i="13"/>
  <c r="G238" i="13"/>
  <c r="F237" i="13"/>
  <c r="E236" i="13"/>
  <c r="D235" i="13"/>
  <c r="C234" i="13"/>
  <c r="C233" i="13"/>
  <c r="B232" i="13"/>
  <c r="L230" i="13"/>
  <c r="L229" i="13"/>
  <c r="L228" i="13"/>
  <c r="K227" i="13"/>
  <c r="J226" i="13"/>
  <c r="I225" i="13"/>
  <c r="H224" i="13"/>
  <c r="G223" i="13"/>
  <c r="G222" i="13"/>
  <c r="F221" i="13"/>
  <c r="E220" i="13"/>
  <c r="E219" i="13"/>
  <c r="D218" i="13"/>
  <c r="C217" i="13"/>
  <c r="B216" i="13"/>
  <c r="L214" i="13"/>
  <c r="K213" i="13"/>
  <c r="J212" i="13"/>
  <c r="I211" i="13"/>
  <c r="H210" i="13"/>
  <c r="G209" i="13"/>
  <c r="F208" i="13"/>
  <c r="E207" i="13"/>
  <c r="D206" i="13"/>
  <c r="C205" i="13"/>
  <c r="B204" i="13"/>
  <c r="L202" i="13"/>
  <c r="K201" i="13"/>
  <c r="J200" i="13"/>
  <c r="I199" i="13"/>
  <c r="H198" i="13"/>
  <c r="G197" i="13"/>
  <c r="F196" i="13"/>
  <c r="E195" i="13"/>
  <c r="D194" i="13"/>
  <c r="C193" i="13"/>
  <c r="B192" i="13"/>
  <c r="L190" i="13"/>
  <c r="D285" i="14"/>
  <c r="D229" i="14"/>
  <c r="J203" i="14"/>
  <c r="F189" i="14"/>
  <c r="J179" i="14"/>
  <c r="H172" i="14"/>
  <c r="F165" i="14"/>
  <c r="H160" i="14"/>
  <c r="J155" i="14"/>
  <c r="L150" i="14"/>
  <c r="D146" i="14"/>
  <c r="F141" i="14"/>
  <c r="H136" i="14"/>
  <c r="J131" i="14"/>
  <c r="L126" i="14"/>
  <c r="D122" i="14"/>
  <c r="I117" i="14"/>
  <c r="L112" i="14"/>
  <c r="G108" i="14"/>
  <c r="D103" i="14"/>
  <c r="K97" i="14"/>
  <c r="G92" i="14"/>
  <c r="D87" i="14"/>
  <c r="K81" i="14"/>
  <c r="G76" i="14"/>
  <c r="E71" i="14"/>
  <c r="L65" i="14"/>
  <c r="H60" i="14"/>
  <c r="E55" i="14"/>
  <c r="L49" i="14"/>
  <c r="H44" i="14"/>
  <c r="E39" i="14"/>
  <c r="L33" i="14"/>
  <c r="J28" i="14"/>
  <c r="F23" i="14"/>
  <c r="C18" i="14"/>
  <c r="L12" i="14"/>
  <c r="H7" i="14"/>
  <c r="D478" i="13"/>
  <c r="E471" i="13"/>
  <c r="I464" i="13"/>
  <c r="K459" i="13"/>
  <c r="B455" i="13"/>
  <c r="E450" i="13"/>
  <c r="G445" i="13"/>
  <c r="J440" i="13"/>
  <c r="L435" i="13"/>
  <c r="C431" i="13"/>
  <c r="E426" i="13"/>
  <c r="G421" i="13"/>
  <c r="C417" i="13"/>
  <c r="J412" i="13"/>
  <c r="J408" i="13"/>
  <c r="G406" i="13"/>
  <c r="C405" i="13"/>
  <c r="I403" i="13"/>
  <c r="E402" i="13"/>
  <c r="B401" i="13"/>
  <c r="L399" i="13"/>
  <c r="K398" i="13"/>
  <c r="K397" i="13"/>
  <c r="K396" i="13"/>
  <c r="J395" i="13"/>
  <c r="I394" i="13"/>
  <c r="H393" i="13"/>
  <c r="G392" i="13"/>
  <c r="G391" i="13"/>
  <c r="G390" i="13"/>
  <c r="F389" i="13"/>
  <c r="E388" i="13"/>
  <c r="D387" i="13"/>
  <c r="C386" i="13"/>
  <c r="C385" i="13"/>
  <c r="B384" i="13"/>
  <c r="L382" i="13"/>
  <c r="K381" i="13"/>
  <c r="J380" i="13"/>
  <c r="I379" i="13"/>
  <c r="H378" i="13"/>
  <c r="G377" i="13"/>
  <c r="F376" i="13"/>
  <c r="E375" i="13"/>
  <c r="D374" i="13"/>
  <c r="C373" i="13"/>
  <c r="B372" i="13"/>
  <c r="L370" i="13"/>
  <c r="K369" i="13"/>
  <c r="J368" i="13"/>
  <c r="I367" i="13"/>
  <c r="H366" i="13"/>
  <c r="G365" i="13"/>
  <c r="F364" i="13"/>
  <c r="E363" i="13"/>
  <c r="D362" i="13"/>
  <c r="C361" i="13"/>
  <c r="B360" i="13"/>
  <c r="L358" i="13"/>
  <c r="K357" i="13"/>
  <c r="J356" i="13"/>
  <c r="I355" i="13"/>
  <c r="H354" i="13"/>
  <c r="G353" i="13"/>
  <c r="F352" i="13"/>
  <c r="E351" i="13"/>
  <c r="D350" i="13"/>
  <c r="C349" i="13"/>
  <c r="B348" i="13"/>
  <c r="L346" i="13"/>
  <c r="K345" i="13"/>
  <c r="K344" i="13"/>
  <c r="K343" i="13"/>
  <c r="J342" i="13"/>
  <c r="I341" i="13"/>
  <c r="H340" i="13"/>
  <c r="H339" i="13"/>
  <c r="H338" i="13"/>
  <c r="G337" i="13"/>
  <c r="G336" i="13"/>
  <c r="F335" i="13"/>
  <c r="F334" i="13"/>
  <c r="F333" i="13"/>
  <c r="E332" i="13"/>
  <c r="D331" i="13"/>
  <c r="D330" i="13"/>
  <c r="D329" i="13"/>
  <c r="D328" i="13"/>
  <c r="D327" i="13"/>
  <c r="D326" i="13"/>
  <c r="D325" i="13"/>
  <c r="D324" i="13"/>
  <c r="D323" i="13"/>
  <c r="C322" i="13"/>
  <c r="B321" i="13"/>
  <c r="B320" i="13"/>
  <c r="M318" i="13"/>
  <c r="L317" i="13"/>
  <c r="K316" i="13"/>
  <c r="K315" i="13"/>
  <c r="J314" i="13"/>
  <c r="J313" i="13"/>
  <c r="I312" i="13"/>
  <c r="H311" i="13"/>
  <c r="G310" i="13"/>
  <c r="F309" i="13"/>
  <c r="E308" i="13"/>
  <c r="D307" i="13"/>
  <c r="C306" i="13"/>
  <c r="B305" i="13"/>
  <c r="L303" i="13"/>
  <c r="K302" i="13"/>
  <c r="J301" i="13"/>
  <c r="I300" i="13"/>
  <c r="H299" i="13"/>
  <c r="G298" i="13"/>
  <c r="F297" i="13"/>
  <c r="E296" i="13"/>
  <c r="D295" i="13"/>
  <c r="C294" i="13"/>
  <c r="B293" i="13"/>
  <c r="L291" i="13"/>
  <c r="K290" i="13"/>
  <c r="J289" i="13"/>
  <c r="I288" i="13"/>
  <c r="H287" i="13"/>
  <c r="H286" i="13"/>
  <c r="G285" i="13"/>
  <c r="F284" i="13"/>
  <c r="E283" i="13"/>
  <c r="D282" i="13"/>
  <c r="D281" i="13"/>
  <c r="C280" i="13"/>
  <c r="B279" i="13"/>
  <c r="L277" i="13"/>
  <c r="K276" i="13"/>
  <c r="J275" i="13"/>
  <c r="I274" i="13"/>
  <c r="H273" i="13"/>
  <c r="G272" i="13"/>
  <c r="G271" i="13"/>
  <c r="F270" i="13"/>
  <c r="E269" i="13"/>
  <c r="D268" i="13"/>
  <c r="C267" i="13"/>
  <c r="B266" i="13"/>
  <c r="M264" i="13"/>
  <c r="L263" i="13"/>
  <c r="K262" i="13"/>
  <c r="J261" i="13"/>
  <c r="I260" i="13"/>
  <c r="H259" i="13"/>
  <c r="H258" i="13"/>
  <c r="G257" i="13"/>
  <c r="G256" i="13"/>
  <c r="F255" i="13"/>
  <c r="F254" i="13"/>
  <c r="E253" i="13"/>
  <c r="E252" i="13"/>
  <c r="D251" i="13"/>
  <c r="C250" i="13"/>
  <c r="B249" i="13"/>
  <c r="L247" i="13"/>
  <c r="K246" i="13"/>
  <c r="K245" i="13"/>
  <c r="J244" i="13"/>
  <c r="I243" i="13"/>
  <c r="I242" i="13"/>
  <c r="I241" i="13"/>
  <c r="H240" i="13"/>
  <c r="G239" i="13"/>
  <c r="F238" i="13"/>
  <c r="E237" i="13"/>
  <c r="D236" i="13"/>
  <c r="C235" i="13"/>
  <c r="B234" i="13"/>
  <c r="B233" i="13"/>
  <c r="L231" i="13"/>
  <c r="K230" i="13"/>
  <c r="K229" i="13"/>
  <c r="K228" i="13"/>
  <c r="J227" i="13"/>
  <c r="I226" i="13"/>
  <c r="H225" i="13"/>
  <c r="G224" i="13"/>
  <c r="F223" i="13"/>
  <c r="F222" i="13"/>
  <c r="E221" i="13"/>
  <c r="D220" i="13"/>
  <c r="D219" i="13"/>
  <c r="C218" i="13"/>
  <c r="B217" i="13"/>
  <c r="L215" i="13"/>
  <c r="K214" i="13"/>
  <c r="J213" i="13"/>
  <c r="I212" i="13"/>
  <c r="H211" i="13"/>
  <c r="G210" i="13"/>
  <c r="F209" i="13"/>
  <c r="E208" i="13"/>
  <c r="D207" i="13"/>
  <c r="C206" i="13"/>
  <c r="B205" i="13"/>
  <c r="L203" i="13"/>
  <c r="K202" i="13"/>
  <c r="J201" i="13"/>
  <c r="I200" i="13"/>
  <c r="H199" i="13"/>
  <c r="G198" i="13"/>
  <c r="F197" i="13"/>
  <c r="E196" i="13"/>
  <c r="D195" i="13"/>
  <c r="C278" i="14"/>
  <c r="G226" i="14"/>
  <c r="H202" i="14"/>
  <c r="D188" i="14"/>
  <c r="J178" i="14"/>
  <c r="H171" i="14"/>
  <c r="F164" i="14"/>
  <c r="H159" i="14"/>
  <c r="J154" i="14"/>
  <c r="L149" i="14"/>
  <c r="D145" i="14"/>
  <c r="F140" i="14"/>
  <c r="H135" i="14"/>
  <c r="J130" i="14"/>
  <c r="L125" i="14"/>
  <c r="D121" i="14"/>
  <c r="J116" i="14"/>
  <c r="M111" i="14"/>
  <c r="F107" i="14"/>
  <c r="C102" i="14"/>
  <c r="J96" i="14"/>
  <c r="F91" i="14"/>
  <c r="C86" i="14"/>
  <c r="J80" i="14"/>
  <c r="F75" i="14"/>
  <c r="D70" i="14"/>
  <c r="K64" i="14"/>
  <c r="G59" i="14"/>
  <c r="D54" i="14"/>
  <c r="K48" i="14"/>
  <c r="G43" i="14"/>
  <c r="D38" i="14"/>
  <c r="K32" i="14"/>
  <c r="H27" i="14"/>
  <c r="E22" i="14"/>
  <c r="L16" i="14"/>
  <c r="K11" i="14"/>
  <c r="G6" i="14"/>
  <c r="H476" i="13"/>
  <c r="I469" i="13"/>
  <c r="I463" i="13"/>
  <c r="K458" i="13"/>
  <c r="B454" i="13"/>
  <c r="E449" i="13"/>
  <c r="G444" i="13"/>
  <c r="J439" i="13"/>
  <c r="L434" i="13"/>
  <c r="C430" i="13"/>
  <c r="E425" i="13"/>
  <c r="G420" i="13"/>
  <c r="D416" i="13"/>
  <c r="K411" i="13"/>
  <c r="H408" i="13"/>
  <c r="F406" i="13"/>
  <c r="B405" i="13"/>
  <c r="F403" i="13"/>
  <c r="D402" i="13"/>
  <c r="L400" i="13"/>
  <c r="K399" i="13"/>
  <c r="J398" i="13"/>
  <c r="J397" i="13"/>
  <c r="J396" i="13"/>
  <c r="I395" i="13"/>
  <c r="H394" i="13"/>
  <c r="G393" i="13"/>
  <c r="F392" i="13"/>
  <c r="F391" i="13"/>
  <c r="F390" i="13"/>
  <c r="E389" i="13"/>
  <c r="D388" i="13"/>
  <c r="C387" i="13"/>
  <c r="B386" i="13"/>
  <c r="B385" i="13"/>
  <c r="L383" i="13"/>
  <c r="K382" i="13"/>
  <c r="J381" i="13"/>
  <c r="I380" i="13"/>
  <c r="H379" i="13"/>
  <c r="G378" i="13"/>
  <c r="F377" i="13"/>
  <c r="E376" i="13"/>
  <c r="D375" i="13"/>
  <c r="C374" i="13"/>
  <c r="B373" i="13"/>
  <c r="L371" i="13"/>
  <c r="K370" i="13"/>
  <c r="J369" i="13"/>
  <c r="I368" i="13"/>
  <c r="H367" i="13"/>
  <c r="G366" i="13"/>
  <c r="F365" i="13"/>
  <c r="E364" i="13"/>
  <c r="D363" i="13"/>
  <c r="C362" i="13"/>
  <c r="B361" i="13"/>
  <c r="L359" i="13"/>
  <c r="K358" i="13"/>
  <c r="J357" i="13"/>
  <c r="I356" i="13"/>
  <c r="H355" i="13"/>
  <c r="G354" i="13"/>
  <c r="F353" i="13"/>
  <c r="E352" i="13"/>
  <c r="D351" i="13"/>
  <c r="C350" i="13"/>
  <c r="B349" i="13"/>
  <c r="L347" i="13"/>
  <c r="K346" i="13"/>
  <c r="J345" i="13"/>
  <c r="J344" i="13"/>
  <c r="J343" i="13"/>
  <c r="I342" i="13"/>
  <c r="H341" i="13"/>
  <c r="G340" i="13"/>
  <c r="G339" i="13"/>
  <c r="G338" i="13"/>
  <c r="F337" i="13"/>
  <c r="F336" i="13"/>
  <c r="E335" i="13"/>
  <c r="E334" i="13"/>
  <c r="E333" i="13"/>
  <c r="D332" i="13"/>
  <c r="C331" i="13"/>
  <c r="C330" i="13"/>
  <c r="C329" i="13"/>
  <c r="C328" i="13"/>
  <c r="C327" i="13"/>
  <c r="C326" i="13"/>
  <c r="C325" i="13"/>
  <c r="C324" i="13"/>
  <c r="C323" i="13"/>
  <c r="B322" i="13"/>
  <c r="M320" i="13"/>
  <c r="L319" i="13"/>
  <c r="L318" i="13"/>
  <c r="K317" i="13"/>
  <c r="J316" i="13"/>
  <c r="J315" i="13"/>
  <c r="I314" i="13"/>
  <c r="I313" i="13"/>
  <c r="H312" i="13"/>
  <c r="G311" i="13"/>
  <c r="F310" i="13"/>
  <c r="E309" i="13"/>
  <c r="D308" i="13"/>
  <c r="C307" i="13"/>
  <c r="B306" i="13"/>
  <c r="L304" i="13"/>
  <c r="K303" i="13"/>
  <c r="J302" i="13"/>
  <c r="I301" i="13"/>
  <c r="H300" i="13"/>
  <c r="G299" i="13"/>
  <c r="F298" i="13"/>
  <c r="E297" i="13"/>
  <c r="D296" i="13"/>
  <c r="C295" i="13"/>
  <c r="B294" i="13"/>
  <c r="L292" i="13"/>
  <c r="K291" i="13"/>
  <c r="J290" i="13"/>
  <c r="I289" i="13"/>
  <c r="H288" i="13"/>
  <c r="G287" i="13"/>
  <c r="G286" i="13"/>
  <c r="F285" i="13"/>
  <c r="E284" i="13"/>
  <c r="D283" i="13"/>
  <c r="C282" i="13"/>
  <c r="C281" i="13"/>
  <c r="B280" i="13"/>
  <c r="L278" i="13"/>
  <c r="K277" i="13"/>
  <c r="J276" i="13"/>
  <c r="I275" i="13"/>
  <c r="H274" i="13"/>
  <c r="G273" i="13"/>
  <c r="F272" i="13"/>
  <c r="F271" i="13"/>
  <c r="E270" i="13"/>
  <c r="D269" i="13"/>
  <c r="C268" i="13"/>
  <c r="B267" i="13"/>
  <c r="L265" i="13"/>
  <c r="L264" i="13"/>
  <c r="K263" i="13"/>
  <c r="J262" i="13"/>
  <c r="I261" i="13"/>
  <c r="H260" i="13"/>
  <c r="G259" i="13"/>
  <c r="G258" i="13"/>
  <c r="F257" i="13"/>
  <c r="F256" i="13"/>
  <c r="E255" i="13"/>
  <c r="E254" i="13"/>
  <c r="D253" i="13"/>
  <c r="D252" i="13"/>
  <c r="C251" i="13"/>
  <c r="B250" i="13"/>
  <c r="L248" i="13"/>
  <c r="K247" i="13"/>
  <c r="J246" i="13"/>
  <c r="J245" i="13"/>
  <c r="I244" i="13"/>
  <c r="H243" i="13"/>
  <c r="H242" i="13"/>
  <c r="H241" i="13"/>
  <c r="G240" i="13"/>
  <c r="F239" i="13"/>
  <c r="E238" i="13"/>
  <c r="D237" i="13"/>
  <c r="C236" i="13"/>
  <c r="B235" i="13"/>
  <c r="M233" i="13"/>
  <c r="L232" i="13"/>
  <c r="K231" i="13"/>
  <c r="J230" i="13"/>
  <c r="J229" i="13"/>
  <c r="J228" i="13"/>
  <c r="L270" i="14"/>
  <c r="J223" i="14"/>
  <c r="F201" i="14"/>
  <c r="L186" i="14"/>
  <c r="H178" i="14"/>
  <c r="F171" i="14"/>
  <c r="E164" i="14"/>
  <c r="G159" i="14"/>
  <c r="I154" i="14"/>
  <c r="K149" i="14"/>
  <c r="C145" i="14"/>
  <c r="E140" i="14"/>
  <c r="G135" i="14"/>
  <c r="I130" i="14"/>
  <c r="K125" i="14"/>
  <c r="C121" i="14"/>
  <c r="I116" i="14"/>
  <c r="L111" i="14"/>
  <c r="E107" i="14"/>
  <c r="L101" i="14"/>
  <c r="H96" i="14"/>
  <c r="E91" i="14"/>
  <c r="L85" i="14"/>
  <c r="H80" i="14"/>
  <c r="E75" i="14"/>
  <c r="C70" i="14"/>
  <c r="J64" i="14"/>
  <c r="F59" i="14"/>
  <c r="C54" i="14"/>
  <c r="J48" i="14"/>
  <c r="F43" i="14"/>
  <c r="C38" i="14"/>
  <c r="J32" i="14"/>
  <c r="G27" i="14"/>
  <c r="D22" i="14"/>
  <c r="K16" i="14"/>
  <c r="J11" i="14"/>
  <c r="F6" i="14"/>
  <c r="G476" i="13"/>
  <c r="H469" i="13"/>
  <c r="G463" i="13"/>
  <c r="J458" i="13"/>
  <c r="M453" i="13"/>
  <c r="D449" i="13"/>
  <c r="F444" i="13"/>
  <c r="I439" i="13"/>
  <c r="K434" i="13"/>
  <c r="B430" i="13"/>
  <c r="D425" i="13"/>
  <c r="F420" i="13"/>
  <c r="C416" i="13"/>
  <c r="J411" i="13"/>
  <c r="G408" i="13"/>
  <c r="E406" i="13"/>
  <c r="K404" i="13"/>
  <c r="E403" i="13"/>
  <c r="C402" i="13"/>
  <c r="K400" i="13"/>
  <c r="J399" i="13"/>
  <c r="I398" i="13"/>
  <c r="I397" i="13"/>
  <c r="I396" i="13"/>
  <c r="H395" i="13"/>
  <c r="G394" i="13"/>
  <c r="F393" i="13"/>
  <c r="E392" i="13"/>
  <c r="E391" i="13"/>
  <c r="E390" i="13"/>
  <c r="D389" i="13"/>
  <c r="C388" i="13"/>
  <c r="B387" i="13"/>
  <c r="M385" i="13"/>
  <c r="L384" i="13"/>
  <c r="K383" i="13"/>
  <c r="J382" i="13"/>
  <c r="I381" i="13"/>
  <c r="H380" i="13"/>
  <c r="G379" i="13"/>
  <c r="F378" i="13"/>
  <c r="E377" i="13"/>
  <c r="D376" i="13"/>
  <c r="C375" i="13"/>
  <c r="B374" i="13"/>
  <c r="L372" i="13"/>
  <c r="K371" i="13"/>
  <c r="J370" i="13"/>
  <c r="I369" i="13"/>
  <c r="H368" i="13"/>
  <c r="G367" i="13"/>
  <c r="F366" i="13"/>
  <c r="E365" i="13"/>
  <c r="D364" i="13"/>
  <c r="C363" i="13"/>
  <c r="B362" i="13"/>
  <c r="L360" i="13"/>
  <c r="K359" i="13"/>
  <c r="J358" i="13"/>
  <c r="I357" i="13"/>
  <c r="H356" i="13"/>
  <c r="G355" i="13"/>
  <c r="F354" i="13"/>
  <c r="E353" i="13"/>
  <c r="D352" i="13"/>
  <c r="C351" i="13"/>
  <c r="B350" i="13"/>
  <c r="L348" i="13"/>
  <c r="K347" i="13"/>
  <c r="J346" i="13"/>
  <c r="I345" i="13"/>
  <c r="I344" i="13"/>
  <c r="I343" i="13"/>
  <c r="H342" i="13"/>
  <c r="G341" i="13"/>
  <c r="F340" i="13"/>
  <c r="F339" i="13"/>
  <c r="F338" i="13"/>
  <c r="E337" i="13"/>
  <c r="E336" i="13"/>
  <c r="D335" i="13"/>
  <c r="D334" i="13"/>
  <c r="D333" i="13"/>
  <c r="C332" i="13"/>
  <c r="B331" i="13"/>
  <c r="B330" i="13"/>
  <c r="B329" i="13"/>
  <c r="B328" i="13"/>
  <c r="B327" i="13"/>
  <c r="D266" i="14"/>
  <c r="I220" i="14"/>
  <c r="D200" i="14"/>
  <c r="J185" i="14"/>
  <c r="H177" i="14"/>
  <c r="F170" i="14"/>
  <c r="D164" i="14"/>
  <c r="F159" i="14"/>
  <c r="H154" i="14"/>
  <c r="J149" i="14"/>
  <c r="L144" i="14"/>
  <c r="D140" i="14"/>
  <c r="F135" i="14"/>
  <c r="H130" i="14"/>
  <c r="J125" i="14"/>
  <c r="L120" i="14"/>
  <c r="H116" i="14"/>
  <c r="K111" i="14"/>
  <c r="D107" i="14"/>
  <c r="K101" i="14"/>
  <c r="G96" i="14"/>
  <c r="D91" i="14"/>
  <c r="K85" i="14"/>
  <c r="G80" i="14"/>
  <c r="D75" i="14"/>
  <c r="L69" i="14"/>
  <c r="H64" i="14"/>
  <c r="E59" i="14"/>
  <c r="L53" i="14"/>
  <c r="H48" i="14"/>
  <c r="E43" i="14"/>
  <c r="L37" i="14"/>
  <c r="H32" i="14"/>
  <c r="F27" i="14"/>
  <c r="C22" i="14"/>
  <c r="J16" i="14"/>
  <c r="H11" i="14"/>
  <c r="E6" i="14"/>
  <c r="F476" i="13"/>
  <c r="G469" i="13"/>
  <c r="F463" i="13"/>
  <c r="I458" i="13"/>
  <c r="L453" i="13"/>
  <c r="C449" i="13"/>
  <c r="E444" i="13"/>
  <c r="G439" i="13"/>
  <c r="J434" i="13"/>
  <c r="L429" i="13"/>
  <c r="C425" i="13"/>
  <c r="E420" i="13"/>
  <c r="B416" i="13"/>
  <c r="I411" i="13"/>
  <c r="F408" i="13"/>
  <c r="D406" i="13"/>
  <c r="J404" i="13"/>
  <c r="D403" i="13"/>
  <c r="B402" i="13"/>
  <c r="J400" i="13"/>
  <c r="I399" i="13"/>
  <c r="H398" i="13"/>
  <c r="H397" i="13"/>
  <c r="H396" i="13"/>
  <c r="G395" i="13"/>
  <c r="F394" i="13"/>
  <c r="E393" i="13"/>
  <c r="D392" i="13"/>
  <c r="D391" i="13"/>
  <c r="D390" i="13"/>
  <c r="C389" i="13"/>
  <c r="B388" i="13"/>
  <c r="L386" i="13"/>
  <c r="L385" i="13"/>
  <c r="K384" i="13"/>
  <c r="J383" i="13"/>
  <c r="I382" i="13"/>
  <c r="H381" i="13"/>
  <c r="G380" i="13"/>
  <c r="F379" i="13"/>
  <c r="E378" i="13"/>
  <c r="D377" i="13"/>
  <c r="C376" i="13"/>
  <c r="B375" i="13"/>
  <c r="L373" i="13"/>
  <c r="K372" i="13"/>
  <c r="J371" i="13"/>
  <c r="I370" i="13"/>
  <c r="H369" i="13"/>
  <c r="G368" i="13"/>
  <c r="F367" i="13"/>
  <c r="E366" i="13"/>
  <c r="D365" i="13"/>
  <c r="C364" i="13"/>
  <c r="B363" i="13"/>
  <c r="L361" i="13"/>
  <c r="K360" i="13"/>
  <c r="J359" i="13"/>
  <c r="I358" i="13"/>
  <c r="H357" i="13"/>
  <c r="G356" i="13"/>
  <c r="F355" i="13"/>
  <c r="E354" i="13"/>
  <c r="D353" i="13"/>
  <c r="C352" i="13"/>
  <c r="B351" i="13"/>
  <c r="L349" i="13"/>
  <c r="K348" i="13"/>
  <c r="J347" i="13"/>
  <c r="I346" i="13"/>
  <c r="H345" i="13"/>
  <c r="H344" i="13"/>
  <c r="H343" i="13"/>
  <c r="G342" i="13"/>
  <c r="F341" i="13"/>
  <c r="E340" i="13"/>
  <c r="E339" i="13"/>
  <c r="E338" i="13"/>
  <c r="D337" i="13"/>
  <c r="D336" i="13"/>
  <c r="C335" i="13"/>
  <c r="C334" i="13"/>
  <c r="C333" i="13"/>
  <c r="B332" i="13"/>
  <c r="M330" i="13"/>
  <c r="M329" i="13"/>
  <c r="M328" i="13"/>
  <c r="M327" i="13"/>
  <c r="M326" i="13"/>
  <c r="M325" i="13"/>
  <c r="M324" i="13"/>
  <c r="M323" i="13"/>
  <c r="L322" i="13"/>
  <c r="K321" i="13"/>
  <c r="K320" i="13"/>
  <c r="J319" i="13"/>
  <c r="J318" i="13"/>
  <c r="I317" i="13"/>
  <c r="H316" i="13"/>
  <c r="H315" i="13"/>
  <c r="G314" i="13"/>
  <c r="G313" i="13"/>
  <c r="F312" i="13"/>
  <c r="E311" i="13"/>
  <c r="D310" i="13"/>
  <c r="C309" i="13"/>
  <c r="B308" i="13"/>
  <c r="L306" i="13"/>
  <c r="K305" i="13"/>
  <c r="J304" i="13"/>
  <c r="I303" i="13"/>
  <c r="H302" i="13"/>
  <c r="G301" i="13"/>
  <c r="F300" i="13"/>
  <c r="E299" i="13"/>
  <c r="D298" i="13"/>
  <c r="C297" i="13"/>
  <c r="B296" i="13"/>
  <c r="L294" i="13"/>
  <c r="K293" i="13"/>
  <c r="J292" i="13"/>
  <c r="I291" i="13"/>
  <c r="H290" i="13"/>
  <c r="G289" i="13"/>
  <c r="F288" i="13"/>
  <c r="E287" i="13"/>
  <c r="E286" i="13"/>
  <c r="D285" i="13"/>
  <c r="C284" i="13"/>
  <c r="B283" i="13"/>
  <c r="M281" i="13"/>
  <c r="L280" i="13"/>
  <c r="K279" i="13"/>
  <c r="J278" i="13"/>
  <c r="I277" i="13"/>
  <c r="H276" i="13"/>
  <c r="G275" i="13"/>
  <c r="F274" i="13"/>
  <c r="E273" i="13"/>
  <c r="D272" i="13"/>
  <c r="D271" i="13"/>
  <c r="C270" i="13"/>
  <c r="B269" i="13"/>
  <c r="L267" i="13"/>
  <c r="K266" i="13"/>
  <c r="J265" i="13"/>
  <c r="J264" i="13"/>
  <c r="I263" i="13"/>
  <c r="H262" i="13"/>
  <c r="G261" i="13"/>
  <c r="F260" i="13"/>
  <c r="E259" i="13"/>
  <c r="E258" i="13"/>
  <c r="D257" i="13"/>
  <c r="D256" i="13"/>
  <c r="C255" i="13"/>
  <c r="C254" i="13"/>
  <c r="B253" i="13"/>
  <c r="B252" i="13"/>
  <c r="L250" i="13"/>
  <c r="K249" i="13"/>
  <c r="J248" i="13"/>
  <c r="I247" i="13"/>
  <c r="H246" i="13"/>
  <c r="H245" i="13"/>
  <c r="G244" i="13"/>
  <c r="F243" i="13"/>
  <c r="F242" i="13"/>
  <c r="F241" i="13"/>
  <c r="E240" i="13"/>
  <c r="D239" i="13"/>
  <c r="C238" i="13"/>
  <c r="B237" i="13"/>
  <c r="L235" i="13"/>
  <c r="K234" i="13"/>
  <c r="K233" i="13"/>
  <c r="J232" i="13"/>
  <c r="I231" i="13"/>
  <c r="H230" i="13"/>
  <c r="H229" i="13"/>
  <c r="H228" i="13"/>
  <c r="G227" i="13"/>
  <c r="F226" i="13"/>
  <c r="E225" i="13"/>
  <c r="D224" i="13"/>
  <c r="C223" i="13"/>
  <c r="C222" i="13"/>
  <c r="B221" i="13"/>
  <c r="M219" i="13"/>
  <c r="L218" i="13"/>
  <c r="K217" i="13"/>
  <c r="J216" i="13"/>
  <c r="I215" i="13"/>
  <c r="H214" i="13"/>
  <c r="G213" i="13"/>
  <c r="F212" i="13"/>
  <c r="E211" i="13"/>
  <c r="D210" i="13"/>
  <c r="C380" i="14"/>
  <c r="K256" i="14"/>
  <c r="C215" i="14"/>
  <c r="J197" i="14"/>
  <c r="H183" i="14"/>
  <c r="F176" i="14"/>
  <c r="D169" i="14"/>
  <c r="C163" i="14"/>
  <c r="E158" i="14"/>
  <c r="G153" i="14"/>
  <c r="I148" i="14"/>
  <c r="K143" i="14"/>
  <c r="C139" i="14"/>
  <c r="E134" i="14"/>
  <c r="G129" i="14"/>
  <c r="I124" i="14"/>
  <c r="L119" i="14"/>
  <c r="G115" i="14"/>
  <c r="K110" i="14"/>
  <c r="L105" i="14"/>
  <c r="H100" i="14"/>
  <c r="E95" i="14"/>
  <c r="L89" i="14"/>
  <c r="H84" i="14"/>
  <c r="E79" i="14"/>
  <c r="M73" i="14"/>
  <c r="J68" i="14"/>
  <c r="F63" i="14"/>
  <c r="C58" i="14"/>
  <c r="J52" i="14"/>
  <c r="F47" i="14"/>
  <c r="C42" i="14"/>
  <c r="J36" i="14"/>
  <c r="F31" i="14"/>
  <c r="D26" i="14"/>
  <c r="K20" i="14"/>
  <c r="H15" i="14"/>
  <c r="F10" i="14"/>
  <c r="D5" i="14"/>
  <c r="I474" i="13"/>
  <c r="C468" i="13"/>
  <c r="E462" i="13"/>
  <c r="G457" i="13"/>
  <c r="K452" i="13"/>
  <c r="B448" i="13"/>
  <c r="D443" i="13"/>
  <c r="F438" i="13"/>
  <c r="I433" i="13"/>
  <c r="K428" i="13"/>
  <c r="B424" i="13"/>
  <c r="F419" i="13"/>
  <c r="B415" i="13"/>
  <c r="J410" i="13"/>
  <c r="I407" i="13"/>
  <c r="L405" i="13"/>
  <c r="F404" i="13"/>
  <c r="B403" i="13"/>
  <c r="K401" i="13"/>
  <c r="H400" i="13"/>
  <c r="G399" i="13"/>
  <c r="F398" i="13"/>
  <c r="F397" i="13"/>
  <c r="F396" i="13"/>
  <c r="E395" i="13"/>
  <c r="D394" i="13"/>
  <c r="C393" i="13"/>
  <c r="B392" i="13"/>
  <c r="B391" i="13"/>
  <c r="B390" i="13"/>
  <c r="L388" i="13"/>
  <c r="K387" i="13"/>
  <c r="J386" i="13"/>
  <c r="J385" i="13"/>
  <c r="I384" i="13"/>
  <c r="H383" i="13"/>
  <c r="G382" i="13"/>
  <c r="F381" i="13"/>
  <c r="E380" i="13"/>
  <c r="D379" i="13"/>
  <c r="C378" i="13"/>
  <c r="B377" i="13"/>
  <c r="L375" i="13"/>
  <c r="K374" i="13"/>
  <c r="J373" i="13"/>
  <c r="I372" i="13"/>
  <c r="H371" i="13"/>
  <c r="G370" i="13"/>
  <c r="F369" i="13"/>
  <c r="E368" i="13"/>
  <c r="D367" i="13"/>
  <c r="C366" i="13"/>
  <c r="B365" i="13"/>
  <c r="L363" i="13"/>
  <c r="K362" i="13"/>
  <c r="J361" i="13"/>
  <c r="I360" i="13"/>
  <c r="H359" i="13"/>
  <c r="G358" i="13"/>
  <c r="F357" i="13"/>
  <c r="E356" i="13"/>
  <c r="D355" i="13"/>
  <c r="C354" i="13"/>
  <c r="B353" i="13"/>
  <c r="L351" i="13"/>
  <c r="K350" i="13"/>
  <c r="J349" i="13"/>
  <c r="I348" i="13"/>
  <c r="H347" i="13"/>
  <c r="G346" i="13"/>
  <c r="F345" i="13"/>
  <c r="F344" i="13"/>
  <c r="F343" i="13"/>
  <c r="E342" i="13"/>
  <c r="D341" i="13"/>
  <c r="C340" i="13"/>
  <c r="C339" i="13"/>
  <c r="C338" i="13"/>
  <c r="B337" i="13"/>
  <c r="B336" i="13"/>
  <c r="M334" i="13"/>
  <c r="M333" i="13"/>
  <c r="L332" i="13"/>
  <c r="K331" i="13"/>
  <c r="K330" i="13"/>
  <c r="K329" i="13"/>
  <c r="K328" i="13"/>
  <c r="K327" i="13"/>
  <c r="K326" i="13"/>
  <c r="K325" i="13"/>
  <c r="K324" i="13"/>
  <c r="K323" i="13"/>
  <c r="J322" i="13"/>
  <c r="I321" i="13"/>
  <c r="I320" i="13"/>
  <c r="H319" i="13"/>
  <c r="H318" i="13"/>
  <c r="G317" i="13"/>
  <c r="F316" i="13"/>
  <c r="F315" i="13"/>
  <c r="E314" i="13"/>
  <c r="E313" i="13"/>
  <c r="D312" i="13"/>
  <c r="C311" i="13"/>
  <c r="B310" i="13"/>
  <c r="L308" i="13"/>
  <c r="K307" i="13"/>
  <c r="J306" i="13"/>
  <c r="I305" i="13"/>
  <c r="H304" i="13"/>
  <c r="G303" i="13"/>
  <c r="F302" i="13"/>
  <c r="E301" i="13"/>
  <c r="D300" i="13"/>
  <c r="C299" i="13"/>
  <c r="B298" i="13"/>
  <c r="L296" i="13"/>
  <c r="K295" i="13"/>
  <c r="J294" i="13"/>
  <c r="I293" i="13"/>
  <c r="H292" i="13"/>
  <c r="G291" i="13"/>
  <c r="F290" i="13"/>
  <c r="E289" i="13"/>
  <c r="D288" i="13"/>
  <c r="C287" i="13"/>
  <c r="C286" i="13"/>
  <c r="B285" i="13"/>
  <c r="L283" i="13"/>
  <c r="K282" i="13"/>
  <c r="K281" i="13"/>
  <c r="J280" i="13"/>
  <c r="I279" i="13"/>
  <c r="H278" i="13"/>
  <c r="G277" i="13"/>
  <c r="F276" i="13"/>
  <c r="E275" i="13"/>
  <c r="D274" i="13"/>
  <c r="C273" i="13"/>
  <c r="B272" i="13"/>
  <c r="B271" i="13"/>
  <c r="L269" i="13"/>
  <c r="K268" i="13"/>
  <c r="J267" i="13"/>
  <c r="I266" i="13"/>
  <c r="H265" i="13"/>
  <c r="H264" i="13"/>
  <c r="G263" i="13"/>
  <c r="F262" i="13"/>
  <c r="E261" i="13"/>
  <c r="D260" i="13"/>
  <c r="C259" i="13"/>
  <c r="C258" i="13"/>
  <c r="B257" i="13"/>
  <c r="B256" i="13"/>
  <c r="M254" i="13"/>
  <c r="L253" i="13"/>
  <c r="L252" i="13"/>
  <c r="K251" i="13"/>
  <c r="J250" i="13"/>
  <c r="I249" i="13"/>
  <c r="H248" i="13"/>
  <c r="G247" i="13"/>
  <c r="F246" i="13"/>
  <c r="F245" i="13"/>
  <c r="E244" i="13"/>
  <c r="D243" i="13"/>
  <c r="D242" i="13"/>
  <c r="D241" i="13"/>
  <c r="C240" i="13"/>
  <c r="B239" i="13"/>
  <c r="L237" i="13"/>
  <c r="K236" i="13"/>
  <c r="J235" i="13"/>
  <c r="I234" i="13"/>
  <c r="I233" i="13"/>
  <c r="H232" i="13"/>
  <c r="G231" i="13"/>
  <c r="F230" i="13"/>
  <c r="F229" i="13"/>
  <c r="F228" i="13"/>
  <c r="E227" i="13"/>
  <c r="D226" i="13"/>
  <c r="C225" i="13"/>
  <c r="B224" i="13"/>
  <c r="M222" i="13"/>
  <c r="L221" i="13"/>
  <c r="K220" i="13"/>
  <c r="K219" i="13"/>
  <c r="J218" i="13"/>
  <c r="I217" i="13"/>
  <c r="H216" i="13"/>
  <c r="G215" i="13"/>
  <c r="F214" i="13"/>
  <c r="E213" i="13"/>
  <c r="D212" i="13"/>
  <c r="C211" i="13"/>
  <c r="B210" i="13"/>
  <c r="L208" i="13"/>
  <c r="K207" i="13"/>
  <c r="J206" i="13"/>
  <c r="I205" i="13"/>
  <c r="H204" i="13"/>
  <c r="G203" i="13"/>
  <c r="F202" i="13"/>
  <c r="E201" i="13"/>
  <c r="D200" i="13"/>
  <c r="C199" i="13"/>
  <c r="B198" i="13"/>
  <c r="L196" i="13"/>
  <c r="K195" i="13"/>
  <c r="J194" i="13"/>
  <c r="I193" i="13"/>
  <c r="H192" i="13"/>
  <c r="G191" i="13"/>
  <c r="F190" i="13"/>
  <c r="C40" i="16"/>
  <c r="D139" i="14"/>
  <c r="F79" i="14"/>
  <c r="J15" i="14"/>
  <c r="L428" i="13"/>
  <c r="G398" i="13"/>
  <c r="K385" i="13"/>
  <c r="J372" i="13"/>
  <c r="I359" i="13"/>
  <c r="H346" i="13"/>
  <c r="B334" i="13"/>
  <c r="B324" i="13"/>
  <c r="J317" i="13"/>
  <c r="F311" i="13"/>
  <c r="K304" i="13"/>
  <c r="E298" i="13"/>
  <c r="J291" i="13"/>
  <c r="E285" i="13"/>
  <c r="K278" i="13"/>
  <c r="E272" i="13"/>
  <c r="K265" i="13"/>
  <c r="F259" i="13"/>
  <c r="C253" i="13"/>
  <c r="I246" i="13"/>
  <c r="F240" i="13"/>
  <c r="L233" i="13"/>
  <c r="I227" i="13"/>
  <c r="C224" i="13"/>
  <c r="C221" i="13"/>
  <c r="H218" i="13"/>
  <c r="K215" i="13"/>
  <c r="F213" i="13"/>
  <c r="I210" i="13"/>
  <c r="D208" i="13"/>
  <c r="B206" i="13"/>
  <c r="K203" i="13"/>
  <c r="I201" i="13"/>
  <c r="G199" i="13"/>
  <c r="E197" i="13"/>
  <c r="C195" i="13"/>
  <c r="D193" i="13"/>
  <c r="H191" i="13"/>
  <c r="L189" i="13"/>
  <c r="K188" i="13"/>
  <c r="J187" i="13"/>
  <c r="I186" i="13"/>
  <c r="H185" i="13"/>
  <c r="G184" i="13"/>
  <c r="F183" i="13"/>
  <c r="E182" i="13"/>
  <c r="D181" i="13"/>
  <c r="C180" i="13"/>
  <c r="B179" i="13"/>
  <c r="L177" i="13"/>
  <c r="K176" i="13"/>
  <c r="J175" i="13"/>
  <c r="I174" i="13"/>
  <c r="H173" i="13"/>
  <c r="G172" i="13"/>
  <c r="F171" i="13"/>
  <c r="E170" i="13"/>
  <c r="D169" i="13"/>
  <c r="C168" i="13"/>
  <c r="B167" i="13"/>
  <c r="L165" i="13"/>
  <c r="K164" i="13"/>
  <c r="J163" i="13"/>
  <c r="I162" i="13"/>
  <c r="H161" i="13"/>
  <c r="G160" i="13"/>
  <c r="F159" i="13"/>
  <c r="E158" i="13"/>
  <c r="D157" i="13"/>
  <c r="C156" i="13"/>
  <c r="B155" i="13"/>
  <c r="L153" i="13"/>
  <c r="K152" i="13"/>
  <c r="J151" i="13"/>
  <c r="I150" i="13"/>
  <c r="H149" i="13"/>
  <c r="G148" i="13"/>
  <c r="F147" i="13"/>
  <c r="E146" i="13"/>
  <c r="D145" i="13"/>
  <c r="C144" i="13"/>
  <c r="B143" i="13"/>
  <c r="L141" i="13"/>
  <c r="K140" i="13"/>
  <c r="J139" i="13"/>
  <c r="I138" i="13"/>
  <c r="H137" i="13"/>
  <c r="G136" i="13"/>
  <c r="F135" i="13"/>
  <c r="E134" i="13"/>
  <c r="D133" i="13"/>
  <c r="C132" i="13"/>
  <c r="B131" i="13"/>
  <c r="L129" i="13"/>
  <c r="K128" i="13"/>
  <c r="J127" i="13"/>
  <c r="I126" i="13"/>
  <c r="H125" i="13"/>
  <c r="G124" i="13"/>
  <c r="F123" i="13"/>
  <c r="E122" i="13"/>
  <c r="D121" i="13"/>
  <c r="C120" i="13"/>
  <c r="C119" i="13"/>
  <c r="C118" i="13"/>
  <c r="C117" i="13"/>
  <c r="C116" i="13"/>
  <c r="B115" i="13"/>
  <c r="L113" i="13"/>
  <c r="K112" i="13"/>
  <c r="K111" i="13"/>
  <c r="K110" i="13"/>
  <c r="K109" i="13"/>
  <c r="J108" i="13"/>
  <c r="H107" i="13"/>
  <c r="F106" i="13"/>
  <c r="D105" i="13"/>
  <c r="B104" i="13"/>
  <c r="K102" i="13"/>
  <c r="H101" i="13"/>
  <c r="F100" i="13"/>
  <c r="D99" i="13"/>
  <c r="B98" i="13"/>
  <c r="K96" i="13"/>
  <c r="H95" i="13"/>
  <c r="F94" i="13"/>
  <c r="D93" i="13"/>
  <c r="B92" i="13"/>
  <c r="K90" i="13"/>
  <c r="H89" i="13"/>
  <c r="F88" i="13"/>
  <c r="D87" i="13"/>
  <c r="B86" i="13"/>
  <c r="K84" i="13"/>
  <c r="H83" i="13"/>
  <c r="F82" i="13"/>
  <c r="D81" i="13"/>
  <c r="B80" i="13"/>
  <c r="K78" i="13"/>
  <c r="H77" i="13"/>
  <c r="F76" i="13"/>
  <c r="D75" i="13"/>
  <c r="B74" i="13"/>
  <c r="L72" i="13"/>
  <c r="J71" i="13"/>
  <c r="G70" i="13"/>
  <c r="E69" i="13"/>
  <c r="C68" i="13"/>
  <c r="L66" i="13"/>
  <c r="J65" i="13"/>
  <c r="G64" i="13"/>
  <c r="E63" i="13"/>
  <c r="C62" i="13"/>
  <c r="L60" i="13"/>
  <c r="J59" i="13"/>
  <c r="G58" i="13"/>
  <c r="E57" i="13"/>
  <c r="C56" i="13"/>
  <c r="L54" i="13"/>
  <c r="J53" i="13"/>
  <c r="G52" i="13"/>
  <c r="E51" i="13"/>
  <c r="C50" i="13"/>
  <c r="L48" i="13"/>
  <c r="J47" i="13"/>
  <c r="G46" i="13"/>
  <c r="E45" i="13"/>
  <c r="C44" i="13"/>
  <c r="L42" i="13"/>
  <c r="J41" i="13"/>
  <c r="G40" i="13"/>
  <c r="E39" i="13"/>
  <c r="C38" i="13"/>
  <c r="L36" i="13"/>
  <c r="J35" i="13"/>
  <c r="G34" i="13"/>
  <c r="E33" i="13"/>
  <c r="C32" i="13"/>
  <c r="L30" i="13"/>
  <c r="K29" i="13"/>
  <c r="G261" i="14"/>
  <c r="F134" i="14"/>
  <c r="C74" i="14"/>
  <c r="G10" i="14"/>
  <c r="C424" i="13"/>
  <c r="G397" i="13"/>
  <c r="J384" i="13"/>
  <c r="I371" i="13"/>
  <c r="H358" i="13"/>
  <c r="G345" i="13"/>
  <c r="B333" i="13"/>
  <c r="L323" i="13"/>
  <c r="H317" i="13"/>
  <c r="D311" i="13"/>
  <c r="I304" i="13"/>
  <c r="C298" i="13"/>
  <c r="H291" i="13"/>
  <c r="C285" i="13"/>
  <c r="I278" i="13"/>
  <c r="C272" i="13"/>
  <c r="I265" i="13"/>
  <c r="D259" i="13"/>
  <c r="M252" i="13"/>
  <c r="G246" i="13"/>
  <c r="D240" i="13"/>
  <c r="J233" i="13"/>
  <c r="H227" i="13"/>
  <c r="H223" i="13"/>
  <c r="L220" i="13"/>
  <c r="E218" i="13"/>
  <c r="J215" i="13"/>
  <c r="C213" i="13"/>
  <c r="F210" i="13"/>
  <c r="C208" i="13"/>
  <c r="L205" i="13"/>
  <c r="J203" i="13"/>
  <c r="H201" i="13"/>
  <c r="F199" i="13"/>
  <c r="D197" i="13"/>
  <c r="B195" i="13"/>
  <c r="B193" i="13"/>
  <c r="E191" i="13"/>
  <c r="K189" i="13"/>
  <c r="J188" i="13"/>
  <c r="I187" i="13"/>
  <c r="H186" i="13"/>
  <c r="G185" i="13"/>
  <c r="F184" i="13"/>
  <c r="E183" i="13"/>
  <c r="D182" i="13"/>
  <c r="C181" i="13"/>
  <c r="B180" i="13"/>
  <c r="L178" i="13"/>
  <c r="K177" i="13"/>
  <c r="J176" i="13"/>
  <c r="I175" i="13"/>
  <c r="H174" i="13"/>
  <c r="G173" i="13"/>
  <c r="F172" i="13"/>
  <c r="E171" i="13"/>
  <c r="D170" i="13"/>
  <c r="C169" i="13"/>
  <c r="B168" i="13"/>
  <c r="L166" i="13"/>
  <c r="K165" i="13"/>
  <c r="J164" i="13"/>
  <c r="I163" i="13"/>
  <c r="H162" i="13"/>
  <c r="G161" i="13"/>
  <c r="F160" i="13"/>
  <c r="E159" i="13"/>
  <c r="D158" i="13"/>
  <c r="C157" i="13"/>
  <c r="B156" i="13"/>
  <c r="L154" i="13"/>
  <c r="K153" i="13"/>
  <c r="J152" i="13"/>
  <c r="I151" i="13"/>
  <c r="H150" i="13"/>
  <c r="G149" i="13"/>
  <c r="F148" i="13"/>
  <c r="E147" i="13"/>
  <c r="D146" i="13"/>
  <c r="C145" i="13"/>
  <c r="B144" i="13"/>
  <c r="L142" i="13"/>
  <c r="K141" i="13"/>
  <c r="J140" i="13"/>
  <c r="I139" i="13"/>
  <c r="H138" i="13"/>
  <c r="G137" i="13"/>
  <c r="F136" i="13"/>
  <c r="E135" i="13"/>
  <c r="D134" i="13"/>
  <c r="C133" i="13"/>
  <c r="B132" i="13"/>
  <c r="L130" i="13"/>
  <c r="K129" i="13"/>
  <c r="J128" i="13"/>
  <c r="I127" i="13"/>
  <c r="H126" i="13"/>
  <c r="G125" i="13"/>
  <c r="F124" i="13"/>
  <c r="E123" i="13"/>
  <c r="D122" i="13"/>
  <c r="C121" i="13"/>
  <c r="B120" i="13"/>
  <c r="B119" i="13"/>
  <c r="B118" i="13"/>
  <c r="B117" i="13"/>
  <c r="B116" i="13"/>
  <c r="L114" i="13"/>
  <c r="K113" i="13"/>
  <c r="J112" i="13"/>
  <c r="J111" i="13"/>
  <c r="J110" i="13"/>
  <c r="J109" i="13"/>
  <c r="I108" i="13"/>
  <c r="G107" i="13"/>
  <c r="E106" i="13"/>
  <c r="C105" i="13"/>
  <c r="L103" i="13"/>
  <c r="J102" i="13"/>
  <c r="G101" i="13"/>
  <c r="E100" i="13"/>
  <c r="C99" i="13"/>
  <c r="L97" i="13"/>
  <c r="J96" i="13"/>
  <c r="G95" i="13"/>
  <c r="E94" i="13"/>
  <c r="C93" i="13"/>
  <c r="L91" i="13"/>
  <c r="J90" i="13"/>
  <c r="G89" i="13"/>
  <c r="E88" i="13"/>
  <c r="C87" i="13"/>
  <c r="L85" i="13"/>
  <c r="J84" i="13"/>
  <c r="G83" i="13"/>
  <c r="E82" i="13"/>
  <c r="C81" i="13"/>
  <c r="L79" i="13"/>
  <c r="J78" i="13"/>
  <c r="G77" i="13"/>
  <c r="E76" i="13"/>
  <c r="C75" i="13"/>
  <c r="M73" i="13"/>
  <c r="K72" i="13"/>
  <c r="H71" i="13"/>
  <c r="F70" i="13"/>
  <c r="D69" i="13"/>
  <c r="B68" i="13"/>
  <c r="K66" i="13"/>
  <c r="H65" i="13"/>
  <c r="F64" i="13"/>
  <c r="D63" i="13"/>
  <c r="B62" i="13"/>
  <c r="K60" i="13"/>
  <c r="H59" i="13"/>
  <c r="F58" i="13"/>
  <c r="D57" i="13"/>
  <c r="B56" i="13"/>
  <c r="K54" i="13"/>
  <c r="H53" i="13"/>
  <c r="F52" i="13"/>
  <c r="D51" i="13"/>
  <c r="B50" i="13"/>
  <c r="K48" i="13"/>
  <c r="H47" i="13"/>
  <c r="F46" i="13"/>
  <c r="D45" i="13"/>
  <c r="B44" i="13"/>
  <c r="K42" i="13"/>
  <c r="H41" i="13"/>
  <c r="F40" i="13"/>
  <c r="D39" i="13"/>
  <c r="B38" i="13"/>
  <c r="K36" i="13"/>
  <c r="H35" i="13"/>
  <c r="F34" i="13"/>
  <c r="D33" i="13"/>
  <c r="B32" i="13"/>
  <c r="K30" i="13"/>
  <c r="L198" i="14"/>
  <c r="J124" i="14"/>
  <c r="G63" i="14"/>
  <c r="C475" i="13"/>
  <c r="C415" i="13"/>
  <c r="F395" i="13"/>
  <c r="H382" i="13"/>
  <c r="G369" i="13"/>
  <c r="F356" i="13"/>
  <c r="G343" i="13"/>
  <c r="L330" i="13"/>
  <c r="K322" i="13"/>
  <c r="G316" i="13"/>
  <c r="C310" i="13"/>
  <c r="H303" i="13"/>
  <c r="B297" i="13"/>
  <c r="G290" i="13"/>
  <c r="B284" i="13"/>
  <c r="H277" i="13"/>
  <c r="C271" i="13"/>
  <c r="I264" i="13"/>
  <c r="D258" i="13"/>
  <c r="L251" i="13"/>
  <c r="G245" i="13"/>
  <c r="C239" i="13"/>
  <c r="I232" i="13"/>
  <c r="H226" i="13"/>
  <c r="D223" i="13"/>
  <c r="F220" i="13"/>
  <c r="L217" i="13"/>
  <c r="E215" i="13"/>
  <c r="H212" i="13"/>
  <c r="C210" i="13"/>
  <c r="L207" i="13"/>
  <c r="J205" i="13"/>
  <c r="H203" i="13"/>
  <c r="F201" i="13"/>
  <c r="D199" i="13"/>
  <c r="B197" i="13"/>
  <c r="K194" i="13"/>
  <c r="K192" i="13"/>
  <c r="B191" i="13"/>
  <c r="I189" i="13"/>
  <c r="H188" i="13"/>
  <c r="G187" i="13"/>
  <c r="F186" i="13"/>
  <c r="E185" i="13"/>
  <c r="D184" i="13"/>
  <c r="C183" i="13"/>
  <c r="B182" i="13"/>
  <c r="L180" i="13"/>
  <c r="K179" i="13"/>
  <c r="J178" i="13"/>
  <c r="I177" i="13"/>
  <c r="H176" i="13"/>
  <c r="G175" i="13"/>
  <c r="F174" i="13"/>
  <c r="E173" i="13"/>
  <c r="D172" i="13"/>
  <c r="C171" i="13"/>
  <c r="B170" i="13"/>
  <c r="L168" i="13"/>
  <c r="K167" i="13"/>
  <c r="J166" i="13"/>
  <c r="I165" i="13"/>
  <c r="H164" i="13"/>
  <c r="G163" i="13"/>
  <c r="F162" i="13"/>
  <c r="E161" i="13"/>
  <c r="D160" i="13"/>
  <c r="C159" i="13"/>
  <c r="B158" i="13"/>
  <c r="L156" i="13"/>
  <c r="K155" i="13"/>
  <c r="J154" i="13"/>
  <c r="I153" i="13"/>
  <c r="H152" i="13"/>
  <c r="G151" i="13"/>
  <c r="F150" i="13"/>
  <c r="E149" i="13"/>
  <c r="D148" i="13"/>
  <c r="C147" i="13"/>
  <c r="B146" i="13"/>
  <c r="L144" i="13"/>
  <c r="K143" i="13"/>
  <c r="J142" i="13"/>
  <c r="I141" i="13"/>
  <c r="H140" i="13"/>
  <c r="G139" i="13"/>
  <c r="F138" i="13"/>
  <c r="E137" i="13"/>
  <c r="D136" i="13"/>
  <c r="C135" i="13"/>
  <c r="B134" i="13"/>
  <c r="L132" i="13"/>
  <c r="K131" i="13"/>
  <c r="J130" i="13"/>
  <c r="I129" i="13"/>
  <c r="H128" i="13"/>
  <c r="G127" i="13"/>
  <c r="F126" i="13"/>
  <c r="E125" i="13"/>
  <c r="D124" i="13"/>
  <c r="C123" i="13"/>
  <c r="B122" i="13"/>
  <c r="L120" i="13"/>
  <c r="L119" i="13"/>
  <c r="L118" i="13"/>
  <c r="L117" i="13"/>
  <c r="L116" i="13"/>
  <c r="K115" i="13"/>
  <c r="J114" i="13"/>
  <c r="I113" i="13"/>
  <c r="H112" i="13"/>
  <c r="H111" i="13"/>
  <c r="H110" i="13"/>
  <c r="H109" i="13"/>
  <c r="G108" i="13"/>
  <c r="E107" i="13"/>
  <c r="C106" i="13"/>
  <c r="L104" i="13"/>
  <c r="J103" i="13"/>
  <c r="G102" i="13"/>
  <c r="E101" i="13"/>
  <c r="C100" i="13"/>
  <c r="L98" i="13"/>
  <c r="J97" i="13"/>
  <c r="G96" i="13"/>
  <c r="E95" i="13"/>
  <c r="C94" i="13"/>
  <c r="L92" i="13"/>
  <c r="J91" i="13"/>
  <c r="G90" i="13"/>
  <c r="E89" i="13"/>
  <c r="C88" i="13"/>
  <c r="L86" i="13"/>
  <c r="J85" i="13"/>
  <c r="G84" i="13"/>
  <c r="E83" i="13"/>
  <c r="C82" i="13"/>
  <c r="L80" i="13"/>
  <c r="J79" i="13"/>
  <c r="G78" i="13"/>
  <c r="E77" i="13"/>
  <c r="C76" i="13"/>
  <c r="L74" i="13"/>
  <c r="K73" i="13"/>
  <c r="H72" i="13"/>
  <c r="F71" i="13"/>
  <c r="D70" i="13"/>
  <c r="B69" i="13"/>
  <c r="K67" i="13"/>
  <c r="H66" i="13"/>
  <c r="F65" i="13"/>
  <c r="D64" i="13"/>
  <c r="B63" i="13"/>
  <c r="K61" i="13"/>
  <c r="H60" i="13"/>
  <c r="F59" i="13"/>
  <c r="D58" i="13"/>
  <c r="B57" i="13"/>
  <c r="K55" i="13"/>
  <c r="H54" i="13"/>
  <c r="F53" i="13"/>
  <c r="D52" i="13"/>
  <c r="B51" i="13"/>
  <c r="K49" i="13"/>
  <c r="H48" i="13"/>
  <c r="F47" i="13"/>
  <c r="D46" i="13"/>
  <c r="H184" i="14"/>
  <c r="M119" i="14"/>
  <c r="D58" i="14"/>
  <c r="D468" i="13"/>
  <c r="L410" i="13"/>
  <c r="E394" i="13"/>
  <c r="G381" i="13"/>
  <c r="F368" i="13"/>
  <c r="E355" i="13"/>
  <c r="F342" i="13"/>
  <c r="L329" i="13"/>
  <c r="L321" i="13"/>
  <c r="I315" i="13"/>
  <c r="D309" i="13"/>
  <c r="I302" i="13"/>
  <c r="C296" i="13"/>
  <c r="H289" i="13"/>
  <c r="C283" i="13"/>
  <c r="I276" i="13"/>
  <c r="D270" i="13"/>
  <c r="J263" i="13"/>
  <c r="E257" i="13"/>
  <c r="B251" i="13"/>
  <c r="H244" i="13"/>
  <c r="D238" i="13"/>
  <c r="J231" i="13"/>
  <c r="G226" i="13"/>
  <c r="B223" i="13"/>
  <c r="C220" i="13"/>
  <c r="J217" i="13"/>
  <c r="B215" i="13"/>
  <c r="G212" i="13"/>
  <c r="K209" i="13"/>
  <c r="I207" i="13"/>
  <c r="G205" i="13"/>
  <c r="E203" i="13"/>
  <c r="C201" i="13"/>
  <c r="L198" i="13"/>
  <c r="J196" i="13"/>
  <c r="H194" i="13"/>
  <c r="J192" i="13"/>
  <c r="K190" i="13"/>
  <c r="H189" i="13"/>
  <c r="G188" i="13"/>
  <c r="F187" i="13"/>
  <c r="E186" i="13"/>
  <c r="D185" i="13"/>
  <c r="C184" i="13"/>
  <c r="B183" i="13"/>
  <c r="L181" i="13"/>
  <c r="K180" i="13"/>
  <c r="J179" i="13"/>
  <c r="I178" i="13"/>
  <c r="H177" i="13"/>
  <c r="G176" i="13"/>
  <c r="F175" i="13"/>
  <c r="E174" i="13"/>
  <c r="D173" i="13"/>
  <c r="C172" i="13"/>
  <c r="B171" i="13"/>
  <c r="L169" i="13"/>
  <c r="K168" i="13"/>
  <c r="J167" i="13"/>
  <c r="I166" i="13"/>
  <c r="H165" i="13"/>
  <c r="G164" i="13"/>
  <c r="F163" i="13"/>
  <c r="E162" i="13"/>
  <c r="D161" i="13"/>
  <c r="C160" i="13"/>
  <c r="B159" i="13"/>
  <c r="L157" i="13"/>
  <c r="K156" i="13"/>
  <c r="J155" i="13"/>
  <c r="I154" i="13"/>
  <c r="H153" i="13"/>
  <c r="G152" i="13"/>
  <c r="F151" i="13"/>
  <c r="E150" i="13"/>
  <c r="D149" i="13"/>
  <c r="C148" i="13"/>
  <c r="B147" i="13"/>
  <c r="L145" i="13"/>
  <c r="K144" i="13"/>
  <c r="J143" i="13"/>
  <c r="I142" i="13"/>
  <c r="H141" i="13"/>
  <c r="G140" i="13"/>
  <c r="F139" i="13"/>
  <c r="E138" i="13"/>
  <c r="D137" i="13"/>
  <c r="C136" i="13"/>
  <c r="B135" i="13"/>
  <c r="L133" i="13"/>
  <c r="K132" i="13"/>
  <c r="J131" i="13"/>
  <c r="I130" i="13"/>
  <c r="H129" i="13"/>
  <c r="G128" i="13"/>
  <c r="F127" i="13"/>
  <c r="E126" i="13"/>
  <c r="D125" i="13"/>
  <c r="C124" i="13"/>
  <c r="B123" i="13"/>
  <c r="L121" i="13"/>
  <c r="K120" i="13"/>
  <c r="K119" i="13"/>
  <c r="K118" i="13"/>
  <c r="K117" i="13"/>
  <c r="K116" i="13"/>
  <c r="J115" i="13"/>
  <c r="I114" i="13"/>
  <c r="H113" i="13"/>
  <c r="G112" i="13"/>
  <c r="G111" i="13"/>
  <c r="G110" i="13"/>
  <c r="G109" i="13"/>
  <c r="F108" i="13"/>
  <c r="D107" i="13"/>
  <c r="B106" i="13"/>
  <c r="K104" i="13"/>
  <c r="H103" i="13"/>
  <c r="F102" i="13"/>
  <c r="D101" i="13"/>
  <c r="B100" i="13"/>
  <c r="K98" i="13"/>
  <c r="H97" i="13"/>
  <c r="F96" i="13"/>
  <c r="D95" i="13"/>
  <c r="B94" i="13"/>
  <c r="K92" i="13"/>
  <c r="H91" i="13"/>
  <c r="F90" i="13"/>
  <c r="D89" i="13"/>
  <c r="B88" i="13"/>
  <c r="K86" i="13"/>
  <c r="H85" i="13"/>
  <c r="F177" i="14"/>
  <c r="H115" i="14"/>
  <c r="K52" i="14"/>
  <c r="F462" i="13"/>
  <c r="B408" i="13"/>
  <c r="D393" i="13"/>
  <c r="F380" i="13"/>
  <c r="E367" i="13"/>
  <c r="D354" i="13"/>
  <c r="E341" i="13"/>
  <c r="L328" i="13"/>
  <c r="J321" i="13"/>
  <c r="G315" i="13"/>
  <c r="B309" i="13"/>
  <c r="G302" i="13"/>
  <c r="L295" i="13"/>
  <c r="F289" i="13"/>
  <c r="L282" i="13"/>
  <c r="G276" i="13"/>
  <c r="B270" i="13"/>
  <c r="H263" i="13"/>
  <c r="C257" i="13"/>
  <c r="K250" i="13"/>
  <c r="F244" i="13"/>
  <c r="B238" i="13"/>
  <c r="H231" i="13"/>
  <c r="E226" i="13"/>
  <c r="H222" i="13"/>
  <c r="B220" i="13"/>
  <c r="G217" i="13"/>
  <c r="J214" i="13"/>
  <c r="E212" i="13"/>
  <c r="H209" i="13"/>
  <c r="F207" i="13"/>
  <c r="D205" i="13"/>
  <c r="B203" i="13"/>
  <c r="K200" i="13"/>
  <c r="I198" i="13"/>
  <c r="G196" i="13"/>
  <c r="E194" i="13"/>
  <c r="I192" i="13"/>
  <c r="J190" i="13"/>
  <c r="G189" i="13"/>
  <c r="F188" i="13"/>
  <c r="E187" i="13"/>
  <c r="D186" i="13"/>
  <c r="C185" i="13"/>
  <c r="B184" i="13"/>
  <c r="L182" i="13"/>
  <c r="K181" i="13"/>
  <c r="J180" i="13"/>
  <c r="I179" i="13"/>
  <c r="H178" i="13"/>
  <c r="G177" i="13"/>
  <c r="F176" i="13"/>
  <c r="E175" i="13"/>
  <c r="D174" i="13"/>
  <c r="C173" i="13"/>
  <c r="B172" i="13"/>
  <c r="L170" i="13"/>
  <c r="K169" i="13"/>
  <c r="J168" i="13"/>
  <c r="I167" i="13"/>
  <c r="H166" i="13"/>
  <c r="G165" i="13"/>
  <c r="F164" i="13"/>
  <c r="E163" i="13"/>
  <c r="D162" i="13"/>
  <c r="C161" i="13"/>
  <c r="B160" i="13"/>
  <c r="L158" i="13"/>
  <c r="K157" i="13"/>
  <c r="J156" i="13"/>
  <c r="I155" i="13"/>
  <c r="H154" i="13"/>
  <c r="G153" i="13"/>
  <c r="F152" i="13"/>
  <c r="E151" i="13"/>
  <c r="D150" i="13"/>
  <c r="C149" i="13"/>
  <c r="B148" i="13"/>
  <c r="L146" i="13"/>
  <c r="K145" i="13"/>
  <c r="J144" i="13"/>
  <c r="I143" i="13"/>
  <c r="H142" i="13"/>
  <c r="G141" i="13"/>
  <c r="F140" i="13"/>
  <c r="E139" i="13"/>
  <c r="D138" i="13"/>
  <c r="C137" i="13"/>
  <c r="B136" i="13"/>
  <c r="L134" i="13"/>
  <c r="K133" i="13"/>
  <c r="J132" i="13"/>
  <c r="I131" i="13"/>
  <c r="H130" i="13"/>
  <c r="G129" i="13"/>
  <c r="F128" i="13"/>
  <c r="E127" i="13"/>
  <c r="D126" i="13"/>
  <c r="C125" i="13"/>
  <c r="B124" i="13"/>
  <c r="L122" i="13"/>
  <c r="K121" i="13"/>
  <c r="J120" i="13"/>
  <c r="J119" i="13"/>
  <c r="J118" i="13"/>
  <c r="J117" i="13"/>
  <c r="J116" i="13"/>
  <c r="I115" i="13"/>
  <c r="H114" i="13"/>
  <c r="G113" i="13"/>
  <c r="F112" i="13"/>
  <c r="F111" i="13"/>
  <c r="F110" i="13"/>
  <c r="F109" i="13"/>
  <c r="D170" i="14"/>
  <c r="L110" i="14"/>
  <c r="G47" i="14"/>
  <c r="I457" i="13"/>
  <c r="B406" i="13"/>
  <c r="C392" i="13"/>
  <c r="E379" i="13"/>
  <c r="D366" i="13"/>
  <c r="C353" i="13"/>
  <c r="D340" i="13"/>
  <c r="L327" i="13"/>
  <c r="L320" i="13"/>
  <c r="H314" i="13"/>
  <c r="C308" i="13"/>
  <c r="H301" i="13"/>
  <c r="B295" i="13"/>
  <c r="G288" i="13"/>
  <c r="B282" i="13"/>
  <c r="H275" i="13"/>
  <c r="C269" i="13"/>
  <c r="I262" i="13"/>
  <c r="E256" i="13"/>
  <c r="L249" i="13"/>
  <c r="G243" i="13"/>
  <c r="C237" i="13"/>
  <c r="I230" i="13"/>
  <c r="G225" i="13"/>
  <c r="E222" i="13"/>
  <c r="L219" i="13"/>
  <c r="D217" i="13"/>
  <c r="I214" i="13"/>
  <c r="B212" i="13"/>
  <c r="E209" i="13"/>
  <c r="C207" i="13"/>
  <c r="L204" i="13"/>
  <c r="J202" i="13"/>
  <c r="H200" i="13"/>
  <c r="F198" i="13"/>
  <c r="D196" i="13"/>
  <c r="C194" i="13"/>
  <c r="F192" i="13"/>
  <c r="I190" i="13"/>
  <c r="F189" i="13"/>
  <c r="E188" i="13"/>
  <c r="D187" i="13"/>
  <c r="C186" i="13"/>
  <c r="B185" i="13"/>
  <c r="L183" i="13"/>
  <c r="K182" i="13"/>
  <c r="J181" i="13"/>
  <c r="I180" i="13"/>
  <c r="H179" i="13"/>
  <c r="G178" i="13"/>
  <c r="F177" i="13"/>
  <c r="E176" i="13"/>
  <c r="D175" i="13"/>
  <c r="C174" i="13"/>
  <c r="B173" i="13"/>
  <c r="L171" i="13"/>
  <c r="K170" i="13"/>
  <c r="J169" i="13"/>
  <c r="I168" i="13"/>
  <c r="H167" i="13"/>
  <c r="G166" i="13"/>
  <c r="F165" i="13"/>
  <c r="E164" i="13"/>
  <c r="D163" i="13"/>
  <c r="C162" i="13"/>
  <c r="B161" i="13"/>
  <c r="L159" i="13"/>
  <c r="K158" i="13"/>
  <c r="J157" i="13"/>
  <c r="I156" i="13"/>
  <c r="H155" i="13"/>
  <c r="G154" i="13"/>
  <c r="F153" i="13"/>
  <c r="E152" i="13"/>
  <c r="D151" i="13"/>
  <c r="C150" i="13"/>
  <c r="B149" i="13"/>
  <c r="L147" i="13"/>
  <c r="K146" i="13"/>
  <c r="J145" i="13"/>
  <c r="I144" i="13"/>
  <c r="H143" i="13"/>
  <c r="G142" i="13"/>
  <c r="F141" i="13"/>
  <c r="E140" i="13"/>
  <c r="D139" i="13"/>
  <c r="C138" i="13"/>
  <c r="B137" i="13"/>
  <c r="L135" i="13"/>
  <c r="K134" i="13"/>
  <c r="J133" i="13"/>
  <c r="I132" i="13"/>
  <c r="H131" i="13"/>
  <c r="G130" i="13"/>
  <c r="F129" i="13"/>
  <c r="E128" i="13"/>
  <c r="D127" i="13"/>
  <c r="C126" i="13"/>
  <c r="B125" i="13"/>
  <c r="L123" i="13"/>
  <c r="K122" i="13"/>
  <c r="J121" i="13"/>
  <c r="I120" i="13"/>
  <c r="I119" i="13"/>
  <c r="I118" i="13"/>
  <c r="I117" i="13"/>
  <c r="I116" i="13"/>
  <c r="H115" i="13"/>
  <c r="G114" i="13"/>
  <c r="F113" i="13"/>
  <c r="E112" i="13"/>
  <c r="E111" i="13"/>
  <c r="E110" i="13"/>
  <c r="E109" i="13"/>
  <c r="D108" i="13"/>
  <c r="B107" i="13"/>
  <c r="K105" i="13"/>
  <c r="H104" i="13"/>
  <c r="F103" i="13"/>
  <c r="D102" i="13"/>
  <c r="B101" i="13"/>
  <c r="K99" i="13"/>
  <c r="H98" i="13"/>
  <c r="F97" i="13"/>
  <c r="D96" i="13"/>
  <c r="B95" i="13"/>
  <c r="K93" i="13"/>
  <c r="H92" i="13"/>
  <c r="F91" i="13"/>
  <c r="D90" i="13"/>
  <c r="B89" i="13"/>
  <c r="K87" i="13"/>
  <c r="H86" i="13"/>
  <c r="F85" i="13"/>
  <c r="D84" i="13"/>
  <c r="B83" i="13"/>
  <c r="K81" i="13"/>
  <c r="H80" i="13"/>
  <c r="F79" i="13"/>
  <c r="D78" i="13"/>
  <c r="B77" i="13"/>
  <c r="K75" i="13"/>
  <c r="H74" i="13"/>
  <c r="G73" i="13"/>
  <c r="E72" i="13"/>
  <c r="C71" i="13"/>
  <c r="L69" i="13"/>
  <c r="J68" i="13"/>
  <c r="G67" i="13"/>
  <c r="E66" i="13"/>
  <c r="C65" i="13"/>
  <c r="L63" i="13"/>
  <c r="J62" i="13"/>
  <c r="G61" i="13"/>
  <c r="E60" i="13"/>
  <c r="C59" i="13"/>
  <c r="L57" i="13"/>
  <c r="J56" i="13"/>
  <c r="G55" i="13"/>
  <c r="E54" i="13"/>
  <c r="C53" i="13"/>
  <c r="L51" i="13"/>
  <c r="J50" i="13"/>
  <c r="G49" i="13"/>
  <c r="E48" i="13"/>
  <c r="C47" i="13"/>
  <c r="L45" i="13"/>
  <c r="J44" i="13"/>
  <c r="G43" i="13"/>
  <c r="E42" i="13"/>
  <c r="C41" i="13"/>
  <c r="D163" i="14"/>
  <c r="C106" i="14"/>
  <c r="D42" i="14"/>
  <c r="L452" i="13"/>
  <c r="G404" i="13"/>
  <c r="C391" i="13"/>
  <c r="D378" i="13"/>
  <c r="C365" i="13"/>
  <c r="B352" i="13"/>
  <c r="D339" i="13"/>
  <c r="L326" i="13"/>
  <c r="J320" i="13"/>
  <c r="F314" i="13"/>
  <c r="L307" i="13"/>
  <c r="F301" i="13"/>
  <c r="K294" i="13"/>
  <c r="E288" i="13"/>
  <c r="L281" i="13"/>
  <c r="F275" i="13"/>
  <c r="L268" i="13"/>
  <c r="G262" i="13"/>
  <c r="C256" i="13"/>
  <c r="J249" i="13"/>
  <c r="E243" i="13"/>
  <c r="L236" i="13"/>
  <c r="G230" i="13"/>
  <c r="F225" i="13"/>
  <c r="D222" i="13"/>
  <c r="I219" i="13"/>
  <c r="L216" i="13"/>
  <c r="G214" i="13"/>
  <c r="J211" i="13"/>
  <c r="D209" i="13"/>
  <c r="B207" i="13"/>
  <c r="K204" i="13"/>
  <c r="I202" i="13"/>
  <c r="G200" i="13"/>
  <c r="E198" i="13"/>
  <c r="C196" i="13"/>
  <c r="B194" i="13"/>
  <c r="C192" i="13"/>
  <c r="H190" i="13"/>
  <c r="E189" i="13"/>
  <c r="D188" i="13"/>
  <c r="C187" i="13"/>
  <c r="B186" i="13"/>
  <c r="L184" i="13"/>
  <c r="K183" i="13"/>
  <c r="J182" i="13"/>
  <c r="I181" i="13"/>
  <c r="H180" i="13"/>
  <c r="G179" i="13"/>
  <c r="F178" i="13"/>
  <c r="E177" i="13"/>
  <c r="D176" i="13"/>
  <c r="C175" i="13"/>
  <c r="B174" i="13"/>
  <c r="L172" i="13"/>
  <c r="K171" i="13"/>
  <c r="J170" i="13"/>
  <c r="I169" i="13"/>
  <c r="H168" i="13"/>
  <c r="G167" i="13"/>
  <c r="F166" i="13"/>
  <c r="E165" i="13"/>
  <c r="D164" i="13"/>
  <c r="C163" i="13"/>
  <c r="B162" i="13"/>
  <c r="L160" i="13"/>
  <c r="K159" i="13"/>
  <c r="J158" i="13"/>
  <c r="I157" i="13"/>
  <c r="H156" i="13"/>
  <c r="G155" i="13"/>
  <c r="F154" i="13"/>
  <c r="E153" i="13"/>
  <c r="D152" i="13"/>
  <c r="C151" i="13"/>
  <c r="B150" i="13"/>
  <c r="L148" i="13"/>
  <c r="K147" i="13"/>
  <c r="J146" i="13"/>
  <c r="I145" i="13"/>
  <c r="H144" i="13"/>
  <c r="G143" i="13"/>
  <c r="F142" i="13"/>
  <c r="E141" i="13"/>
  <c r="D140" i="13"/>
  <c r="C139" i="13"/>
  <c r="B138" i="13"/>
  <c r="L136" i="13"/>
  <c r="K135" i="13"/>
  <c r="J134" i="13"/>
  <c r="I133" i="13"/>
  <c r="H132" i="13"/>
  <c r="G131" i="13"/>
  <c r="F130" i="13"/>
  <c r="E129" i="13"/>
  <c r="D128" i="13"/>
  <c r="C127" i="13"/>
  <c r="B126" i="13"/>
  <c r="L124" i="13"/>
  <c r="K123" i="13"/>
  <c r="J122" i="13"/>
  <c r="I121" i="13"/>
  <c r="H120" i="13"/>
  <c r="H119" i="13"/>
  <c r="H118" i="13"/>
  <c r="H117" i="13"/>
  <c r="H116" i="13"/>
  <c r="G115" i="13"/>
  <c r="F114" i="13"/>
  <c r="E113" i="13"/>
  <c r="D112" i="13"/>
  <c r="D111" i="13"/>
  <c r="D110" i="13"/>
  <c r="D109" i="13"/>
  <c r="C108" i="13"/>
  <c r="L106" i="13"/>
  <c r="J105" i="13"/>
  <c r="G104" i="13"/>
  <c r="E103" i="13"/>
  <c r="C102" i="13"/>
  <c r="L100" i="13"/>
  <c r="J99" i="13"/>
  <c r="G98" i="13"/>
  <c r="E97" i="13"/>
  <c r="C96" i="13"/>
  <c r="L94" i="13"/>
  <c r="J93" i="13"/>
  <c r="G92" i="13"/>
  <c r="E91" i="13"/>
  <c r="C90" i="13"/>
  <c r="L88" i="13"/>
  <c r="J87" i="13"/>
  <c r="G86" i="13"/>
  <c r="E85" i="13"/>
  <c r="C84" i="13"/>
  <c r="L82" i="13"/>
  <c r="J81" i="13"/>
  <c r="G80" i="13"/>
  <c r="E79" i="13"/>
  <c r="C78" i="13"/>
  <c r="L76" i="13"/>
  <c r="J75" i="13"/>
  <c r="G74" i="13"/>
  <c r="F73" i="13"/>
  <c r="D72" i="13"/>
  <c r="B71" i="13"/>
  <c r="K69" i="13"/>
  <c r="H68" i="13"/>
  <c r="F67" i="13"/>
  <c r="D66" i="13"/>
  <c r="B65" i="13"/>
  <c r="K63" i="13"/>
  <c r="H62" i="13"/>
  <c r="F61" i="13"/>
  <c r="D60" i="13"/>
  <c r="B59" i="13"/>
  <c r="K57" i="13"/>
  <c r="H56" i="13"/>
  <c r="F55" i="13"/>
  <c r="D54" i="13"/>
  <c r="B53" i="13"/>
  <c r="K51" i="13"/>
  <c r="H50" i="13"/>
  <c r="F49" i="13"/>
  <c r="D48" i="13"/>
  <c r="B47" i="13"/>
  <c r="K45" i="13"/>
  <c r="H44" i="13"/>
  <c r="F43" i="13"/>
  <c r="D42" i="13"/>
  <c r="B41" i="13"/>
  <c r="K39" i="13"/>
  <c r="H38" i="13"/>
  <c r="F37" i="13"/>
  <c r="D36" i="13"/>
  <c r="B35" i="13"/>
  <c r="K33" i="13"/>
  <c r="H32" i="13"/>
  <c r="F31" i="13"/>
  <c r="F158" i="14"/>
  <c r="J100" i="14"/>
  <c r="K36" i="14"/>
  <c r="C448" i="13"/>
  <c r="C403" i="13"/>
  <c r="C390" i="13"/>
  <c r="C377" i="13"/>
  <c r="B364" i="13"/>
  <c r="L350" i="13"/>
  <c r="D338" i="13"/>
  <c r="B326" i="13"/>
  <c r="K319" i="13"/>
  <c r="H313" i="13"/>
  <c r="B307" i="13"/>
  <c r="G300" i="13"/>
  <c r="L293" i="13"/>
  <c r="F287" i="13"/>
  <c r="B281" i="13"/>
  <c r="G274" i="13"/>
  <c r="B268" i="13"/>
  <c r="H261" i="13"/>
  <c r="D255" i="13"/>
  <c r="K248" i="13"/>
  <c r="G242" i="13"/>
  <c r="B236" i="13"/>
  <c r="I229" i="13"/>
  <c r="D225" i="13"/>
  <c r="B222" i="13"/>
  <c r="F219" i="13"/>
  <c r="K216" i="13"/>
  <c r="D214" i="13"/>
  <c r="G211" i="13"/>
  <c r="C209" i="13"/>
  <c r="L206" i="13"/>
  <c r="J204" i="13"/>
  <c r="H202" i="13"/>
  <c r="F200" i="13"/>
  <c r="D198" i="13"/>
  <c r="B196" i="13"/>
  <c r="L193" i="13"/>
  <c r="L191" i="13"/>
  <c r="G190" i="13"/>
  <c r="D189" i="13"/>
  <c r="C188" i="13"/>
  <c r="B187" i="13"/>
  <c r="L185" i="13"/>
  <c r="K184" i="13"/>
  <c r="J183" i="13"/>
  <c r="I182" i="13"/>
  <c r="H181" i="13"/>
  <c r="G180" i="13"/>
  <c r="F179" i="13"/>
  <c r="E178" i="13"/>
  <c r="D177" i="13"/>
  <c r="C176" i="13"/>
  <c r="B175" i="13"/>
  <c r="L173" i="13"/>
  <c r="K172" i="13"/>
  <c r="J171" i="13"/>
  <c r="I170" i="13"/>
  <c r="H169" i="13"/>
  <c r="G168" i="13"/>
  <c r="F167" i="13"/>
  <c r="E166" i="13"/>
  <c r="D165" i="13"/>
  <c r="C164" i="13"/>
  <c r="B163" i="13"/>
  <c r="L161" i="13"/>
  <c r="K160" i="13"/>
  <c r="J159" i="13"/>
  <c r="I158" i="13"/>
  <c r="H157" i="13"/>
  <c r="G156" i="13"/>
  <c r="F155" i="13"/>
  <c r="E154" i="13"/>
  <c r="D153" i="13"/>
  <c r="C152" i="13"/>
  <c r="B151" i="13"/>
  <c r="L149" i="13"/>
  <c r="K148" i="13"/>
  <c r="J147" i="13"/>
  <c r="I146" i="13"/>
  <c r="H145" i="13"/>
  <c r="G144" i="13"/>
  <c r="F143" i="13"/>
  <c r="E142" i="13"/>
  <c r="D141" i="13"/>
  <c r="C140" i="13"/>
  <c r="B139" i="13"/>
  <c r="L137" i="13"/>
  <c r="K136" i="13"/>
  <c r="J135" i="13"/>
  <c r="I134" i="13"/>
  <c r="H133" i="13"/>
  <c r="G132" i="13"/>
  <c r="F131" i="13"/>
  <c r="E130" i="13"/>
  <c r="D129" i="13"/>
  <c r="C128" i="13"/>
  <c r="B127" i="13"/>
  <c r="L125" i="13"/>
  <c r="K124" i="13"/>
  <c r="J123" i="13"/>
  <c r="I122" i="13"/>
  <c r="H121" i="13"/>
  <c r="G120" i="13"/>
  <c r="G119" i="13"/>
  <c r="G118" i="13"/>
  <c r="G117" i="13"/>
  <c r="G116" i="13"/>
  <c r="F115" i="13"/>
  <c r="E114" i="13"/>
  <c r="D113" i="13"/>
  <c r="C112" i="13"/>
  <c r="C111" i="13"/>
  <c r="C110" i="13"/>
  <c r="C109" i="13"/>
  <c r="B108" i="13"/>
  <c r="K106" i="13"/>
  <c r="H105" i="13"/>
  <c r="F104" i="13"/>
  <c r="D103" i="13"/>
  <c r="B102" i="13"/>
  <c r="K100" i="13"/>
  <c r="H99" i="13"/>
  <c r="F98" i="13"/>
  <c r="D97" i="13"/>
  <c r="B96" i="13"/>
  <c r="K94" i="13"/>
  <c r="H93" i="13"/>
  <c r="F92" i="13"/>
  <c r="D91" i="13"/>
  <c r="B90" i="13"/>
  <c r="K88" i="13"/>
  <c r="H87" i="13"/>
  <c r="F86" i="13"/>
  <c r="D85" i="13"/>
  <c r="B84" i="13"/>
  <c r="K82" i="13"/>
  <c r="H81" i="13"/>
  <c r="F80" i="13"/>
  <c r="D79" i="13"/>
  <c r="B78" i="13"/>
  <c r="K76" i="13"/>
  <c r="H75" i="13"/>
  <c r="F74" i="13"/>
  <c r="E73" i="13"/>
  <c r="C72" i="13"/>
  <c r="L70" i="13"/>
  <c r="J69" i="13"/>
  <c r="G68" i="13"/>
  <c r="E67" i="13"/>
  <c r="C66" i="13"/>
  <c r="L64" i="13"/>
  <c r="J63" i="13"/>
  <c r="G62" i="13"/>
  <c r="E61" i="13"/>
  <c r="C60" i="13"/>
  <c r="L58" i="13"/>
  <c r="J57" i="13"/>
  <c r="G56" i="13"/>
  <c r="E55" i="13"/>
  <c r="C54" i="13"/>
  <c r="L52" i="13"/>
  <c r="J51" i="13"/>
  <c r="G50" i="13"/>
  <c r="E49" i="13"/>
  <c r="C48" i="13"/>
  <c r="L46" i="13"/>
  <c r="J45" i="13"/>
  <c r="G44" i="13"/>
  <c r="E43" i="13"/>
  <c r="C42" i="13"/>
  <c r="L40" i="13"/>
  <c r="J39" i="13"/>
  <c r="G38" i="13"/>
  <c r="E37" i="13"/>
  <c r="C36" i="13"/>
  <c r="L34" i="13"/>
  <c r="J33" i="13"/>
  <c r="G32" i="13"/>
  <c r="E31" i="13"/>
  <c r="H153" i="14"/>
  <c r="F95" i="14"/>
  <c r="G31" i="14"/>
  <c r="E443" i="13"/>
  <c r="L401" i="13"/>
  <c r="B389" i="13"/>
  <c r="B376" i="13"/>
  <c r="L362" i="13"/>
  <c r="K349" i="13"/>
  <c r="C337" i="13"/>
  <c r="L325" i="13"/>
  <c r="I319" i="13"/>
  <c r="F313" i="13"/>
  <c r="K306" i="13"/>
  <c r="E300" i="13"/>
  <c r="J293" i="13"/>
  <c r="D287" i="13"/>
  <c r="K280" i="13"/>
  <c r="E274" i="13"/>
  <c r="K267" i="13"/>
  <c r="F261" i="13"/>
  <c r="B255" i="13"/>
  <c r="I248" i="13"/>
  <c r="E242" i="13"/>
  <c r="K235" i="13"/>
  <c r="G229" i="13"/>
  <c r="I224" i="13"/>
  <c r="J221" i="13"/>
  <c r="C219" i="13"/>
  <c r="I216" i="13"/>
  <c r="L213" i="13"/>
  <c r="F211" i="13"/>
  <c r="B209" i="13"/>
  <c r="K206" i="13"/>
  <c r="I204" i="13"/>
  <c r="G202" i="13"/>
  <c r="E200" i="13"/>
  <c r="C198" i="13"/>
  <c r="L195" i="13"/>
  <c r="K193" i="13"/>
  <c r="K191" i="13"/>
  <c r="D190" i="13"/>
  <c r="C189" i="13"/>
  <c r="B188" i="13"/>
  <c r="L186" i="13"/>
  <c r="K185" i="13"/>
  <c r="J184" i="13"/>
  <c r="I183" i="13"/>
  <c r="H182" i="13"/>
  <c r="G181" i="13"/>
  <c r="F180" i="13"/>
  <c r="E179" i="13"/>
  <c r="D178" i="13"/>
  <c r="C177" i="13"/>
  <c r="B176" i="13"/>
  <c r="L174" i="13"/>
  <c r="K173" i="13"/>
  <c r="J172" i="13"/>
  <c r="I171" i="13"/>
  <c r="H170" i="13"/>
  <c r="G169" i="13"/>
  <c r="F168" i="13"/>
  <c r="E167" i="13"/>
  <c r="D166" i="13"/>
  <c r="C165" i="13"/>
  <c r="B164" i="13"/>
  <c r="L162" i="13"/>
  <c r="K161" i="13"/>
  <c r="J160" i="13"/>
  <c r="I159" i="13"/>
  <c r="H158" i="13"/>
  <c r="G157" i="13"/>
  <c r="F156" i="13"/>
  <c r="E155" i="13"/>
  <c r="D154" i="13"/>
  <c r="C153" i="13"/>
  <c r="B152" i="13"/>
  <c r="L150" i="13"/>
  <c r="K149" i="13"/>
  <c r="J148" i="13"/>
  <c r="I147" i="13"/>
  <c r="H146" i="13"/>
  <c r="G145" i="13"/>
  <c r="F144" i="13"/>
  <c r="E143" i="13"/>
  <c r="D142" i="13"/>
  <c r="C141" i="13"/>
  <c r="B140" i="13"/>
  <c r="L138" i="13"/>
  <c r="K137" i="13"/>
  <c r="J136" i="13"/>
  <c r="I135" i="13"/>
  <c r="H134" i="13"/>
  <c r="G133" i="13"/>
  <c r="F132" i="13"/>
  <c r="E131" i="13"/>
  <c r="D130" i="13"/>
  <c r="C129" i="13"/>
  <c r="B128" i="13"/>
  <c r="L126" i="13"/>
  <c r="K125" i="13"/>
  <c r="J124" i="13"/>
  <c r="I123" i="13"/>
  <c r="H122" i="13"/>
  <c r="G121" i="13"/>
  <c r="F120" i="13"/>
  <c r="F119" i="13"/>
  <c r="F118" i="13"/>
  <c r="F117" i="13"/>
  <c r="F116" i="13"/>
  <c r="E115" i="13"/>
  <c r="D114" i="13"/>
  <c r="C113" i="13"/>
  <c r="B112" i="13"/>
  <c r="B111" i="13"/>
  <c r="B110" i="13"/>
  <c r="B109" i="13"/>
  <c r="L107" i="13"/>
  <c r="J106" i="13"/>
  <c r="G105" i="13"/>
  <c r="E104" i="13"/>
  <c r="C103" i="13"/>
  <c r="L101" i="13"/>
  <c r="J100" i="13"/>
  <c r="G99" i="13"/>
  <c r="E98" i="13"/>
  <c r="C97" i="13"/>
  <c r="L95" i="13"/>
  <c r="J94" i="13"/>
  <c r="G93" i="13"/>
  <c r="E92" i="13"/>
  <c r="C91" i="13"/>
  <c r="L89" i="13"/>
  <c r="J88" i="13"/>
  <c r="G87" i="13"/>
  <c r="E86" i="13"/>
  <c r="C85" i="13"/>
  <c r="L83" i="13"/>
  <c r="J82" i="13"/>
  <c r="G81" i="13"/>
  <c r="E80" i="13"/>
  <c r="C79" i="13"/>
  <c r="L77" i="13"/>
  <c r="J76" i="13"/>
  <c r="G75" i="13"/>
  <c r="E74" i="13"/>
  <c r="D73" i="13"/>
  <c r="B72" i="13"/>
  <c r="K70" i="13"/>
  <c r="H69" i="13"/>
  <c r="F68" i="13"/>
  <c r="D67" i="13"/>
  <c r="B66" i="13"/>
  <c r="K64" i="13"/>
  <c r="H63" i="13"/>
  <c r="F62" i="13"/>
  <c r="D61" i="13"/>
  <c r="B60" i="13"/>
  <c r="K58" i="13"/>
  <c r="J148" i="14"/>
  <c r="C90" i="14"/>
  <c r="E26" i="14"/>
  <c r="G438" i="13"/>
  <c r="I400" i="13"/>
  <c r="L387" i="13"/>
  <c r="L374" i="13"/>
  <c r="K361" i="13"/>
  <c r="J348" i="13"/>
  <c r="C336" i="13"/>
  <c r="B325" i="13"/>
  <c r="K318" i="13"/>
  <c r="G312" i="13"/>
  <c r="L305" i="13"/>
  <c r="F299" i="13"/>
  <c r="K292" i="13"/>
  <c r="F286" i="13"/>
  <c r="L279" i="13"/>
  <c r="F273" i="13"/>
  <c r="L266" i="13"/>
  <c r="G260" i="13"/>
  <c r="D254" i="13"/>
  <c r="J247" i="13"/>
  <c r="G241" i="13"/>
  <c r="L234" i="13"/>
  <c r="I228" i="13"/>
  <c r="F224" i="13"/>
  <c r="G221" i="13"/>
  <c r="B219" i="13"/>
  <c r="F216" i="13"/>
  <c r="I213" i="13"/>
  <c r="D211" i="13"/>
  <c r="J208" i="13"/>
  <c r="H206" i="13"/>
  <c r="F204" i="13"/>
  <c r="D202" i="13"/>
  <c r="B200" i="13"/>
  <c r="K197" i="13"/>
  <c r="I195" i="13"/>
  <c r="J193" i="13"/>
  <c r="J191" i="13"/>
  <c r="C190" i="13"/>
  <c r="B189" i="13"/>
  <c r="L187" i="13"/>
  <c r="K186" i="13"/>
  <c r="J185" i="13"/>
  <c r="I184" i="13"/>
  <c r="H183" i="13"/>
  <c r="G182" i="13"/>
  <c r="F181" i="13"/>
  <c r="E180" i="13"/>
  <c r="D179" i="13"/>
  <c r="C178" i="13"/>
  <c r="B177" i="13"/>
  <c r="L175" i="13"/>
  <c r="K174" i="13"/>
  <c r="J173" i="13"/>
  <c r="I172" i="13"/>
  <c r="H171" i="13"/>
  <c r="G170" i="13"/>
  <c r="F169" i="13"/>
  <c r="E168" i="13"/>
  <c r="D167" i="13"/>
  <c r="C166" i="13"/>
  <c r="B165" i="13"/>
  <c r="L163" i="13"/>
  <c r="K162" i="13"/>
  <c r="J161" i="13"/>
  <c r="I160" i="13"/>
  <c r="H159" i="13"/>
  <c r="G158" i="13"/>
  <c r="F157" i="13"/>
  <c r="E156" i="13"/>
  <c r="D155" i="13"/>
  <c r="C154" i="13"/>
  <c r="B153" i="13"/>
  <c r="L151" i="13"/>
  <c r="K150" i="13"/>
  <c r="J149" i="13"/>
  <c r="I148" i="13"/>
  <c r="H147" i="13"/>
  <c r="G146" i="13"/>
  <c r="F145" i="13"/>
  <c r="E144" i="13"/>
  <c r="D143" i="13"/>
  <c r="C142" i="13"/>
  <c r="B141" i="13"/>
  <c r="L139" i="13"/>
  <c r="K138" i="13"/>
  <c r="J137" i="13"/>
  <c r="I136" i="13"/>
  <c r="H135" i="13"/>
  <c r="G134" i="13"/>
  <c r="F133" i="13"/>
  <c r="E132" i="13"/>
  <c r="D131" i="13"/>
  <c r="C130" i="13"/>
  <c r="B129" i="13"/>
  <c r="L127" i="13"/>
  <c r="K126" i="13"/>
  <c r="J125" i="13"/>
  <c r="I124" i="13"/>
  <c r="H123" i="13"/>
  <c r="G122" i="13"/>
  <c r="F121" i="13"/>
  <c r="E120" i="13"/>
  <c r="E119" i="13"/>
  <c r="E118" i="13"/>
  <c r="E117" i="13"/>
  <c r="E116" i="13"/>
  <c r="D115" i="13"/>
  <c r="C114" i="13"/>
  <c r="B113" i="13"/>
  <c r="M111" i="13"/>
  <c r="M110" i="13"/>
  <c r="M109" i="13"/>
  <c r="L108" i="13"/>
  <c r="K107" i="13"/>
  <c r="H106" i="13"/>
  <c r="F105" i="13"/>
  <c r="D104" i="13"/>
  <c r="B103" i="13"/>
  <c r="K101" i="13"/>
  <c r="H100" i="13"/>
  <c r="F99" i="13"/>
  <c r="D98" i="13"/>
  <c r="B97" i="13"/>
  <c r="L143" i="14"/>
  <c r="J84" i="14"/>
  <c r="L20" i="14"/>
  <c r="J433" i="13"/>
  <c r="H399" i="13"/>
  <c r="K386" i="13"/>
  <c r="K373" i="13"/>
  <c r="J360" i="13"/>
  <c r="I347" i="13"/>
  <c r="B335" i="13"/>
  <c r="L324" i="13"/>
  <c r="I318" i="13"/>
  <c r="E312" i="13"/>
  <c r="J305" i="13"/>
  <c r="D299" i="13"/>
  <c r="I292" i="13"/>
  <c r="D286" i="13"/>
  <c r="J279" i="13"/>
  <c r="D273" i="13"/>
  <c r="J266" i="13"/>
  <c r="E260" i="13"/>
  <c r="B254" i="13"/>
  <c r="H247" i="13"/>
  <c r="E241" i="13"/>
  <c r="J234" i="13"/>
  <c r="G228" i="13"/>
  <c r="E224" i="13"/>
  <c r="D221" i="13"/>
  <c r="K218" i="13"/>
  <c r="C216" i="13"/>
  <c r="H213" i="13"/>
  <c r="L210" i="13"/>
  <c r="G208" i="13"/>
  <c r="E206" i="13"/>
  <c r="C204" i="13"/>
  <c r="L201" i="13"/>
  <c r="J199" i="13"/>
  <c r="H197" i="13"/>
  <c r="F195" i="13"/>
  <c r="G193" i="13"/>
  <c r="I191" i="13"/>
  <c r="B190" i="13"/>
  <c r="L188" i="13"/>
  <c r="K187" i="13"/>
  <c r="J186" i="13"/>
  <c r="I185" i="13"/>
  <c r="H184" i="13"/>
  <c r="G183" i="13"/>
  <c r="F182" i="13"/>
  <c r="E181" i="13"/>
  <c r="D180" i="13"/>
  <c r="C179" i="13"/>
  <c r="B178" i="13"/>
  <c r="L176" i="13"/>
  <c r="K175" i="13"/>
  <c r="J174" i="13"/>
  <c r="I173" i="13"/>
  <c r="H172" i="13"/>
  <c r="G171" i="13"/>
  <c r="F170" i="13"/>
  <c r="E169" i="13"/>
  <c r="D168" i="13"/>
  <c r="C167" i="13"/>
  <c r="B166" i="13"/>
  <c r="L164" i="13"/>
  <c r="K163" i="13"/>
  <c r="J162" i="13"/>
  <c r="I161" i="13"/>
  <c r="H160" i="13"/>
  <c r="G159" i="13"/>
  <c r="F158" i="13"/>
  <c r="E157" i="13"/>
  <c r="D156" i="13"/>
  <c r="C155" i="13"/>
  <c r="B154" i="13"/>
  <c r="L152" i="13"/>
  <c r="K151" i="13"/>
  <c r="J150" i="13"/>
  <c r="I149" i="13"/>
  <c r="H148" i="13"/>
  <c r="G147" i="13"/>
  <c r="F146" i="13"/>
  <c r="E145" i="13"/>
  <c r="D144" i="13"/>
  <c r="C143" i="13"/>
  <c r="B142" i="13"/>
  <c r="L140" i="13"/>
  <c r="K139" i="13"/>
  <c r="J138" i="13"/>
  <c r="I137" i="13"/>
  <c r="H136" i="13"/>
  <c r="G135" i="13"/>
  <c r="F134" i="13"/>
  <c r="E133" i="13"/>
  <c r="D132" i="13"/>
  <c r="C131" i="13"/>
  <c r="B130" i="13"/>
  <c r="L128" i="13"/>
  <c r="K127" i="13"/>
  <c r="J126" i="13"/>
  <c r="I125" i="13"/>
  <c r="H124" i="13"/>
  <c r="G123" i="13"/>
  <c r="F122" i="13"/>
  <c r="E121" i="13"/>
  <c r="D120" i="13"/>
  <c r="D119" i="13"/>
  <c r="D118" i="13"/>
  <c r="D117" i="13"/>
  <c r="D116" i="13"/>
  <c r="C115" i="13"/>
  <c r="B114" i="13"/>
  <c r="L112" i="13"/>
  <c r="L111" i="13"/>
  <c r="L110" i="13"/>
  <c r="L109" i="13"/>
  <c r="K108" i="13"/>
  <c r="J107" i="13"/>
  <c r="G106" i="13"/>
  <c r="E105" i="13"/>
  <c r="C104" i="13"/>
  <c r="L102" i="13"/>
  <c r="J101" i="13"/>
  <c r="G100" i="13"/>
  <c r="E99" i="13"/>
  <c r="C98" i="13"/>
  <c r="L96" i="13"/>
  <c r="J95" i="13"/>
  <c r="G94" i="13"/>
  <c r="E93" i="13"/>
  <c r="C92" i="13"/>
  <c r="L90" i="13"/>
  <c r="J89" i="13"/>
  <c r="G88" i="13"/>
  <c r="E87" i="13"/>
  <c r="C86" i="13"/>
  <c r="L84" i="13"/>
  <c r="J83" i="13"/>
  <c r="G82" i="13"/>
  <c r="E81" i="13"/>
  <c r="C80" i="13"/>
  <c r="L78" i="13"/>
  <c r="J77" i="13"/>
  <c r="G76" i="13"/>
  <c r="E75" i="13"/>
  <c r="C74" i="13"/>
  <c r="B73" i="13"/>
  <c r="K71" i="13"/>
  <c r="H70" i="13"/>
  <c r="F69" i="13"/>
  <c r="D68" i="13"/>
  <c r="B67" i="13"/>
  <c r="K65" i="13"/>
  <c r="H64" i="13"/>
  <c r="F63" i="13"/>
  <c r="D62" i="13"/>
  <c r="B61" i="13"/>
  <c r="K59" i="13"/>
  <c r="H58" i="13"/>
  <c r="F57" i="13"/>
  <c r="D56" i="13"/>
  <c r="B55" i="13"/>
  <c r="K68" i="14"/>
  <c r="J303" i="13"/>
  <c r="F227" i="13"/>
  <c r="C197" i="13"/>
  <c r="B181" i="13"/>
  <c r="L167" i="13"/>
  <c r="K154" i="13"/>
  <c r="J141" i="13"/>
  <c r="I128" i="13"/>
  <c r="L115" i="13"/>
  <c r="L105" i="13"/>
  <c r="J98" i="13"/>
  <c r="B93" i="13"/>
  <c r="D88" i="13"/>
  <c r="K83" i="13"/>
  <c r="D80" i="13"/>
  <c r="H76" i="13"/>
  <c r="C73" i="13"/>
  <c r="G69" i="13"/>
  <c r="L65" i="13"/>
  <c r="E62" i="13"/>
  <c r="J58" i="13"/>
  <c r="J55" i="13"/>
  <c r="D53" i="13"/>
  <c r="K50" i="13"/>
  <c r="F48" i="13"/>
  <c r="B46" i="13"/>
  <c r="K43" i="13"/>
  <c r="K41" i="13"/>
  <c r="L39" i="13"/>
  <c r="L37" i="13"/>
  <c r="E36" i="13"/>
  <c r="E34" i="13"/>
  <c r="J32" i="13"/>
  <c r="J30" i="13"/>
  <c r="G29" i="13"/>
  <c r="E28" i="13"/>
  <c r="C27" i="13"/>
  <c r="L25" i="13"/>
  <c r="J24" i="13"/>
  <c r="G23" i="13"/>
  <c r="E22" i="13"/>
  <c r="C21" i="13"/>
  <c r="L19" i="13"/>
  <c r="J18" i="13"/>
  <c r="G17" i="13"/>
  <c r="E16" i="13"/>
  <c r="D15" i="13"/>
  <c r="C14" i="13"/>
  <c r="L12" i="13"/>
  <c r="J11" i="13"/>
  <c r="G10" i="13"/>
  <c r="E9" i="13"/>
  <c r="C8" i="13"/>
  <c r="L6" i="13"/>
  <c r="K5" i="13"/>
  <c r="J4" i="13"/>
  <c r="L481" i="12"/>
  <c r="F480" i="12"/>
  <c r="AC478" i="12"/>
  <c r="AC477" i="12"/>
  <c r="AC476" i="12"/>
  <c r="AC475" i="12"/>
  <c r="AC474" i="12"/>
  <c r="AC473" i="12"/>
  <c r="AC472" i="12"/>
  <c r="AC471" i="12"/>
  <c r="AC470" i="12"/>
  <c r="AC469" i="12"/>
  <c r="AC468" i="12"/>
  <c r="AC467" i="12"/>
  <c r="AB466" i="12"/>
  <c r="G466" i="12"/>
  <c r="N465" i="12"/>
  <c r="U464" i="12"/>
  <c r="C464" i="12"/>
  <c r="G463" i="12"/>
  <c r="O462" i="12"/>
  <c r="U461" i="12"/>
  <c r="E461" i="12"/>
  <c r="L460" i="12"/>
  <c r="S459" i="12"/>
  <c r="V458" i="12"/>
  <c r="C458" i="12"/>
  <c r="J457" i="12"/>
  <c r="U456" i="12"/>
  <c r="C456" i="12"/>
  <c r="L455" i="12"/>
  <c r="X454" i="12"/>
  <c r="H454" i="12"/>
  <c r="S453" i="12"/>
  <c r="V452" i="12"/>
  <c r="C452" i="12"/>
  <c r="I451" i="12"/>
  <c r="T450" i="12"/>
  <c r="W449" i="12"/>
  <c r="D449" i="12"/>
  <c r="L448" i="12"/>
  <c r="V447" i="12"/>
  <c r="C447" i="12"/>
  <c r="G446" i="12"/>
  <c r="O445" i="12"/>
  <c r="V444" i="12"/>
  <c r="AB443" i="12"/>
  <c r="G443" i="12"/>
  <c r="O442" i="12"/>
  <c r="V441" i="12"/>
  <c r="E440" i="12"/>
  <c r="L439" i="12"/>
  <c r="S438" i="12"/>
  <c r="C438" i="12"/>
  <c r="G437" i="12"/>
  <c r="O436" i="12"/>
  <c r="U435" i="12"/>
  <c r="X434" i="12"/>
  <c r="D434" i="12"/>
  <c r="H433" i="12"/>
  <c r="O432" i="12"/>
  <c r="U431" i="12"/>
  <c r="E430" i="12"/>
  <c r="N429" i="12"/>
  <c r="T428" i="12"/>
  <c r="AB427" i="12"/>
  <c r="I427" i="12"/>
  <c r="T426" i="12"/>
  <c r="E425" i="12"/>
  <c r="N424" i="12"/>
  <c r="W423" i="12"/>
  <c r="G423" i="12"/>
  <c r="O422" i="12"/>
  <c r="V421" i="12"/>
  <c r="F421" i="12"/>
  <c r="O420" i="12"/>
  <c r="AB419" i="12"/>
  <c r="I419" i="12"/>
  <c r="T418" i="12"/>
  <c r="AB417" i="12"/>
  <c r="I417" i="12"/>
  <c r="T416" i="12"/>
  <c r="D416" i="12"/>
  <c r="L415" i="12"/>
  <c r="V414" i="12"/>
  <c r="F414" i="12"/>
  <c r="N413" i="12"/>
  <c r="X412" i="12"/>
  <c r="H412" i="12"/>
  <c r="S411" i="12"/>
  <c r="C411" i="12"/>
  <c r="J410" i="12"/>
  <c r="U409" i="12"/>
  <c r="E409" i="12"/>
  <c r="M408" i="12"/>
  <c r="U407" i="12"/>
  <c r="E407" i="12"/>
  <c r="N406" i="12"/>
  <c r="X405" i="12"/>
  <c r="H405" i="12"/>
  <c r="S404" i="12"/>
  <c r="C404" i="12"/>
  <c r="L403" i="12"/>
  <c r="V402" i="12"/>
  <c r="F402" i="12"/>
  <c r="O401" i="12"/>
  <c r="AC400" i="12"/>
  <c r="J400" i="12"/>
  <c r="V399" i="12"/>
  <c r="F399" i="12"/>
  <c r="S398" i="12"/>
  <c r="C398" i="12"/>
  <c r="M397" i="12"/>
  <c r="X396" i="12"/>
  <c r="H396" i="12"/>
  <c r="T395" i="12"/>
  <c r="D395" i="12"/>
  <c r="M394" i="12"/>
  <c r="X393" i="12"/>
  <c r="H393" i="12"/>
  <c r="U392" i="12"/>
  <c r="E392" i="12"/>
  <c r="O391" i="12"/>
  <c r="AB390" i="12"/>
  <c r="J390" i="12"/>
  <c r="U389" i="12"/>
  <c r="E389" i="12"/>
  <c r="M388" i="12"/>
  <c r="W387" i="12"/>
  <c r="G387" i="12"/>
  <c r="S386" i="12"/>
  <c r="C386" i="12"/>
  <c r="J385" i="12"/>
  <c r="U384" i="12"/>
  <c r="E384" i="12"/>
  <c r="N383" i="12"/>
  <c r="X382" i="12"/>
  <c r="H382" i="12"/>
  <c r="S381" i="12"/>
  <c r="C381" i="12"/>
  <c r="J380" i="12"/>
  <c r="U379" i="12"/>
  <c r="E379" i="12"/>
  <c r="M378" i="12"/>
  <c r="W377" i="12"/>
  <c r="G377" i="12"/>
  <c r="O376" i="12"/>
  <c r="I375" i="12"/>
  <c r="T374" i="12"/>
  <c r="D374" i="12"/>
  <c r="L373" i="12"/>
  <c r="V372" i="12"/>
  <c r="F372" i="12"/>
  <c r="N371" i="12"/>
  <c r="X370" i="12"/>
  <c r="H370" i="12"/>
  <c r="S369" i="12"/>
  <c r="C369" i="12"/>
  <c r="J368" i="12"/>
  <c r="U367" i="12"/>
  <c r="E367" i="12"/>
  <c r="M366" i="12"/>
  <c r="W365" i="12"/>
  <c r="G365" i="12"/>
  <c r="O364" i="12"/>
  <c r="I363" i="12"/>
  <c r="T362" i="12"/>
  <c r="D362" i="12"/>
  <c r="L361" i="12"/>
  <c r="V360" i="12"/>
  <c r="F360" i="12"/>
  <c r="N359" i="12"/>
  <c r="X358" i="12"/>
  <c r="H358" i="12"/>
  <c r="S357" i="12"/>
  <c r="C357" i="12"/>
  <c r="J356" i="12"/>
  <c r="U355" i="12"/>
  <c r="E355" i="12"/>
  <c r="M354" i="12"/>
  <c r="W353" i="12"/>
  <c r="G353" i="12"/>
  <c r="O352" i="12"/>
  <c r="I351" i="12"/>
  <c r="T350" i="12"/>
  <c r="D350" i="12"/>
  <c r="L349" i="12"/>
  <c r="T348" i="12"/>
  <c r="I347" i="12"/>
  <c r="T346" i="12"/>
  <c r="E346" i="12"/>
  <c r="O345" i="12"/>
  <c r="A345" i="12"/>
  <c r="J344" i="12"/>
  <c r="U343" i="12"/>
  <c r="E343" i="12"/>
  <c r="M342" i="12"/>
  <c r="W341" i="12"/>
  <c r="E5" i="14"/>
  <c r="D297" i="13"/>
  <c r="E223" i="13"/>
  <c r="L194" i="13"/>
  <c r="L179" i="13"/>
  <c r="K166" i="13"/>
  <c r="J153" i="13"/>
  <c r="I140" i="13"/>
  <c r="H127" i="13"/>
  <c r="K114" i="13"/>
  <c r="B105" i="13"/>
  <c r="K97" i="13"/>
  <c r="J92" i="13"/>
  <c r="L87" i="13"/>
  <c r="F83" i="13"/>
  <c r="K79" i="13"/>
  <c r="D76" i="13"/>
  <c r="J72" i="13"/>
  <c r="C69" i="13"/>
  <c r="G65" i="13"/>
  <c r="L61" i="13"/>
  <c r="E58" i="13"/>
  <c r="H55" i="13"/>
  <c r="K52" i="13"/>
  <c r="F50" i="13"/>
  <c r="B48" i="13"/>
  <c r="H45" i="13"/>
  <c r="J43" i="13"/>
  <c r="G41" i="13"/>
  <c r="H39" i="13"/>
  <c r="K37" i="13"/>
  <c r="B36" i="13"/>
  <c r="D34" i="13"/>
  <c r="F32" i="13"/>
  <c r="H30" i="13"/>
  <c r="F29" i="13"/>
  <c r="D28" i="13"/>
  <c r="B27" i="13"/>
  <c r="K25" i="13"/>
  <c r="H24" i="13"/>
  <c r="F23" i="13"/>
  <c r="D22" i="13"/>
  <c r="B21" i="13"/>
  <c r="K19" i="13"/>
  <c r="H18" i="13"/>
  <c r="F17" i="13"/>
  <c r="D16" i="13"/>
  <c r="C15" i="13"/>
  <c r="B14" i="13"/>
  <c r="K12" i="13"/>
  <c r="H11" i="13"/>
  <c r="F10" i="13"/>
  <c r="D9" i="13"/>
  <c r="B8" i="13"/>
  <c r="K6" i="13"/>
  <c r="J5" i="13"/>
  <c r="I4" i="13"/>
  <c r="H481" i="12"/>
  <c r="E480" i="12"/>
  <c r="AB478" i="12"/>
  <c r="AB477" i="12"/>
  <c r="AB476" i="12"/>
  <c r="AB475" i="12"/>
  <c r="AB474" i="12"/>
  <c r="AB473" i="12"/>
  <c r="AB472" i="12"/>
  <c r="AB471" i="12"/>
  <c r="AB470" i="12"/>
  <c r="AB469" i="12"/>
  <c r="AB468" i="12"/>
  <c r="AB467" i="12"/>
  <c r="X466" i="12"/>
  <c r="E466" i="12"/>
  <c r="L465" i="12"/>
  <c r="T464" i="12"/>
  <c r="E463" i="12"/>
  <c r="N462" i="12"/>
  <c r="T461" i="12"/>
  <c r="D461" i="12"/>
  <c r="H460" i="12"/>
  <c r="O459" i="12"/>
  <c r="U458" i="12"/>
  <c r="AC457" i="12"/>
  <c r="I457" i="12"/>
  <c r="T456" i="12"/>
  <c r="AC455" i="12"/>
  <c r="J455" i="12"/>
  <c r="W454" i="12"/>
  <c r="G454" i="12"/>
  <c r="O453" i="12"/>
  <c r="U452" i="12"/>
  <c r="AB451" i="12"/>
  <c r="H451" i="12"/>
  <c r="S450" i="12"/>
  <c r="V449" i="12"/>
  <c r="C449" i="12"/>
  <c r="J448" i="12"/>
  <c r="U447" i="12"/>
  <c r="F446" i="12"/>
  <c r="N445" i="12"/>
  <c r="U444" i="12"/>
  <c r="X443" i="12"/>
  <c r="E443" i="12"/>
  <c r="N442" i="12"/>
  <c r="U441" i="12"/>
  <c r="X440" i="12"/>
  <c r="D440" i="12"/>
  <c r="H439" i="12"/>
  <c r="Q438" i="12"/>
  <c r="E437" i="12"/>
  <c r="N436" i="12"/>
  <c r="T435" i="12"/>
  <c r="W434" i="12"/>
  <c r="C434" i="12"/>
  <c r="G433" i="12"/>
  <c r="N432" i="12"/>
  <c r="T431" i="12"/>
  <c r="X430" i="12"/>
  <c r="D430" i="12"/>
  <c r="L429" i="12"/>
  <c r="S428" i="12"/>
  <c r="X427" i="12"/>
  <c r="H427" i="12"/>
  <c r="S426" i="12"/>
  <c r="X425" i="12"/>
  <c r="D425" i="12"/>
  <c r="L424" i="12"/>
  <c r="V423" i="12"/>
  <c r="F423" i="12"/>
  <c r="N422" i="12"/>
  <c r="U421" i="12"/>
  <c r="E421" i="12"/>
  <c r="N420" i="12"/>
  <c r="X419" i="12"/>
  <c r="H419" i="12"/>
  <c r="S418" i="12"/>
  <c r="X417" i="12"/>
  <c r="H417" i="12"/>
  <c r="S416" i="12"/>
  <c r="C416" i="12"/>
  <c r="J415" i="12"/>
  <c r="U414" i="12"/>
  <c r="E414" i="12"/>
  <c r="M413" i="12"/>
  <c r="W412" i="12"/>
  <c r="G412" i="12"/>
  <c r="O411" i="12"/>
  <c r="AB410" i="12"/>
  <c r="I410" i="12"/>
  <c r="T409" i="12"/>
  <c r="D409" i="12"/>
  <c r="L408" i="12"/>
  <c r="T407" i="12"/>
  <c r="D407" i="12"/>
  <c r="M406" i="12"/>
  <c r="W405" i="12"/>
  <c r="G405" i="12"/>
  <c r="O404" i="12"/>
  <c r="A404" i="12"/>
  <c r="J403" i="12"/>
  <c r="U402" i="12"/>
  <c r="E402" i="12"/>
  <c r="N401" i="12"/>
  <c r="AB400" i="12"/>
  <c r="I400" i="12"/>
  <c r="U399" i="12"/>
  <c r="E399" i="12"/>
  <c r="O398" i="12"/>
  <c r="A398" i="12"/>
  <c r="L397" i="12"/>
  <c r="W396" i="12"/>
  <c r="G396" i="12"/>
  <c r="S395" i="12"/>
  <c r="C395" i="12"/>
  <c r="L394" i="12"/>
  <c r="W393" i="12"/>
  <c r="G393" i="12"/>
  <c r="T392" i="12"/>
  <c r="D392" i="12"/>
  <c r="N391" i="12"/>
  <c r="X390" i="12"/>
  <c r="I390" i="12"/>
  <c r="T389" i="12"/>
  <c r="D389" i="12"/>
  <c r="L388" i="12"/>
  <c r="V387" i="12"/>
  <c r="F387" i="12"/>
  <c r="O386" i="12"/>
  <c r="I385" i="12"/>
  <c r="T384" i="12"/>
  <c r="D384" i="12"/>
  <c r="M383" i="12"/>
  <c r="W382" i="12"/>
  <c r="G382" i="12"/>
  <c r="G419" i="13"/>
  <c r="I290" i="13"/>
  <c r="I220" i="13"/>
  <c r="L192" i="13"/>
  <c r="K178" i="13"/>
  <c r="J165" i="13"/>
  <c r="I152" i="13"/>
  <c r="H139" i="13"/>
  <c r="G126" i="13"/>
  <c r="J113" i="13"/>
  <c r="J104" i="13"/>
  <c r="G97" i="13"/>
  <c r="D92" i="13"/>
  <c r="F87" i="13"/>
  <c r="D83" i="13"/>
  <c r="H79" i="13"/>
  <c r="B76" i="13"/>
  <c r="G72" i="13"/>
  <c r="L68" i="13"/>
  <c r="E65" i="13"/>
  <c r="J61" i="13"/>
  <c r="C58" i="13"/>
  <c r="D55" i="13"/>
  <c r="J52" i="13"/>
  <c r="E50" i="13"/>
  <c r="L47" i="13"/>
  <c r="G45" i="13"/>
  <c r="H43" i="13"/>
  <c r="F41" i="13"/>
  <c r="G39" i="13"/>
  <c r="J37" i="13"/>
  <c r="L35" i="13"/>
  <c r="C34" i="13"/>
  <c r="E32" i="13"/>
  <c r="G30" i="13"/>
  <c r="E29" i="13"/>
  <c r="C28" i="13"/>
  <c r="L26" i="13"/>
  <c r="J25" i="13"/>
  <c r="G24" i="13"/>
  <c r="E23" i="13"/>
  <c r="C22" i="13"/>
  <c r="L20" i="13"/>
  <c r="J19" i="13"/>
  <c r="G18" i="13"/>
  <c r="E17" i="13"/>
  <c r="C16" i="13"/>
  <c r="B15" i="13"/>
  <c r="L13" i="13"/>
  <c r="J12" i="13"/>
  <c r="G11" i="13"/>
  <c r="E10" i="13"/>
  <c r="C9" i="13"/>
  <c r="L7" i="13"/>
  <c r="J6" i="13"/>
  <c r="H5" i="13"/>
  <c r="H4" i="13"/>
  <c r="G481" i="12"/>
  <c r="C480" i="12"/>
  <c r="AA478" i="12"/>
  <c r="AA477" i="12"/>
  <c r="AA476" i="12"/>
  <c r="AA475" i="12"/>
  <c r="AA474" i="12"/>
  <c r="AA473" i="12"/>
  <c r="AA472" i="12"/>
  <c r="AA471" i="12"/>
  <c r="AA470" i="12"/>
  <c r="AA469" i="12"/>
  <c r="AA468" i="12"/>
  <c r="AA467" i="12"/>
  <c r="W466" i="12"/>
  <c r="D466" i="12"/>
  <c r="H465" i="12"/>
  <c r="S464" i="12"/>
  <c r="X463" i="12"/>
  <c r="D463" i="12"/>
  <c r="L462" i="12"/>
  <c r="S461" i="12"/>
  <c r="C461" i="12"/>
  <c r="G460" i="12"/>
  <c r="N459" i="12"/>
  <c r="T458" i="12"/>
  <c r="X457" i="12"/>
  <c r="H457" i="12"/>
  <c r="S456" i="12"/>
  <c r="AB455" i="12"/>
  <c r="I455" i="12"/>
  <c r="V454" i="12"/>
  <c r="F454" i="12"/>
  <c r="N453" i="12"/>
  <c r="T452" i="12"/>
  <c r="X451" i="12"/>
  <c r="G451" i="12"/>
  <c r="O450" i="12"/>
  <c r="U449" i="12"/>
  <c r="AB448" i="12"/>
  <c r="I448" i="12"/>
  <c r="T447" i="12"/>
  <c r="X446" i="12"/>
  <c r="E446" i="12"/>
  <c r="L445" i="12"/>
  <c r="T444" i="12"/>
  <c r="W443" i="12"/>
  <c r="D443" i="12"/>
  <c r="L442" i="12"/>
  <c r="T441" i="12"/>
  <c r="W440" i="12"/>
  <c r="C440" i="12"/>
  <c r="G439" i="12"/>
  <c r="O438" i="12"/>
  <c r="X437" i="12"/>
  <c r="D437" i="12"/>
  <c r="L436" i="12"/>
  <c r="S435" i="12"/>
  <c r="V434" i="12"/>
  <c r="E433" i="12"/>
  <c r="L432" i="12"/>
  <c r="S431" i="12"/>
  <c r="W430" i="12"/>
  <c r="C430" i="12"/>
  <c r="H429" i="12"/>
  <c r="Q428" i="12"/>
  <c r="W427" i="12"/>
  <c r="G427" i="12"/>
  <c r="Q426" i="12"/>
  <c r="W425" i="12"/>
  <c r="C425" i="12"/>
  <c r="J424" i="12"/>
  <c r="U423" i="12"/>
  <c r="E423" i="12"/>
  <c r="L422" i="12"/>
  <c r="T421" i="12"/>
  <c r="D421" i="12"/>
  <c r="M420" i="12"/>
  <c r="W419" i="12"/>
  <c r="G419" i="12"/>
  <c r="O418" i="12"/>
  <c r="W417" i="12"/>
  <c r="G417" i="12"/>
  <c r="O416" i="12"/>
  <c r="AB415" i="12"/>
  <c r="I415" i="12"/>
  <c r="T414" i="12"/>
  <c r="D414" i="12"/>
  <c r="L413" i="12"/>
  <c r="V412" i="12"/>
  <c r="F412" i="12"/>
  <c r="N411" i="12"/>
  <c r="X410" i="12"/>
  <c r="H410" i="12"/>
  <c r="S409" i="12"/>
  <c r="C409" i="12"/>
  <c r="H408" i="12"/>
  <c r="S407" i="12"/>
  <c r="C407" i="12"/>
  <c r="L406" i="12"/>
  <c r="V405" i="12"/>
  <c r="F405" i="12"/>
  <c r="N404" i="12"/>
  <c r="AB403" i="12"/>
  <c r="I403" i="12"/>
  <c r="T402" i="12"/>
  <c r="D402" i="12"/>
  <c r="M401" i="12"/>
  <c r="X400" i="12"/>
  <c r="H400" i="12"/>
  <c r="T399" i="12"/>
  <c r="D399" i="12"/>
  <c r="N398" i="12"/>
  <c r="AC397" i="12"/>
  <c r="J397" i="12"/>
  <c r="V396" i="12"/>
  <c r="F396" i="12"/>
  <c r="O395" i="12"/>
  <c r="AC394" i="12"/>
  <c r="J394" i="12"/>
  <c r="V393" i="12"/>
  <c r="F393" i="12"/>
  <c r="S392" i="12"/>
  <c r="C392" i="12"/>
  <c r="M391" i="12"/>
  <c r="W390" i="12"/>
  <c r="H390" i="12"/>
  <c r="S389" i="12"/>
  <c r="C389" i="12"/>
  <c r="J388" i="12"/>
  <c r="U387" i="12"/>
  <c r="E387" i="12"/>
  <c r="N386" i="12"/>
  <c r="X385" i="12"/>
  <c r="H385" i="12"/>
  <c r="S384" i="12"/>
  <c r="C384" i="12"/>
  <c r="L383" i="12"/>
  <c r="V382" i="12"/>
  <c r="F382" i="12"/>
  <c r="N381" i="12"/>
  <c r="X380" i="12"/>
  <c r="H380" i="12"/>
  <c r="S379" i="12"/>
  <c r="C379" i="12"/>
  <c r="J378" i="12"/>
  <c r="U377" i="12"/>
  <c r="E377" i="12"/>
  <c r="M376" i="12"/>
  <c r="W375" i="12"/>
  <c r="G375" i="12"/>
  <c r="O374" i="12"/>
  <c r="I373" i="12"/>
  <c r="T372" i="12"/>
  <c r="D372" i="12"/>
  <c r="L371" i="12"/>
  <c r="V370" i="12"/>
  <c r="F370" i="12"/>
  <c r="N369" i="12"/>
  <c r="X368" i="12"/>
  <c r="H368" i="12"/>
  <c r="S367" i="12"/>
  <c r="C367" i="12"/>
  <c r="J366" i="12"/>
  <c r="U365" i="12"/>
  <c r="E365" i="12"/>
  <c r="G396" i="13"/>
  <c r="D284" i="13"/>
  <c r="B218" i="13"/>
  <c r="D191" i="13"/>
  <c r="J177" i="13"/>
  <c r="I164" i="13"/>
  <c r="H151" i="13"/>
  <c r="G138" i="13"/>
  <c r="F125" i="13"/>
  <c r="I112" i="13"/>
  <c r="K103" i="13"/>
  <c r="H96" i="13"/>
  <c r="K91" i="13"/>
  <c r="B87" i="13"/>
  <c r="C83" i="13"/>
  <c r="G79" i="13"/>
  <c r="L75" i="13"/>
  <c r="F72" i="13"/>
  <c r="K68" i="13"/>
  <c r="D65" i="13"/>
  <c r="H61" i="13"/>
  <c r="B58" i="13"/>
  <c r="C55" i="13"/>
  <c r="H52" i="13"/>
  <c r="D50" i="13"/>
  <c r="K47" i="13"/>
  <c r="F45" i="13"/>
  <c r="D43" i="13"/>
  <c r="E41" i="13"/>
  <c r="F39" i="13"/>
  <c r="H37" i="13"/>
  <c r="K35" i="13"/>
  <c r="B34" i="13"/>
  <c r="D32" i="13"/>
  <c r="F30" i="13"/>
  <c r="D29" i="13"/>
  <c r="B28" i="13"/>
  <c r="K26" i="13"/>
  <c r="H25" i="13"/>
  <c r="F24" i="13"/>
  <c r="D23" i="13"/>
  <c r="B22" i="13"/>
  <c r="K20" i="13"/>
  <c r="H19" i="13"/>
  <c r="F18" i="13"/>
  <c r="D17" i="13"/>
  <c r="B16" i="13"/>
  <c r="M14" i="13"/>
  <c r="K13" i="13"/>
  <c r="H12" i="13"/>
  <c r="F11" i="13"/>
  <c r="D10" i="13"/>
  <c r="B9" i="13"/>
  <c r="K7" i="13"/>
  <c r="H6" i="13"/>
  <c r="G5" i="13"/>
  <c r="G4" i="13"/>
  <c r="F481" i="12"/>
  <c r="O479" i="12"/>
  <c r="O478" i="12"/>
  <c r="O477" i="12"/>
  <c r="O476" i="12"/>
  <c r="O475" i="12"/>
  <c r="O474" i="12"/>
  <c r="O473" i="12"/>
  <c r="O472" i="12"/>
  <c r="O471" i="12"/>
  <c r="O470" i="12"/>
  <c r="O469" i="12"/>
  <c r="O468" i="12"/>
  <c r="O467" i="12"/>
  <c r="V466" i="12"/>
  <c r="C466" i="12"/>
  <c r="G465" i="12"/>
  <c r="Q464" i="12"/>
  <c r="W463" i="12"/>
  <c r="C463" i="12"/>
  <c r="H462" i="12"/>
  <c r="Q461" i="12"/>
  <c r="E460" i="12"/>
  <c r="L459" i="12"/>
  <c r="S458" i="12"/>
  <c r="W457" i="12"/>
  <c r="G457" i="12"/>
  <c r="Q456" i="12"/>
  <c r="X455" i="12"/>
  <c r="H455" i="12"/>
  <c r="U454" i="12"/>
  <c r="E454" i="12"/>
  <c r="L453" i="12"/>
  <c r="S452" i="12"/>
  <c r="W451" i="12"/>
  <c r="F451" i="12"/>
  <c r="N450" i="12"/>
  <c r="T449" i="12"/>
  <c r="X448" i="12"/>
  <c r="H448" i="12"/>
  <c r="S447" i="12"/>
  <c r="W446" i="12"/>
  <c r="D446" i="12"/>
  <c r="H445" i="12"/>
  <c r="S444" i="12"/>
  <c r="V443" i="12"/>
  <c r="C443" i="12"/>
  <c r="H442" i="12"/>
  <c r="S441" i="12"/>
  <c r="V440" i="12"/>
  <c r="E439" i="12"/>
  <c r="N438" i="12"/>
  <c r="W437" i="12"/>
  <c r="C437" i="12"/>
  <c r="H436" i="12"/>
  <c r="O435" i="12"/>
  <c r="U434" i="12"/>
  <c r="X433" i="12"/>
  <c r="D433" i="12"/>
  <c r="H432" i="12"/>
  <c r="Q431" i="12"/>
  <c r="V430" i="12"/>
  <c r="AB429" i="12"/>
  <c r="G429" i="12"/>
  <c r="O428" i="12"/>
  <c r="V427" i="12"/>
  <c r="F427" i="12"/>
  <c r="O426" i="12"/>
  <c r="V425" i="12"/>
  <c r="AB424" i="12"/>
  <c r="I424" i="12"/>
  <c r="T423" i="12"/>
  <c r="D423" i="12"/>
  <c r="H422" i="12"/>
  <c r="S421" i="12"/>
  <c r="C421" i="12"/>
  <c r="L420" i="12"/>
  <c r="V419" i="12"/>
  <c r="F419" i="12"/>
  <c r="N418" i="12"/>
  <c r="V417" i="12"/>
  <c r="F417" i="12"/>
  <c r="N416" i="12"/>
  <c r="X415" i="12"/>
  <c r="H415" i="12"/>
  <c r="S414" i="12"/>
  <c r="C414" i="12"/>
  <c r="J413" i="12"/>
  <c r="U412" i="12"/>
  <c r="E412" i="12"/>
  <c r="M411" i="12"/>
  <c r="W410" i="12"/>
  <c r="G410" i="12"/>
  <c r="O409" i="12"/>
  <c r="G408" i="12"/>
  <c r="O407" i="12"/>
  <c r="A407" i="12"/>
  <c r="J406" i="12"/>
  <c r="U405" i="12"/>
  <c r="E405" i="12"/>
  <c r="M404" i="12"/>
  <c r="X403" i="12"/>
  <c r="H403" i="12"/>
  <c r="S402" i="12"/>
  <c r="C402" i="12"/>
  <c r="L401" i="12"/>
  <c r="W400" i="12"/>
  <c r="G400" i="12"/>
  <c r="S399" i="12"/>
  <c r="C399" i="12"/>
  <c r="M398" i="12"/>
  <c r="AB397" i="12"/>
  <c r="I397" i="12"/>
  <c r="U396" i="12"/>
  <c r="E396" i="12"/>
  <c r="N395" i="12"/>
  <c r="AB394" i="12"/>
  <c r="I394" i="12"/>
  <c r="U393" i="12"/>
  <c r="E393" i="12"/>
  <c r="O392" i="12"/>
  <c r="A392" i="12"/>
  <c r="L391" i="12"/>
  <c r="V390" i="12"/>
  <c r="G390" i="12"/>
  <c r="O389" i="12"/>
  <c r="I388" i="12"/>
  <c r="T387" i="12"/>
  <c r="D387" i="12"/>
  <c r="M386" i="12"/>
  <c r="W385" i="12"/>
  <c r="G385" i="12"/>
  <c r="O384" i="12"/>
  <c r="AB383" i="12"/>
  <c r="J383" i="12"/>
  <c r="U382" i="12"/>
  <c r="E382" i="12"/>
  <c r="M381" i="12"/>
  <c r="W380" i="12"/>
  <c r="G380" i="12"/>
  <c r="O379" i="12"/>
  <c r="I378" i="12"/>
  <c r="T377" i="12"/>
  <c r="D377" i="12"/>
  <c r="L376" i="12"/>
  <c r="V375" i="12"/>
  <c r="F375" i="12"/>
  <c r="N374" i="12"/>
  <c r="X373" i="12"/>
  <c r="H373" i="12"/>
  <c r="S372" i="12"/>
  <c r="C372" i="12"/>
  <c r="J371" i="12"/>
  <c r="U370" i="12"/>
  <c r="E370" i="12"/>
  <c r="M369" i="12"/>
  <c r="W368" i="12"/>
  <c r="G368" i="12"/>
  <c r="O367" i="12"/>
  <c r="I366" i="12"/>
  <c r="T365" i="12"/>
  <c r="D365" i="12"/>
  <c r="L364" i="12"/>
  <c r="V363" i="12"/>
  <c r="F363" i="12"/>
  <c r="N362" i="12"/>
  <c r="X361" i="12"/>
  <c r="H361" i="12"/>
  <c r="S360" i="12"/>
  <c r="C360" i="12"/>
  <c r="J359" i="12"/>
  <c r="U358" i="12"/>
  <c r="E358" i="12"/>
  <c r="M357" i="12"/>
  <c r="W356" i="12"/>
  <c r="G356" i="12"/>
  <c r="O355" i="12"/>
  <c r="I354" i="12"/>
  <c r="T353" i="12"/>
  <c r="D353" i="12"/>
  <c r="L352" i="12"/>
  <c r="V351" i="12"/>
  <c r="F351" i="12"/>
  <c r="I383" i="13"/>
  <c r="J277" i="13"/>
  <c r="H215" i="13"/>
  <c r="J189" i="13"/>
  <c r="I176" i="13"/>
  <c r="H163" i="13"/>
  <c r="G150" i="13"/>
  <c r="F137" i="13"/>
  <c r="E124" i="13"/>
  <c r="I111" i="13"/>
  <c r="G103" i="13"/>
  <c r="E96" i="13"/>
  <c r="G91" i="13"/>
  <c r="J86" i="13"/>
  <c r="H82" i="13"/>
  <c r="B79" i="13"/>
  <c r="F75" i="13"/>
  <c r="L71" i="13"/>
  <c r="E68" i="13"/>
  <c r="J64" i="13"/>
  <c r="C61" i="13"/>
  <c r="H57" i="13"/>
  <c r="J54" i="13"/>
  <c r="E52" i="13"/>
  <c r="L49" i="13"/>
  <c r="G47" i="13"/>
  <c r="C45" i="13"/>
  <c r="C43" i="13"/>
  <c r="D41" i="13"/>
  <c r="C39" i="13"/>
  <c r="G37" i="13"/>
  <c r="G35" i="13"/>
  <c r="L33" i="13"/>
  <c r="L31" i="13"/>
  <c r="E30" i="13"/>
  <c r="C29" i="13"/>
  <c r="L27" i="13"/>
  <c r="J26" i="13"/>
  <c r="G25" i="13"/>
  <c r="E24" i="13"/>
  <c r="C23" i="13"/>
  <c r="L21" i="13"/>
  <c r="J20" i="13"/>
  <c r="G19" i="13"/>
  <c r="E18" i="13"/>
  <c r="C17" i="13"/>
  <c r="M15" i="13"/>
  <c r="L14" i="13"/>
  <c r="J13" i="13"/>
  <c r="G12" i="13"/>
  <c r="E11" i="13"/>
  <c r="C10" i="13"/>
  <c r="L8" i="13"/>
  <c r="J7" i="13"/>
  <c r="G6" i="13"/>
  <c r="F5" i="13"/>
  <c r="F4" i="13"/>
  <c r="E481" i="12"/>
  <c r="N479" i="12"/>
  <c r="N478" i="12"/>
  <c r="N477" i="12"/>
  <c r="N476" i="12"/>
  <c r="N475" i="12"/>
  <c r="N474" i="12"/>
  <c r="N473" i="12"/>
  <c r="N472" i="12"/>
  <c r="N471" i="12"/>
  <c r="N470" i="12"/>
  <c r="N469" i="12"/>
  <c r="N468" i="12"/>
  <c r="N467" i="12"/>
  <c r="U466" i="12"/>
  <c r="E465" i="12"/>
  <c r="O464" i="12"/>
  <c r="V463" i="12"/>
  <c r="AB462" i="12"/>
  <c r="G462" i="12"/>
  <c r="O461" i="12"/>
  <c r="X460" i="12"/>
  <c r="D460" i="12"/>
  <c r="H459" i="12"/>
  <c r="Q458" i="12"/>
  <c r="V457" i="12"/>
  <c r="F457" i="12"/>
  <c r="O456" i="12"/>
  <c r="W455" i="12"/>
  <c r="G455" i="12"/>
  <c r="T454" i="12"/>
  <c r="D454" i="12"/>
  <c r="H453" i="12"/>
  <c r="O452" i="12"/>
  <c r="V451" i="12"/>
  <c r="E451" i="12"/>
  <c r="L450" i="12"/>
  <c r="S449" i="12"/>
  <c r="W448" i="12"/>
  <c r="G448" i="12"/>
  <c r="Q447" i="12"/>
  <c r="V446" i="12"/>
  <c r="C446" i="12"/>
  <c r="G445" i="12"/>
  <c r="O444" i="12"/>
  <c r="U443" i="12"/>
  <c r="AC442" i="12"/>
  <c r="G442" i="12"/>
  <c r="O441" i="12"/>
  <c r="U440" i="12"/>
  <c r="X439" i="12"/>
  <c r="D439" i="12"/>
  <c r="L438" i="12"/>
  <c r="V437" i="12"/>
  <c r="AB436" i="12"/>
  <c r="G436" i="12"/>
  <c r="N435" i="12"/>
  <c r="T434" i="12"/>
  <c r="W433" i="12"/>
  <c r="C433" i="12"/>
  <c r="G432" i="12"/>
  <c r="O431" i="12"/>
  <c r="U430" i="12"/>
  <c r="X429" i="12"/>
  <c r="E429" i="12"/>
  <c r="N428" i="12"/>
  <c r="U427" i="12"/>
  <c r="E427" i="12"/>
  <c r="N426" i="12"/>
  <c r="U425" i="12"/>
  <c r="X424" i="12"/>
  <c r="H424" i="12"/>
  <c r="S423" i="12"/>
  <c r="C423" i="12"/>
  <c r="G422" i="12"/>
  <c r="O421" i="12"/>
  <c r="A421" i="12"/>
  <c r="J420" i="12"/>
  <c r="U419" i="12"/>
  <c r="E419" i="12"/>
  <c r="M418" i="12"/>
  <c r="U417" i="12"/>
  <c r="E417" i="12"/>
  <c r="M416" i="12"/>
  <c r="W415" i="12"/>
  <c r="G415" i="12"/>
  <c r="O414" i="12"/>
  <c r="AB413" i="12"/>
  <c r="I413" i="12"/>
  <c r="T412" i="12"/>
  <c r="D412" i="12"/>
  <c r="L411" i="12"/>
  <c r="V410" i="12"/>
  <c r="F410" i="12"/>
  <c r="N409" i="12"/>
  <c r="X408" i="12"/>
  <c r="F408" i="12"/>
  <c r="N407" i="12"/>
  <c r="AB406" i="12"/>
  <c r="I406" i="12"/>
  <c r="T405" i="12"/>
  <c r="D405" i="12"/>
  <c r="L404" i="12"/>
  <c r="W403" i="12"/>
  <c r="G403" i="12"/>
  <c r="O402" i="12"/>
  <c r="AC401" i="12"/>
  <c r="J401" i="12"/>
  <c r="V400" i="12"/>
  <c r="F400" i="12"/>
  <c r="O399" i="12"/>
  <c r="A399" i="12"/>
  <c r="L398" i="12"/>
  <c r="X397" i="12"/>
  <c r="H397" i="12"/>
  <c r="T396" i="12"/>
  <c r="D396" i="12"/>
  <c r="M395" i="12"/>
  <c r="X394" i="12"/>
  <c r="H394" i="12"/>
  <c r="T393" i="12"/>
  <c r="D393" i="12"/>
  <c r="N392" i="12"/>
  <c r="AC391" i="12"/>
  <c r="J391" i="12"/>
  <c r="U390" i="12"/>
  <c r="F390" i="12"/>
  <c r="N389" i="12"/>
  <c r="X388" i="12"/>
  <c r="H388" i="12"/>
  <c r="S387" i="12"/>
  <c r="C387" i="12"/>
  <c r="L386" i="12"/>
  <c r="V385" i="12"/>
  <c r="F385" i="12"/>
  <c r="N384" i="12"/>
  <c r="X383" i="12"/>
  <c r="I383" i="12"/>
  <c r="T382" i="12"/>
  <c r="D382" i="12"/>
  <c r="L381" i="12"/>
  <c r="V380" i="12"/>
  <c r="F380" i="12"/>
  <c r="N379" i="12"/>
  <c r="X378" i="12"/>
  <c r="H378" i="12"/>
  <c r="S377" i="12"/>
  <c r="C377" i="12"/>
  <c r="J376" i="12"/>
  <c r="U375" i="12"/>
  <c r="E375" i="12"/>
  <c r="M374" i="12"/>
  <c r="W373" i="12"/>
  <c r="G373" i="12"/>
  <c r="O372" i="12"/>
  <c r="I371" i="12"/>
  <c r="T370" i="12"/>
  <c r="D370" i="12"/>
  <c r="L369" i="12"/>
  <c r="V368" i="12"/>
  <c r="F368" i="12"/>
  <c r="N367" i="12"/>
  <c r="X366" i="12"/>
  <c r="H366" i="12"/>
  <c r="S365" i="12"/>
  <c r="C365" i="12"/>
  <c r="J364" i="12"/>
  <c r="H370" i="13"/>
  <c r="E271" i="13"/>
  <c r="K212" i="13"/>
  <c r="I188" i="13"/>
  <c r="H175" i="13"/>
  <c r="G162" i="13"/>
  <c r="F149" i="13"/>
  <c r="E136" i="13"/>
  <c r="D123" i="13"/>
  <c r="I110" i="13"/>
  <c r="H102" i="13"/>
  <c r="K95" i="13"/>
  <c r="B91" i="13"/>
  <c r="D86" i="13"/>
  <c r="D82" i="13"/>
  <c r="H78" i="13"/>
  <c r="B75" i="13"/>
  <c r="G71" i="13"/>
  <c r="L67" i="13"/>
  <c r="E64" i="13"/>
  <c r="J60" i="13"/>
  <c r="G57" i="13"/>
  <c r="G54" i="13"/>
  <c r="C52" i="13"/>
  <c r="J49" i="13"/>
  <c r="E47" i="13"/>
  <c r="B45" i="13"/>
  <c r="B43" i="13"/>
  <c r="K40" i="13"/>
  <c r="B39" i="13"/>
  <c r="D37" i="13"/>
  <c r="F35" i="13"/>
  <c r="H33" i="13"/>
  <c r="K31" i="13"/>
  <c r="D30" i="13"/>
  <c r="B29" i="13"/>
  <c r="K27" i="13"/>
  <c r="H26" i="13"/>
  <c r="F25" i="13"/>
  <c r="D24" i="13"/>
  <c r="B23" i="13"/>
  <c r="K21" i="13"/>
  <c r="H20" i="13"/>
  <c r="F19" i="13"/>
  <c r="D18" i="13"/>
  <c r="B17" i="13"/>
  <c r="L15" i="13"/>
  <c r="K14" i="13"/>
  <c r="H13" i="13"/>
  <c r="F12" i="13"/>
  <c r="D11" i="13"/>
  <c r="B10" i="13"/>
  <c r="K8" i="13"/>
  <c r="H7" i="13"/>
  <c r="F6" i="13"/>
  <c r="E5" i="13"/>
  <c r="E4" i="13"/>
  <c r="C481" i="12"/>
  <c r="M479" i="12"/>
  <c r="M478" i="12"/>
  <c r="M477" i="12"/>
  <c r="M476" i="12"/>
  <c r="M475" i="12"/>
  <c r="M474" i="12"/>
  <c r="M473" i="12"/>
  <c r="M472" i="12"/>
  <c r="M471" i="12"/>
  <c r="M470" i="12"/>
  <c r="M469" i="12"/>
  <c r="M468" i="12"/>
  <c r="M467" i="12"/>
  <c r="T466" i="12"/>
  <c r="X465" i="12"/>
  <c r="D465" i="12"/>
  <c r="N464" i="12"/>
  <c r="U463" i="12"/>
  <c r="X462" i="12"/>
  <c r="E462" i="12"/>
  <c r="N461" i="12"/>
  <c r="W460" i="12"/>
  <c r="C460" i="12"/>
  <c r="G459" i="12"/>
  <c r="O458" i="12"/>
  <c r="U457" i="12"/>
  <c r="E457" i="12"/>
  <c r="N456" i="12"/>
  <c r="V455" i="12"/>
  <c r="F455" i="12"/>
  <c r="S454" i="12"/>
  <c r="C454" i="12"/>
  <c r="G453" i="12"/>
  <c r="N452" i="12"/>
  <c r="U451" i="12"/>
  <c r="D451" i="12"/>
  <c r="H450" i="12"/>
  <c r="O449" i="12"/>
  <c r="V448" i="12"/>
  <c r="F448" i="12"/>
  <c r="O447" i="12"/>
  <c r="U446" i="12"/>
  <c r="F445" i="12"/>
  <c r="N444" i="12"/>
  <c r="T443" i="12"/>
  <c r="X442" i="12"/>
  <c r="F442" i="12"/>
  <c r="N441" i="12"/>
  <c r="T440" i="12"/>
  <c r="W439" i="12"/>
  <c r="C439" i="12"/>
  <c r="J438" i="12"/>
  <c r="U437" i="12"/>
  <c r="X436" i="12"/>
  <c r="E436" i="12"/>
  <c r="L435" i="12"/>
  <c r="S434" i="12"/>
  <c r="V433" i="12"/>
  <c r="E432" i="12"/>
  <c r="N431" i="12"/>
  <c r="T430" i="12"/>
  <c r="W429" i="12"/>
  <c r="D429" i="12"/>
  <c r="L428" i="12"/>
  <c r="T427" i="12"/>
  <c r="D427" i="12"/>
  <c r="L426" i="12"/>
  <c r="T425" i="12"/>
  <c r="W424" i="12"/>
  <c r="G424" i="12"/>
  <c r="Q423" i="12"/>
  <c r="AB422" i="12"/>
  <c r="F422" i="12"/>
  <c r="N421" i="12"/>
  <c r="AB420" i="12"/>
  <c r="I420" i="12"/>
  <c r="T419" i="12"/>
  <c r="D419" i="12"/>
  <c r="L418" i="12"/>
  <c r="T417" i="12"/>
  <c r="D417" i="12"/>
  <c r="L416" i="12"/>
  <c r="V415" i="12"/>
  <c r="F415" i="12"/>
  <c r="N414" i="12"/>
  <c r="X413" i="12"/>
  <c r="H413" i="12"/>
  <c r="S412" i="12"/>
  <c r="C412" i="12"/>
  <c r="J411" i="12"/>
  <c r="U410" i="12"/>
  <c r="E410" i="12"/>
  <c r="M409" i="12"/>
  <c r="W408" i="12"/>
  <c r="E408" i="12"/>
  <c r="M407" i="12"/>
  <c r="X406" i="12"/>
  <c r="H406" i="12"/>
  <c r="S405" i="12"/>
  <c r="C405" i="12"/>
  <c r="J404" i="12"/>
  <c r="V403" i="12"/>
  <c r="F403" i="12"/>
  <c r="N402" i="12"/>
  <c r="AB401" i="12"/>
  <c r="I401" i="12"/>
  <c r="U400" i="12"/>
  <c r="E400" i="12"/>
  <c r="N399" i="12"/>
  <c r="AC398" i="12"/>
  <c r="J398" i="12"/>
  <c r="W397" i="12"/>
  <c r="G397" i="12"/>
  <c r="S396" i="12"/>
  <c r="C396" i="12"/>
  <c r="L395" i="12"/>
  <c r="W394" i="12"/>
  <c r="G394" i="12"/>
  <c r="S393" i="12"/>
  <c r="C393" i="12"/>
  <c r="M392" i="12"/>
  <c r="AB391" i="12"/>
  <c r="I391" i="12"/>
  <c r="T390" i="12"/>
  <c r="E390" i="12"/>
  <c r="M389" i="12"/>
  <c r="W388" i="12"/>
  <c r="G388" i="12"/>
  <c r="O387" i="12"/>
  <c r="A387" i="12"/>
  <c r="J386" i="12"/>
  <c r="U385" i="12"/>
  <c r="E385" i="12"/>
  <c r="M384" i="12"/>
  <c r="W383" i="12"/>
  <c r="H383" i="12"/>
  <c r="S382" i="12"/>
  <c r="C382" i="12"/>
  <c r="J381" i="12"/>
  <c r="U380" i="12"/>
  <c r="E380" i="12"/>
  <c r="M379" i="12"/>
  <c r="W378" i="12"/>
  <c r="G378" i="12"/>
  <c r="O377" i="12"/>
  <c r="I376" i="12"/>
  <c r="T375" i="12"/>
  <c r="D375" i="12"/>
  <c r="L374" i="12"/>
  <c r="V373" i="12"/>
  <c r="F373" i="12"/>
  <c r="N372" i="12"/>
  <c r="X371" i="12"/>
  <c r="H371" i="12"/>
  <c r="S370" i="12"/>
  <c r="C370" i="12"/>
  <c r="J369" i="12"/>
  <c r="U368" i="12"/>
  <c r="E368" i="12"/>
  <c r="M367" i="12"/>
  <c r="W366" i="12"/>
  <c r="G366" i="12"/>
  <c r="O365" i="12"/>
  <c r="I364" i="12"/>
  <c r="T363" i="12"/>
  <c r="D363" i="12"/>
  <c r="L362" i="12"/>
  <c r="V361" i="12"/>
  <c r="F361" i="12"/>
  <c r="N360" i="12"/>
  <c r="X359" i="12"/>
  <c r="H359" i="12"/>
  <c r="S358" i="12"/>
  <c r="C358" i="12"/>
  <c r="J357" i="12"/>
  <c r="U356" i="12"/>
  <c r="E356" i="12"/>
  <c r="M355" i="12"/>
  <c r="W354" i="12"/>
  <c r="G357" i="13"/>
  <c r="K264" i="13"/>
  <c r="E210" i="13"/>
  <c r="H187" i="13"/>
  <c r="G174" i="13"/>
  <c r="F161" i="13"/>
  <c r="E148" i="13"/>
  <c r="D135" i="13"/>
  <c r="C122" i="13"/>
  <c r="I109" i="13"/>
  <c r="E102" i="13"/>
  <c r="F95" i="13"/>
  <c r="H90" i="13"/>
  <c r="K85" i="13"/>
  <c r="B82" i="13"/>
  <c r="F78" i="13"/>
  <c r="K74" i="13"/>
  <c r="E71" i="13"/>
  <c r="J67" i="13"/>
  <c r="C64" i="13"/>
  <c r="G60" i="13"/>
  <c r="C57" i="13"/>
  <c r="F54" i="13"/>
  <c r="B52" i="13"/>
  <c r="H49" i="13"/>
  <c r="D47" i="13"/>
  <c r="L44" i="13"/>
  <c r="J42" i="13"/>
  <c r="J40" i="13"/>
  <c r="L38" i="13"/>
  <c r="C37" i="13"/>
  <c r="E35" i="13"/>
  <c r="G33" i="13"/>
  <c r="J31" i="13"/>
  <c r="C30" i="13"/>
  <c r="L28" i="13"/>
  <c r="J27" i="13"/>
  <c r="G26" i="13"/>
  <c r="E25" i="13"/>
  <c r="C24" i="13"/>
  <c r="L22" i="13"/>
  <c r="J21" i="13"/>
  <c r="G20" i="13"/>
  <c r="E19" i="13"/>
  <c r="C18" i="13"/>
  <c r="L16" i="13"/>
  <c r="K15" i="13"/>
  <c r="J14" i="13"/>
  <c r="G13" i="13"/>
  <c r="E12" i="13"/>
  <c r="C11" i="13"/>
  <c r="L9" i="13"/>
  <c r="J8" i="13"/>
  <c r="G7" i="13"/>
  <c r="E6" i="13"/>
  <c r="D5" i="13"/>
  <c r="D4" i="13"/>
  <c r="O480" i="12"/>
  <c r="L479" i="12"/>
  <c r="L478" i="12"/>
  <c r="L477" i="12"/>
  <c r="L476" i="12"/>
  <c r="L475" i="12"/>
  <c r="L474" i="12"/>
  <c r="L473" i="12"/>
  <c r="L472" i="12"/>
  <c r="L471" i="12"/>
  <c r="L470" i="12"/>
  <c r="L469" i="12"/>
  <c r="L468" i="12"/>
  <c r="L467" i="12"/>
  <c r="S466" i="12"/>
  <c r="W465" i="12"/>
  <c r="C465" i="12"/>
  <c r="L464" i="12"/>
  <c r="T463" i="12"/>
  <c r="W462" i="12"/>
  <c r="D462" i="12"/>
  <c r="L461" i="12"/>
  <c r="V460" i="12"/>
  <c r="E459" i="12"/>
  <c r="N458" i="12"/>
  <c r="T457" i="12"/>
  <c r="D457" i="12"/>
  <c r="L456" i="12"/>
  <c r="U455" i="12"/>
  <c r="E455" i="12"/>
  <c r="Q454" i="12"/>
  <c r="E453" i="12"/>
  <c r="L452" i="12"/>
  <c r="T451" i="12"/>
  <c r="C451" i="12"/>
  <c r="G450" i="12"/>
  <c r="N449" i="12"/>
  <c r="U448" i="12"/>
  <c r="E448" i="12"/>
  <c r="N447" i="12"/>
  <c r="T446" i="12"/>
  <c r="X445" i="12"/>
  <c r="E445" i="12"/>
  <c r="L444" i="12"/>
  <c r="S443" i="12"/>
  <c r="W442" i="12"/>
  <c r="E442" i="12"/>
  <c r="L441" i="12"/>
  <c r="S440" i="12"/>
  <c r="V439" i="12"/>
  <c r="AC438" i="12"/>
  <c r="I438" i="12"/>
  <c r="T437" i="12"/>
  <c r="W436" i="12"/>
  <c r="D436" i="12"/>
  <c r="H435" i="12"/>
  <c r="O434" i="12"/>
  <c r="U433" i="12"/>
  <c r="X432" i="12"/>
  <c r="D432" i="12"/>
  <c r="L431" i="12"/>
  <c r="S430" i="12"/>
  <c r="V429" i="12"/>
  <c r="C429" i="12"/>
  <c r="H428" i="12"/>
  <c r="S427" i="12"/>
  <c r="C427" i="12"/>
  <c r="H426" i="12"/>
  <c r="S425" i="12"/>
  <c r="V424" i="12"/>
  <c r="F424" i="12"/>
  <c r="O423" i="12"/>
  <c r="X422" i="12"/>
  <c r="E422" i="12"/>
  <c r="M421" i="12"/>
  <c r="X420" i="12"/>
  <c r="H420" i="12"/>
  <c r="S419" i="12"/>
  <c r="C419" i="12"/>
  <c r="H418" i="12"/>
  <c r="S417" i="12"/>
  <c r="C417" i="12"/>
  <c r="J416" i="12"/>
  <c r="U415" i="12"/>
  <c r="E415" i="12"/>
  <c r="M414" i="12"/>
  <c r="W413" i="12"/>
  <c r="G413" i="12"/>
  <c r="O412" i="12"/>
  <c r="I411" i="12"/>
  <c r="T410" i="12"/>
  <c r="D410" i="12"/>
  <c r="L409" i="12"/>
  <c r="V408" i="12"/>
  <c r="D408" i="12"/>
  <c r="L407" i="12"/>
  <c r="W406" i="12"/>
  <c r="G406" i="12"/>
  <c r="O405" i="12"/>
  <c r="AB404" i="12"/>
  <c r="I404" i="12"/>
  <c r="U403" i="12"/>
  <c r="E403" i="12"/>
  <c r="M402" i="12"/>
  <c r="X401" i="12"/>
  <c r="H401" i="12"/>
  <c r="T400" i="12"/>
  <c r="G344" i="13"/>
  <c r="F258" i="13"/>
  <c r="B208" i="13"/>
  <c r="G186" i="13"/>
  <c r="F173" i="13"/>
  <c r="E160" i="13"/>
  <c r="D147" i="13"/>
  <c r="C134" i="13"/>
  <c r="B121" i="13"/>
  <c r="H108" i="13"/>
  <c r="F101" i="13"/>
  <c r="C95" i="13"/>
  <c r="E90" i="13"/>
  <c r="G85" i="13"/>
  <c r="L81" i="13"/>
  <c r="E78" i="13"/>
  <c r="J74" i="13"/>
  <c r="D71" i="13"/>
  <c r="H67" i="13"/>
  <c r="B64" i="13"/>
  <c r="F60" i="13"/>
  <c r="L56" i="13"/>
  <c r="B54" i="13"/>
  <c r="H51" i="13"/>
  <c r="D49" i="13"/>
  <c r="K46" i="13"/>
  <c r="K44" i="13"/>
  <c r="H42" i="13"/>
  <c r="H40" i="13"/>
  <c r="K38" i="13"/>
  <c r="B37" i="13"/>
  <c r="D35" i="13"/>
  <c r="F33" i="13"/>
  <c r="H31" i="13"/>
  <c r="B30" i="13"/>
  <c r="K28" i="13"/>
  <c r="H27" i="13"/>
  <c r="F26" i="13"/>
  <c r="D25" i="13"/>
  <c r="B24" i="13"/>
  <c r="K22" i="13"/>
  <c r="H21" i="13"/>
  <c r="F20" i="13"/>
  <c r="D19" i="13"/>
  <c r="B18" i="13"/>
  <c r="K16" i="13"/>
  <c r="J15" i="13"/>
  <c r="H14" i="13"/>
  <c r="F13" i="13"/>
  <c r="D12" i="13"/>
  <c r="B11" i="13"/>
  <c r="K9" i="13"/>
  <c r="H8" i="13"/>
  <c r="F7" i="13"/>
  <c r="D6" i="13"/>
  <c r="C5" i="13"/>
  <c r="C4" i="13"/>
  <c r="N480" i="12"/>
  <c r="H479" i="12"/>
  <c r="H478" i="12"/>
  <c r="H477" i="12"/>
  <c r="H476" i="12"/>
  <c r="H475" i="12"/>
  <c r="H474" i="12"/>
  <c r="H473" i="12"/>
  <c r="H472" i="12"/>
  <c r="H471" i="12"/>
  <c r="H470" i="12"/>
  <c r="H469" i="12"/>
  <c r="H468" i="12"/>
  <c r="H467" i="12"/>
  <c r="Q466" i="12"/>
  <c r="V465" i="12"/>
  <c r="AC464" i="12"/>
  <c r="H464" i="12"/>
  <c r="S463" i="12"/>
  <c r="V462" i="12"/>
  <c r="C462" i="12"/>
  <c r="J461" i="12"/>
  <c r="U460" i="12"/>
  <c r="X459" i="12"/>
  <c r="D459" i="12"/>
  <c r="L458" i="12"/>
  <c r="S457" i="12"/>
  <c r="C457" i="12"/>
  <c r="H456" i="12"/>
  <c r="T455" i="12"/>
  <c r="D455" i="12"/>
  <c r="O454" i="12"/>
  <c r="X453" i="12"/>
  <c r="D453" i="12"/>
  <c r="H452" i="12"/>
  <c r="S451" i="12"/>
  <c r="E450" i="12"/>
  <c r="L449" i="12"/>
  <c r="T448" i="12"/>
  <c r="D448" i="12"/>
  <c r="L447" i="12"/>
  <c r="S446" i="12"/>
  <c r="W445" i="12"/>
  <c r="D445" i="12"/>
  <c r="H444" i="12"/>
  <c r="Q443" i="12"/>
  <c r="V442" i="12"/>
  <c r="D442" i="12"/>
  <c r="H441" i="12"/>
  <c r="O440" i="12"/>
  <c r="U439" i="12"/>
  <c r="X438" i="12"/>
  <c r="H438" i="12"/>
  <c r="S437" i="12"/>
  <c r="V436" i="12"/>
  <c r="C436" i="12"/>
  <c r="G435" i="12"/>
  <c r="N434" i="12"/>
  <c r="T433" i="12"/>
  <c r="W432" i="12"/>
  <c r="C432" i="12"/>
  <c r="H431" i="12"/>
  <c r="O430" i="12"/>
  <c r="U429" i="12"/>
  <c r="AB428" i="12"/>
  <c r="G428" i="12"/>
  <c r="Q427" i="12"/>
  <c r="AB426" i="12"/>
  <c r="G426" i="12"/>
  <c r="O425" i="12"/>
  <c r="U424" i="12"/>
  <c r="E424" i="12"/>
  <c r="N423" i="12"/>
  <c r="W422" i="12"/>
  <c r="D422" i="12"/>
  <c r="L421" i="12"/>
  <c r="W420" i="12"/>
  <c r="G420" i="12"/>
  <c r="O419" i="12"/>
  <c r="G418" i="12"/>
  <c r="O417" i="12"/>
  <c r="AB416" i="12"/>
  <c r="I416" i="12"/>
  <c r="T415" i="12"/>
  <c r="D415" i="12"/>
  <c r="L414" i="12"/>
  <c r="V413" i="12"/>
  <c r="F413" i="12"/>
  <c r="N412" i="12"/>
  <c r="X411" i="12"/>
  <c r="H411" i="12"/>
  <c r="S410" i="12"/>
  <c r="C410" i="12"/>
  <c r="J409" i="12"/>
  <c r="U408" i="12"/>
  <c r="C408" i="12"/>
  <c r="J407" i="12"/>
  <c r="V406" i="12"/>
  <c r="F406" i="12"/>
  <c r="N405" i="12"/>
  <c r="X404" i="12"/>
  <c r="H404" i="12"/>
  <c r="T403" i="12"/>
  <c r="D403" i="12"/>
  <c r="L402" i="12"/>
  <c r="W401" i="12"/>
  <c r="G401" i="12"/>
  <c r="S400" i="12"/>
  <c r="C400" i="12"/>
  <c r="L399" i="12"/>
  <c r="X398" i="12"/>
  <c r="H398" i="12"/>
  <c r="U397" i="12"/>
  <c r="E397" i="12"/>
  <c r="N396" i="12"/>
  <c r="AB395" i="12"/>
  <c r="I395" i="12"/>
  <c r="U394" i="12"/>
  <c r="E394" i="12"/>
  <c r="N393" i="12"/>
  <c r="AC392" i="12"/>
  <c r="J392" i="12"/>
  <c r="W391" i="12"/>
  <c r="G391" i="12"/>
  <c r="Q390" i="12"/>
  <c r="C390" i="12"/>
  <c r="J389" i="12"/>
  <c r="U388" i="12"/>
  <c r="E388" i="12"/>
  <c r="M387" i="12"/>
  <c r="X386" i="12"/>
  <c r="H386" i="12"/>
  <c r="S385" i="12"/>
  <c r="C385" i="12"/>
  <c r="J384" i="12"/>
  <c r="U383" i="12"/>
  <c r="F383" i="12"/>
  <c r="N382" i="12"/>
  <c r="X381" i="12"/>
  <c r="H381" i="12"/>
  <c r="S380" i="12"/>
  <c r="C380" i="12"/>
  <c r="J379" i="12"/>
  <c r="U378" i="12"/>
  <c r="E378" i="12"/>
  <c r="M377" i="12"/>
  <c r="W376" i="12"/>
  <c r="G376" i="12"/>
  <c r="O375" i="12"/>
  <c r="I374" i="12"/>
  <c r="T373" i="12"/>
  <c r="D373" i="12"/>
  <c r="L372" i="12"/>
  <c r="V371" i="12"/>
  <c r="F371" i="12"/>
  <c r="N370" i="12"/>
  <c r="X369" i="12"/>
  <c r="H369" i="12"/>
  <c r="S368" i="12"/>
  <c r="C368" i="12"/>
  <c r="J367" i="12"/>
  <c r="U366" i="12"/>
  <c r="E366" i="12"/>
  <c r="M365" i="12"/>
  <c r="W364" i="12"/>
  <c r="G364" i="12"/>
  <c r="O363" i="12"/>
  <c r="I362" i="12"/>
  <c r="T361" i="12"/>
  <c r="D361" i="12"/>
  <c r="L360" i="12"/>
  <c r="V359" i="12"/>
  <c r="F359" i="12"/>
  <c r="N358" i="12"/>
  <c r="X357" i="12"/>
  <c r="H357" i="12"/>
  <c r="S356" i="12"/>
  <c r="C356" i="12"/>
  <c r="J355" i="12"/>
  <c r="U354" i="12"/>
  <c r="E354" i="12"/>
  <c r="M353" i="12"/>
  <c r="W352" i="12"/>
  <c r="G352" i="12"/>
  <c r="O351" i="12"/>
  <c r="I350" i="12"/>
  <c r="T349" i="12"/>
  <c r="G348" i="12"/>
  <c r="O347" i="12"/>
  <c r="AB346" i="12"/>
  <c r="J346" i="12"/>
  <c r="V345" i="12"/>
  <c r="G345" i="12"/>
  <c r="S344" i="12"/>
  <c r="C344" i="12"/>
  <c r="J343" i="12"/>
  <c r="U342" i="12"/>
  <c r="E342" i="12"/>
  <c r="L331" i="13"/>
  <c r="C252" i="13"/>
  <c r="K205" i="13"/>
  <c r="F185" i="13"/>
  <c r="E172" i="13"/>
  <c r="D159" i="13"/>
  <c r="C146" i="13"/>
  <c r="B133" i="13"/>
  <c r="M119" i="13"/>
  <c r="E108" i="13"/>
  <c r="C101" i="13"/>
  <c r="H94" i="13"/>
  <c r="K89" i="13"/>
  <c r="B85" i="13"/>
  <c r="F81" i="13"/>
  <c r="K77" i="13"/>
  <c r="D74" i="13"/>
  <c r="J70" i="13"/>
  <c r="C67" i="13"/>
  <c r="G63" i="13"/>
  <c r="L59" i="13"/>
  <c r="K56" i="13"/>
  <c r="L53" i="13"/>
  <c r="G51" i="13"/>
  <c r="C49" i="13"/>
  <c r="J46" i="13"/>
  <c r="F44" i="13"/>
  <c r="G42" i="13"/>
  <c r="E40" i="13"/>
  <c r="J38" i="13"/>
  <c r="J36" i="13"/>
  <c r="C35" i="13"/>
  <c r="C33" i="13"/>
  <c r="G31" i="13"/>
  <c r="M29" i="13"/>
  <c r="J28" i="13"/>
  <c r="G27" i="13"/>
  <c r="E26" i="13"/>
  <c r="C25" i="13"/>
  <c r="L23" i="13"/>
  <c r="J22" i="13"/>
  <c r="G21" i="13"/>
  <c r="E20" i="13"/>
  <c r="C19" i="13"/>
  <c r="L17" i="13"/>
  <c r="J16" i="13"/>
  <c r="H15" i="13"/>
  <c r="G14" i="13"/>
  <c r="E13" i="13"/>
  <c r="C12" i="13"/>
  <c r="L10" i="13"/>
  <c r="J9" i="13"/>
  <c r="G8" i="13"/>
  <c r="E7" i="13"/>
  <c r="C6" i="13"/>
  <c r="B5" i="13"/>
  <c r="B4" i="13"/>
  <c r="M480" i="12"/>
  <c r="G479" i="12"/>
  <c r="G478" i="12"/>
  <c r="G477" i="12"/>
  <c r="G476" i="12"/>
  <c r="G475" i="12"/>
  <c r="G474" i="12"/>
  <c r="G473" i="12"/>
  <c r="G472" i="12"/>
  <c r="G471" i="12"/>
  <c r="G470" i="12"/>
  <c r="G469" i="12"/>
  <c r="G468" i="12"/>
  <c r="G467" i="12"/>
  <c r="O466" i="12"/>
  <c r="U465" i="12"/>
  <c r="AB464" i="12"/>
  <c r="G464" i="12"/>
  <c r="O463" i="12"/>
  <c r="U462" i="12"/>
  <c r="AB461" i="12"/>
  <c r="I461" i="12"/>
  <c r="T460" i="12"/>
  <c r="W459" i="12"/>
  <c r="C459" i="12"/>
  <c r="H458" i="12"/>
  <c r="Q457" i="12"/>
  <c r="AC456" i="12"/>
  <c r="G456" i="12"/>
  <c r="S455" i="12"/>
  <c r="C455" i="12"/>
  <c r="N454" i="12"/>
  <c r="W453" i="12"/>
  <c r="C453" i="12"/>
  <c r="G452" i="12"/>
  <c r="Q451" i="12"/>
  <c r="X450" i="12"/>
  <c r="D450" i="12"/>
  <c r="H449" i="12"/>
  <c r="S448" i="12"/>
  <c r="C448" i="12"/>
  <c r="H447" i="12"/>
  <c r="O446" i="12"/>
  <c r="V445" i="12"/>
  <c r="C445" i="12"/>
  <c r="G444" i="12"/>
  <c r="O443" i="12"/>
  <c r="U442" i="12"/>
  <c r="C442" i="12"/>
  <c r="G441" i="12"/>
  <c r="N440" i="12"/>
  <c r="T439" i="12"/>
  <c r="W438" i="12"/>
  <c r="G438" i="12"/>
  <c r="O437" i="12"/>
  <c r="U436" i="12"/>
  <c r="E435" i="12"/>
  <c r="L434" i="12"/>
  <c r="S433" i="12"/>
  <c r="V432" i="12"/>
  <c r="AB431" i="12"/>
  <c r="G431" i="12"/>
  <c r="N430" i="12"/>
  <c r="T429" i="12"/>
  <c r="X428" i="12"/>
  <c r="E428" i="12"/>
  <c r="O427" i="12"/>
  <c r="X426" i="12"/>
  <c r="F426" i="12"/>
  <c r="N425" i="12"/>
  <c r="T424" i="12"/>
  <c r="D424" i="12"/>
  <c r="L423" i="12"/>
  <c r="V422" i="12"/>
  <c r="C422" i="12"/>
  <c r="J421" i="12"/>
  <c r="V420" i="12"/>
  <c r="F420" i="12"/>
  <c r="N419" i="12"/>
  <c r="X418" i="12"/>
  <c r="F418" i="12"/>
  <c r="N417" i="12"/>
  <c r="X416" i="12"/>
  <c r="H416" i="12"/>
  <c r="S415" i="12"/>
  <c r="C415" i="12"/>
  <c r="J414" i="12"/>
  <c r="U413" i="12"/>
  <c r="E413" i="12"/>
  <c r="M412" i="12"/>
  <c r="W411" i="12"/>
  <c r="G411" i="12"/>
  <c r="O410" i="12"/>
  <c r="AB409" i="12"/>
  <c r="I409" i="12"/>
  <c r="T408" i="12"/>
  <c r="AB407" i="12"/>
  <c r="I407" i="12"/>
  <c r="U406" i="12"/>
  <c r="E406" i="12"/>
  <c r="M405" i="12"/>
  <c r="W404" i="12"/>
  <c r="G404" i="12"/>
  <c r="S403" i="12"/>
  <c r="C403" i="12"/>
  <c r="J402" i="12"/>
  <c r="V401" i="12"/>
  <c r="F401" i="12"/>
  <c r="O400" i="12"/>
  <c r="AC399" i="12"/>
  <c r="J399" i="12"/>
  <c r="W398" i="12"/>
  <c r="G398" i="12"/>
  <c r="T397" i="12"/>
  <c r="D397" i="12"/>
  <c r="M396" i="12"/>
  <c r="X395" i="12"/>
  <c r="H395" i="12"/>
  <c r="T394" i="12"/>
  <c r="D394" i="12"/>
  <c r="M393" i="12"/>
  <c r="AB392" i="12"/>
  <c r="I392" i="12"/>
  <c r="V391" i="12"/>
  <c r="F391" i="12"/>
  <c r="O390" i="12"/>
  <c r="I389" i="12"/>
  <c r="T388" i="12"/>
  <c r="D388" i="12"/>
  <c r="L387" i="12"/>
  <c r="W386" i="12"/>
  <c r="G386" i="12"/>
  <c r="O385" i="12"/>
  <c r="I384" i="12"/>
  <c r="T383" i="12"/>
  <c r="E383" i="12"/>
  <c r="M382" i="12"/>
  <c r="W381" i="12"/>
  <c r="G381" i="12"/>
  <c r="O380" i="12"/>
  <c r="I379" i="12"/>
  <c r="T378" i="12"/>
  <c r="D378" i="12"/>
  <c r="L377" i="12"/>
  <c r="V376" i="12"/>
  <c r="F376" i="12"/>
  <c r="N375" i="12"/>
  <c r="X374" i="12"/>
  <c r="H374" i="12"/>
  <c r="S373" i="12"/>
  <c r="C373" i="12"/>
  <c r="J372" i="12"/>
  <c r="U371" i="12"/>
  <c r="E371" i="12"/>
  <c r="M370" i="12"/>
  <c r="W369" i="12"/>
  <c r="G369" i="12"/>
  <c r="O368" i="12"/>
  <c r="I367" i="12"/>
  <c r="T366" i="12"/>
  <c r="D366" i="12"/>
  <c r="L365" i="12"/>
  <c r="V364" i="12"/>
  <c r="F364" i="12"/>
  <c r="N363" i="12"/>
  <c r="X362" i="12"/>
  <c r="H362" i="12"/>
  <c r="S361" i="12"/>
  <c r="C361" i="12"/>
  <c r="J360" i="12"/>
  <c r="U359" i="12"/>
  <c r="B323" i="13"/>
  <c r="I245" i="13"/>
  <c r="I203" i="13"/>
  <c r="E184" i="13"/>
  <c r="D171" i="13"/>
  <c r="C158" i="13"/>
  <c r="B145" i="13"/>
  <c r="L131" i="13"/>
  <c r="M118" i="13"/>
  <c r="F107" i="13"/>
  <c r="D100" i="13"/>
  <c r="D94" i="13"/>
  <c r="F89" i="13"/>
  <c r="H84" i="13"/>
  <c r="B81" i="13"/>
  <c r="F77" i="13"/>
  <c r="L73" i="13"/>
  <c r="E70" i="13"/>
  <c r="J66" i="13"/>
  <c r="C63" i="13"/>
  <c r="G59" i="13"/>
  <c r="F56" i="13"/>
  <c r="K53" i="13"/>
  <c r="F51" i="13"/>
  <c r="B49" i="13"/>
  <c r="H46" i="13"/>
  <c r="E44" i="13"/>
  <c r="F42" i="13"/>
  <c r="D40" i="13"/>
  <c r="F38" i="13"/>
  <c r="H36" i="13"/>
  <c r="K34" i="13"/>
  <c r="B33" i="13"/>
  <c r="D31" i="13"/>
  <c r="L29" i="13"/>
  <c r="H28" i="13"/>
  <c r="F27" i="13"/>
  <c r="D26" i="13"/>
  <c r="B25" i="13"/>
  <c r="K23" i="13"/>
  <c r="H22" i="13"/>
  <c r="F21" i="13"/>
  <c r="D20" i="13"/>
  <c r="B19" i="13"/>
  <c r="K17" i="13"/>
  <c r="H16" i="13"/>
  <c r="G15" i="13"/>
  <c r="F14" i="13"/>
  <c r="D13" i="13"/>
  <c r="B12" i="13"/>
  <c r="K10" i="13"/>
  <c r="H9" i="13"/>
  <c r="F8" i="13"/>
  <c r="D7" i="13"/>
  <c r="B6" i="13"/>
  <c r="M4" i="13"/>
  <c r="O481" i="12"/>
  <c r="L480" i="12"/>
  <c r="F479" i="12"/>
  <c r="F478" i="12"/>
  <c r="F477" i="12"/>
  <c r="F476" i="12"/>
  <c r="F475" i="12"/>
  <c r="F474" i="12"/>
  <c r="F473" i="12"/>
  <c r="F472" i="12"/>
  <c r="F471" i="12"/>
  <c r="F470" i="12"/>
  <c r="F469" i="12"/>
  <c r="F468" i="12"/>
  <c r="F467" i="12"/>
  <c r="N466" i="12"/>
  <c r="T465" i="12"/>
  <c r="X464" i="12"/>
  <c r="F464" i="12"/>
  <c r="N463" i="12"/>
  <c r="T462" i="12"/>
  <c r="X461" i="12"/>
  <c r="H461" i="12"/>
  <c r="S460" i="12"/>
  <c r="V459" i="12"/>
  <c r="AB458" i="12"/>
  <c r="G458" i="12"/>
  <c r="O457" i="12"/>
  <c r="X456" i="12"/>
  <c r="F456" i="12"/>
  <c r="Q455" i="12"/>
  <c r="A455" i="12"/>
  <c r="L454" i="12"/>
  <c r="V453" i="12"/>
  <c r="F452" i="12"/>
  <c r="O451" i="12"/>
  <c r="W450" i="12"/>
  <c r="C450" i="12"/>
  <c r="G449" i="12"/>
  <c r="Q448" i="12"/>
  <c r="AB447" i="12"/>
  <c r="G447" i="12"/>
  <c r="N446" i="12"/>
  <c r="U445" i="12"/>
  <c r="E444" i="12"/>
  <c r="N443" i="12"/>
  <c r="T442" i="12"/>
  <c r="E441" i="12"/>
  <c r="L440" i="12"/>
  <c r="S439" i="12"/>
  <c r="V438" i="12"/>
  <c r="F438" i="12"/>
  <c r="N437" i="12"/>
  <c r="T436" i="12"/>
  <c r="X435" i="12"/>
  <c r="D435" i="12"/>
  <c r="H434" i="12"/>
  <c r="O433" i="12"/>
  <c r="U432" i="12"/>
  <c r="X431" i="12"/>
  <c r="E431" i="12"/>
  <c r="L430" i="12"/>
  <c r="S429" i="12"/>
  <c r="W428" i="12"/>
  <c r="D428" i="12"/>
  <c r="N427" i="12"/>
  <c r="W426" i="12"/>
  <c r="E426" i="12"/>
  <c r="L425" i="12"/>
  <c r="S424" i="12"/>
  <c r="C424" i="12"/>
  <c r="J423" i="12"/>
  <c r="U422" i="12"/>
  <c r="AB421" i="12"/>
  <c r="I421" i="12"/>
  <c r="U420" i="12"/>
  <c r="E420" i="12"/>
  <c r="M419" i="12"/>
  <c r="W418" i="12"/>
  <c r="E418" i="12"/>
  <c r="M417" i="12"/>
  <c r="W416" i="12"/>
  <c r="G416" i="12"/>
  <c r="O415" i="12"/>
  <c r="AB414" i="12"/>
  <c r="I414" i="12"/>
  <c r="T413" i="12"/>
  <c r="D413" i="12"/>
  <c r="L412" i="12"/>
  <c r="V411" i="12"/>
  <c r="F411" i="12"/>
  <c r="N410" i="12"/>
  <c r="X409" i="12"/>
  <c r="H409" i="12"/>
  <c r="S408" i="12"/>
  <c r="X407" i="12"/>
  <c r="H407" i="12"/>
  <c r="T406" i="12"/>
  <c r="D406" i="12"/>
  <c r="L405" i="12"/>
  <c r="V404" i="12"/>
  <c r="F404" i="12"/>
  <c r="O403" i="12"/>
  <c r="AB402" i="12"/>
  <c r="I402" i="12"/>
  <c r="U401" i="12"/>
  <c r="E401" i="12"/>
  <c r="N400" i="12"/>
  <c r="AB399" i="12"/>
  <c r="I399" i="12"/>
  <c r="V398" i="12"/>
  <c r="F398" i="12"/>
  <c r="S397" i="12"/>
  <c r="C397" i="12"/>
  <c r="L396" i="12"/>
  <c r="W395" i="12"/>
  <c r="G395" i="12"/>
  <c r="S394" i="12"/>
  <c r="C394" i="12"/>
  <c r="L393" i="12"/>
  <c r="X392" i="12"/>
  <c r="H392" i="12"/>
  <c r="U391" i="12"/>
  <c r="E391" i="12"/>
  <c r="N390" i="12"/>
  <c r="X389" i="12"/>
  <c r="H389" i="12"/>
  <c r="S388" i="12"/>
  <c r="C388" i="12"/>
  <c r="J387" i="12"/>
  <c r="V386" i="12"/>
  <c r="F386" i="12"/>
  <c r="N385" i="12"/>
  <c r="X384" i="12"/>
  <c r="H384" i="12"/>
  <c r="S383" i="12"/>
  <c r="D383" i="12"/>
  <c r="L382" i="12"/>
  <c r="V381" i="12"/>
  <c r="F381" i="12"/>
  <c r="N380" i="12"/>
  <c r="X379" i="12"/>
  <c r="H379" i="12"/>
  <c r="S378" i="12"/>
  <c r="C378" i="12"/>
  <c r="J377" i="12"/>
  <c r="U376" i="12"/>
  <c r="E376" i="12"/>
  <c r="M375" i="12"/>
  <c r="W374" i="12"/>
  <c r="G374" i="12"/>
  <c r="O373" i="12"/>
  <c r="I372" i="12"/>
  <c r="T371" i="12"/>
  <c r="D371" i="12"/>
  <c r="L370" i="12"/>
  <c r="V369" i="12"/>
  <c r="F369" i="12"/>
  <c r="N368" i="12"/>
  <c r="X367" i="12"/>
  <c r="H367" i="12"/>
  <c r="S366" i="12"/>
  <c r="C366" i="12"/>
  <c r="J365" i="12"/>
  <c r="U364" i="12"/>
  <c r="E364" i="12"/>
  <c r="M363" i="12"/>
  <c r="W362" i="12"/>
  <c r="G362" i="12"/>
  <c r="O361" i="12"/>
  <c r="I360" i="12"/>
  <c r="T359" i="12"/>
  <c r="D359" i="12"/>
  <c r="L358" i="12"/>
  <c r="V357" i="12"/>
  <c r="F357" i="12"/>
  <c r="N356" i="12"/>
  <c r="X355" i="12"/>
  <c r="H355" i="12"/>
  <c r="S354" i="12"/>
  <c r="C354" i="12"/>
  <c r="J353" i="12"/>
  <c r="U352" i="12"/>
  <c r="E352" i="12"/>
  <c r="M351" i="12"/>
  <c r="W350" i="12"/>
  <c r="C218" i="14"/>
  <c r="B157" i="13"/>
  <c r="L93" i="13"/>
  <c r="C70" i="13"/>
  <c r="C51" i="13"/>
  <c r="E38" i="13"/>
  <c r="G28" i="13"/>
  <c r="E21" i="13"/>
  <c r="E14" i="13"/>
  <c r="C7" i="13"/>
  <c r="E478" i="12"/>
  <c r="E472" i="12"/>
  <c r="L466" i="12"/>
  <c r="S462" i="12"/>
  <c r="X458" i="12"/>
  <c r="AC454" i="12"/>
  <c r="N451" i="12"/>
  <c r="W447" i="12"/>
  <c r="D444" i="12"/>
  <c r="H440" i="12"/>
  <c r="S436" i="12"/>
  <c r="V428" i="12"/>
  <c r="G425" i="12"/>
  <c r="G421" i="12"/>
  <c r="L417" i="12"/>
  <c r="S413" i="12"/>
  <c r="L410" i="12"/>
  <c r="S406" i="12"/>
  <c r="X402" i="12"/>
  <c r="W399" i="12"/>
  <c r="N397" i="12"/>
  <c r="E395" i="12"/>
  <c r="V392" i="12"/>
  <c r="L390" i="12"/>
  <c r="F388" i="12"/>
  <c r="Q383" i="12"/>
  <c r="I381" i="12"/>
  <c r="T379" i="12"/>
  <c r="X377" i="12"/>
  <c r="D376" i="12"/>
  <c r="S374" i="12"/>
  <c r="X372" i="12"/>
  <c r="G371" i="12"/>
  <c r="I369" i="12"/>
  <c r="T367" i="12"/>
  <c r="X365" i="12"/>
  <c r="H364" i="12"/>
  <c r="E363" i="12"/>
  <c r="U360" i="12"/>
  <c r="M359" i="12"/>
  <c r="J358" i="12"/>
  <c r="I357" i="12"/>
  <c r="H356" i="12"/>
  <c r="F355" i="12"/>
  <c r="G354" i="12"/>
  <c r="H353" i="12"/>
  <c r="I352" i="12"/>
  <c r="L351" i="12"/>
  <c r="O350" i="12"/>
  <c r="W349" i="12"/>
  <c r="C349" i="12"/>
  <c r="F348" i="12"/>
  <c r="M347" i="12"/>
  <c r="U346" i="12"/>
  <c r="C346" i="12"/>
  <c r="J345" i="12"/>
  <c r="T344" i="12"/>
  <c r="X343" i="12"/>
  <c r="F343" i="12"/>
  <c r="J342" i="12"/>
  <c r="S341" i="12"/>
  <c r="D341" i="12"/>
  <c r="N340" i="12"/>
  <c r="AB339" i="12"/>
  <c r="I339" i="12"/>
  <c r="T338" i="12"/>
  <c r="E338" i="12"/>
  <c r="O337" i="12"/>
  <c r="AB336" i="12"/>
  <c r="J336" i="12"/>
  <c r="V335" i="12"/>
  <c r="G335" i="12"/>
  <c r="S334" i="12"/>
  <c r="D334" i="12"/>
  <c r="L333" i="12"/>
  <c r="V332" i="12"/>
  <c r="G332" i="12"/>
  <c r="S331" i="12"/>
  <c r="D331" i="12"/>
  <c r="N330" i="12"/>
  <c r="AB329" i="12"/>
  <c r="J329" i="12"/>
  <c r="V328" i="12"/>
  <c r="G328" i="12"/>
  <c r="S327" i="12"/>
  <c r="D327" i="12"/>
  <c r="N326" i="12"/>
  <c r="AB325" i="12"/>
  <c r="J325" i="12"/>
  <c r="V324" i="12"/>
  <c r="G324" i="12"/>
  <c r="Q323" i="12"/>
  <c r="C323" i="12"/>
  <c r="L322" i="12"/>
  <c r="W321" i="12"/>
  <c r="H321" i="12"/>
  <c r="S320" i="12"/>
  <c r="C320" i="12"/>
  <c r="M319" i="12"/>
  <c r="W318" i="12"/>
  <c r="H318" i="12"/>
  <c r="T317" i="12"/>
  <c r="D317" i="12"/>
  <c r="M316" i="12"/>
  <c r="W315" i="12"/>
  <c r="G315" i="12"/>
  <c r="S314" i="12"/>
  <c r="AB313" i="12"/>
  <c r="G313" i="12"/>
  <c r="O312" i="12"/>
  <c r="AC311" i="12"/>
  <c r="L311" i="12"/>
  <c r="W310" i="12"/>
  <c r="H310" i="12"/>
  <c r="S309" i="12"/>
  <c r="X308" i="12"/>
  <c r="F308" i="12"/>
  <c r="N307" i="12"/>
  <c r="X306" i="12"/>
  <c r="H306" i="12"/>
  <c r="S305" i="12"/>
  <c r="C305" i="12"/>
  <c r="J304" i="12"/>
  <c r="V303" i="12"/>
  <c r="G303" i="12"/>
  <c r="O302" i="12"/>
  <c r="W301" i="12"/>
  <c r="E301" i="12"/>
  <c r="M300" i="12"/>
  <c r="V299" i="12"/>
  <c r="G299" i="12"/>
  <c r="O298" i="12"/>
  <c r="AB297" i="12"/>
  <c r="I297" i="12"/>
  <c r="T296" i="12"/>
  <c r="D296" i="12"/>
  <c r="L295" i="12"/>
  <c r="V294" i="12"/>
  <c r="G294" i="12"/>
  <c r="O293" i="12"/>
  <c r="AB292" i="12"/>
  <c r="I292" i="12"/>
  <c r="U291" i="12"/>
  <c r="F291" i="12"/>
  <c r="O290" i="12"/>
  <c r="AC289" i="12"/>
  <c r="J289" i="12"/>
  <c r="U288" i="12"/>
  <c r="E288" i="12"/>
  <c r="N287" i="12"/>
  <c r="X286" i="12"/>
  <c r="H286" i="12"/>
  <c r="S285" i="12"/>
  <c r="C285" i="12"/>
  <c r="J284" i="12"/>
  <c r="V283" i="12"/>
  <c r="F283" i="12"/>
  <c r="O282" i="12"/>
  <c r="I281" i="12"/>
  <c r="T280" i="12"/>
  <c r="D280" i="12"/>
  <c r="L279" i="12"/>
  <c r="V278" i="12"/>
  <c r="F278" i="12"/>
  <c r="N277" i="12"/>
  <c r="X276" i="12"/>
  <c r="F276" i="12"/>
  <c r="N275" i="12"/>
  <c r="X274" i="12"/>
  <c r="H274" i="12"/>
  <c r="S273" i="12"/>
  <c r="C273" i="12"/>
  <c r="L272" i="12"/>
  <c r="V271" i="12"/>
  <c r="G271" i="12"/>
  <c r="Q270" i="12"/>
  <c r="C270" i="12"/>
  <c r="L269" i="12"/>
  <c r="V268" i="12"/>
  <c r="F268" i="12"/>
  <c r="N267" i="12"/>
  <c r="X266" i="12"/>
  <c r="I266" i="12"/>
  <c r="V265" i="12"/>
  <c r="G265" i="12"/>
  <c r="Q264" i="12"/>
  <c r="C264" i="12"/>
  <c r="J263" i="12"/>
  <c r="U262" i="12"/>
  <c r="E262" i="12"/>
  <c r="M261" i="12"/>
  <c r="W260" i="12"/>
  <c r="H260" i="12"/>
  <c r="T259" i="12"/>
  <c r="D259" i="12"/>
  <c r="M258" i="12"/>
  <c r="X257" i="12"/>
  <c r="H257" i="12"/>
  <c r="S256" i="12"/>
  <c r="D256" i="12"/>
  <c r="N255" i="12"/>
  <c r="AB254" i="12"/>
  <c r="J254" i="12"/>
  <c r="V253" i="12"/>
  <c r="F253" i="12"/>
  <c r="N252" i="12"/>
  <c r="X251" i="12"/>
  <c r="H251" i="12"/>
  <c r="S250" i="12"/>
  <c r="D250" i="12"/>
  <c r="M249" i="12"/>
  <c r="W248" i="12"/>
  <c r="H248" i="12"/>
  <c r="S247" i="12"/>
  <c r="D247" i="12"/>
  <c r="M246" i="12"/>
  <c r="W245" i="12"/>
  <c r="H245" i="12"/>
  <c r="S244" i="12"/>
  <c r="D244" i="12"/>
  <c r="N243" i="12"/>
  <c r="AC242" i="12"/>
  <c r="J242" i="12"/>
  <c r="U241" i="12"/>
  <c r="F241" i="12"/>
  <c r="Q240" i="12"/>
  <c r="C240" i="12"/>
  <c r="L239" i="12"/>
  <c r="W238" i="12"/>
  <c r="H238" i="12"/>
  <c r="T237" i="12"/>
  <c r="E237" i="12"/>
  <c r="N236" i="12"/>
  <c r="AB235" i="12"/>
  <c r="J235" i="12"/>
  <c r="V234" i="12"/>
  <c r="F234" i="12"/>
  <c r="N233" i="12"/>
  <c r="X232" i="12"/>
  <c r="H232" i="12"/>
  <c r="S231" i="12"/>
  <c r="D231" i="12"/>
  <c r="O230" i="12"/>
  <c r="A230" i="12"/>
  <c r="J229" i="12"/>
  <c r="H129" i="14"/>
  <c r="L155" i="13"/>
  <c r="F93" i="13"/>
  <c r="B70" i="13"/>
  <c r="L50" i="13"/>
  <c r="D38" i="13"/>
  <c r="F28" i="13"/>
  <c r="D21" i="13"/>
  <c r="D14" i="13"/>
  <c r="B7" i="13"/>
  <c r="C478" i="12"/>
  <c r="C472" i="12"/>
  <c r="H466" i="12"/>
  <c r="Q462" i="12"/>
  <c r="W458" i="12"/>
  <c r="AB454" i="12"/>
  <c r="L451" i="12"/>
  <c r="E447" i="12"/>
  <c r="C444" i="12"/>
  <c r="G440" i="12"/>
  <c r="Q436" i="12"/>
  <c r="T432" i="12"/>
  <c r="U428" i="12"/>
  <c r="Q424" i="12"/>
  <c r="T420" i="12"/>
  <c r="J417" i="12"/>
  <c r="O413" i="12"/>
  <c r="W409" i="12"/>
  <c r="O406" i="12"/>
  <c r="W402" i="12"/>
  <c r="M399" i="12"/>
  <c r="F397" i="12"/>
  <c r="V394" i="12"/>
  <c r="L392" i="12"/>
  <c r="D390" i="12"/>
  <c r="T385" i="12"/>
  <c r="O383" i="12"/>
  <c r="E381" i="12"/>
  <c r="L379" i="12"/>
  <c r="V377" i="12"/>
  <c r="C376" i="12"/>
  <c r="J374" i="12"/>
  <c r="W372" i="12"/>
  <c r="C371" i="12"/>
  <c r="E369" i="12"/>
  <c r="L367" i="12"/>
  <c r="V365" i="12"/>
  <c r="D364" i="12"/>
  <c r="C363" i="12"/>
  <c r="W361" i="12"/>
  <c r="T360" i="12"/>
  <c r="L359" i="12"/>
  <c r="I358" i="12"/>
  <c r="G357" i="12"/>
  <c r="F356" i="12"/>
  <c r="D355" i="12"/>
  <c r="F354" i="12"/>
  <c r="F353" i="12"/>
  <c r="H352" i="12"/>
  <c r="J351" i="12"/>
  <c r="N350" i="12"/>
  <c r="V349" i="12"/>
  <c r="E348" i="12"/>
  <c r="L347" i="12"/>
  <c r="S346" i="12"/>
  <c r="A346" i="12"/>
  <c r="I345" i="12"/>
  <c r="O344" i="12"/>
  <c r="W343" i="12"/>
  <c r="D343" i="12"/>
  <c r="I342" i="12"/>
  <c r="Q341" i="12"/>
  <c r="C341" i="12"/>
  <c r="M340" i="12"/>
  <c r="X339" i="12"/>
  <c r="H339" i="12"/>
  <c r="S338" i="12"/>
  <c r="D338" i="12"/>
  <c r="N337" i="12"/>
  <c r="X336" i="12"/>
  <c r="I336" i="12"/>
  <c r="U335" i="12"/>
  <c r="F335" i="12"/>
  <c r="Q334" i="12"/>
  <c r="C334" i="12"/>
  <c r="J333" i="12"/>
  <c r="U332" i="12"/>
  <c r="F332" i="12"/>
  <c r="Q331" i="12"/>
  <c r="C331" i="12"/>
  <c r="M330" i="12"/>
  <c r="X329" i="12"/>
  <c r="I329" i="12"/>
  <c r="U328" i="12"/>
  <c r="F328" i="12"/>
  <c r="Q327" i="12"/>
  <c r="C327" i="12"/>
  <c r="M326" i="12"/>
  <c r="X325" i="12"/>
  <c r="I325" i="12"/>
  <c r="U324" i="12"/>
  <c r="F324" i="12"/>
  <c r="O323" i="12"/>
  <c r="AB322" i="12"/>
  <c r="J322" i="12"/>
  <c r="V321" i="12"/>
  <c r="G321" i="12"/>
  <c r="O320" i="12"/>
  <c r="A320" i="12"/>
  <c r="L319" i="12"/>
  <c r="V318" i="12"/>
  <c r="G318" i="12"/>
  <c r="S317" i="12"/>
  <c r="C317" i="12"/>
  <c r="L316" i="12"/>
  <c r="V315" i="12"/>
  <c r="F315" i="12"/>
  <c r="O314" i="12"/>
  <c r="X313" i="12"/>
  <c r="F313" i="12"/>
  <c r="N312" i="12"/>
  <c r="AB311" i="12"/>
  <c r="J311" i="12"/>
  <c r="V310" i="12"/>
  <c r="G310" i="12"/>
  <c r="O309" i="12"/>
  <c r="W308" i="12"/>
  <c r="E308" i="12"/>
  <c r="M307" i="12"/>
  <c r="W306" i="12"/>
  <c r="G306" i="12"/>
  <c r="O305" i="12"/>
  <c r="AB304" i="12"/>
  <c r="I304" i="12"/>
  <c r="U303" i="12"/>
  <c r="F303" i="12"/>
  <c r="N302" i="12"/>
  <c r="V301" i="12"/>
  <c r="D301" i="12"/>
  <c r="L300" i="12"/>
  <c r="U299" i="12"/>
  <c r="F299" i="12"/>
  <c r="N298" i="12"/>
  <c r="X297" i="12"/>
  <c r="H297" i="12"/>
  <c r="S296" i="12"/>
  <c r="C296" i="12"/>
  <c r="J295" i="12"/>
  <c r="U294" i="12"/>
  <c r="F294" i="12"/>
  <c r="N293" i="12"/>
  <c r="X292" i="12"/>
  <c r="H292" i="12"/>
  <c r="T291" i="12"/>
  <c r="E291" i="12"/>
  <c r="N290" i="12"/>
  <c r="X289" i="12"/>
  <c r="I289" i="12"/>
  <c r="T288" i="12"/>
  <c r="D288" i="12"/>
  <c r="M287" i="12"/>
  <c r="W286" i="12"/>
  <c r="G286" i="12"/>
  <c r="O285" i="12"/>
  <c r="I284" i="12"/>
  <c r="U283" i="12"/>
  <c r="E283" i="12"/>
  <c r="N282" i="12"/>
  <c r="X281" i="12"/>
  <c r="H281" i="12"/>
  <c r="S280" i="12"/>
  <c r="C280" i="12"/>
  <c r="J279" i="12"/>
  <c r="U278" i="12"/>
  <c r="E278" i="12"/>
  <c r="M277" i="12"/>
  <c r="W276" i="12"/>
  <c r="E276" i="12"/>
  <c r="M275" i="12"/>
  <c r="W274" i="12"/>
  <c r="G274" i="12"/>
  <c r="O273" i="12"/>
  <c r="A273" i="12"/>
  <c r="J272" i="12"/>
  <c r="U271" i="12"/>
  <c r="F271" i="12"/>
  <c r="O270" i="12"/>
  <c r="AB269" i="12"/>
  <c r="J269" i="12"/>
  <c r="I316" i="13"/>
  <c r="L143" i="13"/>
  <c r="C89" i="13"/>
  <c r="G66" i="13"/>
  <c r="J48" i="13"/>
  <c r="G36" i="13"/>
  <c r="E27" i="13"/>
  <c r="C20" i="13"/>
  <c r="C13" i="13"/>
  <c r="M5" i="13"/>
  <c r="E477" i="12"/>
  <c r="E471" i="12"/>
  <c r="W461" i="12"/>
  <c r="E458" i="12"/>
  <c r="J454" i="12"/>
  <c r="D447" i="12"/>
  <c r="L443" i="12"/>
  <c r="S432" i="12"/>
  <c r="C428" i="12"/>
  <c r="O424" i="12"/>
  <c r="S420" i="12"/>
  <c r="V416" i="12"/>
  <c r="C413" i="12"/>
  <c r="V409" i="12"/>
  <c r="C406" i="12"/>
  <c r="H402" i="12"/>
  <c r="H399" i="12"/>
  <c r="AC396" i="12"/>
  <c r="O394" i="12"/>
  <c r="G392" i="12"/>
  <c r="X387" i="12"/>
  <c r="M385" i="12"/>
  <c r="G383" i="12"/>
  <c r="D381" i="12"/>
  <c r="G379" i="12"/>
  <c r="N377" i="12"/>
  <c r="F374" i="12"/>
  <c r="U372" i="12"/>
  <c r="D369" i="12"/>
  <c r="G367" i="12"/>
  <c r="N365" i="12"/>
  <c r="C364" i="12"/>
  <c r="U361" i="12"/>
  <c r="O360" i="12"/>
  <c r="I359" i="12"/>
  <c r="G358" i="12"/>
  <c r="E357" i="12"/>
  <c r="D356" i="12"/>
  <c r="C355" i="12"/>
  <c r="D354" i="12"/>
  <c r="E353" i="12"/>
  <c r="F352" i="12"/>
  <c r="H351" i="12"/>
  <c r="M350" i="12"/>
  <c r="U349" i="12"/>
  <c r="X348" i="12"/>
  <c r="D348" i="12"/>
  <c r="J347" i="12"/>
  <c r="Q346" i="12"/>
  <c r="AB345" i="12"/>
  <c r="H345" i="12"/>
  <c r="N344" i="12"/>
  <c r="V343" i="12"/>
  <c r="C343" i="12"/>
  <c r="H342" i="12"/>
  <c r="O341" i="12"/>
  <c r="A341" i="12"/>
  <c r="L340" i="12"/>
  <c r="W339" i="12"/>
  <c r="G339" i="12"/>
  <c r="Q338" i="12"/>
  <c r="C338" i="12"/>
  <c r="M337" i="12"/>
  <c r="W336" i="12"/>
  <c r="H336" i="12"/>
  <c r="T335" i="12"/>
  <c r="E335" i="12"/>
  <c r="O334" i="12"/>
  <c r="AB333" i="12"/>
  <c r="I333" i="12"/>
  <c r="T332" i="12"/>
  <c r="E332" i="12"/>
  <c r="O331" i="12"/>
  <c r="A331" i="12"/>
  <c r="L330" i="12"/>
  <c r="W329" i="12"/>
  <c r="H329" i="12"/>
  <c r="T328" i="12"/>
  <c r="E328" i="12"/>
  <c r="O327" i="12"/>
  <c r="A327" i="12"/>
  <c r="L326" i="12"/>
  <c r="W325" i="12"/>
  <c r="H325" i="12"/>
  <c r="T324" i="12"/>
  <c r="E324" i="12"/>
  <c r="N323" i="12"/>
  <c r="X322" i="12"/>
  <c r="I322" i="12"/>
  <c r="U321" i="12"/>
  <c r="F321" i="12"/>
  <c r="N320" i="12"/>
  <c r="AC319" i="12"/>
  <c r="J319" i="12"/>
  <c r="U318" i="12"/>
  <c r="F318" i="12"/>
  <c r="O317" i="12"/>
  <c r="A317" i="12"/>
  <c r="J316" i="12"/>
  <c r="U315" i="12"/>
  <c r="E315" i="12"/>
  <c r="N314" i="12"/>
  <c r="W313" i="12"/>
  <c r="E313" i="12"/>
  <c r="M312" i="12"/>
  <c r="X311" i="12"/>
  <c r="I311" i="12"/>
  <c r="U310" i="12"/>
  <c r="F310" i="12"/>
  <c r="N309" i="12"/>
  <c r="V308" i="12"/>
  <c r="D308" i="12"/>
  <c r="L307" i="12"/>
  <c r="V306" i="12"/>
  <c r="F306" i="12"/>
  <c r="N305" i="12"/>
  <c r="X304" i="12"/>
  <c r="H304" i="12"/>
  <c r="T303" i="12"/>
  <c r="E303" i="12"/>
  <c r="M302" i="12"/>
  <c r="U301" i="12"/>
  <c r="C301" i="12"/>
  <c r="H300" i="12"/>
  <c r="T299" i="12"/>
  <c r="E299" i="12"/>
  <c r="M298" i="12"/>
  <c r="W297" i="12"/>
  <c r="G297" i="12"/>
  <c r="O296" i="12"/>
  <c r="AB295" i="12"/>
  <c r="I295" i="12"/>
  <c r="T294" i="12"/>
  <c r="E294" i="12"/>
  <c r="M293" i="12"/>
  <c r="W292" i="12"/>
  <c r="G292" i="12"/>
  <c r="S291" i="12"/>
  <c r="D291" i="12"/>
  <c r="M290" i="12"/>
  <c r="W289" i="12"/>
  <c r="H289" i="12"/>
  <c r="S288" i="12"/>
  <c r="C288" i="12"/>
  <c r="L287" i="12"/>
  <c r="V286" i="12"/>
  <c r="F286" i="12"/>
  <c r="N285" i="12"/>
  <c r="X284" i="12"/>
  <c r="H284" i="12"/>
  <c r="T283" i="12"/>
  <c r="D283" i="12"/>
  <c r="M282" i="12"/>
  <c r="W281" i="12"/>
  <c r="G281" i="12"/>
  <c r="O280" i="12"/>
  <c r="I279" i="12"/>
  <c r="T278" i="12"/>
  <c r="D278" i="12"/>
  <c r="L277" i="12"/>
  <c r="V276" i="12"/>
  <c r="D276" i="12"/>
  <c r="L275" i="12"/>
  <c r="V274" i="12"/>
  <c r="F274" i="12"/>
  <c r="N273" i="12"/>
  <c r="I272" i="12"/>
  <c r="T271" i="12"/>
  <c r="E271" i="12"/>
  <c r="N270" i="12"/>
  <c r="X269" i="12"/>
  <c r="I269" i="12"/>
  <c r="T268" i="12"/>
  <c r="D268" i="12"/>
  <c r="L267" i="12"/>
  <c r="V266" i="12"/>
  <c r="G266" i="12"/>
  <c r="T265" i="12"/>
  <c r="E265" i="12"/>
  <c r="N264" i="12"/>
  <c r="X263" i="12"/>
  <c r="H263" i="12"/>
  <c r="S262" i="12"/>
  <c r="C262" i="12"/>
  <c r="J261" i="12"/>
  <c r="U260" i="12"/>
  <c r="F260" i="12"/>
  <c r="O259" i="12"/>
  <c r="AB258" i="12"/>
  <c r="J258" i="12"/>
  <c r="V257" i="12"/>
  <c r="F257" i="12"/>
  <c r="O256" i="12"/>
  <c r="A256" i="12"/>
  <c r="L255" i="12"/>
  <c r="W254" i="12"/>
  <c r="H254" i="12"/>
  <c r="T253" i="12"/>
  <c r="D253" i="12"/>
  <c r="L252" i="12"/>
  <c r="V251" i="12"/>
  <c r="F251" i="12"/>
  <c r="O250" i="12"/>
  <c r="AB249" i="12"/>
  <c r="J249" i="12"/>
  <c r="U248" i="12"/>
  <c r="F248" i="12"/>
  <c r="O247" i="12"/>
  <c r="A247" i="12"/>
  <c r="J246" i="12"/>
  <c r="U245" i="12"/>
  <c r="F245" i="12"/>
  <c r="O244" i="12"/>
  <c r="A244" i="12"/>
  <c r="L243" i="12"/>
  <c r="W242" i="12"/>
  <c r="H242" i="12"/>
  <c r="S241" i="12"/>
  <c r="D241" i="12"/>
  <c r="N240" i="12"/>
  <c r="X239" i="12"/>
  <c r="I239" i="12"/>
  <c r="U238" i="12"/>
  <c r="F238" i="12"/>
  <c r="Q237" i="12"/>
  <c r="C237" i="12"/>
  <c r="L236" i="12"/>
  <c r="W235" i="12"/>
  <c r="E310" i="13"/>
  <c r="K142" i="13"/>
  <c r="H88" i="13"/>
  <c r="F66" i="13"/>
  <c r="G48" i="13"/>
  <c r="F36" i="13"/>
  <c r="D27" i="13"/>
  <c r="B20" i="13"/>
  <c r="B13" i="13"/>
  <c r="L5" i="13"/>
  <c r="C477" i="12"/>
  <c r="C471" i="12"/>
  <c r="S465" i="12"/>
  <c r="V461" i="12"/>
  <c r="D458" i="12"/>
  <c r="I454" i="12"/>
  <c r="V450" i="12"/>
  <c r="H443" i="12"/>
  <c r="O439" i="12"/>
  <c r="W435" i="12"/>
  <c r="W431" i="12"/>
  <c r="AC427" i="12"/>
  <c r="AB423" i="12"/>
  <c r="D420" i="12"/>
  <c r="U416" i="12"/>
  <c r="AB412" i="12"/>
  <c r="G409" i="12"/>
  <c r="AB405" i="12"/>
  <c r="G402" i="12"/>
  <c r="G399" i="12"/>
  <c r="AB396" i="12"/>
  <c r="N394" i="12"/>
  <c r="F392" i="12"/>
  <c r="W389" i="12"/>
  <c r="N387" i="12"/>
  <c r="L385" i="12"/>
  <c r="C383" i="12"/>
  <c r="F379" i="12"/>
  <c r="I377" i="12"/>
  <c r="X375" i="12"/>
  <c r="E374" i="12"/>
  <c r="M372" i="12"/>
  <c r="W370" i="12"/>
  <c r="F367" i="12"/>
  <c r="I365" i="12"/>
  <c r="V362" i="12"/>
  <c r="N361" i="12"/>
  <c r="M360" i="12"/>
  <c r="G359" i="12"/>
  <c r="F358" i="12"/>
  <c r="D357" i="12"/>
  <c r="C353" i="12"/>
  <c r="D352" i="12"/>
  <c r="G351" i="12"/>
  <c r="L350" i="12"/>
  <c r="S349" i="12"/>
  <c r="W348" i="12"/>
  <c r="C348" i="12"/>
  <c r="H347" i="12"/>
  <c r="O346" i="12"/>
  <c r="X345" i="12"/>
  <c r="F345" i="12"/>
  <c r="M344" i="12"/>
  <c r="T343" i="12"/>
  <c r="AB342" i="12"/>
  <c r="G342" i="12"/>
  <c r="N341" i="12"/>
  <c r="AB340" i="12"/>
  <c r="J340" i="12"/>
  <c r="V339" i="12"/>
  <c r="F339" i="12"/>
  <c r="O338" i="12"/>
  <c r="A338" i="12"/>
  <c r="L337" i="12"/>
  <c r="V336" i="12"/>
  <c r="G336" i="12"/>
  <c r="S335" i="12"/>
  <c r="D335" i="12"/>
  <c r="N334" i="12"/>
  <c r="X333" i="12"/>
  <c r="H333" i="12"/>
  <c r="S332" i="12"/>
  <c r="D332" i="12"/>
  <c r="N331" i="12"/>
  <c r="AB330" i="12"/>
  <c r="J330" i="12"/>
  <c r="V329" i="12"/>
  <c r="G329" i="12"/>
  <c r="S328" i="12"/>
  <c r="D328" i="12"/>
  <c r="N327" i="12"/>
  <c r="AB326" i="12"/>
  <c r="J326" i="12"/>
  <c r="V325" i="12"/>
  <c r="G325" i="12"/>
  <c r="S324" i="12"/>
  <c r="D324" i="12"/>
  <c r="M323" i="12"/>
  <c r="W322" i="12"/>
  <c r="H322" i="12"/>
  <c r="T321" i="12"/>
  <c r="E321" i="12"/>
  <c r="M320" i="12"/>
  <c r="X319" i="12"/>
  <c r="I319" i="12"/>
  <c r="T318" i="12"/>
  <c r="E318" i="12"/>
  <c r="N317" i="12"/>
  <c r="AB316" i="12"/>
  <c r="I316" i="12"/>
  <c r="T315" i="12"/>
  <c r="D315" i="12"/>
  <c r="M314" i="12"/>
  <c r="V313" i="12"/>
  <c r="D313" i="12"/>
  <c r="L312" i="12"/>
  <c r="W311" i="12"/>
  <c r="H311" i="12"/>
  <c r="T310" i="12"/>
  <c r="E310" i="12"/>
  <c r="M309" i="12"/>
  <c r="U308" i="12"/>
  <c r="C308" i="12"/>
  <c r="J307" i="12"/>
  <c r="U306" i="12"/>
  <c r="E306" i="12"/>
  <c r="M305" i="12"/>
  <c r="W304" i="12"/>
  <c r="G304" i="12"/>
  <c r="S303" i="12"/>
  <c r="D303" i="12"/>
  <c r="L302" i="12"/>
  <c r="T301" i="12"/>
  <c r="G300" i="12"/>
  <c r="S299" i="12"/>
  <c r="D299" i="12"/>
  <c r="L298" i="12"/>
  <c r="V297" i="12"/>
  <c r="F297" i="12"/>
  <c r="N296" i="12"/>
  <c r="X295" i="12"/>
  <c r="H295" i="12"/>
  <c r="S294" i="12"/>
  <c r="D294" i="12"/>
  <c r="L293" i="12"/>
  <c r="V292" i="12"/>
  <c r="F292" i="12"/>
  <c r="Q291" i="12"/>
  <c r="C291" i="12"/>
  <c r="L290" i="12"/>
  <c r="V289" i="12"/>
  <c r="G289" i="12"/>
  <c r="O288" i="12"/>
  <c r="A288" i="12"/>
  <c r="J287" i="12"/>
  <c r="U286" i="12"/>
  <c r="E286" i="12"/>
  <c r="M285" i="12"/>
  <c r="W284" i="12"/>
  <c r="G284" i="12"/>
  <c r="S283" i="12"/>
  <c r="C283" i="12"/>
  <c r="L282" i="12"/>
  <c r="V281" i="12"/>
  <c r="F281" i="12"/>
  <c r="N280" i="12"/>
  <c r="X279" i="12"/>
  <c r="H279" i="12"/>
  <c r="S278" i="12"/>
  <c r="C278" i="12"/>
  <c r="J277" i="12"/>
  <c r="U276" i="12"/>
  <c r="C276" i="12"/>
  <c r="J275" i="12"/>
  <c r="U274" i="12"/>
  <c r="E274" i="12"/>
  <c r="M273" i="12"/>
  <c r="X272" i="12"/>
  <c r="H272" i="12"/>
  <c r="S271" i="12"/>
  <c r="D271" i="12"/>
  <c r="M270" i="12"/>
  <c r="W269" i="12"/>
  <c r="H269" i="12"/>
  <c r="S268" i="12"/>
  <c r="C268" i="12"/>
  <c r="J267" i="12"/>
  <c r="U266" i="12"/>
  <c r="F266" i="12"/>
  <c r="S265" i="12"/>
  <c r="D265" i="12"/>
  <c r="M264" i="12"/>
  <c r="W263" i="12"/>
  <c r="G263" i="12"/>
  <c r="O262" i="12"/>
  <c r="I261" i="12"/>
  <c r="T260" i="12"/>
  <c r="E260" i="12"/>
  <c r="N259" i="12"/>
  <c r="X258" i="12"/>
  <c r="I258" i="12"/>
  <c r="U257" i="12"/>
  <c r="E257" i="12"/>
  <c r="N256" i="12"/>
  <c r="AB255" i="12"/>
  <c r="J255" i="12"/>
  <c r="V254" i="12"/>
  <c r="G254" i="12"/>
  <c r="S253" i="12"/>
  <c r="C253" i="12"/>
  <c r="J252" i="12"/>
  <c r="U251" i="12"/>
  <c r="E251" i="12"/>
  <c r="N250" i="12"/>
  <c r="X249" i="12"/>
  <c r="I249" i="12"/>
  <c r="T248" i="12"/>
  <c r="E248" i="12"/>
  <c r="N247" i="12"/>
  <c r="I246" i="12"/>
  <c r="T245" i="12"/>
  <c r="E245" i="12"/>
  <c r="N244" i="12"/>
  <c r="AB243" i="12"/>
  <c r="J243" i="12"/>
  <c r="V242" i="12"/>
  <c r="G242" i="12"/>
  <c r="Q241" i="12"/>
  <c r="C241" i="12"/>
  <c r="E239" i="13"/>
  <c r="K130" i="13"/>
  <c r="F84" i="13"/>
  <c r="L62" i="13"/>
  <c r="E46" i="13"/>
  <c r="J34" i="13"/>
  <c r="C26" i="13"/>
  <c r="L18" i="13"/>
  <c r="L11" i="13"/>
  <c r="L4" i="13"/>
  <c r="E476" i="12"/>
  <c r="E470" i="12"/>
  <c r="O465" i="12"/>
  <c r="G461" i="12"/>
  <c r="N457" i="12"/>
  <c r="U450" i="12"/>
  <c r="L446" i="12"/>
  <c r="S442" i="12"/>
  <c r="N439" i="12"/>
  <c r="V435" i="12"/>
  <c r="V431" i="12"/>
  <c r="L427" i="12"/>
  <c r="X423" i="12"/>
  <c r="C420" i="12"/>
  <c r="F416" i="12"/>
  <c r="J412" i="12"/>
  <c r="F409" i="12"/>
  <c r="J405" i="12"/>
  <c r="T401" i="12"/>
  <c r="AB398" i="12"/>
  <c r="O396" i="12"/>
  <c r="F394" i="12"/>
  <c r="X391" i="12"/>
  <c r="V389" i="12"/>
  <c r="I387" i="12"/>
  <c r="D385" i="12"/>
  <c r="T380" i="12"/>
  <c r="D379" i="12"/>
  <c r="H377" i="12"/>
  <c r="S375" i="12"/>
  <c r="C374" i="12"/>
  <c r="H372" i="12"/>
  <c r="O370" i="12"/>
  <c r="T368" i="12"/>
  <c r="D367" i="12"/>
  <c r="H365" i="12"/>
  <c r="X363" i="12"/>
  <c r="U362" i="12"/>
  <c r="M361" i="12"/>
  <c r="H360" i="12"/>
  <c r="E359" i="12"/>
  <c r="D358" i="12"/>
  <c r="W355" i="12"/>
  <c r="X354" i="12"/>
  <c r="X353" i="12"/>
  <c r="C352" i="12"/>
  <c r="E351" i="12"/>
  <c r="J350" i="12"/>
  <c r="O349" i="12"/>
  <c r="V348" i="12"/>
  <c r="G347" i="12"/>
  <c r="N346" i="12"/>
  <c r="W345" i="12"/>
  <c r="E345" i="12"/>
  <c r="L344" i="12"/>
  <c r="S343" i="12"/>
  <c r="X342" i="12"/>
  <c r="F342" i="12"/>
  <c r="M341" i="12"/>
  <c r="X340" i="12"/>
  <c r="I340" i="12"/>
  <c r="U339" i="12"/>
  <c r="E339" i="12"/>
  <c r="N338" i="12"/>
  <c r="AC337" i="12"/>
  <c r="J337" i="12"/>
  <c r="U336" i="12"/>
  <c r="F336" i="12"/>
  <c r="Q335" i="12"/>
  <c r="C335" i="12"/>
  <c r="M334" i="12"/>
  <c r="W333" i="12"/>
  <c r="G333" i="12"/>
  <c r="Q332" i="12"/>
  <c r="C332" i="12"/>
  <c r="M331" i="12"/>
  <c r="X330" i="12"/>
  <c r="I330" i="12"/>
  <c r="U329" i="12"/>
  <c r="F329" i="12"/>
  <c r="Q328" i="12"/>
  <c r="C328" i="12"/>
  <c r="M327" i="12"/>
  <c r="X326" i="12"/>
  <c r="I326" i="12"/>
  <c r="U325" i="12"/>
  <c r="F325" i="12"/>
  <c r="Q324" i="12"/>
  <c r="C324" i="12"/>
  <c r="L323" i="12"/>
  <c r="V322" i="12"/>
  <c r="G322" i="12"/>
  <c r="S321" i="12"/>
  <c r="D321" i="12"/>
  <c r="L320" i="12"/>
  <c r="W319" i="12"/>
  <c r="H319" i="12"/>
  <c r="S318" i="12"/>
  <c r="D318" i="12"/>
  <c r="M317" i="12"/>
  <c r="X316" i="12"/>
  <c r="H316" i="12"/>
  <c r="S315" i="12"/>
  <c r="C315" i="12"/>
  <c r="L314" i="12"/>
  <c r="U313" i="12"/>
  <c r="C313" i="12"/>
  <c r="J312" i="12"/>
  <c r="V311" i="12"/>
  <c r="G311" i="12"/>
  <c r="S310" i="12"/>
  <c r="D310" i="12"/>
  <c r="L309" i="12"/>
  <c r="T308" i="12"/>
  <c r="AB307" i="12"/>
  <c r="I307" i="12"/>
  <c r="T306" i="12"/>
  <c r="D306" i="12"/>
  <c r="L305" i="12"/>
  <c r="V304" i="12"/>
  <c r="F304" i="12"/>
  <c r="Q303" i="12"/>
  <c r="C303" i="12"/>
  <c r="H302" i="12"/>
  <c r="S301" i="12"/>
  <c r="X300" i="12"/>
  <c r="F300" i="12"/>
  <c r="Q299" i="12"/>
  <c r="C299" i="12"/>
  <c r="J298" i="12"/>
  <c r="U297" i="12"/>
  <c r="E297" i="12"/>
  <c r="M296" i="12"/>
  <c r="W295" i="12"/>
  <c r="G295" i="12"/>
  <c r="Q294" i="12"/>
  <c r="C294" i="12"/>
  <c r="J293" i="12"/>
  <c r="U292" i="12"/>
  <c r="E292" i="12"/>
  <c r="O291" i="12"/>
  <c r="AC290" i="12"/>
  <c r="J290" i="12"/>
  <c r="U289" i="12"/>
  <c r="F289" i="12"/>
  <c r="N288" i="12"/>
  <c r="I287" i="12"/>
  <c r="T286" i="12"/>
  <c r="D286" i="12"/>
  <c r="L285" i="12"/>
  <c r="V284" i="12"/>
  <c r="F284" i="12"/>
  <c r="O283" i="12"/>
  <c r="A283" i="12"/>
  <c r="J282" i="12"/>
  <c r="U281" i="12"/>
  <c r="E281" i="12"/>
  <c r="M280" i="12"/>
  <c r="W279" i="12"/>
  <c r="G279" i="12"/>
  <c r="O278" i="12"/>
  <c r="I277" i="12"/>
  <c r="T276" i="12"/>
  <c r="I275" i="12"/>
  <c r="T274" i="12"/>
  <c r="D274" i="12"/>
  <c r="L273" i="12"/>
  <c r="W272" i="12"/>
  <c r="G272" i="12"/>
  <c r="Q271" i="12"/>
  <c r="C271" i="12"/>
  <c r="L270" i="12"/>
  <c r="V269" i="12"/>
  <c r="G269" i="12"/>
  <c r="O268" i="12"/>
  <c r="AB267" i="12"/>
  <c r="I267" i="12"/>
  <c r="T266" i="12"/>
  <c r="E266" i="12"/>
  <c r="Q265" i="12"/>
  <c r="C265" i="12"/>
  <c r="L264" i="12"/>
  <c r="V263" i="12"/>
  <c r="F263" i="12"/>
  <c r="N262" i="12"/>
  <c r="X261" i="12"/>
  <c r="H261" i="12"/>
  <c r="S260" i="12"/>
  <c r="D260" i="12"/>
  <c r="M259" i="12"/>
  <c r="W258" i="12"/>
  <c r="H258" i="12"/>
  <c r="T257" i="12"/>
  <c r="D257" i="12"/>
  <c r="M256" i="12"/>
  <c r="X255" i="12"/>
  <c r="I255" i="12"/>
  <c r="U254" i="12"/>
  <c r="F254" i="12"/>
  <c r="O253" i="12"/>
  <c r="I252" i="12"/>
  <c r="T251" i="12"/>
  <c r="D251" i="12"/>
  <c r="M250" i="12"/>
  <c r="W249" i="12"/>
  <c r="H249" i="12"/>
  <c r="S248" i="12"/>
  <c r="D248" i="12"/>
  <c r="M247" i="12"/>
  <c r="X246" i="12"/>
  <c r="H246" i="12"/>
  <c r="S245" i="12"/>
  <c r="D245" i="12"/>
  <c r="M244" i="12"/>
  <c r="X243" i="12"/>
  <c r="I243" i="12"/>
  <c r="U242" i="12"/>
  <c r="F242" i="12"/>
  <c r="O241" i="12"/>
  <c r="AC240" i="12"/>
  <c r="L240" i="12"/>
  <c r="V239" i="12"/>
  <c r="G239" i="12"/>
  <c r="S238" i="12"/>
  <c r="D238" i="12"/>
  <c r="N237" i="12"/>
  <c r="K232" i="13"/>
  <c r="J129" i="13"/>
  <c r="E84" i="13"/>
  <c r="K62" i="13"/>
  <c r="C46" i="13"/>
  <c r="H34" i="13"/>
  <c r="B26" i="13"/>
  <c r="K18" i="13"/>
  <c r="K11" i="13"/>
  <c r="K4" i="13"/>
  <c r="C476" i="12"/>
  <c r="C470" i="12"/>
  <c r="W464" i="12"/>
  <c r="F461" i="12"/>
  <c r="L457" i="12"/>
  <c r="U453" i="12"/>
  <c r="H446" i="12"/>
  <c r="Q442" i="12"/>
  <c r="U438" i="12"/>
  <c r="C435" i="12"/>
  <c r="D431" i="12"/>
  <c r="J427" i="12"/>
  <c r="I423" i="12"/>
  <c r="L419" i="12"/>
  <c r="E416" i="12"/>
  <c r="I412" i="12"/>
  <c r="I405" i="12"/>
  <c r="S401" i="12"/>
  <c r="U398" i="12"/>
  <c r="J396" i="12"/>
  <c r="AC393" i="12"/>
  <c r="T391" i="12"/>
  <c r="L389" i="12"/>
  <c r="H387" i="12"/>
  <c r="O382" i="12"/>
  <c r="M380" i="12"/>
  <c r="F377" i="12"/>
  <c r="L375" i="12"/>
  <c r="G372" i="12"/>
  <c r="J370" i="12"/>
  <c r="M368" i="12"/>
  <c r="F365" i="12"/>
  <c r="W363" i="12"/>
  <c r="S362" i="12"/>
  <c r="J361" i="12"/>
  <c r="G360" i="12"/>
  <c r="C359" i="12"/>
  <c r="X356" i="12"/>
  <c r="V355" i="12"/>
  <c r="V354" i="12"/>
  <c r="V353" i="12"/>
  <c r="X352" i="12"/>
  <c r="D351" i="12"/>
  <c r="H350" i="12"/>
  <c r="N349" i="12"/>
  <c r="U348" i="12"/>
  <c r="X347" i="12"/>
  <c r="F347" i="12"/>
  <c r="M346" i="12"/>
  <c r="U345" i="12"/>
  <c r="D345" i="12"/>
  <c r="I344" i="12"/>
  <c r="O343" i="12"/>
  <c r="W342" i="12"/>
  <c r="D342" i="12"/>
  <c r="L341" i="12"/>
  <c r="W340" i="12"/>
  <c r="H340" i="12"/>
  <c r="T339" i="12"/>
  <c r="D339" i="12"/>
  <c r="M338" i="12"/>
  <c r="X337" i="12"/>
  <c r="I337" i="12"/>
  <c r="T336" i="12"/>
  <c r="E336" i="12"/>
  <c r="O335" i="12"/>
  <c r="A335" i="12"/>
  <c r="L334" i="12"/>
  <c r="V333" i="12"/>
  <c r="F333" i="12"/>
  <c r="O332" i="12"/>
  <c r="A332" i="12"/>
  <c r="L331" i="12"/>
  <c r="W330" i="12"/>
  <c r="H330" i="12"/>
  <c r="T329" i="12"/>
  <c r="E329" i="12"/>
  <c r="O328" i="12"/>
  <c r="A328" i="12"/>
  <c r="L327" i="12"/>
  <c r="W326" i="12"/>
  <c r="H326" i="12"/>
  <c r="T325" i="12"/>
  <c r="E325" i="12"/>
  <c r="O324" i="12"/>
  <c r="AB323" i="12"/>
  <c r="J323" i="12"/>
  <c r="U322" i="12"/>
  <c r="F322" i="12"/>
  <c r="Q321" i="12"/>
  <c r="C321" i="12"/>
  <c r="J320" i="12"/>
  <c r="V319" i="12"/>
  <c r="G319" i="12"/>
  <c r="Q318" i="12"/>
  <c r="C318" i="12"/>
  <c r="L317" i="12"/>
  <c r="W316" i="12"/>
  <c r="G316" i="12"/>
  <c r="O315" i="12"/>
  <c r="A315" i="12"/>
  <c r="J314" i="12"/>
  <c r="T313" i="12"/>
  <c r="AB312" i="12"/>
  <c r="I312" i="12"/>
  <c r="U311" i="12"/>
  <c r="F311" i="12"/>
  <c r="Q310" i="12"/>
  <c r="C310" i="12"/>
  <c r="H309" i="12"/>
  <c r="S308" i="12"/>
  <c r="X307" i="12"/>
  <c r="H307" i="12"/>
  <c r="S306" i="12"/>
  <c r="C306" i="12"/>
  <c r="J305" i="12"/>
  <c r="U304" i="12"/>
  <c r="E304" i="12"/>
  <c r="O303" i="12"/>
  <c r="G302" i="12"/>
  <c r="O301" i="12"/>
  <c r="W300" i="12"/>
  <c r="E300" i="12"/>
  <c r="O299" i="12"/>
  <c r="I298" i="12"/>
  <c r="T297" i="12"/>
  <c r="D297" i="12"/>
  <c r="L296" i="12"/>
  <c r="V295" i="12"/>
  <c r="F295" i="12"/>
  <c r="O294" i="12"/>
  <c r="AB293" i="12"/>
  <c r="I293" i="12"/>
  <c r="T292" i="12"/>
  <c r="D292" i="12"/>
  <c r="N291" i="12"/>
  <c r="X290" i="12"/>
  <c r="I290" i="12"/>
  <c r="T289" i="12"/>
  <c r="E289" i="12"/>
  <c r="M288" i="12"/>
  <c r="X287" i="12"/>
  <c r="H287" i="12"/>
  <c r="S286" i="12"/>
  <c r="C286" i="12"/>
  <c r="J285" i="12"/>
  <c r="U284" i="12"/>
  <c r="E284" i="12"/>
  <c r="N283" i="12"/>
  <c r="I282" i="12"/>
  <c r="T281" i="12"/>
  <c r="D281" i="12"/>
  <c r="L280" i="12"/>
  <c r="V279" i="12"/>
  <c r="F279" i="12"/>
  <c r="N278" i="12"/>
  <c r="X277" i="12"/>
  <c r="H277" i="12"/>
  <c r="S276" i="12"/>
  <c r="X275" i="12"/>
  <c r="H275" i="12"/>
  <c r="S274" i="12"/>
  <c r="C274" i="12"/>
  <c r="J273" i="12"/>
  <c r="V272" i="12"/>
  <c r="F272" i="12"/>
  <c r="O271" i="12"/>
  <c r="AB270" i="12"/>
  <c r="J270" i="12"/>
  <c r="U269" i="12"/>
  <c r="F269" i="12"/>
  <c r="N268" i="12"/>
  <c r="X267" i="12"/>
  <c r="H267" i="12"/>
  <c r="S266" i="12"/>
  <c r="D266" i="12"/>
  <c r="O265" i="12"/>
  <c r="AB264" i="12"/>
  <c r="J264" i="12"/>
  <c r="U263" i="12"/>
  <c r="E263" i="12"/>
  <c r="M262" i="12"/>
  <c r="W261" i="12"/>
  <c r="G261" i="12"/>
  <c r="Q260" i="12"/>
  <c r="C260" i="12"/>
  <c r="L259" i="12"/>
  <c r="V258" i="12"/>
  <c r="G258" i="12"/>
  <c r="S257" i="12"/>
  <c r="C257" i="12"/>
  <c r="L256" i="12"/>
  <c r="W255" i="12"/>
  <c r="H255" i="12"/>
  <c r="T254" i="12"/>
  <c r="E254" i="12"/>
  <c r="N253" i="12"/>
  <c r="X252" i="12"/>
  <c r="H252" i="12"/>
  <c r="S251" i="12"/>
  <c r="C251" i="12"/>
  <c r="L250" i="12"/>
  <c r="V249" i="12"/>
  <c r="G249" i="12"/>
  <c r="Q248" i="12"/>
  <c r="C248" i="12"/>
  <c r="L247" i="12"/>
  <c r="W246" i="12"/>
  <c r="G246" i="12"/>
  <c r="Q245" i="12"/>
  <c r="C245" i="12"/>
  <c r="L244" i="12"/>
  <c r="W243" i="12"/>
  <c r="H243" i="12"/>
  <c r="T242" i="12"/>
  <c r="E242" i="12"/>
  <c r="N241" i="12"/>
  <c r="AB240" i="12"/>
  <c r="J240" i="12"/>
  <c r="U239" i="12"/>
  <c r="F239" i="12"/>
  <c r="Q238" i="12"/>
  <c r="C238" i="12"/>
  <c r="M237" i="12"/>
  <c r="W236" i="12"/>
  <c r="H236" i="12"/>
  <c r="T235" i="12"/>
  <c r="E235" i="12"/>
  <c r="N234" i="12"/>
  <c r="X233" i="12"/>
  <c r="H233" i="12"/>
  <c r="S232" i="12"/>
  <c r="C232" i="12"/>
  <c r="L231" i="12"/>
  <c r="X230" i="12"/>
  <c r="I230" i="12"/>
  <c r="U229" i="12"/>
  <c r="E229" i="12"/>
  <c r="G201" i="13"/>
  <c r="M117" i="13"/>
  <c r="K80" i="13"/>
  <c r="E59" i="13"/>
  <c r="D44" i="13"/>
  <c r="L32" i="13"/>
  <c r="L24" i="13"/>
  <c r="J17" i="13"/>
  <c r="J10" i="13"/>
  <c r="N481" i="12"/>
  <c r="E475" i="12"/>
  <c r="E469" i="12"/>
  <c r="V464" i="12"/>
  <c r="W456" i="12"/>
  <c r="T453" i="12"/>
  <c r="X449" i="12"/>
  <c r="T438" i="12"/>
  <c r="C431" i="12"/>
  <c r="V426" i="12"/>
  <c r="H423" i="12"/>
  <c r="J419" i="12"/>
  <c r="N415" i="12"/>
  <c r="O408" i="12"/>
  <c r="U404" i="12"/>
  <c r="D401" i="12"/>
  <c r="T398" i="12"/>
  <c r="I396" i="12"/>
  <c r="AB393" i="12"/>
  <c r="S391" i="12"/>
  <c r="G389" i="12"/>
  <c r="AB386" i="12"/>
  <c r="W384" i="12"/>
  <c r="J382" i="12"/>
  <c r="L380" i="12"/>
  <c r="V378" i="12"/>
  <c r="J375" i="12"/>
  <c r="U373" i="12"/>
  <c r="E372" i="12"/>
  <c r="I370" i="12"/>
  <c r="L368" i="12"/>
  <c r="V366" i="12"/>
  <c r="U363" i="12"/>
  <c r="O362" i="12"/>
  <c r="I361" i="12"/>
  <c r="E360" i="12"/>
  <c r="W357" i="12"/>
  <c r="V356" i="12"/>
  <c r="T355" i="12"/>
  <c r="T354" i="12"/>
  <c r="U353" i="12"/>
  <c r="V352" i="12"/>
  <c r="X351" i="12"/>
  <c r="C351" i="12"/>
  <c r="G350" i="12"/>
  <c r="M349" i="12"/>
  <c r="S348" i="12"/>
  <c r="W347" i="12"/>
  <c r="E347" i="12"/>
  <c r="L346" i="12"/>
  <c r="T345" i="12"/>
  <c r="C345" i="12"/>
  <c r="H344" i="12"/>
  <c r="N343" i="12"/>
  <c r="V342" i="12"/>
  <c r="C342" i="12"/>
  <c r="J341" i="12"/>
  <c r="V340" i="12"/>
  <c r="G340" i="12"/>
  <c r="S339" i="12"/>
  <c r="C339" i="12"/>
  <c r="L338" i="12"/>
  <c r="W337" i="12"/>
  <c r="H337" i="12"/>
  <c r="S336" i="12"/>
  <c r="D336" i="12"/>
  <c r="N335" i="12"/>
  <c r="AB334" i="12"/>
  <c r="J334" i="12"/>
  <c r="U333" i="12"/>
  <c r="E333" i="12"/>
  <c r="N332" i="12"/>
  <c r="AB331" i="12"/>
  <c r="J331" i="12"/>
  <c r="V330" i="12"/>
  <c r="G330" i="12"/>
  <c r="S329" i="12"/>
  <c r="D329" i="12"/>
  <c r="N328" i="12"/>
  <c r="AB327" i="12"/>
  <c r="J327" i="12"/>
  <c r="V326" i="12"/>
  <c r="G326" i="12"/>
  <c r="S325" i="12"/>
  <c r="D325" i="12"/>
  <c r="N324" i="12"/>
  <c r="X323" i="12"/>
  <c r="I323" i="12"/>
  <c r="T322" i="12"/>
  <c r="E322" i="12"/>
  <c r="O321" i="12"/>
  <c r="AB320" i="12"/>
  <c r="I320" i="12"/>
  <c r="U319" i="12"/>
  <c r="F319" i="12"/>
  <c r="O318" i="12"/>
  <c r="AC317" i="12"/>
  <c r="J317" i="12"/>
  <c r="V316" i="12"/>
  <c r="F316" i="12"/>
  <c r="N315" i="12"/>
  <c r="AB314" i="12"/>
  <c r="I314" i="12"/>
  <c r="S313" i="12"/>
  <c r="X312" i="12"/>
  <c r="H312" i="12"/>
  <c r="T311" i="12"/>
  <c r="E311" i="12"/>
  <c r="O310" i="12"/>
  <c r="G309" i="12"/>
  <c r="O308" i="12"/>
  <c r="W307" i="12"/>
  <c r="G307" i="12"/>
  <c r="O306" i="12"/>
  <c r="AB305" i="12"/>
  <c r="I305" i="12"/>
  <c r="T304" i="12"/>
  <c r="D304" i="12"/>
  <c r="N303" i="12"/>
  <c r="X302" i="12"/>
  <c r="F302" i="12"/>
  <c r="N301" i="12"/>
  <c r="V300" i="12"/>
  <c r="D300" i="12"/>
  <c r="N299" i="12"/>
  <c r="X298" i="12"/>
  <c r="H298" i="12"/>
  <c r="S297" i="12"/>
  <c r="C297" i="12"/>
  <c r="J296" i="12"/>
  <c r="U295" i="12"/>
  <c r="E295" i="12"/>
  <c r="N294" i="12"/>
  <c r="X293" i="12"/>
  <c r="H293" i="12"/>
  <c r="S292" i="12"/>
  <c r="C292" i="12"/>
  <c r="M291" i="12"/>
  <c r="W290" i="12"/>
  <c r="H290" i="12"/>
  <c r="S289" i="12"/>
  <c r="D289" i="12"/>
  <c r="L288" i="12"/>
  <c r="W287" i="12"/>
  <c r="G287" i="12"/>
  <c r="O286" i="12"/>
  <c r="AB285" i="12"/>
  <c r="I285" i="12"/>
  <c r="T284" i="12"/>
  <c r="D284" i="12"/>
  <c r="M283" i="12"/>
  <c r="X282" i="12"/>
  <c r="H282" i="12"/>
  <c r="S281" i="12"/>
  <c r="E199" i="13"/>
  <c r="M116" i="13"/>
  <c r="J80" i="13"/>
  <c r="D59" i="13"/>
  <c r="L43" i="13"/>
  <c r="K32" i="13"/>
  <c r="K24" i="13"/>
  <c r="H17" i="13"/>
  <c r="H10" i="13"/>
  <c r="M481" i="12"/>
  <c r="C475" i="12"/>
  <c r="C469" i="12"/>
  <c r="E464" i="12"/>
  <c r="O460" i="12"/>
  <c r="V456" i="12"/>
  <c r="F449" i="12"/>
  <c r="T445" i="12"/>
  <c r="X441" i="12"/>
  <c r="E438" i="12"/>
  <c r="G434" i="12"/>
  <c r="U426" i="12"/>
  <c r="T422" i="12"/>
  <c r="M415" i="12"/>
  <c r="U411" i="12"/>
  <c r="N408" i="12"/>
  <c r="T404" i="12"/>
  <c r="C401" i="12"/>
  <c r="I398" i="12"/>
  <c r="AC395" i="12"/>
  <c r="O393" i="12"/>
  <c r="H391" i="12"/>
  <c r="F389" i="12"/>
  <c r="U386" i="12"/>
  <c r="V384" i="12"/>
  <c r="I382" i="12"/>
  <c r="I380" i="12"/>
  <c r="O378" i="12"/>
  <c r="X376" i="12"/>
  <c r="H375" i="12"/>
  <c r="N373" i="12"/>
  <c r="G370" i="12"/>
  <c r="I368" i="12"/>
  <c r="O366" i="12"/>
  <c r="X364" i="12"/>
  <c r="S363" i="12"/>
  <c r="M362" i="12"/>
  <c r="G361" i="12"/>
  <c r="D360" i="12"/>
  <c r="W358" i="12"/>
  <c r="U357" i="12"/>
  <c r="T356" i="12"/>
  <c r="S355" i="12"/>
  <c r="O354" i="12"/>
  <c r="S353" i="12"/>
  <c r="T352" i="12"/>
  <c r="W351" i="12"/>
  <c r="F350" i="12"/>
  <c r="H349" i="12"/>
  <c r="O348" i="12"/>
  <c r="V347" i="12"/>
  <c r="D347" i="12"/>
  <c r="I346" i="12"/>
  <c r="S345" i="12"/>
  <c r="AB344" i="12"/>
  <c r="G344" i="12"/>
  <c r="M343" i="12"/>
  <c r="T342" i="12"/>
  <c r="AB341" i="12"/>
  <c r="I341" i="12"/>
  <c r="U340" i="12"/>
  <c r="F340" i="12"/>
  <c r="O339" i="12"/>
  <c r="AB338" i="12"/>
  <c r="J338" i="12"/>
  <c r="V337" i="12"/>
  <c r="G337" i="12"/>
  <c r="Q336" i="12"/>
  <c r="C336" i="12"/>
  <c r="M335" i="12"/>
  <c r="X334" i="12"/>
  <c r="I334" i="12"/>
  <c r="T333" i="12"/>
  <c r="D333" i="12"/>
  <c r="M332" i="12"/>
  <c r="X331" i="12"/>
  <c r="I331" i="12"/>
  <c r="U330" i="12"/>
  <c r="F330" i="12"/>
  <c r="Q329" i="12"/>
  <c r="C329" i="12"/>
  <c r="M328" i="12"/>
  <c r="X327" i="12"/>
  <c r="I327" i="12"/>
  <c r="U326" i="12"/>
  <c r="F326" i="12"/>
  <c r="Q325" i="12"/>
  <c r="C325" i="12"/>
  <c r="M324" i="12"/>
  <c r="W323" i="12"/>
  <c r="H323" i="12"/>
  <c r="S322" i="12"/>
  <c r="D322" i="12"/>
  <c r="N321" i="12"/>
  <c r="X320" i="12"/>
  <c r="H320" i="12"/>
  <c r="T319" i="12"/>
  <c r="E319" i="12"/>
  <c r="N318" i="12"/>
  <c r="AB317" i="12"/>
  <c r="I317" i="12"/>
  <c r="U316" i="12"/>
  <c r="E316" i="12"/>
  <c r="M315" i="12"/>
  <c r="X314" i="12"/>
  <c r="H314" i="12"/>
  <c r="O313" i="12"/>
  <c r="W312" i="12"/>
  <c r="G312" i="12"/>
  <c r="S311" i="12"/>
  <c r="D311" i="12"/>
  <c r="N310" i="12"/>
  <c r="X309" i="12"/>
  <c r="F309" i="12"/>
  <c r="N308" i="12"/>
  <c r="V307" i="12"/>
  <c r="F307" i="12"/>
  <c r="N306" i="12"/>
  <c r="X305" i="12"/>
  <c r="H305" i="12"/>
  <c r="S304" i="12"/>
  <c r="C304" i="12"/>
  <c r="M303" i="12"/>
  <c r="W302" i="12"/>
  <c r="E302" i="12"/>
  <c r="M301" i="12"/>
  <c r="U300" i="12"/>
  <c r="C300" i="12"/>
  <c r="M299" i="12"/>
  <c r="W298" i="12"/>
  <c r="G298" i="12"/>
  <c r="O297" i="12"/>
  <c r="I296" i="12"/>
  <c r="T295" i="12"/>
  <c r="D295" i="12"/>
  <c r="M294" i="12"/>
  <c r="W293" i="12"/>
  <c r="G293" i="12"/>
  <c r="O292" i="12"/>
  <c r="AC291" i="12"/>
  <c r="L291" i="12"/>
  <c r="V290" i="12"/>
  <c r="G290" i="12"/>
  <c r="Q289" i="12"/>
  <c r="C289" i="12"/>
  <c r="J288" i="12"/>
  <c r="V287" i="12"/>
  <c r="F287" i="12"/>
  <c r="N286" i="12"/>
  <c r="X285" i="12"/>
  <c r="H285" i="12"/>
  <c r="S284" i="12"/>
  <c r="C284" i="12"/>
  <c r="L283" i="12"/>
  <c r="W282" i="12"/>
  <c r="G282" i="12"/>
  <c r="O281" i="12"/>
  <c r="I280" i="12"/>
  <c r="T279" i="12"/>
  <c r="D279" i="12"/>
  <c r="L278" i="12"/>
  <c r="V277" i="12"/>
  <c r="F277" i="12"/>
  <c r="N276" i="12"/>
  <c r="V275" i="12"/>
  <c r="F275" i="12"/>
  <c r="N274" i="12"/>
  <c r="X273" i="12"/>
  <c r="H273" i="12"/>
  <c r="T272" i="12"/>
  <c r="D272" i="12"/>
  <c r="M271" i="12"/>
  <c r="W270" i="12"/>
  <c r="H270" i="12"/>
  <c r="S269" i="12"/>
  <c r="D269" i="12"/>
  <c r="L268" i="12"/>
  <c r="V267" i="12"/>
  <c r="F267" i="12"/>
  <c r="O266" i="12"/>
  <c r="A266" i="12"/>
  <c r="M265" i="12"/>
  <c r="W264" i="12"/>
  <c r="H264" i="12"/>
  <c r="S263" i="12"/>
  <c r="C263" i="12"/>
  <c r="J262" i="12"/>
  <c r="U261" i="12"/>
  <c r="E261" i="12"/>
  <c r="N260" i="12"/>
  <c r="I259" i="12"/>
  <c r="T258" i="12"/>
  <c r="E258" i="12"/>
  <c r="N257" i="12"/>
  <c r="X256" i="12"/>
  <c r="I256" i="12"/>
  <c r="U255" i="12"/>
  <c r="F255" i="12"/>
  <c r="Q254" i="12"/>
  <c r="C254" i="12"/>
  <c r="L253" i="12"/>
  <c r="V252" i="12"/>
  <c r="F252" i="12"/>
  <c r="N251" i="12"/>
  <c r="X250" i="12"/>
  <c r="I250" i="12"/>
  <c r="T249" i="12"/>
  <c r="E249" i="12"/>
  <c r="N248" i="12"/>
  <c r="X247" i="12"/>
  <c r="I247" i="12"/>
  <c r="U246" i="12"/>
  <c r="E246" i="12"/>
  <c r="N245" i="12"/>
  <c r="X244" i="12"/>
  <c r="I244" i="12"/>
  <c r="U243" i="12"/>
  <c r="F243" i="12"/>
  <c r="Q242" i="12"/>
  <c r="C242" i="12"/>
  <c r="L241" i="12"/>
  <c r="W240" i="12"/>
  <c r="H240" i="12"/>
  <c r="S239" i="12"/>
  <c r="D239" i="12"/>
  <c r="N238" i="12"/>
  <c r="AB237" i="12"/>
  <c r="J237" i="12"/>
  <c r="U236" i="12"/>
  <c r="F236" i="12"/>
  <c r="Q235" i="12"/>
  <c r="C235" i="12"/>
  <c r="L234" i="12"/>
  <c r="V233" i="12"/>
  <c r="F233" i="12"/>
  <c r="N232" i="12"/>
  <c r="X231" i="12"/>
  <c r="I231" i="12"/>
  <c r="V230" i="12"/>
  <c r="G230" i="12"/>
  <c r="S229" i="12"/>
  <c r="C229" i="12"/>
  <c r="C182" i="13"/>
  <c r="D106" i="13"/>
  <c r="C77" i="13"/>
  <c r="L55" i="13"/>
  <c r="L41" i="13"/>
  <c r="B31" i="13"/>
  <c r="H23" i="13"/>
  <c r="F16" i="13"/>
  <c r="F9" i="13"/>
  <c r="G480" i="12"/>
  <c r="C474" i="12"/>
  <c r="C468" i="12"/>
  <c r="D456" i="12"/>
  <c r="W452" i="12"/>
  <c r="O448" i="12"/>
  <c r="D441" i="12"/>
  <c r="G430" i="12"/>
  <c r="C426" i="12"/>
  <c r="X421" i="12"/>
  <c r="U418" i="12"/>
  <c r="W414" i="12"/>
  <c r="E411" i="12"/>
  <c r="V407" i="12"/>
  <c r="D404" i="12"/>
  <c r="L400" i="12"/>
  <c r="D398" i="12"/>
  <c r="U395" i="12"/>
  <c r="I393" i="12"/>
  <c r="C391" i="12"/>
  <c r="V388" i="12"/>
  <c r="I386" i="12"/>
  <c r="G384" i="12"/>
  <c r="U381" i="12"/>
  <c r="L378" i="12"/>
  <c r="S376" i="12"/>
  <c r="J373" i="12"/>
  <c r="S371" i="12"/>
  <c r="U369" i="12"/>
  <c r="L366" i="12"/>
  <c r="S364" i="12"/>
  <c r="J363" i="12"/>
  <c r="F362" i="12"/>
  <c r="W359" i="12"/>
  <c r="T358" i="12"/>
  <c r="O357" i="12"/>
  <c r="M356" i="12"/>
  <c r="L355" i="12"/>
  <c r="L354" i="12"/>
  <c r="N353" i="12"/>
  <c r="N352" i="12"/>
  <c r="T351" i="12"/>
  <c r="V350" i="12"/>
  <c r="C350" i="12"/>
  <c r="F349" i="12"/>
  <c r="M348" i="12"/>
  <c r="T347" i="12"/>
  <c r="X346" i="12"/>
  <c r="G346" i="12"/>
  <c r="N345" i="12"/>
  <c r="W344" i="12"/>
  <c r="E344" i="12"/>
  <c r="I343" i="12"/>
  <c r="O342" i="12"/>
  <c r="V341" i="12"/>
  <c r="G341" i="12"/>
  <c r="S340" i="12"/>
  <c r="D340" i="12"/>
  <c r="M339" i="12"/>
  <c r="W338" i="12"/>
  <c r="H338" i="12"/>
  <c r="T337" i="12"/>
  <c r="E337" i="12"/>
  <c r="N336" i="12"/>
  <c r="AB335" i="12"/>
  <c r="J335" i="12"/>
  <c r="V334" i="12"/>
  <c r="G334" i="12"/>
  <c r="O333" i="12"/>
  <c r="AB332" i="12"/>
  <c r="J332" i="12"/>
  <c r="V331" i="12"/>
  <c r="G331" i="12"/>
  <c r="S330" i="12"/>
  <c r="D330" i="12"/>
  <c r="N329" i="12"/>
  <c r="AB328" i="12"/>
  <c r="J328" i="12"/>
  <c r="V327" i="12"/>
  <c r="G327" i="12"/>
  <c r="S326" i="12"/>
  <c r="D326" i="12"/>
  <c r="N325" i="12"/>
  <c r="AB324" i="12"/>
  <c r="J324" i="12"/>
  <c r="U323" i="12"/>
  <c r="F323" i="12"/>
  <c r="O322" i="12"/>
  <c r="A322" i="12"/>
  <c r="L321" i="12"/>
  <c r="V320" i="12"/>
  <c r="F320" i="12"/>
  <c r="Q319" i="12"/>
  <c r="C319" i="12"/>
  <c r="L318" i="12"/>
  <c r="W317" i="12"/>
  <c r="G317" i="12"/>
  <c r="S316" i="12"/>
  <c r="C316" i="12"/>
  <c r="J315" i="12"/>
  <c r="V314" i="12"/>
  <c r="E314" i="12"/>
  <c r="M313" i="12"/>
  <c r="U312" i="12"/>
  <c r="E312" i="12"/>
  <c r="O311" i="12"/>
  <c r="AC310" i="12"/>
  <c r="L310" i="12"/>
  <c r="V309" i="12"/>
  <c r="D309" i="12"/>
  <c r="L308" i="12"/>
  <c r="T307" i="12"/>
  <c r="D307" i="12"/>
  <c r="L306" i="12"/>
  <c r="V305" i="12"/>
  <c r="F305" i="12"/>
  <c r="N304" i="12"/>
  <c r="AB303" i="12"/>
  <c r="J303" i="12"/>
  <c r="U302" i="12"/>
  <c r="C302" i="12"/>
  <c r="H301" i="12"/>
  <c r="S300" i="12"/>
  <c r="AB299" i="12"/>
  <c r="J299" i="12"/>
  <c r="U298" i="12"/>
  <c r="E298" i="12"/>
  <c r="M297" i="12"/>
  <c r="W296" i="12"/>
  <c r="G296" i="12"/>
  <c r="O295" i="12"/>
  <c r="J294" i="12"/>
  <c r="U293" i="12"/>
  <c r="E293" i="12"/>
  <c r="M292" i="12"/>
  <c r="X291" i="12"/>
  <c r="I291" i="12"/>
  <c r="T290" i="12"/>
  <c r="E290" i="12"/>
  <c r="N289" i="12"/>
  <c r="X288" i="12"/>
  <c r="H288" i="12"/>
  <c r="T287" i="12"/>
  <c r="D287" i="12"/>
  <c r="L286" i="12"/>
  <c r="V285" i="12"/>
  <c r="F285" i="12"/>
  <c r="N284" i="12"/>
  <c r="AB283" i="12"/>
  <c r="I283" i="12"/>
  <c r="U282" i="12"/>
  <c r="E282" i="12"/>
  <c r="M281" i="12"/>
  <c r="W280" i="12"/>
  <c r="G280" i="12"/>
  <c r="O279" i="12"/>
  <c r="I278" i="12"/>
  <c r="T277" i="12"/>
  <c r="D277" i="12"/>
  <c r="L276" i="12"/>
  <c r="T275" i="12"/>
  <c r="D275" i="12"/>
  <c r="L274" i="12"/>
  <c r="V273" i="12"/>
  <c r="F273" i="12"/>
  <c r="O272" i="12"/>
  <c r="AC271" i="12"/>
  <c r="J271" i="12"/>
  <c r="U270" i="12"/>
  <c r="F270" i="12"/>
  <c r="O269" i="12"/>
  <c r="AB268" i="12"/>
  <c r="I268" i="12"/>
  <c r="T267" i="12"/>
  <c r="D267" i="12"/>
  <c r="M266" i="12"/>
  <c r="AB265" i="12"/>
  <c r="J265" i="12"/>
  <c r="U264" i="12"/>
  <c r="F264" i="12"/>
  <c r="N263" i="12"/>
  <c r="X262" i="12"/>
  <c r="H262" i="12"/>
  <c r="S261" i="12"/>
  <c r="C261" i="12"/>
  <c r="L260" i="12"/>
  <c r="W259" i="12"/>
  <c r="G259" i="12"/>
  <c r="Q258" i="12"/>
  <c r="C258" i="12"/>
  <c r="L257" i="12"/>
  <c r="V256" i="12"/>
  <c r="G256" i="12"/>
  <c r="S255" i="12"/>
  <c r="D255" i="12"/>
  <c r="N254" i="12"/>
  <c r="I253" i="12"/>
  <c r="T252" i="12"/>
  <c r="D252" i="12"/>
  <c r="L251" i="12"/>
  <c r="V250" i="12"/>
  <c r="G250" i="12"/>
  <c r="Q249" i="12"/>
  <c r="C249" i="12"/>
  <c r="L248" i="12"/>
  <c r="V247" i="12"/>
  <c r="G247" i="12"/>
  <c r="S246" i="12"/>
  <c r="C246" i="12"/>
  <c r="L245" i="12"/>
  <c r="V244" i="12"/>
  <c r="G244" i="12"/>
  <c r="S243" i="12"/>
  <c r="D243" i="12"/>
  <c r="N242" i="12"/>
  <c r="X241" i="12"/>
  <c r="I241" i="12"/>
  <c r="U240" i="12"/>
  <c r="F240" i="12"/>
  <c r="B169" i="13"/>
  <c r="B99" i="13"/>
  <c r="H73" i="13"/>
  <c r="E53" i="13"/>
  <c r="B40" i="13"/>
  <c r="H29" i="13"/>
  <c r="F22" i="13"/>
  <c r="E15" i="13"/>
  <c r="D8" i="13"/>
  <c r="C479" i="12"/>
  <c r="C473" i="12"/>
  <c r="C467" i="12"/>
  <c r="H463" i="12"/>
  <c r="T459" i="12"/>
  <c r="N455" i="12"/>
  <c r="D452" i="12"/>
  <c r="X447" i="12"/>
  <c r="W444" i="12"/>
  <c r="H437" i="12"/>
  <c r="L433" i="12"/>
  <c r="O429" i="12"/>
  <c r="H425" i="12"/>
  <c r="H421" i="12"/>
  <c r="C418" i="12"/>
  <c r="G414" i="12"/>
  <c r="M410" i="12"/>
  <c r="F407" i="12"/>
  <c r="M403" i="12"/>
  <c r="X399" i="12"/>
  <c r="O397" i="12"/>
  <c r="F395" i="12"/>
  <c r="W392" i="12"/>
  <c r="M390" i="12"/>
  <c r="N388" i="12"/>
  <c r="D386" i="12"/>
  <c r="V383" i="12"/>
  <c r="O381" i="12"/>
  <c r="V379" i="12"/>
  <c r="H376" i="12"/>
  <c r="U374" i="12"/>
  <c r="M371" i="12"/>
  <c r="O369" i="12"/>
  <c r="V367" i="12"/>
  <c r="M364" i="12"/>
  <c r="G363" i="12"/>
  <c r="C362" i="12"/>
  <c r="W360" i="12"/>
  <c r="O359" i="12"/>
  <c r="M358" i="12"/>
  <c r="L357" i="12"/>
  <c r="I356" i="12"/>
  <c r="G355" i="12"/>
  <c r="H354" i="12"/>
  <c r="I353" i="12"/>
  <c r="J352" i="12"/>
  <c r="N351" i="12"/>
  <c r="S350" i="12"/>
  <c r="X349" i="12"/>
  <c r="D349" i="12"/>
  <c r="H348" i="12"/>
  <c r="N347" i="12"/>
  <c r="V346" i="12"/>
  <c r="D346" i="12"/>
  <c r="L345" i="12"/>
  <c r="U344" i="12"/>
  <c r="AB343" i="12"/>
  <c r="G343" i="12"/>
  <c r="L342" i="12"/>
  <c r="T341" i="12"/>
  <c r="E341" i="12"/>
  <c r="O340" i="12"/>
  <c r="A340" i="12"/>
  <c r="J339" i="12"/>
  <c r="U338" i="12"/>
  <c r="F338" i="12"/>
  <c r="Q337" i="12"/>
  <c r="C337" i="12"/>
  <c r="L336" i="12"/>
  <c r="W335" i="12"/>
  <c r="H335" i="12"/>
  <c r="T334" i="12"/>
  <c r="E334" i="12"/>
  <c r="M333" i="12"/>
  <c r="W332" i="12"/>
  <c r="H332" i="12"/>
  <c r="T331" i="12"/>
  <c r="E331" i="12"/>
  <c r="O330" i="12"/>
  <c r="A330" i="12"/>
  <c r="L329" i="12"/>
  <c r="W328" i="12"/>
  <c r="H328" i="12"/>
  <c r="T327" i="12"/>
  <c r="E327" i="12"/>
  <c r="O326" i="12"/>
  <c r="A326" i="12"/>
  <c r="L325" i="12"/>
  <c r="W324" i="12"/>
  <c r="H324" i="12"/>
  <c r="S323" i="12"/>
  <c r="D323" i="12"/>
  <c r="M322" i="12"/>
  <c r="X321" i="12"/>
  <c r="I321" i="12"/>
  <c r="T320" i="12"/>
  <c r="D320" i="12"/>
  <c r="N319" i="12"/>
  <c r="X318" i="12"/>
  <c r="I318" i="12"/>
  <c r="U317" i="12"/>
  <c r="E317" i="12"/>
  <c r="N316" i="12"/>
  <c r="X315" i="12"/>
  <c r="H315" i="12"/>
  <c r="T314" i="12"/>
  <c r="C314" i="12"/>
  <c r="H313" i="12"/>
  <c r="S312" i="12"/>
  <c r="C312" i="12"/>
  <c r="M311" i="12"/>
  <c r="X310" i="12"/>
  <c r="I310" i="12"/>
  <c r="T309" i="12"/>
  <c r="G308" i="12"/>
  <c r="O307" i="12"/>
  <c r="AB306" i="12"/>
  <c r="I306" i="12"/>
  <c r="T305" i="12"/>
  <c r="D305" i="12"/>
  <c r="L304" i="12"/>
  <c r="W303" i="12"/>
  <c r="H303" i="12"/>
  <c r="S302" i="12"/>
  <c r="X301" i="12"/>
  <c r="F301" i="12"/>
  <c r="N300" i="12"/>
  <c r="W299" i="12"/>
  <c r="H299" i="12"/>
  <c r="S298" i="12"/>
  <c r="C298" i="12"/>
  <c r="J297" i="12"/>
  <c r="U296" i="12"/>
  <c r="E296" i="12"/>
  <c r="M295" i="12"/>
  <c r="W294" i="12"/>
  <c r="H294" i="12"/>
  <c r="S293" i="12"/>
  <c r="C293" i="12"/>
  <c r="J292" i="12"/>
  <c r="V291" i="12"/>
  <c r="G291" i="12"/>
  <c r="Q290" i="12"/>
  <c r="C290" i="12"/>
  <c r="L289" i="12"/>
  <c r="V288" i="12"/>
  <c r="F288" i="12"/>
  <c r="O287" i="12"/>
  <c r="AB286" i="12"/>
  <c r="I286" i="12"/>
  <c r="T285" i="12"/>
  <c r="D285" i="12"/>
  <c r="L284" i="12"/>
  <c r="W283" i="12"/>
  <c r="G283" i="12"/>
  <c r="S282" i="12"/>
  <c r="C282" i="12"/>
  <c r="J281" i="12"/>
  <c r="U280" i="12"/>
  <c r="E280" i="12"/>
  <c r="M279" i="12"/>
  <c r="W278" i="12"/>
  <c r="G278" i="12"/>
  <c r="O277" i="12"/>
  <c r="G276" i="12"/>
  <c r="O275" i="12"/>
  <c r="AB274" i="12"/>
  <c r="I274" i="12"/>
  <c r="T273" i="12"/>
  <c r="D273" i="12"/>
  <c r="M272" i="12"/>
  <c r="W271" i="12"/>
  <c r="H271" i="12"/>
  <c r="S270" i="12"/>
  <c r="D270" i="12"/>
  <c r="M269" i="12"/>
  <c r="W268" i="12"/>
  <c r="G268" i="12"/>
  <c r="O267" i="12"/>
  <c r="AB266" i="12"/>
  <c r="J266" i="12"/>
  <c r="W265" i="12"/>
  <c r="H265" i="12"/>
  <c r="S264" i="12"/>
  <c r="D264" i="12"/>
  <c r="L263" i="12"/>
  <c r="V262" i="12"/>
  <c r="F262" i="12"/>
  <c r="N261" i="12"/>
  <c r="X260" i="12"/>
  <c r="I260" i="12"/>
  <c r="U259" i="12"/>
  <c r="E259" i="12"/>
  <c r="N258" i="12"/>
  <c r="I257" i="12"/>
  <c r="T256" i="12"/>
  <c r="E256" i="12"/>
  <c r="O255" i="12"/>
  <c r="AC254" i="12"/>
  <c r="L254" i="12"/>
  <c r="W253" i="12"/>
  <c r="G253" i="12"/>
  <c r="O252" i="12"/>
  <c r="I251" i="12"/>
  <c r="T250" i="12"/>
  <c r="E250" i="12"/>
  <c r="N249" i="12"/>
  <c r="X248" i="12"/>
  <c r="I248" i="12"/>
  <c r="T247" i="12"/>
  <c r="E247" i="12"/>
  <c r="N246" i="12"/>
  <c r="X245" i="12"/>
  <c r="I245" i="12"/>
  <c r="T244" i="12"/>
  <c r="E244" i="12"/>
  <c r="O243" i="12"/>
  <c r="A243" i="12"/>
  <c r="L242" i="12"/>
  <c r="V241" i="12"/>
  <c r="G241" i="12"/>
  <c r="S240" i="12"/>
  <c r="D240" i="12"/>
  <c r="M239" i="12"/>
  <c r="X238" i="12"/>
  <c r="I238" i="12"/>
  <c r="U237" i="12"/>
  <c r="F237" i="12"/>
  <c r="O236" i="12"/>
  <c r="AC235" i="12"/>
  <c r="L235" i="12"/>
  <c r="W234" i="12"/>
  <c r="G234" i="12"/>
  <c r="O233" i="12"/>
  <c r="I232" i="12"/>
  <c r="T231" i="12"/>
  <c r="E231" i="12"/>
  <c r="Q230" i="12"/>
  <c r="C230" i="12"/>
  <c r="L229" i="12"/>
  <c r="B42" i="13"/>
  <c r="E474" i="12"/>
  <c r="E456" i="12"/>
  <c r="S445" i="12"/>
  <c r="N403" i="12"/>
  <c r="C375" i="12"/>
  <c r="T369" i="12"/>
  <c r="S347" i="12"/>
  <c r="H343" i="12"/>
  <c r="L339" i="12"/>
  <c r="X335" i="12"/>
  <c r="I332" i="12"/>
  <c r="X328" i="12"/>
  <c r="M325" i="12"/>
  <c r="AB321" i="12"/>
  <c r="J318" i="12"/>
  <c r="U314" i="12"/>
  <c r="AB310" i="12"/>
  <c r="S307" i="12"/>
  <c r="X303" i="12"/>
  <c r="O300" i="12"/>
  <c r="V293" i="12"/>
  <c r="F290" i="12"/>
  <c r="C287" i="12"/>
  <c r="J283" i="12"/>
  <c r="X280" i="12"/>
  <c r="X278" i="12"/>
  <c r="O276" i="12"/>
  <c r="J274" i="12"/>
  <c r="C272" i="12"/>
  <c r="Q269" i="12"/>
  <c r="S267" i="12"/>
  <c r="X265" i="12"/>
  <c r="E264" i="12"/>
  <c r="G262" i="12"/>
  <c r="M260" i="12"/>
  <c r="U258" i="12"/>
  <c r="G257" i="12"/>
  <c r="M255" i="12"/>
  <c r="X253" i="12"/>
  <c r="E252" i="12"/>
  <c r="J250" i="12"/>
  <c r="O248" i="12"/>
  <c r="G245" i="12"/>
  <c r="M243" i="12"/>
  <c r="T241" i="12"/>
  <c r="E240" i="12"/>
  <c r="AB238" i="12"/>
  <c r="V237" i="12"/>
  <c r="S236" i="12"/>
  <c r="S235" i="12"/>
  <c r="U234" i="12"/>
  <c r="W233" i="12"/>
  <c r="D232" i="12"/>
  <c r="F231" i="12"/>
  <c r="J230" i="12"/>
  <c r="M229" i="12"/>
  <c r="S228" i="12"/>
  <c r="D228" i="12"/>
  <c r="M227" i="12"/>
  <c r="W226" i="12"/>
  <c r="G226" i="12"/>
  <c r="T225" i="12"/>
  <c r="E225" i="12"/>
  <c r="Q224" i="12"/>
  <c r="C224" i="12"/>
  <c r="O223" i="12"/>
  <c r="AC222" i="12"/>
  <c r="M222" i="12"/>
  <c r="AA221" i="12"/>
  <c r="J221" i="12"/>
  <c r="V220" i="12"/>
  <c r="F220" i="12"/>
  <c r="O219" i="12"/>
  <c r="AB218" i="12"/>
  <c r="J218" i="12"/>
  <c r="U217" i="12"/>
  <c r="F217" i="12"/>
  <c r="O216" i="12"/>
  <c r="AB215" i="12"/>
  <c r="J215" i="12"/>
  <c r="U214" i="12"/>
  <c r="E214" i="12"/>
  <c r="M213" i="12"/>
  <c r="W212" i="12"/>
  <c r="G212" i="12"/>
  <c r="O211" i="12"/>
  <c r="I210" i="12"/>
  <c r="U209" i="12"/>
  <c r="F209" i="12"/>
  <c r="N208" i="12"/>
  <c r="X207" i="12"/>
  <c r="I207" i="12"/>
  <c r="T206" i="12"/>
  <c r="D206" i="12"/>
  <c r="L205" i="12"/>
  <c r="V204" i="12"/>
  <c r="F204" i="12"/>
  <c r="O203" i="12"/>
  <c r="I202" i="12"/>
  <c r="T201" i="12"/>
  <c r="D201" i="12"/>
  <c r="L200" i="12"/>
  <c r="V199" i="12"/>
  <c r="G199" i="12"/>
  <c r="O198" i="12"/>
  <c r="I197" i="12"/>
  <c r="T196" i="12"/>
  <c r="E196" i="12"/>
  <c r="N195" i="12"/>
  <c r="X194" i="12"/>
  <c r="I194" i="12"/>
  <c r="T193" i="12"/>
  <c r="D193" i="12"/>
  <c r="L192" i="12"/>
  <c r="V191" i="12"/>
  <c r="F191" i="12"/>
  <c r="N190" i="12"/>
  <c r="X189" i="12"/>
  <c r="I189" i="12"/>
  <c r="T188" i="12"/>
  <c r="E188" i="12"/>
  <c r="N187" i="12"/>
  <c r="AB186" i="12"/>
  <c r="J186" i="12"/>
  <c r="V185" i="12"/>
  <c r="G185" i="12"/>
  <c r="S184" i="12"/>
  <c r="D184" i="12"/>
  <c r="N183" i="12"/>
  <c r="X182" i="12"/>
  <c r="H182" i="12"/>
  <c r="S181" i="12"/>
  <c r="C181" i="12"/>
  <c r="M180" i="12"/>
  <c r="X179" i="12"/>
  <c r="I179" i="12"/>
  <c r="U178" i="12"/>
  <c r="F178" i="12"/>
  <c r="Q177" i="12"/>
  <c r="C177" i="12"/>
  <c r="M176" i="12"/>
  <c r="X175" i="12"/>
  <c r="I175" i="12"/>
  <c r="T174" i="12"/>
  <c r="D174" i="12"/>
  <c r="N173" i="12"/>
  <c r="AB172" i="12"/>
  <c r="J172" i="12"/>
  <c r="U171" i="12"/>
  <c r="E171" i="12"/>
  <c r="O170" i="12"/>
  <c r="I169" i="12"/>
  <c r="U168" i="12"/>
  <c r="F168" i="12"/>
  <c r="Q167" i="12"/>
  <c r="C167" i="12"/>
  <c r="J166" i="12"/>
  <c r="U165" i="12"/>
  <c r="E165" i="12"/>
  <c r="M164" i="12"/>
  <c r="W163" i="12"/>
  <c r="G163" i="12"/>
  <c r="O162" i="12"/>
  <c r="I161" i="12"/>
  <c r="T160" i="12"/>
  <c r="D160" i="12"/>
  <c r="L159" i="12"/>
  <c r="V158" i="12"/>
  <c r="F158" i="12"/>
  <c r="N157" i="12"/>
  <c r="X156" i="12"/>
  <c r="H156" i="12"/>
  <c r="S155" i="12"/>
  <c r="C155" i="12"/>
  <c r="J154" i="12"/>
  <c r="U153" i="12"/>
  <c r="E153" i="12"/>
  <c r="M152" i="12"/>
  <c r="W151" i="12"/>
  <c r="G151" i="12"/>
  <c r="O150" i="12"/>
  <c r="I149" i="12"/>
  <c r="T148" i="12"/>
  <c r="D148" i="12"/>
  <c r="M147" i="12"/>
  <c r="W146" i="12"/>
  <c r="H146" i="12"/>
  <c r="S145" i="12"/>
  <c r="C145" i="12"/>
  <c r="J144" i="12"/>
  <c r="U143" i="12"/>
  <c r="E143" i="12"/>
  <c r="M142" i="12"/>
  <c r="W141" i="12"/>
  <c r="G141" i="12"/>
  <c r="O140" i="12"/>
  <c r="I139" i="12"/>
  <c r="T138" i="12"/>
  <c r="D138" i="12"/>
  <c r="L137" i="12"/>
  <c r="V136" i="12"/>
  <c r="G136" i="12"/>
  <c r="Q135" i="12"/>
  <c r="C135" i="12"/>
  <c r="L134" i="12"/>
  <c r="V133" i="12"/>
  <c r="G133" i="12"/>
  <c r="Q132" i="12"/>
  <c r="C132" i="12"/>
  <c r="L131" i="12"/>
  <c r="V130" i="12"/>
  <c r="G130" i="12"/>
  <c r="Q129" i="12"/>
  <c r="C129" i="12"/>
  <c r="L128" i="12"/>
  <c r="V127" i="12"/>
  <c r="G127" i="12"/>
  <c r="Q126" i="12"/>
  <c r="C126" i="12"/>
  <c r="L125" i="12"/>
  <c r="V124" i="12"/>
  <c r="G124" i="12"/>
  <c r="Q123" i="12"/>
  <c r="C123" i="12"/>
  <c r="L122" i="12"/>
  <c r="V121" i="12"/>
  <c r="G121" i="12"/>
  <c r="S120" i="12"/>
  <c r="D120" i="12"/>
  <c r="N119" i="12"/>
  <c r="AB118" i="12"/>
  <c r="J118" i="12"/>
  <c r="V117" i="12"/>
  <c r="G117" i="12"/>
  <c r="Q116" i="12"/>
  <c r="C116" i="12"/>
  <c r="L115" i="12"/>
  <c r="V114" i="12"/>
  <c r="G114" i="12"/>
  <c r="Q113" i="12"/>
  <c r="C113" i="12"/>
  <c r="M112" i="12"/>
  <c r="X111" i="12"/>
  <c r="I111" i="12"/>
  <c r="U110" i="12"/>
  <c r="F110" i="12"/>
  <c r="M109" i="12"/>
  <c r="W108" i="12"/>
  <c r="F108" i="12"/>
  <c r="M107" i="12"/>
  <c r="C40" i="13"/>
  <c r="E473" i="12"/>
  <c r="O455" i="12"/>
  <c r="E434" i="12"/>
  <c r="V418" i="12"/>
  <c r="M400" i="12"/>
  <c r="O388" i="12"/>
  <c r="D380" i="12"/>
  <c r="L363" i="12"/>
  <c r="V358" i="12"/>
  <c r="N354" i="12"/>
  <c r="X350" i="12"/>
  <c r="C347" i="12"/>
  <c r="S342" i="12"/>
  <c r="X338" i="12"/>
  <c r="L335" i="12"/>
  <c r="W331" i="12"/>
  <c r="L328" i="12"/>
  <c r="A325" i="12"/>
  <c r="M321" i="12"/>
  <c r="X317" i="12"/>
  <c r="G314" i="12"/>
  <c r="M310" i="12"/>
  <c r="E307" i="12"/>
  <c r="L303" i="12"/>
  <c r="AC299" i="12"/>
  <c r="X296" i="12"/>
  <c r="T293" i="12"/>
  <c r="D290" i="12"/>
  <c r="M286" i="12"/>
  <c r="H283" i="12"/>
  <c r="V280" i="12"/>
  <c r="M278" i="12"/>
  <c r="M276" i="12"/>
  <c r="AB273" i="12"/>
  <c r="X271" i="12"/>
  <c r="N269" i="12"/>
  <c r="M267" i="12"/>
  <c r="U265" i="12"/>
  <c r="D262" i="12"/>
  <c r="J260" i="12"/>
  <c r="S258" i="12"/>
  <c r="AC256" i="12"/>
  <c r="G255" i="12"/>
  <c r="U253" i="12"/>
  <c r="C252" i="12"/>
  <c r="H250" i="12"/>
  <c r="M248" i="12"/>
  <c r="V246" i="12"/>
  <c r="AB244" i="12"/>
  <c r="G243" i="12"/>
  <c r="M241" i="12"/>
  <c r="AC239" i="12"/>
  <c r="V238" i="12"/>
  <c r="S237" i="12"/>
  <c r="Q236" i="12"/>
  <c r="O235" i="12"/>
  <c r="T234" i="12"/>
  <c r="U233" i="12"/>
  <c r="W232" i="12"/>
  <c r="AB231" i="12"/>
  <c r="C231" i="12"/>
  <c r="H230" i="12"/>
  <c r="I229" i="12"/>
  <c r="Q228" i="12"/>
  <c r="C228" i="12"/>
  <c r="L227" i="12"/>
  <c r="V226" i="12"/>
  <c r="F226" i="12"/>
  <c r="S225" i="12"/>
  <c r="D225" i="12"/>
  <c r="O224" i="12"/>
  <c r="A224" i="12"/>
  <c r="N223" i="12"/>
  <c r="AB222" i="12"/>
  <c r="L222" i="12"/>
  <c r="X221" i="12"/>
  <c r="I221" i="12"/>
  <c r="U220" i="12"/>
  <c r="E220" i="12"/>
  <c r="N219" i="12"/>
  <c r="X218" i="12"/>
  <c r="I218" i="12"/>
  <c r="T217" i="12"/>
  <c r="E217" i="12"/>
  <c r="N216" i="12"/>
  <c r="X215" i="12"/>
  <c r="I215" i="12"/>
  <c r="T214" i="12"/>
  <c r="D214" i="12"/>
  <c r="L213" i="12"/>
  <c r="V212" i="12"/>
  <c r="F212" i="12"/>
  <c r="N211" i="12"/>
  <c r="X210" i="12"/>
  <c r="H210" i="12"/>
  <c r="T209" i="12"/>
  <c r="E209" i="12"/>
  <c r="M208" i="12"/>
  <c r="W207" i="12"/>
  <c r="H207" i="12"/>
  <c r="S206" i="12"/>
  <c r="C206" i="12"/>
  <c r="J205" i="12"/>
  <c r="U204" i="12"/>
  <c r="E204" i="12"/>
  <c r="C31" i="13"/>
  <c r="E468" i="12"/>
  <c r="X444" i="12"/>
  <c r="D418" i="12"/>
  <c r="D400" i="12"/>
  <c r="V374" i="12"/>
  <c r="D368" i="12"/>
  <c r="H363" i="12"/>
  <c r="O358" i="12"/>
  <c r="J354" i="12"/>
  <c r="U350" i="12"/>
  <c r="W346" i="12"/>
  <c r="N342" i="12"/>
  <c r="V338" i="12"/>
  <c r="I335" i="12"/>
  <c r="U331" i="12"/>
  <c r="I328" i="12"/>
  <c r="X324" i="12"/>
  <c r="J321" i="12"/>
  <c r="V317" i="12"/>
  <c r="D314" i="12"/>
  <c r="J310" i="12"/>
  <c r="C307" i="12"/>
  <c r="I303" i="12"/>
  <c r="X299" i="12"/>
  <c r="V296" i="12"/>
  <c r="F293" i="12"/>
  <c r="O289" i="12"/>
  <c r="J286" i="12"/>
  <c r="J280" i="12"/>
  <c r="J278" i="12"/>
  <c r="H276" i="12"/>
  <c r="W273" i="12"/>
  <c r="N271" i="12"/>
  <c r="E269" i="12"/>
  <c r="G267" i="12"/>
  <c r="N265" i="12"/>
  <c r="T263" i="12"/>
  <c r="G260" i="12"/>
  <c r="O258" i="12"/>
  <c r="W256" i="12"/>
  <c r="E255" i="12"/>
  <c r="M253" i="12"/>
  <c r="F250" i="12"/>
  <c r="J248" i="12"/>
  <c r="T246" i="12"/>
  <c r="W244" i="12"/>
  <c r="E243" i="12"/>
  <c r="J241" i="12"/>
  <c r="W239" i="12"/>
  <c r="T238" i="12"/>
  <c r="O237" i="12"/>
  <c r="M236" i="12"/>
  <c r="N235" i="12"/>
  <c r="S234" i="12"/>
  <c r="T233" i="12"/>
  <c r="V232" i="12"/>
  <c r="W231" i="12"/>
  <c r="A231" i="12"/>
  <c r="F230" i="12"/>
  <c r="H229" i="12"/>
  <c r="O228" i="12"/>
  <c r="AB227" i="12"/>
  <c r="J227" i="12"/>
  <c r="U226" i="12"/>
  <c r="E226" i="12"/>
  <c r="Q225" i="12"/>
  <c r="C225" i="12"/>
  <c r="N224" i="12"/>
  <c r="AC223" i="12"/>
  <c r="M223" i="12"/>
  <c r="AA222" i="12"/>
  <c r="J222" i="12"/>
  <c r="W221" i="12"/>
  <c r="H221" i="12"/>
  <c r="T220" i="12"/>
  <c r="D220" i="12"/>
  <c r="M219" i="12"/>
  <c r="W218" i="12"/>
  <c r="H218" i="12"/>
  <c r="S217" i="12"/>
  <c r="D217" i="12"/>
  <c r="M216" i="12"/>
  <c r="W215" i="12"/>
  <c r="H215" i="12"/>
  <c r="S214" i="12"/>
  <c r="C214" i="12"/>
  <c r="J213" i="12"/>
  <c r="U212" i="12"/>
  <c r="E212" i="12"/>
  <c r="M211" i="12"/>
  <c r="W210" i="12"/>
  <c r="G210" i="12"/>
  <c r="S209" i="12"/>
  <c r="D209" i="12"/>
  <c r="L208" i="12"/>
  <c r="V207" i="12"/>
  <c r="G207" i="12"/>
  <c r="O206" i="12"/>
  <c r="I205" i="12"/>
  <c r="T204" i="12"/>
  <c r="D204" i="12"/>
  <c r="M203" i="12"/>
  <c r="W202" i="12"/>
  <c r="G202" i="12"/>
  <c r="O201" i="12"/>
  <c r="I200" i="12"/>
  <c r="T199" i="12"/>
  <c r="E199" i="12"/>
  <c r="M198" i="12"/>
  <c r="W197" i="12"/>
  <c r="G197" i="12"/>
  <c r="Q196" i="12"/>
  <c r="C196" i="12"/>
  <c r="L195" i="12"/>
  <c r="V194" i="12"/>
  <c r="G194" i="12"/>
  <c r="O193" i="12"/>
  <c r="I192" i="12"/>
  <c r="T191" i="12"/>
  <c r="D191" i="12"/>
  <c r="L190" i="12"/>
  <c r="V189" i="12"/>
  <c r="G189" i="12"/>
  <c r="Q188" i="12"/>
  <c r="C188" i="12"/>
  <c r="L187" i="12"/>
  <c r="W186" i="12"/>
  <c r="H186" i="12"/>
  <c r="T185" i="12"/>
  <c r="E185" i="12"/>
  <c r="O184" i="12"/>
  <c r="AC183" i="12"/>
  <c r="L183" i="12"/>
  <c r="V182" i="12"/>
  <c r="F182" i="12"/>
  <c r="N181" i="12"/>
  <c r="AB180" i="12"/>
  <c r="J180" i="12"/>
  <c r="V179" i="12"/>
  <c r="G179" i="12"/>
  <c r="S178" i="12"/>
  <c r="D178" i="12"/>
  <c r="N177" i="12"/>
  <c r="AB176" i="12"/>
  <c r="J176" i="12"/>
  <c r="V175" i="12"/>
  <c r="G175" i="12"/>
  <c r="O174" i="12"/>
  <c r="AC173" i="12"/>
  <c r="L173" i="12"/>
  <c r="W172" i="12"/>
  <c r="H172" i="12"/>
  <c r="S171" i="12"/>
  <c r="C171" i="12"/>
  <c r="M170" i="12"/>
  <c r="W169" i="12"/>
  <c r="G169" i="12"/>
  <c r="S168" i="12"/>
  <c r="D168" i="12"/>
  <c r="N167" i="12"/>
  <c r="X166" i="12"/>
  <c r="H166" i="12"/>
  <c r="S165" i="12"/>
  <c r="C165" i="12"/>
  <c r="J164" i="12"/>
  <c r="U163" i="12"/>
  <c r="E163" i="12"/>
  <c r="M162" i="12"/>
  <c r="W161" i="12"/>
  <c r="G161" i="12"/>
  <c r="O160" i="12"/>
  <c r="I159" i="12"/>
  <c r="T158" i="12"/>
  <c r="D158" i="12"/>
  <c r="L157" i="12"/>
  <c r="V156" i="12"/>
  <c r="F156" i="12"/>
  <c r="N155" i="12"/>
  <c r="X154" i="12"/>
  <c r="H154" i="12"/>
  <c r="S153" i="12"/>
  <c r="C153" i="12"/>
  <c r="J152" i="12"/>
  <c r="U151" i="12"/>
  <c r="E151" i="12"/>
  <c r="M150" i="12"/>
  <c r="W149" i="12"/>
  <c r="G149" i="12"/>
  <c r="O148" i="12"/>
  <c r="J147" i="12"/>
  <c r="U146" i="12"/>
  <c r="F146" i="12"/>
  <c r="N145" i="12"/>
  <c r="X144" i="12"/>
  <c r="H144" i="12"/>
  <c r="S143" i="12"/>
  <c r="C143" i="12"/>
  <c r="J142" i="12"/>
  <c r="U141" i="12"/>
  <c r="E141" i="12"/>
  <c r="M140" i="12"/>
  <c r="W139" i="12"/>
  <c r="G139" i="12"/>
  <c r="O138" i="12"/>
  <c r="I137" i="12"/>
  <c r="T136" i="12"/>
  <c r="E136" i="12"/>
  <c r="N135" i="12"/>
  <c r="X134" i="12"/>
  <c r="I134" i="12"/>
  <c r="T133" i="12"/>
  <c r="E133" i="12"/>
  <c r="N132" i="12"/>
  <c r="X131" i="12"/>
  <c r="I131" i="12"/>
  <c r="T130" i="12"/>
  <c r="E130" i="12"/>
  <c r="N129" i="12"/>
  <c r="X128" i="12"/>
  <c r="I128" i="12"/>
  <c r="T127" i="12"/>
  <c r="E127" i="12"/>
  <c r="N126" i="12"/>
  <c r="X125" i="12"/>
  <c r="I125" i="12"/>
  <c r="T124" i="12"/>
  <c r="E124" i="12"/>
  <c r="N123" i="12"/>
  <c r="X122" i="12"/>
  <c r="I122" i="12"/>
  <c r="T121" i="12"/>
  <c r="E121" i="12"/>
  <c r="O120" i="12"/>
  <c r="A120" i="12"/>
  <c r="L119" i="12"/>
  <c r="W118" i="12"/>
  <c r="H118" i="12"/>
  <c r="T117" i="12"/>
  <c r="E117" i="12"/>
  <c r="N116" i="12"/>
  <c r="X115" i="12"/>
  <c r="I115" i="12"/>
  <c r="T114" i="12"/>
  <c r="E114" i="12"/>
  <c r="N113" i="12"/>
  <c r="AB112" i="12"/>
  <c r="J112" i="12"/>
  <c r="V111" i="12"/>
  <c r="G111" i="12"/>
  <c r="J29" i="13"/>
  <c r="E467" i="12"/>
  <c r="N433" i="12"/>
  <c r="X414" i="12"/>
  <c r="E398" i="12"/>
  <c r="T386" i="12"/>
  <c r="W379" i="12"/>
  <c r="E350" i="12"/>
  <c r="H346" i="12"/>
  <c r="X341" i="12"/>
  <c r="I338" i="12"/>
  <c r="W334" i="12"/>
  <c r="H331" i="12"/>
  <c r="W327" i="12"/>
  <c r="L324" i="12"/>
  <c r="W320" i="12"/>
  <c r="H317" i="12"/>
  <c r="N313" i="12"/>
  <c r="M306" i="12"/>
  <c r="L299" i="12"/>
  <c r="H296" i="12"/>
  <c r="D293" i="12"/>
  <c r="M289" i="12"/>
  <c r="W285" i="12"/>
  <c r="V282" i="12"/>
  <c r="H280" i="12"/>
  <c r="H278" i="12"/>
  <c r="U273" i="12"/>
  <c r="L271" i="12"/>
  <c r="C269" i="12"/>
  <c r="E267" i="12"/>
  <c r="L265" i="12"/>
  <c r="O263" i="12"/>
  <c r="V261" i="12"/>
  <c r="A260" i="12"/>
  <c r="L258" i="12"/>
  <c r="U256" i="12"/>
  <c r="C255" i="12"/>
  <c r="J253" i="12"/>
  <c r="W251" i="12"/>
  <c r="C250" i="12"/>
  <c r="G248" i="12"/>
  <c r="O246" i="12"/>
  <c r="U244" i="12"/>
  <c r="C243" i="12"/>
  <c r="H241" i="12"/>
  <c r="T239" i="12"/>
  <c r="O238" i="12"/>
  <c r="L237" i="12"/>
  <c r="J236" i="12"/>
  <c r="M235" i="12"/>
  <c r="O234" i="12"/>
  <c r="S233" i="12"/>
  <c r="U232" i="12"/>
  <c r="V231" i="12"/>
  <c r="AC230" i="12"/>
  <c r="E230" i="12"/>
  <c r="G229" i="12"/>
  <c r="N228" i="12"/>
  <c r="X227" i="12"/>
  <c r="I227" i="12"/>
  <c r="T226" i="12"/>
  <c r="D226" i="12"/>
  <c r="O225" i="12"/>
  <c r="AC224" i="12"/>
  <c r="M224" i="12"/>
  <c r="AB223" i="12"/>
  <c r="L223" i="12"/>
  <c r="X222" i="12"/>
  <c r="I222" i="12"/>
  <c r="V221" i="12"/>
  <c r="G221" i="12"/>
  <c r="S220" i="12"/>
  <c r="C220" i="12"/>
  <c r="L219" i="12"/>
  <c r="V218" i="12"/>
  <c r="G218" i="12"/>
  <c r="Q217" i="12"/>
  <c r="C217" i="12"/>
  <c r="L216" i="12"/>
  <c r="V215" i="12"/>
  <c r="G215" i="12"/>
  <c r="O214" i="12"/>
  <c r="I213" i="12"/>
  <c r="T212" i="12"/>
  <c r="D212" i="12"/>
  <c r="L211" i="12"/>
  <c r="V210" i="12"/>
  <c r="F210" i="12"/>
  <c r="Q209" i="12"/>
  <c r="C209" i="12"/>
  <c r="J208" i="12"/>
  <c r="U207" i="12"/>
  <c r="F207" i="12"/>
  <c r="N206" i="12"/>
  <c r="X205" i="12"/>
  <c r="H205" i="12"/>
  <c r="S204" i="12"/>
  <c r="C204" i="12"/>
  <c r="L203" i="12"/>
  <c r="V202" i="12"/>
  <c r="F202" i="12"/>
  <c r="N201" i="12"/>
  <c r="X200" i="12"/>
  <c r="H200" i="12"/>
  <c r="S199" i="12"/>
  <c r="D199" i="12"/>
  <c r="L198" i="12"/>
  <c r="V197" i="12"/>
  <c r="F197" i="12"/>
  <c r="O196" i="12"/>
  <c r="AB195" i="12"/>
  <c r="J195" i="12"/>
  <c r="U194" i="12"/>
  <c r="F194" i="12"/>
  <c r="N193" i="12"/>
  <c r="X192" i="12"/>
  <c r="H192" i="12"/>
  <c r="S191" i="12"/>
  <c r="C191" i="12"/>
  <c r="J190" i="12"/>
  <c r="U189" i="12"/>
  <c r="F189" i="12"/>
  <c r="O188" i="12"/>
  <c r="AB187" i="12"/>
  <c r="J187" i="12"/>
  <c r="V186" i="12"/>
  <c r="G186" i="12"/>
  <c r="S185" i="12"/>
  <c r="D185" i="12"/>
  <c r="N184" i="12"/>
  <c r="AB183" i="12"/>
  <c r="J183" i="12"/>
  <c r="U182" i="12"/>
  <c r="E182" i="12"/>
  <c r="M181" i="12"/>
  <c r="X180" i="12"/>
  <c r="I180" i="12"/>
  <c r="U179" i="12"/>
  <c r="F179" i="12"/>
  <c r="Q178" i="12"/>
  <c r="C178" i="12"/>
  <c r="M177" i="12"/>
  <c r="X176" i="12"/>
  <c r="I176" i="12"/>
  <c r="U175" i="12"/>
  <c r="F175" i="12"/>
  <c r="N174" i="12"/>
  <c r="AB173" i="12"/>
  <c r="J173" i="12"/>
  <c r="V172" i="12"/>
  <c r="G172" i="12"/>
  <c r="O171" i="12"/>
  <c r="AC170" i="12"/>
  <c r="L170" i="12"/>
  <c r="V169" i="12"/>
  <c r="F169" i="12"/>
  <c r="Q168" i="12"/>
  <c r="C168" i="12"/>
  <c r="M167" i="12"/>
  <c r="W166" i="12"/>
  <c r="G166" i="12"/>
  <c r="O165" i="12"/>
  <c r="I164" i="12"/>
  <c r="T163" i="12"/>
  <c r="D163" i="12"/>
  <c r="L162" i="12"/>
  <c r="V161" i="12"/>
  <c r="F161" i="12"/>
  <c r="N160" i="12"/>
  <c r="X159" i="12"/>
  <c r="H159" i="12"/>
  <c r="S158" i="12"/>
  <c r="C158" i="12"/>
  <c r="J157" i="12"/>
  <c r="U156" i="12"/>
  <c r="E156" i="12"/>
  <c r="M155" i="12"/>
  <c r="W154" i="12"/>
  <c r="G154" i="12"/>
  <c r="O153" i="12"/>
  <c r="I152" i="12"/>
  <c r="T151" i="12"/>
  <c r="D151" i="12"/>
  <c r="L150" i="12"/>
  <c r="V149" i="12"/>
  <c r="F149" i="12"/>
  <c r="N148" i="12"/>
  <c r="X147" i="12"/>
  <c r="I147" i="12"/>
  <c r="T146" i="12"/>
  <c r="E146" i="12"/>
  <c r="M145" i="12"/>
  <c r="W144" i="12"/>
  <c r="G144" i="12"/>
  <c r="O143" i="12"/>
  <c r="D183" i="13"/>
  <c r="J23" i="13"/>
  <c r="X452" i="12"/>
  <c r="W441" i="12"/>
  <c r="H414" i="12"/>
  <c r="V397" i="12"/>
  <c r="E386" i="12"/>
  <c r="M373" i="12"/>
  <c r="W367" i="12"/>
  <c r="J362" i="12"/>
  <c r="T357" i="12"/>
  <c r="O353" i="12"/>
  <c r="F346" i="12"/>
  <c r="U341" i="12"/>
  <c r="G338" i="12"/>
  <c r="U334" i="12"/>
  <c r="F331" i="12"/>
  <c r="U327" i="12"/>
  <c r="I324" i="12"/>
  <c r="U320" i="12"/>
  <c r="F317" i="12"/>
  <c r="L313" i="12"/>
  <c r="W309" i="12"/>
  <c r="J306" i="12"/>
  <c r="V302" i="12"/>
  <c r="I299" i="12"/>
  <c r="F296" i="12"/>
  <c r="N292" i="12"/>
  <c r="AB288" i="12"/>
  <c r="U285" i="12"/>
  <c r="T282" i="12"/>
  <c r="F280" i="12"/>
  <c r="W275" i="12"/>
  <c r="I273" i="12"/>
  <c r="I271" i="12"/>
  <c r="X268" i="12"/>
  <c r="C267" i="12"/>
  <c r="I265" i="12"/>
  <c r="M263" i="12"/>
  <c r="T261" i="12"/>
  <c r="F258" i="12"/>
  <c r="Q256" i="12"/>
  <c r="X254" i="12"/>
  <c r="H253" i="12"/>
  <c r="O251" i="12"/>
  <c r="U249" i="12"/>
  <c r="AB247" i="12"/>
  <c r="L246" i="12"/>
  <c r="Q244" i="12"/>
  <c r="X242" i="12"/>
  <c r="E241" i="12"/>
  <c r="Q239" i="12"/>
  <c r="M238" i="12"/>
  <c r="I237" i="12"/>
  <c r="I236" i="12"/>
  <c r="I235" i="12"/>
  <c r="M234" i="12"/>
  <c r="M233" i="12"/>
  <c r="T232" i="12"/>
  <c r="U231" i="12"/>
  <c r="AB230" i="12"/>
  <c r="D230" i="12"/>
  <c r="F229" i="12"/>
  <c r="M228" i="12"/>
  <c r="W227" i="12"/>
  <c r="H227" i="12"/>
  <c r="S226" i="12"/>
  <c r="C226" i="12"/>
  <c r="N225" i="12"/>
  <c r="AB224" i="12"/>
  <c r="L224" i="12"/>
  <c r="AA223" i="12"/>
  <c r="J223" i="12"/>
  <c r="W222" i="12"/>
  <c r="H222" i="12"/>
  <c r="U221" i="12"/>
  <c r="F221" i="12"/>
  <c r="O220" i="12"/>
  <c r="AB219" i="12"/>
  <c r="J219" i="12"/>
  <c r="U218" i="12"/>
  <c r="F218" i="12"/>
  <c r="O217" i="12"/>
  <c r="AB216" i="12"/>
  <c r="J216" i="12"/>
  <c r="U215" i="12"/>
  <c r="F215" i="12"/>
  <c r="N214" i="12"/>
  <c r="X213" i="12"/>
  <c r="H213" i="12"/>
  <c r="S212" i="12"/>
  <c r="C212" i="12"/>
  <c r="J211" i="12"/>
  <c r="U210" i="12"/>
  <c r="E210" i="12"/>
  <c r="O209" i="12"/>
  <c r="I208" i="12"/>
  <c r="T207" i="12"/>
  <c r="E207" i="12"/>
  <c r="M206" i="12"/>
  <c r="W205" i="12"/>
  <c r="G205" i="12"/>
  <c r="O204" i="12"/>
  <c r="AB203" i="12"/>
  <c r="J203" i="12"/>
  <c r="U202" i="12"/>
  <c r="E202" i="12"/>
  <c r="M201" i="12"/>
  <c r="W200" i="12"/>
  <c r="G200" i="12"/>
  <c r="Q199" i="12"/>
  <c r="C199" i="12"/>
  <c r="J198" i="12"/>
  <c r="U197" i="12"/>
  <c r="E197" i="12"/>
  <c r="N196" i="12"/>
  <c r="X195" i="12"/>
  <c r="I195" i="12"/>
  <c r="T194" i="12"/>
  <c r="E194" i="12"/>
  <c r="M193" i="12"/>
  <c r="W192" i="12"/>
  <c r="G192" i="12"/>
  <c r="O191" i="12"/>
  <c r="I190" i="12"/>
  <c r="T189" i="12"/>
  <c r="E189" i="12"/>
  <c r="N188" i="12"/>
  <c r="X187" i="12"/>
  <c r="I187" i="12"/>
  <c r="U186" i="12"/>
  <c r="F186" i="12"/>
  <c r="Q185" i="12"/>
  <c r="C185" i="12"/>
  <c r="M184" i="12"/>
  <c r="X183" i="12"/>
  <c r="I183" i="12"/>
  <c r="T182" i="12"/>
  <c r="D182" i="12"/>
  <c r="L181" i="12"/>
  <c r="W180" i="12"/>
  <c r="H180" i="12"/>
  <c r="T179" i="12"/>
  <c r="E179" i="12"/>
  <c r="O178" i="12"/>
  <c r="AC177" i="12"/>
  <c r="L177" i="12"/>
  <c r="W176" i="12"/>
  <c r="H176" i="12"/>
  <c r="T175" i="12"/>
  <c r="E175" i="12"/>
  <c r="M174" i="12"/>
  <c r="X173" i="12"/>
  <c r="I173" i="12"/>
  <c r="U172" i="12"/>
  <c r="F172" i="12"/>
  <c r="N171" i="12"/>
  <c r="AB170" i="12"/>
  <c r="J170" i="12"/>
  <c r="U169" i="12"/>
  <c r="E169" i="12"/>
  <c r="O168" i="12"/>
  <c r="AC167" i="12"/>
  <c r="L167" i="12"/>
  <c r="V166" i="12"/>
  <c r="F166" i="12"/>
  <c r="N165" i="12"/>
  <c r="X164" i="12"/>
  <c r="H164" i="12"/>
  <c r="S163" i="12"/>
  <c r="C163" i="12"/>
  <c r="J162" i="12"/>
  <c r="U161" i="12"/>
  <c r="E161" i="12"/>
  <c r="M160" i="12"/>
  <c r="W159" i="12"/>
  <c r="G159" i="12"/>
  <c r="O158" i="12"/>
  <c r="I157" i="12"/>
  <c r="T156" i="12"/>
  <c r="D156" i="12"/>
  <c r="L155" i="12"/>
  <c r="V154" i="12"/>
  <c r="F154" i="12"/>
  <c r="N153" i="12"/>
  <c r="X152" i="12"/>
  <c r="H152" i="12"/>
  <c r="S151" i="12"/>
  <c r="C151" i="12"/>
  <c r="J150" i="12"/>
  <c r="U149" i="12"/>
  <c r="E149" i="12"/>
  <c r="M148" i="12"/>
  <c r="W147" i="12"/>
  <c r="H147" i="12"/>
  <c r="S146" i="12"/>
  <c r="D146" i="12"/>
  <c r="L145" i="12"/>
  <c r="V144" i="12"/>
  <c r="F144" i="12"/>
  <c r="N143" i="12"/>
  <c r="X142" i="12"/>
  <c r="H142" i="12"/>
  <c r="S141" i="12"/>
  <c r="C141" i="12"/>
  <c r="J140" i="12"/>
  <c r="U139" i="12"/>
  <c r="E139" i="12"/>
  <c r="M138" i="12"/>
  <c r="W137" i="12"/>
  <c r="G137" i="12"/>
  <c r="Q136" i="12"/>
  <c r="C136" i="12"/>
  <c r="L135" i="12"/>
  <c r="V134" i="12"/>
  <c r="G134" i="12"/>
  <c r="Q133" i="12"/>
  <c r="C133" i="12"/>
  <c r="L132" i="12"/>
  <c r="V131" i="12"/>
  <c r="G131" i="12"/>
  <c r="Q130" i="12"/>
  <c r="C130" i="12"/>
  <c r="L129" i="12"/>
  <c r="V128" i="12"/>
  <c r="G128" i="12"/>
  <c r="Q127" i="12"/>
  <c r="C127" i="12"/>
  <c r="L126" i="12"/>
  <c r="V125" i="12"/>
  <c r="G125" i="12"/>
  <c r="Q124" i="12"/>
  <c r="C124" i="12"/>
  <c r="L123" i="12"/>
  <c r="V122" i="12"/>
  <c r="G122" i="12"/>
  <c r="Q121" i="12"/>
  <c r="C121" i="12"/>
  <c r="M120" i="12"/>
  <c r="X119" i="12"/>
  <c r="I119" i="12"/>
  <c r="U118" i="12"/>
  <c r="F118" i="12"/>
  <c r="Q117" i="12"/>
  <c r="C117" i="12"/>
  <c r="L116" i="12"/>
  <c r="V115" i="12"/>
  <c r="G115" i="12"/>
  <c r="Q114" i="12"/>
  <c r="C114" i="12"/>
  <c r="L113" i="12"/>
  <c r="W112" i="12"/>
  <c r="H112" i="12"/>
  <c r="T111" i="12"/>
  <c r="E111" i="12"/>
  <c r="C170" i="13"/>
  <c r="G22" i="13"/>
  <c r="D464" i="12"/>
  <c r="E452" i="12"/>
  <c r="C441" i="12"/>
  <c r="V395" i="12"/>
  <c r="N378" i="12"/>
  <c r="E373" i="12"/>
  <c r="E362" i="12"/>
  <c r="N357" i="12"/>
  <c r="L353" i="12"/>
  <c r="G349" i="12"/>
  <c r="Q345" i="12"/>
  <c r="H341" i="12"/>
  <c r="U337" i="12"/>
  <c r="H334" i="12"/>
  <c r="T330" i="12"/>
  <c r="H327" i="12"/>
  <c r="V323" i="12"/>
  <c r="G320" i="12"/>
  <c r="T316" i="12"/>
  <c r="V312" i="12"/>
  <c r="U309" i="12"/>
  <c r="W305" i="12"/>
  <c r="T302" i="12"/>
  <c r="S295" i="12"/>
  <c r="L292" i="12"/>
  <c r="W288" i="12"/>
  <c r="G285" i="12"/>
  <c r="F282" i="12"/>
  <c r="W277" i="12"/>
  <c r="U275" i="12"/>
  <c r="G273" i="12"/>
  <c r="X270" i="12"/>
  <c r="U268" i="12"/>
  <c r="W266" i="12"/>
  <c r="F265" i="12"/>
  <c r="I263" i="12"/>
  <c r="O261" i="12"/>
  <c r="X259" i="12"/>
  <c r="D258" i="12"/>
  <c r="J256" i="12"/>
  <c r="S254" i="12"/>
  <c r="E253" i="12"/>
  <c r="M251" i="12"/>
  <c r="S249" i="12"/>
  <c r="W247" i="12"/>
  <c r="F246" i="12"/>
  <c r="J244" i="12"/>
  <c r="S242" i="12"/>
  <c r="X240" i="12"/>
  <c r="O239" i="12"/>
  <c r="L238" i="12"/>
  <c r="H237" i="12"/>
  <c r="G236" i="12"/>
  <c r="H235" i="12"/>
  <c r="J234" i="12"/>
  <c r="L233" i="12"/>
  <c r="O232" i="12"/>
  <c r="Q231" i="12"/>
  <c r="W230" i="12"/>
  <c r="D229" i="12"/>
  <c r="L228" i="12"/>
  <c r="V227" i="12"/>
  <c r="G227" i="12"/>
  <c r="O226" i="12"/>
  <c r="AC225" i="12"/>
  <c r="M225" i="12"/>
  <c r="AA224" i="12"/>
  <c r="J224" i="12"/>
  <c r="X223" i="12"/>
  <c r="I223" i="12"/>
  <c r="V222" i="12"/>
  <c r="G222" i="12"/>
  <c r="T221" i="12"/>
  <c r="E221" i="12"/>
  <c r="N220" i="12"/>
  <c r="X219" i="12"/>
  <c r="I219" i="12"/>
  <c r="T218" i="12"/>
  <c r="E218" i="12"/>
  <c r="N217" i="12"/>
  <c r="X216" i="12"/>
  <c r="I216" i="12"/>
  <c r="T215" i="12"/>
  <c r="E215" i="12"/>
  <c r="M214" i="12"/>
  <c r="W213" i="12"/>
  <c r="G213" i="12"/>
  <c r="O212" i="12"/>
  <c r="I211" i="12"/>
  <c r="T210" i="12"/>
  <c r="D210" i="12"/>
  <c r="N209" i="12"/>
  <c r="X208" i="12"/>
  <c r="H208" i="12"/>
  <c r="S207" i="12"/>
  <c r="D207" i="12"/>
  <c r="L206" i="12"/>
  <c r="V205" i="12"/>
  <c r="F205" i="12"/>
  <c r="N204" i="12"/>
  <c r="X203" i="12"/>
  <c r="I203" i="12"/>
  <c r="T202" i="12"/>
  <c r="D202" i="12"/>
  <c r="L201" i="12"/>
  <c r="V200" i="12"/>
  <c r="F200" i="12"/>
  <c r="O199" i="12"/>
  <c r="I198" i="12"/>
  <c r="T197" i="12"/>
  <c r="D197" i="12"/>
  <c r="M196" i="12"/>
  <c r="W195" i="12"/>
  <c r="H195" i="12"/>
  <c r="S194" i="12"/>
  <c r="D194" i="12"/>
  <c r="L193" i="12"/>
  <c r="V192" i="12"/>
  <c r="F192" i="12"/>
  <c r="N191" i="12"/>
  <c r="X190" i="12"/>
  <c r="H190" i="12"/>
  <c r="S189" i="12"/>
  <c r="D189" i="12"/>
  <c r="M188" i="12"/>
  <c r="W187" i="12"/>
  <c r="H187" i="12"/>
  <c r="T186" i="12"/>
  <c r="E186" i="12"/>
  <c r="O185" i="12"/>
  <c r="AC184" i="12"/>
  <c r="L184" i="12"/>
  <c r="W183" i="12"/>
  <c r="H183" i="12"/>
  <c r="S182" i="12"/>
  <c r="C182" i="12"/>
  <c r="J181" i="12"/>
  <c r="V180" i="12"/>
  <c r="G180" i="12"/>
  <c r="S179" i="12"/>
  <c r="D179" i="12"/>
  <c r="N178" i="12"/>
  <c r="AB177" i="12"/>
  <c r="J177" i="12"/>
  <c r="V176" i="12"/>
  <c r="G176" i="12"/>
  <c r="S175" i="12"/>
  <c r="D175" i="12"/>
  <c r="L174" i="12"/>
  <c r="W173" i="12"/>
  <c r="H173" i="12"/>
  <c r="T172" i="12"/>
  <c r="E172" i="12"/>
  <c r="M171" i="12"/>
  <c r="X170" i="12"/>
  <c r="I170" i="12"/>
  <c r="T169" i="12"/>
  <c r="D169" i="12"/>
  <c r="N168" i="12"/>
  <c r="AB167" i="12"/>
  <c r="J167" i="12"/>
  <c r="U166" i="12"/>
  <c r="E166" i="12"/>
  <c r="M165" i="12"/>
  <c r="W164" i="12"/>
  <c r="G164" i="12"/>
  <c r="O163" i="12"/>
  <c r="I162" i="12"/>
  <c r="T161" i="12"/>
  <c r="D161" i="12"/>
  <c r="L160" i="12"/>
  <c r="V159" i="12"/>
  <c r="F159" i="12"/>
  <c r="N158" i="12"/>
  <c r="X157" i="12"/>
  <c r="H157" i="12"/>
  <c r="S156" i="12"/>
  <c r="C156" i="12"/>
  <c r="J155" i="12"/>
  <c r="U154" i="12"/>
  <c r="E154" i="12"/>
  <c r="M153" i="12"/>
  <c r="W152" i="12"/>
  <c r="G152" i="12"/>
  <c r="O151" i="12"/>
  <c r="I150" i="12"/>
  <c r="T149" i="12"/>
  <c r="D149" i="12"/>
  <c r="L148" i="12"/>
  <c r="V147" i="12"/>
  <c r="G147" i="12"/>
  <c r="Q146" i="12"/>
  <c r="C146" i="12"/>
  <c r="J145" i="12"/>
  <c r="U144" i="12"/>
  <c r="E144" i="12"/>
  <c r="M143" i="12"/>
  <c r="W142" i="12"/>
  <c r="G142" i="12"/>
  <c r="O141" i="12"/>
  <c r="I140" i="12"/>
  <c r="T139" i="12"/>
  <c r="D139" i="12"/>
  <c r="L138" i="12"/>
  <c r="V137" i="12"/>
  <c r="F137" i="12"/>
  <c r="O136" i="12"/>
  <c r="J135" i="12"/>
  <c r="U134" i="12"/>
  <c r="F134" i="12"/>
  <c r="O133" i="12"/>
  <c r="J132" i="12"/>
  <c r="U131" i="12"/>
  <c r="F131" i="12"/>
  <c r="O130" i="12"/>
  <c r="J129" i="12"/>
  <c r="U128" i="12"/>
  <c r="F128" i="12"/>
  <c r="O127" i="12"/>
  <c r="J126" i="12"/>
  <c r="U125" i="12"/>
  <c r="F125" i="12"/>
  <c r="O124" i="12"/>
  <c r="J123" i="12"/>
  <c r="U122" i="12"/>
  <c r="C107" i="13"/>
  <c r="G16" i="13"/>
  <c r="H430" i="12"/>
  <c r="T411" i="12"/>
  <c r="J395" i="12"/>
  <c r="F378" i="12"/>
  <c r="N366" i="12"/>
  <c r="E349" i="12"/>
  <c r="M345" i="12"/>
  <c r="F341" i="12"/>
  <c r="S337" i="12"/>
  <c r="F334" i="12"/>
  <c r="Q330" i="12"/>
  <c r="F327" i="12"/>
  <c r="T323" i="12"/>
  <c r="E320" i="12"/>
  <c r="O316" i="12"/>
  <c r="T312" i="12"/>
  <c r="E309" i="12"/>
  <c r="U305" i="12"/>
  <c r="D302" i="12"/>
  <c r="V298" i="12"/>
  <c r="N295" i="12"/>
  <c r="AB291" i="12"/>
  <c r="I288" i="12"/>
  <c r="E285" i="12"/>
  <c r="D282" i="12"/>
  <c r="U279" i="12"/>
  <c r="U277" i="12"/>
  <c r="S275" i="12"/>
  <c r="E273" i="12"/>
  <c r="V270" i="12"/>
  <c r="M268" i="12"/>
  <c r="Q266" i="12"/>
  <c r="X264" i="12"/>
  <c r="D263" i="12"/>
  <c r="L261" i="12"/>
  <c r="V259" i="12"/>
  <c r="A258" i="12"/>
  <c r="H256" i="12"/>
  <c r="O254" i="12"/>
  <c r="J251" i="12"/>
  <c r="O249" i="12"/>
  <c r="U247" i="12"/>
  <c r="D246" i="12"/>
  <c r="H244" i="12"/>
  <c r="O242" i="12"/>
  <c r="V240" i="12"/>
  <c r="N239" i="12"/>
  <c r="J238" i="12"/>
  <c r="G237" i="12"/>
  <c r="E236" i="12"/>
  <c r="G235" i="12"/>
  <c r="I234" i="12"/>
  <c r="J233" i="12"/>
  <c r="M232" i="12"/>
  <c r="O231" i="12"/>
  <c r="U230" i="12"/>
  <c r="X229" i="12"/>
  <c r="AC228" i="12"/>
  <c r="J228" i="12"/>
  <c r="U227" i="12"/>
  <c r="F227" i="12"/>
  <c r="N226" i="12"/>
  <c r="AB225" i="12"/>
  <c r="L225" i="12"/>
  <c r="X224" i="12"/>
  <c r="I224" i="12"/>
  <c r="W223" i="12"/>
  <c r="H223" i="12"/>
  <c r="U222" i="12"/>
  <c r="F222" i="12"/>
  <c r="S221" i="12"/>
  <c r="D221" i="12"/>
  <c r="M220" i="12"/>
  <c r="W219" i="12"/>
  <c r="H219" i="12"/>
  <c r="S218" i="12"/>
  <c r="D218" i="12"/>
  <c r="M217" i="12"/>
  <c r="W216" i="12"/>
  <c r="H216" i="12"/>
  <c r="S215" i="12"/>
  <c r="D215" i="12"/>
  <c r="L214" i="12"/>
  <c r="V213" i="12"/>
  <c r="F213" i="12"/>
  <c r="N212" i="12"/>
  <c r="X211" i="12"/>
  <c r="H211" i="12"/>
  <c r="S210" i="12"/>
  <c r="C210" i="12"/>
  <c r="M209" i="12"/>
  <c r="W208" i="12"/>
  <c r="G208" i="12"/>
  <c r="Q207" i="12"/>
  <c r="C207" i="12"/>
  <c r="J206" i="12"/>
  <c r="U205" i="12"/>
  <c r="E205" i="12"/>
  <c r="M204" i="12"/>
  <c r="W203" i="12"/>
  <c r="H203" i="12"/>
  <c r="S202" i="12"/>
  <c r="C202" i="12"/>
  <c r="J201" i="12"/>
  <c r="U200" i="12"/>
  <c r="E200" i="12"/>
  <c r="N199" i="12"/>
  <c r="X198" i="12"/>
  <c r="H198" i="12"/>
  <c r="S197" i="12"/>
  <c r="C197" i="12"/>
  <c r="L196" i="12"/>
  <c r="V195" i="12"/>
  <c r="G195" i="12"/>
  <c r="Q194" i="12"/>
  <c r="C194" i="12"/>
  <c r="J193" i="12"/>
  <c r="U192" i="12"/>
  <c r="E192" i="12"/>
  <c r="M191" i="12"/>
  <c r="W190" i="12"/>
  <c r="G190" i="12"/>
  <c r="Q189" i="12"/>
  <c r="C189" i="12"/>
  <c r="L188" i="12"/>
  <c r="V187" i="12"/>
  <c r="G187" i="12"/>
  <c r="S186" i="12"/>
  <c r="D186" i="12"/>
  <c r="N185" i="12"/>
  <c r="AB184" i="12"/>
  <c r="J184" i="12"/>
  <c r="V183" i="12"/>
  <c r="G183" i="12"/>
  <c r="O182" i="12"/>
  <c r="I181" i="12"/>
  <c r="U180" i="12"/>
  <c r="F180" i="12"/>
  <c r="Q179" i="12"/>
  <c r="C179" i="12"/>
  <c r="M178" i="12"/>
  <c r="X177" i="12"/>
  <c r="I177" i="12"/>
  <c r="U176" i="12"/>
  <c r="F176" i="12"/>
  <c r="Q175" i="12"/>
  <c r="C175" i="12"/>
  <c r="J174" i="12"/>
  <c r="V173" i="12"/>
  <c r="G173" i="12"/>
  <c r="S172" i="12"/>
  <c r="D172" i="12"/>
  <c r="L171" i="12"/>
  <c r="W170" i="12"/>
  <c r="H170" i="12"/>
  <c r="S169" i="12"/>
  <c r="C169" i="12"/>
  <c r="M168" i="12"/>
  <c r="X167" i="12"/>
  <c r="I167" i="12"/>
  <c r="T166" i="12"/>
  <c r="D166" i="12"/>
  <c r="L165" i="12"/>
  <c r="V164" i="12"/>
  <c r="F164" i="12"/>
  <c r="N163" i="12"/>
  <c r="X162" i="12"/>
  <c r="H162" i="12"/>
  <c r="S161" i="12"/>
  <c r="C161" i="12"/>
  <c r="J160" i="12"/>
  <c r="U159" i="12"/>
  <c r="E159" i="12"/>
  <c r="M158" i="12"/>
  <c r="W157" i="12"/>
  <c r="G157" i="12"/>
  <c r="O156" i="12"/>
  <c r="I155" i="12"/>
  <c r="T154" i="12"/>
  <c r="D154" i="12"/>
  <c r="L153" i="12"/>
  <c r="V152" i="12"/>
  <c r="F152" i="12"/>
  <c r="N151" i="12"/>
  <c r="X150" i="12"/>
  <c r="H150" i="12"/>
  <c r="S149" i="12"/>
  <c r="C149" i="12"/>
  <c r="J148" i="12"/>
  <c r="U147" i="12"/>
  <c r="F147" i="12"/>
  <c r="O146" i="12"/>
  <c r="I145" i="12"/>
  <c r="T144" i="12"/>
  <c r="D144" i="12"/>
  <c r="L143" i="12"/>
  <c r="V142" i="12"/>
  <c r="F142" i="12"/>
  <c r="N141" i="12"/>
  <c r="X140" i="12"/>
  <c r="H140" i="12"/>
  <c r="S139" i="12"/>
  <c r="C139" i="12"/>
  <c r="J138" i="12"/>
  <c r="U137" i="12"/>
  <c r="E137" i="12"/>
  <c r="N136" i="12"/>
  <c r="X135" i="12"/>
  <c r="I135" i="12"/>
  <c r="T134" i="12"/>
  <c r="E134" i="12"/>
  <c r="N133" i="12"/>
  <c r="X132" i="12"/>
  <c r="I132" i="12"/>
  <c r="T131" i="12"/>
  <c r="E131" i="12"/>
  <c r="N130" i="12"/>
  <c r="X129" i="12"/>
  <c r="I129" i="12"/>
  <c r="T128" i="12"/>
  <c r="E128" i="12"/>
  <c r="N127" i="12"/>
  <c r="X126" i="12"/>
  <c r="I126" i="12"/>
  <c r="T125" i="12"/>
  <c r="E125" i="12"/>
  <c r="N124" i="12"/>
  <c r="X123" i="12"/>
  <c r="I123" i="12"/>
  <c r="T122" i="12"/>
  <c r="E122" i="12"/>
  <c r="N121" i="12"/>
  <c r="L99" i="13"/>
  <c r="F15" i="13"/>
  <c r="L463" i="12"/>
  <c r="Q429" i="12"/>
  <c r="D411" i="12"/>
  <c r="J393" i="12"/>
  <c r="L384" i="12"/>
  <c r="F366" i="12"/>
  <c r="E361" i="12"/>
  <c r="O356" i="12"/>
  <c r="S352" i="12"/>
  <c r="X344" i="12"/>
  <c r="T340" i="12"/>
  <c r="F337" i="12"/>
  <c r="S333" i="12"/>
  <c r="E330" i="12"/>
  <c r="T326" i="12"/>
  <c r="G323" i="12"/>
  <c r="S319" i="12"/>
  <c r="D316" i="12"/>
  <c r="F312" i="12"/>
  <c r="C309" i="12"/>
  <c r="G305" i="12"/>
  <c r="T298" i="12"/>
  <c r="C295" i="12"/>
  <c r="W291" i="12"/>
  <c r="G288" i="12"/>
  <c r="S279" i="12"/>
  <c r="S277" i="12"/>
  <c r="G275" i="12"/>
  <c r="T270" i="12"/>
  <c r="J268" i="12"/>
  <c r="N266" i="12"/>
  <c r="V264" i="12"/>
  <c r="F261" i="12"/>
  <c r="S259" i="12"/>
  <c r="F256" i="12"/>
  <c r="M254" i="12"/>
  <c r="W252" i="12"/>
  <c r="G251" i="12"/>
  <c r="L249" i="12"/>
  <c r="Q247" i="12"/>
  <c r="AB245" i="12"/>
  <c r="F244" i="12"/>
  <c r="M242" i="12"/>
  <c r="T240" i="12"/>
  <c r="J239" i="12"/>
  <c r="G238" i="12"/>
  <c r="D237" i="12"/>
  <c r="D236" i="12"/>
  <c r="F235" i="12"/>
  <c r="H234" i="12"/>
  <c r="I233" i="12"/>
  <c r="L232" i="12"/>
  <c r="N231" i="12"/>
  <c r="T230" i="12"/>
  <c r="W229" i="12"/>
  <c r="X228" i="12"/>
  <c r="I228" i="12"/>
  <c r="T227" i="12"/>
  <c r="E227" i="12"/>
  <c r="M226" i="12"/>
  <c r="AA225" i="12"/>
  <c r="J225" i="12"/>
  <c r="W224" i="12"/>
  <c r="H224" i="12"/>
  <c r="V223" i="12"/>
  <c r="G223" i="12"/>
  <c r="T222" i="12"/>
  <c r="E222" i="12"/>
  <c r="Q221" i="12"/>
  <c r="C221" i="12"/>
  <c r="L220" i="12"/>
  <c r="V219" i="12"/>
  <c r="G219" i="12"/>
  <c r="Q218" i="12"/>
  <c r="C218" i="12"/>
  <c r="L217" i="12"/>
  <c r="V216" i="12"/>
  <c r="G216" i="12"/>
  <c r="Q215" i="12"/>
  <c r="C215" i="12"/>
  <c r="J214" i="12"/>
  <c r="U213" i="12"/>
  <c r="E213" i="12"/>
  <c r="M212" i="12"/>
  <c r="W211" i="12"/>
  <c r="G211" i="12"/>
  <c r="O210" i="12"/>
  <c r="AC209" i="12"/>
  <c r="L209" i="12"/>
  <c r="V208" i="12"/>
  <c r="F208" i="12"/>
  <c r="O207" i="12"/>
  <c r="I206" i="12"/>
  <c r="T205" i="12"/>
  <c r="D205" i="12"/>
  <c r="L204" i="12"/>
  <c r="V203" i="12"/>
  <c r="G203" i="12"/>
  <c r="O202" i="12"/>
  <c r="I201" i="12"/>
  <c r="T200" i="12"/>
  <c r="D200" i="12"/>
  <c r="M199" i="12"/>
  <c r="W198" i="12"/>
  <c r="G198" i="12"/>
  <c r="O197" i="12"/>
  <c r="AB196" i="12"/>
  <c r="J196" i="12"/>
  <c r="U195" i="12"/>
  <c r="F195" i="12"/>
  <c r="O194" i="12"/>
  <c r="I193" i="12"/>
  <c r="T192" i="12"/>
  <c r="D192" i="12"/>
  <c r="L191" i="12"/>
  <c r="V190" i="12"/>
  <c r="F190" i="12"/>
  <c r="O189" i="12"/>
  <c r="AB188" i="12"/>
  <c r="J188" i="12"/>
  <c r="U187" i="12"/>
  <c r="F187" i="12"/>
  <c r="Q186" i="12"/>
  <c r="C186" i="12"/>
  <c r="M185" i="12"/>
  <c r="X184" i="12"/>
  <c r="I184" i="12"/>
  <c r="U183" i="12"/>
  <c r="F183" i="12"/>
  <c r="N182" i="12"/>
  <c r="X181" i="12"/>
  <c r="H181" i="12"/>
  <c r="T180" i="12"/>
  <c r="E180" i="12"/>
  <c r="O179" i="12"/>
  <c r="AC178" i="12"/>
  <c r="L178" i="12"/>
  <c r="W177" i="12"/>
  <c r="H177" i="12"/>
  <c r="T176" i="12"/>
  <c r="E176" i="12"/>
  <c r="O175" i="12"/>
  <c r="I174" i="12"/>
  <c r="U173" i="12"/>
  <c r="F173" i="12"/>
  <c r="Q172" i="12"/>
  <c r="C172" i="12"/>
  <c r="J171" i="12"/>
  <c r="V170" i="12"/>
  <c r="G170" i="12"/>
  <c r="O169" i="12"/>
  <c r="AC168" i="12"/>
  <c r="L168" i="12"/>
  <c r="W167" i="12"/>
  <c r="H167" i="12"/>
  <c r="S166" i="12"/>
  <c r="C166" i="12"/>
  <c r="J165" i="12"/>
  <c r="U164" i="12"/>
  <c r="E164" i="12"/>
  <c r="M163" i="12"/>
  <c r="W162" i="12"/>
  <c r="G162" i="12"/>
  <c r="O161" i="12"/>
  <c r="I160" i="12"/>
  <c r="T159" i="12"/>
  <c r="D159" i="12"/>
  <c r="L158" i="12"/>
  <c r="V157" i="12"/>
  <c r="F157" i="12"/>
  <c r="N156" i="12"/>
  <c r="X155" i="12"/>
  <c r="H155" i="12"/>
  <c r="S154" i="12"/>
  <c r="C154" i="12"/>
  <c r="J153" i="12"/>
  <c r="U152" i="12"/>
  <c r="E152" i="12"/>
  <c r="M151" i="12"/>
  <c r="W150" i="12"/>
  <c r="G150" i="12"/>
  <c r="O149" i="12"/>
  <c r="I148" i="12"/>
  <c r="T147" i="12"/>
  <c r="E147" i="12"/>
  <c r="N146" i="12"/>
  <c r="X145" i="12"/>
  <c r="H145" i="12"/>
  <c r="S144" i="12"/>
  <c r="C144" i="12"/>
  <c r="J143" i="12"/>
  <c r="U142" i="12"/>
  <c r="E142" i="12"/>
  <c r="M141" i="12"/>
  <c r="W140" i="12"/>
  <c r="G140" i="12"/>
  <c r="O139" i="12"/>
  <c r="I138" i="12"/>
  <c r="T137" i="12"/>
  <c r="D137" i="12"/>
  <c r="M136" i="12"/>
  <c r="W135" i="12"/>
  <c r="H135" i="12"/>
  <c r="S134" i="12"/>
  <c r="D134" i="12"/>
  <c r="M133" i="12"/>
  <c r="W132" i="12"/>
  <c r="H132" i="12"/>
  <c r="S131" i="12"/>
  <c r="D131" i="12"/>
  <c r="M130" i="12"/>
  <c r="W129" i="12"/>
  <c r="H129" i="12"/>
  <c r="S128" i="12"/>
  <c r="D128" i="12"/>
  <c r="M127" i="12"/>
  <c r="W126" i="12"/>
  <c r="H126" i="12"/>
  <c r="S125" i="12"/>
  <c r="D125" i="12"/>
  <c r="M124" i="12"/>
  <c r="W123" i="12"/>
  <c r="H123" i="12"/>
  <c r="S122" i="12"/>
  <c r="D122" i="12"/>
  <c r="M121" i="12"/>
  <c r="X120" i="12"/>
  <c r="I120" i="12"/>
  <c r="U119" i="12"/>
  <c r="F119" i="12"/>
  <c r="Q118" i="12"/>
  <c r="C118" i="12"/>
  <c r="M117" i="12"/>
  <c r="W116" i="12"/>
  <c r="H116" i="12"/>
  <c r="S115" i="12"/>
  <c r="D115" i="12"/>
  <c r="M114" i="12"/>
  <c r="W113" i="12"/>
  <c r="H113" i="12"/>
  <c r="T112" i="12"/>
  <c r="E112" i="12"/>
  <c r="O111" i="12"/>
  <c r="A111" i="12"/>
  <c r="L110" i="12"/>
  <c r="V109" i="12"/>
  <c r="E109" i="12"/>
  <c r="L108" i="12"/>
  <c r="V107" i="12"/>
  <c r="E107" i="12"/>
  <c r="D77" i="13"/>
  <c r="G9" i="13"/>
  <c r="E449" i="12"/>
  <c r="D438" i="12"/>
  <c r="D426" i="12"/>
  <c r="A393" i="12"/>
  <c r="F384" i="12"/>
  <c r="W371" i="12"/>
  <c r="L356" i="12"/>
  <c r="M352" i="12"/>
  <c r="N348" i="12"/>
  <c r="V344" i="12"/>
  <c r="Q340" i="12"/>
  <c r="D337" i="12"/>
  <c r="N333" i="12"/>
  <c r="C330" i="12"/>
  <c r="Q326" i="12"/>
  <c r="E323" i="12"/>
  <c r="O319" i="12"/>
  <c r="AB315" i="12"/>
  <c r="D312" i="12"/>
  <c r="E305" i="12"/>
  <c r="L301" i="12"/>
  <c r="F298" i="12"/>
  <c r="J291" i="12"/>
  <c r="O284" i="12"/>
  <c r="N281" i="12"/>
  <c r="N279" i="12"/>
  <c r="G277" i="12"/>
  <c r="E275" i="12"/>
  <c r="U272" i="12"/>
  <c r="I270" i="12"/>
  <c r="H268" i="12"/>
  <c r="L266" i="12"/>
  <c r="T264" i="12"/>
  <c r="W262" i="12"/>
  <c r="D261" i="12"/>
  <c r="J259" i="12"/>
  <c r="W257" i="12"/>
  <c r="C256" i="12"/>
  <c r="I254" i="12"/>
  <c r="U252" i="12"/>
  <c r="AB250" i="12"/>
  <c r="F249" i="12"/>
  <c r="J247" i="12"/>
  <c r="V245" i="12"/>
  <c r="C244" i="12"/>
  <c r="I242" i="12"/>
  <c r="O240" i="12"/>
  <c r="H239" i="12"/>
  <c r="E238" i="12"/>
  <c r="AB236" i="12"/>
  <c r="C236" i="12"/>
  <c r="D235" i="12"/>
  <c r="E234" i="12"/>
  <c r="G233" i="12"/>
  <c r="J232" i="12"/>
  <c r="M231" i="12"/>
  <c r="S230" i="12"/>
  <c r="V229" i="12"/>
  <c r="W228" i="12"/>
  <c r="H228" i="12"/>
  <c r="S227" i="12"/>
  <c r="D227" i="12"/>
  <c r="L226" i="12"/>
  <c r="X225" i="12"/>
  <c r="I225" i="12"/>
  <c r="V224" i="12"/>
  <c r="G224" i="12"/>
  <c r="U223" i="12"/>
  <c r="F223" i="12"/>
  <c r="S222" i="12"/>
  <c r="D222" i="12"/>
  <c r="O221" i="12"/>
  <c r="A221" i="12"/>
  <c r="J220" i="12"/>
  <c r="U219" i="12"/>
  <c r="F219" i="12"/>
  <c r="O218" i="12"/>
  <c r="AB217" i="12"/>
  <c r="J217" i="12"/>
  <c r="U216" i="12"/>
  <c r="F216" i="12"/>
  <c r="O215" i="12"/>
  <c r="I214" i="12"/>
  <c r="T213" i="12"/>
  <c r="D213" i="12"/>
  <c r="L212" i="12"/>
  <c r="V211" i="12"/>
  <c r="F211" i="12"/>
  <c r="N210" i="12"/>
  <c r="AB209" i="12"/>
  <c r="J209" i="12"/>
  <c r="U208" i="12"/>
  <c r="E208" i="12"/>
  <c r="N207" i="12"/>
  <c r="X206" i="12"/>
  <c r="H206" i="12"/>
  <c r="S205" i="12"/>
  <c r="C205" i="12"/>
  <c r="J204" i="12"/>
  <c r="U203" i="12"/>
  <c r="F203" i="12"/>
  <c r="N202" i="12"/>
  <c r="X201" i="12"/>
  <c r="H201" i="12"/>
  <c r="S200" i="12"/>
  <c r="C200" i="12"/>
  <c r="L199" i="12"/>
  <c r="V198" i="12"/>
  <c r="F198" i="12"/>
  <c r="N197" i="12"/>
  <c r="X196" i="12"/>
  <c r="I196" i="12"/>
  <c r="T195" i="12"/>
  <c r="E195" i="12"/>
  <c r="N194" i="12"/>
  <c r="X193" i="12"/>
  <c r="H193" i="12"/>
  <c r="S192" i="12"/>
  <c r="C192" i="12"/>
  <c r="J191" i="12"/>
  <c r="U190" i="12"/>
  <c r="E190" i="12"/>
  <c r="N189" i="12"/>
  <c r="X188" i="12"/>
  <c r="I188" i="12"/>
  <c r="T187" i="12"/>
  <c r="E187" i="12"/>
  <c r="O186" i="12"/>
  <c r="AC185" i="12"/>
  <c r="L185" i="12"/>
  <c r="W184" i="12"/>
  <c r="H184" i="12"/>
  <c r="T183" i="12"/>
  <c r="E183" i="12"/>
  <c r="M182" i="12"/>
  <c r="W181" i="12"/>
  <c r="G181" i="12"/>
  <c r="S180" i="12"/>
  <c r="D180" i="12"/>
  <c r="N179" i="12"/>
  <c r="AB178" i="12"/>
  <c r="J178" i="12"/>
  <c r="V177" i="12"/>
  <c r="G177" i="12"/>
  <c r="S176" i="12"/>
  <c r="D176" i="12"/>
  <c r="N175" i="12"/>
  <c r="X174" i="12"/>
  <c r="H174" i="12"/>
  <c r="T173" i="12"/>
  <c r="E173" i="12"/>
  <c r="O172" i="12"/>
  <c r="I171" i="12"/>
  <c r="U170" i="12"/>
  <c r="F170" i="12"/>
  <c r="N169" i="12"/>
  <c r="AB168" i="12"/>
  <c r="J168" i="12"/>
  <c r="V167" i="12"/>
  <c r="G167" i="12"/>
  <c r="O166" i="12"/>
  <c r="I165" i="12"/>
  <c r="T164" i="12"/>
  <c r="D164" i="12"/>
  <c r="L163" i="12"/>
  <c r="V162" i="12"/>
  <c r="F162" i="12"/>
  <c r="N161" i="12"/>
  <c r="X160" i="12"/>
  <c r="H160" i="12"/>
  <c r="S159" i="12"/>
  <c r="C159" i="12"/>
  <c r="J158" i="12"/>
  <c r="U157" i="12"/>
  <c r="E157" i="12"/>
  <c r="M156" i="12"/>
  <c r="W155" i="12"/>
  <c r="G155" i="12"/>
  <c r="O154" i="12"/>
  <c r="I153" i="12"/>
  <c r="T152" i="12"/>
  <c r="D152" i="12"/>
  <c r="L151" i="12"/>
  <c r="V150" i="12"/>
  <c r="F150" i="12"/>
  <c r="N149" i="12"/>
  <c r="X148" i="12"/>
  <c r="H148" i="12"/>
  <c r="S147" i="12"/>
  <c r="D147" i="12"/>
  <c r="M146" i="12"/>
  <c r="W145" i="12"/>
  <c r="G145" i="12"/>
  <c r="O144" i="12"/>
  <c r="I143" i="12"/>
  <c r="T142" i="12"/>
  <c r="D142" i="12"/>
  <c r="L141" i="12"/>
  <c r="V140" i="12"/>
  <c r="F140" i="12"/>
  <c r="N139" i="12"/>
  <c r="X138" i="12"/>
  <c r="J73" i="13"/>
  <c r="E8" i="13"/>
  <c r="N460" i="12"/>
  <c r="N448" i="12"/>
  <c r="W407" i="12"/>
  <c r="D391" i="12"/>
  <c r="T376" i="12"/>
  <c r="O371" i="12"/>
  <c r="X360" i="12"/>
  <c r="L348" i="12"/>
  <c r="F344" i="12"/>
  <c r="E340" i="12"/>
  <c r="O336" i="12"/>
  <c r="C333" i="12"/>
  <c r="O329" i="12"/>
  <c r="E326" i="12"/>
  <c r="Q322" i="12"/>
  <c r="D319" i="12"/>
  <c r="L315" i="12"/>
  <c r="Q311" i="12"/>
  <c r="M308" i="12"/>
  <c r="O304" i="12"/>
  <c r="G301" i="12"/>
  <c r="D298" i="12"/>
  <c r="X294" i="12"/>
  <c r="H291" i="12"/>
  <c r="U287" i="12"/>
  <c r="M284" i="12"/>
  <c r="L281" i="12"/>
  <c r="E279" i="12"/>
  <c r="E277" i="12"/>
  <c r="C275" i="12"/>
  <c r="S272" i="12"/>
  <c r="G270" i="12"/>
  <c r="E268" i="12"/>
  <c r="H266" i="12"/>
  <c r="O264" i="12"/>
  <c r="T262" i="12"/>
  <c r="AC260" i="12"/>
  <c r="H259" i="12"/>
  <c r="O257" i="12"/>
  <c r="V255" i="12"/>
  <c r="D254" i="12"/>
  <c r="S252" i="12"/>
  <c r="W250" i="12"/>
  <c r="D249" i="12"/>
  <c r="H247" i="12"/>
  <c r="O245" i="12"/>
  <c r="V243" i="12"/>
  <c r="D242" i="12"/>
  <c r="M240" i="12"/>
  <c r="E239" i="12"/>
  <c r="AC237" i="12"/>
  <c r="X236" i="12"/>
  <c r="X235" i="12"/>
  <c r="A235" i="12"/>
  <c r="D234" i="12"/>
  <c r="E233" i="12"/>
  <c r="G232" i="12"/>
  <c r="J231" i="12"/>
  <c r="N230" i="12"/>
  <c r="T229" i="12"/>
  <c r="V228" i="12"/>
  <c r="G228" i="12"/>
  <c r="Q227" i="12"/>
  <c r="C227" i="12"/>
  <c r="J226" i="12"/>
  <c r="W225" i="12"/>
  <c r="H225" i="12"/>
  <c r="U224" i="12"/>
  <c r="F224" i="12"/>
  <c r="T223" i="12"/>
  <c r="E223" i="12"/>
  <c r="Q222" i="12"/>
  <c r="C222" i="12"/>
  <c r="N221" i="12"/>
  <c r="I220" i="12"/>
  <c r="T219" i="12"/>
  <c r="E219" i="12"/>
  <c r="N218" i="12"/>
  <c r="X217" i="12"/>
  <c r="I217" i="12"/>
  <c r="T216" i="12"/>
  <c r="E216" i="12"/>
  <c r="N215" i="12"/>
  <c r="X214" i="12"/>
  <c r="H214" i="12"/>
  <c r="S213" i="12"/>
  <c r="C213" i="12"/>
  <c r="J212" i="12"/>
  <c r="U211" i="12"/>
  <c r="E211" i="12"/>
  <c r="M210" i="12"/>
  <c r="X209" i="12"/>
  <c r="I209" i="12"/>
  <c r="T208" i="12"/>
  <c r="D208" i="12"/>
  <c r="M207" i="12"/>
  <c r="W206" i="12"/>
  <c r="G206" i="12"/>
  <c r="O205" i="12"/>
  <c r="I204" i="12"/>
  <c r="T203" i="12"/>
  <c r="E203" i="12"/>
  <c r="M202" i="12"/>
  <c r="W201" i="12"/>
  <c r="G201" i="12"/>
  <c r="O200" i="12"/>
  <c r="AB199" i="12"/>
  <c r="J199" i="12"/>
  <c r="U198" i="12"/>
  <c r="E198" i="12"/>
  <c r="M197" i="12"/>
  <c r="W196" i="12"/>
  <c r="H196" i="12"/>
  <c r="S195" i="12"/>
  <c r="D195" i="12"/>
  <c r="M194" i="12"/>
  <c r="W193" i="12"/>
  <c r="G193" i="12"/>
  <c r="O192" i="12"/>
  <c r="I191" i="12"/>
  <c r="T190" i="12"/>
  <c r="D190" i="12"/>
  <c r="M189" i="12"/>
  <c r="W188" i="12"/>
  <c r="H188" i="12"/>
  <c r="S187" i="12"/>
  <c r="D187" i="12"/>
  <c r="N186" i="12"/>
  <c r="AB185" i="12"/>
  <c r="J185" i="12"/>
  <c r="V184" i="12"/>
  <c r="G184" i="12"/>
  <c r="S183" i="12"/>
  <c r="D183" i="12"/>
  <c r="L182" i="12"/>
  <c r="V181" i="12"/>
  <c r="F181" i="12"/>
  <c r="Q180" i="12"/>
  <c r="C180" i="12"/>
  <c r="M179" i="12"/>
  <c r="X178" i="12"/>
  <c r="I178" i="12"/>
  <c r="U177" i="12"/>
  <c r="F177" i="12"/>
  <c r="Q176" i="12"/>
  <c r="C176" i="12"/>
  <c r="M175" i="12"/>
  <c r="W174" i="12"/>
  <c r="G174" i="12"/>
  <c r="S173" i="12"/>
  <c r="D173" i="12"/>
  <c r="N172" i="12"/>
  <c r="X171" i="12"/>
  <c r="H171" i="12"/>
  <c r="T170" i="12"/>
  <c r="E170" i="12"/>
  <c r="M169" i="12"/>
  <c r="X168" i="12"/>
  <c r="I168" i="12"/>
  <c r="U167" i="12"/>
  <c r="F167" i="12"/>
  <c r="N166" i="12"/>
  <c r="X165" i="12"/>
  <c r="H165" i="12"/>
  <c r="S164" i="12"/>
  <c r="C164" i="12"/>
  <c r="J163" i="12"/>
  <c r="U162" i="12"/>
  <c r="E162" i="12"/>
  <c r="M161" i="12"/>
  <c r="W160" i="12"/>
  <c r="G160" i="12"/>
  <c r="O159" i="12"/>
  <c r="I158" i="12"/>
  <c r="T157" i="12"/>
  <c r="D157" i="12"/>
  <c r="L156" i="12"/>
  <c r="V155" i="12"/>
  <c r="F155" i="12"/>
  <c r="N154" i="12"/>
  <c r="X153" i="12"/>
  <c r="H153" i="12"/>
  <c r="S152" i="12"/>
  <c r="C152" i="12"/>
  <c r="J151" i="12"/>
  <c r="U150" i="12"/>
  <c r="E150" i="12"/>
  <c r="M149" i="12"/>
  <c r="W148" i="12"/>
  <c r="G148" i="12"/>
  <c r="Q147" i="12"/>
  <c r="C147" i="12"/>
  <c r="L146" i="12"/>
  <c r="V145" i="12"/>
  <c r="F145" i="12"/>
  <c r="N144" i="12"/>
  <c r="X143" i="12"/>
  <c r="H143" i="12"/>
  <c r="S142" i="12"/>
  <c r="C142" i="12"/>
  <c r="J141" i="12"/>
  <c r="U140" i="12"/>
  <c r="E140" i="12"/>
  <c r="M139" i="12"/>
  <c r="W138" i="12"/>
  <c r="G138" i="12"/>
  <c r="O137" i="12"/>
  <c r="J136" i="12"/>
  <c r="U135" i="12"/>
  <c r="F135" i="12"/>
  <c r="O134" i="12"/>
  <c r="J133" i="12"/>
  <c r="U132" i="12"/>
  <c r="F132" i="12"/>
  <c r="O131" i="12"/>
  <c r="J130" i="12"/>
  <c r="U129" i="12"/>
  <c r="F129" i="12"/>
  <c r="O128" i="12"/>
  <c r="J127" i="12"/>
  <c r="U126" i="12"/>
  <c r="F126" i="12"/>
  <c r="O125" i="12"/>
  <c r="J124" i="12"/>
  <c r="U123" i="12"/>
  <c r="F123" i="12"/>
  <c r="O122" i="12"/>
  <c r="AB121" i="12"/>
  <c r="J121" i="12"/>
  <c r="V120" i="12"/>
  <c r="G120" i="12"/>
  <c r="S119" i="12"/>
  <c r="D119" i="12"/>
  <c r="N118" i="12"/>
  <c r="J117" i="12"/>
  <c r="U116" i="12"/>
  <c r="F116" i="12"/>
  <c r="O115" i="12"/>
  <c r="J114" i="12"/>
  <c r="U113" i="12"/>
  <c r="F113" i="12"/>
  <c r="Q112" i="12"/>
  <c r="C112" i="12"/>
  <c r="M111" i="12"/>
  <c r="G53" i="13"/>
  <c r="E479" i="12"/>
  <c r="U459" i="12"/>
  <c r="W421" i="12"/>
  <c r="E404" i="12"/>
  <c r="T381" i="12"/>
  <c r="N364" i="12"/>
  <c r="S359" i="12"/>
  <c r="I355" i="12"/>
  <c r="S351" i="12"/>
  <c r="U347" i="12"/>
  <c r="L343" i="12"/>
  <c r="N339" i="12"/>
  <c r="A336" i="12"/>
  <c r="L332" i="12"/>
  <c r="A329" i="12"/>
  <c r="O325" i="12"/>
  <c r="C322" i="12"/>
  <c r="M318" i="12"/>
  <c r="W314" i="12"/>
  <c r="C311" i="12"/>
  <c r="U307" i="12"/>
  <c r="AC303" i="12"/>
  <c r="T300" i="12"/>
  <c r="L297" i="12"/>
  <c r="I294" i="12"/>
  <c r="S290" i="12"/>
  <c r="E287" i="12"/>
  <c r="X283" i="12"/>
  <c r="M274" i="12"/>
  <c r="E272" i="12"/>
  <c r="T269" i="12"/>
  <c r="U267" i="12"/>
  <c r="AC265" i="12"/>
  <c r="G264" i="12"/>
  <c r="I262" i="12"/>
  <c r="O260" i="12"/>
  <c r="C259" i="12"/>
  <c r="J257" i="12"/>
  <c r="Q255" i="12"/>
  <c r="G252" i="12"/>
  <c r="Q250" i="12"/>
  <c r="V248" i="12"/>
  <c r="C247" i="12"/>
  <c r="J245" i="12"/>
  <c r="Q243" i="12"/>
  <c r="W241" i="12"/>
  <c r="G240" i="12"/>
  <c r="AC238" i="12"/>
  <c r="W237" i="12"/>
  <c r="T236" i="12"/>
  <c r="U235" i="12"/>
  <c r="X234" i="12"/>
  <c r="C233" i="12"/>
  <c r="E232" i="12"/>
  <c r="G231" i="12"/>
  <c r="L230" i="12"/>
  <c r="N229" i="12"/>
  <c r="T228" i="12"/>
  <c r="E228" i="12"/>
  <c r="N227" i="12"/>
  <c r="X226" i="12"/>
  <c r="H226" i="12"/>
  <c r="U225" i="12"/>
  <c r="F225" i="12"/>
  <c r="S224" i="12"/>
  <c r="D224" i="12"/>
  <c r="Q223" i="12"/>
  <c r="C223" i="12"/>
  <c r="N222" i="12"/>
  <c r="AB221" i="12"/>
  <c r="L221" i="12"/>
  <c r="W220" i="12"/>
  <c r="G220" i="12"/>
  <c r="Q219" i="12"/>
  <c r="C219" i="12"/>
  <c r="L218" i="12"/>
  <c r="V217" i="12"/>
  <c r="G217" i="12"/>
  <c r="Q216" i="12"/>
  <c r="C216" i="12"/>
  <c r="L215" i="12"/>
  <c r="V214" i="12"/>
  <c r="F214" i="12"/>
  <c r="N213" i="12"/>
  <c r="X212" i="12"/>
  <c r="H212" i="12"/>
  <c r="S211" i="12"/>
  <c r="C211" i="12"/>
  <c r="J210" i="12"/>
  <c r="V209" i="12"/>
  <c r="G209" i="12"/>
  <c r="O208" i="12"/>
  <c r="AC207" i="12"/>
  <c r="J207" i="12"/>
  <c r="U206" i="12"/>
  <c r="E206" i="12"/>
  <c r="M205" i="12"/>
  <c r="W204" i="12"/>
  <c r="G204" i="12"/>
  <c r="Q203" i="12"/>
  <c r="C203" i="12"/>
  <c r="J202" i="12"/>
  <c r="U201" i="12"/>
  <c r="E201" i="12"/>
  <c r="M200" i="12"/>
  <c r="W199" i="12"/>
  <c r="H199" i="12"/>
  <c r="S198" i="12"/>
  <c r="C198" i="12"/>
  <c r="J197" i="12"/>
  <c r="U196" i="12"/>
  <c r="F196" i="12"/>
  <c r="O195" i="12"/>
  <c r="AB194" i="12"/>
  <c r="J194" i="12"/>
  <c r="U193" i="12"/>
  <c r="E193" i="12"/>
  <c r="M192" i="12"/>
  <c r="W191" i="12"/>
  <c r="G191" i="12"/>
  <c r="O190" i="12"/>
  <c r="AB189" i="12"/>
  <c r="J189" i="12"/>
  <c r="U188" i="12"/>
  <c r="F188" i="12"/>
  <c r="O187" i="12"/>
  <c r="AC186" i="12"/>
  <c r="L186" i="12"/>
  <c r="W185" i="12"/>
  <c r="H185" i="12"/>
  <c r="T184" i="12"/>
  <c r="E184" i="12"/>
  <c r="O183" i="12"/>
  <c r="I182" i="12"/>
  <c r="T181" i="12"/>
  <c r="D181" i="12"/>
  <c r="N180" i="12"/>
  <c r="AB179" i="12"/>
  <c r="J179" i="12"/>
  <c r="V178" i="12"/>
  <c r="G178" i="12"/>
  <c r="S177" i="12"/>
  <c r="D177" i="12"/>
  <c r="N176" i="12"/>
  <c r="AB175" i="12"/>
  <c r="J175" i="12"/>
  <c r="U174" i="12"/>
  <c r="E174" i="12"/>
  <c r="O173" i="12"/>
  <c r="AC172" i="12"/>
  <c r="L172" i="12"/>
  <c r="V171" i="12"/>
  <c r="F171" i="12"/>
  <c r="Q170" i="12"/>
  <c r="C170" i="12"/>
  <c r="J169" i="12"/>
  <c r="V168" i="12"/>
  <c r="G168" i="12"/>
  <c r="S167" i="12"/>
  <c r="D167" i="12"/>
  <c r="L166" i="12"/>
  <c r="V165" i="12"/>
  <c r="F165" i="12"/>
  <c r="N164" i="12"/>
  <c r="X163" i="12"/>
  <c r="H163" i="12"/>
  <c r="S162" i="12"/>
  <c r="C162" i="12"/>
  <c r="J161" i="12"/>
  <c r="U160" i="12"/>
  <c r="E160" i="12"/>
  <c r="M159" i="12"/>
  <c r="W158" i="12"/>
  <c r="G158" i="12"/>
  <c r="O157" i="12"/>
  <c r="I156" i="12"/>
  <c r="T155" i="12"/>
  <c r="D155" i="12"/>
  <c r="L154" i="12"/>
  <c r="V153" i="12"/>
  <c r="F153" i="12"/>
  <c r="N152" i="12"/>
  <c r="X151" i="12"/>
  <c r="H151" i="12"/>
  <c r="S150" i="12"/>
  <c r="C150" i="12"/>
  <c r="J149" i="12"/>
  <c r="U148" i="12"/>
  <c r="E148" i="12"/>
  <c r="N147" i="12"/>
  <c r="X146" i="12"/>
  <c r="I146" i="12"/>
  <c r="T145" i="12"/>
  <c r="D145" i="12"/>
  <c r="L144" i="12"/>
  <c r="V143" i="12"/>
  <c r="F143" i="12"/>
  <c r="N142" i="12"/>
  <c r="X141" i="12"/>
  <c r="H141" i="12"/>
  <c r="S140" i="12"/>
  <c r="C140" i="12"/>
  <c r="J139" i="12"/>
  <c r="U138" i="12"/>
  <c r="E138" i="12"/>
  <c r="M137" i="12"/>
  <c r="W136" i="12"/>
  <c r="H136" i="12"/>
  <c r="S135" i="12"/>
  <c r="D135" i="12"/>
  <c r="M134" i="12"/>
  <c r="W133" i="12"/>
  <c r="H133" i="12"/>
  <c r="S132" i="12"/>
  <c r="D132" i="12"/>
  <c r="M131" i="12"/>
  <c r="W130" i="12"/>
  <c r="H130" i="12"/>
  <c r="S129" i="12"/>
  <c r="D129" i="12"/>
  <c r="M128" i="12"/>
  <c r="W127" i="12"/>
  <c r="H127" i="12"/>
  <c r="S126" i="12"/>
  <c r="D126" i="12"/>
  <c r="M125" i="12"/>
  <c r="W124" i="12"/>
  <c r="H124" i="12"/>
  <c r="S123" i="12"/>
  <c r="D123" i="12"/>
  <c r="M122" i="12"/>
  <c r="W121" i="12"/>
  <c r="H121" i="12"/>
  <c r="T120" i="12"/>
  <c r="E120" i="12"/>
  <c r="O119" i="12"/>
  <c r="A119" i="12"/>
  <c r="L118" i="12"/>
  <c r="W117" i="12"/>
  <c r="H117" i="12"/>
  <c r="S116" i="12"/>
  <c r="D116" i="12"/>
  <c r="M115" i="12"/>
  <c r="W114" i="12"/>
  <c r="H114" i="12"/>
  <c r="S113" i="12"/>
  <c r="D113" i="12"/>
  <c r="N112" i="12"/>
  <c r="AB111" i="12"/>
  <c r="J111" i="12"/>
  <c r="V110" i="12"/>
  <c r="G110" i="12"/>
  <c r="N376" i="12"/>
  <c r="X332" i="12"/>
  <c r="F259" i="12"/>
  <c r="D233" i="12"/>
  <c r="V225" i="12"/>
  <c r="S219" i="12"/>
  <c r="O213" i="12"/>
  <c r="C208" i="12"/>
  <c r="D203" i="12"/>
  <c r="J200" i="12"/>
  <c r="H197" i="12"/>
  <c r="V193" i="12"/>
  <c r="M187" i="12"/>
  <c r="C184" i="12"/>
  <c r="AC180" i="12"/>
  <c r="O177" i="12"/>
  <c r="F174" i="12"/>
  <c r="D171" i="12"/>
  <c r="T167" i="12"/>
  <c r="O164" i="12"/>
  <c r="L161" i="12"/>
  <c r="U158" i="12"/>
  <c r="U155" i="12"/>
  <c r="O152" i="12"/>
  <c r="L149" i="12"/>
  <c r="J146" i="12"/>
  <c r="G143" i="12"/>
  <c r="V138" i="12"/>
  <c r="C137" i="12"/>
  <c r="O135" i="12"/>
  <c r="X133" i="12"/>
  <c r="G132" i="12"/>
  <c r="S130" i="12"/>
  <c r="I127" i="12"/>
  <c r="Q125" i="12"/>
  <c r="D124" i="12"/>
  <c r="J122" i="12"/>
  <c r="A121" i="12"/>
  <c r="W119" i="12"/>
  <c r="T118" i="12"/>
  <c r="S117" i="12"/>
  <c r="M116" i="12"/>
  <c r="H115" i="12"/>
  <c r="F114" i="12"/>
  <c r="A113" i="12"/>
  <c r="W111" i="12"/>
  <c r="W110" i="12"/>
  <c r="C110" i="12"/>
  <c r="G109" i="12"/>
  <c r="J108" i="12"/>
  <c r="S107" i="12"/>
  <c r="W106" i="12"/>
  <c r="F106" i="12"/>
  <c r="M105" i="12"/>
  <c r="W104" i="12"/>
  <c r="F104" i="12"/>
  <c r="M103" i="12"/>
  <c r="W102" i="12"/>
  <c r="F102" i="12"/>
  <c r="M101" i="12"/>
  <c r="V100" i="12"/>
  <c r="E100" i="12"/>
  <c r="L99" i="12"/>
  <c r="V98" i="12"/>
  <c r="E98" i="12"/>
  <c r="L97" i="12"/>
  <c r="V96" i="12"/>
  <c r="E96" i="12"/>
  <c r="L95" i="12"/>
  <c r="V94" i="12"/>
  <c r="E94" i="12"/>
  <c r="L93" i="12"/>
  <c r="V92" i="12"/>
  <c r="D92" i="12"/>
  <c r="L91" i="12"/>
  <c r="V90" i="12"/>
  <c r="E90" i="12"/>
  <c r="L89" i="12"/>
  <c r="V88" i="12"/>
  <c r="E88" i="12"/>
  <c r="L87" i="12"/>
  <c r="V86" i="12"/>
  <c r="E86" i="12"/>
  <c r="L85" i="12"/>
  <c r="V84" i="12"/>
  <c r="E84" i="12"/>
  <c r="L83" i="12"/>
  <c r="V82" i="12"/>
  <c r="F82" i="12"/>
  <c r="M81" i="12"/>
  <c r="W80" i="12"/>
  <c r="F80" i="12"/>
  <c r="M79" i="12"/>
  <c r="W78" i="12"/>
  <c r="F78" i="12"/>
  <c r="O77" i="12"/>
  <c r="X76" i="12"/>
  <c r="G76" i="12"/>
  <c r="S75" i="12"/>
  <c r="C75" i="12"/>
  <c r="J74" i="12"/>
  <c r="U73" i="12"/>
  <c r="C73" i="12"/>
  <c r="I72" i="12"/>
  <c r="S71" i="12"/>
  <c r="X70" i="12"/>
  <c r="G70" i="12"/>
  <c r="O69" i="12"/>
  <c r="X68" i="12"/>
  <c r="G68" i="12"/>
  <c r="O67" i="12"/>
  <c r="X66" i="12"/>
  <c r="G66" i="12"/>
  <c r="M65" i="12"/>
  <c r="V64" i="12"/>
  <c r="E64" i="12"/>
  <c r="L63" i="12"/>
  <c r="V62" i="12"/>
  <c r="D62" i="12"/>
  <c r="J61" i="12"/>
  <c r="U60" i="12"/>
  <c r="D60" i="12"/>
  <c r="J59" i="12"/>
  <c r="U58" i="12"/>
  <c r="D58" i="12"/>
  <c r="J57" i="12"/>
  <c r="T56" i="12"/>
  <c r="H55" i="12"/>
  <c r="S54" i="12"/>
  <c r="X53" i="12"/>
  <c r="G53" i="12"/>
  <c r="M52" i="12"/>
  <c r="W51" i="12"/>
  <c r="F51" i="12"/>
  <c r="M50" i="12"/>
  <c r="W49" i="12"/>
  <c r="E49" i="12"/>
  <c r="L48" i="12"/>
  <c r="V47" i="12"/>
  <c r="E47" i="12"/>
  <c r="L46" i="12"/>
  <c r="U45" i="12"/>
  <c r="D45" i="12"/>
  <c r="J44" i="12"/>
  <c r="U43" i="12"/>
  <c r="C43" i="12"/>
  <c r="I42" i="12"/>
  <c r="T41" i="12"/>
  <c r="H40" i="12"/>
  <c r="S39" i="12"/>
  <c r="X38" i="12"/>
  <c r="G38" i="12"/>
  <c r="O37" i="12"/>
  <c r="X36" i="12"/>
  <c r="G36" i="12"/>
  <c r="O35" i="12"/>
  <c r="X34" i="12"/>
  <c r="G34" i="12"/>
  <c r="O33" i="12"/>
  <c r="X32" i="12"/>
  <c r="G32" i="12"/>
  <c r="S31" i="12"/>
  <c r="C31" i="12"/>
  <c r="J30" i="12"/>
  <c r="U29" i="12"/>
  <c r="D29" i="12"/>
  <c r="J28" i="12"/>
  <c r="U27" i="12"/>
  <c r="D27" i="12"/>
  <c r="J26" i="12"/>
  <c r="U25" i="12"/>
  <c r="D25" i="12"/>
  <c r="J24" i="12"/>
  <c r="U23" i="12"/>
  <c r="D23" i="12"/>
  <c r="J22" i="12"/>
  <c r="U21" i="12"/>
  <c r="D21" i="12"/>
  <c r="J20" i="12"/>
  <c r="U19" i="12"/>
  <c r="D19" i="12"/>
  <c r="J18" i="12"/>
  <c r="V17" i="12"/>
  <c r="F17" i="12"/>
  <c r="S16" i="12"/>
  <c r="C16" i="12"/>
  <c r="J15" i="12"/>
  <c r="U14" i="12"/>
  <c r="D14" i="12"/>
  <c r="J13" i="12"/>
  <c r="T12" i="12"/>
  <c r="H11" i="12"/>
  <c r="S10" i="12"/>
  <c r="I9" i="12"/>
  <c r="T8" i="12"/>
  <c r="D8" i="12"/>
  <c r="M7" i="12"/>
  <c r="AA6" i="12"/>
  <c r="J6" i="12"/>
  <c r="BD480" i="2"/>
  <c r="AR480" i="2"/>
  <c r="C480" i="2"/>
  <c r="AW479" i="2"/>
  <c r="AF479" i="2"/>
  <c r="BG478" i="2"/>
  <c r="AU478" i="2"/>
  <c r="G478" i="2"/>
  <c r="BE477" i="2"/>
  <c r="AI477" i="2"/>
  <c r="B477" i="2"/>
  <c r="BA476" i="2"/>
  <c r="Q476" i="2"/>
  <c r="BI475" i="2"/>
  <c r="AR475" i="2"/>
  <c r="G475" i="2"/>
  <c r="BE474" i="2"/>
  <c r="AI474" i="2"/>
  <c r="B474" i="2"/>
  <c r="BA473" i="2"/>
  <c r="Q473" i="2"/>
  <c r="BI472" i="2"/>
  <c r="AR472" i="2"/>
  <c r="G472" i="2"/>
  <c r="BE471" i="2"/>
  <c r="AI471" i="2"/>
  <c r="B471" i="2"/>
  <c r="BA470" i="2"/>
  <c r="Q470" i="2"/>
  <c r="BI469" i="2"/>
  <c r="AR469" i="2"/>
  <c r="G469" i="2"/>
  <c r="BE468" i="2"/>
  <c r="AI468" i="2"/>
  <c r="B468" i="2"/>
  <c r="BA467" i="2"/>
  <c r="Q467" i="2"/>
  <c r="BI466" i="2"/>
  <c r="AR466" i="2"/>
  <c r="G466" i="2"/>
  <c r="BL465" i="2"/>
  <c r="AT465" i="2"/>
  <c r="Z465" i="2"/>
  <c r="T364" i="12"/>
  <c r="M329" i="12"/>
  <c r="N272" i="12"/>
  <c r="M245" i="12"/>
  <c r="G225" i="12"/>
  <c r="D219" i="12"/>
  <c r="L207" i="12"/>
  <c r="X199" i="12"/>
  <c r="V196" i="12"/>
  <c r="S193" i="12"/>
  <c r="S190" i="12"/>
  <c r="C187" i="12"/>
  <c r="Q183" i="12"/>
  <c r="O180" i="12"/>
  <c r="E177" i="12"/>
  <c r="C174" i="12"/>
  <c r="S170" i="12"/>
  <c r="O167" i="12"/>
  <c r="L164" i="12"/>
  <c r="H161" i="12"/>
  <c r="H158" i="12"/>
  <c r="O155" i="12"/>
  <c r="L152" i="12"/>
  <c r="H149" i="12"/>
  <c r="G146" i="12"/>
  <c r="D143" i="12"/>
  <c r="T140" i="12"/>
  <c r="S138" i="12"/>
  <c r="M135" i="12"/>
  <c r="U133" i="12"/>
  <c r="E132" i="12"/>
  <c r="L130" i="12"/>
  <c r="W128" i="12"/>
  <c r="F127" i="12"/>
  <c r="N125" i="12"/>
  <c r="H122" i="12"/>
  <c r="AB120" i="12"/>
  <c r="V119" i="12"/>
  <c r="S118" i="12"/>
  <c r="O117" i="12"/>
  <c r="J116" i="12"/>
  <c r="F115" i="12"/>
  <c r="D114" i="12"/>
  <c r="X112" i="12"/>
  <c r="U111" i="12"/>
  <c r="T110" i="12"/>
  <c r="F109" i="12"/>
  <c r="I108" i="12"/>
  <c r="O107" i="12"/>
  <c r="V106" i="12"/>
  <c r="E106" i="12"/>
  <c r="L105" i="12"/>
  <c r="V104" i="12"/>
  <c r="E104" i="12"/>
  <c r="L103" i="12"/>
  <c r="V102" i="12"/>
  <c r="E102" i="12"/>
  <c r="L101" i="12"/>
  <c r="U100" i="12"/>
  <c r="D100" i="12"/>
  <c r="J99" i="12"/>
  <c r="U98" i="12"/>
  <c r="D98" i="12"/>
  <c r="J97" i="12"/>
  <c r="U96" i="12"/>
  <c r="D96" i="12"/>
  <c r="J95" i="12"/>
  <c r="U94" i="12"/>
  <c r="D94" i="12"/>
  <c r="J93" i="12"/>
  <c r="U92" i="12"/>
  <c r="C92" i="12"/>
  <c r="J91" i="12"/>
  <c r="U90" i="12"/>
  <c r="D90" i="12"/>
  <c r="J89" i="12"/>
  <c r="U88" i="12"/>
  <c r="D88" i="12"/>
  <c r="J87" i="12"/>
  <c r="U86" i="12"/>
  <c r="D86" i="12"/>
  <c r="J85" i="12"/>
  <c r="U84" i="12"/>
  <c r="D84" i="12"/>
  <c r="J83" i="12"/>
  <c r="U82" i="12"/>
  <c r="E82" i="12"/>
  <c r="L81" i="12"/>
  <c r="V80" i="12"/>
  <c r="E80" i="12"/>
  <c r="L79" i="12"/>
  <c r="V78" i="12"/>
  <c r="E78" i="12"/>
  <c r="M77" i="12"/>
  <c r="W76" i="12"/>
  <c r="F76" i="12"/>
  <c r="Q75" i="12"/>
  <c r="A75" i="12"/>
  <c r="I74" i="12"/>
  <c r="T73" i="12"/>
  <c r="H72" i="12"/>
  <c r="O71" i="12"/>
  <c r="W70" i="12"/>
  <c r="F70" i="12"/>
  <c r="M69" i="12"/>
  <c r="W68" i="12"/>
  <c r="F68" i="12"/>
  <c r="M67" i="12"/>
  <c r="W66" i="12"/>
  <c r="E66" i="12"/>
  <c r="L65" i="12"/>
  <c r="U64" i="12"/>
  <c r="D64" i="12"/>
  <c r="J63" i="12"/>
  <c r="U62" i="12"/>
  <c r="C62" i="12"/>
  <c r="I61" i="12"/>
  <c r="T60" i="12"/>
  <c r="C60" i="12"/>
  <c r="I59" i="12"/>
  <c r="T58" i="12"/>
  <c r="C58" i="12"/>
  <c r="I57" i="12"/>
  <c r="S56" i="12"/>
  <c r="X55" i="12"/>
  <c r="G55" i="12"/>
  <c r="O54" i="12"/>
  <c r="W53" i="12"/>
  <c r="E53" i="12"/>
  <c r="L52" i="12"/>
  <c r="V51" i="12"/>
  <c r="E51" i="12"/>
  <c r="L50" i="12"/>
  <c r="V49" i="12"/>
  <c r="D49" i="12"/>
  <c r="J48" i="12"/>
  <c r="U47" i="12"/>
  <c r="D47" i="12"/>
  <c r="J46" i="12"/>
  <c r="T45" i="12"/>
  <c r="C45" i="12"/>
  <c r="I44" i="12"/>
  <c r="T43" i="12"/>
  <c r="H42" i="12"/>
  <c r="S41" i="12"/>
  <c r="X40" i="12"/>
  <c r="G40" i="12"/>
  <c r="O39" i="12"/>
  <c r="W38" i="12"/>
  <c r="F38" i="12"/>
  <c r="M37" i="12"/>
  <c r="W36" i="12"/>
  <c r="F36" i="12"/>
  <c r="M35" i="12"/>
  <c r="W34" i="12"/>
  <c r="F34" i="12"/>
  <c r="M33" i="12"/>
  <c r="W32" i="12"/>
  <c r="F32" i="12"/>
  <c r="Q31" i="12"/>
  <c r="A31" i="12"/>
  <c r="I30" i="12"/>
  <c r="T29" i="12"/>
  <c r="C29" i="12"/>
  <c r="I28" i="12"/>
  <c r="T27" i="12"/>
  <c r="C27" i="12"/>
  <c r="I26" i="12"/>
  <c r="T25" i="12"/>
  <c r="C25" i="12"/>
  <c r="I24" i="12"/>
  <c r="T23" i="12"/>
  <c r="C23" i="12"/>
  <c r="I22" i="12"/>
  <c r="T21" i="12"/>
  <c r="C21" i="12"/>
  <c r="I20" i="12"/>
  <c r="T19" i="12"/>
  <c r="C19" i="12"/>
  <c r="I18" i="12"/>
  <c r="U17" i="12"/>
  <c r="E17" i="12"/>
  <c r="Q16" i="12"/>
  <c r="A16" i="12"/>
  <c r="I15" i="12"/>
  <c r="T14" i="12"/>
  <c r="C14" i="12"/>
  <c r="I13" i="12"/>
  <c r="S12" i="12"/>
  <c r="X11" i="12"/>
  <c r="G11" i="12"/>
  <c r="O10" i="12"/>
  <c r="X9" i="12"/>
  <c r="H9" i="12"/>
  <c r="S8" i="12"/>
  <c r="C8" i="12"/>
  <c r="L7" i="12"/>
  <c r="X6" i="12"/>
  <c r="I6" i="12"/>
  <c r="BC480" i="2"/>
  <c r="AL480" i="2"/>
  <c r="B480" i="2"/>
  <c r="AV479" i="2"/>
  <c r="H479" i="2"/>
  <c r="BF478" i="2"/>
  <c r="AT478" i="2"/>
  <c r="F478" i="2"/>
  <c r="BD477" i="2"/>
  <c r="AH477" i="2"/>
  <c r="BV476" i="2"/>
  <c r="AZ476" i="2"/>
  <c r="P476" i="2"/>
  <c r="BH475" i="2"/>
  <c r="AL475" i="2"/>
  <c r="F475" i="2"/>
  <c r="BD474" i="2"/>
  <c r="AH474" i="2"/>
  <c r="BV473" i="2"/>
  <c r="AZ473" i="2"/>
  <c r="P473" i="2"/>
  <c r="BH472" i="2"/>
  <c r="AL472" i="2"/>
  <c r="F472" i="2"/>
  <c r="BD471" i="2"/>
  <c r="AH471" i="2"/>
  <c r="BV470" i="2"/>
  <c r="AZ470" i="2"/>
  <c r="P470" i="2"/>
  <c r="BH469" i="2"/>
  <c r="AL469" i="2"/>
  <c r="F469" i="2"/>
  <c r="BD468" i="2"/>
  <c r="AH468" i="2"/>
  <c r="BV467" i="2"/>
  <c r="AZ467" i="2"/>
  <c r="P467" i="2"/>
  <c r="BH466" i="2"/>
  <c r="AL466" i="2"/>
  <c r="F466" i="2"/>
  <c r="BJ465" i="2"/>
  <c r="AR465" i="2"/>
  <c r="Y465" i="2"/>
  <c r="F465" i="2"/>
  <c r="BL464" i="2"/>
  <c r="AT464" i="2"/>
  <c r="Z464" i="2"/>
  <c r="B464" i="2"/>
  <c r="BT463" i="2"/>
  <c r="BB463" i="2"/>
  <c r="AK463" i="2"/>
  <c r="Q463" i="2"/>
  <c r="C463" i="2"/>
  <c r="BG462" i="2"/>
  <c r="AO462" i="2"/>
  <c r="W462" i="2"/>
  <c r="BR461" i="2"/>
  <c r="AZ461" i="2"/>
  <c r="AI461" i="2"/>
  <c r="L461" i="2"/>
  <c r="CQ460" i="2"/>
  <c r="BN460" i="2"/>
  <c r="AV460" i="2"/>
  <c r="AG460" i="2"/>
  <c r="N460" i="2"/>
  <c r="BV459" i="2"/>
  <c r="BD459" i="2"/>
  <c r="AL459" i="2"/>
  <c r="U459" i="2"/>
  <c r="BR458" i="2"/>
  <c r="C326" i="12"/>
  <c r="C281" i="12"/>
  <c r="E270" i="12"/>
  <c r="M257" i="12"/>
  <c r="T243" i="12"/>
  <c r="F232" i="12"/>
  <c r="T224" i="12"/>
  <c r="M218" i="12"/>
  <c r="I212" i="12"/>
  <c r="X202" i="12"/>
  <c r="U199" i="12"/>
  <c r="S196" i="12"/>
  <c r="F193" i="12"/>
  <c r="M190" i="12"/>
  <c r="X186" i="12"/>
  <c r="M183" i="12"/>
  <c r="L180" i="12"/>
  <c r="AC176" i="12"/>
  <c r="Q173" i="12"/>
  <c r="N170" i="12"/>
  <c r="E167" i="12"/>
  <c r="E158" i="12"/>
  <c r="E155" i="12"/>
  <c r="N140" i="12"/>
  <c r="N138" i="12"/>
  <c r="X136" i="12"/>
  <c r="G135" i="12"/>
  <c r="S133" i="12"/>
  <c r="AB131" i="12"/>
  <c r="I130" i="12"/>
  <c r="Q128" i="12"/>
  <c r="D127" i="12"/>
  <c r="J125" i="12"/>
  <c r="V123" i="12"/>
  <c r="F122" i="12"/>
  <c r="W120" i="12"/>
  <c r="T119" i="12"/>
  <c r="O118" i="12"/>
  <c r="N117" i="12"/>
  <c r="I116" i="12"/>
  <c r="E115" i="12"/>
  <c r="V112" i="12"/>
  <c r="S111" i="12"/>
  <c r="S110" i="12"/>
  <c r="X109" i="12"/>
  <c r="D109" i="12"/>
  <c r="H108" i="12"/>
  <c r="L107" i="12"/>
  <c r="U106" i="12"/>
  <c r="D106" i="12"/>
  <c r="J105" i="12"/>
  <c r="U104" i="12"/>
  <c r="D104" i="12"/>
  <c r="J103" i="12"/>
  <c r="U102" i="12"/>
  <c r="D102" i="12"/>
  <c r="J101" i="12"/>
  <c r="T100" i="12"/>
  <c r="C100" i="12"/>
  <c r="I99" i="12"/>
  <c r="T98" i="12"/>
  <c r="C98" i="12"/>
  <c r="I97" i="12"/>
  <c r="T96" i="12"/>
  <c r="C96" i="12"/>
  <c r="I95" i="12"/>
  <c r="T94" i="12"/>
  <c r="C94" i="12"/>
  <c r="I93" i="12"/>
  <c r="T92" i="12"/>
  <c r="AB91" i="12"/>
  <c r="I91" i="12"/>
  <c r="T90" i="12"/>
  <c r="C90" i="12"/>
  <c r="I89" i="12"/>
  <c r="T88" i="12"/>
  <c r="C88" i="12"/>
  <c r="I87" i="12"/>
  <c r="T86" i="12"/>
  <c r="C86" i="12"/>
  <c r="I85" i="12"/>
  <c r="T84" i="12"/>
  <c r="C84" i="12"/>
  <c r="I83" i="12"/>
  <c r="T82" i="12"/>
  <c r="D82" i="12"/>
  <c r="J81" i="12"/>
  <c r="U80" i="12"/>
  <c r="D80" i="12"/>
  <c r="J79" i="12"/>
  <c r="U78" i="12"/>
  <c r="D78" i="12"/>
  <c r="L77" i="12"/>
  <c r="V76" i="12"/>
  <c r="E76" i="12"/>
  <c r="O75" i="12"/>
  <c r="H74" i="12"/>
  <c r="S73" i="12"/>
  <c r="X72" i="12"/>
  <c r="G72" i="12"/>
  <c r="M71" i="12"/>
  <c r="V70" i="12"/>
  <c r="E70" i="12"/>
  <c r="L69" i="12"/>
  <c r="V68" i="12"/>
  <c r="E68" i="12"/>
  <c r="L67" i="12"/>
  <c r="V66" i="12"/>
  <c r="D66" i="12"/>
  <c r="J65" i="12"/>
  <c r="T64" i="12"/>
  <c r="C64" i="12"/>
  <c r="I63" i="12"/>
  <c r="T62" i="12"/>
  <c r="H61" i="12"/>
  <c r="S60" i="12"/>
  <c r="H59" i="12"/>
  <c r="S58" i="12"/>
  <c r="H57" i="12"/>
  <c r="O56" i="12"/>
  <c r="W55" i="12"/>
  <c r="F55" i="12"/>
  <c r="M54" i="12"/>
  <c r="V53" i="12"/>
  <c r="D53" i="12"/>
  <c r="J52" i="12"/>
  <c r="U51" i="12"/>
  <c r="D51" i="12"/>
  <c r="J50" i="12"/>
  <c r="U49" i="12"/>
  <c r="C49" i="12"/>
  <c r="I48" i="12"/>
  <c r="T47" i="12"/>
  <c r="C47" i="12"/>
  <c r="I46" i="12"/>
  <c r="S45" i="12"/>
  <c r="H44" i="12"/>
  <c r="S43" i="12"/>
  <c r="X42" i="12"/>
  <c r="G42" i="12"/>
  <c r="O41" i="12"/>
  <c r="W40" i="12"/>
  <c r="F40" i="12"/>
  <c r="M39" i="12"/>
  <c r="V38" i="12"/>
  <c r="E38" i="12"/>
  <c r="L37" i="12"/>
  <c r="V36" i="12"/>
  <c r="E36" i="12"/>
  <c r="L35" i="12"/>
  <c r="V34" i="12"/>
  <c r="E34" i="12"/>
  <c r="L33" i="12"/>
  <c r="V32" i="12"/>
  <c r="E32" i="12"/>
  <c r="O31" i="12"/>
  <c r="H30" i="12"/>
  <c r="S29" i="12"/>
  <c r="H28" i="12"/>
  <c r="S27" i="12"/>
  <c r="H26" i="12"/>
  <c r="S25" i="12"/>
  <c r="H24" i="12"/>
  <c r="S23" i="12"/>
  <c r="H22" i="12"/>
  <c r="S21" i="12"/>
  <c r="H20" i="12"/>
  <c r="S19" i="12"/>
  <c r="H18" i="12"/>
  <c r="T17" i="12"/>
  <c r="D17" i="12"/>
  <c r="O16" i="12"/>
  <c r="H15" i="12"/>
  <c r="S14" i="12"/>
  <c r="H13" i="12"/>
  <c r="O12" i="12"/>
  <c r="W11" i="12"/>
  <c r="F11" i="12"/>
  <c r="M10" i="12"/>
  <c r="W9" i="12"/>
  <c r="G9" i="12"/>
  <c r="Q8" i="12"/>
  <c r="AB7" i="12"/>
  <c r="J7" i="12"/>
  <c r="W6" i="12"/>
  <c r="H6" i="12"/>
  <c r="BB480" i="2"/>
  <c r="AK480" i="2"/>
  <c r="BV479" i="2"/>
  <c r="AU479" i="2"/>
  <c r="G479" i="2"/>
  <c r="BE478" i="2"/>
  <c r="AS478" i="2"/>
  <c r="E478" i="2"/>
  <c r="BC477" i="2"/>
  <c r="AG477" i="2"/>
  <c r="BP476" i="2"/>
  <c r="AY476" i="2"/>
  <c r="O476" i="2"/>
  <c r="BG475" i="2"/>
  <c r="AK475" i="2"/>
  <c r="E475" i="2"/>
  <c r="BC474" i="2"/>
  <c r="AG474" i="2"/>
  <c r="BP473" i="2"/>
  <c r="AY473" i="2"/>
  <c r="O473" i="2"/>
  <c r="BG472" i="2"/>
  <c r="AK472" i="2"/>
  <c r="E472" i="2"/>
  <c r="BC471" i="2"/>
  <c r="AG471" i="2"/>
  <c r="BP470" i="2"/>
  <c r="AY470" i="2"/>
  <c r="O470" i="2"/>
  <c r="BG469" i="2"/>
  <c r="AK469" i="2"/>
  <c r="E469" i="2"/>
  <c r="BC468" i="2"/>
  <c r="AG468" i="2"/>
  <c r="BP467" i="2"/>
  <c r="N322" i="12"/>
  <c r="N297" i="12"/>
  <c r="W267" i="12"/>
  <c r="T255" i="12"/>
  <c r="AC241" i="12"/>
  <c r="H231" i="12"/>
  <c r="E224" i="12"/>
  <c r="W217" i="12"/>
  <c r="V206" i="12"/>
  <c r="L202" i="12"/>
  <c r="I199" i="12"/>
  <c r="G196" i="12"/>
  <c r="C193" i="12"/>
  <c r="C190" i="12"/>
  <c r="M186" i="12"/>
  <c r="C183" i="12"/>
  <c r="AC179" i="12"/>
  <c r="O176" i="12"/>
  <c r="M173" i="12"/>
  <c r="D170" i="12"/>
  <c r="V163" i="12"/>
  <c r="V160" i="12"/>
  <c r="V151" i="12"/>
  <c r="V148" i="12"/>
  <c r="U145" i="12"/>
  <c r="O142" i="12"/>
  <c r="L140" i="12"/>
  <c r="H138" i="12"/>
  <c r="U136" i="12"/>
  <c r="E135" i="12"/>
  <c r="L133" i="12"/>
  <c r="W131" i="12"/>
  <c r="F130" i="12"/>
  <c r="N128" i="12"/>
  <c r="H125" i="12"/>
  <c r="T123" i="12"/>
  <c r="C122" i="12"/>
  <c r="U120" i="12"/>
  <c r="Q119" i="12"/>
  <c r="M118" i="12"/>
  <c r="L117" i="12"/>
  <c r="G116" i="12"/>
  <c r="C115" i="12"/>
  <c r="X113" i="12"/>
  <c r="U112" i="12"/>
  <c r="Q111" i="12"/>
  <c r="Q110" i="12"/>
  <c r="W109" i="12"/>
  <c r="C109" i="12"/>
  <c r="G108" i="12"/>
  <c r="J107" i="12"/>
  <c r="T106" i="12"/>
  <c r="C106" i="12"/>
  <c r="I105" i="12"/>
  <c r="T104" i="12"/>
  <c r="C104" i="12"/>
  <c r="I103" i="12"/>
  <c r="T102" i="12"/>
  <c r="C102" i="12"/>
  <c r="I101" i="12"/>
  <c r="S100" i="12"/>
  <c r="H99" i="12"/>
  <c r="S98" i="12"/>
  <c r="H97" i="12"/>
  <c r="S96" i="12"/>
  <c r="H95" i="12"/>
  <c r="S94" i="12"/>
  <c r="H93" i="12"/>
  <c r="S92" i="12"/>
  <c r="X91" i="12"/>
  <c r="H91" i="12"/>
  <c r="S90" i="12"/>
  <c r="H89" i="12"/>
  <c r="S88" i="12"/>
  <c r="H87" i="12"/>
  <c r="S86" i="12"/>
  <c r="H85" i="12"/>
  <c r="S84" i="12"/>
  <c r="H83" i="12"/>
  <c r="S82" i="12"/>
  <c r="C82" i="12"/>
  <c r="I81" i="12"/>
  <c r="T80" i="12"/>
  <c r="C80" i="12"/>
  <c r="I79" i="12"/>
  <c r="T78" i="12"/>
  <c r="C78" i="12"/>
  <c r="J77" i="12"/>
  <c r="U76" i="12"/>
  <c r="D76" i="12"/>
  <c r="M75" i="12"/>
  <c r="X74" i="12"/>
  <c r="G74" i="12"/>
  <c r="O73" i="12"/>
  <c r="W72" i="12"/>
  <c r="E72" i="12"/>
  <c r="L71" i="12"/>
  <c r="U70" i="12"/>
  <c r="D70" i="12"/>
  <c r="J69" i="12"/>
  <c r="U68" i="12"/>
  <c r="D68" i="12"/>
  <c r="J67" i="12"/>
  <c r="U66" i="12"/>
  <c r="C66" i="12"/>
  <c r="I65" i="12"/>
  <c r="S64" i="12"/>
  <c r="H63" i="12"/>
  <c r="S62" i="12"/>
  <c r="X61" i="12"/>
  <c r="G61" i="12"/>
  <c r="O60" i="12"/>
  <c r="X59" i="12"/>
  <c r="G59" i="12"/>
  <c r="O58" i="12"/>
  <c r="X57" i="12"/>
  <c r="G57" i="12"/>
  <c r="M56" i="12"/>
  <c r="V55" i="12"/>
  <c r="E55" i="12"/>
  <c r="L54" i="12"/>
  <c r="U53" i="12"/>
  <c r="C53" i="12"/>
  <c r="I52" i="12"/>
  <c r="T51" i="12"/>
  <c r="C51" i="12"/>
  <c r="I50" i="12"/>
  <c r="T49" i="12"/>
  <c r="H48" i="12"/>
  <c r="S47" i="12"/>
  <c r="H46" i="12"/>
  <c r="O45" i="12"/>
  <c r="X44" i="12"/>
  <c r="G44" i="12"/>
  <c r="O43" i="12"/>
  <c r="W42" i="12"/>
  <c r="F42" i="12"/>
  <c r="M41" i="12"/>
  <c r="V40" i="12"/>
  <c r="E40" i="12"/>
  <c r="L39" i="12"/>
  <c r="U38" i="12"/>
  <c r="D38" i="12"/>
  <c r="J37" i="12"/>
  <c r="U36" i="12"/>
  <c r="D36" i="12"/>
  <c r="J35" i="12"/>
  <c r="U34" i="12"/>
  <c r="D34" i="12"/>
  <c r="J33" i="12"/>
  <c r="U32" i="12"/>
  <c r="D32" i="12"/>
  <c r="M31" i="12"/>
  <c r="X30" i="12"/>
  <c r="G30" i="12"/>
  <c r="O29" i="12"/>
  <c r="X28" i="12"/>
  <c r="G28" i="12"/>
  <c r="O27" i="12"/>
  <c r="X26" i="12"/>
  <c r="G26" i="12"/>
  <c r="O25" i="12"/>
  <c r="X24" i="12"/>
  <c r="G24" i="12"/>
  <c r="O23" i="12"/>
  <c r="X22" i="12"/>
  <c r="G22" i="12"/>
  <c r="O21" i="12"/>
  <c r="X20" i="12"/>
  <c r="G20" i="12"/>
  <c r="O19" i="12"/>
  <c r="X18" i="12"/>
  <c r="G18" i="12"/>
  <c r="S17" i="12"/>
  <c r="C17" i="12"/>
  <c r="M16" i="12"/>
  <c r="X15" i="12"/>
  <c r="G15" i="12"/>
  <c r="O14" i="12"/>
  <c r="X13" i="12"/>
  <c r="G13" i="12"/>
  <c r="M12" i="12"/>
  <c r="V11" i="12"/>
  <c r="E11" i="12"/>
  <c r="L10" i="12"/>
  <c r="V9" i="12"/>
  <c r="F9" i="12"/>
  <c r="O8" i="12"/>
  <c r="AA7" i="12"/>
  <c r="I7" i="12"/>
  <c r="V6" i="12"/>
  <c r="G6" i="12"/>
  <c r="BA480" i="2"/>
  <c r="AJ480" i="2"/>
  <c r="BP479" i="2"/>
  <c r="AT479" i="2"/>
  <c r="F479" i="2"/>
  <c r="BD478" i="2"/>
  <c r="AR478" i="2"/>
  <c r="C478" i="2"/>
  <c r="BB477" i="2"/>
  <c r="AF477" i="2"/>
  <c r="BJ476" i="2"/>
  <c r="AX476" i="2"/>
  <c r="H476" i="2"/>
  <c r="BF475" i="2"/>
  <c r="AJ475" i="2"/>
  <c r="C475" i="2"/>
  <c r="BB474" i="2"/>
  <c r="AF474" i="2"/>
  <c r="BJ473" i="2"/>
  <c r="AX473" i="2"/>
  <c r="H473" i="2"/>
  <c r="BF472" i="2"/>
  <c r="AJ472" i="2"/>
  <c r="C472" i="2"/>
  <c r="BB471" i="2"/>
  <c r="AF471" i="2"/>
  <c r="BJ470" i="2"/>
  <c r="AX470" i="2"/>
  <c r="H470" i="2"/>
  <c r="BF469" i="2"/>
  <c r="AJ469" i="2"/>
  <c r="C469" i="2"/>
  <c r="BB468" i="2"/>
  <c r="AF468" i="2"/>
  <c r="BJ467" i="2"/>
  <c r="AX467" i="2"/>
  <c r="H467" i="2"/>
  <c r="BF466" i="2"/>
  <c r="AJ466" i="2"/>
  <c r="C466" i="2"/>
  <c r="BG465" i="2"/>
  <c r="AO465" i="2"/>
  <c r="W465" i="2"/>
  <c r="D465" i="2"/>
  <c r="BH464" i="2"/>
  <c r="U351" i="12"/>
  <c r="AC318" i="12"/>
  <c r="C266" i="12"/>
  <c r="A254" i="12"/>
  <c r="I240" i="12"/>
  <c r="M230" i="12"/>
  <c r="S223" i="12"/>
  <c r="H217" i="12"/>
  <c r="T211" i="12"/>
  <c r="F206" i="12"/>
  <c r="H202" i="12"/>
  <c r="F199" i="12"/>
  <c r="D196" i="12"/>
  <c r="W189" i="12"/>
  <c r="I186" i="12"/>
  <c r="W179" i="12"/>
  <c r="L176" i="12"/>
  <c r="C173" i="12"/>
  <c r="M166" i="12"/>
  <c r="I163" i="12"/>
  <c r="S160" i="12"/>
  <c r="S157" i="12"/>
  <c r="M154" i="12"/>
  <c r="I151" i="12"/>
  <c r="S148" i="12"/>
  <c r="O145" i="12"/>
  <c r="L142" i="12"/>
  <c r="D140" i="12"/>
  <c r="F138" i="12"/>
  <c r="S136" i="12"/>
  <c r="I133" i="12"/>
  <c r="Q131" i="12"/>
  <c r="D130" i="12"/>
  <c r="J128" i="12"/>
  <c r="V126" i="12"/>
  <c r="C125" i="12"/>
  <c r="O123" i="12"/>
  <c r="X121" i="12"/>
  <c r="Q120" i="12"/>
  <c r="M119" i="12"/>
  <c r="I118" i="12"/>
  <c r="I117" i="12"/>
  <c r="E116" i="12"/>
  <c r="V113" i="12"/>
  <c r="S112" i="12"/>
  <c r="N111" i="12"/>
  <c r="O110" i="12"/>
  <c r="U109" i="12"/>
  <c r="E108" i="12"/>
  <c r="I107" i="12"/>
  <c r="S106" i="12"/>
  <c r="H105" i="12"/>
  <c r="S104" i="12"/>
  <c r="H103" i="12"/>
  <c r="S102" i="12"/>
  <c r="H101" i="12"/>
  <c r="O100" i="12"/>
  <c r="X99" i="12"/>
  <c r="G99" i="12"/>
  <c r="O98" i="12"/>
  <c r="X97" i="12"/>
  <c r="G97" i="12"/>
  <c r="O96" i="12"/>
  <c r="X95" i="12"/>
  <c r="G95" i="12"/>
  <c r="O94" i="12"/>
  <c r="X93" i="12"/>
  <c r="G93" i="12"/>
  <c r="O92" i="12"/>
  <c r="W91" i="12"/>
  <c r="G91" i="12"/>
  <c r="O90" i="12"/>
  <c r="X89" i="12"/>
  <c r="G89" i="12"/>
  <c r="O88" i="12"/>
  <c r="X87" i="12"/>
  <c r="G87" i="12"/>
  <c r="O86" i="12"/>
  <c r="X85" i="12"/>
  <c r="G85" i="12"/>
  <c r="O84" i="12"/>
  <c r="X83" i="12"/>
  <c r="G83" i="12"/>
  <c r="Q82" i="12"/>
  <c r="H81" i="12"/>
  <c r="S80" i="12"/>
  <c r="H79" i="12"/>
  <c r="S78" i="12"/>
  <c r="AB77" i="12"/>
  <c r="I77" i="12"/>
  <c r="T76" i="12"/>
  <c r="C76" i="12"/>
  <c r="L75" i="12"/>
  <c r="W74" i="12"/>
  <c r="F74" i="12"/>
  <c r="M73" i="12"/>
  <c r="V72" i="12"/>
  <c r="D72" i="12"/>
  <c r="J71" i="12"/>
  <c r="T70" i="12"/>
  <c r="C70" i="12"/>
  <c r="I69" i="12"/>
  <c r="T68" i="12"/>
  <c r="C68" i="12"/>
  <c r="I67" i="12"/>
  <c r="T66" i="12"/>
  <c r="H65" i="12"/>
  <c r="O64" i="12"/>
  <c r="X63" i="12"/>
  <c r="G63" i="12"/>
  <c r="O62" i="12"/>
  <c r="W61" i="12"/>
  <c r="F61" i="12"/>
  <c r="M60" i="12"/>
  <c r="W59" i="12"/>
  <c r="F59" i="12"/>
  <c r="M58" i="12"/>
  <c r="W57" i="12"/>
  <c r="E57" i="12"/>
  <c r="L56" i="12"/>
  <c r="U55" i="12"/>
  <c r="D55" i="12"/>
  <c r="J54" i="12"/>
  <c r="T53" i="12"/>
  <c r="H52" i="12"/>
  <c r="S51" i="12"/>
  <c r="H50" i="12"/>
  <c r="S49" i="12"/>
  <c r="X48" i="12"/>
  <c r="G48" i="12"/>
  <c r="O47" i="12"/>
  <c r="X46" i="12"/>
  <c r="G46" i="12"/>
  <c r="M45" i="12"/>
  <c r="W44" i="12"/>
  <c r="F44" i="12"/>
  <c r="M43" i="12"/>
  <c r="V42" i="12"/>
  <c r="E42" i="12"/>
  <c r="L41" i="12"/>
  <c r="U40" i="12"/>
  <c r="D40" i="12"/>
  <c r="J39" i="12"/>
  <c r="T38" i="12"/>
  <c r="C38" i="12"/>
  <c r="I37" i="12"/>
  <c r="T36" i="12"/>
  <c r="C36" i="12"/>
  <c r="I35" i="12"/>
  <c r="T34" i="12"/>
  <c r="C34" i="12"/>
  <c r="I33" i="12"/>
  <c r="T32" i="12"/>
  <c r="C32" i="12"/>
  <c r="L31" i="12"/>
  <c r="W30" i="12"/>
  <c r="F30" i="12"/>
  <c r="M29" i="12"/>
  <c r="W28" i="12"/>
  <c r="F28" i="12"/>
  <c r="M27" i="12"/>
  <c r="W26" i="12"/>
  <c r="F26" i="12"/>
  <c r="M25" i="12"/>
  <c r="W24" i="12"/>
  <c r="F24" i="12"/>
  <c r="M23" i="12"/>
  <c r="W22" i="12"/>
  <c r="F22" i="12"/>
  <c r="M21" i="12"/>
  <c r="W20" i="12"/>
  <c r="F20" i="12"/>
  <c r="M19" i="12"/>
  <c r="W18" i="12"/>
  <c r="F18" i="12"/>
  <c r="Q17" i="12"/>
  <c r="A17" i="12"/>
  <c r="L16" i="12"/>
  <c r="W15" i="12"/>
  <c r="F15" i="12"/>
  <c r="M14" i="12"/>
  <c r="W13" i="12"/>
  <c r="E13" i="12"/>
  <c r="L12" i="12"/>
  <c r="U11" i="12"/>
  <c r="D11" i="12"/>
  <c r="J10" i="12"/>
  <c r="U9" i="12"/>
  <c r="E9" i="12"/>
  <c r="M8" i="12"/>
  <c r="X7" i="12"/>
  <c r="H7" i="12"/>
  <c r="U6" i="12"/>
  <c r="F6" i="12"/>
  <c r="AZ480" i="2"/>
  <c r="AI480" i="2"/>
  <c r="BJ479" i="2"/>
  <c r="AS479" i="2"/>
  <c r="E479" i="2"/>
  <c r="BC478" i="2"/>
  <c r="AL478" i="2"/>
  <c r="B478" i="2"/>
  <c r="BA477" i="2"/>
  <c r="Q477" i="2"/>
  <c r="BI476" i="2"/>
  <c r="AR476" i="2"/>
  <c r="G476" i="2"/>
  <c r="BE475" i="2"/>
  <c r="AI475" i="2"/>
  <c r="B475" i="2"/>
  <c r="BA474" i="2"/>
  <c r="Q474" i="2"/>
  <c r="BI473" i="2"/>
  <c r="AR473" i="2"/>
  <c r="G473" i="2"/>
  <c r="BE472" i="2"/>
  <c r="AI472" i="2"/>
  <c r="B472" i="2"/>
  <c r="BA471" i="2"/>
  <c r="Q471" i="2"/>
  <c r="BI470" i="2"/>
  <c r="AR470" i="2"/>
  <c r="G470" i="2"/>
  <c r="BE469" i="2"/>
  <c r="AI469" i="2"/>
  <c r="B469" i="2"/>
  <c r="BA468" i="2"/>
  <c r="Q468" i="2"/>
  <c r="BI467" i="2"/>
  <c r="AR467" i="2"/>
  <c r="G467" i="2"/>
  <c r="BE466" i="2"/>
  <c r="AI466" i="2"/>
  <c r="B466" i="2"/>
  <c r="BF465" i="2"/>
  <c r="AN465" i="2"/>
  <c r="V465" i="2"/>
  <c r="C465" i="2"/>
  <c r="BG464" i="2"/>
  <c r="AO464" i="2"/>
  <c r="W464" i="2"/>
  <c r="CI463" i="2"/>
  <c r="BP463" i="2"/>
  <c r="AX463" i="2"/>
  <c r="AH463" i="2"/>
  <c r="L463" i="2"/>
  <c r="BT462" i="2"/>
  <c r="BB462" i="2"/>
  <c r="AK462" i="2"/>
  <c r="N462" i="2"/>
  <c r="BM461" i="2"/>
  <c r="AU461" i="2"/>
  <c r="I315" i="12"/>
  <c r="C279" i="12"/>
  <c r="I264" i="12"/>
  <c r="C239" i="12"/>
  <c r="D223" i="12"/>
  <c r="S216" i="12"/>
  <c r="D211" i="12"/>
  <c r="Q195" i="12"/>
  <c r="N192" i="12"/>
  <c r="L189" i="12"/>
  <c r="X185" i="12"/>
  <c r="W182" i="12"/>
  <c r="L179" i="12"/>
  <c r="AC175" i="12"/>
  <c r="X172" i="12"/>
  <c r="X169" i="12"/>
  <c r="I166" i="12"/>
  <c r="F163" i="12"/>
  <c r="F160" i="12"/>
  <c r="M157" i="12"/>
  <c r="I154" i="12"/>
  <c r="F151" i="12"/>
  <c r="F148" i="12"/>
  <c r="E145" i="12"/>
  <c r="I142" i="12"/>
  <c r="C138" i="12"/>
  <c r="L136" i="12"/>
  <c r="W134" i="12"/>
  <c r="F133" i="12"/>
  <c r="N131" i="12"/>
  <c r="H128" i="12"/>
  <c r="T126" i="12"/>
  <c r="M123" i="12"/>
  <c r="U121" i="12"/>
  <c r="N120" i="12"/>
  <c r="J119" i="12"/>
  <c r="G118" i="12"/>
  <c r="F117" i="12"/>
  <c r="X114" i="12"/>
  <c r="T113" i="12"/>
  <c r="O112" i="12"/>
  <c r="L111" i="12"/>
  <c r="N110" i="12"/>
  <c r="T109" i="12"/>
  <c r="X108" i="12"/>
  <c r="D108" i="12"/>
  <c r="H107" i="12"/>
  <c r="O106" i="12"/>
  <c r="X105" i="12"/>
  <c r="G105" i="12"/>
  <c r="O104" i="12"/>
  <c r="X103" i="12"/>
  <c r="G103" i="12"/>
  <c r="O102" i="12"/>
  <c r="X101" i="12"/>
  <c r="G101" i="12"/>
  <c r="M100" i="12"/>
  <c r="W99" i="12"/>
  <c r="F99" i="12"/>
  <c r="M98" i="12"/>
  <c r="W97" i="12"/>
  <c r="F97" i="12"/>
  <c r="M96" i="12"/>
  <c r="W95" i="12"/>
  <c r="F95" i="12"/>
  <c r="M94" i="12"/>
  <c r="W93" i="12"/>
  <c r="F93" i="12"/>
  <c r="M92" i="12"/>
  <c r="V91" i="12"/>
  <c r="F91" i="12"/>
  <c r="M90" i="12"/>
  <c r="W89" i="12"/>
  <c r="F89" i="12"/>
  <c r="M88" i="12"/>
  <c r="W87" i="12"/>
  <c r="F87" i="12"/>
  <c r="M86" i="12"/>
  <c r="W85" i="12"/>
  <c r="F85" i="12"/>
  <c r="M84" i="12"/>
  <c r="W83" i="12"/>
  <c r="F83" i="12"/>
  <c r="O82" i="12"/>
  <c r="X81" i="12"/>
  <c r="G81" i="12"/>
  <c r="O80" i="12"/>
  <c r="X79" i="12"/>
  <c r="G79" i="12"/>
  <c r="O78" i="12"/>
  <c r="AA77" i="12"/>
  <c r="H77" i="12"/>
  <c r="S76" i="12"/>
  <c r="AB75" i="12"/>
  <c r="J75" i="12"/>
  <c r="V74" i="12"/>
  <c r="E74" i="12"/>
  <c r="L73" i="12"/>
  <c r="U72" i="12"/>
  <c r="C72" i="12"/>
  <c r="I71" i="12"/>
  <c r="S70" i="12"/>
  <c r="H69" i="12"/>
  <c r="S68" i="12"/>
  <c r="H67" i="12"/>
  <c r="S66" i="12"/>
  <c r="X65" i="12"/>
  <c r="G65" i="12"/>
  <c r="M64" i="12"/>
  <c r="W63" i="12"/>
  <c r="F63" i="12"/>
  <c r="M62" i="12"/>
  <c r="V61" i="12"/>
  <c r="E61" i="12"/>
  <c r="L60" i="12"/>
  <c r="V59" i="12"/>
  <c r="E59" i="12"/>
  <c r="L58" i="12"/>
  <c r="V57" i="12"/>
  <c r="D57" i="12"/>
  <c r="J56" i="12"/>
  <c r="T55" i="12"/>
  <c r="C55" i="12"/>
  <c r="I54" i="12"/>
  <c r="S53" i="12"/>
  <c r="X52" i="12"/>
  <c r="G52" i="12"/>
  <c r="O51" i="12"/>
  <c r="X50" i="12"/>
  <c r="G50" i="12"/>
  <c r="O49" i="12"/>
  <c r="W48" i="12"/>
  <c r="F48" i="12"/>
  <c r="M47" i="12"/>
  <c r="W46" i="12"/>
  <c r="E46" i="12"/>
  <c r="L45" i="12"/>
  <c r="V44" i="12"/>
  <c r="E44" i="12"/>
  <c r="L43" i="12"/>
  <c r="U42" i="12"/>
  <c r="D42" i="12"/>
  <c r="J41" i="12"/>
  <c r="T40" i="12"/>
  <c r="C40" i="12"/>
  <c r="I39" i="12"/>
  <c r="S38" i="12"/>
  <c r="H37" i="12"/>
  <c r="S36" i="12"/>
  <c r="H35" i="12"/>
  <c r="S34" i="12"/>
  <c r="H33" i="12"/>
  <c r="S32" i="12"/>
  <c r="AB31" i="12"/>
  <c r="J31" i="12"/>
  <c r="V30" i="12"/>
  <c r="E30" i="12"/>
  <c r="L29" i="12"/>
  <c r="V28" i="12"/>
  <c r="E28" i="12"/>
  <c r="L27" i="12"/>
  <c r="V26" i="12"/>
  <c r="E26" i="12"/>
  <c r="L25" i="12"/>
  <c r="V24" i="12"/>
  <c r="E24" i="12"/>
  <c r="L23" i="12"/>
  <c r="V22" i="12"/>
  <c r="E22" i="12"/>
  <c r="L21" i="12"/>
  <c r="V20" i="12"/>
  <c r="E20" i="12"/>
  <c r="L19" i="12"/>
  <c r="V18" i="12"/>
  <c r="E18" i="12"/>
  <c r="O17" i="12"/>
  <c r="AB16" i="12"/>
  <c r="J16" i="12"/>
  <c r="V15" i="12"/>
  <c r="E15" i="12"/>
  <c r="L14" i="12"/>
  <c r="V13" i="12"/>
  <c r="D13" i="12"/>
  <c r="J12" i="12"/>
  <c r="T11" i="12"/>
  <c r="C11" i="12"/>
  <c r="I10" i="12"/>
  <c r="T9" i="12"/>
  <c r="D9" i="12"/>
  <c r="L8" i="12"/>
  <c r="W7" i="12"/>
  <c r="G7" i="12"/>
  <c r="T6" i="12"/>
  <c r="E6" i="12"/>
  <c r="AY480" i="2"/>
  <c r="AH480" i="2"/>
  <c r="BD479" i="2"/>
  <c r="AR479" i="2"/>
  <c r="C479" i="2"/>
  <c r="BB478" i="2"/>
  <c r="AK478" i="2"/>
  <c r="BV477" i="2"/>
  <c r="AZ477" i="2"/>
  <c r="P477" i="2"/>
  <c r="BH476" i="2"/>
  <c r="AL476" i="2"/>
  <c r="F476" i="2"/>
  <c r="BD475" i="2"/>
  <c r="AH475" i="2"/>
  <c r="BV474" i="2"/>
  <c r="AZ474" i="2"/>
  <c r="P474" i="2"/>
  <c r="BH473" i="2"/>
  <c r="AL473" i="2"/>
  <c r="F473" i="2"/>
  <c r="BD472" i="2"/>
  <c r="AH472" i="2"/>
  <c r="BV471" i="2"/>
  <c r="AZ471" i="2"/>
  <c r="P471" i="2"/>
  <c r="BH470" i="2"/>
  <c r="AL470" i="2"/>
  <c r="F470" i="2"/>
  <c r="BD469" i="2"/>
  <c r="AH469" i="2"/>
  <c r="BV468" i="2"/>
  <c r="AZ468" i="2"/>
  <c r="P468" i="2"/>
  <c r="BH467" i="2"/>
  <c r="AL467" i="2"/>
  <c r="F467" i="2"/>
  <c r="BD466" i="2"/>
  <c r="AH466" i="2"/>
  <c r="BV465" i="2"/>
  <c r="BD465" i="2"/>
  <c r="AL465" i="2"/>
  <c r="U465" i="2"/>
  <c r="B465" i="2"/>
  <c r="BF464" i="2"/>
  <c r="AN464" i="2"/>
  <c r="V464" i="2"/>
  <c r="CH463" i="2"/>
  <c r="BN463" i="2"/>
  <c r="AV463" i="2"/>
  <c r="AG463" i="2"/>
  <c r="K463" i="2"/>
  <c r="BS462" i="2"/>
  <c r="BA462" i="2"/>
  <c r="AJ462" i="2"/>
  <c r="G462" i="2"/>
  <c r="BL461" i="2"/>
  <c r="AT461" i="2"/>
  <c r="Z461" i="2"/>
  <c r="G461" i="2"/>
  <c r="CM460" i="2"/>
  <c r="E56" i="13"/>
  <c r="S422" i="12"/>
  <c r="N311" i="12"/>
  <c r="L294" i="12"/>
  <c r="X237" i="12"/>
  <c r="O229" i="12"/>
  <c r="O222" i="12"/>
  <c r="D216" i="12"/>
  <c r="N205" i="12"/>
  <c r="V201" i="12"/>
  <c r="T198" i="12"/>
  <c r="M195" i="12"/>
  <c r="J192" i="12"/>
  <c r="H189" i="12"/>
  <c r="U185" i="12"/>
  <c r="J182" i="12"/>
  <c r="H179" i="12"/>
  <c r="W175" i="12"/>
  <c r="M172" i="12"/>
  <c r="L169" i="12"/>
  <c r="C160" i="12"/>
  <c r="C157" i="12"/>
  <c r="C148" i="12"/>
  <c r="X139" i="12"/>
  <c r="I136" i="12"/>
  <c r="Q134" i="12"/>
  <c r="D133" i="12"/>
  <c r="J131" i="12"/>
  <c r="V129" i="12"/>
  <c r="C128" i="12"/>
  <c r="O126" i="12"/>
  <c r="X124" i="12"/>
  <c r="G123" i="12"/>
  <c r="S121" i="12"/>
  <c r="L120" i="12"/>
  <c r="H119" i="12"/>
  <c r="E118" i="12"/>
  <c r="D117" i="12"/>
  <c r="W115" i="12"/>
  <c r="U114" i="12"/>
  <c r="O113" i="12"/>
  <c r="L112" i="12"/>
  <c r="H111" i="12"/>
  <c r="M110" i="12"/>
  <c r="S109" i="12"/>
  <c r="V108" i="12"/>
  <c r="C108" i="12"/>
  <c r="G107" i="12"/>
  <c r="M106" i="12"/>
  <c r="W105" i="12"/>
  <c r="F105" i="12"/>
  <c r="M104" i="12"/>
  <c r="W103" i="12"/>
  <c r="F103" i="12"/>
  <c r="M102" i="12"/>
  <c r="W101" i="12"/>
  <c r="E101" i="12"/>
  <c r="L100" i="12"/>
  <c r="V99" i="12"/>
  <c r="E99" i="12"/>
  <c r="L98" i="12"/>
  <c r="V97" i="12"/>
  <c r="E97" i="12"/>
  <c r="L96" i="12"/>
  <c r="V95" i="12"/>
  <c r="E95" i="12"/>
  <c r="L94" i="12"/>
  <c r="V93" i="12"/>
  <c r="E93" i="12"/>
  <c r="L92" i="12"/>
  <c r="U91" i="12"/>
  <c r="E91" i="12"/>
  <c r="L90" i="12"/>
  <c r="V89" i="12"/>
  <c r="E89" i="12"/>
  <c r="L88" i="12"/>
  <c r="V87" i="12"/>
  <c r="E87" i="12"/>
  <c r="L86" i="12"/>
  <c r="V85" i="12"/>
  <c r="E85" i="12"/>
  <c r="L84" i="12"/>
  <c r="V83" i="12"/>
  <c r="E83" i="12"/>
  <c r="M82" i="12"/>
  <c r="W81" i="12"/>
  <c r="F81" i="12"/>
  <c r="M80" i="12"/>
  <c r="W79" i="12"/>
  <c r="F79" i="12"/>
  <c r="M78" i="12"/>
  <c r="X77" i="12"/>
  <c r="G77" i="12"/>
  <c r="O76" i="12"/>
  <c r="AA75" i="12"/>
  <c r="I75" i="12"/>
  <c r="U74" i="12"/>
  <c r="D74" i="12"/>
  <c r="J73" i="12"/>
  <c r="T72" i="12"/>
  <c r="H71" i="12"/>
  <c r="O70" i="12"/>
  <c r="X69" i="12"/>
  <c r="G69" i="12"/>
  <c r="O68" i="12"/>
  <c r="X67" i="12"/>
  <c r="G67" i="12"/>
  <c r="O66" i="12"/>
  <c r="W65" i="12"/>
  <c r="E65" i="12"/>
  <c r="L64" i="12"/>
  <c r="V63" i="12"/>
  <c r="E63" i="12"/>
  <c r="L62" i="12"/>
  <c r="U61" i="12"/>
  <c r="D61" i="12"/>
  <c r="J60" i="12"/>
  <c r="U59" i="12"/>
  <c r="D59" i="12"/>
  <c r="J58" i="12"/>
  <c r="U57" i="12"/>
  <c r="C57" i="12"/>
  <c r="I56" i="12"/>
  <c r="S55" i="12"/>
  <c r="H54" i="12"/>
  <c r="O53" i="12"/>
  <c r="W52" i="12"/>
  <c r="F52" i="12"/>
  <c r="M51" i="12"/>
  <c r="W50" i="12"/>
  <c r="F50" i="12"/>
  <c r="M49" i="12"/>
  <c r="V48" i="12"/>
  <c r="E48" i="12"/>
  <c r="L47" i="12"/>
  <c r="V46" i="12"/>
  <c r="D46" i="12"/>
  <c r="J45" i="12"/>
  <c r="U44" i="12"/>
  <c r="D44" i="12"/>
  <c r="J43" i="12"/>
  <c r="T42" i="12"/>
  <c r="C42" i="12"/>
  <c r="I41" i="12"/>
  <c r="S40" i="12"/>
  <c r="H39" i="12"/>
  <c r="O38" i="12"/>
  <c r="X37" i="12"/>
  <c r="G37" i="12"/>
  <c r="O36" i="12"/>
  <c r="X35" i="12"/>
  <c r="G35" i="12"/>
  <c r="O34" i="12"/>
  <c r="X33" i="12"/>
  <c r="G33" i="12"/>
  <c r="O32" i="12"/>
  <c r="AA31" i="12"/>
  <c r="I31" i="12"/>
  <c r="U30" i="12"/>
  <c r="D30" i="12"/>
  <c r="J29" i="12"/>
  <c r="U28" i="12"/>
  <c r="D28" i="12"/>
  <c r="J27" i="12"/>
  <c r="U26" i="12"/>
  <c r="D26" i="12"/>
  <c r="J25" i="12"/>
  <c r="U24" i="12"/>
  <c r="D24" i="12"/>
  <c r="J23" i="12"/>
  <c r="U22" i="12"/>
  <c r="D22" i="12"/>
  <c r="J21" i="12"/>
  <c r="U20" i="12"/>
  <c r="D20" i="12"/>
  <c r="J19" i="12"/>
  <c r="U18" i="12"/>
  <c r="D18" i="12"/>
  <c r="M17" i="12"/>
  <c r="AA16" i="12"/>
  <c r="I16" i="12"/>
  <c r="U15" i="12"/>
  <c r="D15" i="12"/>
  <c r="J14" i="12"/>
  <c r="U13" i="12"/>
  <c r="C13" i="12"/>
  <c r="I12" i="12"/>
  <c r="S11" i="12"/>
  <c r="H10" i="12"/>
  <c r="S9" i="12"/>
  <c r="C9" i="12"/>
  <c r="J8" i="12"/>
  <c r="V7" i="12"/>
  <c r="F7" i="12"/>
  <c r="S6" i="12"/>
  <c r="D6" i="12"/>
  <c r="AX480" i="2"/>
  <c r="AG480" i="2"/>
  <c r="BC479" i="2"/>
  <c r="AL479" i="2"/>
  <c r="B479" i="2"/>
  <c r="BA478" i="2"/>
  <c r="AJ478" i="2"/>
  <c r="BP477" i="2"/>
  <c r="AY477" i="2"/>
  <c r="O477" i="2"/>
  <c r="BG476" i="2"/>
  <c r="AK476" i="2"/>
  <c r="E476" i="2"/>
  <c r="BC475" i="2"/>
  <c r="AG475" i="2"/>
  <c r="BP474" i="2"/>
  <c r="AY474" i="2"/>
  <c r="O474" i="2"/>
  <c r="BG473" i="2"/>
  <c r="AK473" i="2"/>
  <c r="E473" i="2"/>
  <c r="BC472" i="2"/>
  <c r="AG472" i="2"/>
  <c r="BP471" i="2"/>
  <c r="AY471" i="2"/>
  <c r="O471" i="2"/>
  <c r="BG470" i="2"/>
  <c r="AK470" i="2"/>
  <c r="E470" i="2"/>
  <c r="BC469" i="2"/>
  <c r="H480" i="12"/>
  <c r="U290" i="12"/>
  <c r="M252" i="12"/>
  <c r="V236" i="12"/>
  <c r="U228" i="12"/>
  <c r="AC221" i="12"/>
  <c r="M215" i="12"/>
  <c r="L210" i="12"/>
  <c r="S201" i="12"/>
  <c r="N198" i="12"/>
  <c r="C195" i="12"/>
  <c r="V188" i="12"/>
  <c r="I185" i="12"/>
  <c r="G182" i="12"/>
  <c r="W178" i="12"/>
  <c r="L175" i="12"/>
  <c r="I172" i="12"/>
  <c r="H169" i="12"/>
  <c r="W165" i="12"/>
  <c r="T162" i="12"/>
  <c r="W153" i="12"/>
  <c r="T150" i="12"/>
  <c r="M144" i="12"/>
  <c r="V141" i="12"/>
  <c r="V139" i="12"/>
  <c r="X137" i="12"/>
  <c r="F136" i="12"/>
  <c r="N134" i="12"/>
  <c r="H131" i="12"/>
  <c r="T129" i="12"/>
  <c r="M126" i="12"/>
  <c r="U124" i="12"/>
  <c r="E123" i="12"/>
  <c r="O121" i="12"/>
  <c r="J120" i="12"/>
  <c r="G119" i="12"/>
  <c r="D118" i="12"/>
  <c r="U115" i="12"/>
  <c r="S114" i="12"/>
  <c r="M113" i="12"/>
  <c r="I112" i="12"/>
  <c r="F111" i="12"/>
  <c r="J110" i="12"/>
  <c r="O109" i="12"/>
  <c r="U108" i="12"/>
  <c r="F107" i="12"/>
  <c r="L106" i="12"/>
  <c r="V105" i="12"/>
  <c r="E105" i="12"/>
  <c r="L104" i="12"/>
  <c r="V103" i="12"/>
  <c r="E103" i="12"/>
  <c r="L102" i="12"/>
  <c r="V101" i="12"/>
  <c r="D101" i="12"/>
  <c r="J100" i="12"/>
  <c r="U99" i="12"/>
  <c r="D99" i="12"/>
  <c r="J98" i="12"/>
  <c r="U97" i="12"/>
  <c r="D97" i="12"/>
  <c r="J96" i="12"/>
  <c r="U95" i="12"/>
  <c r="D95" i="12"/>
  <c r="J94" i="12"/>
  <c r="U93" i="12"/>
  <c r="D93" i="12"/>
  <c r="J92" i="12"/>
  <c r="T91" i="12"/>
  <c r="D91" i="12"/>
  <c r="J90" i="12"/>
  <c r="U89" i="12"/>
  <c r="D89" i="12"/>
  <c r="J88" i="12"/>
  <c r="U87" i="12"/>
  <c r="D87" i="12"/>
  <c r="J86" i="12"/>
  <c r="U85" i="12"/>
  <c r="D85" i="12"/>
  <c r="J84" i="12"/>
  <c r="U83" i="12"/>
  <c r="D83" i="12"/>
  <c r="L82" i="12"/>
  <c r="V81" i="12"/>
  <c r="E81" i="12"/>
  <c r="L80" i="12"/>
  <c r="V79" i="12"/>
  <c r="E79" i="12"/>
  <c r="L78" i="12"/>
  <c r="W77" i="12"/>
  <c r="F77" i="12"/>
  <c r="M76" i="12"/>
  <c r="X75" i="12"/>
  <c r="H75" i="12"/>
  <c r="T74" i="12"/>
  <c r="C74" i="12"/>
  <c r="I73" i="12"/>
  <c r="S72" i="12"/>
  <c r="X71" i="12"/>
  <c r="G71" i="12"/>
  <c r="M70" i="12"/>
  <c r="W69" i="12"/>
  <c r="F69" i="12"/>
  <c r="M68" i="12"/>
  <c r="W67" i="12"/>
  <c r="F67" i="12"/>
  <c r="M66" i="12"/>
  <c r="V65" i="12"/>
  <c r="D65" i="12"/>
  <c r="J64" i="12"/>
  <c r="U63" i="12"/>
  <c r="D63" i="12"/>
  <c r="J62" i="12"/>
  <c r="T61" i="12"/>
  <c r="C61" i="12"/>
  <c r="I60" i="12"/>
  <c r="T59" i="12"/>
  <c r="C59" i="12"/>
  <c r="I58" i="12"/>
  <c r="T57" i="12"/>
  <c r="H56" i="12"/>
  <c r="O55" i="12"/>
  <c r="X54" i="12"/>
  <c r="G54" i="12"/>
  <c r="M53" i="12"/>
  <c r="V52" i="12"/>
  <c r="E52" i="12"/>
  <c r="L51" i="12"/>
  <c r="V50" i="12"/>
  <c r="E50" i="12"/>
  <c r="L49" i="12"/>
  <c r="U48" i="12"/>
  <c r="D48" i="12"/>
  <c r="J47" i="12"/>
  <c r="U46" i="12"/>
  <c r="C46" i="12"/>
  <c r="I45" i="12"/>
  <c r="T44" i="12"/>
  <c r="C44" i="12"/>
  <c r="I43" i="12"/>
  <c r="S42" i="12"/>
  <c r="H41" i="12"/>
  <c r="O40" i="12"/>
  <c r="X39" i="12"/>
  <c r="G39" i="12"/>
  <c r="M38" i="12"/>
  <c r="W37" i="12"/>
  <c r="F37" i="12"/>
  <c r="M36" i="12"/>
  <c r="W35" i="12"/>
  <c r="F35" i="12"/>
  <c r="M34" i="12"/>
  <c r="W33" i="12"/>
  <c r="F33" i="12"/>
  <c r="M32" i="12"/>
  <c r="X31" i="12"/>
  <c r="H31" i="12"/>
  <c r="T30" i="12"/>
  <c r="C30" i="12"/>
  <c r="I29" i="12"/>
  <c r="T28" i="12"/>
  <c r="C28" i="12"/>
  <c r="I27" i="12"/>
  <c r="T26" i="12"/>
  <c r="C26" i="12"/>
  <c r="I25" i="12"/>
  <c r="T24" i="12"/>
  <c r="C24" i="12"/>
  <c r="I23" i="12"/>
  <c r="T22" i="12"/>
  <c r="C22" i="12"/>
  <c r="I21" i="12"/>
  <c r="T20" i="12"/>
  <c r="C20" i="12"/>
  <c r="I19" i="12"/>
  <c r="T18" i="12"/>
  <c r="C18" i="12"/>
  <c r="L17" i="12"/>
  <c r="X16" i="12"/>
  <c r="H16" i="12"/>
  <c r="T15" i="12"/>
  <c r="C15" i="12"/>
  <c r="I14" i="12"/>
  <c r="T13" i="12"/>
  <c r="H12" i="12"/>
  <c r="O11" i="12"/>
  <c r="X10" i="12"/>
  <c r="G10" i="12"/>
  <c r="Q9" i="12"/>
  <c r="I8" i="12"/>
  <c r="U7" i="12"/>
  <c r="E7" i="12"/>
  <c r="Q6" i="12"/>
  <c r="C6" i="12"/>
  <c r="AW480" i="2"/>
  <c r="AF480" i="2"/>
  <c r="BB479" i="2"/>
  <c r="AK479" i="2"/>
  <c r="BV478" i="2"/>
  <c r="AZ478" i="2"/>
  <c r="AI478" i="2"/>
  <c r="BJ477" i="2"/>
  <c r="AX477" i="2"/>
  <c r="H477" i="2"/>
  <c r="BF476" i="2"/>
  <c r="AJ476" i="2"/>
  <c r="C476" i="2"/>
  <c r="BB475" i="2"/>
  <c r="AF475" i="2"/>
  <c r="BJ474" i="2"/>
  <c r="AX474" i="2"/>
  <c r="H474" i="2"/>
  <c r="BF473" i="2"/>
  <c r="AJ473" i="2"/>
  <c r="C473" i="2"/>
  <c r="BB472" i="2"/>
  <c r="AF472" i="2"/>
  <c r="BJ471" i="2"/>
  <c r="AX471" i="2"/>
  <c r="H471" i="2"/>
  <c r="BF470" i="2"/>
  <c r="AJ470" i="2"/>
  <c r="C470" i="2"/>
  <c r="BB469" i="2"/>
  <c r="AF469" i="2"/>
  <c r="BJ468" i="2"/>
  <c r="AX468" i="2"/>
  <c r="H468" i="2"/>
  <c r="BF467" i="2"/>
  <c r="AJ467" i="2"/>
  <c r="C467" i="2"/>
  <c r="BB466" i="2"/>
  <c r="AF466" i="2"/>
  <c r="BS465" i="2"/>
  <c r="BA465" i="2"/>
  <c r="AJ465" i="2"/>
  <c r="N465" i="2"/>
  <c r="BT464" i="2"/>
  <c r="BB464" i="2"/>
  <c r="C277" i="12"/>
  <c r="L262" i="12"/>
  <c r="V235" i="12"/>
  <c r="F228" i="12"/>
  <c r="M221" i="12"/>
  <c r="W209" i="12"/>
  <c r="X204" i="12"/>
  <c r="F201" i="12"/>
  <c r="D198" i="12"/>
  <c r="W194" i="12"/>
  <c r="X191" i="12"/>
  <c r="S188" i="12"/>
  <c r="F185" i="12"/>
  <c r="T178" i="12"/>
  <c r="H175" i="12"/>
  <c r="W168" i="12"/>
  <c r="T165" i="12"/>
  <c r="N162" i="12"/>
  <c r="N159" i="12"/>
  <c r="W156" i="12"/>
  <c r="T153" i="12"/>
  <c r="N150" i="12"/>
  <c r="O147" i="12"/>
  <c r="I144" i="12"/>
  <c r="T141" i="12"/>
  <c r="L139" i="12"/>
  <c r="S137" i="12"/>
  <c r="D136" i="12"/>
  <c r="J134" i="12"/>
  <c r="V132" i="12"/>
  <c r="C131" i="12"/>
  <c r="O129" i="12"/>
  <c r="X127" i="12"/>
  <c r="G126" i="12"/>
  <c r="S124" i="12"/>
  <c r="AB122" i="12"/>
  <c r="L121" i="12"/>
  <c r="H120" i="12"/>
  <c r="E119" i="12"/>
  <c r="A118" i="12"/>
  <c r="X116" i="12"/>
  <c r="T115" i="12"/>
  <c r="O114" i="12"/>
  <c r="J113" i="12"/>
  <c r="G112" i="12"/>
  <c r="D111" i="12"/>
  <c r="I110" i="12"/>
  <c r="L109" i="12"/>
  <c r="T108" i="12"/>
  <c r="X107" i="12"/>
  <c r="D107" i="12"/>
  <c r="J106" i="12"/>
  <c r="U105" i="12"/>
  <c r="D105" i="12"/>
  <c r="J104" i="12"/>
  <c r="U103" i="12"/>
  <c r="D103" i="12"/>
  <c r="J102" i="12"/>
  <c r="U101" i="12"/>
  <c r="C101" i="12"/>
  <c r="I100" i="12"/>
  <c r="T99" i="12"/>
  <c r="C99" i="12"/>
  <c r="I98" i="12"/>
  <c r="T97" i="12"/>
  <c r="C97" i="12"/>
  <c r="I96" i="12"/>
  <c r="T95" i="12"/>
  <c r="C95" i="12"/>
  <c r="I94" i="12"/>
  <c r="T93" i="12"/>
  <c r="C93" i="12"/>
  <c r="I92" i="12"/>
  <c r="S91" i="12"/>
  <c r="C91" i="12"/>
  <c r="I90" i="12"/>
  <c r="T89" i="12"/>
  <c r="C89" i="12"/>
  <c r="I88" i="12"/>
  <c r="T87" i="12"/>
  <c r="C87" i="12"/>
  <c r="I86" i="12"/>
  <c r="T85" i="12"/>
  <c r="C85" i="12"/>
  <c r="I84" i="12"/>
  <c r="T83" i="12"/>
  <c r="C83" i="12"/>
  <c r="J82" i="12"/>
  <c r="U81" i="12"/>
  <c r="D81" i="12"/>
  <c r="J80" i="12"/>
  <c r="U79" i="12"/>
  <c r="D79" i="12"/>
  <c r="J78" i="12"/>
  <c r="V77" i="12"/>
  <c r="E77" i="12"/>
  <c r="L76" i="12"/>
  <c r="W75" i="12"/>
  <c r="G75" i="12"/>
  <c r="S74" i="12"/>
  <c r="H73" i="12"/>
  <c r="O72" i="12"/>
  <c r="W71" i="12"/>
  <c r="E71" i="12"/>
  <c r="L70" i="12"/>
  <c r="V69" i="12"/>
  <c r="E69" i="12"/>
  <c r="L68" i="12"/>
  <c r="V67" i="12"/>
  <c r="E67" i="12"/>
  <c r="L66" i="12"/>
  <c r="U65" i="12"/>
  <c r="C65" i="12"/>
  <c r="I64" i="12"/>
  <c r="T63" i="12"/>
  <c r="C63" i="12"/>
  <c r="I62" i="12"/>
  <c r="S61" i="12"/>
  <c r="H60" i="12"/>
  <c r="S59" i="12"/>
  <c r="H58" i="12"/>
  <c r="S57" i="12"/>
  <c r="X56" i="12"/>
  <c r="G56" i="12"/>
  <c r="M55" i="12"/>
  <c r="W54" i="12"/>
  <c r="E54" i="12"/>
  <c r="L53" i="12"/>
  <c r="U52" i="12"/>
  <c r="D52" i="12"/>
  <c r="J51" i="12"/>
  <c r="U50" i="12"/>
  <c r="D50" i="12"/>
  <c r="J49" i="12"/>
  <c r="T48" i="12"/>
  <c r="C48" i="12"/>
  <c r="I47" i="12"/>
  <c r="T46" i="12"/>
  <c r="H45" i="12"/>
  <c r="S44" i="12"/>
  <c r="H43" i="12"/>
  <c r="O42" i="12"/>
  <c r="X41" i="12"/>
  <c r="G41" i="12"/>
  <c r="M40" i="12"/>
  <c r="W39" i="12"/>
  <c r="E39" i="12"/>
  <c r="L38" i="12"/>
  <c r="V37" i="12"/>
  <c r="E37" i="12"/>
  <c r="L36" i="12"/>
  <c r="V35" i="12"/>
  <c r="E35" i="12"/>
  <c r="L34" i="12"/>
  <c r="V33" i="12"/>
  <c r="E33" i="12"/>
  <c r="L32" i="12"/>
  <c r="W31" i="12"/>
  <c r="G31" i="12"/>
  <c r="S30" i="12"/>
  <c r="H29" i="12"/>
  <c r="S28" i="12"/>
  <c r="H27" i="12"/>
  <c r="S26" i="12"/>
  <c r="H25" i="12"/>
  <c r="S24" i="12"/>
  <c r="H23" i="12"/>
  <c r="S22" i="12"/>
  <c r="H21" i="12"/>
  <c r="S20" i="12"/>
  <c r="H19" i="12"/>
  <c r="S18" i="12"/>
  <c r="AB17" i="12"/>
  <c r="J17" i="12"/>
  <c r="W16" i="12"/>
  <c r="G16" i="12"/>
  <c r="S15" i="12"/>
  <c r="H14" i="12"/>
  <c r="S13" i="12"/>
  <c r="X12" i="12"/>
  <c r="G12" i="12"/>
  <c r="M11" i="12"/>
  <c r="W10" i="12"/>
  <c r="F10" i="12"/>
  <c r="O9" i="12"/>
  <c r="X8" i="12"/>
  <c r="H8" i="12"/>
  <c r="T7" i="12"/>
  <c r="D7" i="12"/>
  <c r="O6" i="12"/>
  <c r="A6" i="12"/>
  <c r="AV480" i="2"/>
  <c r="H480" i="2"/>
  <c r="BA479" i="2"/>
  <c r="AJ479" i="2"/>
  <c r="BP478" i="2"/>
  <c r="AY478" i="2"/>
  <c r="AH478" i="2"/>
  <c r="BI477" i="2"/>
  <c r="AR477" i="2"/>
  <c r="G477" i="2"/>
  <c r="BE476" i="2"/>
  <c r="AI476" i="2"/>
  <c r="B476" i="2"/>
  <c r="BA475" i="2"/>
  <c r="Q475" i="2"/>
  <c r="BI474" i="2"/>
  <c r="AR474" i="2"/>
  <c r="G474" i="2"/>
  <c r="BE473" i="2"/>
  <c r="AI473" i="2"/>
  <c r="B473" i="2"/>
  <c r="BA472" i="2"/>
  <c r="Q472" i="2"/>
  <c r="BI471" i="2"/>
  <c r="AR471" i="2"/>
  <c r="G471" i="2"/>
  <c r="BE470" i="2"/>
  <c r="AI470" i="2"/>
  <c r="B470" i="2"/>
  <c r="BA469" i="2"/>
  <c r="Q469" i="2"/>
  <c r="BI468" i="2"/>
  <c r="AR468" i="2"/>
  <c r="G468" i="2"/>
  <c r="BE467" i="2"/>
  <c r="AI467" i="2"/>
  <c r="B467" i="2"/>
  <c r="BA466" i="2"/>
  <c r="Q466" i="2"/>
  <c r="BR465" i="2"/>
  <c r="AZ465" i="2"/>
  <c r="AI465" i="2"/>
  <c r="L465" i="2"/>
  <c r="BS464" i="2"/>
  <c r="BA464" i="2"/>
  <c r="AJ464" i="2"/>
  <c r="G464" i="2"/>
  <c r="CE463" i="2"/>
  <c r="BJ463" i="2"/>
  <c r="AR463" i="2"/>
  <c r="Y463" i="2"/>
  <c r="H463" i="2"/>
  <c r="BN462" i="2"/>
  <c r="AV462" i="2"/>
  <c r="AG462" i="2"/>
  <c r="C462" i="2"/>
  <c r="D344" i="12"/>
  <c r="H308" i="12"/>
  <c r="S287" i="12"/>
  <c r="U250" i="12"/>
  <c r="O227" i="12"/>
  <c r="W214" i="12"/>
  <c r="H209" i="12"/>
  <c r="H204" i="12"/>
  <c r="C201" i="12"/>
  <c r="L194" i="12"/>
  <c r="U191" i="12"/>
  <c r="G188" i="12"/>
  <c r="U184" i="12"/>
  <c r="U181" i="12"/>
  <c r="H178" i="12"/>
  <c r="W171" i="12"/>
  <c r="T168" i="12"/>
  <c r="G165" i="12"/>
  <c r="D162" i="12"/>
  <c r="J159" i="12"/>
  <c r="J156" i="12"/>
  <c r="G153" i="12"/>
  <c r="D150" i="12"/>
  <c r="L147" i="12"/>
  <c r="I141" i="12"/>
  <c r="H139" i="12"/>
  <c r="N137" i="12"/>
  <c r="H134" i="12"/>
  <c r="T132" i="12"/>
  <c r="M129" i="12"/>
  <c r="U127" i="12"/>
  <c r="E126" i="12"/>
  <c r="L124" i="12"/>
  <c r="W122" i="12"/>
  <c r="I121" i="12"/>
  <c r="F120" i="12"/>
  <c r="C119" i="12"/>
  <c r="V116" i="12"/>
  <c r="Q115" i="12"/>
  <c r="N114" i="12"/>
  <c r="I113" i="12"/>
  <c r="F112" i="12"/>
  <c r="C111" i="12"/>
  <c r="H110" i="12"/>
  <c r="J109" i="12"/>
  <c r="S108" i="12"/>
  <c r="W107" i="12"/>
  <c r="C107" i="12"/>
  <c r="I106" i="12"/>
  <c r="T105" i="12"/>
  <c r="C105" i="12"/>
  <c r="I104" i="12"/>
  <c r="T103" i="12"/>
  <c r="C103" i="12"/>
  <c r="I102" i="12"/>
  <c r="T101" i="12"/>
  <c r="H100" i="12"/>
  <c r="S99" i="12"/>
  <c r="H98" i="12"/>
  <c r="S97" i="12"/>
  <c r="H96" i="12"/>
  <c r="S95" i="12"/>
  <c r="H94" i="12"/>
  <c r="S93" i="12"/>
  <c r="H92" i="12"/>
  <c r="Q91" i="12"/>
  <c r="H90" i="12"/>
  <c r="S89" i="12"/>
  <c r="H88" i="12"/>
  <c r="S87" i="12"/>
  <c r="H86" i="12"/>
  <c r="S85" i="12"/>
  <c r="H84" i="12"/>
  <c r="S83" i="12"/>
  <c r="I82" i="12"/>
  <c r="T81" i="12"/>
  <c r="C81" i="12"/>
  <c r="I80" i="12"/>
  <c r="T79" i="12"/>
  <c r="C79" i="12"/>
  <c r="I78" i="12"/>
  <c r="U77" i="12"/>
  <c r="D77" i="12"/>
  <c r="J76" i="12"/>
  <c r="V75" i="12"/>
  <c r="F75" i="12"/>
  <c r="O74" i="12"/>
  <c r="X73" i="12"/>
  <c r="G73" i="12"/>
  <c r="M72" i="12"/>
  <c r="V71" i="12"/>
  <c r="D71" i="12"/>
  <c r="J70" i="12"/>
  <c r="U69" i="12"/>
  <c r="D69" i="12"/>
  <c r="J68" i="12"/>
  <c r="U67" i="12"/>
  <c r="D67" i="12"/>
  <c r="J66" i="12"/>
  <c r="T65" i="12"/>
  <c r="H64" i="12"/>
  <c r="S63" i="12"/>
  <c r="H62" i="12"/>
  <c r="O61" i="12"/>
  <c r="X60" i="12"/>
  <c r="G60" i="12"/>
  <c r="O59" i="12"/>
  <c r="X58" i="12"/>
  <c r="G58" i="12"/>
  <c r="O57" i="12"/>
  <c r="W56" i="12"/>
  <c r="E56" i="12"/>
  <c r="L55" i="12"/>
  <c r="V54" i="12"/>
  <c r="D54" i="12"/>
  <c r="J53" i="12"/>
  <c r="T52" i="12"/>
  <c r="C52" i="12"/>
  <c r="I51" i="12"/>
  <c r="T50" i="12"/>
  <c r="C50" i="12"/>
  <c r="I49" i="12"/>
  <c r="S48" i="12"/>
  <c r="H47" i="12"/>
  <c r="S46" i="12"/>
  <c r="X45" i="12"/>
  <c r="G45" i="12"/>
  <c r="O44" i="12"/>
  <c r="X43" i="12"/>
  <c r="G43" i="12"/>
  <c r="M42" i="12"/>
  <c r="W41" i="12"/>
  <c r="E41" i="12"/>
  <c r="L40" i="12"/>
  <c r="V39" i="12"/>
  <c r="D39" i="12"/>
  <c r="J38" i="12"/>
  <c r="U37" i="12"/>
  <c r="D37" i="12"/>
  <c r="J36" i="12"/>
  <c r="U35" i="12"/>
  <c r="D35" i="12"/>
  <c r="J34" i="12"/>
  <c r="U33" i="12"/>
  <c r="D33" i="12"/>
  <c r="J32" i="12"/>
  <c r="V31" i="12"/>
  <c r="F31" i="12"/>
  <c r="O30" i="12"/>
  <c r="X29" i="12"/>
  <c r="G29" i="12"/>
  <c r="O28" i="12"/>
  <c r="X27" i="12"/>
  <c r="G27" i="12"/>
  <c r="O26" i="12"/>
  <c r="X25" i="12"/>
  <c r="G25" i="12"/>
  <c r="O24" i="12"/>
  <c r="X23" i="12"/>
  <c r="G23" i="12"/>
  <c r="O22" i="12"/>
  <c r="X21" i="12"/>
  <c r="G21" i="12"/>
  <c r="O20" i="12"/>
  <c r="X19" i="12"/>
  <c r="G19" i="12"/>
  <c r="O18" i="12"/>
  <c r="AA17" i="12"/>
  <c r="I17" i="12"/>
  <c r="V16" i="12"/>
  <c r="F16" i="12"/>
  <c r="O15" i="12"/>
  <c r="X14" i="12"/>
  <c r="G14" i="12"/>
  <c r="O13" i="12"/>
  <c r="W12" i="12"/>
  <c r="E12" i="12"/>
  <c r="L11" i="12"/>
  <c r="V10" i="12"/>
  <c r="E10" i="12"/>
  <c r="M9" i="12"/>
  <c r="W8" i="12"/>
  <c r="G8" i="12"/>
  <c r="S7" i="12"/>
  <c r="C7" i="12"/>
  <c r="N6" i="12"/>
  <c r="BV480" i="2"/>
  <c r="AU480" i="2"/>
  <c r="G480" i="2"/>
  <c r="AZ479" i="2"/>
  <c r="AI479" i="2"/>
  <c r="BJ478" i="2"/>
  <c r="AX478" i="2"/>
  <c r="AG478" i="2"/>
  <c r="BH477" i="2"/>
  <c r="AL477" i="2"/>
  <c r="F477" i="2"/>
  <c r="BD476" i="2"/>
  <c r="AH476" i="2"/>
  <c r="BV475" i="2"/>
  <c r="AZ475" i="2"/>
  <c r="P475" i="2"/>
  <c r="BH474" i="2"/>
  <c r="AL474" i="2"/>
  <c r="F474" i="2"/>
  <c r="BD473" i="2"/>
  <c r="AH473" i="2"/>
  <c r="BV472" i="2"/>
  <c r="AZ472" i="2"/>
  <c r="P472" i="2"/>
  <c r="BH471" i="2"/>
  <c r="AL471" i="2"/>
  <c r="F471" i="2"/>
  <c r="BD470" i="2"/>
  <c r="AH470" i="2"/>
  <c r="BV469" i="2"/>
  <c r="AZ469" i="2"/>
  <c r="P469" i="2"/>
  <c r="BH468" i="2"/>
  <c r="AL468" i="2"/>
  <c r="F468" i="2"/>
  <c r="BD467" i="2"/>
  <c r="AH467" i="2"/>
  <c r="BV466" i="2"/>
  <c r="AZ466" i="2"/>
  <c r="P466" i="2"/>
  <c r="BP465" i="2"/>
  <c r="AX465" i="2"/>
  <c r="AH465" i="2"/>
  <c r="K465" i="2"/>
  <c r="BR464" i="2"/>
  <c r="AZ464" i="2"/>
  <c r="AI464" i="2"/>
  <c r="F464" i="2"/>
  <c r="CD463" i="2"/>
  <c r="BH463" i="2"/>
  <c r="AP463" i="2"/>
  <c r="X463" i="2"/>
  <c r="G463" i="2"/>
  <c r="BM462" i="2"/>
  <c r="AU462" i="2"/>
  <c r="AF462" i="2"/>
  <c r="B462" i="2"/>
  <c r="BF461" i="2"/>
  <c r="AN461" i="2"/>
  <c r="V461" i="2"/>
  <c r="C461" i="2"/>
  <c r="BT460" i="2"/>
  <c r="BB460" i="2"/>
  <c r="AK460" i="2"/>
  <c r="W460" i="2"/>
  <c r="E460" i="2"/>
  <c r="BJ459" i="2"/>
  <c r="AR459" i="2"/>
  <c r="Y459" i="2"/>
  <c r="G407" i="12"/>
  <c r="C340" i="12"/>
  <c r="M304" i="12"/>
  <c r="V260" i="12"/>
  <c r="AB248" i="12"/>
  <c r="C234" i="12"/>
  <c r="X220" i="12"/>
  <c r="G214" i="12"/>
  <c r="S203" i="12"/>
  <c r="X197" i="12"/>
  <c r="H194" i="12"/>
  <c r="H191" i="12"/>
  <c r="D188" i="12"/>
  <c r="Q184" i="12"/>
  <c r="O181" i="12"/>
  <c r="E178" i="12"/>
  <c r="V174" i="12"/>
  <c r="T171" i="12"/>
  <c r="H168" i="12"/>
  <c r="D165" i="12"/>
  <c r="L437" i="12"/>
  <c r="S390" i="12"/>
  <c r="N355" i="12"/>
  <c r="M336" i="12"/>
  <c r="AC283" i="12"/>
  <c r="O274" i="12"/>
  <c r="F247" i="12"/>
  <c r="I226" i="12"/>
  <c r="H220" i="12"/>
  <c r="S208" i="12"/>
  <c r="N203" i="12"/>
  <c r="N200" i="12"/>
  <c r="L197" i="12"/>
  <c r="E191" i="12"/>
  <c r="Q187" i="12"/>
  <c r="F184" i="12"/>
  <c r="E181" i="12"/>
  <c r="T177" i="12"/>
  <c r="S174" i="12"/>
  <c r="G171" i="12"/>
  <c r="E168" i="12"/>
  <c r="X161" i="12"/>
  <c r="X158" i="12"/>
  <c r="X149" i="12"/>
  <c r="V146" i="12"/>
  <c r="T143" i="12"/>
  <c r="D141" i="12"/>
  <c r="H137" i="12"/>
  <c r="T135" i="12"/>
  <c r="M132" i="12"/>
  <c r="U130" i="12"/>
  <c r="E129" i="12"/>
  <c r="L127" i="12"/>
  <c r="W125" i="12"/>
  <c r="F124" i="12"/>
  <c r="N122" i="12"/>
  <c r="D121" i="12"/>
  <c r="AB119" i="12"/>
  <c r="V118" i="12"/>
  <c r="U117" i="12"/>
  <c r="O116" i="12"/>
  <c r="J115" i="12"/>
  <c r="I114" i="12"/>
  <c r="E113" i="12"/>
  <c r="A112" i="12"/>
  <c r="X110" i="12"/>
  <c r="D110" i="12"/>
  <c r="H109" i="12"/>
  <c r="M108" i="12"/>
  <c r="T107" i="12"/>
  <c r="X106" i="12"/>
  <c r="G106" i="12"/>
  <c r="O105" i="12"/>
  <c r="X104" i="12"/>
  <c r="G104" i="12"/>
  <c r="O103" i="12"/>
  <c r="X102" i="12"/>
  <c r="G102" i="12"/>
  <c r="O101" i="12"/>
  <c r="W100" i="12"/>
  <c r="F100" i="12"/>
  <c r="M99" i="12"/>
  <c r="W98" i="12"/>
  <c r="F98" i="12"/>
  <c r="M97" i="12"/>
  <c r="W96" i="12"/>
  <c r="F96" i="12"/>
  <c r="M95" i="12"/>
  <c r="W94" i="12"/>
  <c r="F94" i="12"/>
  <c r="M93" i="12"/>
  <c r="W92" i="12"/>
  <c r="E92" i="12"/>
  <c r="M91" i="12"/>
  <c r="W90" i="12"/>
  <c r="F90" i="12"/>
  <c r="M89" i="12"/>
  <c r="W88" i="12"/>
  <c r="F88" i="12"/>
  <c r="M87" i="12"/>
  <c r="W86" i="12"/>
  <c r="F86" i="12"/>
  <c r="M85" i="12"/>
  <c r="W84" i="12"/>
  <c r="F84" i="12"/>
  <c r="M83" i="12"/>
  <c r="W82" i="12"/>
  <c r="G82" i="12"/>
  <c r="O81" i="12"/>
  <c r="X80" i="12"/>
  <c r="G80" i="12"/>
  <c r="O79" i="12"/>
  <c r="X78" i="12"/>
  <c r="G78" i="12"/>
  <c r="S77" i="12"/>
  <c r="H76" i="12"/>
  <c r="T75" i="12"/>
  <c r="D75" i="12"/>
  <c r="L74" i="12"/>
  <c r="V73" i="12"/>
  <c r="D73" i="12"/>
  <c r="J72" i="12"/>
  <c r="T71" i="12"/>
  <c r="H70" i="12"/>
  <c r="S69" i="12"/>
  <c r="H68" i="12"/>
  <c r="S67" i="12"/>
  <c r="H66" i="12"/>
  <c r="O65" i="12"/>
  <c r="W64" i="12"/>
  <c r="F64" i="12"/>
  <c r="M63" i="12"/>
  <c r="W62" i="12"/>
  <c r="E62" i="12"/>
  <c r="L61" i="12"/>
  <c r="V60" i="12"/>
  <c r="E60" i="12"/>
  <c r="L59" i="12"/>
  <c r="V58" i="12"/>
  <c r="E58" i="12"/>
  <c r="L57" i="12"/>
  <c r="U56" i="12"/>
  <c r="C56" i="12"/>
  <c r="I55" i="12"/>
  <c r="T54" i="12"/>
  <c r="H53" i="12"/>
  <c r="O52" i="12"/>
  <c r="X51" i="12"/>
  <c r="G51" i="12"/>
  <c r="O50" i="12"/>
  <c r="X49" i="12"/>
  <c r="G49" i="12"/>
  <c r="M48" i="12"/>
  <c r="W47" i="12"/>
  <c r="F47" i="12"/>
  <c r="M46" i="12"/>
  <c r="V45" i="12"/>
  <c r="E45" i="12"/>
  <c r="L44" i="12"/>
  <c r="V43" i="12"/>
  <c r="D43" i="12"/>
  <c r="J42" i="12"/>
  <c r="U41" i="12"/>
  <c r="C41" i="12"/>
  <c r="I40" i="12"/>
  <c r="T39" i="12"/>
  <c r="H38" i="12"/>
  <c r="S37" i="12"/>
  <c r="H36" i="12"/>
  <c r="S35" i="12"/>
  <c r="H34" i="12"/>
  <c r="S33" i="12"/>
  <c r="H32" i="12"/>
  <c r="T31" i="12"/>
  <c r="D31" i="12"/>
  <c r="L30" i="12"/>
  <c r="V29" i="12"/>
  <c r="E29" i="12"/>
  <c r="L28" i="12"/>
  <c r="V27" i="12"/>
  <c r="E27" i="12"/>
  <c r="L26" i="12"/>
  <c r="V25" i="12"/>
  <c r="E25" i="12"/>
  <c r="L24" i="12"/>
  <c r="V23" i="12"/>
  <c r="E23" i="12"/>
  <c r="L22" i="12"/>
  <c r="V21" i="12"/>
  <c r="E21" i="12"/>
  <c r="L20" i="12"/>
  <c r="V19" i="12"/>
  <c r="E19" i="12"/>
  <c r="L18" i="12"/>
  <c r="W17" i="12"/>
  <c r="G17" i="12"/>
  <c r="T16" i="12"/>
  <c r="D16" i="12"/>
  <c r="L15" i="12"/>
  <c r="V14" i="12"/>
  <c r="E14" i="12"/>
  <c r="L13" i="12"/>
  <c r="U12" i="12"/>
  <c r="C12" i="12"/>
  <c r="I11" i="12"/>
  <c r="T10" i="12"/>
  <c r="C10" i="12"/>
  <c r="J9" i="12"/>
  <c r="U8" i="12"/>
  <c r="E8" i="12"/>
  <c r="O7" i="12"/>
  <c r="AB6" i="12"/>
  <c r="L6" i="12"/>
  <c r="BJ480" i="2"/>
  <c r="AS480" i="2"/>
  <c r="E480" i="2"/>
  <c r="AX479" i="2"/>
  <c r="AG479" i="2"/>
  <c r="BH478" i="2"/>
  <c r="AV478" i="2"/>
  <c r="H478" i="2"/>
  <c r="BF477" i="2"/>
  <c r="AJ477" i="2"/>
  <c r="C477" i="2"/>
  <c r="BB476" i="2"/>
  <c r="AF476" i="2"/>
  <c r="BJ475" i="2"/>
  <c r="AX475" i="2"/>
  <c r="H475" i="2"/>
  <c r="BF474" i="2"/>
  <c r="AJ474" i="2"/>
  <c r="C474" i="2"/>
  <c r="BB473" i="2"/>
  <c r="AF473" i="2"/>
  <c r="BJ472" i="2"/>
  <c r="AX472" i="2"/>
  <c r="H472" i="2"/>
  <c r="BF471" i="2"/>
  <c r="AJ471" i="2"/>
  <c r="C471" i="2"/>
  <c r="BB470" i="2"/>
  <c r="AF470" i="2"/>
  <c r="BJ469" i="2"/>
  <c r="AX469" i="2"/>
  <c r="H469" i="2"/>
  <c r="BF468" i="2"/>
  <c r="AJ468" i="2"/>
  <c r="C468" i="2"/>
  <c r="BB467" i="2"/>
  <c r="AF467" i="2"/>
  <c r="BJ466" i="2"/>
  <c r="AX466" i="2"/>
  <c r="H466" i="2"/>
  <c r="BM465" i="2"/>
  <c r="AU465" i="2"/>
  <c r="AF465" i="2"/>
  <c r="I465" i="2"/>
  <c r="BN464" i="2"/>
  <c r="AV464" i="2"/>
  <c r="AG464" i="2"/>
  <c r="D464" i="2"/>
  <c r="CB463" i="2"/>
  <c r="F141" i="12"/>
  <c r="N115" i="12"/>
  <c r="G92" i="12"/>
  <c r="H82" i="12"/>
  <c r="I76" i="12"/>
  <c r="C71" i="12"/>
  <c r="I66" i="12"/>
  <c r="M61" i="12"/>
  <c r="V56" i="12"/>
  <c r="H51" i="12"/>
  <c r="D41" i="12"/>
  <c r="I36" i="12"/>
  <c r="E31" i="12"/>
  <c r="M26" i="12"/>
  <c r="W21" i="12"/>
  <c r="E16" i="12"/>
  <c r="J11" i="12"/>
  <c r="BP480" i="2"/>
  <c r="AG476" i="2"/>
  <c r="BG471" i="2"/>
  <c r="AK468" i="2"/>
  <c r="BC466" i="2"/>
  <c r="AK465" i="2"/>
  <c r="AX464" i="2"/>
  <c r="E464" i="2"/>
  <c r="BG463" i="2"/>
  <c r="AF463" i="2"/>
  <c r="B463" i="2"/>
  <c r="AR462" i="2"/>
  <c r="D462" i="2"/>
  <c r="AX461" i="2"/>
  <c r="X461" i="2"/>
  <c r="CS460" i="2"/>
  <c r="BL460" i="2"/>
  <c r="AP460" i="2"/>
  <c r="Y460" i="2"/>
  <c r="D460" i="2"/>
  <c r="BF459" i="2"/>
  <c r="AJ459" i="2"/>
  <c r="E459" i="2"/>
  <c r="BJ458" i="2"/>
  <c r="AR458" i="2"/>
  <c r="Y458" i="2"/>
  <c r="BV457" i="2"/>
  <c r="BD457" i="2"/>
  <c r="AL457" i="2"/>
  <c r="U457" i="2"/>
  <c r="B457" i="2"/>
  <c r="CH456" i="2"/>
  <c r="BM456" i="2"/>
  <c r="AU456" i="2"/>
  <c r="AF456" i="2"/>
  <c r="M456" i="2"/>
  <c r="BV455" i="2"/>
  <c r="BD455" i="2"/>
  <c r="AL455" i="2"/>
  <c r="V455" i="2"/>
  <c r="E455" i="2"/>
  <c r="CK454" i="2"/>
  <c r="BR454" i="2"/>
  <c r="AZ454" i="2"/>
  <c r="AI454" i="2"/>
  <c r="V454" i="2"/>
  <c r="G454" i="2"/>
  <c r="CM453" i="2"/>
  <c r="BT453" i="2"/>
  <c r="BB453" i="2"/>
  <c r="AK453" i="2"/>
  <c r="W453" i="2"/>
  <c r="G453" i="2"/>
  <c r="BM452" i="2"/>
  <c r="AU452" i="2"/>
  <c r="AF452" i="2"/>
  <c r="C452" i="2"/>
  <c r="BG451" i="2"/>
  <c r="AO451" i="2"/>
  <c r="W451" i="2"/>
  <c r="CI450" i="2"/>
  <c r="BP450" i="2"/>
  <c r="AX450" i="2"/>
  <c r="AH450" i="2"/>
  <c r="L450" i="2"/>
  <c r="BT449" i="2"/>
  <c r="BB449" i="2"/>
  <c r="AK449" i="2"/>
  <c r="N449" i="2"/>
  <c r="BM448" i="2"/>
  <c r="AU448" i="2"/>
  <c r="AF448" i="2"/>
  <c r="C448" i="2"/>
  <c r="BV447" i="2"/>
  <c r="BD447" i="2"/>
  <c r="AL447" i="2"/>
  <c r="W447" i="2"/>
  <c r="F447" i="2"/>
  <c r="BL446" i="2"/>
  <c r="AT446" i="2"/>
  <c r="Z446" i="2"/>
  <c r="G446" i="2"/>
  <c r="BM445" i="2"/>
  <c r="AU445" i="2"/>
  <c r="AF445" i="2"/>
  <c r="D445" i="2"/>
  <c r="BH444" i="2"/>
  <c r="AP444" i="2"/>
  <c r="X444" i="2"/>
  <c r="BT443" i="2"/>
  <c r="BB443" i="2"/>
  <c r="AK443" i="2"/>
  <c r="N443" i="2"/>
  <c r="BM442" i="2"/>
  <c r="AU442" i="2"/>
  <c r="AF442" i="2"/>
  <c r="I442" i="2"/>
  <c r="CF441" i="2"/>
  <c r="BJ441" i="2"/>
  <c r="AR441" i="2"/>
  <c r="Y441" i="2"/>
  <c r="G441" i="2"/>
  <c r="BM440" i="2"/>
  <c r="AU440" i="2"/>
  <c r="AF440" i="2"/>
  <c r="C440" i="2"/>
  <c r="BG439" i="2"/>
  <c r="AO439" i="2"/>
  <c r="W439" i="2"/>
  <c r="CQ438" i="2"/>
  <c r="BL438" i="2"/>
  <c r="AT438" i="2"/>
  <c r="Z438" i="2"/>
  <c r="B438" i="2"/>
  <c r="CH437" i="2"/>
  <c r="BM437" i="2"/>
  <c r="AU437" i="2"/>
  <c r="AF437" i="2"/>
  <c r="N437" i="2"/>
  <c r="BV436" i="2"/>
  <c r="BD436" i="2"/>
  <c r="AL436" i="2"/>
  <c r="U436" i="2"/>
  <c r="BN435" i="2"/>
  <c r="AV435" i="2"/>
  <c r="AG435" i="2"/>
  <c r="J435" i="2"/>
  <c r="BP434" i="2"/>
  <c r="AX434" i="2"/>
  <c r="AH434" i="2"/>
  <c r="D434" i="2"/>
  <c r="BH433" i="2"/>
  <c r="AP433" i="2"/>
  <c r="X433" i="2"/>
  <c r="BT432" i="2"/>
  <c r="BB432" i="2"/>
  <c r="AK432" i="2"/>
  <c r="N432" i="2"/>
  <c r="BR431" i="2"/>
  <c r="AZ431" i="2"/>
  <c r="AI431" i="2"/>
  <c r="E431" i="2"/>
  <c r="BJ430" i="2"/>
  <c r="AR430" i="2"/>
  <c r="Y430" i="2"/>
  <c r="F430" i="2"/>
  <c r="BV429" i="2"/>
  <c r="BD429" i="2"/>
  <c r="AL429" i="2"/>
  <c r="U429" i="2"/>
  <c r="BP428" i="2"/>
  <c r="AX428" i="2"/>
  <c r="AH428" i="2"/>
  <c r="K428" i="2"/>
  <c r="BS427" i="2"/>
  <c r="BA427" i="2"/>
  <c r="AJ427" i="2"/>
  <c r="N427" i="2"/>
  <c r="CR426" i="2"/>
  <c r="CF426" i="2"/>
  <c r="BJ426" i="2"/>
  <c r="AR426" i="2"/>
  <c r="AB426" i="2"/>
  <c r="K426" i="2"/>
  <c r="CG425" i="2"/>
  <c r="BL425" i="2"/>
  <c r="AT425" i="2"/>
  <c r="Z425" i="2"/>
  <c r="H425" i="2"/>
  <c r="BN424" i="2"/>
  <c r="AV424" i="2"/>
  <c r="AG424" i="2"/>
  <c r="C424" i="2"/>
  <c r="CH423" i="2"/>
  <c r="BF423" i="2"/>
  <c r="AN423" i="2"/>
  <c r="Y423" i="2"/>
  <c r="G423" i="2"/>
  <c r="CM422" i="2"/>
  <c r="BL422" i="2"/>
  <c r="AT422" i="2"/>
  <c r="AC422" i="2"/>
  <c r="K422" i="2"/>
  <c r="BS421" i="2"/>
  <c r="BA421" i="2"/>
  <c r="AJ421" i="2"/>
  <c r="N421" i="2"/>
  <c r="BV420" i="2"/>
  <c r="BG420" i="2"/>
  <c r="AJ420" i="2"/>
  <c r="U420" i="2"/>
  <c r="BZ419" i="2"/>
  <c r="BL419" i="2"/>
  <c r="AX419" i="2"/>
  <c r="Y419" i="2"/>
  <c r="D419" i="2"/>
  <c r="BP418" i="2"/>
  <c r="BA418" i="2"/>
  <c r="AB418" i="2"/>
  <c r="J418" i="2"/>
  <c r="BV417" i="2"/>
  <c r="BG417" i="2"/>
  <c r="AJ417" i="2"/>
  <c r="H417" i="2"/>
  <c r="BT416" i="2"/>
  <c r="BF416" i="2"/>
  <c r="AI416" i="2"/>
  <c r="P416" i="2"/>
  <c r="I124" i="12"/>
  <c r="U107" i="12"/>
  <c r="S101" i="12"/>
  <c r="X96" i="12"/>
  <c r="O91" i="12"/>
  <c r="X86" i="12"/>
  <c r="U75" i="12"/>
  <c r="D56" i="12"/>
  <c r="W45" i="12"/>
  <c r="F21" i="12"/>
  <c r="AT480" i="2"/>
  <c r="BP475" i="2"/>
  <c r="AK471" i="2"/>
  <c r="O468" i="2"/>
  <c r="AY466" i="2"/>
  <c r="AG465" i="2"/>
  <c r="AU464" i="2"/>
  <c r="C464" i="2"/>
  <c r="BF463" i="2"/>
  <c r="Z463" i="2"/>
  <c r="BV462" i="2"/>
  <c r="AP462" i="2"/>
  <c r="BV461" i="2"/>
  <c r="AV461" i="2"/>
  <c r="W461" i="2"/>
  <c r="CR460" i="2"/>
  <c r="BJ460" i="2"/>
  <c r="AO460" i="2"/>
  <c r="X460" i="2"/>
  <c r="C460" i="2"/>
  <c r="BB459" i="2"/>
  <c r="AI459" i="2"/>
  <c r="D459" i="2"/>
  <c r="BH458" i="2"/>
  <c r="AP458" i="2"/>
  <c r="X458" i="2"/>
  <c r="BT457" i="2"/>
  <c r="BB457" i="2"/>
  <c r="AK457" i="2"/>
  <c r="P457" i="2"/>
  <c r="CS456" i="2"/>
  <c r="CG456" i="2"/>
  <c r="BL456" i="2"/>
  <c r="AT456" i="2"/>
  <c r="AC456" i="2"/>
  <c r="L456" i="2"/>
  <c r="BT455" i="2"/>
  <c r="BB455" i="2"/>
  <c r="AK455" i="2"/>
  <c r="U455" i="2"/>
  <c r="D455" i="2"/>
  <c r="CJ454" i="2"/>
  <c r="BP454" i="2"/>
  <c r="AX454" i="2"/>
  <c r="AH454" i="2"/>
  <c r="U454" i="2"/>
  <c r="F454" i="2"/>
  <c r="CL453" i="2"/>
  <c r="BS453" i="2"/>
  <c r="BA453" i="2"/>
  <c r="AJ453" i="2"/>
  <c r="V453" i="2"/>
  <c r="F453" i="2"/>
  <c r="BL452" i="2"/>
  <c r="AT452" i="2"/>
  <c r="Z452" i="2"/>
  <c r="B452" i="2"/>
  <c r="BF451" i="2"/>
  <c r="AN451" i="2"/>
  <c r="V451" i="2"/>
  <c r="CH450" i="2"/>
  <c r="BN450" i="2"/>
  <c r="AV450" i="2"/>
  <c r="AG450" i="2"/>
  <c r="K450" i="2"/>
  <c r="BS449" i="2"/>
  <c r="BA449" i="2"/>
  <c r="AJ449" i="2"/>
  <c r="G449" i="2"/>
  <c r="BL448" i="2"/>
  <c r="AT448" i="2"/>
  <c r="Z448" i="2"/>
  <c r="B448" i="2"/>
  <c r="BT447" i="2"/>
  <c r="BB447" i="2"/>
  <c r="AK447" i="2"/>
  <c r="V447" i="2"/>
  <c r="E447" i="2"/>
  <c r="BJ446" i="2"/>
  <c r="AR446" i="2"/>
  <c r="Y446" i="2"/>
  <c r="F446" i="2"/>
  <c r="BL445" i="2"/>
  <c r="AT445" i="2"/>
  <c r="Z445" i="2"/>
  <c r="C445" i="2"/>
  <c r="BG444" i="2"/>
  <c r="AO444" i="2"/>
  <c r="W444" i="2"/>
  <c r="BS443" i="2"/>
  <c r="BA443" i="2"/>
  <c r="AJ443" i="2"/>
  <c r="G443" i="2"/>
  <c r="BL442" i="2"/>
  <c r="AT442" i="2"/>
  <c r="Z442" i="2"/>
  <c r="G442" i="2"/>
  <c r="CE441" i="2"/>
  <c r="BH441" i="2"/>
  <c r="AP441" i="2"/>
  <c r="X441" i="2"/>
  <c r="F441" i="2"/>
  <c r="BL440" i="2"/>
  <c r="AT440" i="2"/>
  <c r="Z440" i="2"/>
  <c r="B440" i="2"/>
  <c r="BF439" i="2"/>
  <c r="AN439" i="2"/>
  <c r="V439" i="2"/>
  <c r="CP438" i="2"/>
  <c r="BJ438" i="2"/>
  <c r="AR438" i="2"/>
  <c r="Y438" i="2"/>
  <c r="CS437" i="2"/>
  <c r="CG437" i="2"/>
  <c r="BL437" i="2"/>
  <c r="AT437" i="2"/>
  <c r="AE437" i="2"/>
  <c r="L437" i="2"/>
  <c r="BT436" i="2"/>
  <c r="BB436" i="2"/>
  <c r="AK436" i="2"/>
  <c r="N436" i="2"/>
  <c r="BM435" i="2"/>
  <c r="AU435" i="2"/>
  <c r="AF435" i="2"/>
  <c r="I435" i="2"/>
  <c r="BN434" i="2"/>
  <c r="AV434" i="2"/>
  <c r="AG434" i="2"/>
  <c r="C434" i="2"/>
  <c r="BG433" i="2"/>
  <c r="AO433" i="2"/>
  <c r="W433" i="2"/>
  <c r="BS432" i="2"/>
  <c r="BA432" i="2"/>
  <c r="AJ432" i="2"/>
  <c r="L432" i="2"/>
  <c r="BP431" i="2"/>
  <c r="AX431" i="2"/>
  <c r="AH431" i="2"/>
  <c r="D431" i="2"/>
  <c r="BH430" i="2"/>
  <c r="AP430" i="2"/>
  <c r="X430" i="2"/>
  <c r="E430" i="2"/>
  <c r="BT429" i="2"/>
  <c r="BB429" i="2"/>
  <c r="AK429" i="2"/>
  <c r="N429" i="2"/>
  <c r="BN428" i="2"/>
  <c r="AV428" i="2"/>
  <c r="AG428" i="2"/>
  <c r="J428" i="2"/>
  <c r="BR427" i="2"/>
  <c r="AZ427" i="2"/>
  <c r="AI427" i="2"/>
  <c r="L427" i="2"/>
  <c r="CQ426" i="2"/>
  <c r="CE426" i="2"/>
  <c r="BH426" i="2"/>
  <c r="AP426" i="2"/>
  <c r="AA426" i="2"/>
  <c r="J426" i="2"/>
  <c r="CF425" i="2"/>
  <c r="BJ425" i="2"/>
  <c r="AR425" i="2"/>
  <c r="Y425" i="2"/>
  <c r="G425" i="2"/>
  <c r="BM424" i="2"/>
  <c r="AU424" i="2"/>
  <c r="AF424" i="2"/>
  <c r="B424" i="2"/>
  <c r="BV423" i="2"/>
  <c r="BD423" i="2"/>
  <c r="AL423" i="2"/>
  <c r="X423" i="2"/>
  <c r="F423" i="2"/>
  <c r="CL422" i="2"/>
  <c r="BJ422" i="2"/>
  <c r="AR422" i="2"/>
  <c r="AB422" i="2"/>
  <c r="J422" i="2"/>
  <c r="BR421" i="2"/>
  <c r="AZ421" i="2"/>
  <c r="AI421" i="2"/>
  <c r="J421" i="2"/>
  <c r="BT420" i="2"/>
  <c r="BF420" i="2"/>
  <c r="AI420" i="2"/>
  <c r="T420" i="2"/>
  <c r="BY419" i="2"/>
  <c r="BK419" i="2"/>
  <c r="AR419" i="2"/>
  <c r="X419" i="2"/>
  <c r="C419" i="2"/>
  <c r="BN418" i="2"/>
  <c r="AZ418" i="2"/>
  <c r="AA418" i="2"/>
  <c r="H418" i="2"/>
  <c r="BT417" i="2"/>
  <c r="BF417" i="2"/>
  <c r="AI417" i="2"/>
  <c r="G417" i="2"/>
  <c r="BS416" i="2"/>
  <c r="BE416" i="2"/>
  <c r="AH416" i="2"/>
  <c r="N416" i="2"/>
  <c r="BY415" i="2"/>
  <c r="BK415" i="2"/>
  <c r="AR415" i="2"/>
  <c r="X415" i="2"/>
  <c r="E415" i="2"/>
  <c r="BY414" i="2"/>
  <c r="BK414" i="2"/>
  <c r="AR414" i="2"/>
  <c r="X414" i="2"/>
  <c r="C414" i="2"/>
  <c r="BN413" i="2"/>
  <c r="AZ413" i="2"/>
  <c r="AA413" i="2"/>
  <c r="H413" i="2"/>
  <c r="BT412" i="2"/>
  <c r="BF412" i="2"/>
  <c r="AI412" i="2"/>
  <c r="P412" i="2"/>
  <c r="CS411" i="2"/>
  <c r="BT411" i="2"/>
  <c r="BF411" i="2"/>
  <c r="AI411" i="2"/>
  <c r="P411" i="2"/>
  <c r="BX410" i="2"/>
  <c r="BJ410" i="2"/>
  <c r="AL410" i="2"/>
  <c r="W410" i="2"/>
  <c r="BY409" i="2"/>
  <c r="BK409" i="2"/>
  <c r="AR409" i="2"/>
  <c r="X409" i="2"/>
  <c r="E409" i="2"/>
  <c r="BY408" i="2"/>
  <c r="BK408" i="2"/>
  <c r="AR408" i="2"/>
  <c r="X408" i="2"/>
  <c r="C408" i="2"/>
  <c r="BN407" i="2"/>
  <c r="AZ407" i="2"/>
  <c r="Y407" i="2"/>
  <c r="B407" i="2"/>
  <c r="BM406" i="2"/>
  <c r="O132" i="12"/>
  <c r="L114" i="12"/>
  <c r="G96" i="12"/>
  <c r="G86" i="12"/>
  <c r="S81" i="12"/>
  <c r="E75" i="12"/>
  <c r="I70" i="12"/>
  <c r="S65" i="12"/>
  <c r="W60" i="12"/>
  <c r="S50" i="12"/>
  <c r="F45" i="12"/>
  <c r="J40" i="12"/>
  <c r="T35" i="12"/>
  <c r="M30" i="12"/>
  <c r="W25" i="12"/>
  <c r="M15" i="12"/>
  <c r="U10" i="12"/>
  <c r="F480" i="2"/>
  <c r="AY475" i="2"/>
  <c r="E471" i="2"/>
  <c r="E468" i="2"/>
  <c r="AK466" i="2"/>
  <c r="X465" i="2"/>
  <c r="AR464" i="2"/>
  <c r="CL463" i="2"/>
  <c r="BD463" i="2"/>
  <c r="W463" i="2"/>
  <c r="BR462" i="2"/>
  <c r="AN462" i="2"/>
  <c r="BT461" i="2"/>
  <c r="AR461" i="2"/>
  <c r="U461" i="2"/>
  <c r="CP460" i="2"/>
  <c r="BH460" i="2"/>
  <c r="AN460" i="2"/>
  <c r="V460" i="2"/>
  <c r="B460" i="2"/>
  <c r="BA459" i="2"/>
  <c r="AH459" i="2"/>
  <c r="C459" i="2"/>
  <c r="BG458" i="2"/>
  <c r="AO458" i="2"/>
  <c r="W458" i="2"/>
  <c r="BS457" i="2"/>
  <c r="BA457" i="2"/>
  <c r="AJ457" i="2"/>
  <c r="N457" i="2"/>
  <c r="CR456" i="2"/>
  <c r="CF456" i="2"/>
  <c r="BJ456" i="2"/>
  <c r="AR456" i="2"/>
  <c r="AB456" i="2"/>
  <c r="K456" i="2"/>
  <c r="BS455" i="2"/>
  <c r="BA455" i="2"/>
  <c r="AJ455" i="2"/>
  <c r="R455" i="2"/>
  <c r="C455" i="2"/>
  <c r="CI454" i="2"/>
  <c r="BN454" i="2"/>
  <c r="AV454" i="2"/>
  <c r="AG454" i="2"/>
  <c r="T454" i="2"/>
  <c r="E454" i="2"/>
  <c r="CK453" i="2"/>
  <c r="BR453" i="2"/>
  <c r="AZ453" i="2"/>
  <c r="AI453" i="2"/>
  <c r="U453" i="2"/>
  <c r="E453" i="2"/>
  <c r="BJ452" i="2"/>
  <c r="AR452" i="2"/>
  <c r="Y452" i="2"/>
  <c r="BV451" i="2"/>
  <c r="BD451" i="2"/>
  <c r="AL451" i="2"/>
  <c r="U451" i="2"/>
  <c r="CG450" i="2"/>
  <c r="BM450" i="2"/>
  <c r="AU450" i="2"/>
  <c r="AF450" i="2"/>
  <c r="J450" i="2"/>
  <c r="BR449" i="2"/>
  <c r="AZ449" i="2"/>
  <c r="AI449" i="2"/>
  <c r="E449" i="2"/>
  <c r="BJ448" i="2"/>
  <c r="AR448" i="2"/>
  <c r="Y448" i="2"/>
  <c r="CS447" i="2"/>
  <c r="BS447" i="2"/>
  <c r="BA447" i="2"/>
  <c r="AJ447" i="2"/>
  <c r="U447" i="2"/>
  <c r="D447" i="2"/>
  <c r="BH446" i="2"/>
  <c r="AP446" i="2"/>
  <c r="X446" i="2"/>
  <c r="E446" i="2"/>
  <c r="BJ445" i="2"/>
  <c r="AR445" i="2"/>
  <c r="Y445" i="2"/>
  <c r="B445" i="2"/>
  <c r="BF444" i="2"/>
  <c r="AN444" i="2"/>
  <c r="V444" i="2"/>
  <c r="BR443" i="2"/>
  <c r="AZ443" i="2"/>
  <c r="AI443" i="2"/>
  <c r="E443" i="2"/>
  <c r="BJ442" i="2"/>
  <c r="AR442" i="2"/>
  <c r="Y442" i="2"/>
  <c r="F442" i="2"/>
  <c r="CD441" i="2"/>
  <c r="BG441" i="2"/>
  <c r="AO441" i="2"/>
  <c r="W441" i="2"/>
  <c r="E441" i="2"/>
  <c r="BJ440" i="2"/>
  <c r="AR440" i="2"/>
  <c r="Y440" i="2"/>
  <c r="BV439" i="2"/>
  <c r="BD439" i="2"/>
  <c r="AL439" i="2"/>
  <c r="U439" i="2"/>
  <c r="CO438" i="2"/>
  <c r="BH438" i="2"/>
  <c r="AP438" i="2"/>
  <c r="X438" i="2"/>
  <c r="CR437" i="2"/>
  <c r="CF437" i="2"/>
  <c r="BJ437" i="2"/>
  <c r="AR437" i="2"/>
  <c r="AC437" i="2"/>
  <c r="K437" i="2"/>
  <c r="BS436" i="2"/>
  <c r="BA436" i="2"/>
  <c r="AJ436" i="2"/>
  <c r="G436" i="2"/>
  <c r="BL435" i="2"/>
  <c r="AT435" i="2"/>
  <c r="Z435" i="2"/>
  <c r="G435" i="2"/>
  <c r="BM434" i="2"/>
  <c r="AU434" i="2"/>
  <c r="AF434" i="2"/>
  <c r="B434" i="2"/>
  <c r="BF433" i="2"/>
  <c r="AN433" i="2"/>
  <c r="V433" i="2"/>
  <c r="BR432" i="2"/>
  <c r="AZ432" i="2"/>
  <c r="AI432" i="2"/>
  <c r="K432" i="2"/>
  <c r="BN431" i="2"/>
  <c r="AV431" i="2"/>
  <c r="AG431" i="2"/>
  <c r="C431" i="2"/>
  <c r="BG430" i="2"/>
  <c r="AO430" i="2"/>
  <c r="W430" i="2"/>
  <c r="D430" i="2"/>
  <c r="BS429" i="2"/>
  <c r="BA429" i="2"/>
  <c r="AJ429" i="2"/>
  <c r="G429" i="2"/>
  <c r="BM428" i="2"/>
  <c r="AU428" i="2"/>
  <c r="AF428" i="2"/>
  <c r="I428" i="2"/>
  <c r="BP427" i="2"/>
  <c r="AX427" i="2"/>
  <c r="AH427" i="2"/>
  <c r="K427" i="2"/>
  <c r="CP426" i="2"/>
  <c r="CD426" i="2"/>
  <c r="BG426" i="2"/>
  <c r="AO426" i="2"/>
  <c r="Z426" i="2"/>
  <c r="I426" i="2"/>
  <c r="CE425" i="2"/>
  <c r="BH425" i="2"/>
  <c r="AP425" i="2"/>
  <c r="X425" i="2"/>
  <c r="F425" i="2"/>
  <c r="BL424" i="2"/>
  <c r="AT424" i="2"/>
  <c r="Z424" i="2"/>
  <c r="CS423" i="2"/>
  <c r="BT423" i="2"/>
  <c r="BB423" i="2"/>
  <c r="AK423" i="2"/>
  <c r="W423" i="2"/>
  <c r="E423" i="2"/>
  <c r="CK422" i="2"/>
  <c r="BH422" i="2"/>
  <c r="AP422" i="2"/>
  <c r="AA422" i="2"/>
  <c r="I422" i="2"/>
  <c r="BP421" i="2"/>
  <c r="AX421" i="2"/>
  <c r="AH421" i="2"/>
  <c r="H421" i="2"/>
  <c r="BS420" i="2"/>
  <c r="BE420" i="2"/>
  <c r="AH420" i="2"/>
  <c r="P420" i="2"/>
  <c r="BX419" i="2"/>
  <c r="BJ419" i="2"/>
  <c r="AL419" i="2"/>
  <c r="W419" i="2"/>
  <c r="B419" i="2"/>
  <c r="BM418" i="2"/>
  <c r="AY418" i="2"/>
  <c r="Z418" i="2"/>
  <c r="G418" i="2"/>
  <c r="BS417" i="2"/>
  <c r="BE417" i="2"/>
  <c r="AH417" i="2"/>
  <c r="F417" i="2"/>
  <c r="BR416" i="2"/>
  <c r="BD416" i="2"/>
  <c r="AG416" i="2"/>
  <c r="L416" i="2"/>
  <c r="BX415" i="2"/>
  <c r="BJ415" i="2"/>
  <c r="AL415" i="2"/>
  <c r="W415" i="2"/>
  <c r="D415" i="2"/>
  <c r="BX414" i="2"/>
  <c r="BJ414" i="2"/>
  <c r="AL414" i="2"/>
  <c r="W414" i="2"/>
  <c r="B414" i="2"/>
  <c r="BM413" i="2"/>
  <c r="F139" i="12"/>
  <c r="Q122" i="12"/>
  <c r="H106" i="12"/>
  <c r="X100" i="12"/>
  <c r="X90" i="12"/>
  <c r="F60" i="12"/>
  <c r="J55" i="12"/>
  <c r="C35" i="12"/>
  <c r="F25" i="12"/>
  <c r="M20" i="12"/>
  <c r="D10" i="12"/>
  <c r="AY479" i="2"/>
  <c r="O475" i="2"/>
  <c r="BC470" i="2"/>
  <c r="BG467" i="2"/>
  <c r="AG466" i="2"/>
  <c r="P465" i="2"/>
  <c r="AP464" i="2"/>
  <c r="CK463" i="2"/>
  <c r="BA463" i="2"/>
  <c r="V463" i="2"/>
  <c r="BP462" i="2"/>
  <c r="AL462" i="2"/>
  <c r="BS461" i="2"/>
  <c r="AP461" i="2"/>
  <c r="P461" i="2"/>
  <c r="CO460" i="2"/>
  <c r="BG460" i="2"/>
  <c r="AL460" i="2"/>
  <c r="U460" i="2"/>
  <c r="BT459" i="2"/>
  <c r="AZ459" i="2"/>
  <c r="AG459" i="2"/>
  <c r="B459" i="2"/>
  <c r="BF458" i="2"/>
  <c r="AN458" i="2"/>
  <c r="V458" i="2"/>
  <c r="BR457" i="2"/>
  <c r="AZ457" i="2"/>
  <c r="AI457" i="2"/>
  <c r="L457" i="2"/>
  <c r="CQ456" i="2"/>
  <c r="CE456" i="2"/>
  <c r="BH456" i="2"/>
  <c r="AP456" i="2"/>
  <c r="AA456" i="2"/>
  <c r="J456" i="2"/>
  <c r="BR455" i="2"/>
  <c r="AZ455" i="2"/>
  <c r="AI455" i="2"/>
  <c r="Q455" i="2"/>
  <c r="B455" i="2"/>
  <c r="CH454" i="2"/>
  <c r="BM454" i="2"/>
  <c r="AU454" i="2"/>
  <c r="AF454" i="2"/>
  <c r="Q454" i="2"/>
  <c r="D454" i="2"/>
  <c r="CJ453" i="2"/>
  <c r="BP453" i="2"/>
  <c r="AX453" i="2"/>
  <c r="AH453" i="2"/>
  <c r="Q453" i="2"/>
  <c r="D453" i="2"/>
  <c r="BH452" i="2"/>
  <c r="AP452" i="2"/>
  <c r="X452" i="2"/>
  <c r="BT451" i="2"/>
  <c r="BB451" i="2"/>
  <c r="AK451" i="2"/>
  <c r="N451" i="2"/>
  <c r="CF450" i="2"/>
  <c r="BL450" i="2"/>
  <c r="AT450" i="2"/>
  <c r="AA450" i="2"/>
  <c r="I450" i="2"/>
  <c r="BP449" i="2"/>
  <c r="AX449" i="2"/>
  <c r="AH449" i="2"/>
  <c r="D449" i="2"/>
  <c r="BH448" i="2"/>
  <c r="AP448" i="2"/>
  <c r="X448" i="2"/>
  <c r="CR447" i="2"/>
  <c r="BR447" i="2"/>
  <c r="AZ447" i="2"/>
  <c r="AI447" i="2"/>
  <c r="P447" i="2"/>
  <c r="C447" i="2"/>
  <c r="BG446" i="2"/>
  <c r="AO446" i="2"/>
  <c r="W446" i="2"/>
  <c r="D446" i="2"/>
  <c r="BH445" i="2"/>
  <c r="AP445" i="2"/>
  <c r="X445" i="2"/>
  <c r="BV444" i="2"/>
  <c r="BD444" i="2"/>
  <c r="AL444" i="2"/>
  <c r="U444" i="2"/>
  <c r="BP443" i="2"/>
  <c r="AX443" i="2"/>
  <c r="AH443" i="2"/>
  <c r="D443" i="2"/>
  <c r="BH442" i="2"/>
  <c r="AP442" i="2"/>
  <c r="X442" i="2"/>
  <c r="E442" i="2"/>
  <c r="CC441" i="2"/>
  <c r="BF441" i="2"/>
  <c r="AN441" i="2"/>
  <c r="V441" i="2"/>
  <c r="D441" i="2"/>
  <c r="BH440" i="2"/>
  <c r="AP440" i="2"/>
  <c r="X440" i="2"/>
  <c r="BT439" i="2"/>
  <c r="BB439" i="2"/>
  <c r="AK439" i="2"/>
  <c r="N439" i="2"/>
  <c r="CN438" i="2"/>
  <c r="BG438" i="2"/>
  <c r="AO438" i="2"/>
  <c r="W438" i="2"/>
  <c r="CQ437" i="2"/>
  <c r="CE437" i="2"/>
  <c r="BH437" i="2"/>
  <c r="AP437" i="2"/>
  <c r="AB437" i="2"/>
  <c r="J437" i="2"/>
  <c r="BR436" i="2"/>
  <c r="AZ436" i="2"/>
  <c r="AI436" i="2"/>
  <c r="E436" i="2"/>
  <c r="BJ435" i="2"/>
  <c r="AR435" i="2"/>
  <c r="Y435" i="2"/>
  <c r="F435" i="2"/>
  <c r="BL434" i="2"/>
  <c r="AT434" i="2"/>
  <c r="Z434" i="2"/>
  <c r="BV433" i="2"/>
  <c r="BD433" i="2"/>
  <c r="AL433" i="2"/>
  <c r="U433" i="2"/>
  <c r="BP432" i="2"/>
  <c r="AX432" i="2"/>
  <c r="AH432" i="2"/>
  <c r="G432" i="2"/>
  <c r="BM431" i="2"/>
  <c r="AU431" i="2"/>
  <c r="AF431" i="2"/>
  <c r="B431" i="2"/>
  <c r="BF430" i="2"/>
  <c r="AN430" i="2"/>
  <c r="V430" i="2"/>
  <c r="C430" i="2"/>
  <c r="BR429" i="2"/>
  <c r="AZ429" i="2"/>
  <c r="AI429" i="2"/>
  <c r="F429" i="2"/>
  <c r="BL428" i="2"/>
  <c r="AT428" i="2"/>
  <c r="Z428" i="2"/>
  <c r="G428" i="2"/>
  <c r="BN427" i="2"/>
  <c r="AV427" i="2"/>
  <c r="AG427" i="2"/>
  <c r="J427" i="2"/>
  <c r="CO426" i="2"/>
  <c r="CC426" i="2"/>
  <c r="BF426" i="2"/>
  <c r="AN426" i="2"/>
  <c r="Y426" i="2"/>
  <c r="H426" i="2"/>
  <c r="CD425" i="2"/>
  <c r="BG425" i="2"/>
  <c r="AO425" i="2"/>
  <c r="W425" i="2"/>
  <c r="E425" i="2"/>
  <c r="BJ424" i="2"/>
  <c r="AR424" i="2"/>
  <c r="Y424" i="2"/>
  <c r="CR423" i="2"/>
  <c r="BS423" i="2"/>
  <c r="BA423" i="2"/>
  <c r="AJ423" i="2"/>
  <c r="V423" i="2"/>
  <c r="D423" i="2"/>
  <c r="CJ422" i="2"/>
  <c r="BG422" i="2"/>
  <c r="AO422" i="2"/>
  <c r="Z422" i="2"/>
  <c r="H422" i="2"/>
  <c r="BN421" i="2"/>
  <c r="AV421" i="2"/>
  <c r="AG421" i="2"/>
  <c r="G421" i="2"/>
  <c r="BR420" i="2"/>
  <c r="BD420" i="2"/>
  <c r="AG420" i="2"/>
  <c r="N420" i="2"/>
  <c r="BW419" i="2"/>
  <c r="BH419" i="2"/>
  <c r="AK419" i="2"/>
  <c r="V419" i="2"/>
  <c r="BZ418" i="2"/>
  <c r="BL418" i="2"/>
  <c r="AX418" i="2"/>
  <c r="Y418" i="2"/>
  <c r="F418" i="2"/>
  <c r="BR417" i="2"/>
  <c r="BD417" i="2"/>
  <c r="AG417" i="2"/>
  <c r="E417" i="2"/>
  <c r="BQ416" i="2"/>
  <c r="BB416" i="2"/>
  <c r="AF416" i="2"/>
  <c r="K416" i="2"/>
  <c r="BW415" i="2"/>
  <c r="BH415" i="2"/>
  <c r="AK415" i="2"/>
  <c r="V415" i="2"/>
  <c r="C415" i="2"/>
  <c r="BW414" i="2"/>
  <c r="BH414" i="2"/>
  <c r="AK414" i="2"/>
  <c r="V414" i="2"/>
  <c r="BZ413" i="2"/>
  <c r="BL413" i="2"/>
  <c r="AX413" i="2"/>
  <c r="Y413" i="2"/>
  <c r="F413" i="2"/>
  <c r="BR412" i="2"/>
  <c r="BD412" i="2"/>
  <c r="AG412" i="2"/>
  <c r="L412" i="2"/>
  <c r="CQ411" i="2"/>
  <c r="BR411" i="2"/>
  <c r="BD411" i="2"/>
  <c r="AG411" i="2"/>
  <c r="J411" i="2"/>
  <c r="BV410" i="2"/>
  <c r="BG410" i="2"/>
  <c r="AJ410" i="2"/>
  <c r="U410" i="2"/>
  <c r="BW409" i="2"/>
  <c r="BH409" i="2"/>
  <c r="AK409" i="2"/>
  <c r="V409" i="2"/>
  <c r="C409" i="2"/>
  <c r="BW408" i="2"/>
  <c r="BH408" i="2"/>
  <c r="AK408" i="2"/>
  <c r="V408" i="2"/>
  <c r="X130" i="12"/>
  <c r="F121" i="12"/>
  <c r="G113" i="12"/>
  <c r="G100" i="12"/>
  <c r="O95" i="12"/>
  <c r="G90" i="12"/>
  <c r="O85" i="12"/>
  <c r="H80" i="12"/>
  <c r="M74" i="12"/>
  <c r="T69" i="12"/>
  <c r="X64" i="12"/>
  <c r="H49" i="12"/>
  <c r="M44" i="12"/>
  <c r="U39" i="12"/>
  <c r="W29" i="12"/>
  <c r="W14" i="12"/>
  <c r="AH479" i="2"/>
  <c r="BG474" i="2"/>
  <c r="AG470" i="2"/>
  <c r="BC467" i="2"/>
  <c r="O466" i="2"/>
  <c r="J465" i="2"/>
  <c r="AL464" i="2"/>
  <c r="CG463" i="2"/>
  <c r="AZ463" i="2"/>
  <c r="U463" i="2"/>
  <c r="BL462" i="2"/>
  <c r="AI462" i="2"/>
  <c r="BP461" i="2"/>
  <c r="AO461" i="2"/>
  <c r="N461" i="2"/>
  <c r="CN460" i="2"/>
  <c r="BF460" i="2"/>
  <c r="AJ460" i="2"/>
  <c r="P460" i="2"/>
  <c r="BS459" i="2"/>
  <c r="AX459" i="2"/>
  <c r="AF459" i="2"/>
  <c r="CO458" i="2"/>
  <c r="BD458" i="2"/>
  <c r="AL458" i="2"/>
  <c r="U458" i="2"/>
  <c r="BP457" i="2"/>
  <c r="AX457" i="2"/>
  <c r="AH457" i="2"/>
  <c r="K457" i="2"/>
  <c r="CP456" i="2"/>
  <c r="CD456" i="2"/>
  <c r="BG456" i="2"/>
  <c r="AO456" i="2"/>
  <c r="Z456" i="2"/>
  <c r="I456" i="2"/>
  <c r="BP455" i="2"/>
  <c r="AX455" i="2"/>
  <c r="AH455" i="2"/>
  <c r="N455" i="2"/>
  <c r="CS454" i="2"/>
  <c r="CG454" i="2"/>
  <c r="BL454" i="2"/>
  <c r="AT454" i="2"/>
  <c r="AD454" i="2"/>
  <c r="P454" i="2"/>
  <c r="C454" i="2"/>
  <c r="CI453" i="2"/>
  <c r="BN453" i="2"/>
  <c r="AV453" i="2"/>
  <c r="AG453" i="2"/>
  <c r="P453" i="2"/>
  <c r="C453" i="2"/>
  <c r="BG452" i="2"/>
  <c r="AO452" i="2"/>
  <c r="W452" i="2"/>
  <c r="BS451" i="2"/>
  <c r="BA451" i="2"/>
  <c r="AJ451" i="2"/>
  <c r="H451" i="2"/>
  <c r="CE450" i="2"/>
  <c r="BJ450" i="2"/>
  <c r="AR450" i="2"/>
  <c r="Z450" i="2"/>
  <c r="H450" i="2"/>
  <c r="BN449" i="2"/>
  <c r="AV449" i="2"/>
  <c r="AG449" i="2"/>
  <c r="C449" i="2"/>
  <c r="BG448" i="2"/>
  <c r="AO448" i="2"/>
  <c r="W448" i="2"/>
  <c r="CQ447" i="2"/>
  <c r="BP447" i="2"/>
  <c r="AX447" i="2"/>
  <c r="AH447" i="2"/>
  <c r="N447" i="2"/>
  <c r="B447" i="2"/>
  <c r="BF446" i="2"/>
  <c r="AN446" i="2"/>
  <c r="V446" i="2"/>
  <c r="C446" i="2"/>
  <c r="BG445" i="2"/>
  <c r="AO445" i="2"/>
  <c r="W445" i="2"/>
  <c r="BT444" i="2"/>
  <c r="BB444" i="2"/>
  <c r="AK444" i="2"/>
  <c r="N444" i="2"/>
  <c r="BN443" i="2"/>
  <c r="AV443" i="2"/>
  <c r="AG443" i="2"/>
  <c r="C443" i="2"/>
  <c r="BG442" i="2"/>
  <c r="AO442" i="2"/>
  <c r="W442" i="2"/>
  <c r="D442" i="2"/>
  <c r="BV441" i="2"/>
  <c r="BD441" i="2"/>
  <c r="AL441" i="2"/>
  <c r="U441" i="2"/>
  <c r="C441" i="2"/>
  <c r="BG440" i="2"/>
  <c r="AO440" i="2"/>
  <c r="W440" i="2"/>
  <c r="BS439" i="2"/>
  <c r="BA439" i="2"/>
  <c r="AJ439" i="2"/>
  <c r="G439" i="2"/>
  <c r="CM438" i="2"/>
  <c r="BF438" i="2"/>
  <c r="AN438" i="2"/>
  <c r="V438" i="2"/>
  <c r="CP437" i="2"/>
  <c r="CD437" i="2"/>
  <c r="BG437" i="2"/>
  <c r="AO437" i="2"/>
  <c r="AA437" i="2"/>
  <c r="I437" i="2"/>
  <c r="BP436" i="2"/>
  <c r="AX436" i="2"/>
  <c r="AH436" i="2"/>
  <c r="D436" i="2"/>
  <c r="BH435" i="2"/>
  <c r="AP435" i="2"/>
  <c r="X435" i="2"/>
  <c r="E435" i="2"/>
  <c r="BJ434" i="2"/>
  <c r="AR434" i="2"/>
  <c r="Y434" i="2"/>
  <c r="BT433" i="2"/>
  <c r="BB433" i="2"/>
  <c r="AK433" i="2"/>
  <c r="N433" i="2"/>
  <c r="BN432" i="2"/>
  <c r="AV432" i="2"/>
  <c r="AG432" i="2"/>
  <c r="F432" i="2"/>
  <c r="BL431" i="2"/>
  <c r="AT431" i="2"/>
  <c r="Z431" i="2"/>
  <c r="BV430" i="2"/>
  <c r="BD430" i="2"/>
  <c r="AL430" i="2"/>
  <c r="U430" i="2"/>
  <c r="B430" i="2"/>
  <c r="BP429" i="2"/>
  <c r="AX429" i="2"/>
  <c r="AH429" i="2"/>
  <c r="E429" i="2"/>
  <c r="BJ428" i="2"/>
  <c r="AR428" i="2"/>
  <c r="Y428" i="2"/>
  <c r="F428" i="2"/>
  <c r="BM427" i="2"/>
  <c r="AU427" i="2"/>
  <c r="AF427" i="2"/>
  <c r="I427" i="2"/>
  <c r="CN426" i="2"/>
  <c r="BV426" i="2"/>
  <c r="BD426" i="2"/>
  <c r="AL426" i="2"/>
  <c r="X426" i="2"/>
  <c r="G426" i="2"/>
  <c r="CC425" i="2"/>
  <c r="BF425" i="2"/>
  <c r="AN425" i="2"/>
  <c r="V425" i="2"/>
  <c r="D425" i="2"/>
  <c r="BH424" i="2"/>
  <c r="AP424" i="2"/>
  <c r="X424" i="2"/>
  <c r="CQ423" i="2"/>
  <c r="BR423" i="2"/>
  <c r="AZ423" i="2"/>
  <c r="AI423" i="2"/>
  <c r="U423" i="2"/>
  <c r="C423" i="2"/>
  <c r="CH422" i="2"/>
  <c r="BF422" i="2"/>
  <c r="AN422" i="2"/>
  <c r="Y422" i="2"/>
  <c r="G422" i="2"/>
  <c r="BM421" i="2"/>
  <c r="AU421" i="2"/>
  <c r="AF421" i="2"/>
  <c r="E421" i="2"/>
  <c r="BQ420" i="2"/>
  <c r="BB420" i="2"/>
  <c r="AF420" i="2"/>
  <c r="J420" i="2"/>
  <c r="BV419" i="2"/>
  <c r="BG419" i="2"/>
  <c r="AJ419" i="2"/>
  <c r="U419" i="2"/>
  <c r="BY418" i="2"/>
  <c r="BK418" i="2"/>
  <c r="AR418" i="2"/>
  <c r="X418" i="2"/>
  <c r="E418" i="2"/>
  <c r="BQ417" i="2"/>
  <c r="BB417" i="2"/>
  <c r="AF417" i="2"/>
  <c r="D417" i="2"/>
  <c r="BP416" i="2"/>
  <c r="BA416" i="2"/>
  <c r="AB416" i="2"/>
  <c r="J416" i="2"/>
  <c r="BV415" i="2"/>
  <c r="BG415" i="2"/>
  <c r="AJ415" i="2"/>
  <c r="U415" i="2"/>
  <c r="B415" i="2"/>
  <c r="BV414" i="2"/>
  <c r="BG414" i="2"/>
  <c r="AJ414" i="2"/>
  <c r="U414" i="2"/>
  <c r="BY413" i="2"/>
  <c r="BK413" i="2"/>
  <c r="AR413" i="2"/>
  <c r="X413" i="2"/>
  <c r="E413" i="2"/>
  <c r="BQ412" i="2"/>
  <c r="BB412" i="2"/>
  <c r="AF412" i="2"/>
  <c r="K412" i="2"/>
  <c r="CP411" i="2"/>
  <c r="BQ411" i="2"/>
  <c r="BB411" i="2"/>
  <c r="AF411" i="2"/>
  <c r="H411" i="2"/>
  <c r="C120" i="12"/>
  <c r="D112" i="12"/>
  <c r="S105" i="12"/>
  <c r="C69" i="12"/>
  <c r="G64" i="12"/>
  <c r="M59" i="12"/>
  <c r="U54" i="12"/>
  <c r="C39" i="12"/>
  <c r="I34" i="12"/>
  <c r="F29" i="12"/>
  <c r="M24" i="12"/>
  <c r="W19" i="12"/>
  <c r="F14" i="12"/>
  <c r="L9" i="12"/>
  <c r="BI478" i="2"/>
  <c r="AK474" i="2"/>
  <c r="BP469" i="2"/>
  <c r="AY467" i="2"/>
  <c r="E466" i="2"/>
  <c r="G465" i="2"/>
  <c r="AK464" i="2"/>
  <c r="CF463" i="2"/>
  <c r="AU463" i="2"/>
  <c r="P463" i="2"/>
  <c r="BJ462" i="2"/>
  <c r="AH462" i="2"/>
  <c r="BN461" i="2"/>
  <c r="AL461" i="2"/>
  <c r="K461" i="2"/>
  <c r="CL460" i="2"/>
  <c r="BD460" i="2"/>
  <c r="AI460" i="2"/>
  <c r="L460" i="2"/>
  <c r="BR459" i="2"/>
  <c r="AV459" i="2"/>
  <c r="Z459" i="2"/>
  <c r="BV458" i="2"/>
  <c r="BB458" i="2"/>
  <c r="AK458" i="2"/>
  <c r="N458" i="2"/>
  <c r="BN457" i="2"/>
  <c r="AV457" i="2"/>
  <c r="AG457" i="2"/>
  <c r="J457" i="2"/>
  <c r="CO456" i="2"/>
  <c r="CC456" i="2"/>
  <c r="BF456" i="2"/>
  <c r="AN456" i="2"/>
  <c r="Y456" i="2"/>
  <c r="H456" i="2"/>
  <c r="BN455" i="2"/>
  <c r="AV455" i="2"/>
  <c r="AG455" i="2"/>
  <c r="L455" i="2"/>
  <c r="CR454" i="2"/>
  <c r="CF454" i="2"/>
  <c r="BJ454" i="2"/>
  <c r="AR454" i="2"/>
  <c r="AC454" i="2"/>
  <c r="N454" i="2"/>
  <c r="B454" i="2"/>
  <c r="CH453" i="2"/>
  <c r="BM453" i="2"/>
  <c r="AU453" i="2"/>
  <c r="AF453" i="2"/>
  <c r="N453" i="2"/>
  <c r="B453" i="2"/>
  <c r="BF452" i="2"/>
  <c r="AN452" i="2"/>
  <c r="V452" i="2"/>
  <c r="BR451" i="2"/>
  <c r="AZ451" i="2"/>
  <c r="AI451" i="2"/>
  <c r="G451" i="2"/>
  <c r="CD450" i="2"/>
  <c r="BH450" i="2"/>
  <c r="AP450" i="2"/>
  <c r="Y450" i="2"/>
  <c r="G450" i="2"/>
  <c r="BM449" i="2"/>
  <c r="AU449" i="2"/>
  <c r="AF449" i="2"/>
  <c r="B449" i="2"/>
  <c r="BF448" i="2"/>
  <c r="AN448" i="2"/>
  <c r="V448" i="2"/>
  <c r="CP447" i="2"/>
  <c r="BN447" i="2"/>
  <c r="AV447" i="2"/>
  <c r="AG447" i="2"/>
  <c r="M447" i="2"/>
  <c r="BV446" i="2"/>
  <c r="BD446" i="2"/>
  <c r="AL446" i="2"/>
  <c r="U446" i="2"/>
  <c r="B446" i="2"/>
  <c r="BF445" i="2"/>
  <c r="AN445" i="2"/>
  <c r="V445" i="2"/>
  <c r="BS444" i="2"/>
  <c r="BA444" i="2"/>
  <c r="AJ444" i="2"/>
  <c r="H444" i="2"/>
  <c r="BM443" i="2"/>
  <c r="AU443" i="2"/>
  <c r="AF443" i="2"/>
  <c r="B443" i="2"/>
  <c r="BF442" i="2"/>
  <c r="AN442" i="2"/>
  <c r="V442" i="2"/>
  <c r="C442" i="2"/>
  <c r="BT441" i="2"/>
  <c r="BB441" i="2"/>
  <c r="AK441" i="2"/>
  <c r="Q441" i="2"/>
  <c r="B441" i="2"/>
  <c r="BF440" i="2"/>
  <c r="AN440" i="2"/>
  <c r="V440" i="2"/>
  <c r="BR439" i="2"/>
  <c r="AZ439" i="2"/>
  <c r="AI439" i="2"/>
  <c r="F439" i="2"/>
  <c r="BV438" i="2"/>
  <c r="BD438" i="2"/>
  <c r="AL438" i="2"/>
  <c r="U438" i="2"/>
  <c r="CO437" i="2"/>
  <c r="CC437" i="2"/>
  <c r="BF437" i="2"/>
  <c r="AN437" i="2"/>
  <c r="Z437" i="2"/>
  <c r="H437" i="2"/>
  <c r="BN436" i="2"/>
  <c r="AV436" i="2"/>
  <c r="AG436" i="2"/>
  <c r="C436" i="2"/>
  <c r="BG435" i="2"/>
  <c r="AO435" i="2"/>
  <c r="W435" i="2"/>
  <c r="D435" i="2"/>
  <c r="BH434" i="2"/>
  <c r="AP434" i="2"/>
  <c r="X434" i="2"/>
  <c r="BS433" i="2"/>
  <c r="BA433" i="2"/>
  <c r="AJ433" i="2"/>
  <c r="G433" i="2"/>
  <c r="BM432" i="2"/>
  <c r="AU432" i="2"/>
  <c r="AF432" i="2"/>
  <c r="E432" i="2"/>
  <c r="BJ431" i="2"/>
  <c r="AR431" i="2"/>
  <c r="Y431" i="2"/>
  <c r="BT430" i="2"/>
  <c r="BB430" i="2"/>
  <c r="AK430" i="2"/>
  <c r="P430" i="2"/>
  <c r="CS429" i="2"/>
  <c r="BN429" i="2"/>
  <c r="AV429" i="2"/>
  <c r="AG429" i="2"/>
  <c r="D429" i="2"/>
  <c r="BH428" i="2"/>
  <c r="AP428" i="2"/>
  <c r="X428" i="2"/>
  <c r="E428" i="2"/>
  <c r="BL427" i="2"/>
  <c r="AT427" i="2"/>
  <c r="Z427" i="2"/>
  <c r="G427" i="2"/>
  <c r="CM426" i="2"/>
  <c r="BT426" i="2"/>
  <c r="BB426" i="2"/>
  <c r="AK426" i="2"/>
  <c r="W426" i="2"/>
  <c r="F426" i="2"/>
  <c r="BV425" i="2"/>
  <c r="BD425" i="2"/>
  <c r="AL425" i="2"/>
  <c r="U425" i="2"/>
  <c r="C425" i="2"/>
  <c r="BG424" i="2"/>
  <c r="AO424" i="2"/>
  <c r="W424" i="2"/>
  <c r="CP423" i="2"/>
  <c r="BP423" i="2"/>
  <c r="AX423" i="2"/>
  <c r="AH423" i="2"/>
  <c r="P423" i="2"/>
  <c r="B423" i="2"/>
  <c r="BV422" i="2"/>
  <c r="BD422" i="2"/>
  <c r="AL422" i="2"/>
  <c r="X422" i="2"/>
  <c r="F422" i="2"/>
  <c r="BL421" i="2"/>
  <c r="AT421" i="2"/>
  <c r="Z421" i="2"/>
  <c r="D421" i="2"/>
  <c r="BP420" i="2"/>
  <c r="BA420" i="2"/>
  <c r="AB420" i="2"/>
  <c r="H420" i="2"/>
  <c r="BT419" i="2"/>
  <c r="BF419" i="2"/>
  <c r="AI419" i="2"/>
  <c r="P419" i="2"/>
  <c r="BX418" i="2"/>
  <c r="BJ418" i="2"/>
  <c r="AL418" i="2"/>
  <c r="W418" i="2"/>
  <c r="D418" i="2"/>
  <c r="BP417" i="2"/>
  <c r="BA417" i="2"/>
  <c r="Z417" i="2"/>
  <c r="C417" i="2"/>
  <c r="BN416" i="2"/>
  <c r="AZ416" i="2"/>
  <c r="AA416" i="2"/>
  <c r="H416" i="2"/>
  <c r="BT415" i="2"/>
  <c r="BF415" i="2"/>
  <c r="AI415" i="2"/>
  <c r="P415" i="2"/>
  <c r="CS414" i="2"/>
  <c r="BT414" i="2"/>
  <c r="BF414" i="2"/>
  <c r="AI414" i="2"/>
  <c r="P414" i="2"/>
  <c r="BX413" i="2"/>
  <c r="BJ413" i="2"/>
  <c r="AL413" i="2"/>
  <c r="W413" i="2"/>
  <c r="D413" i="2"/>
  <c r="BP412" i="2"/>
  <c r="BA412" i="2"/>
  <c r="AB412" i="2"/>
  <c r="J412" i="2"/>
  <c r="CO411" i="2"/>
  <c r="BP411" i="2"/>
  <c r="BA411" i="2"/>
  <c r="AB411" i="2"/>
  <c r="G411" i="2"/>
  <c r="BS410" i="2"/>
  <c r="BE410" i="2"/>
  <c r="AH410" i="2"/>
  <c r="G156" i="12"/>
  <c r="J137" i="12"/>
  <c r="G129" i="12"/>
  <c r="X118" i="12"/>
  <c r="AB110" i="12"/>
  <c r="O99" i="12"/>
  <c r="X94" i="12"/>
  <c r="O89" i="12"/>
  <c r="X84" i="12"/>
  <c r="S79" i="12"/>
  <c r="W73" i="12"/>
  <c r="C54" i="12"/>
  <c r="O48" i="12"/>
  <c r="W43" i="12"/>
  <c r="F19" i="12"/>
  <c r="AW478" i="2"/>
  <c r="E474" i="2"/>
  <c r="AY469" i="2"/>
  <c r="AK467" i="2"/>
  <c r="BT465" i="2"/>
  <c r="E465" i="2"/>
  <c r="AH464" i="2"/>
  <c r="CC463" i="2"/>
  <c r="AT463" i="2"/>
  <c r="N463" i="2"/>
  <c r="BH462" i="2"/>
  <c r="Z462" i="2"/>
  <c r="BJ461" i="2"/>
  <c r="AK461" i="2"/>
  <c r="J461" i="2"/>
  <c r="CK460" i="2"/>
  <c r="BA460" i="2"/>
  <c r="AH460" i="2"/>
  <c r="K460" i="2"/>
  <c r="BP459" i="2"/>
  <c r="AU459" i="2"/>
  <c r="X459" i="2"/>
  <c r="BT458" i="2"/>
  <c r="BA458" i="2"/>
  <c r="AJ458" i="2"/>
  <c r="K458" i="2"/>
  <c r="BM457" i="2"/>
  <c r="AU457" i="2"/>
  <c r="AF457" i="2"/>
  <c r="I457" i="2"/>
  <c r="CN456" i="2"/>
  <c r="BV456" i="2"/>
  <c r="BD456" i="2"/>
  <c r="AL456" i="2"/>
  <c r="X456" i="2"/>
  <c r="G456" i="2"/>
  <c r="BM455" i="2"/>
  <c r="AU455" i="2"/>
  <c r="AF455" i="2"/>
  <c r="K455" i="2"/>
  <c r="CQ454" i="2"/>
  <c r="CE454" i="2"/>
  <c r="BH454" i="2"/>
  <c r="AP454" i="2"/>
  <c r="AB454" i="2"/>
  <c r="M454" i="2"/>
  <c r="CS453" i="2"/>
  <c r="CG453" i="2"/>
  <c r="BL453" i="2"/>
  <c r="AT453" i="2"/>
  <c r="AC453" i="2"/>
  <c r="M453" i="2"/>
  <c r="BV452" i="2"/>
  <c r="BD452" i="2"/>
  <c r="AL452" i="2"/>
  <c r="U452" i="2"/>
  <c r="BP451" i="2"/>
  <c r="AX451" i="2"/>
  <c r="AH451" i="2"/>
  <c r="E451" i="2"/>
  <c r="CC450" i="2"/>
  <c r="BG450" i="2"/>
  <c r="AO450" i="2"/>
  <c r="X450" i="2"/>
  <c r="F450" i="2"/>
  <c r="BL449" i="2"/>
  <c r="AT449" i="2"/>
  <c r="Z449" i="2"/>
  <c r="BV448" i="2"/>
  <c r="BD448" i="2"/>
  <c r="AL448" i="2"/>
  <c r="U448" i="2"/>
  <c r="CO447" i="2"/>
  <c r="BM447" i="2"/>
  <c r="AU447" i="2"/>
  <c r="AF447" i="2"/>
  <c r="L447" i="2"/>
  <c r="BT446" i="2"/>
  <c r="BB446" i="2"/>
  <c r="AK446" i="2"/>
  <c r="P446" i="2"/>
  <c r="BV445" i="2"/>
  <c r="BD445" i="2"/>
  <c r="AL445" i="2"/>
  <c r="U445" i="2"/>
  <c r="BR444" i="2"/>
  <c r="AZ444" i="2"/>
  <c r="AI444" i="2"/>
  <c r="G444" i="2"/>
  <c r="BL443" i="2"/>
  <c r="AT443" i="2"/>
  <c r="Z443" i="2"/>
  <c r="BV442" i="2"/>
  <c r="BD442" i="2"/>
  <c r="AL442" i="2"/>
  <c r="U442" i="2"/>
  <c r="B442" i="2"/>
  <c r="BS441" i="2"/>
  <c r="BA441" i="2"/>
  <c r="AJ441" i="2"/>
  <c r="N441" i="2"/>
  <c r="BV440" i="2"/>
  <c r="BD440" i="2"/>
  <c r="AL440" i="2"/>
  <c r="U440" i="2"/>
  <c r="BP439" i="2"/>
  <c r="AX439" i="2"/>
  <c r="AH439" i="2"/>
  <c r="E439" i="2"/>
  <c r="BT438" i="2"/>
  <c r="BB438" i="2"/>
  <c r="AK438" i="2"/>
  <c r="N438" i="2"/>
  <c r="CN437" i="2"/>
  <c r="BV437" i="2"/>
  <c r="BD437" i="2"/>
  <c r="AL437" i="2"/>
  <c r="Y437" i="2"/>
  <c r="G437" i="2"/>
  <c r="BM436" i="2"/>
  <c r="AU436" i="2"/>
  <c r="AF436" i="2"/>
  <c r="B436" i="2"/>
  <c r="BF435" i="2"/>
  <c r="AN435" i="2"/>
  <c r="V435" i="2"/>
  <c r="C435" i="2"/>
  <c r="BG434" i="2"/>
  <c r="AO434" i="2"/>
  <c r="W434" i="2"/>
  <c r="BR433" i="2"/>
  <c r="AZ433" i="2"/>
  <c r="AI433" i="2"/>
  <c r="F433" i="2"/>
  <c r="BL432" i="2"/>
  <c r="AT432" i="2"/>
  <c r="Z432" i="2"/>
  <c r="D432" i="2"/>
  <c r="BH431" i="2"/>
  <c r="AP431" i="2"/>
  <c r="X431" i="2"/>
  <c r="BS430" i="2"/>
  <c r="BA430" i="2"/>
  <c r="AJ430" i="2"/>
  <c r="N430" i="2"/>
  <c r="CR429" i="2"/>
  <c r="BM429" i="2"/>
  <c r="AU429" i="2"/>
  <c r="AF429" i="2"/>
  <c r="C429" i="2"/>
  <c r="BG428" i="2"/>
  <c r="AO428" i="2"/>
  <c r="W428" i="2"/>
  <c r="D428" i="2"/>
  <c r="BJ427" i="2"/>
  <c r="AR427" i="2"/>
  <c r="Y427" i="2"/>
  <c r="F427" i="2"/>
  <c r="CL426" i="2"/>
  <c r="BS426" i="2"/>
  <c r="BA426" i="2"/>
  <c r="AJ426" i="2"/>
  <c r="V426" i="2"/>
  <c r="E426" i="2"/>
  <c r="BT425" i="2"/>
  <c r="BB425" i="2"/>
  <c r="AK425" i="2"/>
  <c r="P425" i="2"/>
  <c r="B425" i="2"/>
  <c r="BF424" i="2"/>
  <c r="AN424" i="2"/>
  <c r="V424" i="2"/>
  <c r="CO423" i="2"/>
  <c r="BN423" i="2"/>
  <c r="AV423" i="2"/>
  <c r="AG423" i="2"/>
  <c r="N423" i="2"/>
  <c r="CS422" i="2"/>
  <c r="BT422" i="2"/>
  <c r="BB422" i="2"/>
  <c r="AK422" i="2"/>
  <c r="W422" i="2"/>
  <c r="E422" i="2"/>
  <c r="BJ421" i="2"/>
  <c r="AR421" i="2"/>
  <c r="Y421" i="2"/>
  <c r="C421" i="2"/>
  <c r="BN420" i="2"/>
  <c r="AZ420" i="2"/>
  <c r="AA420" i="2"/>
  <c r="G420" i="2"/>
  <c r="BS419" i="2"/>
  <c r="BE419" i="2"/>
  <c r="AH419" i="2"/>
  <c r="N419" i="2"/>
  <c r="BW418" i="2"/>
  <c r="BH418" i="2"/>
  <c r="AK418" i="2"/>
  <c r="V418" i="2"/>
  <c r="C418" i="2"/>
  <c r="BN417" i="2"/>
  <c r="AZ417" i="2"/>
  <c r="Y417" i="2"/>
  <c r="B417" i="2"/>
  <c r="BM416" i="2"/>
  <c r="AY416" i="2"/>
  <c r="Z416" i="2"/>
  <c r="G416" i="2"/>
  <c r="BS415" i="2"/>
  <c r="BE415" i="2"/>
  <c r="AH415" i="2"/>
  <c r="N415" i="2"/>
  <c r="CR414" i="2"/>
  <c r="BS414" i="2"/>
  <c r="BE414" i="2"/>
  <c r="AH414" i="2"/>
  <c r="N414" i="2"/>
  <c r="BW413" i="2"/>
  <c r="BH413" i="2"/>
  <c r="AK413" i="2"/>
  <c r="V413" i="2"/>
  <c r="C413" i="2"/>
  <c r="BN412" i="2"/>
  <c r="AZ412" i="2"/>
  <c r="E110" i="12"/>
  <c r="H104" i="12"/>
  <c r="G94" i="12"/>
  <c r="G84" i="12"/>
  <c r="E73" i="12"/>
  <c r="I68" i="12"/>
  <c r="O63" i="12"/>
  <c r="W58" i="12"/>
  <c r="E43" i="12"/>
  <c r="I38" i="12"/>
  <c r="T33" i="12"/>
  <c r="M28" i="12"/>
  <c r="W23" i="12"/>
  <c r="M13" i="12"/>
  <c r="V8" i="12"/>
  <c r="AF478" i="2"/>
  <c r="BC473" i="2"/>
  <c r="AG469" i="2"/>
  <c r="AG467" i="2"/>
  <c r="BN465" i="2"/>
  <c r="BV464" i="2"/>
  <c r="AF464" i="2"/>
  <c r="BV463" i="2"/>
  <c r="AO463" i="2"/>
  <c r="J463" i="2"/>
  <c r="BF462" i="2"/>
  <c r="Y462" i="2"/>
  <c r="BH461" i="2"/>
  <c r="AJ461" i="2"/>
  <c r="I461" i="2"/>
  <c r="BV460" i="2"/>
  <c r="AZ460" i="2"/>
  <c r="AF460" i="2"/>
  <c r="J460" i="2"/>
  <c r="BN459" i="2"/>
  <c r="AT459" i="2"/>
  <c r="W459" i="2"/>
  <c r="BS458" i="2"/>
  <c r="AZ458" i="2"/>
  <c r="AI458" i="2"/>
  <c r="G458" i="2"/>
  <c r="BL457" i="2"/>
  <c r="AT457" i="2"/>
  <c r="Z457" i="2"/>
  <c r="G457" i="2"/>
  <c r="CM456" i="2"/>
  <c r="BT456" i="2"/>
  <c r="BB456" i="2"/>
  <c r="AK456" i="2"/>
  <c r="W456" i="2"/>
  <c r="F456" i="2"/>
  <c r="BL455" i="2"/>
  <c r="AT455" i="2"/>
  <c r="AC455" i="2"/>
  <c r="J455" i="2"/>
  <c r="CP454" i="2"/>
  <c r="CD454" i="2"/>
  <c r="BG454" i="2"/>
  <c r="AO454" i="2"/>
  <c r="AA454" i="2"/>
  <c r="L454" i="2"/>
  <c r="CR453" i="2"/>
  <c r="CF453" i="2"/>
  <c r="BJ453" i="2"/>
  <c r="AR453" i="2"/>
  <c r="AB453" i="2"/>
  <c r="L453" i="2"/>
  <c r="BT452" i="2"/>
  <c r="BB452" i="2"/>
  <c r="AK452" i="2"/>
  <c r="N452" i="2"/>
  <c r="BN451" i="2"/>
  <c r="AV451" i="2"/>
  <c r="AG451" i="2"/>
  <c r="D451" i="2"/>
  <c r="CB450" i="2"/>
  <c r="BF450" i="2"/>
  <c r="AN450" i="2"/>
  <c r="W450" i="2"/>
  <c r="E450" i="2"/>
  <c r="BJ449" i="2"/>
  <c r="AR449" i="2"/>
  <c r="Y449" i="2"/>
  <c r="BT448" i="2"/>
  <c r="BB448" i="2"/>
  <c r="AK448" i="2"/>
  <c r="N448" i="2"/>
  <c r="CN447" i="2"/>
  <c r="BL447" i="2"/>
  <c r="AT447" i="2"/>
  <c r="AB447" i="2"/>
  <c r="K447" i="2"/>
  <c r="BS446" i="2"/>
  <c r="BA446" i="2"/>
  <c r="AJ446" i="2"/>
  <c r="N446" i="2"/>
  <c r="BT445" i="2"/>
  <c r="BB445" i="2"/>
  <c r="AK445" i="2"/>
  <c r="N445" i="2"/>
  <c r="BP444" i="2"/>
  <c r="AX444" i="2"/>
  <c r="AH444" i="2"/>
  <c r="E444" i="2"/>
  <c r="BJ443" i="2"/>
  <c r="AR443" i="2"/>
  <c r="Y443" i="2"/>
  <c r="BT442" i="2"/>
  <c r="BB442" i="2"/>
  <c r="AK442" i="2"/>
  <c r="P442" i="2"/>
  <c r="CL441" i="2"/>
  <c r="BR441" i="2"/>
  <c r="AZ441" i="2"/>
  <c r="AI441" i="2"/>
  <c r="L441" i="2"/>
  <c r="BT440" i="2"/>
  <c r="BB440" i="2"/>
  <c r="AK440" i="2"/>
  <c r="N440" i="2"/>
  <c r="BN439" i="2"/>
  <c r="AV439" i="2"/>
  <c r="AG439" i="2"/>
  <c r="D439" i="2"/>
  <c r="BS438" i="2"/>
  <c r="BA438" i="2"/>
  <c r="AJ438" i="2"/>
  <c r="G438" i="2"/>
  <c r="CM437" i="2"/>
  <c r="BT437" i="2"/>
  <c r="BB437" i="2"/>
  <c r="AK437" i="2"/>
  <c r="X437" i="2"/>
  <c r="F437" i="2"/>
  <c r="BL436" i="2"/>
  <c r="AT436" i="2"/>
  <c r="Z436" i="2"/>
  <c r="BV435" i="2"/>
  <c r="BD435" i="2"/>
  <c r="AL435" i="2"/>
  <c r="U435" i="2"/>
  <c r="B435" i="2"/>
  <c r="BF434" i="2"/>
  <c r="AN434" i="2"/>
  <c r="V434" i="2"/>
  <c r="BP433" i="2"/>
  <c r="AX433" i="2"/>
  <c r="AH433" i="2"/>
  <c r="E433" i="2"/>
  <c r="BJ432" i="2"/>
  <c r="AR432" i="2"/>
  <c r="Y432" i="2"/>
  <c r="C432" i="2"/>
  <c r="BG431" i="2"/>
  <c r="AO431" i="2"/>
  <c r="W431" i="2"/>
  <c r="BR430" i="2"/>
  <c r="AZ430" i="2"/>
  <c r="AI430" i="2"/>
  <c r="L430" i="2"/>
  <c r="CQ429" i="2"/>
  <c r="BL429" i="2"/>
  <c r="AT429" i="2"/>
  <c r="Z429" i="2"/>
  <c r="B429" i="2"/>
  <c r="BF428" i="2"/>
  <c r="AN428" i="2"/>
  <c r="V428" i="2"/>
  <c r="C428" i="2"/>
  <c r="BH427" i="2"/>
  <c r="AP427" i="2"/>
  <c r="X427" i="2"/>
  <c r="E427" i="2"/>
  <c r="CK426" i="2"/>
  <c r="BR426" i="2"/>
  <c r="AZ426" i="2"/>
  <c r="AI426" i="2"/>
  <c r="U426" i="2"/>
  <c r="D426" i="2"/>
  <c r="BS425" i="2"/>
  <c r="BA425" i="2"/>
  <c r="AJ425" i="2"/>
  <c r="N425" i="2"/>
  <c r="BV424" i="2"/>
  <c r="BD424" i="2"/>
  <c r="AL424" i="2"/>
  <c r="U424" i="2"/>
  <c r="CN423" i="2"/>
  <c r="BM423" i="2"/>
  <c r="AU423" i="2"/>
  <c r="AF423" i="2"/>
  <c r="L423" i="2"/>
  <c r="CR422" i="2"/>
  <c r="BS422" i="2"/>
  <c r="BA422" i="2"/>
  <c r="AJ422" i="2"/>
  <c r="V422" i="2"/>
  <c r="D422" i="2"/>
  <c r="BH421" i="2"/>
  <c r="AP421" i="2"/>
  <c r="X421" i="2"/>
  <c r="B421" i="2"/>
  <c r="BM420" i="2"/>
  <c r="AY420" i="2"/>
  <c r="Z420" i="2"/>
  <c r="F420" i="2"/>
  <c r="BR419" i="2"/>
  <c r="BD419" i="2"/>
  <c r="AG419" i="2"/>
  <c r="J419" i="2"/>
  <c r="BV418" i="2"/>
  <c r="BG418" i="2"/>
  <c r="AJ418" i="2"/>
  <c r="U418" i="2"/>
  <c r="B418" i="2"/>
  <c r="BM417" i="2"/>
  <c r="AY417" i="2"/>
  <c r="X417" i="2"/>
  <c r="BZ416" i="2"/>
  <c r="BL416" i="2"/>
  <c r="AX416" i="2"/>
  <c r="Y416" i="2"/>
  <c r="F416" i="2"/>
  <c r="BR415" i="2"/>
  <c r="BD415" i="2"/>
  <c r="AG415" i="2"/>
  <c r="L415" i="2"/>
  <c r="CQ414" i="2"/>
  <c r="BR414" i="2"/>
  <c r="BD414" i="2"/>
  <c r="AG414" i="2"/>
  <c r="J414" i="2"/>
  <c r="BV413" i="2"/>
  <c r="BG413" i="2"/>
  <c r="AJ413" i="2"/>
  <c r="U413" i="2"/>
  <c r="B413" i="2"/>
  <c r="BM412" i="2"/>
  <c r="AY412" i="2"/>
  <c r="Z412" i="2"/>
  <c r="G412" i="2"/>
  <c r="CM411" i="2"/>
  <c r="BM411" i="2"/>
  <c r="AY411" i="2"/>
  <c r="Z411" i="2"/>
  <c r="E411" i="2"/>
  <c r="X117" i="12"/>
  <c r="X98" i="12"/>
  <c r="X88" i="12"/>
  <c r="H78" i="12"/>
  <c r="F58" i="12"/>
  <c r="I53" i="12"/>
  <c r="X47" i="12"/>
  <c r="C33" i="12"/>
  <c r="F23" i="12"/>
  <c r="M18" i="12"/>
  <c r="F8" i="12"/>
  <c r="BG477" i="2"/>
  <c r="AG473" i="2"/>
  <c r="O469" i="2"/>
  <c r="O467" i="2"/>
  <c r="BH465" i="2"/>
  <c r="BP464" i="2"/>
  <c r="Y464" i="2"/>
  <c r="BS463" i="2"/>
  <c r="AN463" i="2"/>
  <c r="I463" i="2"/>
  <c r="BD462" i="2"/>
  <c r="X462" i="2"/>
  <c r="BG461" i="2"/>
  <c r="AH461" i="2"/>
  <c r="F461" i="2"/>
  <c r="BS460" i="2"/>
  <c r="AX460" i="2"/>
  <c r="AC460" i="2"/>
  <c r="I460" i="2"/>
  <c r="BM459" i="2"/>
  <c r="AP459" i="2"/>
  <c r="V459" i="2"/>
  <c r="BP458" i="2"/>
  <c r="AX458" i="2"/>
  <c r="AH458" i="2"/>
  <c r="E458" i="2"/>
  <c r="BJ457" i="2"/>
  <c r="AR457" i="2"/>
  <c r="Y457" i="2"/>
  <c r="F457" i="2"/>
  <c r="CL456" i="2"/>
  <c r="BS456" i="2"/>
  <c r="BA456" i="2"/>
  <c r="AJ456" i="2"/>
  <c r="V456" i="2"/>
  <c r="E456" i="2"/>
  <c r="BJ455" i="2"/>
  <c r="AR455" i="2"/>
  <c r="Z455" i="2"/>
  <c r="I455" i="2"/>
  <c r="CO454" i="2"/>
  <c r="CC454" i="2"/>
  <c r="BF454" i="2"/>
  <c r="AN454" i="2"/>
  <c r="Z454" i="2"/>
  <c r="K454" i="2"/>
  <c r="CQ453" i="2"/>
  <c r="CE453" i="2"/>
  <c r="BH453" i="2"/>
  <c r="AP453" i="2"/>
  <c r="AA453" i="2"/>
  <c r="K453" i="2"/>
  <c r="BS452" i="2"/>
  <c r="BA452" i="2"/>
  <c r="AJ452" i="2"/>
  <c r="J452" i="2"/>
  <c r="BM451" i="2"/>
  <c r="AU451" i="2"/>
  <c r="AF451" i="2"/>
  <c r="C451" i="2"/>
  <c r="BV450" i="2"/>
  <c r="BD450" i="2"/>
  <c r="AL450" i="2"/>
  <c r="V450" i="2"/>
  <c r="D450" i="2"/>
  <c r="BH449" i="2"/>
  <c r="AP449" i="2"/>
  <c r="X449" i="2"/>
  <c r="BS448" i="2"/>
  <c r="BA448" i="2"/>
  <c r="AJ448" i="2"/>
  <c r="H448" i="2"/>
  <c r="CM447" i="2"/>
  <c r="BJ447" i="2"/>
  <c r="AR447" i="2"/>
  <c r="AA447" i="2"/>
  <c r="J447" i="2"/>
  <c r="BR446" i="2"/>
  <c r="AZ446" i="2"/>
  <c r="AI446" i="2"/>
  <c r="L446" i="2"/>
  <c r="BS445" i="2"/>
  <c r="BA445" i="2"/>
  <c r="AJ445" i="2"/>
  <c r="J445" i="2"/>
  <c r="BN444" i="2"/>
  <c r="AV444" i="2"/>
  <c r="AG444" i="2"/>
  <c r="D444" i="2"/>
  <c r="BH443" i="2"/>
  <c r="AP443" i="2"/>
  <c r="X443" i="2"/>
  <c r="BS442" i="2"/>
  <c r="BA442" i="2"/>
  <c r="AJ442" i="2"/>
  <c r="N442" i="2"/>
  <c r="CK441" i="2"/>
  <c r="BP441" i="2"/>
  <c r="AX441" i="2"/>
  <c r="AH441" i="2"/>
  <c r="K441" i="2"/>
  <c r="BS440" i="2"/>
  <c r="BA440" i="2"/>
  <c r="AJ440" i="2"/>
  <c r="G440" i="2"/>
  <c r="BM439" i="2"/>
  <c r="AU439" i="2"/>
  <c r="AF439" i="2"/>
  <c r="C439" i="2"/>
  <c r="BR438" i="2"/>
  <c r="AZ438" i="2"/>
  <c r="AI438" i="2"/>
  <c r="F438" i="2"/>
  <c r="CL437" i="2"/>
  <c r="BS437" i="2"/>
  <c r="BA437" i="2"/>
  <c r="AJ437" i="2"/>
  <c r="W437" i="2"/>
  <c r="E437" i="2"/>
  <c r="BJ436" i="2"/>
  <c r="AR436" i="2"/>
  <c r="Y436" i="2"/>
  <c r="BT435" i="2"/>
  <c r="BB435" i="2"/>
  <c r="AK435" i="2"/>
  <c r="P435" i="2"/>
  <c r="BV434" i="2"/>
  <c r="BD434" i="2"/>
  <c r="AL434" i="2"/>
  <c r="U434" i="2"/>
  <c r="BN433" i="2"/>
  <c r="AV433" i="2"/>
  <c r="AG433" i="2"/>
  <c r="D433" i="2"/>
  <c r="BH432" i="2"/>
  <c r="AP432" i="2"/>
  <c r="X432" i="2"/>
  <c r="B432" i="2"/>
  <c r="BF431" i="2"/>
  <c r="AN431" i="2"/>
  <c r="V431" i="2"/>
  <c r="BP430" i="2"/>
  <c r="AX430" i="2"/>
  <c r="AH430" i="2"/>
  <c r="K430" i="2"/>
  <c r="CP429" i="2"/>
  <c r="BJ429" i="2"/>
  <c r="AR429" i="2"/>
  <c r="Y429" i="2"/>
  <c r="BV428" i="2"/>
  <c r="BD428" i="2"/>
  <c r="AL428" i="2"/>
  <c r="U428" i="2"/>
  <c r="B428" i="2"/>
  <c r="BG427" i="2"/>
  <c r="AO427" i="2"/>
  <c r="W427" i="2"/>
  <c r="D427" i="2"/>
  <c r="CJ426" i="2"/>
  <c r="BP426" i="2"/>
  <c r="AX426" i="2"/>
  <c r="AH426" i="2"/>
  <c r="Q426" i="2"/>
  <c r="C426" i="2"/>
  <c r="BR425" i="2"/>
  <c r="AZ425" i="2"/>
  <c r="AI425" i="2"/>
  <c r="L425" i="2"/>
  <c r="BT424" i="2"/>
  <c r="BB424" i="2"/>
  <c r="AK424" i="2"/>
  <c r="N424" i="2"/>
  <c r="CM423" i="2"/>
  <c r="BL423" i="2"/>
  <c r="AT423" i="2"/>
  <c r="AC423" i="2"/>
  <c r="K423" i="2"/>
  <c r="CQ422" i="2"/>
  <c r="BR422" i="2"/>
  <c r="AZ422" i="2"/>
  <c r="AI422" i="2"/>
  <c r="U422" i="2"/>
  <c r="C422" i="2"/>
  <c r="BG421" i="2"/>
  <c r="AO421" i="2"/>
  <c r="W421" i="2"/>
  <c r="BZ420" i="2"/>
  <c r="BL420" i="2"/>
  <c r="AX420" i="2"/>
  <c r="Y420" i="2"/>
  <c r="E420" i="2"/>
  <c r="BQ419" i="2"/>
  <c r="BB419" i="2"/>
  <c r="AF419" i="2"/>
  <c r="H419" i="2"/>
  <c r="BT418" i="2"/>
  <c r="BF418" i="2"/>
  <c r="AI418" i="2"/>
  <c r="P418" i="2"/>
  <c r="BZ417" i="2"/>
  <c r="BL417" i="2"/>
  <c r="AX417" i="2"/>
  <c r="W417" i="2"/>
  <c r="BY416" i="2"/>
  <c r="BK416" i="2"/>
  <c r="AR416" i="2"/>
  <c r="X416" i="2"/>
  <c r="E416" i="2"/>
  <c r="BQ415" i="2"/>
  <c r="BB415" i="2"/>
  <c r="AF415" i="2"/>
  <c r="K415" i="2"/>
  <c r="CP414" i="2"/>
  <c r="BQ414" i="2"/>
  <c r="BB414" i="2"/>
  <c r="AF414" i="2"/>
  <c r="H414" i="2"/>
  <c r="BT413" i="2"/>
  <c r="BF413" i="2"/>
  <c r="AI413" i="2"/>
  <c r="P413" i="2"/>
  <c r="BZ412" i="2"/>
  <c r="BL412" i="2"/>
  <c r="AX412" i="2"/>
  <c r="Y412" i="2"/>
  <c r="F412" i="2"/>
  <c r="BZ411" i="2"/>
  <c r="BL411" i="2"/>
  <c r="AX411" i="2"/>
  <c r="Y411" i="2"/>
  <c r="D411" i="2"/>
  <c r="W143" i="12"/>
  <c r="V135" i="12"/>
  <c r="S127" i="12"/>
  <c r="I109" i="12"/>
  <c r="S103" i="12"/>
  <c r="G98" i="12"/>
  <c r="O93" i="12"/>
  <c r="G88" i="12"/>
  <c r="O83" i="12"/>
  <c r="T77" i="12"/>
  <c r="L72" i="12"/>
  <c r="T67" i="12"/>
  <c r="X62" i="12"/>
  <c r="G47" i="12"/>
  <c r="L42" i="12"/>
  <c r="T37" i="12"/>
  <c r="W27" i="12"/>
  <c r="X17" i="12"/>
  <c r="V12" i="12"/>
  <c r="Q7" i="12"/>
  <c r="AK477" i="2"/>
  <c r="BP472" i="2"/>
  <c r="BP468" i="2"/>
  <c r="E467" i="2"/>
  <c r="BB465" i="2"/>
  <c r="BM464" i="2"/>
  <c r="X464" i="2"/>
  <c r="BR463" i="2"/>
  <c r="AL463" i="2"/>
  <c r="F463" i="2"/>
  <c r="AZ462" i="2"/>
  <c r="V462" i="2"/>
  <c r="BD461" i="2"/>
  <c r="AG461" i="2"/>
  <c r="E461" i="2"/>
  <c r="BR460" i="2"/>
  <c r="AU460" i="2"/>
  <c r="AB460" i="2"/>
  <c r="H460" i="2"/>
  <c r="BL459" i="2"/>
  <c r="AO459" i="2"/>
  <c r="N459" i="2"/>
  <c r="BN458" i="2"/>
  <c r="AV458" i="2"/>
  <c r="AG458" i="2"/>
  <c r="D458" i="2"/>
  <c r="BH457" i="2"/>
  <c r="AP457" i="2"/>
  <c r="X457" i="2"/>
  <c r="E457" i="2"/>
  <c r="CK456" i="2"/>
  <c r="BR456" i="2"/>
  <c r="AZ456" i="2"/>
  <c r="AI456" i="2"/>
  <c r="U456" i="2"/>
  <c r="D456" i="2"/>
  <c r="BH455" i="2"/>
  <c r="AP455" i="2"/>
  <c r="Y455" i="2"/>
  <c r="H455" i="2"/>
  <c r="CN454" i="2"/>
  <c r="BV454" i="2"/>
  <c r="BD454" i="2"/>
  <c r="AL454" i="2"/>
  <c r="Y454" i="2"/>
  <c r="J454" i="2"/>
  <c r="CP453" i="2"/>
  <c r="CD453" i="2"/>
  <c r="BG453" i="2"/>
  <c r="AO453" i="2"/>
  <c r="Z453" i="2"/>
  <c r="J453" i="2"/>
  <c r="BR452" i="2"/>
  <c r="AZ452" i="2"/>
  <c r="AI452" i="2"/>
  <c r="G452" i="2"/>
  <c r="BL451" i="2"/>
  <c r="AT451" i="2"/>
  <c r="Z451" i="2"/>
  <c r="B451" i="2"/>
  <c r="BT450" i="2"/>
  <c r="BB450" i="2"/>
  <c r="AK450" i="2"/>
  <c r="U450" i="2"/>
  <c r="C450" i="2"/>
  <c r="BG449" i="2"/>
  <c r="AO449" i="2"/>
  <c r="W449" i="2"/>
  <c r="BR448" i="2"/>
  <c r="AZ448" i="2"/>
  <c r="AI448" i="2"/>
  <c r="G448" i="2"/>
  <c r="CL447" i="2"/>
  <c r="BH447" i="2"/>
  <c r="AP447" i="2"/>
  <c r="Z447" i="2"/>
  <c r="I447" i="2"/>
  <c r="BP446" i="2"/>
  <c r="AX446" i="2"/>
  <c r="AH446" i="2"/>
  <c r="K446" i="2"/>
  <c r="BR445" i="2"/>
  <c r="AZ445" i="2"/>
  <c r="AI445" i="2"/>
  <c r="H445" i="2"/>
  <c r="BM444" i="2"/>
  <c r="AU444" i="2"/>
  <c r="AF444" i="2"/>
  <c r="C444" i="2"/>
  <c r="BG443" i="2"/>
  <c r="AO443" i="2"/>
  <c r="W443" i="2"/>
  <c r="BR442" i="2"/>
  <c r="AZ442" i="2"/>
  <c r="AI442" i="2"/>
  <c r="L442" i="2"/>
  <c r="CI441" i="2"/>
  <c r="BN441" i="2"/>
  <c r="AV441" i="2"/>
  <c r="AG441" i="2"/>
  <c r="J441" i="2"/>
  <c r="BR440" i="2"/>
  <c r="AZ440" i="2"/>
  <c r="AI440" i="2"/>
  <c r="F440" i="2"/>
  <c r="BL439" i="2"/>
  <c r="AT439" i="2"/>
  <c r="Z439" i="2"/>
  <c r="B439" i="2"/>
  <c r="BP438" i="2"/>
  <c r="AX438" i="2"/>
  <c r="AH438" i="2"/>
  <c r="E438" i="2"/>
  <c r="CK437" i="2"/>
  <c r="BR437" i="2"/>
  <c r="AZ437" i="2"/>
  <c r="AI437" i="2"/>
  <c r="V437" i="2"/>
  <c r="D437" i="2"/>
  <c r="BH436" i="2"/>
  <c r="AP436" i="2"/>
  <c r="X436" i="2"/>
  <c r="BS435" i="2"/>
  <c r="BA435" i="2"/>
  <c r="AJ435" i="2"/>
  <c r="N435" i="2"/>
  <c r="BT434" i="2"/>
  <c r="BB434" i="2"/>
  <c r="AK434" i="2"/>
  <c r="N434" i="2"/>
  <c r="BM433" i="2"/>
  <c r="AU433" i="2"/>
  <c r="AF433" i="2"/>
  <c r="C433" i="2"/>
  <c r="BG432" i="2"/>
  <c r="AO432" i="2"/>
  <c r="W432" i="2"/>
  <c r="BV431" i="2"/>
  <c r="BD431" i="2"/>
  <c r="AL431" i="2"/>
  <c r="U431" i="2"/>
  <c r="BN430" i="2"/>
  <c r="AV430" i="2"/>
  <c r="AG430" i="2"/>
  <c r="J430" i="2"/>
  <c r="CO429" i="2"/>
  <c r="BH429" i="2"/>
  <c r="AP429" i="2"/>
  <c r="X429" i="2"/>
  <c r="BT428" i="2"/>
  <c r="BB428" i="2"/>
  <c r="AK428" i="2"/>
  <c r="P428" i="2"/>
  <c r="CO427" i="2"/>
  <c r="BF427" i="2"/>
  <c r="AN427" i="2"/>
  <c r="V427" i="2"/>
  <c r="C427" i="2"/>
  <c r="CI426" i="2"/>
  <c r="BN426" i="2"/>
  <c r="AV426" i="2"/>
  <c r="AG426" i="2"/>
  <c r="P426" i="2"/>
  <c r="B426" i="2"/>
  <c r="BP425" i="2"/>
  <c r="AX425" i="2"/>
  <c r="AH425" i="2"/>
  <c r="K425" i="2"/>
  <c r="BS424" i="2"/>
  <c r="BA424" i="2"/>
  <c r="AJ424" i="2"/>
  <c r="G424" i="2"/>
  <c r="CL423" i="2"/>
  <c r="BJ423" i="2"/>
  <c r="AR423" i="2"/>
  <c r="AB423" i="2"/>
  <c r="J423" i="2"/>
  <c r="CP422" i="2"/>
  <c r="BP422" i="2"/>
  <c r="AX422" i="2"/>
  <c r="AH422" i="2"/>
  <c r="P422" i="2"/>
  <c r="B422" i="2"/>
  <c r="BF421" i="2"/>
  <c r="AN421" i="2"/>
  <c r="V421" i="2"/>
  <c r="BY420" i="2"/>
  <c r="BK420" i="2"/>
  <c r="AR420" i="2"/>
  <c r="X420" i="2"/>
  <c r="D420" i="2"/>
  <c r="BP419" i="2"/>
  <c r="BA419" i="2"/>
  <c r="AB419" i="2"/>
  <c r="G419" i="2"/>
  <c r="BS418" i="2"/>
  <c r="BE418" i="2"/>
  <c r="AH418" i="2"/>
  <c r="N418" i="2"/>
  <c r="BY417" i="2"/>
  <c r="BK417" i="2"/>
  <c r="AR417" i="2"/>
  <c r="V417" i="2"/>
  <c r="BX416" i="2"/>
  <c r="BJ416" i="2"/>
  <c r="AL416" i="2"/>
  <c r="W416" i="2"/>
  <c r="D416" i="2"/>
  <c r="BP415" i="2"/>
  <c r="BA415" i="2"/>
  <c r="AB415" i="2"/>
  <c r="J415" i="2"/>
  <c r="CO414" i="2"/>
  <c r="BP414" i="2"/>
  <c r="BA414" i="2"/>
  <c r="AB414" i="2"/>
  <c r="G414" i="2"/>
  <c r="BS413" i="2"/>
  <c r="BE413" i="2"/>
  <c r="AH413" i="2"/>
  <c r="N413" i="2"/>
  <c r="BY412" i="2"/>
  <c r="BK412" i="2"/>
  <c r="AR412" i="2"/>
  <c r="X412" i="2"/>
  <c r="E412" i="2"/>
  <c r="BY411" i="2"/>
  <c r="BK411" i="2"/>
  <c r="AR411" i="2"/>
  <c r="X411" i="2"/>
  <c r="C411" i="2"/>
  <c r="BN410" i="2"/>
  <c r="AZ410" i="2"/>
  <c r="AA410" i="2"/>
  <c r="D410" i="2"/>
  <c r="BP409" i="2"/>
  <c r="BA409" i="2"/>
  <c r="AB409" i="2"/>
  <c r="J409" i="2"/>
  <c r="CO408" i="2"/>
  <c r="BP408" i="2"/>
  <c r="BA408" i="2"/>
  <c r="AB408" i="2"/>
  <c r="G408" i="2"/>
  <c r="D153" i="12"/>
  <c r="H17" i="12"/>
  <c r="M6" i="12"/>
  <c r="BD464" i="2"/>
  <c r="E462" i="2"/>
  <c r="Z460" i="2"/>
  <c r="AT458" i="2"/>
  <c r="C457" i="2"/>
  <c r="B456" i="2"/>
  <c r="BS454" i="2"/>
  <c r="BV453" i="2"/>
  <c r="AV452" i="2"/>
  <c r="CJ450" i="2"/>
  <c r="BD449" i="2"/>
  <c r="D448" i="2"/>
  <c r="BM446" i="2"/>
  <c r="AG445" i="2"/>
  <c r="BD443" i="2"/>
  <c r="J442" i="2"/>
  <c r="BN440" i="2"/>
  <c r="X439" i="2"/>
  <c r="CI437" i="2"/>
  <c r="BF436" i="2"/>
  <c r="K435" i="2"/>
  <c r="AR433" i="2"/>
  <c r="BS431" i="2"/>
  <c r="Z430" i="2"/>
  <c r="BR428" i="2"/>
  <c r="AK427" i="2"/>
  <c r="AC426" i="2"/>
  <c r="I425" i="2"/>
  <c r="BG423" i="2"/>
  <c r="AU422" i="2"/>
  <c r="P421" i="2"/>
  <c r="BM419" i="2"/>
  <c r="AF418" i="2"/>
  <c r="BV416" i="2"/>
  <c r="BL415" i="2"/>
  <c r="BZ414" i="2"/>
  <c r="D414" i="2"/>
  <c r="L413" i="2"/>
  <c r="AL412" i="2"/>
  <c r="B412" i="2"/>
  <c r="AZ411" i="2"/>
  <c r="BZ410" i="2"/>
  <c r="BD410" i="2"/>
  <c r="Y410" i="2"/>
  <c r="BV409" i="2"/>
  <c r="BD409" i="2"/>
  <c r="Z409" i="2"/>
  <c r="B409" i="2"/>
  <c r="BR408" i="2"/>
  <c r="AY408" i="2"/>
  <c r="U408" i="2"/>
  <c r="BW407" i="2"/>
  <c r="BG407" i="2"/>
  <c r="AI407" i="2"/>
  <c r="F407" i="2"/>
  <c r="BQ406" i="2"/>
  <c r="BA406" i="2"/>
  <c r="AB406" i="2"/>
  <c r="K406" i="2"/>
  <c r="BW405" i="2"/>
  <c r="BH405" i="2"/>
  <c r="AK405" i="2"/>
  <c r="V405" i="2"/>
  <c r="C405" i="2"/>
  <c r="BN404" i="2"/>
  <c r="AZ404" i="2"/>
  <c r="AA404" i="2"/>
  <c r="H404" i="2"/>
  <c r="BT403" i="2"/>
  <c r="BF403" i="2"/>
  <c r="AI403" i="2"/>
  <c r="T403" i="2"/>
  <c r="B403" i="2"/>
  <c r="BV402" i="2"/>
  <c r="BG402" i="2"/>
  <c r="AJ402" i="2"/>
  <c r="U402" i="2"/>
  <c r="BY401" i="2"/>
  <c r="BK401" i="2"/>
  <c r="AR401" i="2"/>
  <c r="X401" i="2"/>
  <c r="E401" i="2"/>
  <c r="BY400" i="2"/>
  <c r="BK400" i="2"/>
  <c r="AR400" i="2"/>
  <c r="X400" i="2"/>
  <c r="F400" i="2"/>
  <c r="BZ399" i="2"/>
  <c r="BL399" i="2"/>
  <c r="AX399" i="2"/>
  <c r="Y399" i="2"/>
  <c r="G399" i="2"/>
  <c r="CM398" i="2"/>
  <c r="BM398" i="2"/>
  <c r="AY398" i="2"/>
  <c r="Z398" i="2"/>
  <c r="J398" i="2"/>
  <c r="CE397" i="2"/>
  <c r="BQ397" i="2"/>
  <c r="BB397" i="2"/>
  <c r="AF397" i="2"/>
  <c r="N397" i="2"/>
  <c r="CR396" i="2"/>
  <c r="BS396" i="2"/>
  <c r="BE396" i="2"/>
  <c r="AH396" i="2"/>
  <c r="P396" i="2"/>
  <c r="CS395" i="2"/>
  <c r="BT395" i="2"/>
  <c r="BF395" i="2"/>
  <c r="AI395" i="2"/>
  <c r="Q395" i="2"/>
  <c r="B395" i="2"/>
  <c r="BW394" i="2"/>
  <c r="BH394" i="2"/>
  <c r="AK394" i="2"/>
  <c r="V394" i="2"/>
  <c r="D394" i="2"/>
  <c r="BW393" i="2"/>
  <c r="BH393" i="2"/>
  <c r="AK393" i="2"/>
  <c r="V393" i="2"/>
  <c r="D393" i="2"/>
  <c r="BY392" i="2"/>
  <c r="BK392" i="2"/>
  <c r="AR392" i="2"/>
  <c r="X392" i="2"/>
  <c r="G392" i="2"/>
  <c r="CM391" i="2"/>
  <c r="BM391" i="2"/>
  <c r="AY391" i="2"/>
  <c r="Z391" i="2"/>
  <c r="J391" i="2"/>
  <c r="CO390" i="2"/>
  <c r="BP390" i="2"/>
  <c r="BA390" i="2"/>
  <c r="AB390" i="2"/>
  <c r="K390" i="2"/>
  <c r="CP389" i="2"/>
  <c r="BT389" i="2"/>
  <c r="BF389" i="2"/>
  <c r="AI389" i="2"/>
  <c r="P389" i="2"/>
  <c r="B389" i="2"/>
  <c r="BM388" i="2"/>
  <c r="AY388" i="2"/>
  <c r="Z388" i="2"/>
  <c r="C388" i="2"/>
  <c r="BN387" i="2"/>
  <c r="AZ387" i="2"/>
  <c r="AA387" i="2"/>
  <c r="D387" i="2"/>
  <c r="BP386" i="2"/>
  <c r="BA386" i="2"/>
  <c r="AB386" i="2"/>
  <c r="F386" i="2"/>
  <c r="BZ385" i="2"/>
  <c r="BL385" i="2"/>
  <c r="AX385" i="2"/>
  <c r="Y385" i="2"/>
  <c r="D385" i="2"/>
  <c r="BP384" i="2"/>
  <c r="BA384" i="2"/>
  <c r="AB384" i="2"/>
  <c r="E384" i="2"/>
  <c r="BQ383" i="2"/>
  <c r="BB383" i="2"/>
  <c r="AF383" i="2"/>
  <c r="F383" i="2"/>
  <c r="BR382" i="2"/>
  <c r="BD382" i="2"/>
  <c r="AG382" i="2"/>
  <c r="N382" i="2"/>
  <c r="BZ381" i="2"/>
  <c r="BL381" i="2"/>
  <c r="AX381" i="2"/>
  <c r="Y381" i="2"/>
  <c r="B381" i="2"/>
  <c r="BM380" i="2"/>
  <c r="AY380" i="2"/>
  <c r="Z380" i="2"/>
  <c r="C380" i="2"/>
  <c r="BN379" i="2"/>
  <c r="AZ379" i="2"/>
  <c r="AA379" i="2"/>
  <c r="D379" i="2"/>
  <c r="BP378" i="2"/>
  <c r="BA378" i="2"/>
  <c r="AB378" i="2"/>
  <c r="E378" i="2"/>
  <c r="BQ377" i="2"/>
  <c r="BB377" i="2"/>
  <c r="AF377" i="2"/>
  <c r="F377" i="2"/>
  <c r="BR376" i="2"/>
  <c r="BD376" i="2"/>
  <c r="AG376" i="2"/>
  <c r="G376" i="2"/>
  <c r="BS375" i="2"/>
  <c r="BE375" i="2"/>
  <c r="AH375" i="2"/>
  <c r="H375" i="2"/>
  <c r="BT374" i="2"/>
  <c r="BF374" i="2"/>
  <c r="AI374" i="2"/>
  <c r="N374" i="2"/>
  <c r="BV373" i="2"/>
  <c r="BG373" i="2"/>
  <c r="AJ373" i="2"/>
  <c r="U373" i="2"/>
  <c r="BW372" i="2"/>
  <c r="BH372" i="2"/>
  <c r="AK372" i="2"/>
  <c r="V372" i="2"/>
  <c r="BX371" i="2"/>
  <c r="BJ371" i="2"/>
  <c r="AL371" i="2"/>
  <c r="W371" i="2"/>
  <c r="BY370" i="2"/>
  <c r="BK370" i="2"/>
  <c r="AR370" i="2"/>
  <c r="X370" i="2"/>
  <c r="BZ369" i="2"/>
  <c r="BL369" i="2"/>
  <c r="AX369" i="2"/>
  <c r="Y369" i="2"/>
  <c r="B369" i="2"/>
  <c r="BM368" i="2"/>
  <c r="AY368" i="2"/>
  <c r="Z368" i="2"/>
  <c r="C368" i="2"/>
  <c r="BN367" i="2"/>
  <c r="AZ367" i="2"/>
  <c r="AA367" i="2"/>
  <c r="D367" i="2"/>
  <c r="BP366" i="2"/>
  <c r="BA366" i="2"/>
  <c r="AB366" i="2"/>
  <c r="E366" i="2"/>
  <c r="BQ365" i="2"/>
  <c r="BB365" i="2"/>
  <c r="AF365" i="2"/>
  <c r="F365" i="2"/>
  <c r="BR364" i="2"/>
  <c r="BD364" i="2"/>
  <c r="AG364" i="2"/>
  <c r="G364" i="2"/>
  <c r="BS363" i="2"/>
  <c r="BE363" i="2"/>
  <c r="AH363" i="2"/>
  <c r="H363" i="2"/>
  <c r="BT362" i="2"/>
  <c r="BF362" i="2"/>
  <c r="AI362" i="2"/>
  <c r="N362" i="2"/>
  <c r="BV361" i="2"/>
  <c r="BG361" i="2"/>
  <c r="AJ361" i="2"/>
  <c r="U361" i="2"/>
  <c r="BW360" i="2"/>
  <c r="BH360" i="2"/>
  <c r="AK360" i="2"/>
  <c r="V360" i="2"/>
  <c r="BX359" i="2"/>
  <c r="BJ359" i="2"/>
  <c r="AL359" i="2"/>
  <c r="W359" i="2"/>
  <c r="BY358" i="2"/>
  <c r="BK358" i="2"/>
  <c r="AR358" i="2"/>
  <c r="X358" i="2"/>
  <c r="BZ357" i="2"/>
  <c r="C67" i="12"/>
  <c r="M57" i="12"/>
  <c r="C37" i="12"/>
  <c r="F27" i="12"/>
  <c r="U16" i="12"/>
  <c r="E477" i="2"/>
  <c r="U464" i="2"/>
  <c r="BB461" i="2"/>
  <c r="G460" i="2"/>
  <c r="AF458" i="2"/>
  <c r="CJ456" i="2"/>
  <c r="BG455" i="2"/>
  <c r="BB454" i="2"/>
  <c r="BF453" i="2"/>
  <c r="AH452" i="2"/>
  <c r="BS450" i="2"/>
  <c r="AN449" i="2"/>
  <c r="CK447" i="2"/>
  <c r="AV446" i="2"/>
  <c r="G445" i="2"/>
  <c r="AN443" i="2"/>
  <c r="CH441" i="2"/>
  <c r="AX440" i="2"/>
  <c r="CS438" i="2"/>
  <c r="BP437" i="2"/>
  <c r="AO436" i="2"/>
  <c r="BS434" i="2"/>
  <c r="Z433" i="2"/>
  <c r="BB431" i="2"/>
  <c r="I430" i="2"/>
  <c r="BA428" i="2"/>
  <c r="U427" i="2"/>
  <c r="N426" i="2"/>
  <c r="BR424" i="2"/>
  <c r="AP423" i="2"/>
  <c r="AG422" i="2"/>
  <c r="BX420" i="2"/>
  <c r="AZ419" i="2"/>
  <c r="L418" i="2"/>
  <c r="BH416" i="2"/>
  <c r="AZ415" i="2"/>
  <c r="BN414" i="2"/>
  <c r="BR413" i="2"/>
  <c r="K413" i="2"/>
  <c r="AK412" i="2"/>
  <c r="CR411" i="2"/>
  <c r="AL411" i="2"/>
  <c r="BY410" i="2"/>
  <c r="BB410" i="2"/>
  <c r="X410" i="2"/>
  <c r="BT409" i="2"/>
  <c r="BB409" i="2"/>
  <c r="Y409" i="2"/>
  <c r="CS408" i="2"/>
  <c r="BQ408" i="2"/>
  <c r="AX408" i="2"/>
  <c r="P408" i="2"/>
  <c r="BV407" i="2"/>
  <c r="BF407" i="2"/>
  <c r="AH407" i="2"/>
  <c r="E407" i="2"/>
  <c r="BP406" i="2"/>
  <c r="AZ406" i="2"/>
  <c r="AA406" i="2"/>
  <c r="J406" i="2"/>
  <c r="BV405" i="2"/>
  <c r="BG405" i="2"/>
  <c r="AJ405" i="2"/>
  <c r="U405" i="2"/>
  <c r="B405" i="2"/>
  <c r="BM404" i="2"/>
  <c r="AY404" i="2"/>
  <c r="Z404" i="2"/>
  <c r="G404" i="2"/>
  <c r="BS403" i="2"/>
  <c r="BE403" i="2"/>
  <c r="AH403" i="2"/>
  <c r="P403" i="2"/>
  <c r="CS402" i="2"/>
  <c r="BT402" i="2"/>
  <c r="BF402" i="2"/>
  <c r="AI402" i="2"/>
  <c r="P402" i="2"/>
  <c r="BX401" i="2"/>
  <c r="BJ401" i="2"/>
  <c r="AL401" i="2"/>
  <c r="W401" i="2"/>
  <c r="D401" i="2"/>
  <c r="BX400" i="2"/>
  <c r="BJ400" i="2"/>
  <c r="AL400" i="2"/>
  <c r="W400" i="2"/>
  <c r="E400" i="2"/>
  <c r="BY399" i="2"/>
  <c r="BK399" i="2"/>
  <c r="AR399" i="2"/>
  <c r="X399" i="2"/>
  <c r="F399" i="2"/>
  <c r="BZ398" i="2"/>
  <c r="BL398" i="2"/>
  <c r="AX398" i="2"/>
  <c r="Y398" i="2"/>
  <c r="H398" i="2"/>
  <c r="CD397" i="2"/>
  <c r="BP397" i="2"/>
  <c r="BA397" i="2"/>
  <c r="AB397" i="2"/>
  <c r="L397" i="2"/>
  <c r="CQ396" i="2"/>
  <c r="BR396" i="2"/>
  <c r="BD396" i="2"/>
  <c r="AG396" i="2"/>
  <c r="N396" i="2"/>
  <c r="CR395" i="2"/>
  <c r="BS395" i="2"/>
  <c r="BE395" i="2"/>
  <c r="AH395" i="2"/>
  <c r="P395" i="2"/>
  <c r="CI394" i="2"/>
  <c r="BV394" i="2"/>
  <c r="BG394" i="2"/>
  <c r="AJ394" i="2"/>
  <c r="U394" i="2"/>
  <c r="C394" i="2"/>
  <c r="BV393" i="2"/>
  <c r="BG393" i="2"/>
  <c r="AJ393" i="2"/>
  <c r="U393" i="2"/>
  <c r="C393" i="2"/>
  <c r="BX392" i="2"/>
  <c r="BJ392" i="2"/>
  <c r="AL392" i="2"/>
  <c r="W392" i="2"/>
  <c r="F392" i="2"/>
  <c r="BZ391" i="2"/>
  <c r="BL391" i="2"/>
  <c r="AX391" i="2"/>
  <c r="Y391" i="2"/>
  <c r="H391" i="2"/>
  <c r="CN390" i="2"/>
  <c r="BN390" i="2"/>
  <c r="AZ390" i="2"/>
  <c r="AA390" i="2"/>
  <c r="J390" i="2"/>
  <c r="CO389" i="2"/>
  <c r="BS389" i="2"/>
  <c r="BE389" i="2"/>
  <c r="AH389" i="2"/>
  <c r="N389" i="2"/>
  <c r="BZ388" i="2"/>
  <c r="BL388" i="2"/>
  <c r="AX388" i="2"/>
  <c r="Y388" i="2"/>
  <c r="B388" i="2"/>
  <c r="BM387" i="2"/>
  <c r="AY387" i="2"/>
  <c r="Z387" i="2"/>
  <c r="C387" i="2"/>
  <c r="BN386" i="2"/>
  <c r="AZ386" i="2"/>
  <c r="AA386" i="2"/>
  <c r="E386" i="2"/>
  <c r="BY385" i="2"/>
  <c r="BK385" i="2"/>
  <c r="AR385" i="2"/>
  <c r="X385" i="2"/>
  <c r="C385" i="2"/>
  <c r="BN384" i="2"/>
  <c r="AZ384" i="2"/>
  <c r="AA384" i="2"/>
  <c r="D384" i="2"/>
  <c r="BP383" i="2"/>
  <c r="BA383" i="2"/>
  <c r="AB383" i="2"/>
  <c r="E383" i="2"/>
  <c r="BQ382" i="2"/>
  <c r="BB382" i="2"/>
  <c r="AF382" i="2"/>
  <c r="L382" i="2"/>
  <c r="BY381" i="2"/>
  <c r="BK381" i="2"/>
  <c r="AR381" i="2"/>
  <c r="X381" i="2"/>
  <c r="BZ380" i="2"/>
  <c r="BL380" i="2"/>
  <c r="AX380" i="2"/>
  <c r="Y380" i="2"/>
  <c r="B380" i="2"/>
  <c r="BM379" i="2"/>
  <c r="AY379" i="2"/>
  <c r="Z379" i="2"/>
  <c r="C379" i="2"/>
  <c r="BN378" i="2"/>
  <c r="AZ378" i="2"/>
  <c r="AA378" i="2"/>
  <c r="D378" i="2"/>
  <c r="BP377" i="2"/>
  <c r="BA377" i="2"/>
  <c r="AB377" i="2"/>
  <c r="E377" i="2"/>
  <c r="BQ376" i="2"/>
  <c r="BB376" i="2"/>
  <c r="AF376" i="2"/>
  <c r="F376" i="2"/>
  <c r="BR375" i="2"/>
  <c r="BD375" i="2"/>
  <c r="AG375" i="2"/>
  <c r="G375" i="2"/>
  <c r="BS374" i="2"/>
  <c r="BE374" i="2"/>
  <c r="AH374" i="2"/>
  <c r="H374" i="2"/>
  <c r="BT373" i="2"/>
  <c r="BF373" i="2"/>
  <c r="AI373" i="2"/>
  <c r="N373" i="2"/>
  <c r="BV372" i="2"/>
  <c r="BG372" i="2"/>
  <c r="AJ372" i="2"/>
  <c r="U372" i="2"/>
  <c r="BW371" i="2"/>
  <c r="BH371" i="2"/>
  <c r="AK371" i="2"/>
  <c r="V371" i="2"/>
  <c r="BX370" i="2"/>
  <c r="BJ370" i="2"/>
  <c r="AL370" i="2"/>
  <c r="W370" i="2"/>
  <c r="BY369" i="2"/>
  <c r="BK369" i="2"/>
  <c r="AR369" i="2"/>
  <c r="X369" i="2"/>
  <c r="BZ368" i="2"/>
  <c r="BL368" i="2"/>
  <c r="AX368" i="2"/>
  <c r="Y368" i="2"/>
  <c r="B368" i="2"/>
  <c r="BM367" i="2"/>
  <c r="AY367" i="2"/>
  <c r="Z367" i="2"/>
  <c r="C367" i="2"/>
  <c r="BN366" i="2"/>
  <c r="AZ366" i="2"/>
  <c r="AA366" i="2"/>
  <c r="D366" i="2"/>
  <c r="BP365" i="2"/>
  <c r="BA365" i="2"/>
  <c r="AB365" i="2"/>
  <c r="E365" i="2"/>
  <c r="BQ364" i="2"/>
  <c r="BB364" i="2"/>
  <c r="AF364" i="2"/>
  <c r="C77" i="12"/>
  <c r="O46" i="12"/>
  <c r="BC476" i="2"/>
  <c r="N464" i="2"/>
  <c r="BA461" i="2"/>
  <c r="F460" i="2"/>
  <c r="Z458" i="2"/>
  <c r="CI456" i="2"/>
  <c r="BF455" i="2"/>
  <c r="BA454" i="2"/>
  <c r="BD453" i="2"/>
  <c r="AG452" i="2"/>
  <c r="BR450" i="2"/>
  <c r="AL449" i="2"/>
  <c r="CJ447" i="2"/>
  <c r="AU446" i="2"/>
  <c r="E445" i="2"/>
  <c r="AL443" i="2"/>
  <c r="CG441" i="2"/>
  <c r="AV440" i="2"/>
  <c r="CR438" i="2"/>
  <c r="BN437" i="2"/>
  <c r="AN436" i="2"/>
  <c r="BR434" i="2"/>
  <c r="Y433" i="2"/>
  <c r="BA431" i="2"/>
  <c r="G430" i="2"/>
  <c r="AZ428" i="2"/>
  <c r="P427" i="2"/>
  <c r="L426" i="2"/>
  <c r="BP424" i="2"/>
  <c r="AO423" i="2"/>
  <c r="AF422" i="2"/>
  <c r="BW420" i="2"/>
  <c r="AY419" i="2"/>
  <c r="K418" i="2"/>
  <c r="BG416" i="2"/>
  <c r="AY415" i="2"/>
  <c r="BM414" i="2"/>
  <c r="BQ413" i="2"/>
  <c r="J413" i="2"/>
  <c r="AJ412" i="2"/>
  <c r="CN411" i="2"/>
  <c r="AK411" i="2"/>
  <c r="BW410" i="2"/>
  <c r="BA410" i="2"/>
  <c r="V410" i="2"/>
  <c r="BS409" i="2"/>
  <c r="AZ409" i="2"/>
  <c r="W409" i="2"/>
  <c r="CR408" i="2"/>
  <c r="BN408" i="2"/>
  <c r="AL408" i="2"/>
  <c r="N408" i="2"/>
  <c r="BT407" i="2"/>
  <c r="BE407" i="2"/>
  <c r="AG407" i="2"/>
  <c r="D407" i="2"/>
  <c r="BN406" i="2"/>
  <c r="AY406" i="2"/>
  <c r="Z406" i="2"/>
  <c r="H406" i="2"/>
  <c r="BT405" i="2"/>
  <c r="BF405" i="2"/>
  <c r="AI405" i="2"/>
  <c r="P405" i="2"/>
  <c r="BZ404" i="2"/>
  <c r="BL404" i="2"/>
  <c r="AX404" i="2"/>
  <c r="Y404" i="2"/>
  <c r="F404" i="2"/>
  <c r="BR403" i="2"/>
  <c r="BD403" i="2"/>
  <c r="AG403" i="2"/>
  <c r="N403" i="2"/>
  <c r="CR402" i="2"/>
  <c r="BS402" i="2"/>
  <c r="BE402" i="2"/>
  <c r="AH402" i="2"/>
  <c r="N402" i="2"/>
  <c r="BW401" i="2"/>
  <c r="BH401" i="2"/>
  <c r="AK401" i="2"/>
  <c r="V401" i="2"/>
  <c r="C401" i="2"/>
  <c r="BW400" i="2"/>
  <c r="BH400" i="2"/>
  <c r="AK400" i="2"/>
  <c r="V400" i="2"/>
  <c r="D400" i="2"/>
  <c r="BX399" i="2"/>
  <c r="BJ399" i="2"/>
  <c r="AL399" i="2"/>
  <c r="W399" i="2"/>
  <c r="E399" i="2"/>
  <c r="BY398" i="2"/>
  <c r="BK398" i="2"/>
  <c r="AR398" i="2"/>
  <c r="X398" i="2"/>
  <c r="G398" i="2"/>
  <c r="CC397" i="2"/>
  <c r="BN397" i="2"/>
  <c r="AZ397" i="2"/>
  <c r="AA397" i="2"/>
  <c r="K397" i="2"/>
  <c r="CP396" i="2"/>
  <c r="BQ396" i="2"/>
  <c r="BB396" i="2"/>
  <c r="AF396" i="2"/>
  <c r="L396" i="2"/>
  <c r="CQ395" i="2"/>
  <c r="BR395" i="2"/>
  <c r="BD395" i="2"/>
  <c r="AG395" i="2"/>
  <c r="N395" i="2"/>
  <c r="CH394" i="2"/>
  <c r="BT394" i="2"/>
  <c r="BF394" i="2"/>
  <c r="AI394" i="2"/>
  <c r="Q394" i="2"/>
  <c r="B394" i="2"/>
  <c r="BT393" i="2"/>
  <c r="BF393" i="2"/>
  <c r="AI393" i="2"/>
  <c r="Q393" i="2"/>
  <c r="B393" i="2"/>
  <c r="BW392" i="2"/>
  <c r="BH392" i="2"/>
  <c r="AK392" i="2"/>
  <c r="V392" i="2"/>
  <c r="E392" i="2"/>
  <c r="BY391" i="2"/>
  <c r="BK391" i="2"/>
  <c r="AR391" i="2"/>
  <c r="X391" i="2"/>
  <c r="G391" i="2"/>
  <c r="CM390" i="2"/>
  <c r="BM390" i="2"/>
  <c r="AY390" i="2"/>
  <c r="Z390" i="2"/>
  <c r="H390" i="2"/>
  <c r="CN389" i="2"/>
  <c r="BR389" i="2"/>
  <c r="BD389" i="2"/>
  <c r="AG389" i="2"/>
  <c r="L389" i="2"/>
  <c r="BY388" i="2"/>
  <c r="BK388" i="2"/>
  <c r="AR388" i="2"/>
  <c r="X388" i="2"/>
  <c r="BZ387" i="2"/>
  <c r="BL387" i="2"/>
  <c r="AX387" i="2"/>
  <c r="Y387" i="2"/>
  <c r="B387" i="2"/>
  <c r="BM386" i="2"/>
  <c r="AY386" i="2"/>
  <c r="Z386" i="2"/>
  <c r="D386" i="2"/>
  <c r="BX385" i="2"/>
  <c r="BJ385" i="2"/>
  <c r="AL385" i="2"/>
  <c r="W385" i="2"/>
  <c r="B385" i="2"/>
  <c r="BM384" i="2"/>
  <c r="AY384" i="2"/>
  <c r="Z384" i="2"/>
  <c r="C384" i="2"/>
  <c r="BN383" i="2"/>
  <c r="AZ383" i="2"/>
  <c r="AA383" i="2"/>
  <c r="D383" i="2"/>
  <c r="BP382" i="2"/>
  <c r="BA382" i="2"/>
  <c r="AB382" i="2"/>
  <c r="K382" i="2"/>
  <c r="BX381" i="2"/>
  <c r="BJ381" i="2"/>
  <c r="AL381" i="2"/>
  <c r="W381" i="2"/>
  <c r="BY380" i="2"/>
  <c r="BK380" i="2"/>
  <c r="AR380" i="2"/>
  <c r="X380" i="2"/>
  <c r="BZ379" i="2"/>
  <c r="BL379" i="2"/>
  <c r="AX379" i="2"/>
  <c r="Y379" i="2"/>
  <c r="B379" i="2"/>
  <c r="BM378" i="2"/>
  <c r="AY378" i="2"/>
  <c r="Z378" i="2"/>
  <c r="C378" i="2"/>
  <c r="BN377" i="2"/>
  <c r="AZ377" i="2"/>
  <c r="AA377" i="2"/>
  <c r="D377" i="2"/>
  <c r="BP376" i="2"/>
  <c r="BA376" i="2"/>
  <c r="AB376" i="2"/>
  <c r="E376" i="2"/>
  <c r="BQ375" i="2"/>
  <c r="BB375" i="2"/>
  <c r="AF375" i="2"/>
  <c r="F375" i="2"/>
  <c r="BR374" i="2"/>
  <c r="BD374" i="2"/>
  <c r="AG374" i="2"/>
  <c r="G374" i="2"/>
  <c r="BS373" i="2"/>
  <c r="BE373" i="2"/>
  <c r="AH373" i="2"/>
  <c r="H373" i="2"/>
  <c r="BT372" i="2"/>
  <c r="BF372" i="2"/>
  <c r="AI372" i="2"/>
  <c r="N372" i="2"/>
  <c r="BV371" i="2"/>
  <c r="BG371" i="2"/>
  <c r="AJ371" i="2"/>
  <c r="U371" i="2"/>
  <c r="BW370" i="2"/>
  <c r="BH370" i="2"/>
  <c r="AK370" i="2"/>
  <c r="V370" i="2"/>
  <c r="BX369" i="2"/>
  <c r="BJ369" i="2"/>
  <c r="AL369" i="2"/>
  <c r="W369" i="2"/>
  <c r="BY368" i="2"/>
  <c r="BK368" i="2"/>
  <c r="AR368" i="2"/>
  <c r="X368" i="2"/>
  <c r="BZ367" i="2"/>
  <c r="BL367" i="2"/>
  <c r="AX367" i="2"/>
  <c r="Y367" i="2"/>
  <c r="B367" i="2"/>
  <c r="BM366" i="2"/>
  <c r="O108" i="12"/>
  <c r="O87" i="12"/>
  <c r="AY472" i="2"/>
  <c r="BM463" i="2"/>
  <c r="AF461" i="2"/>
  <c r="BH459" i="2"/>
  <c r="C458" i="2"/>
  <c r="BP456" i="2"/>
  <c r="AO455" i="2"/>
  <c r="AK454" i="2"/>
  <c r="AN453" i="2"/>
  <c r="E452" i="2"/>
  <c r="BA450" i="2"/>
  <c r="V449" i="2"/>
  <c r="BG447" i="2"/>
  <c r="AG446" i="2"/>
  <c r="BL444" i="2"/>
  <c r="V443" i="2"/>
  <c r="BM441" i="2"/>
  <c r="AH440" i="2"/>
  <c r="BN438" i="2"/>
  <c r="AX437" i="2"/>
  <c r="W436" i="2"/>
  <c r="BA434" i="2"/>
  <c r="B433" i="2"/>
  <c r="AK431" i="2"/>
  <c r="CN429" i="2"/>
  <c r="AJ428" i="2"/>
  <c r="B427" i="2"/>
  <c r="CI425" i="2"/>
  <c r="AZ424" i="2"/>
  <c r="AA423" i="2"/>
  <c r="N422" i="2"/>
  <c r="BJ420" i="2"/>
  <c r="AA419" i="2"/>
  <c r="BX417" i="2"/>
  <c r="AK416" i="2"/>
  <c r="AX415" i="2"/>
  <c r="BL414" i="2"/>
  <c r="BP413" i="2"/>
  <c r="G413" i="2"/>
  <c r="AH412" i="2"/>
  <c r="BX411" i="2"/>
  <c r="AJ411" i="2"/>
  <c r="BT410" i="2"/>
  <c r="AY410" i="2"/>
  <c r="N410" i="2"/>
  <c r="BR409" i="2"/>
  <c r="AY409" i="2"/>
  <c r="U409" i="2"/>
  <c r="CQ408" i="2"/>
  <c r="BM408" i="2"/>
  <c r="AJ408" i="2"/>
  <c r="J408" i="2"/>
  <c r="BS407" i="2"/>
  <c r="BD407" i="2"/>
  <c r="AF407" i="2"/>
  <c r="C407" i="2"/>
  <c r="BL406" i="2"/>
  <c r="AX406" i="2"/>
  <c r="Y406" i="2"/>
  <c r="G406" i="2"/>
  <c r="BS405" i="2"/>
  <c r="BE405" i="2"/>
  <c r="AH405" i="2"/>
  <c r="N405" i="2"/>
  <c r="BY404" i="2"/>
  <c r="BK404" i="2"/>
  <c r="AR404" i="2"/>
  <c r="X404" i="2"/>
  <c r="E404" i="2"/>
  <c r="BQ403" i="2"/>
  <c r="BB403" i="2"/>
  <c r="AF403" i="2"/>
  <c r="L403" i="2"/>
  <c r="CQ402" i="2"/>
  <c r="BR402" i="2"/>
  <c r="BD402" i="2"/>
  <c r="AG402" i="2"/>
  <c r="J402" i="2"/>
  <c r="BV401" i="2"/>
  <c r="BG401" i="2"/>
  <c r="AJ401" i="2"/>
  <c r="U401" i="2"/>
  <c r="B401" i="2"/>
  <c r="BV400" i="2"/>
  <c r="BG400" i="2"/>
  <c r="AJ400" i="2"/>
  <c r="U400" i="2"/>
  <c r="C400" i="2"/>
  <c r="BW399" i="2"/>
  <c r="BH399" i="2"/>
  <c r="AK399" i="2"/>
  <c r="V399" i="2"/>
  <c r="D399" i="2"/>
  <c r="BX398" i="2"/>
  <c r="BJ398" i="2"/>
  <c r="AL398" i="2"/>
  <c r="W398" i="2"/>
  <c r="F398" i="2"/>
  <c r="CB397" i="2"/>
  <c r="BM397" i="2"/>
  <c r="AY397" i="2"/>
  <c r="Z397" i="2"/>
  <c r="J397" i="2"/>
  <c r="CO396" i="2"/>
  <c r="BP396" i="2"/>
  <c r="BA396" i="2"/>
  <c r="AB396" i="2"/>
  <c r="K396" i="2"/>
  <c r="CP395" i="2"/>
  <c r="BQ395" i="2"/>
  <c r="BB395" i="2"/>
  <c r="AF395" i="2"/>
  <c r="L395" i="2"/>
  <c r="CG394" i="2"/>
  <c r="BS394" i="2"/>
  <c r="BE394" i="2"/>
  <c r="AH394" i="2"/>
  <c r="P394" i="2"/>
  <c r="CS393" i="2"/>
  <c r="BS393" i="2"/>
  <c r="BE393" i="2"/>
  <c r="AH393" i="2"/>
  <c r="P393" i="2"/>
  <c r="CI392" i="2"/>
  <c r="BV392" i="2"/>
  <c r="BG392" i="2"/>
  <c r="AJ392" i="2"/>
  <c r="U392" i="2"/>
  <c r="D392" i="2"/>
  <c r="BX391" i="2"/>
  <c r="BJ391" i="2"/>
  <c r="AL391" i="2"/>
  <c r="W391" i="2"/>
  <c r="F391" i="2"/>
  <c r="BZ390" i="2"/>
  <c r="BL390" i="2"/>
  <c r="AX390" i="2"/>
  <c r="Y390" i="2"/>
  <c r="G390" i="2"/>
  <c r="CM389" i="2"/>
  <c r="BQ389" i="2"/>
  <c r="BB389" i="2"/>
  <c r="AF389" i="2"/>
  <c r="K389" i="2"/>
  <c r="BX388" i="2"/>
  <c r="BJ388" i="2"/>
  <c r="AL388" i="2"/>
  <c r="W388" i="2"/>
  <c r="BY387" i="2"/>
  <c r="BK387" i="2"/>
  <c r="AR387" i="2"/>
  <c r="X387" i="2"/>
  <c r="BZ386" i="2"/>
  <c r="BL386" i="2"/>
  <c r="AX386" i="2"/>
  <c r="Y386" i="2"/>
  <c r="C386" i="2"/>
  <c r="BW385" i="2"/>
  <c r="BH385" i="2"/>
  <c r="AK385" i="2"/>
  <c r="V385" i="2"/>
  <c r="BZ384" i="2"/>
  <c r="BL384" i="2"/>
  <c r="AX384" i="2"/>
  <c r="Y384" i="2"/>
  <c r="B384" i="2"/>
  <c r="BM383" i="2"/>
  <c r="AY383" i="2"/>
  <c r="Z383" i="2"/>
  <c r="C383" i="2"/>
  <c r="BN382" i="2"/>
  <c r="AZ382" i="2"/>
  <c r="AA382" i="2"/>
  <c r="J382" i="2"/>
  <c r="BW381" i="2"/>
  <c r="BH381" i="2"/>
  <c r="AK381" i="2"/>
  <c r="V381" i="2"/>
  <c r="BX380" i="2"/>
  <c r="BJ380" i="2"/>
  <c r="AL380" i="2"/>
  <c r="W380" i="2"/>
  <c r="BY379" i="2"/>
  <c r="BK379" i="2"/>
  <c r="AR379" i="2"/>
  <c r="X379" i="2"/>
  <c r="BZ378" i="2"/>
  <c r="BL378" i="2"/>
  <c r="AX378" i="2"/>
  <c r="Y378" i="2"/>
  <c r="B378" i="2"/>
  <c r="BM377" i="2"/>
  <c r="AY377" i="2"/>
  <c r="Z377" i="2"/>
  <c r="C377" i="2"/>
  <c r="BN376" i="2"/>
  <c r="AZ376" i="2"/>
  <c r="AA376" i="2"/>
  <c r="D376" i="2"/>
  <c r="BP375" i="2"/>
  <c r="BA375" i="2"/>
  <c r="AB375" i="2"/>
  <c r="E375" i="2"/>
  <c r="BQ374" i="2"/>
  <c r="BB374" i="2"/>
  <c r="AF374" i="2"/>
  <c r="F374" i="2"/>
  <c r="BR373" i="2"/>
  <c r="BD373" i="2"/>
  <c r="AG373" i="2"/>
  <c r="G373" i="2"/>
  <c r="BS372" i="2"/>
  <c r="BE372" i="2"/>
  <c r="AH372" i="2"/>
  <c r="H372" i="2"/>
  <c r="BT371" i="2"/>
  <c r="BF371" i="2"/>
  <c r="AI371" i="2"/>
  <c r="N371" i="2"/>
  <c r="BV370" i="2"/>
  <c r="BG370" i="2"/>
  <c r="AJ370" i="2"/>
  <c r="U370" i="2"/>
  <c r="BW369" i="2"/>
  <c r="BH369" i="2"/>
  <c r="AK369" i="2"/>
  <c r="V369" i="2"/>
  <c r="BX368" i="2"/>
  <c r="BJ368" i="2"/>
  <c r="AL368" i="2"/>
  <c r="W368" i="2"/>
  <c r="BY367" i="2"/>
  <c r="BK367" i="2"/>
  <c r="AR367" i="2"/>
  <c r="X367" i="2"/>
  <c r="BZ366" i="2"/>
  <c r="BL366" i="2"/>
  <c r="AX366" i="2"/>
  <c r="Y366" i="2"/>
  <c r="B366" i="2"/>
  <c r="BM365" i="2"/>
  <c r="O97" i="12"/>
  <c r="O472" i="2"/>
  <c r="BL463" i="2"/>
  <c r="Y461" i="2"/>
  <c r="BG459" i="2"/>
  <c r="B458" i="2"/>
  <c r="BN456" i="2"/>
  <c r="AN455" i="2"/>
  <c r="AJ454" i="2"/>
  <c r="AL453" i="2"/>
  <c r="D452" i="2"/>
  <c r="AZ450" i="2"/>
  <c r="U449" i="2"/>
  <c r="BF447" i="2"/>
  <c r="AF446" i="2"/>
  <c r="BJ444" i="2"/>
  <c r="U443" i="2"/>
  <c r="BL441" i="2"/>
  <c r="AG440" i="2"/>
  <c r="BM438" i="2"/>
  <c r="AV437" i="2"/>
  <c r="V436" i="2"/>
  <c r="AZ434" i="2"/>
  <c r="BV432" i="2"/>
  <c r="AJ431" i="2"/>
  <c r="CM429" i="2"/>
  <c r="AI428" i="2"/>
  <c r="CS426" i="2"/>
  <c r="CH425" i="2"/>
  <c r="AX424" i="2"/>
  <c r="Z423" i="2"/>
  <c r="L422" i="2"/>
  <c r="BH420" i="2"/>
  <c r="Z419" i="2"/>
  <c r="BW417" i="2"/>
  <c r="AJ416" i="2"/>
  <c r="AA415" i="2"/>
  <c r="AZ414" i="2"/>
  <c r="BD413" i="2"/>
  <c r="BX412" i="2"/>
  <c r="AA412" i="2"/>
  <c r="BW411" i="2"/>
  <c r="AH411" i="2"/>
  <c r="BR410" i="2"/>
  <c r="AX410" i="2"/>
  <c r="H410" i="2"/>
  <c r="BQ409" i="2"/>
  <c r="AX409" i="2"/>
  <c r="P409" i="2"/>
  <c r="CP408" i="2"/>
  <c r="BL408" i="2"/>
  <c r="AI408" i="2"/>
  <c r="H408" i="2"/>
  <c r="BR407" i="2"/>
  <c r="BB407" i="2"/>
  <c r="Z407" i="2"/>
  <c r="BZ406" i="2"/>
  <c r="BK406" i="2"/>
  <c r="AR406" i="2"/>
  <c r="X406" i="2"/>
  <c r="F406" i="2"/>
  <c r="BR405" i="2"/>
  <c r="BD405" i="2"/>
  <c r="AG405" i="2"/>
  <c r="L405" i="2"/>
  <c r="BX404" i="2"/>
  <c r="BJ404" i="2"/>
  <c r="AL404" i="2"/>
  <c r="W404" i="2"/>
  <c r="D404" i="2"/>
  <c r="BP403" i="2"/>
  <c r="BA403" i="2"/>
  <c r="AB403" i="2"/>
  <c r="K403" i="2"/>
  <c r="CP402" i="2"/>
  <c r="BQ402" i="2"/>
  <c r="BB402" i="2"/>
  <c r="AF402" i="2"/>
  <c r="H402" i="2"/>
  <c r="BT401" i="2"/>
  <c r="BF401" i="2"/>
  <c r="AI401" i="2"/>
  <c r="P401" i="2"/>
  <c r="CS400" i="2"/>
  <c r="BT400" i="2"/>
  <c r="BF400" i="2"/>
  <c r="AI400" i="2"/>
  <c r="Q400" i="2"/>
  <c r="B400" i="2"/>
  <c r="BV399" i="2"/>
  <c r="BG399" i="2"/>
  <c r="AJ399" i="2"/>
  <c r="U399" i="2"/>
  <c r="C399" i="2"/>
  <c r="BW398" i="2"/>
  <c r="BH398" i="2"/>
  <c r="AK398" i="2"/>
  <c r="V398" i="2"/>
  <c r="E398" i="2"/>
  <c r="BZ397" i="2"/>
  <c r="BL397" i="2"/>
  <c r="AX397" i="2"/>
  <c r="Y397" i="2"/>
  <c r="H397" i="2"/>
  <c r="CN396" i="2"/>
  <c r="BN396" i="2"/>
  <c r="AZ396" i="2"/>
  <c r="AA396" i="2"/>
  <c r="J396" i="2"/>
  <c r="CO395" i="2"/>
  <c r="BP395" i="2"/>
  <c r="BA395" i="2"/>
  <c r="AB395" i="2"/>
  <c r="K395" i="2"/>
  <c r="CF394" i="2"/>
  <c r="BR394" i="2"/>
  <c r="BD394" i="2"/>
  <c r="AG394" i="2"/>
  <c r="N394" i="2"/>
  <c r="CR393" i="2"/>
  <c r="BR393" i="2"/>
  <c r="BD393" i="2"/>
  <c r="AG393" i="2"/>
  <c r="N393" i="2"/>
  <c r="CH392" i="2"/>
  <c r="BT392" i="2"/>
  <c r="BF392" i="2"/>
  <c r="AI392" i="2"/>
  <c r="T392" i="2"/>
  <c r="C392" i="2"/>
  <c r="BW391" i="2"/>
  <c r="BH391" i="2"/>
  <c r="AK391" i="2"/>
  <c r="V391" i="2"/>
  <c r="E391" i="2"/>
  <c r="BY390" i="2"/>
  <c r="BK390" i="2"/>
  <c r="AR390" i="2"/>
  <c r="X390" i="2"/>
  <c r="F390" i="2"/>
  <c r="CL389" i="2"/>
  <c r="BP389" i="2"/>
  <c r="BA389" i="2"/>
  <c r="AB389" i="2"/>
  <c r="J389" i="2"/>
  <c r="BW388" i="2"/>
  <c r="BH388" i="2"/>
  <c r="AK388" i="2"/>
  <c r="V388" i="2"/>
  <c r="BX387" i="2"/>
  <c r="BJ387" i="2"/>
  <c r="AL387" i="2"/>
  <c r="W387" i="2"/>
  <c r="BY386" i="2"/>
  <c r="BK386" i="2"/>
  <c r="AR386" i="2"/>
  <c r="X386" i="2"/>
  <c r="B386" i="2"/>
  <c r="BV385" i="2"/>
  <c r="BG385" i="2"/>
  <c r="AJ385" i="2"/>
  <c r="U385" i="2"/>
  <c r="BY384" i="2"/>
  <c r="BK384" i="2"/>
  <c r="AR384" i="2"/>
  <c r="X384" i="2"/>
  <c r="BZ383" i="2"/>
  <c r="BL383" i="2"/>
  <c r="AX383" i="2"/>
  <c r="Y383" i="2"/>
  <c r="B383" i="2"/>
  <c r="BM382" i="2"/>
  <c r="AY382" i="2"/>
  <c r="Z382" i="2"/>
  <c r="I382" i="2"/>
  <c r="BV381" i="2"/>
  <c r="BG381" i="2"/>
  <c r="AJ381" i="2"/>
  <c r="U381" i="2"/>
  <c r="BW380" i="2"/>
  <c r="BH380" i="2"/>
  <c r="AK380" i="2"/>
  <c r="V380" i="2"/>
  <c r="BX379" i="2"/>
  <c r="BJ379" i="2"/>
  <c r="AL379" i="2"/>
  <c r="W379" i="2"/>
  <c r="BY378" i="2"/>
  <c r="BK378" i="2"/>
  <c r="AR378" i="2"/>
  <c r="X378" i="2"/>
  <c r="BZ377" i="2"/>
  <c r="BL377" i="2"/>
  <c r="AX377" i="2"/>
  <c r="Y377" i="2"/>
  <c r="B377" i="2"/>
  <c r="BM376" i="2"/>
  <c r="AY376" i="2"/>
  <c r="Z376" i="2"/>
  <c r="C376" i="2"/>
  <c r="BN375" i="2"/>
  <c r="AZ375" i="2"/>
  <c r="AA375" i="2"/>
  <c r="D375" i="2"/>
  <c r="BP374" i="2"/>
  <c r="BA374" i="2"/>
  <c r="AB374" i="2"/>
  <c r="E374" i="2"/>
  <c r="BQ373" i="2"/>
  <c r="BB373" i="2"/>
  <c r="AF373" i="2"/>
  <c r="F373" i="2"/>
  <c r="BR372" i="2"/>
  <c r="BD372" i="2"/>
  <c r="AG372" i="2"/>
  <c r="G372" i="2"/>
  <c r="BS371" i="2"/>
  <c r="BE371" i="2"/>
  <c r="AH371" i="2"/>
  <c r="H371" i="2"/>
  <c r="BT370" i="2"/>
  <c r="BF370" i="2"/>
  <c r="AI370" i="2"/>
  <c r="N370" i="2"/>
  <c r="BV369" i="2"/>
  <c r="BG369" i="2"/>
  <c r="AJ369" i="2"/>
  <c r="U369" i="2"/>
  <c r="BW368" i="2"/>
  <c r="BH368" i="2"/>
  <c r="AK368" i="2"/>
  <c r="V368" i="2"/>
  <c r="BX367" i="2"/>
  <c r="BJ367" i="2"/>
  <c r="AL367" i="2"/>
  <c r="W367" i="2"/>
  <c r="BY366" i="2"/>
  <c r="BK366" i="2"/>
  <c r="AR366" i="2"/>
  <c r="X366" i="2"/>
  <c r="BZ365" i="2"/>
  <c r="BL365" i="2"/>
  <c r="AX365" i="2"/>
  <c r="Y365" i="2"/>
  <c r="B365" i="2"/>
  <c r="BM364" i="2"/>
  <c r="AY364" i="2"/>
  <c r="Z364" i="2"/>
  <c r="C364" i="2"/>
  <c r="BG468" i="2"/>
  <c r="AJ463" i="2"/>
  <c r="D461" i="2"/>
  <c r="AN459" i="2"/>
  <c r="BG457" i="2"/>
  <c r="AX456" i="2"/>
  <c r="X455" i="2"/>
  <c r="X454" i="2"/>
  <c r="Y453" i="2"/>
  <c r="BJ451" i="2"/>
  <c r="AJ450" i="2"/>
  <c r="BP448" i="2"/>
  <c r="AO447" i="2"/>
  <c r="J446" i="2"/>
  <c r="AT444" i="2"/>
  <c r="BP442" i="2"/>
  <c r="AU441" i="2"/>
  <c r="E440" i="2"/>
  <c r="AV438" i="2"/>
  <c r="AH437" i="2"/>
  <c r="BR435" i="2"/>
  <c r="AJ434" i="2"/>
  <c r="BF432" i="2"/>
  <c r="N431" i="2"/>
  <c r="BG429" i="2"/>
  <c r="N428" i="2"/>
  <c r="CH426" i="2"/>
  <c r="BN425" i="2"/>
  <c r="AI424" i="2"/>
  <c r="I423" i="2"/>
  <c r="BV421" i="2"/>
  <c r="AL420" i="2"/>
  <c r="F419" i="2"/>
  <c r="BJ417" i="2"/>
  <c r="V416" i="2"/>
  <c r="Z415" i="2"/>
  <c r="AY414" i="2"/>
  <c r="BB413" i="2"/>
  <c r="BW412" i="2"/>
  <c r="W412" i="2"/>
  <c r="BV411" i="2"/>
  <c r="AA411" i="2"/>
  <c r="BQ410" i="2"/>
  <c r="AR410" i="2"/>
  <c r="G410" i="2"/>
  <c r="BN409" i="2"/>
  <c r="AL409" i="2"/>
  <c r="N409" i="2"/>
  <c r="CN408" i="2"/>
  <c r="BJ408" i="2"/>
  <c r="AH408" i="2"/>
  <c r="F408" i="2"/>
  <c r="BQ407" i="2"/>
  <c r="BA407" i="2"/>
  <c r="X407" i="2"/>
  <c r="BY406" i="2"/>
  <c r="BJ406" i="2"/>
  <c r="AL406" i="2"/>
  <c r="W406" i="2"/>
  <c r="E406" i="2"/>
  <c r="BQ405" i="2"/>
  <c r="BB405" i="2"/>
  <c r="AF405" i="2"/>
  <c r="K405" i="2"/>
  <c r="BW404" i="2"/>
  <c r="BH404" i="2"/>
  <c r="AK404" i="2"/>
  <c r="V404" i="2"/>
  <c r="C404" i="2"/>
  <c r="BN403" i="2"/>
  <c r="AZ403" i="2"/>
  <c r="AA403" i="2"/>
  <c r="J403" i="2"/>
  <c r="CO402" i="2"/>
  <c r="BP402" i="2"/>
  <c r="BA402" i="2"/>
  <c r="AB402" i="2"/>
  <c r="G402" i="2"/>
  <c r="BS401" i="2"/>
  <c r="BE401" i="2"/>
  <c r="AH401" i="2"/>
  <c r="N401" i="2"/>
  <c r="CR400" i="2"/>
  <c r="BS400" i="2"/>
  <c r="BE400" i="2"/>
  <c r="AH400" i="2"/>
  <c r="P400" i="2"/>
  <c r="CS399" i="2"/>
  <c r="BT399" i="2"/>
  <c r="BF399" i="2"/>
  <c r="AI399" i="2"/>
  <c r="Q399" i="2"/>
  <c r="B399" i="2"/>
  <c r="BV398" i="2"/>
  <c r="BG398" i="2"/>
  <c r="AJ398" i="2"/>
  <c r="U398" i="2"/>
  <c r="D398" i="2"/>
  <c r="BY397" i="2"/>
  <c r="BK397" i="2"/>
  <c r="AR397" i="2"/>
  <c r="X397" i="2"/>
  <c r="G397" i="2"/>
  <c r="CM396" i="2"/>
  <c r="BM396" i="2"/>
  <c r="AY396" i="2"/>
  <c r="Z396" i="2"/>
  <c r="H396" i="2"/>
  <c r="CN395" i="2"/>
  <c r="BN395" i="2"/>
  <c r="AZ395" i="2"/>
  <c r="AA395" i="2"/>
  <c r="J395" i="2"/>
  <c r="CE394" i="2"/>
  <c r="BQ394" i="2"/>
  <c r="BB394" i="2"/>
  <c r="AF394" i="2"/>
  <c r="L394" i="2"/>
  <c r="CQ393" i="2"/>
  <c r="BQ393" i="2"/>
  <c r="BB393" i="2"/>
  <c r="AF393" i="2"/>
  <c r="L393" i="2"/>
  <c r="CG392" i="2"/>
  <c r="BS392" i="2"/>
  <c r="BE392" i="2"/>
  <c r="AH392" i="2"/>
  <c r="Q392" i="2"/>
  <c r="B392" i="2"/>
  <c r="BV391" i="2"/>
  <c r="BG391" i="2"/>
  <c r="AJ391" i="2"/>
  <c r="U391" i="2"/>
  <c r="D391" i="2"/>
  <c r="BX390" i="2"/>
  <c r="BJ390" i="2"/>
  <c r="AL390" i="2"/>
  <c r="W390" i="2"/>
  <c r="E390" i="2"/>
  <c r="CK389" i="2"/>
  <c r="BN389" i="2"/>
  <c r="AZ389" i="2"/>
  <c r="AA389" i="2"/>
  <c r="I389" i="2"/>
  <c r="BV388" i="2"/>
  <c r="BG388" i="2"/>
  <c r="AJ388" i="2"/>
  <c r="U388" i="2"/>
  <c r="BW387" i="2"/>
  <c r="BH387" i="2"/>
  <c r="AK387" i="2"/>
  <c r="V387" i="2"/>
  <c r="BX386" i="2"/>
  <c r="BJ386" i="2"/>
  <c r="AL386" i="2"/>
  <c r="W386" i="2"/>
  <c r="CS385" i="2"/>
  <c r="BT385" i="2"/>
  <c r="BF385" i="2"/>
  <c r="AI385" i="2"/>
  <c r="R385" i="2"/>
  <c r="BX384" i="2"/>
  <c r="BJ384" i="2"/>
  <c r="AL384" i="2"/>
  <c r="W384" i="2"/>
  <c r="BY383" i="2"/>
  <c r="BK383" i="2"/>
  <c r="AR383" i="2"/>
  <c r="X383" i="2"/>
  <c r="BZ382" i="2"/>
  <c r="BL382" i="2"/>
  <c r="AX382" i="2"/>
  <c r="Y382" i="2"/>
  <c r="H382" i="2"/>
  <c r="BT381" i="2"/>
  <c r="BF381" i="2"/>
  <c r="AI381" i="2"/>
  <c r="N381" i="2"/>
  <c r="BV380" i="2"/>
  <c r="BG380" i="2"/>
  <c r="AJ380" i="2"/>
  <c r="U380" i="2"/>
  <c r="BW379" i="2"/>
  <c r="BH379" i="2"/>
  <c r="AK379" i="2"/>
  <c r="V379" i="2"/>
  <c r="BX378" i="2"/>
  <c r="BJ378" i="2"/>
  <c r="AL378" i="2"/>
  <c r="W378" i="2"/>
  <c r="BY377" i="2"/>
  <c r="BK377" i="2"/>
  <c r="AR377" i="2"/>
  <c r="X377" i="2"/>
  <c r="BZ376" i="2"/>
  <c r="BL376" i="2"/>
  <c r="AX376" i="2"/>
  <c r="Y376" i="2"/>
  <c r="B376" i="2"/>
  <c r="BM375" i="2"/>
  <c r="AY375" i="2"/>
  <c r="Z375" i="2"/>
  <c r="C375" i="2"/>
  <c r="BN374" i="2"/>
  <c r="AZ374" i="2"/>
  <c r="AA374" i="2"/>
  <c r="D374" i="2"/>
  <c r="BP373" i="2"/>
  <c r="BA373" i="2"/>
  <c r="AB373" i="2"/>
  <c r="E373" i="2"/>
  <c r="BQ372" i="2"/>
  <c r="BB372" i="2"/>
  <c r="AF372" i="2"/>
  <c r="F372" i="2"/>
  <c r="BR371" i="2"/>
  <c r="BD371" i="2"/>
  <c r="AG371" i="2"/>
  <c r="G371" i="2"/>
  <c r="BS370" i="2"/>
  <c r="BE370" i="2"/>
  <c r="AH370" i="2"/>
  <c r="H370" i="2"/>
  <c r="BT369" i="2"/>
  <c r="BF369" i="2"/>
  <c r="AI369" i="2"/>
  <c r="N369" i="2"/>
  <c r="BV368" i="2"/>
  <c r="BG368" i="2"/>
  <c r="AJ368" i="2"/>
  <c r="U368" i="2"/>
  <c r="BW367" i="2"/>
  <c r="BH367" i="2"/>
  <c r="AK367" i="2"/>
  <c r="V367" i="2"/>
  <c r="BX366" i="2"/>
  <c r="BJ366" i="2"/>
  <c r="AL366" i="2"/>
  <c r="W366" i="2"/>
  <c r="BY365" i="2"/>
  <c r="BK365" i="2"/>
  <c r="AR365" i="2"/>
  <c r="X365" i="2"/>
  <c r="BZ364" i="2"/>
  <c r="BL364" i="2"/>
  <c r="AX364" i="2"/>
  <c r="Y364" i="2"/>
  <c r="B364" i="2"/>
  <c r="BM363" i="2"/>
  <c r="AY363" i="2"/>
  <c r="Z363" i="2"/>
  <c r="C363" i="2"/>
  <c r="BN362" i="2"/>
  <c r="AZ362" i="2"/>
  <c r="AA362" i="2"/>
  <c r="D12" i="12"/>
  <c r="AY468" i="2"/>
  <c r="AI463" i="2"/>
  <c r="B461" i="2"/>
  <c r="AK459" i="2"/>
  <c r="BF457" i="2"/>
  <c r="AV456" i="2"/>
  <c r="W455" i="2"/>
  <c r="W454" i="2"/>
  <c r="X453" i="2"/>
  <c r="BH451" i="2"/>
  <c r="AI450" i="2"/>
  <c r="BN448" i="2"/>
  <c r="AN447" i="2"/>
  <c r="I446" i="2"/>
  <c r="AR444" i="2"/>
  <c r="BN442" i="2"/>
  <c r="AT441" i="2"/>
  <c r="D440" i="2"/>
  <c r="AU438" i="2"/>
  <c r="AG437" i="2"/>
  <c r="BP435" i="2"/>
  <c r="AI434" i="2"/>
  <c r="BD432" i="2"/>
  <c r="G431" i="2"/>
  <c r="BF429" i="2"/>
  <c r="L428" i="2"/>
  <c r="CG426" i="2"/>
  <c r="BM425" i="2"/>
  <c r="AH424" i="2"/>
  <c r="H423" i="2"/>
  <c r="BT421" i="2"/>
  <c r="AK420" i="2"/>
  <c r="E419" i="2"/>
  <c r="BH417" i="2"/>
  <c r="U416" i="2"/>
  <c r="Y415" i="2"/>
  <c r="AX414" i="2"/>
  <c r="BA413" i="2"/>
  <c r="BV412" i="2"/>
  <c r="V412" i="2"/>
  <c r="BS411" i="2"/>
  <c r="W411" i="2"/>
  <c r="BP410" i="2"/>
  <c r="AK410" i="2"/>
  <c r="F410" i="2"/>
  <c r="BM409" i="2"/>
  <c r="AJ409" i="2"/>
  <c r="L409" i="2"/>
  <c r="CM408" i="2"/>
  <c r="BG408" i="2"/>
  <c r="AG408" i="2"/>
  <c r="E408" i="2"/>
  <c r="BP407" i="2"/>
  <c r="AY407" i="2"/>
  <c r="W407" i="2"/>
  <c r="BX406" i="2"/>
  <c r="BH406" i="2"/>
  <c r="AK406" i="2"/>
  <c r="V406" i="2"/>
  <c r="D406" i="2"/>
  <c r="BP405" i="2"/>
  <c r="BA405" i="2"/>
  <c r="AB405" i="2"/>
  <c r="J405" i="2"/>
  <c r="BV404" i="2"/>
  <c r="BG404" i="2"/>
  <c r="AJ404" i="2"/>
  <c r="U404" i="2"/>
  <c r="B404" i="2"/>
  <c r="BM403" i="2"/>
  <c r="AY403" i="2"/>
  <c r="Z403" i="2"/>
  <c r="H403" i="2"/>
  <c r="CN402" i="2"/>
  <c r="BN402" i="2"/>
  <c r="AZ402" i="2"/>
  <c r="AA402" i="2"/>
  <c r="F402" i="2"/>
  <c r="BR401" i="2"/>
  <c r="BD401" i="2"/>
  <c r="AG401" i="2"/>
  <c r="L401" i="2"/>
  <c r="CQ400" i="2"/>
  <c r="BR400" i="2"/>
  <c r="BD400" i="2"/>
  <c r="AG400" i="2"/>
  <c r="N400" i="2"/>
  <c r="CR399" i="2"/>
  <c r="BS399" i="2"/>
  <c r="BE399" i="2"/>
  <c r="AH399" i="2"/>
  <c r="P399" i="2"/>
  <c r="CS398" i="2"/>
  <c r="BT398" i="2"/>
  <c r="BF398" i="2"/>
  <c r="AI398" i="2"/>
  <c r="T398" i="2"/>
  <c r="C398" i="2"/>
  <c r="BX397" i="2"/>
  <c r="BJ397" i="2"/>
  <c r="AL397" i="2"/>
  <c r="W397" i="2"/>
  <c r="F397" i="2"/>
  <c r="BZ396" i="2"/>
  <c r="BL396" i="2"/>
  <c r="AX396" i="2"/>
  <c r="Y396" i="2"/>
  <c r="G396" i="2"/>
  <c r="CM395" i="2"/>
  <c r="BM395" i="2"/>
  <c r="AY395" i="2"/>
  <c r="Z395" i="2"/>
  <c r="H395" i="2"/>
  <c r="CD394" i="2"/>
  <c r="BP394" i="2"/>
  <c r="BA394" i="2"/>
  <c r="AB394" i="2"/>
  <c r="K394" i="2"/>
  <c r="CP393" i="2"/>
  <c r="BP393" i="2"/>
  <c r="BA393" i="2"/>
  <c r="AB393" i="2"/>
  <c r="K393" i="2"/>
  <c r="CF392" i="2"/>
  <c r="BR392" i="2"/>
  <c r="BD392" i="2"/>
  <c r="AG392" i="2"/>
  <c r="P392" i="2"/>
  <c r="CS391" i="2"/>
  <c r="BT391" i="2"/>
  <c r="BF391" i="2"/>
  <c r="AI391" i="2"/>
  <c r="T391" i="2"/>
  <c r="C391" i="2"/>
  <c r="BW390" i="2"/>
  <c r="BH390" i="2"/>
  <c r="AK390" i="2"/>
  <c r="V390" i="2"/>
  <c r="D390" i="2"/>
  <c r="CJ389" i="2"/>
  <c r="BM389" i="2"/>
  <c r="AY389" i="2"/>
  <c r="Z389" i="2"/>
  <c r="H389" i="2"/>
  <c r="BT388" i="2"/>
  <c r="BF388" i="2"/>
  <c r="AI388" i="2"/>
  <c r="N388" i="2"/>
  <c r="BV387" i="2"/>
  <c r="BG387" i="2"/>
  <c r="AJ387" i="2"/>
  <c r="U387" i="2"/>
  <c r="BW386" i="2"/>
  <c r="BH386" i="2"/>
  <c r="AK386" i="2"/>
  <c r="V386" i="2"/>
  <c r="CR385" i="2"/>
  <c r="BS385" i="2"/>
  <c r="BE385" i="2"/>
  <c r="AH385" i="2"/>
  <c r="P385" i="2"/>
  <c r="BW384" i="2"/>
  <c r="BH384" i="2"/>
  <c r="AK384" i="2"/>
  <c r="V384" i="2"/>
  <c r="BX383" i="2"/>
  <c r="BJ383" i="2"/>
  <c r="AL383" i="2"/>
  <c r="W383" i="2"/>
  <c r="BY382" i="2"/>
  <c r="BK382" i="2"/>
  <c r="AR382" i="2"/>
  <c r="X382" i="2"/>
  <c r="G382" i="2"/>
  <c r="BS381" i="2"/>
  <c r="BE381" i="2"/>
  <c r="AH381" i="2"/>
  <c r="H381" i="2"/>
  <c r="BT380" i="2"/>
  <c r="BF380" i="2"/>
  <c r="AI380" i="2"/>
  <c r="N380" i="2"/>
  <c r="BV379" i="2"/>
  <c r="BG379" i="2"/>
  <c r="AJ379" i="2"/>
  <c r="U379" i="2"/>
  <c r="BW378" i="2"/>
  <c r="BH378" i="2"/>
  <c r="AK378" i="2"/>
  <c r="V378" i="2"/>
  <c r="BX377" i="2"/>
  <c r="BJ377" i="2"/>
  <c r="AL377" i="2"/>
  <c r="W377" i="2"/>
  <c r="BY376" i="2"/>
  <c r="BK376" i="2"/>
  <c r="AR376" i="2"/>
  <c r="X376" i="2"/>
  <c r="BZ375" i="2"/>
  <c r="BL375" i="2"/>
  <c r="AX375" i="2"/>
  <c r="Y375" i="2"/>
  <c r="B375" i="2"/>
  <c r="BM374" i="2"/>
  <c r="AY374" i="2"/>
  <c r="Z374" i="2"/>
  <c r="C374" i="2"/>
  <c r="BN373" i="2"/>
  <c r="AZ373" i="2"/>
  <c r="AA373" i="2"/>
  <c r="D373" i="2"/>
  <c r="BP372" i="2"/>
  <c r="BA372" i="2"/>
  <c r="AB372" i="2"/>
  <c r="E372" i="2"/>
  <c r="BQ371" i="2"/>
  <c r="BB371" i="2"/>
  <c r="AF371" i="2"/>
  <c r="F371" i="2"/>
  <c r="BR370" i="2"/>
  <c r="BD370" i="2"/>
  <c r="AG370" i="2"/>
  <c r="G370" i="2"/>
  <c r="BS369" i="2"/>
  <c r="BE369" i="2"/>
  <c r="AH369" i="2"/>
  <c r="H369" i="2"/>
  <c r="BT368" i="2"/>
  <c r="BF368" i="2"/>
  <c r="AI368" i="2"/>
  <c r="N368" i="2"/>
  <c r="BV367" i="2"/>
  <c r="BG367" i="2"/>
  <c r="AJ367" i="2"/>
  <c r="U367" i="2"/>
  <c r="G62" i="12"/>
  <c r="S52" i="12"/>
  <c r="I32" i="12"/>
  <c r="M22" i="12"/>
  <c r="BP466" i="2"/>
  <c r="E463" i="2"/>
  <c r="BP460" i="2"/>
  <c r="K459" i="2"/>
  <c r="AO457" i="2"/>
  <c r="AH456" i="2"/>
  <c r="G455" i="2"/>
  <c r="I454" i="2"/>
  <c r="I453" i="2"/>
  <c r="AR451" i="2"/>
  <c r="P450" i="2"/>
  <c r="AX448" i="2"/>
  <c r="Y447" i="2"/>
  <c r="BP445" i="2"/>
  <c r="Z444" i="2"/>
  <c r="AX442" i="2"/>
  <c r="AF441" i="2"/>
  <c r="BJ439" i="2"/>
  <c r="AG438" i="2"/>
  <c r="U437" i="2"/>
  <c r="AZ435" i="2"/>
  <c r="G434" i="2"/>
  <c r="AN432" i="2"/>
  <c r="BM430" i="2"/>
  <c r="AO429" i="2"/>
  <c r="BV427" i="2"/>
  <c r="BM426" i="2"/>
  <c r="AV425" i="2"/>
  <c r="E424" i="2"/>
  <c r="CO422" i="2"/>
  <c r="BD421" i="2"/>
  <c r="W420" i="2"/>
  <c r="BR418" i="2"/>
  <c r="AL417" i="2"/>
  <c r="C416" i="2"/>
  <c r="H415" i="2"/>
  <c r="AA414" i="2"/>
  <c r="AY413" i="2"/>
  <c r="BS412" i="2"/>
  <c r="U412" i="2"/>
  <c r="BN411" i="2"/>
  <c r="V411" i="2"/>
  <c r="BM410" i="2"/>
  <c r="AI410" i="2"/>
  <c r="E410" i="2"/>
  <c r="BL409" i="2"/>
  <c r="AI409" i="2"/>
  <c r="K409" i="2"/>
  <c r="BZ408" i="2"/>
  <c r="BF408" i="2"/>
  <c r="AF408" i="2"/>
  <c r="D408" i="2"/>
  <c r="BM407" i="2"/>
  <c r="AX407" i="2"/>
  <c r="V407" i="2"/>
  <c r="BW406" i="2"/>
  <c r="BG406" i="2"/>
  <c r="AJ406" i="2"/>
  <c r="U406" i="2"/>
  <c r="C406" i="2"/>
  <c r="BN405" i="2"/>
  <c r="AZ405" i="2"/>
  <c r="AA405" i="2"/>
  <c r="H405" i="2"/>
  <c r="BT404" i="2"/>
  <c r="BF404" i="2"/>
  <c r="AI404" i="2"/>
  <c r="P404" i="2"/>
  <c r="BZ403" i="2"/>
  <c r="BL403" i="2"/>
  <c r="AX403" i="2"/>
  <c r="Y403" i="2"/>
  <c r="G403" i="2"/>
  <c r="CM402" i="2"/>
  <c r="BM402" i="2"/>
  <c r="AY402" i="2"/>
  <c r="Z402" i="2"/>
  <c r="E402" i="2"/>
  <c r="BQ401" i="2"/>
  <c r="BB401" i="2"/>
  <c r="AF401" i="2"/>
  <c r="K401" i="2"/>
  <c r="CP400" i="2"/>
  <c r="BQ400" i="2"/>
  <c r="BB400" i="2"/>
  <c r="AF400" i="2"/>
  <c r="L400" i="2"/>
  <c r="CQ399" i="2"/>
  <c r="BR399" i="2"/>
  <c r="BD399" i="2"/>
  <c r="AG399" i="2"/>
  <c r="N399" i="2"/>
  <c r="CR398" i="2"/>
  <c r="BS398" i="2"/>
  <c r="BE398" i="2"/>
  <c r="AH398" i="2"/>
  <c r="Q398" i="2"/>
  <c r="B398" i="2"/>
  <c r="BW397" i="2"/>
  <c r="BH397" i="2"/>
  <c r="AK397" i="2"/>
  <c r="V397" i="2"/>
  <c r="E397" i="2"/>
  <c r="BY396" i="2"/>
  <c r="BK396" i="2"/>
  <c r="AR396" i="2"/>
  <c r="X396" i="2"/>
  <c r="F396" i="2"/>
  <c r="BZ395" i="2"/>
  <c r="BL395" i="2"/>
  <c r="AX395" i="2"/>
  <c r="Y395" i="2"/>
  <c r="G395" i="2"/>
  <c r="CC394" i="2"/>
  <c r="BN394" i="2"/>
  <c r="AZ394" i="2"/>
  <c r="AA394" i="2"/>
  <c r="J394" i="2"/>
  <c r="CO393" i="2"/>
  <c r="BN393" i="2"/>
  <c r="AZ393" i="2"/>
  <c r="AA393" i="2"/>
  <c r="J393" i="2"/>
  <c r="CE392" i="2"/>
  <c r="BQ392" i="2"/>
  <c r="BB392" i="2"/>
  <c r="AF392" i="2"/>
  <c r="N392" i="2"/>
  <c r="CR391" i="2"/>
  <c r="BS391" i="2"/>
  <c r="BE391" i="2"/>
  <c r="AH391" i="2"/>
  <c r="Q391" i="2"/>
  <c r="B391" i="2"/>
  <c r="BV390" i="2"/>
  <c r="BG390" i="2"/>
  <c r="AJ390" i="2"/>
  <c r="U390" i="2"/>
  <c r="C390" i="2"/>
  <c r="BZ389" i="2"/>
  <c r="BL389" i="2"/>
  <c r="AX389" i="2"/>
  <c r="Y389" i="2"/>
  <c r="G389" i="2"/>
  <c r="BS388" i="2"/>
  <c r="BE388" i="2"/>
  <c r="AH388" i="2"/>
  <c r="H388" i="2"/>
  <c r="BT387" i="2"/>
  <c r="BF387" i="2"/>
  <c r="AI387" i="2"/>
  <c r="N387" i="2"/>
  <c r="BV386" i="2"/>
  <c r="BG386" i="2"/>
  <c r="AJ386" i="2"/>
  <c r="U386" i="2"/>
  <c r="CQ385" i="2"/>
  <c r="BR385" i="2"/>
  <c r="BD385" i="2"/>
  <c r="AG385" i="2"/>
  <c r="N385" i="2"/>
  <c r="BV384" i="2"/>
  <c r="BG384" i="2"/>
  <c r="AJ384" i="2"/>
  <c r="U384" i="2"/>
  <c r="BW383" i="2"/>
  <c r="BH383" i="2"/>
  <c r="AK383" i="2"/>
  <c r="V383" i="2"/>
  <c r="BX382" i="2"/>
  <c r="BJ382" i="2"/>
  <c r="AL382" i="2"/>
  <c r="W382" i="2"/>
  <c r="F382" i="2"/>
  <c r="BR381" i="2"/>
  <c r="BD381" i="2"/>
  <c r="AG381" i="2"/>
  <c r="G381" i="2"/>
  <c r="BS380" i="2"/>
  <c r="BE380" i="2"/>
  <c r="AH380" i="2"/>
  <c r="H380" i="2"/>
  <c r="BT379" i="2"/>
  <c r="BF379" i="2"/>
  <c r="AI379" i="2"/>
  <c r="N379" i="2"/>
  <c r="BV378" i="2"/>
  <c r="BG378" i="2"/>
  <c r="AJ378" i="2"/>
  <c r="U378" i="2"/>
  <c r="BW377" i="2"/>
  <c r="BH377" i="2"/>
  <c r="AK377" i="2"/>
  <c r="V377" i="2"/>
  <c r="BX376" i="2"/>
  <c r="BJ376" i="2"/>
  <c r="AL376" i="2"/>
  <c r="W376" i="2"/>
  <c r="BY375" i="2"/>
  <c r="BK375" i="2"/>
  <c r="AR375" i="2"/>
  <c r="X375" i="2"/>
  <c r="BZ374" i="2"/>
  <c r="BL374" i="2"/>
  <c r="AX374" i="2"/>
  <c r="Y374" i="2"/>
  <c r="B374" i="2"/>
  <c r="BM373" i="2"/>
  <c r="AY373" i="2"/>
  <c r="Z373" i="2"/>
  <c r="C373" i="2"/>
  <c r="BN372" i="2"/>
  <c r="AZ372" i="2"/>
  <c r="AA372" i="2"/>
  <c r="D372" i="2"/>
  <c r="BP371" i="2"/>
  <c r="BA371" i="2"/>
  <c r="AB371" i="2"/>
  <c r="E371" i="2"/>
  <c r="BQ370" i="2"/>
  <c r="BB370" i="2"/>
  <c r="AF370" i="2"/>
  <c r="F370" i="2"/>
  <c r="BR369" i="2"/>
  <c r="BD369" i="2"/>
  <c r="AG369" i="2"/>
  <c r="G369" i="2"/>
  <c r="BS368" i="2"/>
  <c r="BE368" i="2"/>
  <c r="AH368" i="2"/>
  <c r="H368" i="2"/>
  <c r="BT367" i="2"/>
  <c r="BF367" i="2"/>
  <c r="AI367" i="2"/>
  <c r="N367" i="2"/>
  <c r="BV366" i="2"/>
  <c r="BG366" i="2"/>
  <c r="AJ366" i="2"/>
  <c r="U366" i="2"/>
  <c r="BW365" i="2"/>
  <c r="BH365" i="2"/>
  <c r="AK365" i="2"/>
  <c r="V365" i="2"/>
  <c r="BX364" i="2"/>
  <c r="BJ364" i="2"/>
  <c r="AL364" i="2"/>
  <c r="W364" i="2"/>
  <c r="BY363" i="2"/>
  <c r="BK363" i="2"/>
  <c r="AR363" i="2"/>
  <c r="X363" i="2"/>
  <c r="BZ362" i="2"/>
  <c r="BL362" i="2"/>
  <c r="AX362" i="2"/>
  <c r="Y362" i="2"/>
  <c r="B362" i="2"/>
  <c r="BM361" i="2"/>
  <c r="AY361" i="2"/>
  <c r="Z361" i="2"/>
  <c r="C361" i="2"/>
  <c r="BN360" i="2"/>
  <c r="AZ360" i="2"/>
  <c r="AA360" i="2"/>
  <c r="C134" i="12"/>
  <c r="U71" i="12"/>
  <c r="V41" i="12"/>
  <c r="U31" i="12"/>
  <c r="BG466" i="2"/>
  <c r="D463" i="2"/>
  <c r="BM460" i="2"/>
  <c r="G459" i="2"/>
  <c r="AN457" i="2"/>
  <c r="AG456" i="2"/>
  <c r="F455" i="2"/>
  <c r="H454" i="2"/>
  <c r="H453" i="2"/>
  <c r="AP451" i="2"/>
  <c r="N450" i="2"/>
  <c r="AV448" i="2"/>
  <c r="X447" i="2"/>
  <c r="BN445" i="2"/>
  <c r="Y444" i="2"/>
  <c r="AV442" i="2"/>
  <c r="Z441" i="2"/>
  <c r="BH439" i="2"/>
  <c r="AF438" i="2"/>
  <c r="Q437" i="2"/>
  <c r="AX435" i="2"/>
  <c r="E434" i="2"/>
  <c r="AL432" i="2"/>
  <c r="BL430" i="2"/>
  <c r="AN429" i="2"/>
  <c r="BT427" i="2"/>
  <c r="BL426" i="2"/>
  <c r="AU425" i="2"/>
  <c r="D424" i="2"/>
  <c r="CN422" i="2"/>
  <c r="BB421" i="2"/>
  <c r="V420" i="2"/>
  <c r="BQ418" i="2"/>
  <c r="AK417" i="2"/>
  <c r="B416" i="2"/>
  <c r="G415" i="2"/>
  <c r="Z414" i="2"/>
  <c r="AG413" i="2"/>
  <c r="BJ412" i="2"/>
  <c r="N412" i="2"/>
  <c r="BJ411" i="2"/>
  <c r="U411" i="2"/>
  <c r="BL410" i="2"/>
  <c r="AG410" i="2"/>
  <c r="C410" i="2"/>
  <c r="BJ409" i="2"/>
  <c r="AH409" i="2"/>
  <c r="H409" i="2"/>
  <c r="BX408" i="2"/>
  <c r="BE408" i="2"/>
  <c r="AA408" i="2"/>
  <c r="B408" i="2"/>
  <c r="BL407" i="2"/>
  <c r="AR407" i="2"/>
  <c r="U407" i="2"/>
  <c r="BV406" i="2"/>
  <c r="BF406" i="2"/>
  <c r="AI406" i="2"/>
  <c r="T406" i="2"/>
  <c r="B406" i="2"/>
  <c r="BM405" i="2"/>
  <c r="AY405" i="2"/>
  <c r="Z405" i="2"/>
  <c r="G405" i="2"/>
  <c r="BS404" i="2"/>
  <c r="BE404" i="2"/>
  <c r="AH404" i="2"/>
  <c r="N404" i="2"/>
  <c r="BY403" i="2"/>
  <c r="BK403" i="2"/>
  <c r="AR403" i="2"/>
  <c r="X403" i="2"/>
  <c r="F403" i="2"/>
  <c r="BZ402" i="2"/>
  <c r="BL402" i="2"/>
  <c r="AX402" i="2"/>
  <c r="Y402" i="2"/>
  <c r="D402" i="2"/>
  <c r="BP401" i="2"/>
  <c r="BA401" i="2"/>
  <c r="AB401" i="2"/>
  <c r="J401" i="2"/>
  <c r="CO400" i="2"/>
  <c r="BP400" i="2"/>
  <c r="BA400" i="2"/>
  <c r="AB400" i="2"/>
  <c r="K400" i="2"/>
  <c r="CP399" i="2"/>
  <c r="BQ399" i="2"/>
  <c r="BB399" i="2"/>
  <c r="AF399" i="2"/>
  <c r="L399" i="2"/>
  <c r="CQ398" i="2"/>
  <c r="BR398" i="2"/>
  <c r="BD398" i="2"/>
  <c r="AG398" i="2"/>
  <c r="P398" i="2"/>
  <c r="CI397" i="2"/>
  <c r="BV397" i="2"/>
  <c r="BG397" i="2"/>
  <c r="AJ397" i="2"/>
  <c r="U397" i="2"/>
  <c r="D397" i="2"/>
  <c r="BX396" i="2"/>
  <c r="BJ396" i="2"/>
  <c r="AL396" i="2"/>
  <c r="W396" i="2"/>
  <c r="E396" i="2"/>
  <c r="BY395" i="2"/>
  <c r="BK395" i="2"/>
  <c r="AR395" i="2"/>
  <c r="X395" i="2"/>
  <c r="F395" i="2"/>
  <c r="CB394" i="2"/>
  <c r="BM394" i="2"/>
  <c r="AY394" i="2"/>
  <c r="Z394" i="2"/>
  <c r="H394" i="2"/>
  <c r="CN393" i="2"/>
  <c r="BM393" i="2"/>
  <c r="AY393" i="2"/>
  <c r="Z393" i="2"/>
  <c r="H393" i="2"/>
  <c r="CD392" i="2"/>
  <c r="BP392" i="2"/>
  <c r="BA392" i="2"/>
  <c r="AB392" i="2"/>
  <c r="L392" i="2"/>
  <c r="CQ391" i="2"/>
  <c r="BR391" i="2"/>
  <c r="BD391" i="2"/>
  <c r="AG391" i="2"/>
  <c r="P391" i="2"/>
  <c r="CS390" i="2"/>
  <c r="BT390" i="2"/>
  <c r="BF390" i="2"/>
  <c r="AI390" i="2"/>
  <c r="Q390" i="2"/>
  <c r="B390" i="2"/>
  <c r="BY389" i="2"/>
  <c r="BK389" i="2"/>
  <c r="AR389" i="2"/>
  <c r="X389" i="2"/>
  <c r="F389" i="2"/>
  <c r="BR388" i="2"/>
  <c r="BD388" i="2"/>
  <c r="AG388" i="2"/>
  <c r="G388" i="2"/>
  <c r="BS387" i="2"/>
  <c r="BE387" i="2"/>
  <c r="AH387" i="2"/>
  <c r="H387" i="2"/>
  <c r="BT386" i="2"/>
  <c r="BF386" i="2"/>
  <c r="AI386" i="2"/>
  <c r="T386" i="2"/>
  <c r="CP385" i="2"/>
  <c r="BQ385" i="2"/>
  <c r="BB385" i="2"/>
  <c r="AF385" i="2"/>
  <c r="H385" i="2"/>
  <c r="BT384" i="2"/>
  <c r="BF384" i="2"/>
  <c r="AI384" i="2"/>
  <c r="N384" i="2"/>
  <c r="BV383" i="2"/>
  <c r="BG383" i="2"/>
  <c r="AJ383" i="2"/>
  <c r="U383" i="2"/>
  <c r="BW382" i="2"/>
  <c r="BH382" i="2"/>
  <c r="AK382" i="2"/>
  <c r="V382" i="2"/>
  <c r="E382" i="2"/>
  <c r="BQ381" i="2"/>
  <c r="BB381" i="2"/>
  <c r="AF381" i="2"/>
  <c r="F381" i="2"/>
  <c r="BR380" i="2"/>
  <c r="BD380" i="2"/>
  <c r="AG380" i="2"/>
  <c r="G380" i="2"/>
  <c r="BS379" i="2"/>
  <c r="BE379" i="2"/>
  <c r="AH379" i="2"/>
  <c r="H379" i="2"/>
  <c r="BT378" i="2"/>
  <c r="BF378" i="2"/>
  <c r="AI378" i="2"/>
  <c r="N378" i="2"/>
  <c r="BV377" i="2"/>
  <c r="BG377" i="2"/>
  <c r="AJ377" i="2"/>
  <c r="U377" i="2"/>
  <c r="BW376" i="2"/>
  <c r="BH376" i="2"/>
  <c r="AK376" i="2"/>
  <c r="V376" i="2"/>
  <c r="BX375" i="2"/>
  <c r="BJ375" i="2"/>
  <c r="AL375" i="2"/>
  <c r="W375" i="2"/>
  <c r="BY374" i="2"/>
  <c r="BK374" i="2"/>
  <c r="AR374" i="2"/>
  <c r="X374" i="2"/>
  <c r="BZ373" i="2"/>
  <c r="BL373" i="2"/>
  <c r="AX373" i="2"/>
  <c r="Y373" i="2"/>
  <c r="B373" i="2"/>
  <c r="BM372" i="2"/>
  <c r="AY372" i="2"/>
  <c r="Z372" i="2"/>
  <c r="C372" i="2"/>
  <c r="BN371" i="2"/>
  <c r="AZ371" i="2"/>
  <c r="AA371" i="2"/>
  <c r="D371" i="2"/>
  <c r="BP370" i="2"/>
  <c r="BA370" i="2"/>
  <c r="AB370" i="2"/>
  <c r="E370" i="2"/>
  <c r="BQ369" i="2"/>
  <c r="BB369" i="2"/>
  <c r="AF369" i="2"/>
  <c r="F369" i="2"/>
  <c r="BR368" i="2"/>
  <c r="BD368" i="2"/>
  <c r="AG368" i="2"/>
  <c r="G368" i="2"/>
  <c r="BS367" i="2"/>
  <c r="BE367" i="2"/>
  <c r="AH367" i="2"/>
  <c r="H367" i="2"/>
  <c r="BT366" i="2"/>
  <c r="BF366" i="2"/>
  <c r="AI366" i="2"/>
  <c r="N366" i="2"/>
  <c r="BV365" i="2"/>
  <c r="BG365" i="2"/>
  <c r="AJ365" i="2"/>
  <c r="U365" i="2"/>
  <c r="BW364" i="2"/>
  <c r="T116" i="12"/>
  <c r="X82" i="12"/>
  <c r="AV465" i="2"/>
  <c r="AX462" i="2"/>
  <c r="AT460" i="2"/>
  <c r="BM458" i="2"/>
  <c r="W457" i="2"/>
  <c r="Q456" i="2"/>
  <c r="CM454" i="2"/>
  <c r="CO453" i="2"/>
  <c r="BP452" i="2"/>
  <c r="Y451" i="2"/>
  <c r="B450" i="2"/>
  <c r="AH448" i="2"/>
  <c r="H447" i="2"/>
  <c r="AX445" i="2"/>
  <c r="B444" i="2"/>
  <c r="AH442" i="2"/>
  <c r="I441" i="2"/>
  <c r="AR439" i="2"/>
  <c r="D438" i="2"/>
  <c r="C437" i="2"/>
  <c r="AI435" i="2"/>
  <c r="BL433" i="2"/>
  <c r="V432" i="2"/>
  <c r="AU430" i="2"/>
  <c r="W429" i="2"/>
  <c r="BD427" i="2"/>
  <c r="AU426" i="2"/>
  <c r="AG425" i="2"/>
  <c r="CK423" i="2"/>
  <c r="BN422" i="2"/>
  <c r="AL421" i="2"/>
  <c r="C420" i="2"/>
  <c r="BD418" i="2"/>
  <c r="U417" i="2"/>
  <c r="BZ415" i="2"/>
  <c r="F415" i="2"/>
  <c r="Y414" i="2"/>
  <c r="AF413" i="2"/>
  <c r="BH412" i="2"/>
  <c r="H412" i="2"/>
  <c r="BH411" i="2"/>
  <c r="N411" i="2"/>
  <c r="BK410" i="2"/>
  <c r="AF410" i="2"/>
  <c r="B410" i="2"/>
  <c r="BG409" i="2"/>
  <c r="AG409" i="2"/>
  <c r="G409" i="2"/>
  <c r="BV408" i="2"/>
  <c r="BD408" i="2"/>
  <c r="Z408" i="2"/>
  <c r="BZ407" i="2"/>
  <c r="BK407" i="2"/>
  <c r="AL407" i="2"/>
  <c r="N407" i="2"/>
  <c r="BT406" i="2"/>
  <c r="BE406" i="2"/>
  <c r="AH406" i="2"/>
  <c r="P406" i="2"/>
  <c r="BZ405" i="2"/>
  <c r="BL405" i="2"/>
  <c r="AX405" i="2"/>
  <c r="Y405" i="2"/>
  <c r="F405" i="2"/>
  <c r="BR404" i="2"/>
  <c r="BD404" i="2"/>
  <c r="AG404" i="2"/>
  <c r="L404" i="2"/>
  <c r="BX403" i="2"/>
  <c r="BJ403" i="2"/>
  <c r="AL403" i="2"/>
  <c r="W403" i="2"/>
  <c r="E403" i="2"/>
  <c r="BY402" i="2"/>
  <c r="BK402" i="2"/>
  <c r="AR402" i="2"/>
  <c r="X402" i="2"/>
  <c r="C402" i="2"/>
  <c r="BN401" i="2"/>
  <c r="AZ401" i="2"/>
  <c r="AA401" i="2"/>
  <c r="H401" i="2"/>
  <c r="CN400" i="2"/>
  <c r="BN400" i="2"/>
  <c r="AZ400" i="2"/>
  <c r="AA400" i="2"/>
  <c r="J400" i="2"/>
  <c r="CO399" i="2"/>
  <c r="BP399" i="2"/>
  <c r="BA399" i="2"/>
  <c r="AB399" i="2"/>
  <c r="K399" i="2"/>
  <c r="CP398" i="2"/>
  <c r="BQ398" i="2"/>
  <c r="BB398" i="2"/>
  <c r="AF398" i="2"/>
  <c r="N398" i="2"/>
  <c r="CH397" i="2"/>
  <c r="BT397" i="2"/>
  <c r="BF397" i="2"/>
  <c r="AI397" i="2"/>
  <c r="T397" i="2"/>
  <c r="C397" i="2"/>
  <c r="BW396" i="2"/>
  <c r="BH396" i="2"/>
  <c r="AK396" i="2"/>
  <c r="V396" i="2"/>
  <c r="D396" i="2"/>
  <c r="BX395" i="2"/>
  <c r="BJ395" i="2"/>
  <c r="AL395" i="2"/>
  <c r="W395" i="2"/>
  <c r="E395" i="2"/>
  <c r="BZ394" i="2"/>
  <c r="BL394" i="2"/>
  <c r="AX394" i="2"/>
  <c r="Y394" i="2"/>
  <c r="G394" i="2"/>
  <c r="BZ393" i="2"/>
  <c r="BL393" i="2"/>
  <c r="AX393" i="2"/>
  <c r="Y393" i="2"/>
  <c r="G393" i="2"/>
  <c r="CC392" i="2"/>
  <c r="BN392" i="2"/>
  <c r="AZ392" i="2"/>
  <c r="AA392" i="2"/>
  <c r="K392" i="2"/>
  <c r="CP391" i="2"/>
  <c r="BQ391" i="2"/>
  <c r="BB391" i="2"/>
  <c r="AF391" i="2"/>
  <c r="N391" i="2"/>
  <c r="CR390" i="2"/>
  <c r="BS390" i="2"/>
  <c r="BE390" i="2"/>
  <c r="AH390" i="2"/>
  <c r="P390" i="2"/>
  <c r="CS389" i="2"/>
  <c r="BX389" i="2"/>
  <c r="BJ389" i="2"/>
  <c r="AL389" i="2"/>
  <c r="W389" i="2"/>
  <c r="E389" i="2"/>
  <c r="BQ388" i="2"/>
  <c r="BB388" i="2"/>
  <c r="AF388" i="2"/>
  <c r="F388" i="2"/>
  <c r="BR387" i="2"/>
  <c r="BD387" i="2"/>
  <c r="AG387" i="2"/>
  <c r="G387" i="2"/>
  <c r="BS386" i="2"/>
  <c r="BE386" i="2"/>
  <c r="AH386" i="2"/>
  <c r="N386" i="2"/>
  <c r="CO385" i="2"/>
  <c r="BP385" i="2"/>
  <c r="BA385" i="2"/>
  <c r="AB385" i="2"/>
  <c r="G385" i="2"/>
  <c r="BS384" i="2"/>
  <c r="BE384" i="2"/>
  <c r="AH384" i="2"/>
  <c r="H384" i="2"/>
  <c r="BT383" i="2"/>
  <c r="BF383" i="2"/>
  <c r="AI383" i="2"/>
  <c r="N383" i="2"/>
  <c r="BV382" i="2"/>
  <c r="BG382" i="2"/>
  <c r="AJ382" i="2"/>
  <c r="U382" i="2"/>
  <c r="D382" i="2"/>
  <c r="BP381" i="2"/>
  <c r="BA381" i="2"/>
  <c r="AB381" i="2"/>
  <c r="E381" i="2"/>
  <c r="BQ380" i="2"/>
  <c r="BB380" i="2"/>
  <c r="AF380" i="2"/>
  <c r="F380" i="2"/>
  <c r="BR379" i="2"/>
  <c r="BD379" i="2"/>
  <c r="AG379" i="2"/>
  <c r="G379" i="2"/>
  <c r="BS378" i="2"/>
  <c r="BE378" i="2"/>
  <c r="AH378" i="2"/>
  <c r="H378" i="2"/>
  <c r="BT377" i="2"/>
  <c r="BF377" i="2"/>
  <c r="AI377" i="2"/>
  <c r="N377" i="2"/>
  <c r="BV376" i="2"/>
  <c r="BG376" i="2"/>
  <c r="AJ376" i="2"/>
  <c r="U376" i="2"/>
  <c r="BW375" i="2"/>
  <c r="BH375" i="2"/>
  <c r="AK375" i="2"/>
  <c r="V375" i="2"/>
  <c r="BX374" i="2"/>
  <c r="BJ374" i="2"/>
  <c r="AL374" i="2"/>
  <c r="W374" i="2"/>
  <c r="BY373" i="2"/>
  <c r="BK373" i="2"/>
  <c r="AR373" i="2"/>
  <c r="X373" i="2"/>
  <c r="BZ372" i="2"/>
  <c r="BL372" i="2"/>
  <c r="AX372" i="2"/>
  <c r="Y372" i="2"/>
  <c r="B372" i="2"/>
  <c r="BM371" i="2"/>
  <c r="AY371" i="2"/>
  <c r="Z371" i="2"/>
  <c r="C371" i="2"/>
  <c r="BN370" i="2"/>
  <c r="AZ370" i="2"/>
  <c r="AA370" i="2"/>
  <c r="D370" i="2"/>
  <c r="BP369" i="2"/>
  <c r="BA369" i="2"/>
  <c r="AB369" i="2"/>
  <c r="E369" i="2"/>
  <c r="BQ368" i="2"/>
  <c r="BB368" i="2"/>
  <c r="AF368" i="2"/>
  <c r="F368" i="2"/>
  <c r="BR367" i="2"/>
  <c r="BD367" i="2"/>
  <c r="AG367" i="2"/>
  <c r="G367" i="2"/>
  <c r="BS366" i="2"/>
  <c r="BE366" i="2"/>
  <c r="AH366" i="2"/>
  <c r="H366" i="2"/>
  <c r="BT365" i="2"/>
  <c r="BF365" i="2"/>
  <c r="AI365" i="2"/>
  <c r="N365" i="2"/>
  <c r="BV364" i="2"/>
  <c r="BG364" i="2"/>
  <c r="AJ364" i="2"/>
  <c r="U364" i="2"/>
  <c r="BW363" i="2"/>
  <c r="BH363" i="2"/>
  <c r="AK363" i="2"/>
  <c r="V363" i="2"/>
  <c r="BX362" i="2"/>
  <c r="BJ362" i="2"/>
  <c r="AL362" i="2"/>
  <c r="H102" i="12"/>
  <c r="X92" i="12"/>
  <c r="AP465" i="2"/>
  <c r="AT462" i="2"/>
  <c r="AR460" i="2"/>
  <c r="BL458" i="2"/>
  <c r="V457" i="2"/>
  <c r="N456" i="2"/>
  <c r="CL454" i="2"/>
  <c r="CN453" i="2"/>
  <c r="BN452" i="2"/>
  <c r="X451" i="2"/>
  <c r="BV449" i="2"/>
  <c r="AG448" i="2"/>
  <c r="G447" i="2"/>
  <c r="AV445" i="2"/>
  <c r="BV443" i="2"/>
  <c r="AG442" i="2"/>
  <c r="H441" i="2"/>
  <c r="AP439" i="2"/>
  <c r="C438" i="2"/>
  <c r="B437" i="2"/>
  <c r="AH435" i="2"/>
  <c r="BJ433" i="2"/>
  <c r="U432" i="2"/>
  <c r="AT430" i="2"/>
  <c r="V429" i="2"/>
  <c r="BB427" i="2"/>
  <c r="AT426" i="2"/>
  <c r="AF425" i="2"/>
  <c r="CJ423" i="2"/>
  <c r="BM422" i="2"/>
  <c r="AK421" i="2"/>
  <c r="B420" i="2"/>
  <c r="BB418" i="2"/>
  <c r="N417" i="2"/>
  <c r="BN415" i="2"/>
  <c r="CN414" i="2"/>
  <c r="F414" i="2"/>
  <c r="AB413" i="2"/>
  <c r="BG412" i="2"/>
  <c r="D412" i="2"/>
  <c r="BG411" i="2"/>
  <c r="F411" i="2"/>
  <c r="BH410" i="2"/>
  <c r="AB410" i="2"/>
  <c r="BZ409" i="2"/>
  <c r="BF409" i="2"/>
  <c r="AF409" i="2"/>
  <c r="F409" i="2"/>
  <c r="BT408" i="2"/>
  <c r="BB408" i="2"/>
  <c r="Y408" i="2"/>
  <c r="BY407" i="2"/>
  <c r="BJ407" i="2"/>
  <c r="AK407" i="2"/>
  <c r="H407" i="2"/>
  <c r="BS406" i="2"/>
  <c r="BD406" i="2"/>
  <c r="AG406" i="2"/>
  <c r="N406" i="2"/>
  <c r="BY405" i="2"/>
  <c r="BK405" i="2"/>
  <c r="AR405" i="2"/>
  <c r="X405" i="2"/>
  <c r="E405" i="2"/>
  <c r="BQ404" i="2"/>
  <c r="BB404" i="2"/>
  <c r="AF404" i="2"/>
  <c r="K404" i="2"/>
  <c r="BW403" i="2"/>
  <c r="BH403" i="2"/>
  <c r="AK403" i="2"/>
  <c r="V403" i="2"/>
  <c r="D403" i="2"/>
  <c r="BX402" i="2"/>
  <c r="BJ402" i="2"/>
  <c r="AL402" i="2"/>
  <c r="W402" i="2"/>
  <c r="B402" i="2"/>
  <c r="BM401" i="2"/>
  <c r="AY401" i="2"/>
  <c r="Z401" i="2"/>
  <c r="G401" i="2"/>
  <c r="CM400" i="2"/>
  <c r="BM400" i="2"/>
  <c r="AY400" i="2"/>
  <c r="Z400" i="2"/>
  <c r="H400" i="2"/>
  <c r="CN399" i="2"/>
  <c r="BN399" i="2"/>
  <c r="AZ399" i="2"/>
  <c r="AA399" i="2"/>
  <c r="J399" i="2"/>
  <c r="CO398" i="2"/>
  <c r="BP398" i="2"/>
  <c r="BA398" i="2"/>
  <c r="AB398" i="2"/>
  <c r="L398" i="2"/>
  <c r="CG397" i="2"/>
  <c r="BS397" i="2"/>
  <c r="BE397" i="2"/>
  <c r="AH397" i="2"/>
  <c r="Q397" i="2"/>
  <c r="B397" i="2"/>
  <c r="BV396" i="2"/>
  <c r="BG396" i="2"/>
  <c r="AJ396" i="2"/>
  <c r="U396" i="2"/>
  <c r="C396" i="2"/>
  <c r="BW395" i="2"/>
  <c r="BH395" i="2"/>
  <c r="AK395" i="2"/>
  <c r="V395" i="2"/>
  <c r="D395" i="2"/>
  <c r="BY394" i="2"/>
  <c r="BK394" i="2"/>
  <c r="AR394" i="2"/>
  <c r="X394" i="2"/>
  <c r="F394" i="2"/>
  <c r="BY393" i="2"/>
  <c r="BK393" i="2"/>
  <c r="AR393" i="2"/>
  <c r="X393" i="2"/>
  <c r="F393" i="2"/>
  <c r="CB392" i="2"/>
  <c r="BM392" i="2"/>
  <c r="AY392" i="2"/>
  <c r="Z392" i="2"/>
  <c r="J392" i="2"/>
  <c r="CO391" i="2"/>
  <c r="BP391" i="2"/>
  <c r="BA391" i="2"/>
  <c r="AB391" i="2"/>
  <c r="L391" i="2"/>
  <c r="CQ390" i="2"/>
  <c r="BR390" i="2"/>
  <c r="BD390" i="2"/>
  <c r="AG390" i="2"/>
  <c r="N390" i="2"/>
  <c r="CR389" i="2"/>
  <c r="BW389" i="2"/>
  <c r="BH389" i="2"/>
  <c r="AK389" i="2"/>
  <c r="V389" i="2"/>
  <c r="D389" i="2"/>
  <c r="BP388" i="2"/>
  <c r="BA388" i="2"/>
  <c r="AB388" i="2"/>
  <c r="E388" i="2"/>
  <c r="BQ387" i="2"/>
  <c r="BB387" i="2"/>
  <c r="AF387" i="2"/>
  <c r="F387" i="2"/>
  <c r="BR386" i="2"/>
  <c r="BD386" i="2"/>
  <c r="AG386" i="2"/>
  <c r="H386" i="2"/>
  <c r="CN385" i="2"/>
  <c r="BN385" i="2"/>
  <c r="AZ385" i="2"/>
  <c r="AA385" i="2"/>
  <c r="F385" i="2"/>
  <c r="BR384" i="2"/>
  <c r="BD384" i="2"/>
  <c r="AG384" i="2"/>
  <c r="G384" i="2"/>
  <c r="BS383" i="2"/>
  <c r="BE383" i="2"/>
  <c r="AH383" i="2"/>
  <c r="H383" i="2"/>
  <c r="BT382" i="2"/>
  <c r="BF382" i="2"/>
  <c r="AI382" i="2"/>
  <c r="R382" i="2"/>
  <c r="C382" i="2"/>
  <c r="BN381" i="2"/>
  <c r="AZ381" i="2"/>
  <c r="AA381" i="2"/>
  <c r="D381" i="2"/>
  <c r="BP380" i="2"/>
  <c r="BA380" i="2"/>
  <c r="AB380" i="2"/>
  <c r="E380" i="2"/>
  <c r="BQ379" i="2"/>
  <c r="BB379" i="2"/>
  <c r="AF379" i="2"/>
  <c r="F379" i="2"/>
  <c r="BR378" i="2"/>
  <c r="BD378" i="2"/>
  <c r="AG378" i="2"/>
  <c r="G378" i="2"/>
  <c r="BS377" i="2"/>
  <c r="BE377" i="2"/>
  <c r="AH377" i="2"/>
  <c r="H377" i="2"/>
  <c r="BT376" i="2"/>
  <c r="BF376" i="2"/>
  <c r="AI376" i="2"/>
  <c r="N376" i="2"/>
  <c r="BV375" i="2"/>
  <c r="BG375" i="2"/>
  <c r="AJ375" i="2"/>
  <c r="U375" i="2"/>
  <c r="BW374" i="2"/>
  <c r="BH374" i="2"/>
  <c r="AK374" i="2"/>
  <c r="V374" i="2"/>
  <c r="BX373" i="2"/>
  <c r="BJ373" i="2"/>
  <c r="AL373" i="2"/>
  <c r="W373" i="2"/>
  <c r="BY372" i="2"/>
  <c r="BK372" i="2"/>
  <c r="AR372" i="2"/>
  <c r="X372" i="2"/>
  <c r="BZ371" i="2"/>
  <c r="BL371" i="2"/>
  <c r="AX371" i="2"/>
  <c r="Y371" i="2"/>
  <c r="B371" i="2"/>
  <c r="BM370" i="2"/>
  <c r="AY370" i="2"/>
  <c r="Z370" i="2"/>
  <c r="C370" i="2"/>
  <c r="BN369" i="2"/>
  <c r="AZ369" i="2"/>
  <c r="AA369" i="2"/>
  <c r="D369" i="2"/>
  <c r="BP368" i="2"/>
  <c r="BA368" i="2"/>
  <c r="AB368" i="2"/>
  <c r="E368" i="2"/>
  <c r="BQ367" i="2"/>
  <c r="BB367" i="2"/>
  <c r="AF367" i="2"/>
  <c r="F367" i="2"/>
  <c r="BR366" i="2"/>
  <c r="BD366" i="2"/>
  <c r="AG366" i="2"/>
  <c r="G366" i="2"/>
  <c r="BS365" i="2"/>
  <c r="BE365" i="2"/>
  <c r="AH365" i="2"/>
  <c r="H365" i="2"/>
  <c r="BT364" i="2"/>
  <c r="BF364" i="2"/>
  <c r="AI364" i="2"/>
  <c r="A7" i="12"/>
  <c r="E448" i="2"/>
  <c r="AF430" i="2"/>
  <c r="CM414" i="2"/>
  <c r="D409" i="2"/>
  <c r="BX405" i="2"/>
  <c r="U403" i="2"/>
  <c r="BL400" i="2"/>
  <c r="AA398" i="2"/>
  <c r="B396" i="2"/>
  <c r="BJ393" i="2"/>
  <c r="AA391" i="2"/>
  <c r="C389" i="2"/>
  <c r="G386" i="2"/>
  <c r="AG383" i="2"/>
  <c r="AZ380" i="2"/>
  <c r="BD377" i="2"/>
  <c r="BG374" i="2"/>
  <c r="BK371" i="2"/>
  <c r="BN368" i="2"/>
  <c r="AY366" i="2"/>
  <c r="AZ365" i="2"/>
  <c r="BP364" i="2"/>
  <c r="X364" i="2"/>
  <c r="BQ363" i="2"/>
  <c r="AL363" i="2"/>
  <c r="F363" i="2"/>
  <c r="BK362" i="2"/>
  <c r="AG362" i="2"/>
  <c r="D362" i="2"/>
  <c r="BL361" i="2"/>
  <c r="AL361" i="2"/>
  <c r="N361" i="2"/>
  <c r="BS360" i="2"/>
  <c r="BB360" i="2"/>
  <c r="Z360" i="2"/>
  <c r="B360" i="2"/>
  <c r="BL359" i="2"/>
  <c r="AR359" i="2"/>
  <c r="V359" i="2"/>
  <c r="BW358" i="2"/>
  <c r="BG358" i="2"/>
  <c r="AI358" i="2"/>
  <c r="H358" i="2"/>
  <c r="BS357" i="2"/>
  <c r="BE357" i="2"/>
  <c r="AH357" i="2"/>
  <c r="H357" i="2"/>
  <c r="BT356" i="2"/>
  <c r="BF356" i="2"/>
  <c r="AI356" i="2"/>
  <c r="N356" i="2"/>
  <c r="BV355" i="2"/>
  <c r="BG355" i="2"/>
  <c r="AJ355" i="2"/>
  <c r="U355" i="2"/>
  <c r="BW354" i="2"/>
  <c r="BH354" i="2"/>
  <c r="AK354" i="2"/>
  <c r="V354" i="2"/>
  <c r="BX353" i="2"/>
  <c r="BJ353" i="2"/>
  <c r="AL353" i="2"/>
  <c r="W353" i="2"/>
  <c r="BY352" i="2"/>
  <c r="BK352" i="2"/>
  <c r="AR352" i="2"/>
  <c r="X352" i="2"/>
  <c r="BZ351" i="2"/>
  <c r="BL351" i="2"/>
  <c r="AX351" i="2"/>
  <c r="Y351" i="2"/>
  <c r="B351" i="2"/>
  <c r="BM350" i="2"/>
  <c r="AY350" i="2"/>
  <c r="Z350" i="2"/>
  <c r="C350" i="2"/>
  <c r="BN349" i="2"/>
  <c r="AZ349" i="2"/>
  <c r="AA349" i="2"/>
  <c r="D349" i="2"/>
  <c r="BP348" i="2"/>
  <c r="BA348" i="2"/>
  <c r="Z348" i="2"/>
  <c r="C348" i="2"/>
  <c r="BN347" i="2"/>
  <c r="AZ347" i="2"/>
  <c r="Y347" i="2"/>
  <c r="B347" i="2"/>
  <c r="BM346" i="2"/>
  <c r="AY346" i="2"/>
  <c r="Z346" i="2"/>
  <c r="C346" i="2"/>
  <c r="BN345" i="2"/>
  <c r="AZ345" i="2"/>
  <c r="AA345" i="2"/>
  <c r="K345" i="2"/>
  <c r="BX344" i="2"/>
  <c r="BJ344" i="2"/>
  <c r="AL344" i="2"/>
  <c r="W344" i="2"/>
  <c r="F344" i="2"/>
  <c r="BZ343" i="2"/>
  <c r="BL343" i="2"/>
  <c r="AX343" i="2"/>
  <c r="Y343" i="2"/>
  <c r="F343" i="2"/>
  <c r="BZ342" i="2"/>
  <c r="BL342" i="2"/>
  <c r="AX342" i="2"/>
  <c r="Y342" i="2"/>
  <c r="F342" i="2"/>
  <c r="BZ341" i="2"/>
  <c r="BL341" i="2"/>
  <c r="AX341" i="2"/>
  <c r="Y341" i="2"/>
  <c r="F341" i="2"/>
  <c r="BZ340" i="2"/>
  <c r="BL340" i="2"/>
  <c r="AX340" i="2"/>
  <c r="Y340" i="2"/>
  <c r="H340" i="2"/>
  <c r="CN339" i="2"/>
  <c r="BN339" i="2"/>
  <c r="AZ339" i="2"/>
  <c r="AA339" i="2"/>
  <c r="J339" i="2"/>
  <c r="CP338" i="2"/>
  <c r="BQ338" i="2"/>
  <c r="BB338" i="2"/>
  <c r="AF338" i="2"/>
  <c r="K338" i="2"/>
  <c r="CP337" i="2"/>
  <c r="BQ337" i="2"/>
  <c r="BB337" i="2"/>
  <c r="AF337" i="2"/>
  <c r="L337" i="2"/>
  <c r="CR336" i="2"/>
  <c r="BS336" i="2"/>
  <c r="BE336" i="2"/>
  <c r="AH336" i="2"/>
  <c r="Q336" i="2"/>
  <c r="B336" i="2"/>
  <c r="BV335" i="2"/>
  <c r="BG335" i="2"/>
  <c r="AJ335" i="2"/>
  <c r="U335" i="2"/>
  <c r="D335" i="2"/>
  <c r="BX334" i="2"/>
  <c r="BJ334" i="2"/>
  <c r="AL334" i="2"/>
  <c r="W334" i="2"/>
  <c r="F334" i="2"/>
  <c r="BZ333" i="2"/>
  <c r="BL333" i="2"/>
  <c r="AX333" i="2"/>
  <c r="Y333" i="2"/>
  <c r="H333" i="2"/>
  <c r="BT332" i="2"/>
  <c r="BF332" i="2"/>
  <c r="AI332" i="2"/>
  <c r="U332" i="2"/>
  <c r="B332" i="2"/>
  <c r="BM331" i="2"/>
  <c r="AY331" i="2"/>
  <c r="AB331" i="2"/>
  <c r="K331" i="2"/>
  <c r="BY330" i="2"/>
  <c r="BK330" i="2"/>
  <c r="AX330" i="2"/>
  <c r="AA330" i="2"/>
  <c r="J330" i="2"/>
  <c r="BW329" i="2"/>
  <c r="BH329" i="2"/>
  <c r="AL329" i="2"/>
  <c r="Y329" i="2"/>
  <c r="H329" i="2"/>
  <c r="CN328" i="2"/>
  <c r="BN328" i="2"/>
  <c r="AZ328" i="2"/>
  <c r="AC328" i="2"/>
  <c r="L328" i="2"/>
  <c r="CR327" i="2"/>
  <c r="BS327" i="2"/>
  <c r="BE327" i="2"/>
  <c r="AH327" i="2"/>
  <c r="U327" i="2"/>
  <c r="D327" i="2"/>
  <c r="BP326" i="2"/>
  <c r="BA326" i="2"/>
  <c r="AE326" i="2"/>
  <c r="N326" i="2"/>
  <c r="BZ325" i="2"/>
  <c r="BL325" i="2"/>
  <c r="AX325" i="2"/>
  <c r="AA325" i="2"/>
  <c r="J325" i="2"/>
  <c r="BW324" i="2"/>
  <c r="BH324" i="2"/>
  <c r="AK324" i="2"/>
  <c r="X324" i="2"/>
  <c r="G324" i="2"/>
  <c r="CC323" i="2"/>
  <c r="BN323" i="2"/>
  <c r="AZ323" i="2"/>
  <c r="AA323" i="2"/>
  <c r="H323" i="2"/>
  <c r="CN322" i="2"/>
  <c r="BN322" i="2"/>
  <c r="AZ322" i="2"/>
  <c r="AA322" i="2"/>
  <c r="H322" i="2"/>
  <c r="CN321" i="2"/>
  <c r="BN321" i="2"/>
  <c r="AZ321" i="2"/>
  <c r="AA321" i="2"/>
  <c r="J321" i="2"/>
  <c r="CP320" i="2"/>
  <c r="BQ320" i="2"/>
  <c r="BB320" i="2"/>
  <c r="AF320" i="2"/>
  <c r="K320" i="2"/>
  <c r="CQ319" i="2"/>
  <c r="BV319" i="2"/>
  <c r="BG319" i="2"/>
  <c r="AJ319" i="2"/>
  <c r="V319" i="2"/>
  <c r="BZ318" i="2"/>
  <c r="BL318" i="2"/>
  <c r="AX318" i="2"/>
  <c r="Y318" i="2"/>
  <c r="G318" i="2"/>
  <c r="BZ317" i="2"/>
  <c r="BL317" i="2"/>
  <c r="AX317" i="2"/>
  <c r="Y317" i="2"/>
  <c r="G317" i="2"/>
  <c r="CC316" i="2"/>
  <c r="BN316" i="2"/>
  <c r="AZ316" i="2"/>
  <c r="AA316" i="2"/>
  <c r="H316" i="2"/>
  <c r="BT315" i="2"/>
  <c r="BF315" i="2"/>
  <c r="AS315" i="2"/>
  <c r="AA315" i="2"/>
  <c r="F315" i="2"/>
  <c r="BV314" i="2"/>
  <c r="BG314" i="2"/>
  <c r="AJ314" i="2"/>
  <c r="U314" i="2"/>
  <c r="D314" i="2"/>
  <c r="BP313" i="2"/>
  <c r="BA313" i="2"/>
  <c r="AB313" i="2"/>
  <c r="K313" i="2"/>
  <c r="BV312" i="2"/>
  <c r="BG312" i="2"/>
  <c r="BJ464" i="2"/>
  <c r="BN446" i="2"/>
  <c r="BS428" i="2"/>
  <c r="E414" i="2"/>
  <c r="BS408" i="2"/>
  <c r="BJ405" i="2"/>
  <c r="C403" i="2"/>
  <c r="AX400" i="2"/>
  <c r="K398" i="2"/>
  <c r="BV395" i="2"/>
  <c r="AL393" i="2"/>
  <c r="K391" i="2"/>
  <c r="BN388" i="2"/>
  <c r="CM385" i="2"/>
  <c r="G383" i="2"/>
  <c r="AA380" i="2"/>
  <c r="AG377" i="2"/>
  <c r="AJ374" i="2"/>
  <c r="AR371" i="2"/>
  <c r="AZ368" i="2"/>
  <c r="AK366" i="2"/>
  <c r="AY365" i="2"/>
  <c r="BN364" i="2"/>
  <c r="V364" i="2"/>
  <c r="BP363" i="2"/>
  <c r="AJ363" i="2"/>
  <c r="E363" i="2"/>
  <c r="BH362" i="2"/>
  <c r="AF362" i="2"/>
  <c r="C362" i="2"/>
  <c r="BK361" i="2"/>
  <c r="AK361" i="2"/>
  <c r="H361" i="2"/>
  <c r="BR360" i="2"/>
  <c r="BA360" i="2"/>
  <c r="Y360" i="2"/>
  <c r="BZ359" i="2"/>
  <c r="BK359" i="2"/>
  <c r="AK359" i="2"/>
  <c r="U359" i="2"/>
  <c r="BV358" i="2"/>
  <c r="BF358" i="2"/>
  <c r="AH358" i="2"/>
  <c r="G358" i="2"/>
  <c r="BR357" i="2"/>
  <c r="BD357" i="2"/>
  <c r="AG357" i="2"/>
  <c r="G357" i="2"/>
  <c r="BS356" i="2"/>
  <c r="BE356" i="2"/>
  <c r="AH356" i="2"/>
  <c r="H356" i="2"/>
  <c r="BT355" i="2"/>
  <c r="BF355" i="2"/>
  <c r="AI355" i="2"/>
  <c r="N355" i="2"/>
  <c r="BV354" i="2"/>
  <c r="BG354" i="2"/>
  <c r="AJ354" i="2"/>
  <c r="U354" i="2"/>
  <c r="BW353" i="2"/>
  <c r="BH353" i="2"/>
  <c r="AK353" i="2"/>
  <c r="V353" i="2"/>
  <c r="BX352" i="2"/>
  <c r="BJ352" i="2"/>
  <c r="AL352" i="2"/>
  <c r="W352" i="2"/>
  <c r="BY351" i="2"/>
  <c r="BK351" i="2"/>
  <c r="AR351" i="2"/>
  <c r="X351" i="2"/>
  <c r="BZ350" i="2"/>
  <c r="BL350" i="2"/>
  <c r="AX350" i="2"/>
  <c r="Y350" i="2"/>
  <c r="B350" i="2"/>
  <c r="BM349" i="2"/>
  <c r="AY349" i="2"/>
  <c r="Z349" i="2"/>
  <c r="C349" i="2"/>
  <c r="BN348" i="2"/>
  <c r="AZ348" i="2"/>
  <c r="Y348" i="2"/>
  <c r="B348" i="2"/>
  <c r="BM347" i="2"/>
  <c r="AY347" i="2"/>
  <c r="X347" i="2"/>
  <c r="BZ346" i="2"/>
  <c r="BL346" i="2"/>
  <c r="AX346" i="2"/>
  <c r="Y346" i="2"/>
  <c r="B346" i="2"/>
  <c r="BM345" i="2"/>
  <c r="AY345" i="2"/>
  <c r="Z345" i="2"/>
  <c r="J345" i="2"/>
  <c r="BW344" i="2"/>
  <c r="BH344" i="2"/>
  <c r="AK344" i="2"/>
  <c r="V344" i="2"/>
  <c r="E344" i="2"/>
  <c r="BY343" i="2"/>
  <c r="BK343" i="2"/>
  <c r="AR343" i="2"/>
  <c r="X343" i="2"/>
  <c r="E343" i="2"/>
  <c r="BY342" i="2"/>
  <c r="BK342" i="2"/>
  <c r="AR342" i="2"/>
  <c r="X342" i="2"/>
  <c r="E342" i="2"/>
  <c r="BY341" i="2"/>
  <c r="BK341" i="2"/>
  <c r="AR341" i="2"/>
  <c r="X341" i="2"/>
  <c r="E341" i="2"/>
  <c r="BY340" i="2"/>
  <c r="BK340" i="2"/>
  <c r="AR340" i="2"/>
  <c r="X340" i="2"/>
  <c r="G340" i="2"/>
  <c r="CM339" i="2"/>
  <c r="BM339" i="2"/>
  <c r="AY339" i="2"/>
  <c r="Z339" i="2"/>
  <c r="I339" i="2"/>
  <c r="CO338" i="2"/>
  <c r="BP338" i="2"/>
  <c r="BA338" i="2"/>
  <c r="AB338" i="2"/>
  <c r="J338" i="2"/>
  <c r="CO337" i="2"/>
  <c r="BP337" i="2"/>
  <c r="BA337" i="2"/>
  <c r="AB337" i="2"/>
  <c r="K337" i="2"/>
  <c r="CQ336" i="2"/>
  <c r="BR336" i="2"/>
  <c r="BD336" i="2"/>
  <c r="AG336" i="2"/>
  <c r="N336" i="2"/>
  <c r="CS335" i="2"/>
  <c r="BT335" i="2"/>
  <c r="BF335" i="2"/>
  <c r="AI335" i="2"/>
  <c r="T335" i="2"/>
  <c r="C335" i="2"/>
  <c r="BW334" i="2"/>
  <c r="BH334" i="2"/>
  <c r="AK334" i="2"/>
  <c r="V334" i="2"/>
  <c r="E334" i="2"/>
  <c r="BY333" i="2"/>
  <c r="BK333" i="2"/>
  <c r="AR333" i="2"/>
  <c r="X333" i="2"/>
  <c r="G333" i="2"/>
  <c r="BS332" i="2"/>
  <c r="BE332" i="2"/>
  <c r="AH332" i="2"/>
  <c r="P332" i="2"/>
  <c r="BZ331" i="2"/>
  <c r="BL331" i="2"/>
  <c r="AX331" i="2"/>
  <c r="AA331" i="2"/>
  <c r="J331" i="2"/>
  <c r="BX330" i="2"/>
  <c r="BJ330" i="2"/>
  <c r="AR330" i="2"/>
  <c r="Z330" i="2"/>
  <c r="I330" i="2"/>
  <c r="BV329" i="2"/>
  <c r="BG329" i="2"/>
  <c r="AK329" i="2"/>
  <c r="X329" i="2"/>
  <c r="G329" i="2"/>
  <c r="CM328" i="2"/>
  <c r="BM328" i="2"/>
  <c r="AY328" i="2"/>
  <c r="AB328" i="2"/>
  <c r="K328" i="2"/>
  <c r="CQ327" i="2"/>
  <c r="BR327" i="2"/>
  <c r="BD327" i="2"/>
  <c r="AG327" i="2"/>
  <c r="T327" i="2"/>
  <c r="C327" i="2"/>
  <c r="BN326" i="2"/>
  <c r="AZ326" i="2"/>
  <c r="AC326" i="2"/>
  <c r="L326" i="2"/>
  <c r="BY325" i="2"/>
  <c r="BK325" i="2"/>
  <c r="AR325" i="2"/>
  <c r="Z325" i="2"/>
  <c r="I325" i="2"/>
  <c r="BV324" i="2"/>
  <c r="BG324" i="2"/>
  <c r="AJ324" i="2"/>
  <c r="W324" i="2"/>
  <c r="F324" i="2"/>
  <c r="CB323" i="2"/>
  <c r="BM323" i="2"/>
  <c r="AY323" i="2"/>
  <c r="Z323" i="2"/>
  <c r="G323" i="2"/>
  <c r="CM322" i="2"/>
  <c r="BM322" i="2"/>
  <c r="AY322" i="2"/>
  <c r="Z322" i="2"/>
  <c r="G322" i="2"/>
  <c r="CM321" i="2"/>
  <c r="BM321" i="2"/>
  <c r="AY321" i="2"/>
  <c r="Z321" i="2"/>
  <c r="I321" i="2"/>
  <c r="CO320" i="2"/>
  <c r="BP320" i="2"/>
  <c r="BA320" i="2"/>
  <c r="AB320" i="2"/>
  <c r="J320" i="2"/>
  <c r="CP319" i="2"/>
  <c r="BT319" i="2"/>
  <c r="BF319" i="2"/>
  <c r="AI319" i="2"/>
  <c r="U319" i="2"/>
  <c r="BY318" i="2"/>
  <c r="BK318" i="2"/>
  <c r="AR318" i="2"/>
  <c r="X318" i="2"/>
  <c r="F318" i="2"/>
  <c r="BY317" i="2"/>
  <c r="BK317" i="2"/>
  <c r="AR317" i="2"/>
  <c r="X317" i="2"/>
  <c r="F317" i="2"/>
  <c r="CB316" i="2"/>
  <c r="BM316" i="2"/>
  <c r="AY316" i="2"/>
  <c r="Z316" i="2"/>
  <c r="G316" i="2"/>
  <c r="BS315" i="2"/>
  <c r="BE315" i="2"/>
  <c r="AR315" i="2"/>
  <c r="Z315" i="2"/>
  <c r="E315" i="2"/>
  <c r="BT314" i="2"/>
  <c r="BF314" i="2"/>
  <c r="AI314" i="2"/>
  <c r="T314" i="2"/>
  <c r="C314" i="2"/>
  <c r="BN313" i="2"/>
  <c r="AZ313" i="2"/>
  <c r="U462" i="2"/>
  <c r="AH445" i="2"/>
  <c r="AL427" i="2"/>
  <c r="Z413" i="2"/>
  <c r="AZ408" i="2"/>
  <c r="AL405" i="2"/>
  <c r="BW402" i="2"/>
  <c r="Y400" i="2"/>
  <c r="CF397" i="2"/>
  <c r="BG395" i="2"/>
  <c r="W393" i="2"/>
  <c r="CP390" i="2"/>
  <c r="AZ388" i="2"/>
  <c r="BM385" i="2"/>
  <c r="BS382" i="2"/>
  <c r="D380" i="2"/>
  <c r="G377" i="2"/>
  <c r="U374" i="2"/>
  <c r="X371" i="2"/>
  <c r="AA368" i="2"/>
  <c r="AF366" i="2"/>
  <c r="AL365" i="2"/>
  <c r="BK364" i="2"/>
  <c r="N364" i="2"/>
  <c r="BN363" i="2"/>
  <c r="AI363" i="2"/>
  <c r="D363" i="2"/>
  <c r="BG362" i="2"/>
  <c r="AB362" i="2"/>
  <c r="BZ361" i="2"/>
  <c r="BJ361" i="2"/>
  <c r="AI361" i="2"/>
  <c r="G361" i="2"/>
  <c r="BQ360" i="2"/>
  <c r="AY360" i="2"/>
  <c r="X360" i="2"/>
  <c r="BY359" i="2"/>
  <c r="BH359" i="2"/>
  <c r="AJ359" i="2"/>
  <c r="N359" i="2"/>
  <c r="BT358" i="2"/>
  <c r="BE358" i="2"/>
  <c r="AG358" i="2"/>
  <c r="F358" i="2"/>
  <c r="BQ357" i="2"/>
  <c r="BB357" i="2"/>
  <c r="AF357" i="2"/>
  <c r="F357" i="2"/>
  <c r="BR356" i="2"/>
  <c r="BD356" i="2"/>
  <c r="AG356" i="2"/>
  <c r="G356" i="2"/>
  <c r="BS355" i="2"/>
  <c r="BE355" i="2"/>
  <c r="AH355" i="2"/>
  <c r="H355" i="2"/>
  <c r="BT354" i="2"/>
  <c r="BF354" i="2"/>
  <c r="AI354" i="2"/>
  <c r="N354" i="2"/>
  <c r="BV353" i="2"/>
  <c r="BG353" i="2"/>
  <c r="AJ353" i="2"/>
  <c r="U353" i="2"/>
  <c r="BW352" i="2"/>
  <c r="BH352" i="2"/>
  <c r="AK352" i="2"/>
  <c r="V352" i="2"/>
  <c r="BX351" i="2"/>
  <c r="BJ351" i="2"/>
  <c r="AL351" i="2"/>
  <c r="W351" i="2"/>
  <c r="BY350" i="2"/>
  <c r="BK350" i="2"/>
  <c r="AR350" i="2"/>
  <c r="X350" i="2"/>
  <c r="BZ349" i="2"/>
  <c r="BL349" i="2"/>
  <c r="AX349" i="2"/>
  <c r="Y349" i="2"/>
  <c r="B349" i="2"/>
  <c r="BM348" i="2"/>
  <c r="AY348" i="2"/>
  <c r="X348" i="2"/>
  <c r="BZ347" i="2"/>
  <c r="BL347" i="2"/>
  <c r="AX347" i="2"/>
  <c r="W347" i="2"/>
  <c r="BY346" i="2"/>
  <c r="BK346" i="2"/>
  <c r="AR346" i="2"/>
  <c r="X346" i="2"/>
  <c r="BZ345" i="2"/>
  <c r="BL345" i="2"/>
  <c r="AX345" i="2"/>
  <c r="Y345" i="2"/>
  <c r="I345" i="2"/>
  <c r="BV344" i="2"/>
  <c r="BG344" i="2"/>
  <c r="AJ344" i="2"/>
  <c r="U344" i="2"/>
  <c r="D344" i="2"/>
  <c r="BX343" i="2"/>
  <c r="BJ343" i="2"/>
  <c r="AL343" i="2"/>
  <c r="W343" i="2"/>
  <c r="D343" i="2"/>
  <c r="BX342" i="2"/>
  <c r="BJ342" i="2"/>
  <c r="AL342" i="2"/>
  <c r="W342" i="2"/>
  <c r="D342" i="2"/>
  <c r="BX341" i="2"/>
  <c r="BJ341" i="2"/>
  <c r="AL341" i="2"/>
  <c r="W341" i="2"/>
  <c r="D341" i="2"/>
  <c r="BX340" i="2"/>
  <c r="BJ340" i="2"/>
  <c r="AL340" i="2"/>
  <c r="W340" i="2"/>
  <c r="F340" i="2"/>
  <c r="BZ339" i="2"/>
  <c r="BL339" i="2"/>
  <c r="AX339" i="2"/>
  <c r="Y339" i="2"/>
  <c r="H339" i="2"/>
  <c r="CN338" i="2"/>
  <c r="BN338" i="2"/>
  <c r="AZ338" i="2"/>
  <c r="AA338" i="2"/>
  <c r="H338" i="2"/>
  <c r="CN337" i="2"/>
  <c r="BN337" i="2"/>
  <c r="AZ337" i="2"/>
  <c r="AA337" i="2"/>
  <c r="J337" i="2"/>
  <c r="CP336" i="2"/>
  <c r="BQ336" i="2"/>
  <c r="BB336" i="2"/>
  <c r="AF336" i="2"/>
  <c r="L336" i="2"/>
  <c r="CR335" i="2"/>
  <c r="BS335" i="2"/>
  <c r="BE335" i="2"/>
  <c r="AH335" i="2"/>
  <c r="P335" i="2"/>
  <c r="B335" i="2"/>
  <c r="BV334" i="2"/>
  <c r="BG334" i="2"/>
  <c r="AJ334" i="2"/>
  <c r="U334" i="2"/>
  <c r="D334" i="2"/>
  <c r="BX333" i="2"/>
  <c r="BJ333" i="2"/>
  <c r="AL333" i="2"/>
  <c r="W333" i="2"/>
  <c r="F333" i="2"/>
  <c r="BR332" i="2"/>
  <c r="BD332" i="2"/>
  <c r="AG332" i="2"/>
  <c r="N332" i="2"/>
  <c r="BY331" i="2"/>
  <c r="BK331" i="2"/>
  <c r="AR331" i="2"/>
  <c r="Z331" i="2"/>
  <c r="I331" i="2"/>
  <c r="BW330" i="2"/>
  <c r="BH330" i="2"/>
  <c r="AL330" i="2"/>
  <c r="Y330" i="2"/>
  <c r="H330" i="2"/>
  <c r="BT329" i="2"/>
  <c r="BF329" i="2"/>
  <c r="AJ329" i="2"/>
  <c r="W329" i="2"/>
  <c r="F329" i="2"/>
  <c r="BZ328" i="2"/>
  <c r="BL328" i="2"/>
  <c r="AX328" i="2"/>
  <c r="AA328" i="2"/>
  <c r="J328" i="2"/>
  <c r="CP327" i="2"/>
  <c r="BQ327" i="2"/>
  <c r="BB327" i="2"/>
  <c r="AF327" i="2"/>
  <c r="P327" i="2"/>
  <c r="B327" i="2"/>
  <c r="BM326" i="2"/>
  <c r="AY326" i="2"/>
  <c r="AB326" i="2"/>
  <c r="K326" i="2"/>
  <c r="BX325" i="2"/>
  <c r="BJ325" i="2"/>
  <c r="AL325" i="2"/>
  <c r="Y325" i="2"/>
  <c r="H325" i="2"/>
  <c r="BT324" i="2"/>
  <c r="BF324" i="2"/>
  <c r="AI324" i="2"/>
  <c r="V324" i="2"/>
  <c r="E324" i="2"/>
  <c r="BZ323" i="2"/>
  <c r="BL323" i="2"/>
  <c r="AX323" i="2"/>
  <c r="Y323" i="2"/>
  <c r="F323" i="2"/>
  <c r="BZ322" i="2"/>
  <c r="BL322" i="2"/>
  <c r="AX322" i="2"/>
  <c r="Y322" i="2"/>
  <c r="F322" i="2"/>
  <c r="BZ321" i="2"/>
  <c r="BL321" i="2"/>
  <c r="AX321" i="2"/>
  <c r="Y321" i="2"/>
  <c r="H321" i="2"/>
  <c r="CN320" i="2"/>
  <c r="BN320" i="2"/>
  <c r="AZ320" i="2"/>
  <c r="AA320" i="2"/>
  <c r="I320" i="2"/>
  <c r="CO319" i="2"/>
  <c r="BS319" i="2"/>
  <c r="BE319" i="2"/>
  <c r="AH319" i="2"/>
  <c r="T319" i="2"/>
  <c r="BX318" i="2"/>
  <c r="BJ318" i="2"/>
  <c r="AL318" i="2"/>
  <c r="W318" i="2"/>
  <c r="E318" i="2"/>
  <c r="BX317" i="2"/>
  <c r="BJ317" i="2"/>
  <c r="AL317" i="2"/>
  <c r="W317" i="2"/>
  <c r="E317" i="2"/>
  <c r="BZ316" i="2"/>
  <c r="BL316" i="2"/>
  <c r="AX316" i="2"/>
  <c r="Y316" i="2"/>
  <c r="F316" i="2"/>
  <c r="BR315" i="2"/>
  <c r="BD315" i="2"/>
  <c r="AP315" i="2"/>
  <c r="Y315" i="2"/>
  <c r="D315" i="2"/>
  <c r="BS314" i="2"/>
  <c r="BE314" i="2"/>
  <c r="AH314" i="2"/>
  <c r="R314" i="2"/>
  <c r="B314" i="2"/>
  <c r="BM313" i="2"/>
  <c r="AY313" i="2"/>
  <c r="Z313" i="2"/>
  <c r="AA460" i="2"/>
  <c r="BF443" i="2"/>
  <c r="AF426" i="2"/>
  <c r="BE412" i="2"/>
  <c r="W408" i="2"/>
  <c r="W405" i="2"/>
  <c r="BH402" i="2"/>
  <c r="G400" i="2"/>
  <c r="BR397" i="2"/>
  <c r="AJ395" i="2"/>
  <c r="E393" i="2"/>
  <c r="BQ390" i="2"/>
  <c r="AA388" i="2"/>
  <c r="AY385" i="2"/>
  <c r="BE382" i="2"/>
  <c r="BP379" i="2"/>
  <c r="BS376" i="2"/>
  <c r="BW373" i="2"/>
  <c r="BZ370" i="2"/>
  <c r="D368" i="2"/>
  <c r="Z366" i="2"/>
  <c r="AG365" i="2"/>
  <c r="BH364" i="2"/>
  <c r="H364" i="2"/>
  <c r="BL363" i="2"/>
  <c r="AG363" i="2"/>
  <c r="B363" i="2"/>
  <c r="BE362" i="2"/>
  <c r="Z362" i="2"/>
  <c r="BY361" i="2"/>
  <c r="BH361" i="2"/>
  <c r="AH361" i="2"/>
  <c r="F361" i="2"/>
  <c r="BP360" i="2"/>
  <c r="AX360" i="2"/>
  <c r="W360" i="2"/>
  <c r="BW359" i="2"/>
  <c r="BG359" i="2"/>
  <c r="AI359" i="2"/>
  <c r="H359" i="2"/>
  <c r="BS358" i="2"/>
  <c r="BD358" i="2"/>
  <c r="AF358" i="2"/>
  <c r="E358" i="2"/>
  <c r="BP357" i="2"/>
  <c r="BA357" i="2"/>
  <c r="AB357" i="2"/>
  <c r="E357" i="2"/>
  <c r="BQ356" i="2"/>
  <c r="BB356" i="2"/>
  <c r="AF356" i="2"/>
  <c r="F356" i="2"/>
  <c r="BR355" i="2"/>
  <c r="BD355" i="2"/>
  <c r="AG355" i="2"/>
  <c r="G355" i="2"/>
  <c r="BS354" i="2"/>
  <c r="BE354" i="2"/>
  <c r="AH354" i="2"/>
  <c r="H354" i="2"/>
  <c r="BT353" i="2"/>
  <c r="BF353" i="2"/>
  <c r="AI353" i="2"/>
  <c r="N353" i="2"/>
  <c r="BV352" i="2"/>
  <c r="BG352" i="2"/>
  <c r="AJ352" i="2"/>
  <c r="U352" i="2"/>
  <c r="BW351" i="2"/>
  <c r="BH351" i="2"/>
  <c r="AK351" i="2"/>
  <c r="V351" i="2"/>
  <c r="BX350" i="2"/>
  <c r="BJ350" i="2"/>
  <c r="AL350" i="2"/>
  <c r="W350" i="2"/>
  <c r="BY349" i="2"/>
  <c r="BK349" i="2"/>
  <c r="AR349" i="2"/>
  <c r="X349" i="2"/>
  <c r="BZ348" i="2"/>
  <c r="BL348" i="2"/>
  <c r="AX348" i="2"/>
  <c r="W348" i="2"/>
  <c r="BY347" i="2"/>
  <c r="BK347" i="2"/>
  <c r="AR347" i="2"/>
  <c r="V347" i="2"/>
  <c r="BX346" i="2"/>
  <c r="BJ346" i="2"/>
  <c r="AL346" i="2"/>
  <c r="W346" i="2"/>
  <c r="BY345" i="2"/>
  <c r="BK345" i="2"/>
  <c r="AR345" i="2"/>
  <c r="X345" i="2"/>
  <c r="H345" i="2"/>
  <c r="BT344" i="2"/>
  <c r="BF344" i="2"/>
  <c r="AI344" i="2"/>
  <c r="T344" i="2"/>
  <c r="C344" i="2"/>
  <c r="BW343" i="2"/>
  <c r="BH343" i="2"/>
  <c r="AK343" i="2"/>
  <c r="V343" i="2"/>
  <c r="C343" i="2"/>
  <c r="BW342" i="2"/>
  <c r="BH342" i="2"/>
  <c r="AK342" i="2"/>
  <c r="V342" i="2"/>
  <c r="C342" i="2"/>
  <c r="BW341" i="2"/>
  <c r="BH341" i="2"/>
  <c r="AK341" i="2"/>
  <c r="V341" i="2"/>
  <c r="C341" i="2"/>
  <c r="BW340" i="2"/>
  <c r="BH340" i="2"/>
  <c r="AK340" i="2"/>
  <c r="V340" i="2"/>
  <c r="E340" i="2"/>
  <c r="BY339" i="2"/>
  <c r="BK339" i="2"/>
  <c r="AR339" i="2"/>
  <c r="X339" i="2"/>
  <c r="G339" i="2"/>
  <c r="CM338" i="2"/>
  <c r="BM338" i="2"/>
  <c r="AY338" i="2"/>
  <c r="Z338" i="2"/>
  <c r="G338" i="2"/>
  <c r="CM337" i="2"/>
  <c r="BM337" i="2"/>
  <c r="AY337" i="2"/>
  <c r="Z337" i="2"/>
  <c r="I337" i="2"/>
  <c r="CO336" i="2"/>
  <c r="BP336" i="2"/>
  <c r="BA336" i="2"/>
  <c r="AB336" i="2"/>
  <c r="K336" i="2"/>
  <c r="CQ335" i="2"/>
  <c r="BR335" i="2"/>
  <c r="BD335" i="2"/>
  <c r="AG335" i="2"/>
  <c r="N335" i="2"/>
  <c r="CS334" i="2"/>
  <c r="BT334" i="2"/>
  <c r="BF334" i="2"/>
  <c r="AI334" i="2"/>
  <c r="T334" i="2"/>
  <c r="C334" i="2"/>
  <c r="BW333" i="2"/>
  <c r="BH333" i="2"/>
  <c r="AK333" i="2"/>
  <c r="V333" i="2"/>
  <c r="E333" i="2"/>
  <c r="BQ332" i="2"/>
  <c r="BB332" i="2"/>
  <c r="AF332" i="2"/>
  <c r="L332" i="2"/>
  <c r="BX331" i="2"/>
  <c r="BJ331" i="2"/>
  <c r="AL331" i="2"/>
  <c r="Y331" i="2"/>
  <c r="H331" i="2"/>
  <c r="BV330" i="2"/>
  <c r="BG330" i="2"/>
  <c r="AK330" i="2"/>
  <c r="X330" i="2"/>
  <c r="G330" i="2"/>
  <c r="BS329" i="2"/>
  <c r="BE329" i="2"/>
  <c r="AI329" i="2"/>
  <c r="V329" i="2"/>
  <c r="E329" i="2"/>
  <c r="BY328" i="2"/>
  <c r="BK328" i="2"/>
  <c r="AR328" i="2"/>
  <c r="Z328" i="2"/>
  <c r="I328" i="2"/>
  <c r="CO327" i="2"/>
  <c r="BP327" i="2"/>
  <c r="BA327" i="2"/>
  <c r="AE327" i="2"/>
  <c r="N327" i="2"/>
  <c r="BZ326" i="2"/>
  <c r="BL326" i="2"/>
  <c r="AX326" i="2"/>
  <c r="AA326" i="2"/>
  <c r="J326" i="2"/>
  <c r="BW325" i="2"/>
  <c r="BH325" i="2"/>
  <c r="AK325" i="2"/>
  <c r="X325" i="2"/>
  <c r="G325" i="2"/>
  <c r="BS324" i="2"/>
  <c r="BE324" i="2"/>
  <c r="AH324" i="2"/>
  <c r="U324" i="2"/>
  <c r="D324" i="2"/>
  <c r="BY323" i="2"/>
  <c r="BK323" i="2"/>
  <c r="AR323" i="2"/>
  <c r="X323" i="2"/>
  <c r="E323" i="2"/>
  <c r="BY322" i="2"/>
  <c r="BK322" i="2"/>
  <c r="AR322" i="2"/>
  <c r="X322" i="2"/>
  <c r="E322" i="2"/>
  <c r="BY321" i="2"/>
  <c r="BK321" i="2"/>
  <c r="AR321" i="2"/>
  <c r="X321" i="2"/>
  <c r="G321" i="2"/>
  <c r="CM320" i="2"/>
  <c r="BM320" i="2"/>
  <c r="AY320" i="2"/>
  <c r="Z320" i="2"/>
  <c r="H320" i="2"/>
  <c r="CN319" i="2"/>
  <c r="BR319" i="2"/>
  <c r="AU458" i="2"/>
  <c r="K442" i="2"/>
  <c r="J425" i="2"/>
  <c r="C412" i="2"/>
  <c r="BX407" i="2"/>
  <c r="D405" i="2"/>
  <c r="AK402" i="2"/>
  <c r="CM399" i="2"/>
  <c r="BD397" i="2"/>
  <c r="U395" i="2"/>
  <c r="BZ392" i="2"/>
  <c r="BB390" i="2"/>
  <c r="D388" i="2"/>
  <c r="Z385" i="2"/>
  <c r="AH382" i="2"/>
  <c r="BA379" i="2"/>
  <c r="BE376" i="2"/>
  <c r="BH373" i="2"/>
  <c r="BL370" i="2"/>
  <c r="BP367" i="2"/>
  <c r="V366" i="2"/>
  <c r="AA365" i="2"/>
  <c r="BE364" i="2"/>
  <c r="F364" i="2"/>
  <c r="BJ363" i="2"/>
  <c r="AF363" i="2"/>
  <c r="BY362" i="2"/>
  <c r="BD362" i="2"/>
  <c r="X362" i="2"/>
  <c r="BX361" i="2"/>
  <c r="BF361" i="2"/>
  <c r="AG361" i="2"/>
  <c r="E361" i="2"/>
  <c r="BM360" i="2"/>
  <c r="AR360" i="2"/>
  <c r="U360" i="2"/>
  <c r="BV359" i="2"/>
  <c r="BF359" i="2"/>
  <c r="AH359" i="2"/>
  <c r="G359" i="2"/>
  <c r="BR358" i="2"/>
  <c r="BB358" i="2"/>
  <c r="AB358" i="2"/>
  <c r="D358" i="2"/>
  <c r="BN357" i="2"/>
  <c r="AZ357" i="2"/>
  <c r="AA357" i="2"/>
  <c r="D357" i="2"/>
  <c r="BP356" i="2"/>
  <c r="BA356" i="2"/>
  <c r="AB356" i="2"/>
  <c r="E356" i="2"/>
  <c r="BQ355" i="2"/>
  <c r="BB355" i="2"/>
  <c r="AF355" i="2"/>
  <c r="F355" i="2"/>
  <c r="BR354" i="2"/>
  <c r="BD354" i="2"/>
  <c r="AG354" i="2"/>
  <c r="G354" i="2"/>
  <c r="BS353" i="2"/>
  <c r="BE353" i="2"/>
  <c r="AH353" i="2"/>
  <c r="H353" i="2"/>
  <c r="BT352" i="2"/>
  <c r="BF352" i="2"/>
  <c r="AI352" i="2"/>
  <c r="N352" i="2"/>
  <c r="BV351" i="2"/>
  <c r="BG351" i="2"/>
  <c r="AJ351" i="2"/>
  <c r="U351" i="2"/>
  <c r="BW350" i="2"/>
  <c r="BH350" i="2"/>
  <c r="AK350" i="2"/>
  <c r="V350" i="2"/>
  <c r="BX349" i="2"/>
  <c r="BJ349" i="2"/>
  <c r="AL349" i="2"/>
  <c r="W349" i="2"/>
  <c r="BY348" i="2"/>
  <c r="BK348" i="2"/>
  <c r="AR348" i="2"/>
  <c r="V348" i="2"/>
  <c r="BX347" i="2"/>
  <c r="BJ347" i="2"/>
  <c r="AL347" i="2"/>
  <c r="U347" i="2"/>
  <c r="BW346" i="2"/>
  <c r="BH346" i="2"/>
  <c r="AK346" i="2"/>
  <c r="V346" i="2"/>
  <c r="BX345" i="2"/>
  <c r="BJ345" i="2"/>
  <c r="AL345" i="2"/>
  <c r="W345" i="2"/>
  <c r="G345" i="2"/>
  <c r="BS344" i="2"/>
  <c r="BE344" i="2"/>
  <c r="AH344" i="2"/>
  <c r="P344" i="2"/>
  <c r="B344" i="2"/>
  <c r="BV343" i="2"/>
  <c r="BG343" i="2"/>
  <c r="AJ343" i="2"/>
  <c r="U343" i="2"/>
  <c r="B343" i="2"/>
  <c r="BV342" i="2"/>
  <c r="BG342" i="2"/>
  <c r="AJ342" i="2"/>
  <c r="U342" i="2"/>
  <c r="B342" i="2"/>
  <c r="BV341" i="2"/>
  <c r="BG341" i="2"/>
  <c r="AJ341" i="2"/>
  <c r="U341" i="2"/>
  <c r="B341" i="2"/>
  <c r="BV340" i="2"/>
  <c r="BG340" i="2"/>
  <c r="AJ340" i="2"/>
  <c r="U340" i="2"/>
  <c r="D340" i="2"/>
  <c r="BX339" i="2"/>
  <c r="BJ339" i="2"/>
  <c r="AL339" i="2"/>
  <c r="W339" i="2"/>
  <c r="F339" i="2"/>
  <c r="BZ338" i="2"/>
  <c r="BL338" i="2"/>
  <c r="AX338" i="2"/>
  <c r="Y338" i="2"/>
  <c r="F338" i="2"/>
  <c r="BZ337" i="2"/>
  <c r="BL337" i="2"/>
  <c r="AX337" i="2"/>
  <c r="Y337" i="2"/>
  <c r="H337" i="2"/>
  <c r="CN336" i="2"/>
  <c r="BN336" i="2"/>
  <c r="AZ336" i="2"/>
  <c r="AA336" i="2"/>
  <c r="J336" i="2"/>
  <c r="CP335" i="2"/>
  <c r="BQ335" i="2"/>
  <c r="BB335" i="2"/>
  <c r="AF335" i="2"/>
  <c r="L335" i="2"/>
  <c r="CR334" i="2"/>
  <c r="BS334" i="2"/>
  <c r="BE334" i="2"/>
  <c r="AH334" i="2"/>
  <c r="P334" i="2"/>
  <c r="B334" i="2"/>
  <c r="BV333" i="2"/>
  <c r="BG333" i="2"/>
  <c r="AJ333" i="2"/>
  <c r="U333" i="2"/>
  <c r="D333" i="2"/>
  <c r="BP332" i="2"/>
  <c r="BA332" i="2"/>
  <c r="AC332" i="2"/>
  <c r="K332" i="2"/>
  <c r="BW331" i="2"/>
  <c r="BH331" i="2"/>
  <c r="AK331" i="2"/>
  <c r="X331" i="2"/>
  <c r="G331" i="2"/>
  <c r="BT330" i="2"/>
  <c r="BF330" i="2"/>
  <c r="AJ330" i="2"/>
  <c r="W330" i="2"/>
  <c r="F330" i="2"/>
  <c r="BR329" i="2"/>
  <c r="BD329" i="2"/>
  <c r="AH329" i="2"/>
  <c r="U329" i="2"/>
  <c r="D329" i="2"/>
  <c r="BX328" i="2"/>
  <c r="BJ328" i="2"/>
  <c r="AL328" i="2"/>
  <c r="Y328" i="2"/>
  <c r="H328" i="2"/>
  <c r="CN327" i="2"/>
  <c r="BN327" i="2"/>
  <c r="AZ327" i="2"/>
  <c r="AC327" i="2"/>
  <c r="L327" i="2"/>
  <c r="BY326" i="2"/>
  <c r="BK326" i="2"/>
  <c r="AR326" i="2"/>
  <c r="Z326" i="2"/>
  <c r="I326" i="2"/>
  <c r="BV325" i="2"/>
  <c r="BG325" i="2"/>
  <c r="AJ325" i="2"/>
  <c r="W325" i="2"/>
  <c r="F325" i="2"/>
  <c r="BR324" i="2"/>
  <c r="BD324" i="2"/>
  <c r="AG324" i="2"/>
  <c r="T324" i="2"/>
  <c r="C324" i="2"/>
  <c r="BX323" i="2"/>
  <c r="BJ323" i="2"/>
  <c r="AL323" i="2"/>
  <c r="W323" i="2"/>
  <c r="D323" i="2"/>
  <c r="BX322" i="2"/>
  <c r="BJ322" i="2"/>
  <c r="AL322" i="2"/>
  <c r="W322" i="2"/>
  <c r="D322" i="2"/>
  <c r="BX321" i="2"/>
  <c r="BJ321" i="2"/>
  <c r="AL321" i="2"/>
  <c r="W321" i="2"/>
  <c r="F321" i="2"/>
  <c r="BZ320" i="2"/>
  <c r="BL320" i="2"/>
  <c r="AX320" i="2"/>
  <c r="Y320" i="2"/>
  <c r="G320" i="2"/>
  <c r="CM319" i="2"/>
  <c r="BQ319" i="2"/>
  <c r="BB319" i="2"/>
  <c r="AF319" i="2"/>
  <c r="N319" i="2"/>
  <c r="BV318" i="2"/>
  <c r="BG318" i="2"/>
  <c r="AJ318" i="2"/>
  <c r="U318" i="2"/>
  <c r="C318" i="2"/>
  <c r="BV317" i="2"/>
  <c r="BG317" i="2"/>
  <c r="AJ317" i="2"/>
  <c r="U317" i="2"/>
  <c r="C317" i="2"/>
  <c r="BX316" i="2"/>
  <c r="BJ316" i="2"/>
  <c r="AL316" i="2"/>
  <c r="W316" i="2"/>
  <c r="D316" i="2"/>
  <c r="BP315" i="2"/>
  <c r="BA315" i="2"/>
  <c r="AL315" i="2"/>
  <c r="W315" i="2"/>
  <c r="B315" i="2"/>
  <c r="BQ314" i="2"/>
  <c r="BB314" i="2"/>
  <c r="AF314" i="2"/>
  <c r="N314" i="2"/>
  <c r="BY313" i="2"/>
  <c r="BK313" i="2"/>
  <c r="AR313" i="2"/>
  <c r="X313" i="2"/>
  <c r="D457" i="2"/>
  <c r="BP440" i="2"/>
  <c r="BH423" i="2"/>
  <c r="BE411" i="2"/>
  <c r="BH407" i="2"/>
  <c r="BP404" i="2"/>
  <c r="V402" i="2"/>
  <c r="BM399" i="2"/>
  <c r="AG397" i="2"/>
  <c r="C395" i="2"/>
  <c r="BL392" i="2"/>
  <c r="AF390" i="2"/>
  <c r="BP387" i="2"/>
  <c r="E385" i="2"/>
  <c r="P382" i="2"/>
  <c r="AB379" i="2"/>
  <c r="AH376" i="2"/>
  <c r="AK373" i="2"/>
  <c r="AX370" i="2"/>
  <c r="BA367" i="2"/>
  <c r="F366" i="2"/>
  <c r="Z365" i="2"/>
  <c r="BA364" i="2"/>
  <c r="E364" i="2"/>
  <c r="BG363" i="2"/>
  <c r="AB363" i="2"/>
  <c r="BW362" i="2"/>
  <c r="BB362" i="2"/>
  <c r="W362" i="2"/>
  <c r="BW361" i="2"/>
  <c r="BE361" i="2"/>
  <c r="AF361" i="2"/>
  <c r="D361" i="2"/>
  <c r="BL360" i="2"/>
  <c r="AL360" i="2"/>
  <c r="N360" i="2"/>
  <c r="BT359" i="2"/>
  <c r="BE359" i="2"/>
  <c r="AG359" i="2"/>
  <c r="F359" i="2"/>
  <c r="BQ358" i="2"/>
  <c r="BA358" i="2"/>
  <c r="AA358" i="2"/>
  <c r="C358" i="2"/>
  <c r="BM357" i="2"/>
  <c r="AY357" i="2"/>
  <c r="Z357" i="2"/>
  <c r="C357" i="2"/>
  <c r="BN356" i="2"/>
  <c r="AZ356" i="2"/>
  <c r="AA356" i="2"/>
  <c r="D356" i="2"/>
  <c r="BP355" i="2"/>
  <c r="BA355" i="2"/>
  <c r="AB355" i="2"/>
  <c r="E355" i="2"/>
  <c r="BQ354" i="2"/>
  <c r="BB354" i="2"/>
  <c r="AF354" i="2"/>
  <c r="F354" i="2"/>
  <c r="BR353" i="2"/>
  <c r="BD353" i="2"/>
  <c r="AG353" i="2"/>
  <c r="G353" i="2"/>
  <c r="BS352" i="2"/>
  <c r="BE352" i="2"/>
  <c r="AH352" i="2"/>
  <c r="H352" i="2"/>
  <c r="BT351" i="2"/>
  <c r="BF351" i="2"/>
  <c r="AI351" i="2"/>
  <c r="N351" i="2"/>
  <c r="BV350" i="2"/>
  <c r="BG350" i="2"/>
  <c r="AJ350" i="2"/>
  <c r="U350" i="2"/>
  <c r="BW349" i="2"/>
  <c r="BH349" i="2"/>
  <c r="AK349" i="2"/>
  <c r="V349" i="2"/>
  <c r="BX348" i="2"/>
  <c r="BJ348" i="2"/>
  <c r="AL348" i="2"/>
  <c r="U348" i="2"/>
  <c r="BW347" i="2"/>
  <c r="BH347" i="2"/>
  <c r="AK347" i="2"/>
  <c r="N347" i="2"/>
  <c r="BV346" i="2"/>
  <c r="BG346" i="2"/>
  <c r="AJ346" i="2"/>
  <c r="U346" i="2"/>
  <c r="BW345" i="2"/>
  <c r="BH345" i="2"/>
  <c r="AK345" i="2"/>
  <c r="V345" i="2"/>
  <c r="F345" i="2"/>
  <c r="BR344" i="2"/>
  <c r="BD344" i="2"/>
  <c r="AG344" i="2"/>
  <c r="N344" i="2"/>
  <c r="CS343" i="2"/>
  <c r="BT343" i="2"/>
  <c r="BF343" i="2"/>
  <c r="AI343" i="2"/>
  <c r="P343" i="2"/>
  <c r="CS342" i="2"/>
  <c r="BT342" i="2"/>
  <c r="BF342" i="2"/>
  <c r="AI342" i="2"/>
  <c r="P342" i="2"/>
  <c r="CS341" i="2"/>
  <c r="BT341" i="2"/>
  <c r="BF341" i="2"/>
  <c r="AI341" i="2"/>
  <c r="P341" i="2"/>
  <c r="CS340" i="2"/>
  <c r="BT340" i="2"/>
  <c r="BF340" i="2"/>
  <c r="AI340" i="2"/>
  <c r="T340" i="2"/>
  <c r="C340" i="2"/>
  <c r="BW339" i="2"/>
  <c r="BH339" i="2"/>
  <c r="AK339" i="2"/>
  <c r="V339" i="2"/>
  <c r="E339" i="2"/>
  <c r="BY338" i="2"/>
  <c r="BK338" i="2"/>
  <c r="AR338" i="2"/>
  <c r="X338" i="2"/>
  <c r="E338" i="2"/>
  <c r="BY337" i="2"/>
  <c r="BK337" i="2"/>
  <c r="AR337" i="2"/>
  <c r="X337" i="2"/>
  <c r="G337" i="2"/>
  <c r="CM336" i="2"/>
  <c r="BM336" i="2"/>
  <c r="AY336" i="2"/>
  <c r="Z336" i="2"/>
  <c r="I336" i="2"/>
  <c r="CO335" i="2"/>
  <c r="BP335" i="2"/>
  <c r="BA335" i="2"/>
  <c r="AB335" i="2"/>
  <c r="K335" i="2"/>
  <c r="CQ334" i="2"/>
  <c r="BR334" i="2"/>
  <c r="BD334" i="2"/>
  <c r="AG334" i="2"/>
  <c r="N334" i="2"/>
  <c r="CS333" i="2"/>
  <c r="BT333" i="2"/>
  <c r="BF333" i="2"/>
  <c r="AI333" i="2"/>
  <c r="R333" i="2"/>
  <c r="C333" i="2"/>
  <c r="BN332" i="2"/>
  <c r="AZ332" i="2"/>
  <c r="AB332" i="2"/>
  <c r="J332" i="2"/>
  <c r="BV331" i="2"/>
  <c r="BG331" i="2"/>
  <c r="AJ331" i="2"/>
  <c r="W331" i="2"/>
  <c r="F331" i="2"/>
  <c r="BS330" i="2"/>
  <c r="BE330" i="2"/>
  <c r="AI330" i="2"/>
  <c r="V330" i="2"/>
  <c r="E330" i="2"/>
  <c r="BQ329" i="2"/>
  <c r="BC329" i="2"/>
  <c r="AG329" i="2"/>
  <c r="T329" i="2"/>
  <c r="C329" i="2"/>
  <c r="BW328" i="2"/>
  <c r="BH328" i="2"/>
  <c r="AK328" i="2"/>
  <c r="X328" i="2"/>
  <c r="G328" i="2"/>
  <c r="CM327" i="2"/>
  <c r="BM327" i="2"/>
  <c r="AY327" i="2"/>
  <c r="AB327" i="2"/>
  <c r="K327" i="2"/>
  <c r="BX326" i="2"/>
  <c r="BJ326" i="2"/>
  <c r="AL326" i="2"/>
  <c r="Y326" i="2"/>
  <c r="H326" i="2"/>
  <c r="BT325" i="2"/>
  <c r="BF325" i="2"/>
  <c r="AI325" i="2"/>
  <c r="V325" i="2"/>
  <c r="E325" i="2"/>
  <c r="BQ324" i="2"/>
  <c r="BB324" i="2"/>
  <c r="AF324" i="2"/>
  <c r="P324" i="2"/>
  <c r="B324" i="2"/>
  <c r="BW323" i="2"/>
  <c r="BH323" i="2"/>
  <c r="AK323" i="2"/>
  <c r="V323" i="2"/>
  <c r="C323" i="2"/>
  <c r="BW322" i="2"/>
  <c r="BH322" i="2"/>
  <c r="AK322" i="2"/>
  <c r="V322" i="2"/>
  <c r="C322" i="2"/>
  <c r="BW321" i="2"/>
  <c r="BH321" i="2"/>
  <c r="AK321" i="2"/>
  <c r="V321" i="2"/>
  <c r="E321" i="2"/>
  <c r="BY320" i="2"/>
  <c r="BK320" i="2"/>
  <c r="AR320" i="2"/>
  <c r="X320" i="2"/>
  <c r="F320" i="2"/>
  <c r="CL319" i="2"/>
  <c r="BP319" i="2"/>
  <c r="BA319" i="2"/>
  <c r="AC319" i="2"/>
  <c r="H319" i="2"/>
  <c r="BT318" i="2"/>
  <c r="BF318" i="2"/>
  <c r="AI318" i="2"/>
  <c r="Q318" i="2"/>
  <c r="B318" i="2"/>
  <c r="BT317" i="2"/>
  <c r="BF317" i="2"/>
  <c r="AI317" i="2"/>
  <c r="Q317" i="2"/>
  <c r="B317" i="2"/>
  <c r="BW316" i="2"/>
  <c r="BH316" i="2"/>
  <c r="AK316" i="2"/>
  <c r="V316" i="2"/>
  <c r="C316" i="2"/>
  <c r="BN315" i="2"/>
  <c r="AZ315" i="2"/>
  <c r="AK315" i="2"/>
  <c r="V315" i="2"/>
  <c r="CL314" i="2"/>
  <c r="BP314" i="2"/>
  <c r="BA314" i="2"/>
  <c r="AB314" i="2"/>
  <c r="L314" i="2"/>
  <c r="BX313" i="2"/>
  <c r="BJ313" i="2"/>
  <c r="AL313" i="2"/>
  <c r="W313" i="2"/>
  <c r="D313" i="2"/>
  <c r="BP312" i="2"/>
  <c r="BA312" i="2"/>
  <c r="Z312" i="2"/>
  <c r="C456" i="2"/>
  <c r="Y439" i="2"/>
  <c r="AV422" i="2"/>
  <c r="B411" i="2"/>
  <c r="AJ407" i="2"/>
  <c r="BA404" i="2"/>
  <c r="BZ401" i="2"/>
  <c r="AY399" i="2"/>
  <c r="P397" i="2"/>
  <c r="BX394" i="2"/>
  <c r="AX392" i="2"/>
  <c r="L390" i="2"/>
  <c r="BA387" i="2"/>
  <c r="BQ384" i="2"/>
  <c r="B382" i="2"/>
  <c r="E379" i="2"/>
  <c r="H376" i="2"/>
  <c r="V373" i="2"/>
  <c r="Y370" i="2"/>
  <c r="AB367" i="2"/>
  <c r="C366" i="2"/>
  <c r="W365" i="2"/>
  <c r="AZ364" i="2"/>
  <c r="D364" i="2"/>
  <c r="BF363" i="2"/>
  <c r="AA363" i="2"/>
  <c r="BV362" i="2"/>
  <c r="BA362" i="2"/>
  <c r="V362" i="2"/>
  <c r="BT361" i="2"/>
  <c r="BD361" i="2"/>
  <c r="AB361" i="2"/>
  <c r="B361" i="2"/>
  <c r="BK360" i="2"/>
  <c r="AJ360" i="2"/>
  <c r="H360" i="2"/>
  <c r="BS359" i="2"/>
  <c r="BD359" i="2"/>
  <c r="AF359" i="2"/>
  <c r="E359" i="2"/>
  <c r="BP358" i="2"/>
  <c r="AZ358" i="2"/>
  <c r="Z358" i="2"/>
  <c r="B358" i="2"/>
  <c r="BL357" i="2"/>
  <c r="AX357" i="2"/>
  <c r="Y357" i="2"/>
  <c r="B357" i="2"/>
  <c r="BM356" i="2"/>
  <c r="AY356" i="2"/>
  <c r="Z356" i="2"/>
  <c r="C356" i="2"/>
  <c r="BN355" i="2"/>
  <c r="AZ355" i="2"/>
  <c r="AA355" i="2"/>
  <c r="D355" i="2"/>
  <c r="BP354" i="2"/>
  <c r="BA354" i="2"/>
  <c r="AB354" i="2"/>
  <c r="E354" i="2"/>
  <c r="BQ353" i="2"/>
  <c r="BB353" i="2"/>
  <c r="AF353" i="2"/>
  <c r="F353" i="2"/>
  <c r="BR352" i="2"/>
  <c r="BD352" i="2"/>
  <c r="AG352" i="2"/>
  <c r="G352" i="2"/>
  <c r="BS351" i="2"/>
  <c r="BE351" i="2"/>
  <c r="AH351" i="2"/>
  <c r="H351" i="2"/>
  <c r="BT350" i="2"/>
  <c r="BF350" i="2"/>
  <c r="AI350" i="2"/>
  <c r="N350" i="2"/>
  <c r="BV349" i="2"/>
  <c r="BG349" i="2"/>
  <c r="AJ349" i="2"/>
  <c r="U349" i="2"/>
  <c r="BW348" i="2"/>
  <c r="BH348" i="2"/>
  <c r="AK348" i="2"/>
  <c r="N348" i="2"/>
  <c r="BV347" i="2"/>
  <c r="BG347" i="2"/>
  <c r="AJ347" i="2"/>
  <c r="H347" i="2"/>
  <c r="BT346" i="2"/>
  <c r="BF346" i="2"/>
  <c r="AI346" i="2"/>
  <c r="N346" i="2"/>
  <c r="BV345" i="2"/>
  <c r="BG345" i="2"/>
  <c r="AJ345" i="2"/>
  <c r="U345" i="2"/>
  <c r="E345" i="2"/>
  <c r="BQ344" i="2"/>
  <c r="BB344" i="2"/>
  <c r="AF344" i="2"/>
  <c r="L344" i="2"/>
  <c r="CR343" i="2"/>
  <c r="BS343" i="2"/>
  <c r="BE343" i="2"/>
  <c r="AH343" i="2"/>
  <c r="N343" i="2"/>
  <c r="CR342" i="2"/>
  <c r="BS342" i="2"/>
  <c r="BE342" i="2"/>
  <c r="AH342" i="2"/>
  <c r="N342" i="2"/>
  <c r="CR341" i="2"/>
  <c r="BS341" i="2"/>
  <c r="BE341" i="2"/>
  <c r="AH341" i="2"/>
  <c r="N341" i="2"/>
  <c r="CR340" i="2"/>
  <c r="BS340" i="2"/>
  <c r="BE340" i="2"/>
  <c r="AH340" i="2"/>
  <c r="P340" i="2"/>
  <c r="B340" i="2"/>
  <c r="BV339" i="2"/>
  <c r="BG339" i="2"/>
  <c r="AJ339" i="2"/>
  <c r="U339" i="2"/>
  <c r="D339" i="2"/>
  <c r="BX338" i="2"/>
  <c r="BJ338" i="2"/>
  <c r="AL338" i="2"/>
  <c r="W338" i="2"/>
  <c r="D338" i="2"/>
  <c r="BX337" i="2"/>
  <c r="BJ337" i="2"/>
  <c r="AL337" i="2"/>
  <c r="W337" i="2"/>
  <c r="F337" i="2"/>
  <c r="BZ336" i="2"/>
  <c r="BL336" i="2"/>
  <c r="AX336" i="2"/>
  <c r="Y336" i="2"/>
  <c r="H336" i="2"/>
  <c r="CN335" i="2"/>
  <c r="BN335" i="2"/>
  <c r="AZ335" i="2"/>
  <c r="AA335" i="2"/>
  <c r="J335" i="2"/>
  <c r="CP334" i="2"/>
  <c r="BQ334" i="2"/>
  <c r="BB334" i="2"/>
  <c r="AF334" i="2"/>
  <c r="L334" i="2"/>
  <c r="CR333" i="2"/>
  <c r="BS333" i="2"/>
  <c r="BE333" i="2"/>
  <c r="AH333" i="2"/>
  <c r="P333" i="2"/>
  <c r="B333" i="2"/>
  <c r="BM332" i="2"/>
  <c r="AY332" i="2"/>
  <c r="AA332" i="2"/>
  <c r="H332" i="2"/>
  <c r="BT331" i="2"/>
  <c r="BF331" i="2"/>
  <c r="AI331" i="2"/>
  <c r="V331" i="2"/>
  <c r="E331" i="2"/>
  <c r="BR330" i="2"/>
  <c r="BD330" i="2"/>
  <c r="AH330" i="2"/>
  <c r="U330" i="2"/>
  <c r="D330" i="2"/>
  <c r="BP329" i="2"/>
  <c r="BB329" i="2"/>
  <c r="AF329" i="2"/>
  <c r="P329" i="2"/>
  <c r="B329" i="2"/>
  <c r="BV328" i="2"/>
  <c r="BG328" i="2"/>
  <c r="AJ328" i="2"/>
  <c r="W328" i="2"/>
  <c r="F328" i="2"/>
  <c r="BZ327" i="2"/>
  <c r="BL327" i="2"/>
  <c r="AX327" i="2"/>
  <c r="AA327" i="2"/>
  <c r="J327" i="2"/>
  <c r="BW326" i="2"/>
  <c r="BH326" i="2"/>
  <c r="AK326" i="2"/>
  <c r="X326" i="2"/>
  <c r="G326" i="2"/>
  <c r="BS325" i="2"/>
  <c r="BE325" i="2"/>
  <c r="AH325" i="2"/>
  <c r="U325" i="2"/>
  <c r="D325" i="2"/>
  <c r="BP324" i="2"/>
  <c r="BA324" i="2"/>
  <c r="AE324" i="2"/>
  <c r="N324" i="2"/>
  <c r="CI323" i="2"/>
  <c r="BV323" i="2"/>
  <c r="BG323" i="2"/>
  <c r="AJ323" i="2"/>
  <c r="U323" i="2"/>
  <c r="B323" i="2"/>
  <c r="BV322" i="2"/>
  <c r="BG322" i="2"/>
  <c r="AJ322" i="2"/>
  <c r="U322" i="2"/>
  <c r="B322" i="2"/>
  <c r="BV321" i="2"/>
  <c r="BG321" i="2"/>
  <c r="AJ321" i="2"/>
  <c r="U321" i="2"/>
  <c r="D321" i="2"/>
  <c r="BX320" i="2"/>
  <c r="BJ320" i="2"/>
  <c r="AL320" i="2"/>
  <c r="W320" i="2"/>
  <c r="E320" i="2"/>
  <c r="CK319" i="2"/>
  <c r="BN319" i="2"/>
  <c r="BT454" i="2"/>
  <c r="CJ437" i="2"/>
  <c r="U421" i="2"/>
  <c r="BF410" i="2"/>
  <c r="G407" i="2"/>
  <c r="AB404" i="2"/>
  <c r="BL401" i="2"/>
  <c r="Z399" i="2"/>
  <c r="CS396" i="2"/>
  <c r="BJ394" i="2"/>
  <c r="Y392" i="2"/>
  <c r="CQ389" i="2"/>
  <c r="AB387" i="2"/>
  <c r="BB384" i="2"/>
  <c r="BM381" i="2"/>
  <c r="BQ378" i="2"/>
  <c r="BT375" i="2"/>
  <c r="BX372" i="2"/>
  <c r="B370" i="2"/>
  <c r="E367" i="2"/>
  <c r="BX365" i="2"/>
  <c r="G365" i="2"/>
  <c r="AR364" i="2"/>
  <c r="BZ363" i="2"/>
  <c r="BD363" i="2"/>
  <c r="Y363" i="2"/>
  <c r="BS362" i="2"/>
  <c r="AY362" i="2"/>
  <c r="U362" i="2"/>
  <c r="BS361" i="2"/>
  <c r="BB361" i="2"/>
  <c r="AA361" i="2"/>
  <c r="BZ360" i="2"/>
  <c r="BJ360" i="2"/>
  <c r="AI360" i="2"/>
  <c r="G360" i="2"/>
  <c r="BR359" i="2"/>
  <c r="BB359" i="2"/>
  <c r="AB359" i="2"/>
  <c r="D359" i="2"/>
  <c r="BN358" i="2"/>
  <c r="AY358" i="2"/>
  <c r="Y358" i="2"/>
  <c r="BY357" i="2"/>
  <c r="BK357" i="2"/>
  <c r="AR357" i="2"/>
  <c r="X357" i="2"/>
  <c r="BZ356" i="2"/>
  <c r="BL356" i="2"/>
  <c r="AX356" i="2"/>
  <c r="Y356" i="2"/>
  <c r="B356" i="2"/>
  <c r="BM355" i="2"/>
  <c r="AY355" i="2"/>
  <c r="Z355" i="2"/>
  <c r="C355" i="2"/>
  <c r="BN354" i="2"/>
  <c r="AZ354" i="2"/>
  <c r="AA354" i="2"/>
  <c r="D354" i="2"/>
  <c r="BP353" i="2"/>
  <c r="BA353" i="2"/>
  <c r="AB353" i="2"/>
  <c r="E353" i="2"/>
  <c r="BQ352" i="2"/>
  <c r="BB352" i="2"/>
  <c r="AF352" i="2"/>
  <c r="F352" i="2"/>
  <c r="BR351" i="2"/>
  <c r="BD351" i="2"/>
  <c r="AG351" i="2"/>
  <c r="G351" i="2"/>
  <c r="BS350" i="2"/>
  <c r="BE350" i="2"/>
  <c r="AH350" i="2"/>
  <c r="H350" i="2"/>
  <c r="BT349" i="2"/>
  <c r="BF349" i="2"/>
  <c r="AI349" i="2"/>
  <c r="N349" i="2"/>
  <c r="BV348" i="2"/>
  <c r="BG348" i="2"/>
  <c r="AJ348" i="2"/>
  <c r="H348" i="2"/>
  <c r="BT347" i="2"/>
  <c r="BF347" i="2"/>
  <c r="AI347" i="2"/>
  <c r="G347" i="2"/>
  <c r="BS346" i="2"/>
  <c r="BE346" i="2"/>
  <c r="AH346" i="2"/>
  <c r="H346" i="2"/>
  <c r="BT345" i="2"/>
  <c r="BF345" i="2"/>
  <c r="AI345" i="2"/>
  <c r="T345" i="2"/>
  <c r="D345" i="2"/>
  <c r="BP344" i="2"/>
  <c r="BA344" i="2"/>
  <c r="AB344" i="2"/>
  <c r="K344" i="2"/>
  <c r="CQ343" i="2"/>
  <c r="BR343" i="2"/>
  <c r="BD343" i="2"/>
  <c r="AG343" i="2"/>
  <c r="L343" i="2"/>
  <c r="CQ342" i="2"/>
  <c r="BR342" i="2"/>
  <c r="BD342" i="2"/>
  <c r="AG342" i="2"/>
  <c r="L342" i="2"/>
  <c r="CQ341" i="2"/>
  <c r="BR341" i="2"/>
  <c r="BD341" i="2"/>
  <c r="AG341" i="2"/>
  <c r="L341" i="2"/>
  <c r="CQ340" i="2"/>
  <c r="BR340" i="2"/>
  <c r="BD340" i="2"/>
  <c r="AG340" i="2"/>
  <c r="N340" i="2"/>
  <c r="CS339" i="2"/>
  <c r="BT339" i="2"/>
  <c r="BF339" i="2"/>
  <c r="AI339" i="2"/>
  <c r="T339" i="2"/>
  <c r="C339" i="2"/>
  <c r="BW338" i="2"/>
  <c r="BH338" i="2"/>
  <c r="AK338" i="2"/>
  <c r="V338" i="2"/>
  <c r="C338" i="2"/>
  <c r="BW337" i="2"/>
  <c r="BH337" i="2"/>
  <c r="AK337" i="2"/>
  <c r="V337" i="2"/>
  <c r="E337" i="2"/>
  <c r="BY336" i="2"/>
  <c r="BK336" i="2"/>
  <c r="AR336" i="2"/>
  <c r="X336" i="2"/>
  <c r="G336" i="2"/>
  <c r="CM335" i="2"/>
  <c r="BM335" i="2"/>
  <c r="AY335" i="2"/>
  <c r="Z335" i="2"/>
  <c r="I335" i="2"/>
  <c r="CO334" i="2"/>
  <c r="BP334" i="2"/>
  <c r="BA334" i="2"/>
  <c r="AB334" i="2"/>
  <c r="K334" i="2"/>
  <c r="CQ333" i="2"/>
  <c r="BR333" i="2"/>
  <c r="BD333" i="2"/>
  <c r="AG333" i="2"/>
  <c r="N333" i="2"/>
  <c r="BZ332" i="2"/>
  <c r="BL332" i="2"/>
  <c r="AX332" i="2"/>
  <c r="Z332" i="2"/>
  <c r="G332" i="2"/>
  <c r="BS331" i="2"/>
  <c r="BE331" i="2"/>
  <c r="AH331" i="2"/>
  <c r="U331" i="2"/>
  <c r="D331" i="2"/>
  <c r="BQ330" i="2"/>
  <c r="BC330" i="2"/>
  <c r="AG330" i="2"/>
  <c r="T330" i="2"/>
  <c r="C330" i="2"/>
  <c r="BN329" i="2"/>
  <c r="BA329" i="2"/>
  <c r="AE329" i="2"/>
  <c r="N329" i="2"/>
  <c r="CS328" i="2"/>
  <c r="BT328" i="2"/>
  <c r="BF328" i="2"/>
  <c r="AI328" i="2"/>
  <c r="V328" i="2"/>
  <c r="E328" i="2"/>
  <c r="BY327" i="2"/>
  <c r="BK327" i="2"/>
  <c r="AR327" i="2"/>
  <c r="Z327" i="2"/>
  <c r="I327" i="2"/>
  <c r="BV326" i="2"/>
  <c r="BG326" i="2"/>
  <c r="AJ326" i="2"/>
  <c r="W326" i="2"/>
  <c r="F326" i="2"/>
  <c r="BR325" i="2"/>
  <c r="BD325" i="2"/>
  <c r="AG325" i="2"/>
  <c r="T325" i="2"/>
  <c r="C325" i="2"/>
  <c r="BN324" i="2"/>
  <c r="AZ324" i="2"/>
  <c r="AC324" i="2"/>
  <c r="L324" i="2"/>
  <c r="CH323" i="2"/>
  <c r="BT323" i="2"/>
  <c r="BF323" i="2"/>
  <c r="AI323" i="2"/>
  <c r="R323" i="2"/>
  <c r="CS322" i="2"/>
  <c r="BT322" i="2"/>
  <c r="BF322" i="2"/>
  <c r="AI322" i="2"/>
  <c r="R322" i="2"/>
  <c r="CS321" i="2"/>
  <c r="BT321" i="2"/>
  <c r="BF321" i="2"/>
  <c r="AI321" i="2"/>
  <c r="T321" i="2"/>
  <c r="C321" i="2"/>
  <c r="BW320" i="2"/>
  <c r="BH320" i="2"/>
  <c r="AK320" i="2"/>
  <c r="V320" i="2"/>
  <c r="D320" i="2"/>
  <c r="CJ319" i="2"/>
  <c r="BM319" i="2"/>
  <c r="AY319" i="2"/>
  <c r="AA319" i="2"/>
  <c r="F319" i="2"/>
  <c r="BR318" i="2"/>
  <c r="BD318" i="2"/>
  <c r="AG318" i="2"/>
  <c r="L318" i="2"/>
  <c r="CQ317" i="2"/>
  <c r="BR317" i="2"/>
  <c r="BD317" i="2"/>
  <c r="AG317" i="2"/>
  <c r="L317" i="2"/>
  <c r="CH316" i="2"/>
  <c r="BT316" i="2"/>
  <c r="BF316" i="2"/>
  <c r="AI316" i="2"/>
  <c r="T316" i="2"/>
  <c r="BZ315" i="2"/>
  <c r="BL315" i="2"/>
  <c r="AX315" i="2"/>
  <c r="AI315" i="2"/>
  <c r="P315" i="2"/>
  <c r="CJ314" i="2"/>
  <c r="BM314" i="2"/>
  <c r="AY314" i="2"/>
  <c r="Z314" i="2"/>
  <c r="J314" i="2"/>
  <c r="BV313" i="2"/>
  <c r="BG313" i="2"/>
  <c r="AJ313" i="2"/>
  <c r="U313" i="2"/>
  <c r="B313" i="2"/>
  <c r="BM312" i="2"/>
  <c r="AY312" i="2"/>
  <c r="X312" i="2"/>
  <c r="CC453" i="2"/>
  <c r="BG436" i="2"/>
  <c r="BN419" i="2"/>
  <c r="Z410" i="2"/>
  <c r="BR406" i="2"/>
  <c r="J404" i="2"/>
  <c r="AX401" i="2"/>
  <c r="H399" i="2"/>
  <c r="BT396" i="2"/>
  <c r="AL394" i="2"/>
  <c r="H392" i="2"/>
  <c r="BV389" i="2"/>
  <c r="E387" i="2"/>
  <c r="AF384" i="2"/>
  <c r="AY381" i="2"/>
  <c r="BB378" i="2"/>
  <c r="BF375" i="2"/>
  <c r="BJ372" i="2"/>
  <c r="BM369" i="2"/>
  <c r="BW366" i="2"/>
  <c r="BR365" i="2"/>
  <c r="D365" i="2"/>
  <c r="AK364" i="2"/>
  <c r="BX363" i="2"/>
  <c r="BB363" i="2"/>
  <c r="W363" i="2"/>
  <c r="BR362" i="2"/>
  <c r="AR362" i="2"/>
  <c r="H362" i="2"/>
  <c r="BR361" i="2"/>
  <c r="BA361" i="2"/>
  <c r="Y361" i="2"/>
  <c r="BY360" i="2"/>
  <c r="BG360" i="2"/>
  <c r="AH360" i="2"/>
  <c r="F360" i="2"/>
  <c r="BQ359" i="2"/>
  <c r="BA359" i="2"/>
  <c r="AA359" i="2"/>
  <c r="C359" i="2"/>
  <c r="BM358" i="2"/>
  <c r="AX358" i="2"/>
  <c r="W358" i="2"/>
  <c r="BX357" i="2"/>
  <c r="BJ357" i="2"/>
  <c r="AL357" i="2"/>
  <c r="W357" i="2"/>
  <c r="BY356" i="2"/>
  <c r="BK356" i="2"/>
  <c r="AR356" i="2"/>
  <c r="X356" i="2"/>
  <c r="BZ355" i="2"/>
  <c r="BL355" i="2"/>
  <c r="AX355" i="2"/>
  <c r="Y355" i="2"/>
  <c r="B355" i="2"/>
  <c r="BM354" i="2"/>
  <c r="AY354" i="2"/>
  <c r="Z354" i="2"/>
  <c r="C354" i="2"/>
  <c r="BN353" i="2"/>
  <c r="AZ353" i="2"/>
  <c r="AA353" i="2"/>
  <c r="D353" i="2"/>
  <c r="BP352" i="2"/>
  <c r="BA352" i="2"/>
  <c r="AB352" i="2"/>
  <c r="E352" i="2"/>
  <c r="BQ351" i="2"/>
  <c r="BB351" i="2"/>
  <c r="AF351" i="2"/>
  <c r="F351" i="2"/>
  <c r="BR350" i="2"/>
  <c r="BD350" i="2"/>
  <c r="AG350" i="2"/>
  <c r="G350" i="2"/>
  <c r="BS349" i="2"/>
  <c r="BE349" i="2"/>
  <c r="AH349" i="2"/>
  <c r="H349" i="2"/>
  <c r="BT348" i="2"/>
  <c r="BF348" i="2"/>
  <c r="AI348" i="2"/>
  <c r="G348" i="2"/>
  <c r="BS347" i="2"/>
  <c r="BE347" i="2"/>
  <c r="AH347" i="2"/>
  <c r="F347" i="2"/>
  <c r="BR346" i="2"/>
  <c r="BD346" i="2"/>
  <c r="AG346" i="2"/>
  <c r="G346" i="2"/>
  <c r="BS345" i="2"/>
  <c r="BE345" i="2"/>
  <c r="AH345" i="2"/>
  <c r="R345" i="2"/>
  <c r="C345" i="2"/>
  <c r="BN344" i="2"/>
  <c r="AZ344" i="2"/>
  <c r="AA344" i="2"/>
  <c r="J344" i="2"/>
  <c r="CP343" i="2"/>
  <c r="BQ343" i="2"/>
  <c r="BB343" i="2"/>
  <c r="AF343" i="2"/>
  <c r="K343" i="2"/>
  <c r="CP342" i="2"/>
  <c r="BQ342" i="2"/>
  <c r="BB342" i="2"/>
  <c r="AF342" i="2"/>
  <c r="K342" i="2"/>
  <c r="CP341" i="2"/>
  <c r="BQ341" i="2"/>
  <c r="BB341" i="2"/>
  <c r="AF341" i="2"/>
  <c r="K341" i="2"/>
  <c r="CP340" i="2"/>
  <c r="BQ340" i="2"/>
  <c r="BB340" i="2"/>
  <c r="AF340" i="2"/>
  <c r="L340" i="2"/>
  <c r="CR339" i="2"/>
  <c r="BS339" i="2"/>
  <c r="BE339" i="2"/>
  <c r="AH339" i="2"/>
  <c r="P339" i="2"/>
  <c r="B339" i="2"/>
  <c r="BV338" i="2"/>
  <c r="BG338" i="2"/>
  <c r="AJ338" i="2"/>
  <c r="U338" i="2"/>
  <c r="B338" i="2"/>
  <c r="BV337" i="2"/>
  <c r="BG337" i="2"/>
  <c r="AJ337" i="2"/>
  <c r="U337" i="2"/>
  <c r="D337" i="2"/>
  <c r="BX336" i="2"/>
  <c r="BJ336" i="2"/>
  <c r="AL336" i="2"/>
  <c r="W336" i="2"/>
  <c r="F336" i="2"/>
  <c r="BZ335" i="2"/>
  <c r="BL335" i="2"/>
  <c r="AX335" i="2"/>
  <c r="Y335" i="2"/>
  <c r="H335" i="2"/>
  <c r="CN334" i="2"/>
  <c r="BN334" i="2"/>
  <c r="AZ334" i="2"/>
  <c r="AA334" i="2"/>
  <c r="J334" i="2"/>
  <c r="CP333" i="2"/>
  <c r="BQ333" i="2"/>
  <c r="BB333" i="2"/>
  <c r="AF333" i="2"/>
  <c r="L333" i="2"/>
  <c r="BY332" i="2"/>
  <c r="BK332" i="2"/>
  <c r="AR332" i="2"/>
  <c r="Y332" i="2"/>
  <c r="F332" i="2"/>
  <c r="BR331" i="2"/>
  <c r="BD331" i="2"/>
  <c r="AG331" i="2"/>
  <c r="T331" i="2"/>
  <c r="C331" i="2"/>
  <c r="BP330" i="2"/>
  <c r="BB330" i="2"/>
  <c r="AF330" i="2"/>
  <c r="P330" i="2"/>
  <c r="B330" i="2"/>
  <c r="BM329" i="2"/>
  <c r="AZ329" i="2"/>
  <c r="AC329" i="2"/>
  <c r="L329" i="2"/>
  <c r="CR328" i="2"/>
  <c r="BS328" i="2"/>
  <c r="BE328" i="2"/>
  <c r="AH328" i="2"/>
  <c r="U328" i="2"/>
  <c r="D328" i="2"/>
  <c r="BX327" i="2"/>
  <c r="BJ327" i="2"/>
  <c r="AL327" i="2"/>
  <c r="Y327" i="2"/>
  <c r="H327" i="2"/>
  <c r="BT326" i="2"/>
  <c r="BF326" i="2"/>
  <c r="AI326" i="2"/>
  <c r="V326" i="2"/>
  <c r="E326" i="2"/>
  <c r="BQ325" i="2"/>
  <c r="BB325" i="2"/>
  <c r="AF325" i="2"/>
  <c r="P325" i="2"/>
  <c r="B325" i="2"/>
  <c r="BM324" i="2"/>
  <c r="AY324" i="2"/>
  <c r="AB324" i="2"/>
  <c r="K324" i="2"/>
  <c r="CG323" i="2"/>
  <c r="BS323" i="2"/>
  <c r="BE323" i="2"/>
  <c r="AH323" i="2"/>
  <c r="P323" i="2"/>
  <c r="CR322" i="2"/>
  <c r="BS322" i="2"/>
  <c r="BE322" i="2"/>
  <c r="AH322" i="2"/>
  <c r="P322" i="2"/>
  <c r="CR321" i="2"/>
  <c r="BS321" i="2"/>
  <c r="BE321" i="2"/>
  <c r="AH321" i="2"/>
  <c r="P321" i="2"/>
  <c r="B321" i="2"/>
  <c r="BV320" i="2"/>
  <c r="BG320" i="2"/>
  <c r="AJ320" i="2"/>
  <c r="U320" i="2"/>
  <c r="C320" i="2"/>
  <c r="BZ319" i="2"/>
  <c r="BL319" i="2"/>
  <c r="AX319" i="2"/>
  <c r="Z319" i="2"/>
  <c r="E319" i="2"/>
  <c r="BQ318" i="2"/>
  <c r="BB318" i="2"/>
  <c r="AF318" i="2"/>
  <c r="K318" i="2"/>
  <c r="CP317" i="2"/>
  <c r="BQ317" i="2"/>
  <c r="BB317" i="2"/>
  <c r="AF317" i="2"/>
  <c r="K317" i="2"/>
  <c r="CG316" i="2"/>
  <c r="BS316" i="2"/>
  <c r="BE316" i="2"/>
  <c r="AH316" i="2"/>
  <c r="Q316" i="2"/>
  <c r="BY315" i="2"/>
  <c r="BK315" i="2"/>
  <c r="AW315" i="2"/>
  <c r="AH315" i="2"/>
  <c r="N315" i="2"/>
  <c r="BZ314" i="2"/>
  <c r="BL314" i="2"/>
  <c r="AX452" i="2"/>
  <c r="L435" i="2"/>
  <c r="AG418" i="2"/>
  <c r="BX409" i="2"/>
  <c r="BB406" i="2"/>
  <c r="BV403" i="2"/>
  <c r="Y401" i="2"/>
  <c r="CN398" i="2"/>
  <c r="BF396" i="2"/>
  <c r="W394" i="2"/>
  <c r="CN391" i="2"/>
  <c r="BG389" i="2"/>
  <c r="BQ386" i="2"/>
  <c r="F384" i="2"/>
  <c r="Z381" i="2"/>
  <c r="AF378" i="2"/>
  <c r="AI375" i="2"/>
  <c r="AL372" i="2"/>
  <c r="AY369" i="2"/>
  <c r="BQ366" i="2"/>
  <c r="BN365" i="2"/>
  <c r="C365" i="2"/>
  <c r="AH364" i="2"/>
  <c r="BV363" i="2"/>
  <c r="BA363" i="2"/>
  <c r="U363" i="2"/>
  <c r="BQ362" i="2"/>
  <c r="AK362" i="2"/>
  <c r="G362" i="2"/>
  <c r="BQ361" i="2"/>
  <c r="AZ361" i="2"/>
  <c r="X361" i="2"/>
  <c r="BX360" i="2"/>
  <c r="BF360" i="2"/>
  <c r="AG360" i="2"/>
  <c r="E360" i="2"/>
  <c r="BP359" i="2"/>
  <c r="AZ359" i="2"/>
  <c r="Z359" i="2"/>
  <c r="B359" i="2"/>
  <c r="BL358" i="2"/>
  <c r="AL358" i="2"/>
  <c r="V358" i="2"/>
  <c r="BW357" i="2"/>
  <c r="BH357" i="2"/>
  <c r="AK357" i="2"/>
  <c r="V357" i="2"/>
  <c r="BX356" i="2"/>
  <c r="BJ356" i="2"/>
  <c r="AL356" i="2"/>
  <c r="W356" i="2"/>
  <c r="BY355" i="2"/>
  <c r="BK355" i="2"/>
  <c r="AR355" i="2"/>
  <c r="X355" i="2"/>
  <c r="BZ354" i="2"/>
  <c r="BL354" i="2"/>
  <c r="AX354" i="2"/>
  <c r="Y354" i="2"/>
  <c r="B354" i="2"/>
  <c r="BM353" i="2"/>
  <c r="AY353" i="2"/>
  <c r="Z353" i="2"/>
  <c r="C353" i="2"/>
  <c r="BN352" i="2"/>
  <c r="AZ352" i="2"/>
  <c r="AA352" i="2"/>
  <c r="D352" i="2"/>
  <c r="BP351" i="2"/>
  <c r="BA351" i="2"/>
  <c r="AB351" i="2"/>
  <c r="E351" i="2"/>
  <c r="BQ350" i="2"/>
  <c r="BB350" i="2"/>
  <c r="AF350" i="2"/>
  <c r="F350" i="2"/>
  <c r="BR349" i="2"/>
  <c r="BD349" i="2"/>
  <c r="AG349" i="2"/>
  <c r="G349" i="2"/>
  <c r="BS348" i="2"/>
  <c r="BE348" i="2"/>
  <c r="AH348" i="2"/>
  <c r="F348" i="2"/>
  <c r="BR347" i="2"/>
  <c r="BD347" i="2"/>
  <c r="AG347" i="2"/>
  <c r="E347" i="2"/>
  <c r="BQ346" i="2"/>
  <c r="BB346" i="2"/>
  <c r="AF346" i="2"/>
  <c r="F346" i="2"/>
  <c r="BR345" i="2"/>
  <c r="BD345" i="2"/>
  <c r="AG345" i="2"/>
  <c r="P345" i="2"/>
  <c r="B345" i="2"/>
  <c r="BM344" i="2"/>
  <c r="AY344" i="2"/>
  <c r="Z344" i="2"/>
  <c r="I344" i="2"/>
  <c r="CO343" i="2"/>
  <c r="BP343" i="2"/>
  <c r="BA343" i="2"/>
  <c r="AB343" i="2"/>
  <c r="J343" i="2"/>
  <c r="CO342" i="2"/>
  <c r="BP342" i="2"/>
  <c r="BA342" i="2"/>
  <c r="AB342" i="2"/>
  <c r="J342" i="2"/>
  <c r="CO341" i="2"/>
  <c r="BP341" i="2"/>
  <c r="BA341" i="2"/>
  <c r="AB341" i="2"/>
  <c r="J341" i="2"/>
  <c r="CO340" i="2"/>
  <c r="BP340" i="2"/>
  <c r="BA340" i="2"/>
  <c r="AB340" i="2"/>
  <c r="K340" i="2"/>
  <c r="CQ339" i="2"/>
  <c r="BR339" i="2"/>
  <c r="BD339" i="2"/>
  <c r="AG339" i="2"/>
  <c r="N339" i="2"/>
  <c r="CS338" i="2"/>
  <c r="BT338" i="2"/>
  <c r="BF338" i="2"/>
  <c r="AI338" i="2"/>
  <c r="P338" i="2"/>
  <c r="CS337" i="2"/>
  <c r="BT337" i="2"/>
  <c r="BF337" i="2"/>
  <c r="AI337" i="2"/>
  <c r="T337" i="2"/>
  <c r="C337" i="2"/>
  <c r="BW336" i="2"/>
  <c r="BH336" i="2"/>
  <c r="AK336" i="2"/>
  <c r="V336" i="2"/>
  <c r="E336" i="2"/>
  <c r="BY335" i="2"/>
  <c r="BK335" i="2"/>
  <c r="AR335" i="2"/>
  <c r="X335" i="2"/>
  <c r="G335" i="2"/>
  <c r="CM334" i="2"/>
  <c r="BM334" i="2"/>
  <c r="AY334" i="2"/>
  <c r="Z334" i="2"/>
  <c r="I334" i="2"/>
  <c r="CO333" i="2"/>
  <c r="BP333" i="2"/>
  <c r="BA333" i="2"/>
  <c r="AB333" i="2"/>
  <c r="K333" i="2"/>
  <c r="BX332" i="2"/>
  <c r="BJ332" i="2"/>
  <c r="AL332" i="2"/>
  <c r="X332" i="2"/>
  <c r="E332" i="2"/>
  <c r="BQ331" i="2"/>
  <c r="BB331" i="2"/>
  <c r="AF331" i="2"/>
  <c r="P331" i="2"/>
  <c r="B331" i="2"/>
  <c r="BN330" i="2"/>
  <c r="BA330" i="2"/>
  <c r="AE330" i="2"/>
  <c r="N330" i="2"/>
  <c r="BZ329" i="2"/>
  <c r="BL329" i="2"/>
  <c r="AY329" i="2"/>
  <c r="AB329" i="2"/>
  <c r="K329" i="2"/>
  <c r="CQ328" i="2"/>
  <c r="BR328" i="2"/>
  <c r="BD328" i="2"/>
  <c r="AG328" i="2"/>
  <c r="T328" i="2"/>
  <c r="C328" i="2"/>
  <c r="BW327" i="2"/>
  <c r="BH327" i="2"/>
  <c r="AK327" i="2"/>
  <c r="X327" i="2"/>
  <c r="G327" i="2"/>
  <c r="BS326" i="2"/>
  <c r="BE326" i="2"/>
  <c r="AH326" i="2"/>
  <c r="U326" i="2"/>
  <c r="D326" i="2"/>
  <c r="BP325" i="2"/>
  <c r="BA325" i="2"/>
  <c r="AE325" i="2"/>
  <c r="N325" i="2"/>
  <c r="BZ324" i="2"/>
  <c r="BL324" i="2"/>
  <c r="AX324" i="2"/>
  <c r="AA324" i="2"/>
  <c r="J324" i="2"/>
  <c r="CF323" i="2"/>
  <c r="BR323" i="2"/>
  <c r="BD323" i="2"/>
  <c r="AG323" i="2"/>
  <c r="N323" i="2"/>
  <c r="CQ322" i="2"/>
  <c r="BR322" i="2"/>
  <c r="BD322" i="2"/>
  <c r="AG322" i="2"/>
  <c r="N322" i="2"/>
  <c r="CQ321" i="2"/>
  <c r="BR321" i="2"/>
  <c r="BD321" i="2"/>
  <c r="AG321" i="2"/>
  <c r="N321" i="2"/>
  <c r="CS320" i="2"/>
  <c r="BT320" i="2"/>
  <c r="BF320" i="2"/>
  <c r="AI320" i="2"/>
  <c r="P320" i="2"/>
  <c r="B320" i="2"/>
  <c r="BY319" i="2"/>
  <c r="BK319" i="2"/>
  <c r="AR319" i="2"/>
  <c r="Y319" i="2"/>
  <c r="D319" i="2"/>
  <c r="BP318" i="2"/>
  <c r="BA318" i="2"/>
  <c r="AB318" i="2"/>
  <c r="J318" i="2"/>
  <c r="CO317" i="2"/>
  <c r="BP317" i="2"/>
  <c r="BA317" i="2"/>
  <c r="AB317" i="2"/>
  <c r="J317" i="2"/>
  <c r="CF316" i="2"/>
  <c r="BR316" i="2"/>
  <c r="BD316" i="2"/>
  <c r="AG316" i="2"/>
  <c r="P316" i="2"/>
  <c r="BX315" i="2"/>
  <c r="CK450" i="2"/>
  <c r="AT433" i="2"/>
  <c r="BW416" i="2"/>
  <c r="BE409" i="2"/>
  <c r="AF406" i="2"/>
  <c r="BG403" i="2"/>
  <c r="F401" i="2"/>
  <c r="BN398" i="2"/>
  <c r="AI396" i="2"/>
  <c r="E394" i="2"/>
  <c r="BN391" i="2"/>
  <c r="AJ389" i="2"/>
  <c r="BB386" i="2"/>
  <c r="BR383" i="2"/>
  <c r="C381" i="2"/>
  <c r="F378" i="2"/>
  <c r="N375" i="2"/>
  <c r="W372" i="2"/>
  <c r="Z369" i="2"/>
  <c r="BH366" i="2"/>
  <c r="BJ365" i="2"/>
  <c r="BY364" i="2"/>
  <c r="AB364" i="2"/>
  <c r="BT363" i="2"/>
  <c r="AZ363" i="2"/>
  <c r="N363" i="2"/>
  <c r="BP362" i="2"/>
  <c r="AJ362" i="2"/>
  <c r="F362" i="2"/>
  <c r="BP361" i="2"/>
  <c r="AX361" i="2"/>
  <c r="W361" i="2"/>
  <c r="BV360" i="2"/>
  <c r="BE360" i="2"/>
  <c r="AF360" i="2"/>
  <c r="D360" i="2"/>
  <c r="BN359" i="2"/>
  <c r="AY359" i="2"/>
  <c r="Y359" i="2"/>
  <c r="BZ358" i="2"/>
  <c r="BJ358" i="2"/>
  <c r="AK358" i="2"/>
  <c r="U358" i="2"/>
  <c r="BV357" i="2"/>
  <c r="BG357" i="2"/>
  <c r="AJ357" i="2"/>
  <c r="U357" i="2"/>
  <c r="BW356" i="2"/>
  <c r="BH356" i="2"/>
  <c r="AK356" i="2"/>
  <c r="V356" i="2"/>
  <c r="BX355" i="2"/>
  <c r="BJ355" i="2"/>
  <c r="AL355" i="2"/>
  <c r="W355" i="2"/>
  <c r="BY354" i="2"/>
  <c r="BK354" i="2"/>
  <c r="AR354" i="2"/>
  <c r="X354" i="2"/>
  <c r="BZ353" i="2"/>
  <c r="BL353" i="2"/>
  <c r="AX353" i="2"/>
  <c r="Y353" i="2"/>
  <c r="B353" i="2"/>
  <c r="BM352" i="2"/>
  <c r="AY352" i="2"/>
  <c r="Z352" i="2"/>
  <c r="C352" i="2"/>
  <c r="BN351" i="2"/>
  <c r="AZ351" i="2"/>
  <c r="AA351" i="2"/>
  <c r="D351" i="2"/>
  <c r="BP350" i="2"/>
  <c r="BA350" i="2"/>
  <c r="AB350" i="2"/>
  <c r="E350" i="2"/>
  <c r="BQ349" i="2"/>
  <c r="BB349" i="2"/>
  <c r="AF349" i="2"/>
  <c r="F349" i="2"/>
  <c r="BR348" i="2"/>
  <c r="BD348" i="2"/>
  <c r="AG348" i="2"/>
  <c r="E348" i="2"/>
  <c r="BQ347" i="2"/>
  <c r="BB347" i="2"/>
  <c r="AF347" i="2"/>
  <c r="D347" i="2"/>
  <c r="BP346" i="2"/>
  <c r="BA346" i="2"/>
  <c r="AB346" i="2"/>
  <c r="E346" i="2"/>
  <c r="BQ345" i="2"/>
  <c r="BB345" i="2"/>
  <c r="AF345" i="2"/>
  <c r="N345" i="2"/>
  <c r="BZ344" i="2"/>
  <c r="BL344" i="2"/>
  <c r="AX344" i="2"/>
  <c r="Y344" i="2"/>
  <c r="H344" i="2"/>
  <c r="CN343" i="2"/>
  <c r="BN343" i="2"/>
  <c r="AZ343" i="2"/>
  <c r="AA343" i="2"/>
  <c r="H343" i="2"/>
  <c r="CN342" i="2"/>
  <c r="BN342" i="2"/>
  <c r="AZ342" i="2"/>
  <c r="AA342" i="2"/>
  <c r="H342" i="2"/>
  <c r="CN341" i="2"/>
  <c r="BN341" i="2"/>
  <c r="AZ341" i="2"/>
  <c r="AA341" i="2"/>
  <c r="H341" i="2"/>
  <c r="CN340" i="2"/>
  <c r="BN340" i="2"/>
  <c r="AZ340" i="2"/>
  <c r="AA340" i="2"/>
  <c r="J340" i="2"/>
  <c r="CP339" i="2"/>
  <c r="BQ339" i="2"/>
  <c r="BB339" i="2"/>
  <c r="AF339" i="2"/>
  <c r="L339" i="2"/>
  <c r="CR338" i="2"/>
  <c r="BS338" i="2"/>
  <c r="BE338" i="2"/>
  <c r="AH338" i="2"/>
  <c r="N338" i="2"/>
  <c r="CR337" i="2"/>
  <c r="BS337" i="2"/>
  <c r="BE337" i="2"/>
  <c r="AH337" i="2"/>
  <c r="P337" i="2"/>
  <c r="B337" i="2"/>
  <c r="BV336" i="2"/>
  <c r="BG336" i="2"/>
  <c r="AJ336" i="2"/>
  <c r="U336" i="2"/>
  <c r="D336" i="2"/>
  <c r="BX335" i="2"/>
  <c r="BJ335" i="2"/>
  <c r="AL335" i="2"/>
  <c r="W335" i="2"/>
  <c r="F335" i="2"/>
  <c r="BZ334" i="2"/>
  <c r="BL334" i="2"/>
  <c r="AX334" i="2"/>
  <c r="Y334" i="2"/>
  <c r="H334" i="2"/>
  <c r="CN333" i="2"/>
  <c r="BN333" i="2"/>
  <c r="AZ333" i="2"/>
  <c r="AA333" i="2"/>
  <c r="J333" i="2"/>
  <c r="BW332" i="2"/>
  <c r="BH332" i="2"/>
  <c r="AK332" i="2"/>
  <c r="W332" i="2"/>
  <c r="D332" i="2"/>
  <c r="BP331" i="2"/>
  <c r="BA331" i="2"/>
  <c r="AE331" i="2"/>
  <c r="N331" i="2"/>
  <c r="CJ330" i="2"/>
  <c r="BM330" i="2"/>
  <c r="AZ330" i="2"/>
  <c r="AC330" i="2"/>
  <c r="L330" i="2"/>
  <c r="BY329" i="2"/>
  <c r="BK329" i="2"/>
  <c r="AX329" i="2"/>
  <c r="AA329" i="2"/>
  <c r="J329" i="2"/>
  <c r="CP328" i="2"/>
  <c r="BQ328" i="2"/>
  <c r="BB328" i="2"/>
  <c r="AF328" i="2"/>
  <c r="P328" i="2"/>
  <c r="B328" i="2"/>
  <c r="BV327" i="2"/>
  <c r="BG327" i="2"/>
  <c r="AJ327" i="2"/>
  <c r="W327" i="2"/>
  <c r="F327" i="2"/>
  <c r="BR326" i="2"/>
  <c r="BD326" i="2"/>
  <c r="AG326" i="2"/>
  <c r="T326" i="2"/>
  <c r="C326" i="2"/>
  <c r="BN325" i="2"/>
  <c r="AZ325" i="2"/>
  <c r="AC325" i="2"/>
  <c r="L325" i="2"/>
  <c r="BY324" i="2"/>
  <c r="BK324" i="2"/>
  <c r="AR324" i="2"/>
  <c r="Z324" i="2"/>
  <c r="I324" i="2"/>
  <c r="CE323" i="2"/>
  <c r="BQ323" i="2"/>
  <c r="BB323" i="2"/>
  <c r="AF323" i="2"/>
  <c r="J323" i="2"/>
  <c r="CP322" i="2"/>
  <c r="BQ322" i="2"/>
  <c r="BB322" i="2"/>
  <c r="AF322" i="2"/>
  <c r="J322" i="2"/>
  <c r="CP321" i="2"/>
  <c r="BQ321" i="2"/>
  <c r="BB321" i="2"/>
  <c r="AF321" i="2"/>
  <c r="L321" i="2"/>
  <c r="CR320" i="2"/>
  <c r="BS320" i="2"/>
  <c r="BE320" i="2"/>
  <c r="AH320" i="2"/>
  <c r="N320" i="2"/>
  <c r="CS319" i="2"/>
  <c r="BX319" i="2"/>
  <c r="BJ319" i="2"/>
  <c r="AL319" i="2"/>
  <c r="X319" i="2"/>
  <c r="C319" i="2"/>
  <c r="BN318" i="2"/>
  <c r="AZ318" i="2"/>
  <c r="AA318" i="2"/>
  <c r="I318" i="2"/>
  <c r="CN317" i="2"/>
  <c r="BN317" i="2"/>
  <c r="AZ317" i="2"/>
  <c r="AA317" i="2"/>
  <c r="I317" i="2"/>
  <c r="CE316" i="2"/>
  <c r="BQ316" i="2"/>
  <c r="BB316" i="2"/>
  <c r="AF316" i="2"/>
  <c r="N316" i="2"/>
  <c r="BW315" i="2"/>
  <c r="BF449" i="2"/>
  <c r="BT431" i="2"/>
  <c r="BM415" i="2"/>
  <c r="AA409" i="2"/>
  <c r="L406" i="2"/>
  <c r="AJ403" i="2"/>
  <c r="BZ400" i="2"/>
  <c r="AZ398" i="2"/>
  <c r="Q396" i="2"/>
  <c r="BX393" i="2"/>
  <c r="AZ391" i="2"/>
  <c r="U389" i="2"/>
  <c r="AF386" i="2"/>
  <c r="BD383" i="2"/>
  <c r="BN380" i="2"/>
  <c r="BR377" i="2"/>
  <c r="BV374" i="2"/>
  <c r="BY371" i="2"/>
  <c r="C369" i="2"/>
  <c r="BB366" i="2"/>
  <c r="BD365" i="2"/>
  <c r="BS364" i="2"/>
  <c r="AA364" i="2"/>
  <c r="BR363" i="2"/>
  <c r="AX363" i="2"/>
  <c r="G363" i="2"/>
  <c r="BM362" i="2"/>
  <c r="AH362" i="2"/>
  <c r="E362" i="2"/>
  <c r="BN361" i="2"/>
  <c r="AR361" i="2"/>
  <c r="V361" i="2"/>
  <c r="BT360" i="2"/>
  <c r="BD360" i="2"/>
  <c r="AB360" i="2"/>
  <c r="C360" i="2"/>
  <c r="BM359" i="2"/>
  <c r="AX359" i="2"/>
  <c r="X359" i="2"/>
  <c r="BX358" i="2"/>
  <c r="BH358" i="2"/>
  <c r="AJ358" i="2"/>
  <c r="N358" i="2"/>
  <c r="BT357" i="2"/>
  <c r="BF357" i="2"/>
  <c r="AI357" i="2"/>
  <c r="N357" i="2"/>
  <c r="BV356" i="2"/>
  <c r="BG356" i="2"/>
  <c r="AJ356" i="2"/>
  <c r="U356" i="2"/>
  <c r="BW355" i="2"/>
  <c r="BH355" i="2"/>
  <c r="AK355" i="2"/>
  <c r="V355" i="2"/>
  <c r="BX354" i="2"/>
  <c r="BJ354" i="2"/>
  <c r="AL354" i="2"/>
  <c r="W354" i="2"/>
  <c r="BY353" i="2"/>
  <c r="BK353" i="2"/>
  <c r="AR353" i="2"/>
  <c r="X353" i="2"/>
  <c r="BZ352" i="2"/>
  <c r="BL352" i="2"/>
  <c r="AX352" i="2"/>
  <c r="Y352" i="2"/>
  <c r="B352" i="2"/>
  <c r="BM351" i="2"/>
  <c r="AY351" i="2"/>
  <c r="Z351" i="2"/>
  <c r="C351" i="2"/>
  <c r="BN350" i="2"/>
  <c r="AZ350" i="2"/>
  <c r="AA350" i="2"/>
  <c r="D350" i="2"/>
  <c r="BP349" i="2"/>
  <c r="BA349" i="2"/>
  <c r="AB349" i="2"/>
  <c r="E349" i="2"/>
  <c r="BQ348" i="2"/>
  <c r="BB348" i="2"/>
  <c r="AF348" i="2"/>
  <c r="D348" i="2"/>
  <c r="BP347" i="2"/>
  <c r="BA347" i="2"/>
  <c r="Z347" i="2"/>
  <c r="C347" i="2"/>
  <c r="BN346" i="2"/>
  <c r="AZ346" i="2"/>
  <c r="AA346" i="2"/>
  <c r="D346" i="2"/>
  <c r="BP345" i="2"/>
  <c r="BA345" i="2"/>
  <c r="AB345" i="2"/>
  <c r="L345" i="2"/>
  <c r="BY344" i="2"/>
  <c r="BK344" i="2"/>
  <c r="AR344" i="2"/>
  <c r="X344" i="2"/>
  <c r="G344" i="2"/>
  <c r="CM343" i="2"/>
  <c r="BM343" i="2"/>
  <c r="AY343" i="2"/>
  <c r="Z343" i="2"/>
  <c r="G343" i="2"/>
  <c r="CM342" i="2"/>
  <c r="BM342" i="2"/>
  <c r="AY342" i="2"/>
  <c r="Z342" i="2"/>
  <c r="G342" i="2"/>
  <c r="CM341" i="2"/>
  <c r="BM341" i="2"/>
  <c r="AY341" i="2"/>
  <c r="Z341" i="2"/>
  <c r="G341" i="2"/>
  <c r="CM340" i="2"/>
  <c r="BM340" i="2"/>
  <c r="AY340" i="2"/>
  <c r="Z340" i="2"/>
  <c r="I340" i="2"/>
  <c r="CO339" i="2"/>
  <c r="BP339" i="2"/>
  <c r="BA339" i="2"/>
  <c r="AB339" i="2"/>
  <c r="K339" i="2"/>
  <c r="CQ338" i="2"/>
  <c r="BR338" i="2"/>
  <c r="BD338" i="2"/>
  <c r="AG338" i="2"/>
  <c r="L338" i="2"/>
  <c r="CQ337" i="2"/>
  <c r="BR337" i="2"/>
  <c r="BD337" i="2"/>
  <c r="AG337" i="2"/>
  <c r="N337" i="2"/>
  <c r="CS336" i="2"/>
  <c r="BT336" i="2"/>
  <c r="BF336" i="2"/>
  <c r="AI336" i="2"/>
  <c r="R336" i="2"/>
  <c r="C336" i="2"/>
  <c r="BW335" i="2"/>
  <c r="BH335" i="2"/>
  <c r="AK335" i="2"/>
  <c r="V335" i="2"/>
  <c r="E335" i="2"/>
  <c r="BY334" i="2"/>
  <c r="BK334" i="2"/>
  <c r="AR334" i="2"/>
  <c r="X334" i="2"/>
  <c r="G334" i="2"/>
  <c r="CM333" i="2"/>
  <c r="BM333" i="2"/>
  <c r="AY333" i="2"/>
  <c r="Z333" i="2"/>
  <c r="I333" i="2"/>
  <c r="BV332" i="2"/>
  <c r="BG332" i="2"/>
  <c r="AJ332" i="2"/>
  <c r="V332" i="2"/>
  <c r="C332" i="2"/>
  <c r="BN331" i="2"/>
  <c r="AZ331" i="2"/>
  <c r="AC331" i="2"/>
  <c r="L331" i="2"/>
  <c r="BZ330" i="2"/>
  <c r="BL330" i="2"/>
  <c r="AY330" i="2"/>
  <c r="AB330" i="2"/>
  <c r="K330" i="2"/>
  <c r="BX329" i="2"/>
  <c r="BJ329" i="2"/>
  <c r="AR329" i="2"/>
  <c r="Z329" i="2"/>
  <c r="I329" i="2"/>
  <c r="CO328" i="2"/>
  <c r="BP328" i="2"/>
  <c r="BA328" i="2"/>
  <c r="AE328" i="2"/>
  <c r="N328" i="2"/>
  <c r="CS327" i="2"/>
  <c r="BT327" i="2"/>
  <c r="BF327" i="2"/>
  <c r="AI327" i="2"/>
  <c r="V327" i="2"/>
  <c r="E327" i="2"/>
  <c r="BQ326" i="2"/>
  <c r="BB326" i="2"/>
  <c r="AF326" i="2"/>
  <c r="P326" i="2"/>
  <c r="B326" i="2"/>
  <c r="BM325" i="2"/>
  <c r="AY325" i="2"/>
  <c r="AB325" i="2"/>
  <c r="K325" i="2"/>
  <c r="BX324" i="2"/>
  <c r="BJ324" i="2"/>
  <c r="AL324" i="2"/>
  <c r="Y324" i="2"/>
  <c r="H324" i="2"/>
  <c r="CD323" i="2"/>
  <c r="BP323" i="2"/>
  <c r="BA323" i="2"/>
  <c r="AB323" i="2"/>
  <c r="I323" i="2"/>
  <c r="CO322" i="2"/>
  <c r="BP322" i="2"/>
  <c r="AG320" i="2"/>
  <c r="G319" i="2"/>
  <c r="N318" i="2"/>
  <c r="AH317" i="2"/>
  <c r="BG316" i="2"/>
  <c r="BM315" i="2"/>
  <c r="AF315" i="2"/>
  <c r="BR314" i="2"/>
  <c r="AA314" i="2"/>
  <c r="BW313" i="2"/>
  <c r="AK313" i="2"/>
  <c r="J313" i="2"/>
  <c r="BQ312" i="2"/>
  <c r="AR312" i="2"/>
  <c r="P312" i="2"/>
  <c r="BZ311" i="2"/>
  <c r="BL311" i="2"/>
  <c r="AX311" i="2"/>
  <c r="Y311" i="2"/>
  <c r="F311" i="2"/>
  <c r="BT310" i="2"/>
  <c r="BF310" i="2"/>
  <c r="AI310" i="2"/>
  <c r="Q310" i="2"/>
  <c r="C310" i="2"/>
  <c r="BQ309" i="2"/>
  <c r="BB309" i="2"/>
  <c r="AF309" i="2"/>
  <c r="L309" i="2"/>
  <c r="BY308" i="2"/>
  <c r="BK308" i="2"/>
  <c r="AX308" i="2"/>
  <c r="W308" i="2"/>
  <c r="BY307" i="2"/>
  <c r="BK307" i="2"/>
  <c r="AX307" i="2"/>
  <c r="W307" i="2"/>
  <c r="BY306" i="2"/>
  <c r="BK306" i="2"/>
  <c r="AR306" i="2"/>
  <c r="X306" i="2"/>
  <c r="E306" i="2"/>
  <c r="BQ305" i="2"/>
  <c r="BB305" i="2"/>
  <c r="AF305" i="2"/>
  <c r="K305" i="2"/>
  <c r="BW304" i="2"/>
  <c r="BH304" i="2"/>
  <c r="AK304" i="2"/>
  <c r="V304" i="2"/>
  <c r="C304" i="2"/>
  <c r="BN303" i="2"/>
  <c r="AZ303" i="2"/>
  <c r="AA303" i="2"/>
  <c r="H303" i="2"/>
  <c r="BW302" i="2"/>
  <c r="BH302" i="2"/>
  <c r="AK302" i="2"/>
  <c r="V302" i="2"/>
  <c r="E302" i="2"/>
  <c r="BQ301" i="2"/>
  <c r="BD301" i="2"/>
  <c r="AG301" i="2"/>
  <c r="E301" i="2"/>
  <c r="BQ300" i="2"/>
  <c r="BD300" i="2"/>
  <c r="AG300" i="2"/>
  <c r="E300" i="2"/>
  <c r="BQ299" i="2"/>
  <c r="BB299" i="2"/>
  <c r="AF299" i="2"/>
  <c r="D299" i="2"/>
  <c r="BP298" i="2"/>
  <c r="BA298" i="2"/>
  <c r="AB298" i="2"/>
  <c r="K298" i="2"/>
  <c r="BX297" i="2"/>
  <c r="BJ297" i="2"/>
  <c r="AL297" i="2"/>
  <c r="W297" i="2"/>
  <c r="BY296" i="2"/>
  <c r="BK296" i="2"/>
  <c r="AR296" i="2"/>
  <c r="X296" i="2"/>
  <c r="E296" i="2"/>
  <c r="BQ295" i="2"/>
  <c r="BB295" i="2"/>
  <c r="AF295" i="2"/>
  <c r="F295" i="2"/>
  <c r="BR294" i="2"/>
  <c r="BD294" i="2"/>
  <c r="AG294" i="2"/>
  <c r="L294" i="2"/>
  <c r="BX293" i="2"/>
  <c r="BJ293" i="2"/>
  <c r="AL293" i="2"/>
  <c r="W293" i="2"/>
  <c r="D293" i="2"/>
  <c r="BP292" i="2"/>
  <c r="BA292" i="2"/>
  <c r="AB292" i="2"/>
  <c r="J292" i="2"/>
  <c r="BV291" i="2"/>
  <c r="BG291" i="2"/>
  <c r="AJ291" i="2"/>
  <c r="U291" i="2"/>
  <c r="B291" i="2"/>
  <c r="BP290" i="2"/>
  <c r="BA290" i="2"/>
  <c r="AB290" i="2"/>
  <c r="K290" i="2"/>
  <c r="CQ289" i="2"/>
  <c r="BV289" i="2"/>
  <c r="BG289" i="2"/>
  <c r="AJ289" i="2"/>
  <c r="U289" i="2"/>
  <c r="C289" i="2"/>
  <c r="BZ288" i="2"/>
  <c r="BL288" i="2"/>
  <c r="AX288" i="2"/>
  <c r="Y288" i="2"/>
  <c r="G288" i="2"/>
  <c r="CC287" i="2"/>
  <c r="BN287" i="2"/>
  <c r="AZ287" i="2"/>
  <c r="AA287" i="2"/>
  <c r="J287" i="2"/>
  <c r="BX286" i="2"/>
  <c r="BJ286" i="2"/>
  <c r="AL286" i="2"/>
  <c r="W286" i="2"/>
  <c r="CI285" i="2"/>
  <c r="BV285" i="2"/>
  <c r="BG285" i="2"/>
  <c r="AJ285" i="2"/>
  <c r="U285" i="2"/>
  <c r="B285" i="2"/>
  <c r="BM284" i="2"/>
  <c r="AY284" i="2"/>
  <c r="Z284" i="2"/>
  <c r="G284" i="2"/>
  <c r="BS283" i="2"/>
  <c r="BE283" i="2"/>
  <c r="AH283" i="2"/>
  <c r="L283" i="2"/>
  <c r="BZ282" i="2"/>
  <c r="BL282" i="2"/>
  <c r="AX282" i="2"/>
  <c r="Y282" i="2"/>
  <c r="H282" i="2"/>
  <c r="BT281" i="2"/>
  <c r="BF281" i="2"/>
  <c r="AI281" i="2"/>
  <c r="N281" i="2"/>
  <c r="BV280" i="2"/>
  <c r="BG280" i="2"/>
  <c r="AJ280" i="2"/>
  <c r="U280" i="2"/>
  <c r="BW279" i="2"/>
  <c r="BH279" i="2"/>
  <c r="AK279" i="2"/>
  <c r="V279" i="2"/>
  <c r="BX278" i="2"/>
  <c r="BJ278" i="2"/>
  <c r="AL278" i="2"/>
  <c r="W278" i="2"/>
  <c r="BY277" i="2"/>
  <c r="BK277" i="2"/>
  <c r="AR277" i="2"/>
  <c r="X277" i="2"/>
  <c r="BZ276" i="2"/>
  <c r="BL276" i="2"/>
  <c r="AX276" i="2"/>
  <c r="Y276" i="2"/>
  <c r="B276" i="2"/>
  <c r="BQ275" i="2"/>
  <c r="BB275" i="2"/>
  <c r="AF275" i="2"/>
  <c r="D275" i="2"/>
  <c r="BP274" i="2"/>
  <c r="BA274" i="2"/>
  <c r="AB274" i="2"/>
  <c r="G274" i="2"/>
  <c r="BS273" i="2"/>
  <c r="BE273" i="2"/>
  <c r="AH273" i="2"/>
  <c r="P273" i="2"/>
  <c r="BW272" i="2"/>
  <c r="BH272" i="2"/>
  <c r="AK272" i="2"/>
  <c r="W272" i="2"/>
  <c r="E272" i="2"/>
  <c r="BQ271" i="2"/>
  <c r="BB271" i="2"/>
  <c r="AF271" i="2"/>
  <c r="G271" i="2"/>
  <c r="CM270" i="2"/>
  <c r="BM270" i="2"/>
  <c r="AY270" i="2"/>
  <c r="AA270" i="2"/>
  <c r="I270" i="2"/>
  <c r="BV269" i="2"/>
  <c r="BG269" i="2"/>
  <c r="AJ269" i="2"/>
  <c r="V269" i="2"/>
  <c r="B269" i="2"/>
  <c r="BM268" i="2"/>
  <c r="AY268" i="2"/>
  <c r="AA268" i="2"/>
  <c r="I268" i="2"/>
  <c r="BV267" i="2"/>
  <c r="BG267" i="2"/>
  <c r="AJ267" i="2"/>
  <c r="V267" i="2"/>
  <c r="CR266" i="2"/>
  <c r="BS266" i="2"/>
  <c r="BE266" i="2"/>
  <c r="AH266" i="2"/>
  <c r="R266" i="2"/>
  <c r="CS265" i="2"/>
  <c r="BT265" i="2"/>
  <c r="BF265" i="2"/>
  <c r="AI265" i="2"/>
  <c r="U265" i="2"/>
  <c r="D265" i="2"/>
  <c r="BX264" i="2"/>
  <c r="BJ264" i="2"/>
  <c r="AL264" i="2"/>
  <c r="X264" i="2"/>
  <c r="F264" i="2"/>
  <c r="BZ263" i="2"/>
  <c r="BL263" i="2"/>
  <c r="AX263" i="2"/>
  <c r="Z263" i="2"/>
  <c r="BA322" i="2"/>
  <c r="L320" i="2"/>
  <c r="B319" i="2"/>
  <c r="H318" i="2"/>
  <c r="Z317" i="2"/>
  <c r="BA316" i="2"/>
  <c r="BJ315" i="2"/>
  <c r="AB315" i="2"/>
  <c r="BN314" i="2"/>
  <c r="Y314" i="2"/>
  <c r="BT313" i="2"/>
  <c r="AI313" i="2"/>
  <c r="G313" i="2"/>
  <c r="BN312" i="2"/>
  <c r="AL312" i="2"/>
  <c r="N312" i="2"/>
  <c r="BY311" i="2"/>
  <c r="BK311" i="2"/>
  <c r="AR311" i="2"/>
  <c r="X311" i="2"/>
  <c r="E311" i="2"/>
  <c r="BS310" i="2"/>
  <c r="BE310" i="2"/>
  <c r="AH310" i="2"/>
  <c r="P310" i="2"/>
  <c r="B310" i="2"/>
  <c r="BP309" i="2"/>
  <c r="BA309" i="2"/>
  <c r="AB309" i="2"/>
  <c r="K309" i="2"/>
  <c r="BX308" i="2"/>
  <c r="BJ308" i="2"/>
  <c r="AR308" i="2"/>
  <c r="V308" i="2"/>
  <c r="BX307" i="2"/>
  <c r="BJ307" i="2"/>
  <c r="AR307" i="2"/>
  <c r="V307" i="2"/>
  <c r="BX306" i="2"/>
  <c r="BJ306" i="2"/>
  <c r="AL306" i="2"/>
  <c r="W306" i="2"/>
  <c r="D306" i="2"/>
  <c r="BP305" i="2"/>
  <c r="BA305" i="2"/>
  <c r="AB305" i="2"/>
  <c r="J305" i="2"/>
  <c r="BV304" i="2"/>
  <c r="BG304" i="2"/>
  <c r="AJ304" i="2"/>
  <c r="U304" i="2"/>
  <c r="B304" i="2"/>
  <c r="BM303" i="2"/>
  <c r="AY303" i="2"/>
  <c r="Z303" i="2"/>
  <c r="G303" i="2"/>
  <c r="BV302" i="2"/>
  <c r="BG302" i="2"/>
  <c r="AJ302" i="2"/>
  <c r="U302" i="2"/>
  <c r="D302" i="2"/>
  <c r="BP301" i="2"/>
  <c r="BB301" i="2"/>
  <c r="AF301" i="2"/>
  <c r="D301" i="2"/>
  <c r="BP300" i="2"/>
  <c r="BB300" i="2"/>
  <c r="AF300" i="2"/>
  <c r="D300" i="2"/>
  <c r="BP299" i="2"/>
  <c r="BA299" i="2"/>
  <c r="Z299" i="2"/>
  <c r="C299" i="2"/>
  <c r="BN298" i="2"/>
  <c r="AZ298" i="2"/>
  <c r="AA298" i="2"/>
  <c r="J298" i="2"/>
  <c r="BW297" i="2"/>
  <c r="BH297" i="2"/>
  <c r="AK297" i="2"/>
  <c r="V297" i="2"/>
  <c r="BX296" i="2"/>
  <c r="BJ296" i="2"/>
  <c r="AL296" i="2"/>
  <c r="W296" i="2"/>
  <c r="D296" i="2"/>
  <c r="BP295" i="2"/>
  <c r="BA295" i="2"/>
  <c r="AB295" i="2"/>
  <c r="E295" i="2"/>
  <c r="BQ294" i="2"/>
  <c r="BB294" i="2"/>
  <c r="AF294" i="2"/>
  <c r="K294" i="2"/>
  <c r="BW293" i="2"/>
  <c r="BH293" i="2"/>
  <c r="AK293" i="2"/>
  <c r="V293" i="2"/>
  <c r="C293" i="2"/>
  <c r="BN292" i="2"/>
  <c r="AZ292" i="2"/>
  <c r="AA292" i="2"/>
  <c r="H292" i="2"/>
  <c r="BT291" i="2"/>
  <c r="BF291" i="2"/>
  <c r="AI291" i="2"/>
  <c r="P291" i="2"/>
  <c r="CL290" i="2"/>
  <c r="BN290" i="2"/>
  <c r="AZ290" i="2"/>
  <c r="AA290" i="2"/>
  <c r="J290" i="2"/>
  <c r="CP289" i="2"/>
  <c r="BT289" i="2"/>
  <c r="BF289" i="2"/>
  <c r="AI289" i="2"/>
  <c r="Q289" i="2"/>
  <c r="B289" i="2"/>
  <c r="BY288" i="2"/>
  <c r="BK288" i="2"/>
  <c r="AR288" i="2"/>
  <c r="X288" i="2"/>
  <c r="F288" i="2"/>
  <c r="CB287" i="2"/>
  <c r="BM287" i="2"/>
  <c r="AY287" i="2"/>
  <c r="Z287" i="2"/>
  <c r="H287" i="2"/>
  <c r="BW286" i="2"/>
  <c r="BH286" i="2"/>
  <c r="AK286" i="2"/>
  <c r="V286" i="2"/>
  <c r="CH285" i="2"/>
  <c r="BT285" i="2"/>
  <c r="BF285" i="2"/>
  <c r="AI285" i="2"/>
  <c r="P285" i="2"/>
  <c r="BZ284" i="2"/>
  <c r="BL284" i="2"/>
  <c r="AX284" i="2"/>
  <c r="Y284" i="2"/>
  <c r="F284" i="2"/>
  <c r="BR283" i="2"/>
  <c r="BD283" i="2"/>
  <c r="AG283" i="2"/>
  <c r="K283" i="2"/>
  <c r="BY282" i="2"/>
  <c r="BK282" i="2"/>
  <c r="AR282" i="2"/>
  <c r="X282" i="2"/>
  <c r="G282" i="2"/>
  <c r="BS281" i="2"/>
  <c r="BE281" i="2"/>
  <c r="AH281" i="2"/>
  <c r="H281" i="2"/>
  <c r="BT280" i="2"/>
  <c r="BF280" i="2"/>
  <c r="AI280" i="2"/>
  <c r="N280" i="2"/>
  <c r="BV279" i="2"/>
  <c r="BG279" i="2"/>
  <c r="AJ279" i="2"/>
  <c r="U279" i="2"/>
  <c r="BW278" i="2"/>
  <c r="BH278" i="2"/>
  <c r="AK278" i="2"/>
  <c r="V278" i="2"/>
  <c r="BX277" i="2"/>
  <c r="BJ277" i="2"/>
  <c r="AL277" i="2"/>
  <c r="W277" i="2"/>
  <c r="BY276" i="2"/>
  <c r="BK276" i="2"/>
  <c r="AR276" i="2"/>
  <c r="X276" i="2"/>
  <c r="CL275" i="2"/>
  <c r="BP275" i="2"/>
  <c r="BA275" i="2"/>
  <c r="Z275" i="2"/>
  <c r="C275" i="2"/>
  <c r="BN274" i="2"/>
  <c r="AZ274" i="2"/>
  <c r="AA274" i="2"/>
  <c r="F274" i="2"/>
  <c r="BR273" i="2"/>
  <c r="BD273" i="2"/>
  <c r="AG273" i="2"/>
  <c r="N273" i="2"/>
  <c r="BV272" i="2"/>
  <c r="BG272" i="2"/>
  <c r="AJ272" i="2"/>
  <c r="V272" i="2"/>
  <c r="D272" i="2"/>
  <c r="BP271" i="2"/>
  <c r="BA271" i="2"/>
  <c r="AC271" i="2"/>
  <c r="F271" i="2"/>
  <c r="BZ270" i="2"/>
  <c r="BL270" i="2"/>
  <c r="AX270" i="2"/>
  <c r="Z270" i="2"/>
  <c r="H270" i="2"/>
  <c r="BT269" i="2"/>
  <c r="BF269" i="2"/>
  <c r="AI269" i="2"/>
  <c r="U269" i="2"/>
  <c r="BZ268" i="2"/>
  <c r="BL268" i="2"/>
  <c r="AX268" i="2"/>
  <c r="Z268" i="2"/>
  <c r="H268" i="2"/>
  <c r="BT267" i="2"/>
  <c r="BF267" i="2"/>
  <c r="AI267" i="2"/>
  <c r="U267" i="2"/>
  <c r="CQ266" i="2"/>
  <c r="BR266" i="2"/>
  <c r="BD266" i="2"/>
  <c r="AG266" i="2"/>
  <c r="P266" i="2"/>
  <c r="CR265" i="2"/>
  <c r="BS265" i="2"/>
  <c r="BE265" i="2"/>
  <c r="AH265" i="2"/>
  <c r="T265" i="2"/>
  <c r="C265" i="2"/>
  <c r="BW264" i="2"/>
  <c r="BH264" i="2"/>
  <c r="AK264" i="2"/>
  <c r="W264" i="2"/>
  <c r="E264" i="2"/>
  <c r="BY263" i="2"/>
  <c r="BK263" i="2"/>
  <c r="AR263" i="2"/>
  <c r="Y263" i="2"/>
  <c r="G263" i="2"/>
  <c r="BS262" i="2"/>
  <c r="BE262" i="2"/>
  <c r="AH262" i="2"/>
  <c r="N262" i="2"/>
  <c r="BV261" i="2"/>
  <c r="BG261" i="2"/>
  <c r="AJ261" i="2"/>
  <c r="V261" i="2"/>
  <c r="BX260" i="2"/>
  <c r="BJ260" i="2"/>
  <c r="AL260" i="2"/>
  <c r="X260" i="2"/>
  <c r="CL259" i="2"/>
  <c r="BX259" i="2"/>
  <c r="BJ259" i="2"/>
  <c r="AL259" i="2"/>
  <c r="X259" i="2"/>
  <c r="F259" i="2"/>
  <c r="BR258" i="2"/>
  <c r="AB322" i="2"/>
  <c r="CR319" i="2"/>
  <c r="BW318" i="2"/>
  <c r="D318" i="2"/>
  <c r="V317" i="2"/>
  <c r="AR316" i="2"/>
  <c r="BH315" i="2"/>
  <c r="X315" i="2"/>
  <c r="BK314" i="2"/>
  <c r="X314" i="2"/>
  <c r="BS313" i="2"/>
  <c r="AH313" i="2"/>
  <c r="F313" i="2"/>
  <c r="BL312" i="2"/>
  <c r="AK312" i="2"/>
  <c r="L312" i="2"/>
  <c r="BX311" i="2"/>
  <c r="BJ311" i="2"/>
  <c r="AL311" i="2"/>
  <c r="W311" i="2"/>
  <c r="D311" i="2"/>
  <c r="BR310" i="2"/>
  <c r="BD310" i="2"/>
  <c r="AG310" i="2"/>
  <c r="N310" i="2"/>
  <c r="CL309" i="2"/>
  <c r="BN309" i="2"/>
  <c r="AZ309" i="2"/>
  <c r="AA309" i="2"/>
  <c r="J309" i="2"/>
  <c r="BW308" i="2"/>
  <c r="BI308" i="2"/>
  <c r="AL308" i="2"/>
  <c r="U308" i="2"/>
  <c r="BW307" i="2"/>
  <c r="BI307" i="2"/>
  <c r="AL307" i="2"/>
  <c r="U307" i="2"/>
  <c r="BW306" i="2"/>
  <c r="BH306" i="2"/>
  <c r="AK306" i="2"/>
  <c r="V306" i="2"/>
  <c r="C306" i="2"/>
  <c r="BN305" i="2"/>
  <c r="AZ305" i="2"/>
  <c r="AA305" i="2"/>
  <c r="H305" i="2"/>
  <c r="BT304" i="2"/>
  <c r="BF304" i="2"/>
  <c r="AI304" i="2"/>
  <c r="P304" i="2"/>
  <c r="BZ303" i="2"/>
  <c r="BL303" i="2"/>
  <c r="AX303" i="2"/>
  <c r="Y303" i="2"/>
  <c r="F303" i="2"/>
  <c r="BT302" i="2"/>
  <c r="BF302" i="2"/>
  <c r="AI302" i="2"/>
  <c r="Q302" i="2"/>
  <c r="C302" i="2"/>
  <c r="BN301" i="2"/>
  <c r="BA301" i="2"/>
  <c r="Z301" i="2"/>
  <c r="C301" i="2"/>
  <c r="BN300" i="2"/>
  <c r="BA300" i="2"/>
  <c r="Z300" i="2"/>
  <c r="C300" i="2"/>
  <c r="BN299" i="2"/>
  <c r="AZ299" i="2"/>
  <c r="Y299" i="2"/>
  <c r="B299" i="2"/>
  <c r="BM298" i="2"/>
  <c r="AY298" i="2"/>
  <c r="Z298" i="2"/>
  <c r="I298" i="2"/>
  <c r="BV297" i="2"/>
  <c r="BG297" i="2"/>
  <c r="AJ297" i="2"/>
  <c r="U297" i="2"/>
  <c r="BW296" i="2"/>
  <c r="BH296" i="2"/>
  <c r="AK296" i="2"/>
  <c r="V296" i="2"/>
  <c r="C296" i="2"/>
  <c r="BN295" i="2"/>
  <c r="AZ295" i="2"/>
  <c r="AA295" i="2"/>
  <c r="D295" i="2"/>
  <c r="BP294" i="2"/>
  <c r="BA294" i="2"/>
  <c r="AB294" i="2"/>
  <c r="J294" i="2"/>
  <c r="BV293" i="2"/>
  <c r="BG293" i="2"/>
  <c r="AJ293" i="2"/>
  <c r="U293" i="2"/>
  <c r="B293" i="2"/>
  <c r="BM292" i="2"/>
  <c r="AY292" i="2"/>
  <c r="Z292" i="2"/>
  <c r="G292" i="2"/>
  <c r="BS291" i="2"/>
  <c r="BE291" i="2"/>
  <c r="AH291" i="2"/>
  <c r="N291" i="2"/>
  <c r="CK290" i="2"/>
  <c r="BM290" i="2"/>
  <c r="AY290" i="2"/>
  <c r="Z290" i="2"/>
  <c r="I290" i="2"/>
  <c r="CO289" i="2"/>
  <c r="BS289" i="2"/>
  <c r="BE289" i="2"/>
  <c r="AH289" i="2"/>
  <c r="N289" i="2"/>
  <c r="CS288" i="2"/>
  <c r="BX288" i="2"/>
  <c r="BJ288" i="2"/>
  <c r="AL288" i="2"/>
  <c r="W288" i="2"/>
  <c r="E288" i="2"/>
  <c r="BZ287" i="2"/>
  <c r="BL287" i="2"/>
  <c r="AX287" i="2"/>
  <c r="Y287" i="2"/>
  <c r="G287" i="2"/>
  <c r="BV286" i="2"/>
  <c r="BG286" i="2"/>
  <c r="AJ286" i="2"/>
  <c r="U286" i="2"/>
  <c r="CG285" i="2"/>
  <c r="BS285" i="2"/>
  <c r="BE285" i="2"/>
  <c r="AH285" i="2"/>
  <c r="N285" i="2"/>
  <c r="BY284" i="2"/>
  <c r="BK284" i="2"/>
  <c r="AR284" i="2"/>
  <c r="X284" i="2"/>
  <c r="E284" i="2"/>
  <c r="BQ283" i="2"/>
  <c r="BB283" i="2"/>
  <c r="AF283" i="2"/>
  <c r="H283" i="2"/>
  <c r="BX282" i="2"/>
  <c r="BJ282" i="2"/>
  <c r="AL282" i="2"/>
  <c r="W282" i="2"/>
  <c r="F282" i="2"/>
  <c r="BR281" i="2"/>
  <c r="BD281" i="2"/>
  <c r="AG281" i="2"/>
  <c r="G281" i="2"/>
  <c r="BS280" i="2"/>
  <c r="BE280" i="2"/>
  <c r="AH280" i="2"/>
  <c r="H280" i="2"/>
  <c r="BT279" i="2"/>
  <c r="BF279" i="2"/>
  <c r="AI279" i="2"/>
  <c r="N279" i="2"/>
  <c r="BV278" i="2"/>
  <c r="BG278" i="2"/>
  <c r="AJ278" i="2"/>
  <c r="U278" i="2"/>
  <c r="BW277" i="2"/>
  <c r="BH277" i="2"/>
  <c r="AK277" i="2"/>
  <c r="V277" i="2"/>
  <c r="BX276" i="2"/>
  <c r="BJ276" i="2"/>
  <c r="AL276" i="2"/>
  <c r="W276" i="2"/>
  <c r="CK275" i="2"/>
  <c r="BN275" i="2"/>
  <c r="AZ275" i="2"/>
  <c r="Y275" i="2"/>
  <c r="B275" i="2"/>
  <c r="BM274" i="2"/>
  <c r="AY274" i="2"/>
  <c r="Z274" i="2"/>
  <c r="E274" i="2"/>
  <c r="BQ273" i="2"/>
  <c r="BB273" i="2"/>
  <c r="AF273" i="2"/>
  <c r="H273" i="2"/>
  <c r="BT272" i="2"/>
  <c r="BF272" i="2"/>
  <c r="AI272" i="2"/>
  <c r="U272" i="2"/>
  <c r="C272" i="2"/>
  <c r="BN271" i="2"/>
  <c r="AZ271" i="2"/>
  <c r="AB271" i="2"/>
  <c r="E271" i="2"/>
  <c r="BY270" i="2"/>
  <c r="BK270" i="2"/>
  <c r="AR270" i="2"/>
  <c r="Y270" i="2"/>
  <c r="G270" i="2"/>
  <c r="BS269" i="2"/>
  <c r="BE269" i="2"/>
  <c r="AH269" i="2"/>
  <c r="P269" i="2"/>
  <c r="BY268" i="2"/>
  <c r="BK268" i="2"/>
  <c r="AR268" i="2"/>
  <c r="Y268" i="2"/>
  <c r="G268" i="2"/>
  <c r="BS267" i="2"/>
  <c r="BE267" i="2"/>
  <c r="AH267" i="2"/>
  <c r="P267" i="2"/>
  <c r="CP266" i="2"/>
  <c r="BQ266" i="2"/>
  <c r="BB266" i="2"/>
  <c r="AF266" i="2"/>
  <c r="N266" i="2"/>
  <c r="CQ265" i="2"/>
  <c r="BR265" i="2"/>
  <c r="BD265" i="2"/>
  <c r="AG265" i="2"/>
  <c r="P265" i="2"/>
  <c r="B265" i="2"/>
  <c r="BV264" i="2"/>
  <c r="BG264" i="2"/>
  <c r="AJ264" i="2"/>
  <c r="V264" i="2"/>
  <c r="D264" i="2"/>
  <c r="BX263" i="2"/>
  <c r="BJ263" i="2"/>
  <c r="AL263" i="2"/>
  <c r="X263" i="2"/>
  <c r="F263" i="2"/>
  <c r="BR262" i="2"/>
  <c r="BD262" i="2"/>
  <c r="AG262" i="2"/>
  <c r="H262" i="2"/>
  <c r="BT261" i="2"/>
  <c r="BF261" i="2"/>
  <c r="AI261" i="2"/>
  <c r="U261" i="2"/>
  <c r="BW260" i="2"/>
  <c r="BH260" i="2"/>
  <c r="AK260" i="2"/>
  <c r="W260" i="2"/>
  <c r="CK259" i="2"/>
  <c r="BW259" i="2"/>
  <c r="BH259" i="2"/>
  <c r="I322" i="2"/>
  <c r="BW319" i="2"/>
  <c r="BS318" i="2"/>
  <c r="CS317" i="2"/>
  <c r="N317" i="2"/>
  <c r="AJ316" i="2"/>
  <c r="BG315" i="2"/>
  <c r="U315" i="2"/>
  <c r="BJ314" i="2"/>
  <c r="W314" i="2"/>
  <c r="BR313" i="2"/>
  <c r="AG313" i="2"/>
  <c r="E313" i="2"/>
  <c r="BK312" i="2"/>
  <c r="AJ312" i="2"/>
  <c r="K312" i="2"/>
  <c r="BW311" i="2"/>
  <c r="BH311" i="2"/>
  <c r="AK311" i="2"/>
  <c r="V311" i="2"/>
  <c r="C311" i="2"/>
  <c r="BQ310" i="2"/>
  <c r="BB310" i="2"/>
  <c r="AF310" i="2"/>
  <c r="L310" i="2"/>
  <c r="CK309" i="2"/>
  <c r="BM309" i="2"/>
  <c r="AY309" i="2"/>
  <c r="Z309" i="2"/>
  <c r="I309" i="2"/>
  <c r="BV308" i="2"/>
  <c r="BH308" i="2"/>
  <c r="AK308" i="2"/>
  <c r="N308" i="2"/>
  <c r="BV307" i="2"/>
  <c r="BH307" i="2"/>
  <c r="AK307" i="2"/>
  <c r="N307" i="2"/>
  <c r="BV306" i="2"/>
  <c r="BG306" i="2"/>
  <c r="AJ306" i="2"/>
  <c r="U306" i="2"/>
  <c r="B306" i="2"/>
  <c r="BM305" i="2"/>
  <c r="AY305" i="2"/>
  <c r="Z305" i="2"/>
  <c r="G305" i="2"/>
  <c r="BS304" i="2"/>
  <c r="BE304" i="2"/>
  <c r="AH304" i="2"/>
  <c r="N304" i="2"/>
  <c r="BY303" i="2"/>
  <c r="BK303" i="2"/>
  <c r="AR303" i="2"/>
  <c r="X303" i="2"/>
  <c r="E303" i="2"/>
  <c r="BS302" i="2"/>
  <c r="BE302" i="2"/>
  <c r="AH302" i="2"/>
  <c r="P302" i="2"/>
  <c r="B302" i="2"/>
  <c r="BM301" i="2"/>
  <c r="AZ301" i="2"/>
  <c r="Y301" i="2"/>
  <c r="B301" i="2"/>
  <c r="BM300" i="2"/>
  <c r="AZ300" i="2"/>
  <c r="Y300" i="2"/>
  <c r="B300" i="2"/>
  <c r="BM299" i="2"/>
  <c r="AY299" i="2"/>
  <c r="X299" i="2"/>
  <c r="BZ298" i="2"/>
  <c r="BL298" i="2"/>
  <c r="AX298" i="2"/>
  <c r="Y298" i="2"/>
  <c r="H298" i="2"/>
  <c r="BT297" i="2"/>
  <c r="BF297" i="2"/>
  <c r="AI297" i="2"/>
  <c r="N297" i="2"/>
  <c r="BV296" i="2"/>
  <c r="BG296" i="2"/>
  <c r="AJ296" i="2"/>
  <c r="U296" i="2"/>
  <c r="B296" i="2"/>
  <c r="BM295" i="2"/>
  <c r="AY295" i="2"/>
  <c r="Z295" i="2"/>
  <c r="C295" i="2"/>
  <c r="BN294" i="2"/>
  <c r="AZ294" i="2"/>
  <c r="AA294" i="2"/>
  <c r="H294" i="2"/>
  <c r="BT293" i="2"/>
  <c r="BF293" i="2"/>
  <c r="AI293" i="2"/>
  <c r="N293" i="2"/>
  <c r="BZ292" i="2"/>
  <c r="BL292" i="2"/>
  <c r="AX292" i="2"/>
  <c r="Y292" i="2"/>
  <c r="F292" i="2"/>
  <c r="BR291" i="2"/>
  <c r="BD291" i="2"/>
  <c r="AG291" i="2"/>
  <c r="L291" i="2"/>
  <c r="BZ290" i="2"/>
  <c r="BL290" i="2"/>
  <c r="AX290" i="2"/>
  <c r="Y290" i="2"/>
  <c r="H290" i="2"/>
  <c r="CN289" i="2"/>
  <c r="BR289" i="2"/>
  <c r="BD289" i="2"/>
  <c r="AG289" i="2"/>
  <c r="L289" i="2"/>
  <c r="CR288" i="2"/>
  <c r="BW288" i="2"/>
  <c r="BH288" i="2"/>
  <c r="AK288" i="2"/>
  <c r="V288" i="2"/>
  <c r="D288" i="2"/>
  <c r="BY287" i="2"/>
  <c r="BK287" i="2"/>
  <c r="AR287" i="2"/>
  <c r="X287" i="2"/>
  <c r="F287" i="2"/>
  <c r="BT286" i="2"/>
  <c r="BF286" i="2"/>
  <c r="AI286" i="2"/>
  <c r="N286" i="2"/>
  <c r="CF285" i="2"/>
  <c r="BR285" i="2"/>
  <c r="BD285" i="2"/>
  <c r="AG285" i="2"/>
  <c r="L285" i="2"/>
  <c r="BX284" i="2"/>
  <c r="BJ284" i="2"/>
  <c r="AL284" i="2"/>
  <c r="W284" i="2"/>
  <c r="D284" i="2"/>
  <c r="BP283" i="2"/>
  <c r="BA283" i="2"/>
  <c r="AB283" i="2"/>
  <c r="G283" i="2"/>
  <c r="BW282" i="2"/>
  <c r="BH282" i="2"/>
  <c r="AK282" i="2"/>
  <c r="V282" i="2"/>
  <c r="E282" i="2"/>
  <c r="BQ281" i="2"/>
  <c r="BB281" i="2"/>
  <c r="AF281" i="2"/>
  <c r="F281" i="2"/>
  <c r="BR280" i="2"/>
  <c r="BD280" i="2"/>
  <c r="AG280" i="2"/>
  <c r="G280" i="2"/>
  <c r="BS279" i="2"/>
  <c r="BE279" i="2"/>
  <c r="AH279" i="2"/>
  <c r="H279" i="2"/>
  <c r="BT278" i="2"/>
  <c r="BF278" i="2"/>
  <c r="AI278" i="2"/>
  <c r="N278" i="2"/>
  <c r="BV277" i="2"/>
  <c r="BG277" i="2"/>
  <c r="AJ277" i="2"/>
  <c r="U277" i="2"/>
  <c r="BW276" i="2"/>
  <c r="BH276" i="2"/>
  <c r="AK276" i="2"/>
  <c r="V276" i="2"/>
  <c r="CJ275" i="2"/>
  <c r="BM275" i="2"/>
  <c r="AY275" i="2"/>
  <c r="X275" i="2"/>
  <c r="BZ274" i="2"/>
  <c r="BL274" i="2"/>
  <c r="AX274" i="2"/>
  <c r="Y274" i="2"/>
  <c r="D274" i="2"/>
  <c r="BP273" i="2"/>
  <c r="BA273" i="2"/>
  <c r="AC273" i="2"/>
  <c r="G273" i="2"/>
  <c r="BS272" i="2"/>
  <c r="BE272" i="2"/>
  <c r="AH272" i="2"/>
  <c r="T272" i="2"/>
  <c r="B272" i="2"/>
  <c r="BM271" i="2"/>
  <c r="AY271" i="2"/>
  <c r="AA271" i="2"/>
  <c r="D271" i="2"/>
  <c r="BX270" i="2"/>
  <c r="BJ270" i="2"/>
  <c r="AL270" i="2"/>
  <c r="X270" i="2"/>
  <c r="F270" i="2"/>
  <c r="BR269" i="2"/>
  <c r="BD269" i="2"/>
  <c r="AG269" i="2"/>
  <c r="N269" i="2"/>
  <c r="BX268" i="2"/>
  <c r="BJ268" i="2"/>
  <c r="AL268" i="2"/>
  <c r="X268" i="2"/>
  <c r="F268" i="2"/>
  <c r="BR267" i="2"/>
  <c r="BD267" i="2"/>
  <c r="AG267" i="2"/>
  <c r="N267" i="2"/>
  <c r="CO266" i="2"/>
  <c r="BP266" i="2"/>
  <c r="BA266" i="2"/>
  <c r="AC266" i="2"/>
  <c r="L266" i="2"/>
  <c r="CP265" i="2"/>
  <c r="BQ265" i="2"/>
  <c r="BB265" i="2"/>
  <c r="AF265" i="2"/>
  <c r="N265" i="2"/>
  <c r="CS264" i="2"/>
  <c r="BT264" i="2"/>
  <c r="BF264" i="2"/>
  <c r="AI264" i="2"/>
  <c r="U264" i="2"/>
  <c r="C264" i="2"/>
  <c r="BW263" i="2"/>
  <c r="BH263" i="2"/>
  <c r="AK263" i="2"/>
  <c r="W263" i="2"/>
  <c r="E263" i="2"/>
  <c r="BQ262" i="2"/>
  <c r="BB262" i="2"/>
  <c r="AF262" i="2"/>
  <c r="G262" i="2"/>
  <c r="BS261" i="2"/>
  <c r="BE261" i="2"/>
  <c r="AH261" i="2"/>
  <c r="N261" i="2"/>
  <c r="BV260" i="2"/>
  <c r="BG260" i="2"/>
  <c r="AJ260" i="2"/>
  <c r="V260" i="2"/>
  <c r="CJ259" i="2"/>
  <c r="BV259" i="2"/>
  <c r="BG259" i="2"/>
  <c r="AJ259" i="2"/>
  <c r="V259" i="2"/>
  <c r="D259" i="2"/>
  <c r="BP258" i="2"/>
  <c r="BA258" i="2"/>
  <c r="AC258" i="2"/>
  <c r="F258" i="2"/>
  <c r="BS257" i="2"/>
  <c r="BE257" i="2"/>
  <c r="CO321" i="2"/>
  <c r="BH319" i="2"/>
  <c r="BM318" i="2"/>
  <c r="CM317" i="2"/>
  <c r="H317" i="2"/>
  <c r="AB316" i="2"/>
  <c r="BB315" i="2"/>
  <c r="J315" i="2"/>
  <c r="BH314" i="2"/>
  <c r="V314" i="2"/>
  <c r="BQ313" i="2"/>
  <c r="AF313" i="2"/>
  <c r="C313" i="2"/>
  <c r="BJ312" i="2"/>
  <c r="AI312" i="2"/>
  <c r="J312" i="2"/>
  <c r="BV311" i="2"/>
  <c r="BG311" i="2"/>
  <c r="AJ311" i="2"/>
  <c r="U311" i="2"/>
  <c r="B311" i="2"/>
  <c r="BP310" i="2"/>
  <c r="BA310" i="2"/>
  <c r="AB310" i="2"/>
  <c r="K310" i="2"/>
  <c r="BZ309" i="2"/>
  <c r="BL309" i="2"/>
  <c r="AX309" i="2"/>
  <c r="Y309" i="2"/>
  <c r="H309" i="2"/>
  <c r="BT308" i="2"/>
  <c r="BG308" i="2"/>
  <c r="AJ308" i="2"/>
  <c r="H308" i="2"/>
  <c r="BT307" i="2"/>
  <c r="BG307" i="2"/>
  <c r="AJ307" i="2"/>
  <c r="H307" i="2"/>
  <c r="BT306" i="2"/>
  <c r="BF306" i="2"/>
  <c r="AI306" i="2"/>
  <c r="P306" i="2"/>
  <c r="BZ305" i="2"/>
  <c r="BL305" i="2"/>
  <c r="AX305" i="2"/>
  <c r="Y305" i="2"/>
  <c r="F305" i="2"/>
  <c r="BR304" i="2"/>
  <c r="BD304" i="2"/>
  <c r="AG304" i="2"/>
  <c r="L304" i="2"/>
  <c r="BX303" i="2"/>
  <c r="BJ303" i="2"/>
  <c r="AL303" i="2"/>
  <c r="W303" i="2"/>
  <c r="D303" i="2"/>
  <c r="BR302" i="2"/>
  <c r="BD302" i="2"/>
  <c r="AG302" i="2"/>
  <c r="N302" i="2"/>
  <c r="BZ301" i="2"/>
  <c r="BL301" i="2"/>
  <c r="AY301" i="2"/>
  <c r="X301" i="2"/>
  <c r="BZ300" i="2"/>
  <c r="BL300" i="2"/>
  <c r="AY300" i="2"/>
  <c r="X300" i="2"/>
  <c r="BZ299" i="2"/>
  <c r="BL299" i="2"/>
  <c r="AX299" i="2"/>
  <c r="W299" i="2"/>
  <c r="BY298" i="2"/>
  <c r="BK298" i="2"/>
  <c r="AR298" i="2"/>
  <c r="X298" i="2"/>
  <c r="G298" i="2"/>
  <c r="BS297" i="2"/>
  <c r="BE297" i="2"/>
  <c r="AH297" i="2"/>
  <c r="H297" i="2"/>
  <c r="BT296" i="2"/>
  <c r="BF296" i="2"/>
  <c r="AI296" i="2"/>
  <c r="P296" i="2"/>
  <c r="BZ295" i="2"/>
  <c r="BL295" i="2"/>
  <c r="AX295" i="2"/>
  <c r="Y295" i="2"/>
  <c r="B295" i="2"/>
  <c r="BM294" i="2"/>
  <c r="AY294" i="2"/>
  <c r="Z294" i="2"/>
  <c r="G294" i="2"/>
  <c r="BS293" i="2"/>
  <c r="BE293" i="2"/>
  <c r="AH293" i="2"/>
  <c r="L293" i="2"/>
  <c r="BY292" i="2"/>
  <c r="BK292" i="2"/>
  <c r="AR292" i="2"/>
  <c r="X292" i="2"/>
  <c r="E292" i="2"/>
  <c r="BQ291" i="2"/>
  <c r="BB291" i="2"/>
  <c r="AF291" i="2"/>
  <c r="K291" i="2"/>
  <c r="BY290" i="2"/>
  <c r="BK290" i="2"/>
  <c r="AR290" i="2"/>
  <c r="X290" i="2"/>
  <c r="G290" i="2"/>
  <c r="CM289" i="2"/>
  <c r="BQ289" i="2"/>
  <c r="BB289" i="2"/>
  <c r="AF289" i="2"/>
  <c r="K289" i="2"/>
  <c r="CQ288" i="2"/>
  <c r="BV288" i="2"/>
  <c r="BG288" i="2"/>
  <c r="AJ288" i="2"/>
  <c r="U288" i="2"/>
  <c r="C288" i="2"/>
  <c r="BX287" i="2"/>
  <c r="BJ287" i="2"/>
  <c r="AL287" i="2"/>
  <c r="W287" i="2"/>
  <c r="E287" i="2"/>
  <c r="BS286" i="2"/>
  <c r="BE286" i="2"/>
  <c r="AH286" i="2"/>
  <c r="H286" i="2"/>
  <c r="CE285" i="2"/>
  <c r="BQ285" i="2"/>
  <c r="BB285" i="2"/>
  <c r="AF285" i="2"/>
  <c r="K285" i="2"/>
  <c r="BW284" i="2"/>
  <c r="BH284" i="2"/>
  <c r="AK284" i="2"/>
  <c r="V284" i="2"/>
  <c r="C284" i="2"/>
  <c r="BN283" i="2"/>
  <c r="AZ283" i="2"/>
  <c r="AA283" i="2"/>
  <c r="F283" i="2"/>
  <c r="BV282" i="2"/>
  <c r="BG282" i="2"/>
  <c r="AJ282" i="2"/>
  <c r="U282" i="2"/>
  <c r="D282" i="2"/>
  <c r="BP281" i="2"/>
  <c r="BA281" i="2"/>
  <c r="AB281" i="2"/>
  <c r="E281" i="2"/>
  <c r="BQ280" i="2"/>
  <c r="BB280" i="2"/>
  <c r="AF280" i="2"/>
  <c r="F280" i="2"/>
  <c r="BR279" i="2"/>
  <c r="BD279" i="2"/>
  <c r="AG279" i="2"/>
  <c r="G279" i="2"/>
  <c r="BS278" i="2"/>
  <c r="BE278" i="2"/>
  <c r="AH278" i="2"/>
  <c r="H278" i="2"/>
  <c r="BT277" i="2"/>
  <c r="BF277" i="2"/>
  <c r="AI277" i="2"/>
  <c r="N277" i="2"/>
  <c r="BV276" i="2"/>
  <c r="BG276" i="2"/>
  <c r="AJ276" i="2"/>
  <c r="U276" i="2"/>
  <c r="BZ275" i="2"/>
  <c r="BL275" i="2"/>
  <c r="AX275" i="2"/>
  <c r="W275" i="2"/>
  <c r="BY274" i="2"/>
  <c r="BK274" i="2"/>
  <c r="AR274" i="2"/>
  <c r="X274" i="2"/>
  <c r="C274" i="2"/>
  <c r="BN273" i="2"/>
  <c r="AZ273" i="2"/>
  <c r="AB273" i="2"/>
  <c r="F273" i="2"/>
  <c r="BR272" i="2"/>
  <c r="BD272" i="2"/>
  <c r="AG272" i="2"/>
  <c r="P272" i="2"/>
  <c r="BZ271" i="2"/>
  <c r="BL271" i="2"/>
  <c r="AX271" i="2"/>
  <c r="Z271" i="2"/>
  <c r="C271" i="2"/>
  <c r="BW270" i="2"/>
  <c r="BH270" i="2"/>
  <c r="AK270" i="2"/>
  <c r="W270" i="2"/>
  <c r="E270" i="2"/>
  <c r="BQ269" i="2"/>
  <c r="BB269" i="2"/>
  <c r="AF269" i="2"/>
  <c r="J269" i="2"/>
  <c r="BW268" i="2"/>
  <c r="BH268" i="2"/>
  <c r="AK268" i="2"/>
  <c r="W268" i="2"/>
  <c r="E268" i="2"/>
  <c r="BQ267" i="2"/>
  <c r="BB267" i="2"/>
  <c r="AF267" i="2"/>
  <c r="H267" i="2"/>
  <c r="CN266" i="2"/>
  <c r="BN266" i="2"/>
  <c r="AZ266" i="2"/>
  <c r="AB266" i="2"/>
  <c r="K266" i="2"/>
  <c r="CO265" i="2"/>
  <c r="BP265" i="2"/>
  <c r="BA265" i="2"/>
  <c r="AC265" i="2"/>
  <c r="L265" i="2"/>
  <c r="CR264" i="2"/>
  <c r="BS264" i="2"/>
  <c r="BE264" i="2"/>
  <c r="AH264" i="2"/>
  <c r="Q264" i="2"/>
  <c r="B264" i="2"/>
  <c r="BV263" i="2"/>
  <c r="BG263" i="2"/>
  <c r="AJ263" i="2"/>
  <c r="V263" i="2"/>
  <c r="BP321" i="2"/>
  <c r="BD319" i="2"/>
  <c r="BH318" i="2"/>
  <c r="BW317" i="2"/>
  <c r="D317" i="2"/>
  <c r="X316" i="2"/>
  <c r="AY315" i="2"/>
  <c r="H315" i="2"/>
  <c r="BD314" i="2"/>
  <c r="P314" i="2"/>
  <c r="BL313" i="2"/>
  <c r="AA313" i="2"/>
  <c r="BZ312" i="2"/>
  <c r="BH312" i="2"/>
  <c r="AH312" i="2"/>
  <c r="H312" i="2"/>
  <c r="BT311" i="2"/>
  <c r="BF311" i="2"/>
  <c r="AI311" i="2"/>
  <c r="P311" i="2"/>
  <c r="CL310" i="2"/>
  <c r="BN310" i="2"/>
  <c r="AZ310" i="2"/>
  <c r="AA310" i="2"/>
  <c r="J310" i="2"/>
  <c r="BY309" i="2"/>
  <c r="BK309" i="2"/>
  <c r="AR309" i="2"/>
  <c r="X309" i="2"/>
  <c r="G309" i="2"/>
  <c r="BS308" i="2"/>
  <c r="BF308" i="2"/>
  <c r="AI308" i="2"/>
  <c r="G308" i="2"/>
  <c r="BS307" i="2"/>
  <c r="BF307" i="2"/>
  <c r="AI307" i="2"/>
  <c r="G307" i="2"/>
  <c r="BS306" i="2"/>
  <c r="BE306" i="2"/>
  <c r="AH306" i="2"/>
  <c r="N306" i="2"/>
  <c r="BY305" i="2"/>
  <c r="BK305" i="2"/>
  <c r="AR305" i="2"/>
  <c r="X305" i="2"/>
  <c r="E305" i="2"/>
  <c r="BQ304" i="2"/>
  <c r="BB304" i="2"/>
  <c r="AF304" i="2"/>
  <c r="K304" i="2"/>
  <c r="BW303" i="2"/>
  <c r="BH303" i="2"/>
  <c r="AK303" i="2"/>
  <c r="V303" i="2"/>
  <c r="C303" i="2"/>
  <c r="BQ302" i="2"/>
  <c r="BB302" i="2"/>
  <c r="AF302" i="2"/>
  <c r="L302" i="2"/>
  <c r="BY301" i="2"/>
  <c r="BK301" i="2"/>
  <c r="AX301" i="2"/>
  <c r="W301" i="2"/>
  <c r="BY300" i="2"/>
  <c r="BK300" i="2"/>
  <c r="AX300" i="2"/>
  <c r="W300" i="2"/>
  <c r="BY299" i="2"/>
  <c r="BK299" i="2"/>
  <c r="AR299" i="2"/>
  <c r="V299" i="2"/>
  <c r="BX298" i="2"/>
  <c r="BJ298" i="2"/>
  <c r="AL298" i="2"/>
  <c r="W298" i="2"/>
  <c r="F298" i="2"/>
  <c r="BR297" i="2"/>
  <c r="BD297" i="2"/>
  <c r="AG297" i="2"/>
  <c r="G297" i="2"/>
  <c r="BS296" i="2"/>
  <c r="BE296" i="2"/>
  <c r="AH296" i="2"/>
  <c r="N296" i="2"/>
  <c r="BY295" i="2"/>
  <c r="BK295" i="2"/>
  <c r="AR295" i="2"/>
  <c r="X295" i="2"/>
  <c r="BZ294" i="2"/>
  <c r="BL294" i="2"/>
  <c r="AX294" i="2"/>
  <c r="Y294" i="2"/>
  <c r="F294" i="2"/>
  <c r="BR293" i="2"/>
  <c r="BD293" i="2"/>
  <c r="AG293" i="2"/>
  <c r="K293" i="2"/>
  <c r="BX292" i="2"/>
  <c r="BJ292" i="2"/>
  <c r="AL292" i="2"/>
  <c r="W292" i="2"/>
  <c r="D292" i="2"/>
  <c r="BP291" i="2"/>
  <c r="BA291" i="2"/>
  <c r="AB291" i="2"/>
  <c r="J291" i="2"/>
  <c r="BX290" i="2"/>
  <c r="BJ290" i="2"/>
  <c r="AL290" i="2"/>
  <c r="W290" i="2"/>
  <c r="F290" i="2"/>
  <c r="CL289" i="2"/>
  <c r="BP289" i="2"/>
  <c r="BA289" i="2"/>
  <c r="AB289" i="2"/>
  <c r="J289" i="2"/>
  <c r="CP288" i="2"/>
  <c r="BT288" i="2"/>
  <c r="BF288" i="2"/>
  <c r="AI288" i="2"/>
  <c r="Q288" i="2"/>
  <c r="B288" i="2"/>
  <c r="BW287" i="2"/>
  <c r="BH287" i="2"/>
  <c r="AK287" i="2"/>
  <c r="V287" i="2"/>
  <c r="D287" i="2"/>
  <c r="BR286" i="2"/>
  <c r="BD286" i="2"/>
  <c r="AG286" i="2"/>
  <c r="G286" i="2"/>
  <c r="CD285" i="2"/>
  <c r="BP285" i="2"/>
  <c r="BA285" i="2"/>
  <c r="AB285" i="2"/>
  <c r="J285" i="2"/>
  <c r="BV284" i="2"/>
  <c r="BG284" i="2"/>
  <c r="AJ284" i="2"/>
  <c r="U284" i="2"/>
  <c r="B284" i="2"/>
  <c r="BM283" i="2"/>
  <c r="AY283" i="2"/>
  <c r="Z283" i="2"/>
  <c r="E283" i="2"/>
  <c r="BT282" i="2"/>
  <c r="BF282" i="2"/>
  <c r="AI282" i="2"/>
  <c r="T282" i="2"/>
  <c r="C282" i="2"/>
  <c r="BN281" i="2"/>
  <c r="AZ281" i="2"/>
  <c r="AA281" i="2"/>
  <c r="D281" i="2"/>
  <c r="BP280" i="2"/>
  <c r="BA280" i="2"/>
  <c r="AB280" i="2"/>
  <c r="E280" i="2"/>
  <c r="BQ279" i="2"/>
  <c r="BA321" i="2"/>
  <c r="AZ319" i="2"/>
  <c r="BE318" i="2"/>
  <c r="BS317" i="2"/>
  <c r="CI316" i="2"/>
  <c r="U316" i="2"/>
  <c r="AV315" i="2"/>
  <c r="G315" i="2"/>
  <c r="AZ314" i="2"/>
  <c r="K314" i="2"/>
  <c r="BH313" i="2"/>
  <c r="Y313" i="2"/>
  <c r="BY312" i="2"/>
  <c r="BF312" i="2"/>
  <c r="AG312" i="2"/>
  <c r="G312" i="2"/>
  <c r="BS311" i="2"/>
  <c r="BE311" i="2"/>
  <c r="AH311" i="2"/>
  <c r="N311" i="2"/>
  <c r="CK310" i="2"/>
  <c r="BM310" i="2"/>
  <c r="AY310" i="2"/>
  <c r="Z310" i="2"/>
  <c r="I310" i="2"/>
  <c r="BX309" i="2"/>
  <c r="BJ309" i="2"/>
  <c r="AL309" i="2"/>
  <c r="W309" i="2"/>
  <c r="F309" i="2"/>
  <c r="BR308" i="2"/>
  <c r="BE308" i="2"/>
  <c r="AH308" i="2"/>
  <c r="F308" i="2"/>
  <c r="BR307" i="2"/>
  <c r="BE307" i="2"/>
  <c r="AH307" i="2"/>
  <c r="F307" i="2"/>
  <c r="BR306" i="2"/>
  <c r="BD306" i="2"/>
  <c r="AG306" i="2"/>
  <c r="L306" i="2"/>
  <c r="BX305" i="2"/>
  <c r="BJ305" i="2"/>
  <c r="AL305" i="2"/>
  <c r="W305" i="2"/>
  <c r="D305" i="2"/>
  <c r="BP304" i="2"/>
  <c r="BA304" i="2"/>
  <c r="AB304" i="2"/>
  <c r="J304" i="2"/>
  <c r="BV303" i="2"/>
  <c r="BG303" i="2"/>
  <c r="AJ303" i="2"/>
  <c r="U303" i="2"/>
  <c r="B303" i="2"/>
  <c r="BP302" i="2"/>
  <c r="BA302" i="2"/>
  <c r="AB302" i="2"/>
  <c r="K302" i="2"/>
  <c r="BX301" i="2"/>
  <c r="BJ301" i="2"/>
  <c r="AR301" i="2"/>
  <c r="V301" i="2"/>
  <c r="BX300" i="2"/>
  <c r="BJ300" i="2"/>
  <c r="AR300" i="2"/>
  <c r="V300" i="2"/>
  <c r="BX299" i="2"/>
  <c r="BJ299" i="2"/>
  <c r="AL299" i="2"/>
  <c r="U299" i="2"/>
  <c r="BW298" i="2"/>
  <c r="BH298" i="2"/>
  <c r="AK298" i="2"/>
  <c r="V298" i="2"/>
  <c r="E298" i="2"/>
  <c r="BQ297" i="2"/>
  <c r="BB297" i="2"/>
  <c r="AF297" i="2"/>
  <c r="F297" i="2"/>
  <c r="BR296" i="2"/>
  <c r="BD296" i="2"/>
  <c r="AG296" i="2"/>
  <c r="L296" i="2"/>
  <c r="BX295" i="2"/>
  <c r="BJ295" i="2"/>
  <c r="AL295" i="2"/>
  <c r="W295" i="2"/>
  <c r="BY294" i="2"/>
  <c r="BK294" i="2"/>
  <c r="AR294" i="2"/>
  <c r="X294" i="2"/>
  <c r="E294" i="2"/>
  <c r="BQ293" i="2"/>
  <c r="BB293" i="2"/>
  <c r="AF293" i="2"/>
  <c r="J293" i="2"/>
  <c r="BW292" i="2"/>
  <c r="BH292" i="2"/>
  <c r="AK292" i="2"/>
  <c r="V292" i="2"/>
  <c r="C292" i="2"/>
  <c r="BN291" i="2"/>
  <c r="AZ291" i="2"/>
  <c r="AA291" i="2"/>
  <c r="H291" i="2"/>
  <c r="BW290" i="2"/>
  <c r="BH290" i="2"/>
  <c r="AK290" i="2"/>
  <c r="V290" i="2"/>
  <c r="E290" i="2"/>
  <c r="CK289" i="2"/>
  <c r="BN289" i="2"/>
  <c r="AZ289" i="2"/>
  <c r="AA289" i="2"/>
  <c r="I289" i="2"/>
  <c r="CO288" i="2"/>
  <c r="BS288" i="2"/>
  <c r="BE288" i="2"/>
  <c r="AH288" i="2"/>
  <c r="N288" i="2"/>
  <c r="CI287" i="2"/>
  <c r="BV287" i="2"/>
  <c r="BG287" i="2"/>
  <c r="AJ287" i="2"/>
  <c r="U287" i="2"/>
  <c r="C287" i="2"/>
  <c r="BQ286" i="2"/>
  <c r="BB286" i="2"/>
  <c r="AF286" i="2"/>
  <c r="F286" i="2"/>
  <c r="CC285" i="2"/>
  <c r="BN285" i="2"/>
  <c r="AZ285" i="2"/>
  <c r="AA285" i="2"/>
  <c r="H285" i="2"/>
  <c r="BT284" i="2"/>
  <c r="BF284" i="2"/>
  <c r="AI284" i="2"/>
  <c r="P284" i="2"/>
  <c r="BZ283" i="2"/>
  <c r="BL283" i="2"/>
  <c r="AX283" i="2"/>
  <c r="Y283" i="2"/>
  <c r="D283" i="2"/>
  <c r="BS282" i="2"/>
  <c r="BE282" i="2"/>
  <c r="AH282" i="2"/>
  <c r="Q282" i="2"/>
  <c r="B282" i="2"/>
  <c r="BM281" i="2"/>
  <c r="AY281" i="2"/>
  <c r="Z281" i="2"/>
  <c r="C281" i="2"/>
  <c r="BN280" i="2"/>
  <c r="AZ280" i="2"/>
  <c r="AA280" i="2"/>
  <c r="D280" i="2"/>
  <c r="BP279" i="2"/>
  <c r="BA279" i="2"/>
  <c r="AB279" i="2"/>
  <c r="E279" i="2"/>
  <c r="BQ278" i="2"/>
  <c r="BB278" i="2"/>
  <c r="AF278" i="2"/>
  <c r="F278" i="2"/>
  <c r="BR277" i="2"/>
  <c r="BD277" i="2"/>
  <c r="AG277" i="2"/>
  <c r="G277" i="2"/>
  <c r="BS276" i="2"/>
  <c r="BE276" i="2"/>
  <c r="AH276" i="2"/>
  <c r="H276" i="2"/>
  <c r="BX275" i="2"/>
  <c r="BJ275" i="2"/>
  <c r="AL275" i="2"/>
  <c r="U275" i="2"/>
  <c r="BW274" i="2"/>
  <c r="BH274" i="2"/>
  <c r="AK274" i="2"/>
  <c r="V274" i="2"/>
  <c r="BZ273" i="2"/>
  <c r="BL273" i="2"/>
  <c r="AX273" i="2"/>
  <c r="Z273" i="2"/>
  <c r="D273" i="2"/>
  <c r="BP272" i="2"/>
  <c r="BA272" i="2"/>
  <c r="AC272" i="2"/>
  <c r="L272" i="2"/>
  <c r="BX271" i="2"/>
  <c r="BJ271" i="2"/>
  <c r="AL271" i="2"/>
  <c r="X271" i="2"/>
  <c r="CS270" i="2"/>
  <c r="BT270" i="2"/>
  <c r="BF270" i="2"/>
  <c r="AI270" i="2"/>
  <c r="U270" i="2"/>
  <c r="C270" i="2"/>
  <c r="BN269" i="2"/>
  <c r="AZ269" i="2"/>
  <c r="AB269" i="2"/>
  <c r="H269" i="2"/>
  <c r="BT268" i="2"/>
  <c r="BF268" i="2"/>
  <c r="AI268" i="2"/>
  <c r="U268" i="2"/>
  <c r="C268" i="2"/>
  <c r="BN267" i="2"/>
  <c r="AZ267" i="2"/>
  <c r="AB267" i="2"/>
  <c r="F267" i="2"/>
  <c r="BZ266" i="2"/>
  <c r="BL266" i="2"/>
  <c r="AX266" i="2"/>
  <c r="Z266" i="2"/>
  <c r="G266" i="2"/>
  <c r="CM265" i="2"/>
  <c r="BM265" i="2"/>
  <c r="AY265" i="2"/>
  <c r="AA265" i="2"/>
  <c r="J265" i="2"/>
  <c r="CP264" i="2"/>
  <c r="BQ264" i="2"/>
  <c r="BB264" i="2"/>
  <c r="AF264" i="2"/>
  <c r="N264" i="2"/>
  <c r="CR263" i="2"/>
  <c r="BS263" i="2"/>
  <c r="BE263" i="2"/>
  <c r="AH263" i="2"/>
  <c r="R263" i="2"/>
  <c r="B263" i="2"/>
  <c r="BM262" i="2"/>
  <c r="AY262" i="2"/>
  <c r="AA262" i="2"/>
  <c r="D262" i="2"/>
  <c r="BP261" i="2"/>
  <c r="BA261" i="2"/>
  <c r="AC261" i="2"/>
  <c r="F261" i="2"/>
  <c r="BR260" i="2"/>
  <c r="BD260" i="2"/>
  <c r="AG260" i="2"/>
  <c r="H260" i="2"/>
  <c r="CG259" i="2"/>
  <c r="AB321" i="2"/>
  <c r="AK319" i="2"/>
  <c r="AY318" i="2"/>
  <c r="BM317" i="2"/>
  <c r="CD316" i="2"/>
  <c r="J316" i="2"/>
  <c r="AU315" i="2"/>
  <c r="C315" i="2"/>
  <c r="AX314" i="2"/>
  <c r="H314" i="2"/>
  <c r="BF313" i="2"/>
  <c r="V313" i="2"/>
  <c r="BX312" i="2"/>
  <c r="BE312" i="2"/>
  <c r="AF312" i="2"/>
  <c r="F312" i="2"/>
  <c r="BR311" i="2"/>
  <c r="BD311" i="2"/>
  <c r="AG311" i="2"/>
  <c r="L311" i="2"/>
  <c r="BZ310" i="2"/>
  <c r="BL310" i="2"/>
  <c r="AX310" i="2"/>
  <c r="Y310" i="2"/>
  <c r="H310" i="2"/>
  <c r="BW309" i="2"/>
  <c r="BH309" i="2"/>
  <c r="AK309" i="2"/>
  <c r="V309" i="2"/>
  <c r="E309" i="2"/>
  <c r="BQ308" i="2"/>
  <c r="BD308" i="2"/>
  <c r="AG308" i="2"/>
  <c r="E308" i="2"/>
  <c r="BQ307" i="2"/>
  <c r="BD307" i="2"/>
  <c r="AG307" i="2"/>
  <c r="E307" i="2"/>
  <c r="BQ306" i="2"/>
  <c r="BB306" i="2"/>
  <c r="AF306" i="2"/>
  <c r="K306" i="2"/>
  <c r="BW305" i="2"/>
  <c r="BH305" i="2"/>
  <c r="AK305" i="2"/>
  <c r="V305" i="2"/>
  <c r="C305" i="2"/>
  <c r="BN304" i="2"/>
  <c r="AZ304" i="2"/>
  <c r="AA304" i="2"/>
  <c r="H304" i="2"/>
  <c r="BT303" i="2"/>
  <c r="BF303" i="2"/>
  <c r="AI303" i="2"/>
  <c r="P303" i="2"/>
  <c r="CL302" i="2"/>
  <c r="BN302" i="2"/>
  <c r="AZ302" i="2"/>
  <c r="AA302" i="2"/>
  <c r="J302" i="2"/>
  <c r="BW301" i="2"/>
  <c r="BI301" i="2"/>
  <c r="AL301" i="2"/>
  <c r="U301" i="2"/>
  <c r="BW300" i="2"/>
  <c r="BI300" i="2"/>
  <c r="AL300" i="2"/>
  <c r="U300" i="2"/>
  <c r="BW299" i="2"/>
  <c r="BH299" i="2"/>
  <c r="AK299" i="2"/>
  <c r="N299" i="2"/>
  <c r="BV298" i="2"/>
  <c r="BG298" i="2"/>
  <c r="AJ298" i="2"/>
  <c r="U298" i="2"/>
  <c r="D298" i="2"/>
  <c r="BP297" i="2"/>
  <c r="BA297" i="2"/>
  <c r="AB297" i="2"/>
  <c r="E297" i="2"/>
  <c r="BQ296" i="2"/>
  <c r="BB296" i="2"/>
  <c r="AF296" i="2"/>
  <c r="K296" i="2"/>
  <c r="BW295" i="2"/>
  <c r="BH295" i="2"/>
  <c r="AK295" i="2"/>
  <c r="V295" i="2"/>
  <c r="BX294" i="2"/>
  <c r="BJ294" i="2"/>
  <c r="AL294" i="2"/>
  <c r="W294" i="2"/>
  <c r="D294" i="2"/>
  <c r="BP293" i="2"/>
  <c r="BA293" i="2"/>
  <c r="AB293" i="2"/>
  <c r="I293" i="2"/>
  <c r="BV292" i="2"/>
  <c r="BG292" i="2"/>
  <c r="AJ292" i="2"/>
  <c r="U292" i="2"/>
  <c r="B292" i="2"/>
  <c r="BM291" i="2"/>
  <c r="AY291" i="2"/>
  <c r="Z291" i="2"/>
  <c r="G291" i="2"/>
  <c r="BV290" i="2"/>
  <c r="BG290" i="2"/>
  <c r="AJ290" i="2"/>
  <c r="U290" i="2"/>
  <c r="D290" i="2"/>
  <c r="CJ289" i="2"/>
  <c r="BM289" i="2"/>
  <c r="AY289" i="2"/>
  <c r="Z289" i="2"/>
  <c r="H289" i="2"/>
  <c r="CN288" i="2"/>
  <c r="BR288" i="2"/>
  <c r="BD288" i="2"/>
  <c r="AG288" i="2"/>
  <c r="L288" i="2"/>
  <c r="CH287" i="2"/>
  <c r="BT287" i="2"/>
  <c r="BF287" i="2"/>
  <c r="AI287" i="2"/>
  <c r="T287" i="2"/>
  <c r="B287" i="2"/>
  <c r="BP286" i="2"/>
  <c r="BA286" i="2"/>
  <c r="AB286" i="2"/>
  <c r="E286" i="2"/>
  <c r="CB285" i="2"/>
  <c r="BM285" i="2"/>
  <c r="AY285" i="2"/>
  <c r="Z285" i="2"/>
  <c r="G285" i="2"/>
  <c r="BS284" i="2"/>
  <c r="BE284" i="2"/>
  <c r="AH284" i="2"/>
  <c r="N284" i="2"/>
  <c r="BY283" i="2"/>
  <c r="BK283" i="2"/>
  <c r="AR283" i="2"/>
  <c r="X283" i="2"/>
  <c r="C283" i="2"/>
  <c r="BR282" i="2"/>
  <c r="BD282" i="2"/>
  <c r="AG282" i="2"/>
  <c r="P282" i="2"/>
  <c r="BZ281" i="2"/>
  <c r="BL281" i="2"/>
  <c r="AX281" i="2"/>
  <c r="Y281" i="2"/>
  <c r="B281" i="2"/>
  <c r="BM280" i="2"/>
  <c r="AY280" i="2"/>
  <c r="Z280" i="2"/>
  <c r="C280" i="2"/>
  <c r="BN279" i="2"/>
  <c r="AZ279" i="2"/>
  <c r="AA279" i="2"/>
  <c r="D279" i="2"/>
  <c r="BP278" i="2"/>
  <c r="BA278" i="2"/>
  <c r="AB278" i="2"/>
  <c r="E278" i="2"/>
  <c r="BQ277" i="2"/>
  <c r="BB277" i="2"/>
  <c r="AF277" i="2"/>
  <c r="F277" i="2"/>
  <c r="BR276" i="2"/>
  <c r="BD276" i="2"/>
  <c r="AG276" i="2"/>
  <c r="G276" i="2"/>
  <c r="BW275" i="2"/>
  <c r="BH275" i="2"/>
  <c r="AK275" i="2"/>
  <c r="N275" i="2"/>
  <c r="BV274" i="2"/>
  <c r="BG274" i="2"/>
  <c r="AJ274" i="2"/>
  <c r="U274" i="2"/>
  <c r="BY273" i="2"/>
  <c r="BK273" i="2"/>
  <c r="AR273" i="2"/>
  <c r="Y273" i="2"/>
  <c r="C273" i="2"/>
  <c r="BN272" i="2"/>
  <c r="AZ272" i="2"/>
  <c r="AB272" i="2"/>
  <c r="K272" i="2"/>
  <c r="BW271" i="2"/>
  <c r="BH271" i="2"/>
  <c r="AK271" i="2"/>
  <c r="W271" i="2"/>
  <c r="CR270" i="2"/>
  <c r="BS270" i="2"/>
  <c r="BE270" i="2"/>
  <c r="AH270" i="2"/>
  <c r="Q270" i="2"/>
  <c r="B270" i="2"/>
  <c r="BM269" i="2"/>
  <c r="AY269" i="2"/>
  <c r="AA269" i="2"/>
  <c r="G269" i="2"/>
  <c r="BS268" i="2"/>
  <c r="BE268" i="2"/>
  <c r="AH268" i="2"/>
  <c r="P268" i="2"/>
  <c r="B268" i="2"/>
  <c r="BM267" i="2"/>
  <c r="AY267" i="2"/>
  <c r="AA267" i="2"/>
  <c r="E267" i="2"/>
  <c r="BY266" i="2"/>
  <c r="BK266" i="2"/>
  <c r="AR266" i="2"/>
  <c r="Y266" i="2"/>
  <c r="F266" i="2"/>
  <c r="BZ265" i="2"/>
  <c r="BL265" i="2"/>
  <c r="AX265" i="2"/>
  <c r="Z265" i="2"/>
  <c r="I265" i="2"/>
  <c r="CO264" i="2"/>
  <c r="BP264" i="2"/>
  <c r="BA264" i="2"/>
  <c r="AC264" i="2"/>
  <c r="L264" i="2"/>
  <c r="CQ263" i="2"/>
  <c r="BR263" i="2"/>
  <c r="BD263" i="2"/>
  <c r="AG263" i="2"/>
  <c r="P263" i="2"/>
  <c r="BZ262" i="2"/>
  <c r="BL262" i="2"/>
  <c r="AX262" i="2"/>
  <c r="Z262" i="2"/>
  <c r="C262" i="2"/>
  <c r="BN261" i="2"/>
  <c r="AZ261" i="2"/>
  <c r="AB261" i="2"/>
  <c r="E261" i="2"/>
  <c r="BQ260" i="2"/>
  <c r="BB260" i="2"/>
  <c r="AF260" i="2"/>
  <c r="G260" i="2"/>
  <c r="CF259" i="2"/>
  <c r="BQ259" i="2"/>
  <c r="BB259" i="2"/>
  <c r="AF259" i="2"/>
  <c r="N259" i="2"/>
  <c r="BY258" i="2"/>
  <c r="BK258" i="2"/>
  <c r="K321" i="2"/>
  <c r="AG319" i="2"/>
  <c r="AK318" i="2"/>
  <c r="BH317" i="2"/>
  <c r="BY316" i="2"/>
  <c r="E316" i="2"/>
  <c r="AT315" i="2"/>
  <c r="CK314" i="2"/>
  <c r="AR314" i="2"/>
  <c r="G314" i="2"/>
  <c r="BE313" i="2"/>
  <c r="R313" i="2"/>
  <c r="BW312" i="2"/>
  <c r="BD312" i="2"/>
  <c r="Y312" i="2"/>
  <c r="E312" i="2"/>
  <c r="BQ311" i="2"/>
  <c r="BB311" i="2"/>
  <c r="AF311" i="2"/>
  <c r="K311" i="2"/>
  <c r="BY310" i="2"/>
  <c r="BK310" i="2"/>
  <c r="AR310" i="2"/>
  <c r="X310" i="2"/>
  <c r="G310" i="2"/>
  <c r="BV309" i="2"/>
  <c r="BG309" i="2"/>
  <c r="AJ309" i="2"/>
  <c r="U309" i="2"/>
  <c r="D309" i="2"/>
  <c r="BP308" i="2"/>
  <c r="BB308" i="2"/>
  <c r="AF308" i="2"/>
  <c r="D308" i="2"/>
  <c r="BP307" i="2"/>
  <c r="BB307" i="2"/>
  <c r="AF307" i="2"/>
  <c r="D307" i="2"/>
  <c r="BP306" i="2"/>
  <c r="BA306" i="2"/>
  <c r="AB306" i="2"/>
  <c r="J306" i="2"/>
  <c r="BV305" i="2"/>
  <c r="BG305" i="2"/>
  <c r="AJ305" i="2"/>
  <c r="U305" i="2"/>
  <c r="B305" i="2"/>
  <c r="BM304" i="2"/>
  <c r="AY304" i="2"/>
  <c r="Z304" i="2"/>
  <c r="G304" i="2"/>
  <c r="BS303" i="2"/>
  <c r="BE303" i="2"/>
  <c r="AH303" i="2"/>
  <c r="N303" i="2"/>
  <c r="CK302" i="2"/>
  <c r="BM302" i="2"/>
  <c r="AY302" i="2"/>
  <c r="Z302" i="2"/>
  <c r="I302" i="2"/>
  <c r="BV301" i="2"/>
  <c r="BH301" i="2"/>
  <c r="AK301" i="2"/>
  <c r="N301" i="2"/>
  <c r="BV300" i="2"/>
  <c r="BH300" i="2"/>
  <c r="AK300" i="2"/>
  <c r="N300" i="2"/>
  <c r="BV299" i="2"/>
  <c r="BG299" i="2"/>
  <c r="AJ299" i="2"/>
  <c r="H299" i="2"/>
  <c r="BT298" i="2"/>
  <c r="BF298" i="2"/>
  <c r="AI298" i="2"/>
  <c r="Q298" i="2"/>
  <c r="C298" i="2"/>
  <c r="BN297" i="2"/>
  <c r="AZ297" i="2"/>
  <c r="AA297" i="2"/>
  <c r="D297" i="2"/>
  <c r="BP296" i="2"/>
  <c r="BA296" i="2"/>
  <c r="AB296" i="2"/>
  <c r="J296" i="2"/>
  <c r="BV295" i="2"/>
  <c r="BG295" i="2"/>
  <c r="AJ295" i="2"/>
  <c r="U295" i="2"/>
  <c r="BW294" i="2"/>
  <c r="BH294" i="2"/>
  <c r="AK294" i="2"/>
  <c r="V294" i="2"/>
  <c r="C294" i="2"/>
  <c r="BN293" i="2"/>
  <c r="AZ293" i="2"/>
  <c r="AA293" i="2"/>
  <c r="H293" i="2"/>
  <c r="BT292" i="2"/>
  <c r="BF292" i="2"/>
  <c r="AI292" i="2"/>
  <c r="P292" i="2"/>
  <c r="BZ291" i="2"/>
  <c r="BL291" i="2"/>
  <c r="AX291" i="2"/>
  <c r="Y291" i="2"/>
  <c r="F291" i="2"/>
  <c r="BT290" i="2"/>
  <c r="BF290" i="2"/>
  <c r="AI290" i="2"/>
  <c r="Q290" i="2"/>
  <c r="C290" i="2"/>
  <c r="BZ289" i="2"/>
  <c r="BL289" i="2"/>
  <c r="AX289" i="2"/>
  <c r="Y289" i="2"/>
  <c r="G289" i="2"/>
  <c r="CM288" i="2"/>
  <c r="BQ288" i="2"/>
  <c r="BB288" i="2"/>
  <c r="AF288" i="2"/>
  <c r="K288" i="2"/>
  <c r="CG287" i="2"/>
  <c r="BS287" i="2"/>
  <c r="BE287" i="2"/>
  <c r="AH287" i="2"/>
  <c r="P287" i="2"/>
  <c r="CL286" i="2"/>
  <c r="BN286" i="2"/>
  <c r="AZ286" i="2"/>
  <c r="AA286" i="2"/>
  <c r="D286" i="2"/>
  <c r="BZ285" i="2"/>
  <c r="BL285" i="2"/>
  <c r="AX285" i="2"/>
  <c r="Y285" i="2"/>
  <c r="F285" i="2"/>
  <c r="BR284" i="2"/>
  <c r="BD284" i="2"/>
  <c r="AG284" i="2"/>
  <c r="L284" i="2"/>
  <c r="BX283" i="2"/>
  <c r="BJ283" i="2"/>
  <c r="AL283" i="2"/>
  <c r="W283" i="2"/>
  <c r="B283" i="2"/>
  <c r="BQ282" i="2"/>
  <c r="BB282" i="2"/>
  <c r="AF282" i="2"/>
  <c r="N282" i="2"/>
  <c r="BY281" i="2"/>
  <c r="BK281" i="2"/>
  <c r="AR281" i="2"/>
  <c r="X281" i="2"/>
  <c r="BZ280" i="2"/>
  <c r="BL280" i="2"/>
  <c r="AX280" i="2"/>
  <c r="Y280" i="2"/>
  <c r="B280" i="2"/>
  <c r="BM279" i="2"/>
  <c r="AY279" i="2"/>
  <c r="Z279" i="2"/>
  <c r="C279" i="2"/>
  <c r="BN278" i="2"/>
  <c r="AZ278" i="2"/>
  <c r="AA278" i="2"/>
  <c r="D278" i="2"/>
  <c r="BP277" i="2"/>
  <c r="BA277" i="2"/>
  <c r="AB277" i="2"/>
  <c r="E277" i="2"/>
  <c r="BQ276" i="2"/>
  <c r="BB276" i="2"/>
  <c r="AF276" i="2"/>
  <c r="F276" i="2"/>
  <c r="BV275" i="2"/>
  <c r="BG275" i="2"/>
  <c r="AJ275" i="2"/>
  <c r="H275" i="2"/>
  <c r="BT274" i="2"/>
  <c r="BF274" i="2"/>
  <c r="AI274" i="2"/>
  <c r="N274" i="2"/>
  <c r="BX273" i="2"/>
  <c r="BJ273" i="2"/>
  <c r="AL273" i="2"/>
  <c r="X273" i="2"/>
  <c r="B273" i="2"/>
  <c r="BM272" i="2"/>
  <c r="AY272" i="2"/>
  <c r="AA272" i="2"/>
  <c r="J272" i="2"/>
  <c r="BV271" i="2"/>
  <c r="BG271" i="2"/>
  <c r="AJ271" i="2"/>
  <c r="V271" i="2"/>
  <c r="CQ270" i="2"/>
  <c r="BR270" i="2"/>
  <c r="BD270" i="2"/>
  <c r="AG270" i="2"/>
  <c r="N270" i="2"/>
  <c r="BZ269" i="2"/>
  <c r="BL269" i="2"/>
  <c r="AX269" i="2"/>
  <c r="Z269" i="2"/>
  <c r="F269" i="2"/>
  <c r="BR268" i="2"/>
  <c r="BD268" i="2"/>
  <c r="AG268" i="2"/>
  <c r="N268" i="2"/>
  <c r="BZ267" i="2"/>
  <c r="BL267" i="2"/>
  <c r="AX267" i="2"/>
  <c r="Z267" i="2"/>
  <c r="D267" i="2"/>
  <c r="BX266" i="2"/>
  <c r="BJ266" i="2"/>
  <c r="AL266" i="2"/>
  <c r="X266" i="2"/>
  <c r="E266" i="2"/>
  <c r="BY265" i="2"/>
  <c r="BK265" i="2"/>
  <c r="AR265" i="2"/>
  <c r="Y265" i="2"/>
  <c r="H265" i="2"/>
  <c r="CN264" i="2"/>
  <c r="BN264" i="2"/>
  <c r="AZ264" i="2"/>
  <c r="AB264" i="2"/>
  <c r="K264" i="2"/>
  <c r="CP263" i="2"/>
  <c r="BQ263" i="2"/>
  <c r="BB263" i="2"/>
  <c r="AF263" i="2"/>
  <c r="N263" i="2"/>
  <c r="BY262" i="2"/>
  <c r="BK262" i="2"/>
  <c r="AR262" i="2"/>
  <c r="Y262" i="2"/>
  <c r="B262" i="2"/>
  <c r="BM261" i="2"/>
  <c r="AY261" i="2"/>
  <c r="AA261" i="2"/>
  <c r="D261" i="2"/>
  <c r="BP260" i="2"/>
  <c r="BA260" i="2"/>
  <c r="AC260" i="2"/>
  <c r="F260" i="2"/>
  <c r="CE259" i="2"/>
  <c r="BP259" i="2"/>
  <c r="BA259" i="2"/>
  <c r="AC259" i="2"/>
  <c r="L259" i="2"/>
  <c r="BX258" i="2"/>
  <c r="BJ258" i="2"/>
  <c r="CQ320" i="2"/>
  <c r="AB319" i="2"/>
  <c r="AH318" i="2"/>
  <c r="BE317" i="2"/>
  <c r="BV316" i="2"/>
  <c r="B316" i="2"/>
  <c r="AN315" i="2"/>
  <c r="BY314" i="2"/>
  <c r="AL314" i="2"/>
  <c r="F314" i="2"/>
  <c r="BD313" i="2"/>
  <c r="P313" i="2"/>
  <c r="BT312" i="2"/>
  <c r="BB312" i="2"/>
  <c r="W312" i="2"/>
  <c r="D312" i="2"/>
  <c r="BP311" i="2"/>
  <c r="BA311" i="2"/>
  <c r="AB311" i="2"/>
  <c r="J311" i="2"/>
  <c r="BX310" i="2"/>
  <c r="BJ310" i="2"/>
  <c r="AL310" i="2"/>
  <c r="W310" i="2"/>
  <c r="F310" i="2"/>
  <c r="BT309" i="2"/>
  <c r="BF309" i="2"/>
  <c r="AI309" i="2"/>
  <c r="Q309" i="2"/>
  <c r="C309" i="2"/>
  <c r="BN308" i="2"/>
  <c r="BA308" i="2"/>
  <c r="Z308" i="2"/>
  <c r="C308" i="2"/>
  <c r="BN307" i="2"/>
  <c r="BA307" i="2"/>
  <c r="Z307" i="2"/>
  <c r="C307" i="2"/>
  <c r="BN306" i="2"/>
  <c r="AZ306" i="2"/>
  <c r="AA306" i="2"/>
  <c r="H306" i="2"/>
  <c r="BT305" i="2"/>
  <c r="BF305" i="2"/>
  <c r="AI305" i="2"/>
  <c r="P305" i="2"/>
  <c r="BZ304" i="2"/>
  <c r="BL304" i="2"/>
  <c r="AX304" i="2"/>
  <c r="Y304" i="2"/>
  <c r="F304" i="2"/>
  <c r="BR303" i="2"/>
  <c r="BD303" i="2"/>
  <c r="AG303" i="2"/>
  <c r="L303" i="2"/>
  <c r="BZ302" i="2"/>
  <c r="BL302" i="2"/>
  <c r="AX302" i="2"/>
  <c r="Y302" i="2"/>
  <c r="H302" i="2"/>
  <c r="BT301" i="2"/>
  <c r="BG301" i="2"/>
  <c r="AJ301" i="2"/>
  <c r="H301" i="2"/>
  <c r="BT300" i="2"/>
  <c r="BG300" i="2"/>
  <c r="AJ300" i="2"/>
  <c r="H300" i="2"/>
  <c r="BT299" i="2"/>
  <c r="BF299" i="2"/>
  <c r="AI299" i="2"/>
  <c r="G299" i="2"/>
  <c r="BS298" i="2"/>
  <c r="BE298" i="2"/>
  <c r="AH298" i="2"/>
  <c r="P298" i="2"/>
  <c r="B298" i="2"/>
  <c r="BM297" i="2"/>
  <c r="AY297" i="2"/>
  <c r="Z297" i="2"/>
  <c r="C297" i="2"/>
  <c r="BN296" i="2"/>
  <c r="AZ296" i="2"/>
  <c r="AA296" i="2"/>
  <c r="H296" i="2"/>
  <c r="BT295" i="2"/>
  <c r="BF295" i="2"/>
  <c r="AI295" i="2"/>
  <c r="N295" i="2"/>
  <c r="BV294" i="2"/>
  <c r="BG294" i="2"/>
  <c r="AJ294" i="2"/>
  <c r="U294" i="2"/>
  <c r="B294" i="2"/>
  <c r="BM293" i="2"/>
  <c r="AY293" i="2"/>
  <c r="Z293" i="2"/>
  <c r="G293" i="2"/>
  <c r="BS292" i="2"/>
  <c r="BE292" i="2"/>
  <c r="AH292" i="2"/>
  <c r="N292" i="2"/>
  <c r="BY291" i="2"/>
  <c r="BK291" i="2"/>
  <c r="AR291" i="2"/>
  <c r="X291" i="2"/>
  <c r="E291" i="2"/>
  <c r="BS290" i="2"/>
  <c r="BE290" i="2"/>
  <c r="AH290" i="2"/>
  <c r="P290" i="2"/>
  <c r="B290" i="2"/>
  <c r="BY289" i="2"/>
  <c r="BK289" i="2"/>
  <c r="AR289" i="2"/>
  <c r="X289" i="2"/>
  <c r="F289" i="2"/>
  <c r="CL288" i="2"/>
  <c r="BP288" i="2"/>
  <c r="BA288" i="2"/>
  <c r="AB288" i="2"/>
  <c r="J288" i="2"/>
  <c r="CF287" i="2"/>
  <c r="BR287" i="2"/>
  <c r="BD287" i="2"/>
  <c r="AG287" i="2"/>
  <c r="N287" i="2"/>
  <c r="CJ286" i="2"/>
  <c r="BM286" i="2"/>
  <c r="AY286" i="2"/>
  <c r="Z286" i="2"/>
  <c r="C286" i="2"/>
  <c r="BY285" i="2"/>
  <c r="BK285" i="2"/>
  <c r="AR285" i="2"/>
  <c r="X285" i="2"/>
  <c r="E285" i="2"/>
  <c r="BQ284" i="2"/>
  <c r="BB284" i="2"/>
  <c r="AF284" i="2"/>
  <c r="K284" i="2"/>
  <c r="BW283" i="2"/>
  <c r="BH283" i="2"/>
  <c r="AK283" i="2"/>
  <c r="V283" i="2"/>
  <c r="CL282" i="2"/>
  <c r="BP282" i="2"/>
  <c r="BA282" i="2"/>
  <c r="AB282" i="2"/>
  <c r="L282" i="2"/>
  <c r="BX281" i="2"/>
  <c r="BJ281" i="2"/>
  <c r="AL281" i="2"/>
  <c r="W281" i="2"/>
  <c r="BY280" i="2"/>
  <c r="BK280" i="2"/>
  <c r="AR280" i="2"/>
  <c r="X280" i="2"/>
  <c r="BZ279" i="2"/>
  <c r="BL279" i="2"/>
  <c r="AX279" i="2"/>
  <c r="Y279" i="2"/>
  <c r="B279" i="2"/>
  <c r="BM278" i="2"/>
  <c r="AY278" i="2"/>
  <c r="Z278" i="2"/>
  <c r="C278" i="2"/>
  <c r="BN277" i="2"/>
  <c r="AZ277" i="2"/>
  <c r="AA277" i="2"/>
  <c r="D277" i="2"/>
  <c r="BP276" i="2"/>
  <c r="BA276" i="2"/>
  <c r="AB276" i="2"/>
  <c r="E276" i="2"/>
  <c r="BT275" i="2"/>
  <c r="BF275" i="2"/>
  <c r="AI275" i="2"/>
  <c r="G275" i="2"/>
  <c r="BS274" i="2"/>
  <c r="BE274" i="2"/>
  <c r="AH274" i="2"/>
  <c r="L274" i="2"/>
  <c r="BW273" i="2"/>
  <c r="BH273" i="2"/>
  <c r="AK273" i="2"/>
  <c r="W273" i="2"/>
  <c r="BZ272" i="2"/>
  <c r="BL272" i="2"/>
  <c r="AX272" i="2"/>
  <c r="Z272" i="2"/>
  <c r="H272" i="2"/>
  <c r="BT271" i="2"/>
  <c r="BF271" i="2"/>
  <c r="AI271" i="2"/>
  <c r="U271" i="2"/>
  <c r="CP270" i="2"/>
  <c r="BQ270" i="2"/>
  <c r="BB270" i="2"/>
  <c r="AF270" i="2"/>
  <c r="L270" i="2"/>
  <c r="BY269" i="2"/>
  <c r="BK269" i="2"/>
  <c r="AR269" i="2"/>
  <c r="Y269" i="2"/>
  <c r="E269" i="2"/>
  <c r="BQ268" i="2"/>
  <c r="BB268" i="2"/>
  <c r="AF268" i="2"/>
  <c r="L268" i="2"/>
  <c r="BY267" i="2"/>
  <c r="BK267" i="2"/>
  <c r="AR267" i="2"/>
  <c r="Y267" i="2"/>
  <c r="C267" i="2"/>
  <c r="BW266" i="2"/>
  <c r="BH266" i="2"/>
  <c r="AK266" i="2"/>
  <c r="W266" i="2"/>
  <c r="D266" i="2"/>
  <c r="BX265" i="2"/>
  <c r="BJ265" i="2"/>
  <c r="AL265" i="2"/>
  <c r="X265" i="2"/>
  <c r="G265" i="2"/>
  <c r="CM264" i="2"/>
  <c r="BM264" i="2"/>
  <c r="AY264" i="2"/>
  <c r="AA264" i="2"/>
  <c r="I264" i="2"/>
  <c r="CO263" i="2"/>
  <c r="BP263" i="2"/>
  <c r="BA263" i="2"/>
  <c r="AC263" i="2"/>
  <c r="L263" i="2"/>
  <c r="BX262" i="2"/>
  <c r="BJ262" i="2"/>
  <c r="AL262" i="2"/>
  <c r="X262" i="2"/>
  <c r="BZ261" i="2"/>
  <c r="BL261" i="2"/>
  <c r="AX261" i="2"/>
  <c r="Z261" i="2"/>
  <c r="C261" i="2"/>
  <c r="BN260" i="2"/>
  <c r="AZ260" i="2"/>
  <c r="AB260" i="2"/>
  <c r="E260" i="2"/>
  <c r="CD259" i="2"/>
  <c r="BN259" i="2"/>
  <c r="AZ259" i="2"/>
  <c r="AB259" i="2"/>
  <c r="K259" i="2"/>
  <c r="BW258" i="2"/>
  <c r="BH258" i="2"/>
  <c r="AK258" i="2"/>
  <c r="W258" i="2"/>
  <c r="BZ257" i="2"/>
  <c r="BL257" i="2"/>
  <c r="BD320" i="2"/>
  <c r="P319" i="2"/>
  <c r="V318" i="2"/>
  <c r="AK317" i="2"/>
  <c r="BK316" i="2"/>
  <c r="BQ315" i="2"/>
  <c r="AG315" i="2"/>
  <c r="BW314" i="2"/>
  <c r="AG314" i="2"/>
  <c r="BZ313" i="2"/>
  <c r="AX313" i="2"/>
  <c r="L313" i="2"/>
  <c r="BR312" i="2"/>
  <c r="AX312" i="2"/>
  <c r="U312" i="2"/>
  <c r="B312" i="2"/>
  <c r="BM311" i="2"/>
  <c r="AY311" i="2"/>
  <c r="Z311" i="2"/>
  <c r="G311" i="2"/>
  <c r="BV310" i="2"/>
  <c r="BG310" i="2"/>
  <c r="AJ310" i="2"/>
  <c r="U310" i="2"/>
  <c r="D310" i="2"/>
  <c r="BR309" i="2"/>
  <c r="BD309" i="2"/>
  <c r="AG309" i="2"/>
  <c r="N309" i="2"/>
  <c r="BZ308" i="2"/>
  <c r="BL308" i="2"/>
  <c r="AY308" i="2"/>
  <c r="X308" i="2"/>
  <c r="BZ307" i="2"/>
  <c r="BL307" i="2"/>
  <c r="AY307" i="2"/>
  <c r="X307" i="2"/>
  <c r="BZ306" i="2"/>
  <c r="BL306" i="2"/>
  <c r="AX306" i="2"/>
  <c r="Y306" i="2"/>
  <c r="F306" i="2"/>
  <c r="BR305" i="2"/>
  <c r="BD305" i="2"/>
  <c r="AG305" i="2"/>
  <c r="L305" i="2"/>
  <c r="BX304" i="2"/>
  <c r="BJ304" i="2"/>
  <c r="AL304" i="2"/>
  <c r="W304" i="2"/>
  <c r="D304" i="2"/>
  <c r="BP303" i="2"/>
  <c r="BA303" i="2"/>
  <c r="AB303" i="2"/>
  <c r="J303" i="2"/>
  <c r="BX302" i="2"/>
  <c r="BJ302" i="2"/>
  <c r="AL302" i="2"/>
  <c r="W302" i="2"/>
  <c r="F302" i="2"/>
  <c r="BR301" i="2"/>
  <c r="BE301" i="2"/>
  <c r="AH301" i="2"/>
  <c r="F301" i="2"/>
  <c r="BR300" i="2"/>
  <c r="BE300" i="2"/>
  <c r="AH300" i="2"/>
  <c r="F300" i="2"/>
  <c r="BR299" i="2"/>
  <c r="BD299" i="2"/>
  <c r="AG299" i="2"/>
  <c r="E299" i="2"/>
  <c r="BQ298" i="2"/>
  <c r="BB298" i="2"/>
  <c r="AF298" i="2"/>
  <c r="L298" i="2"/>
  <c r="BY297" i="2"/>
  <c r="BK297" i="2"/>
  <c r="AR297" i="2"/>
  <c r="X297" i="2"/>
  <c r="BZ296" i="2"/>
  <c r="BL296" i="2"/>
  <c r="AX296" i="2"/>
  <c r="Y296" i="2"/>
  <c r="F296" i="2"/>
  <c r="BR295" i="2"/>
  <c r="BD295" i="2"/>
  <c r="AG295" i="2"/>
  <c r="G295" i="2"/>
  <c r="BS294" i="2"/>
  <c r="BE294" i="2"/>
  <c r="AH294" i="2"/>
  <c r="N294" i="2"/>
  <c r="BY293" i="2"/>
  <c r="BK293" i="2"/>
  <c r="AR293" i="2"/>
  <c r="X293" i="2"/>
  <c r="E293" i="2"/>
  <c r="BQ292" i="2"/>
  <c r="BB292" i="2"/>
  <c r="AF292" i="2"/>
  <c r="K292" i="2"/>
  <c r="BW291" i="2"/>
  <c r="BH291" i="2"/>
  <c r="AK291" i="2"/>
  <c r="V291" i="2"/>
  <c r="C291" i="2"/>
  <c r="BQ290" i="2"/>
  <c r="BB290" i="2"/>
  <c r="AF290" i="2"/>
  <c r="L290" i="2"/>
  <c r="CR289" i="2"/>
  <c r="BW289" i="2"/>
  <c r="BH289" i="2"/>
  <c r="AK289" i="2"/>
  <c r="V289" i="2"/>
  <c r="D289" i="2"/>
  <c r="CJ288" i="2"/>
  <c r="BM288" i="2"/>
  <c r="AY288" i="2"/>
  <c r="Z288" i="2"/>
  <c r="H288" i="2"/>
  <c r="CD287" i="2"/>
  <c r="BP287" i="2"/>
  <c r="BA287" i="2"/>
  <c r="AB287" i="2"/>
  <c r="K287" i="2"/>
  <c r="BY286" i="2"/>
  <c r="BK286" i="2"/>
  <c r="AR286" i="2"/>
  <c r="X286" i="2"/>
  <c r="CJ285" i="2"/>
  <c r="BW285" i="2"/>
  <c r="BH285" i="2"/>
  <c r="AK285" i="2"/>
  <c r="V285" i="2"/>
  <c r="C285" i="2"/>
  <c r="BN284" i="2"/>
  <c r="AZ284" i="2"/>
  <c r="AA284" i="2"/>
  <c r="H284" i="2"/>
  <c r="BT283" i="2"/>
  <c r="BF283" i="2"/>
  <c r="AI283" i="2"/>
  <c r="N283" i="2"/>
  <c r="CJ282" i="2"/>
  <c r="BM282" i="2"/>
  <c r="AY282" i="2"/>
  <c r="Z282" i="2"/>
  <c r="J282" i="2"/>
  <c r="BV281" i="2"/>
  <c r="BG281" i="2"/>
  <c r="AJ281" i="2"/>
  <c r="U281" i="2"/>
  <c r="BW280" i="2"/>
  <c r="BH280" i="2"/>
  <c r="AK280" i="2"/>
  <c r="V280" i="2"/>
  <c r="BX279" i="2"/>
  <c r="BJ279" i="2"/>
  <c r="AL279" i="2"/>
  <c r="W279" i="2"/>
  <c r="BY278" i="2"/>
  <c r="BK278" i="2"/>
  <c r="AR278" i="2"/>
  <c r="X278" i="2"/>
  <c r="BZ277" i="2"/>
  <c r="BL277" i="2"/>
  <c r="AX277" i="2"/>
  <c r="Y277" i="2"/>
  <c r="B277" i="2"/>
  <c r="BM276" i="2"/>
  <c r="AY276" i="2"/>
  <c r="Z276" i="2"/>
  <c r="C276" i="2"/>
  <c r="BR275" i="2"/>
  <c r="BD275" i="2"/>
  <c r="AG275" i="2"/>
  <c r="E275" i="2"/>
  <c r="BQ274" i="2"/>
  <c r="BB274" i="2"/>
  <c r="AF274" i="2"/>
  <c r="H274" i="2"/>
  <c r="BT273" i="2"/>
  <c r="BF273" i="2"/>
  <c r="AI273" i="2"/>
  <c r="U273" i="2"/>
  <c r="BX272" i="2"/>
  <c r="BJ272" i="2"/>
  <c r="AL272" i="2"/>
  <c r="X272" i="2"/>
  <c r="F272" i="2"/>
  <c r="BR271" i="2"/>
  <c r="BD271" i="2"/>
  <c r="AG271" i="2"/>
  <c r="H271" i="2"/>
  <c r="CN270" i="2"/>
  <c r="BN270" i="2"/>
  <c r="AZ270" i="2"/>
  <c r="AB270" i="2"/>
  <c r="J270" i="2"/>
  <c r="BW269" i="2"/>
  <c r="BH269" i="2"/>
  <c r="AK269" i="2"/>
  <c r="W269" i="2"/>
  <c r="C269" i="2"/>
  <c r="BN268" i="2"/>
  <c r="AZ268" i="2"/>
  <c r="AB268" i="2"/>
  <c r="J268" i="2"/>
  <c r="BW267" i="2"/>
  <c r="BH267" i="2"/>
  <c r="AK267" i="2"/>
  <c r="W267" i="2"/>
  <c r="CS266" i="2"/>
  <c r="BT266" i="2"/>
  <c r="BF266" i="2"/>
  <c r="AI266" i="2"/>
  <c r="U266" i="2"/>
  <c r="B266" i="2"/>
  <c r="BV265" i="2"/>
  <c r="BG265" i="2"/>
  <c r="AJ265" i="2"/>
  <c r="V265" i="2"/>
  <c r="E265" i="2"/>
  <c r="BY264" i="2"/>
  <c r="BK264" i="2"/>
  <c r="AR264" i="2"/>
  <c r="Y264" i="2"/>
  <c r="G264" i="2"/>
  <c r="CM263" i="2"/>
  <c r="BM263" i="2"/>
  <c r="AY263" i="2"/>
  <c r="AA263" i="2"/>
  <c r="I263" i="2"/>
  <c r="BV262" i="2"/>
  <c r="BG262" i="2"/>
  <c r="AJ262" i="2"/>
  <c r="V262" i="2"/>
  <c r="BX261" i="2"/>
  <c r="BJ261" i="2"/>
  <c r="AL261" i="2"/>
  <c r="X261" i="2"/>
  <c r="BZ260" i="2"/>
  <c r="BL260" i="2"/>
  <c r="AX260" i="2"/>
  <c r="Z260" i="2"/>
  <c r="C260" i="2"/>
  <c r="BZ259" i="2"/>
  <c r="BL259" i="2"/>
  <c r="AX259" i="2"/>
  <c r="Z259" i="2"/>
  <c r="H259" i="2"/>
  <c r="BT258" i="2"/>
  <c r="BR320" i="2"/>
  <c r="BS312" i="2"/>
  <c r="E310" i="2"/>
  <c r="Y307" i="2"/>
  <c r="AR304" i="2"/>
  <c r="BS301" i="2"/>
  <c r="BR298" i="2"/>
  <c r="G296" i="2"/>
  <c r="Y293" i="2"/>
  <c r="BD290" i="2"/>
  <c r="AA288" i="2"/>
  <c r="BX285" i="2"/>
  <c r="U283" i="2"/>
  <c r="AL280" i="2"/>
  <c r="BD278" i="2"/>
  <c r="H277" i="2"/>
  <c r="BK275" i="2"/>
  <c r="W274" i="2"/>
  <c r="BQ272" i="2"/>
  <c r="AR271" i="2"/>
  <c r="V270" i="2"/>
  <c r="BV268" i="2"/>
  <c r="BA267" i="2"/>
  <c r="AA266" i="2"/>
  <c r="K265" i="2"/>
  <c r="CS263" i="2"/>
  <c r="C263" i="2"/>
  <c r="AB262" i="2"/>
  <c r="BB261" i="2"/>
  <c r="BS260" i="2"/>
  <c r="N260" i="2"/>
  <c r="BF259" i="2"/>
  <c r="U259" i="2"/>
  <c r="BN258" i="2"/>
  <c r="AL258" i="2"/>
  <c r="U258" i="2"/>
  <c r="BV257" i="2"/>
  <c r="BD257" i="2"/>
  <c r="AG257" i="2"/>
  <c r="P257" i="2"/>
  <c r="B257" i="2"/>
  <c r="BM256" i="2"/>
  <c r="AY256" i="2"/>
  <c r="AA256" i="2"/>
  <c r="D256" i="2"/>
  <c r="BX255" i="2"/>
  <c r="BJ255" i="2"/>
  <c r="AL255" i="2"/>
  <c r="X255" i="2"/>
  <c r="F255" i="2"/>
  <c r="CB254" i="2"/>
  <c r="BM254" i="2"/>
  <c r="AY254" i="2"/>
  <c r="AA254" i="2"/>
  <c r="I254" i="2"/>
  <c r="CO253" i="2"/>
  <c r="BP253" i="2"/>
  <c r="BA253" i="2"/>
  <c r="AC253" i="2"/>
  <c r="P253" i="2"/>
  <c r="B253" i="2"/>
  <c r="BM252" i="2"/>
  <c r="AY252" i="2"/>
  <c r="AA252" i="2"/>
  <c r="D252" i="2"/>
  <c r="BP251" i="2"/>
  <c r="BA251" i="2"/>
  <c r="AC251" i="2"/>
  <c r="F251" i="2"/>
  <c r="BR250" i="2"/>
  <c r="BD250" i="2"/>
  <c r="AG250" i="2"/>
  <c r="H250" i="2"/>
  <c r="CN249" i="2"/>
  <c r="BR249" i="2"/>
  <c r="BD249" i="2"/>
  <c r="AG249" i="2"/>
  <c r="N249" i="2"/>
  <c r="CL248" i="2"/>
  <c r="BN248" i="2"/>
  <c r="AZ248" i="2"/>
  <c r="AB248" i="2"/>
  <c r="J248" i="2"/>
  <c r="CP247" i="2"/>
  <c r="BQ247" i="2"/>
  <c r="BB247" i="2"/>
  <c r="AF247" i="2"/>
  <c r="P247" i="2"/>
  <c r="BY246" i="2"/>
  <c r="BK246" i="2"/>
  <c r="AR246" i="2"/>
  <c r="AA246" i="2"/>
  <c r="H246" i="2"/>
  <c r="BT245" i="2"/>
  <c r="BF245" i="2"/>
  <c r="AI245" i="2"/>
  <c r="W245" i="2"/>
  <c r="BZ244" i="2"/>
  <c r="BL244" i="2"/>
  <c r="AX244" i="2"/>
  <c r="AB244" i="2"/>
  <c r="H244" i="2"/>
  <c r="CN243" i="2"/>
  <c r="BN243" i="2"/>
  <c r="AZ243" i="2"/>
  <c r="AC243" i="2"/>
  <c r="J243" i="2"/>
  <c r="CP242" i="2"/>
  <c r="BT242" i="2"/>
  <c r="BG242" i="2"/>
  <c r="AJ242" i="2"/>
  <c r="W242" i="2"/>
  <c r="D242" i="2"/>
  <c r="CC241" i="2"/>
  <c r="BN241" i="2"/>
  <c r="AZ241" i="2"/>
  <c r="AD241" i="2"/>
  <c r="N241" i="2"/>
  <c r="CI240" i="2"/>
  <c r="BV240" i="2"/>
  <c r="BG240" i="2"/>
  <c r="AJ240" i="2"/>
  <c r="X240" i="2"/>
  <c r="E240" i="2"/>
  <c r="CC239" i="2"/>
  <c r="BN239" i="2"/>
  <c r="AZ239" i="2"/>
  <c r="AD239" i="2"/>
  <c r="N239" i="2"/>
  <c r="CJ238" i="2"/>
  <c r="BW238" i="2"/>
  <c r="BH238" i="2"/>
  <c r="AK238" i="2"/>
  <c r="Y238" i="2"/>
  <c r="F238" i="2"/>
  <c r="CE237" i="2"/>
  <c r="BQ237" i="2"/>
  <c r="BB237" i="2"/>
  <c r="AF237" i="2"/>
  <c r="Q237" i="2"/>
  <c r="CL236" i="2"/>
  <c r="BX236" i="2"/>
  <c r="BJ236" i="2"/>
  <c r="AL236" i="2"/>
  <c r="Z236" i="2"/>
  <c r="G236" i="2"/>
  <c r="CD235" i="2"/>
  <c r="BP235" i="2"/>
  <c r="BA235" i="2"/>
  <c r="AE235" i="2"/>
  <c r="N235" i="2"/>
  <c r="CG234" i="2"/>
  <c r="BS234" i="2"/>
  <c r="BE234" i="2"/>
  <c r="AH234" i="2"/>
  <c r="V234" i="2"/>
  <c r="D234" i="2"/>
  <c r="BP233" i="2"/>
  <c r="BA233" i="2"/>
  <c r="AE233" i="2"/>
  <c r="H233" i="2"/>
  <c r="BT232" i="2"/>
  <c r="BF232" i="2"/>
  <c r="AI232" i="2"/>
  <c r="W232" i="2"/>
  <c r="BY231" i="2"/>
  <c r="BK231" i="2"/>
  <c r="AR231" i="2"/>
  <c r="AA231" i="2"/>
  <c r="D231" i="2"/>
  <c r="CJ230" i="2"/>
  <c r="BM230" i="2"/>
  <c r="AY230" i="2"/>
  <c r="AB230" i="2"/>
  <c r="I230" i="2"/>
  <c r="CO229" i="2"/>
  <c r="BS229" i="2"/>
  <c r="BE229" i="2"/>
  <c r="AH229" i="2"/>
  <c r="U229" i="2"/>
  <c r="C229" i="2"/>
  <c r="BM228" i="2"/>
  <c r="AY228" i="2"/>
  <c r="AA228" i="2"/>
  <c r="D228" i="2"/>
  <c r="CC227" i="2"/>
  <c r="BN227" i="2"/>
  <c r="AZ227" i="2"/>
  <c r="AD227" i="2"/>
  <c r="N227" i="2"/>
  <c r="CJ226" i="2"/>
  <c r="BM226" i="2"/>
  <c r="AY226" i="2"/>
  <c r="AC226" i="2"/>
  <c r="J226" i="2"/>
  <c r="BW225" i="2"/>
  <c r="BG225" i="2"/>
  <c r="AJ225" i="2"/>
  <c r="X225" i="2"/>
  <c r="CS224" i="2"/>
  <c r="BX224" i="2"/>
  <c r="BL224" i="2"/>
  <c r="AY224" i="2"/>
  <c r="AE224" i="2"/>
  <c r="Q224" i="2"/>
  <c r="D224" i="2"/>
  <c r="CZ223" i="2"/>
  <c r="CN223" i="2"/>
  <c r="BR223" i="2"/>
  <c r="BD223" i="2"/>
  <c r="AG223" i="2"/>
  <c r="T223" i="2"/>
  <c r="G223" i="2"/>
  <c r="CM222" i="2"/>
  <c r="BQ222" i="2"/>
  <c r="BB222" i="2"/>
  <c r="AF222" i="2"/>
  <c r="Q222" i="2"/>
  <c r="D222" i="2"/>
  <c r="CJ221" i="2"/>
  <c r="BM221" i="2"/>
  <c r="AY221" i="2"/>
  <c r="AB221" i="2"/>
  <c r="O221" i="2"/>
  <c r="W319" i="2"/>
  <c r="AZ312" i="2"/>
  <c r="BS309" i="2"/>
  <c r="B307" i="2"/>
  <c r="X304" i="2"/>
  <c r="BF301" i="2"/>
  <c r="BD298" i="2"/>
  <c r="BS295" i="2"/>
  <c r="F293" i="2"/>
  <c r="AG290" i="2"/>
  <c r="I288" i="2"/>
  <c r="BJ285" i="2"/>
  <c r="CK282" i="2"/>
  <c r="W280" i="2"/>
  <c r="AX278" i="2"/>
  <c r="C277" i="2"/>
  <c r="BE275" i="2"/>
  <c r="K274" i="2"/>
  <c r="BK272" i="2"/>
  <c r="AH271" i="2"/>
  <c r="K270" i="2"/>
  <c r="BP268" i="2"/>
  <c r="AL267" i="2"/>
  <c r="V266" i="2"/>
  <c r="F265" i="2"/>
  <c r="CN263" i="2"/>
  <c r="BW262" i="2"/>
  <c r="W262" i="2"/>
  <c r="AR261" i="2"/>
  <c r="BM260" i="2"/>
  <c r="D260" i="2"/>
  <c r="BE259" i="2"/>
  <c r="T259" i="2"/>
  <c r="BM258" i="2"/>
  <c r="AJ258" i="2"/>
  <c r="N258" i="2"/>
  <c r="BT257" i="2"/>
  <c r="BB257" i="2"/>
  <c r="AF257" i="2"/>
  <c r="N257" i="2"/>
  <c r="BZ256" i="2"/>
  <c r="BL256" i="2"/>
  <c r="AX256" i="2"/>
  <c r="Z256" i="2"/>
  <c r="C256" i="2"/>
  <c r="BW255" i="2"/>
  <c r="BH255" i="2"/>
  <c r="AK255" i="2"/>
  <c r="W255" i="2"/>
  <c r="E255" i="2"/>
  <c r="BZ254" i="2"/>
  <c r="BL254" i="2"/>
  <c r="AX254" i="2"/>
  <c r="Z254" i="2"/>
  <c r="H254" i="2"/>
  <c r="CN253" i="2"/>
  <c r="BN253" i="2"/>
  <c r="AZ253" i="2"/>
  <c r="AB253" i="2"/>
  <c r="N253" i="2"/>
  <c r="BZ252" i="2"/>
  <c r="BL252" i="2"/>
  <c r="AX252" i="2"/>
  <c r="Z252" i="2"/>
  <c r="C252" i="2"/>
  <c r="BN251" i="2"/>
  <c r="AZ251" i="2"/>
  <c r="AB251" i="2"/>
  <c r="E251" i="2"/>
  <c r="BQ250" i="2"/>
  <c r="BB250" i="2"/>
  <c r="AF250" i="2"/>
  <c r="G250" i="2"/>
  <c r="CM249" i="2"/>
  <c r="BQ249" i="2"/>
  <c r="BB249" i="2"/>
  <c r="AF249" i="2"/>
  <c r="L249" i="2"/>
  <c r="CK248" i="2"/>
  <c r="BM248" i="2"/>
  <c r="AY248" i="2"/>
  <c r="AA248" i="2"/>
  <c r="I248" i="2"/>
  <c r="CO247" i="2"/>
  <c r="BP247" i="2"/>
  <c r="BA247" i="2"/>
  <c r="AE247" i="2"/>
  <c r="N247" i="2"/>
  <c r="BX246" i="2"/>
  <c r="BJ246" i="2"/>
  <c r="AL246" i="2"/>
  <c r="Z246" i="2"/>
  <c r="G246" i="2"/>
  <c r="BS245" i="2"/>
  <c r="BE245" i="2"/>
  <c r="AH245" i="2"/>
  <c r="V245" i="2"/>
  <c r="BY244" i="2"/>
  <c r="BK244" i="2"/>
  <c r="AR244" i="2"/>
  <c r="AA244" i="2"/>
  <c r="G244" i="2"/>
  <c r="CM243" i="2"/>
  <c r="BM243" i="2"/>
  <c r="AY243" i="2"/>
  <c r="AB243" i="2"/>
  <c r="I243" i="2"/>
  <c r="CO242" i="2"/>
  <c r="BS242" i="2"/>
  <c r="BF242" i="2"/>
  <c r="AI242" i="2"/>
  <c r="V242" i="2"/>
  <c r="C242" i="2"/>
  <c r="CB241" i="2"/>
  <c r="BM241" i="2"/>
  <c r="AY241" i="2"/>
  <c r="AC241" i="2"/>
  <c r="J241" i="2"/>
  <c r="CH240" i="2"/>
  <c r="BT240" i="2"/>
  <c r="BF240" i="2"/>
  <c r="AI240" i="2"/>
  <c r="W240" i="2"/>
  <c r="D240" i="2"/>
  <c r="CB239" i="2"/>
  <c r="BM239" i="2"/>
  <c r="AY239" i="2"/>
  <c r="AC239" i="2"/>
  <c r="J239" i="2"/>
  <c r="CI238" i="2"/>
  <c r="BV238" i="2"/>
  <c r="BG238" i="2"/>
  <c r="AJ238" i="2"/>
  <c r="X238" i="2"/>
  <c r="E238" i="2"/>
  <c r="CD237" i="2"/>
  <c r="BP237" i="2"/>
  <c r="BA237" i="2"/>
  <c r="AE237" i="2"/>
  <c r="P237" i="2"/>
  <c r="CK236" i="2"/>
  <c r="BW236" i="2"/>
  <c r="BH236" i="2"/>
  <c r="AK236" i="2"/>
  <c r="Y236" i="2"/>
  <c r="F236" i="2"/>
  <c r="CC235" i="2"/>
  <c r="BN235" i="2"/>
  <c r="AZ235" i="2"/>
  <c r="AD235" i="2"/>
  <c r="J235" i="2"/>
  <c r="CF234" i="2"/>
  <c r="BR234" i="2"/>
  <c r="BD234" i="2"/>
  <c r="AG234" i="2"/>
  <c r="U234" i="2"/>
  <c r="C234" i="2"/>
  <c r="BN233" i="2"/>
  <c r="AZ233" i="2"/>
  <c r="AD233" i="2"/>
  <c r="G233" i="2"/>
  <c r="BS232" i="2"/>
  <c r="BE232" i="2"/>
  <c r="AH232" i="2"/>
  <c r="V232" i="2"/>
  <c r="BX231" i="2"/>
  <c r="BJ231" i="2"/>
  <c r="AL231" i="2"/>
  <c r="Z231" i="2"/>
  <c r="C231" i="2"/>
  <c r="BZ230" i="2"/>
  <c r="BL230" i="2"/>
  <c r="AX230" i="2"/>
  <c r="AA230" i="2"/>
  <c r="H230" i="2"/>
  <c r="CN229" i="2"/>
  <c r="BR229" i="2"/>
  <c r="BD229" i="2"/>
  <c r="AG229" i="2"/>
  <c r="T229" i="2"/>
  <c r="B229" i="2"/>
  <c r="BL228" i="2"/>
  <c r="AX228" i="2"/>
  <c r="Z228" i="2"/>
  <c r="C228" i="2"/>
  <c r="CB227" i="2"/>
  <c r="BM227" i="2"/>
  <c r="AY227" i="2"/>
  <c r="AC227" i="2"/>
  <c r="J227" i="2"/>
  <c r="BZ226" i="2"/>
  <c r="BL226" i="2"/>
  <c r="AX226" i="2"/>
  <c r="AB226" i="2"/>
  <c r="I226" i="2"/>
  <c r="BV225" i="2"/>
  <c r="BF225" i="2"/>
  <c r="AI225" i="2"/>
  <c r="W225" i="2"/>
  <c r="CR224" i="2"/>
  <c r="BW224" i="2"/>
  <c r="BK224" i="2"/>
  <c r="AX224" i="2"/>
  <c r="AC224" i="2"/>
  <c r="P224" i="2"/>
  <c r="C224" i="2"/>
  <c r="CY223" i="2"/>
  <c r="CM223" i="2"/>
  <c r="BQ223" i="2"/>
  <c r="BB223" i="2"/>
  <c r="AF223" i="2"/>
  <c r="S223" i="2"/>
  <c r="F223" i="2"/>
  <c r="CL222" i="2"/>
  <c r="BP222" i="2"/>
  <c r="BA222" i="2"/>
  <c r="AC222" i="2"/>
  <c r="P222" i="2"/>
  <c r="C222" i="2"/>
  <c r="BZ221" i="2"/>
  <c r="BL221" i="2"/>
  <c r="AX221" i="2"/>
  <c r="AA221" i="2"/>
  <c r="N221" i="2"/>
  <c r="CZ220" i="2"/>
  <c r="CN220" i="2"/>
  <c r="BR220" i="2"/>
  <c r="BD220" i="2"/>
  <c r="AG220" i="2"/>
  <c r="S220" i="2"/>
  <c r="F220" i="2"/>
  <c r="BR219" i="2"/>
  <c r="BD219" i="2"/>
  <c r="AG219" i="2"/>
  <c r="U219" i="2"/>
  <c r="CP218" i="2"/>
  <c r="BT218" i="2"/>
  <c r="BF218" i="2"/>
  <c r="AI218" i="2"/>
  <c r="W218" i="2"/>
  <c r="C218" i="2"/>
  <c r="BZ217" i="2"/>
  <c r="BL217" i="2"/>
  <c r="AX217" i="2"/>
  <c r="AB217" i="2"/>
  <c r="H217" i="2"/>
  <c r="CN216" i="2"/>
  <c r="BR216" i="2"/>
  <c r="BD216" i="2"/>
  <c r="AG216" i="2"/>
  <c r="U216" i="2"/>
  <c r="CL215" i="2"/>
  <c r="BX215" i="2"/>
  <c r="BJ215" i="2"/>
  <c r="AL215" i="2"/>
  <c r="Z215" i="2"/>
  <c r="F215" i="2"/>
  <c r="BR214" i="2"/>
  <c r="BD214" i="2"/>
  <c r="AG214" i="2"/>
  <c r="U214" i="2"/>
  <c r="D214" i="2"/>
  <c r="BP213" i="2"/>
  <c r="Z318" i="2"/>
  <c r="V312" i="2"/>
  <c r="BE309" i="2"/>
  <c r="BM306" i="2"/>
  <c r="E304" i="2"/>
  <c r="AI301" i="2"/>
  <c r="AG298" i="2"/>
  <c r="BE295" i="2"/>
  <c r="BR292" i="2"/>
  <c r="N290" i="2"/>
  <c r="CE287" i="2"/>
  <c r="AL285" i="2"/>
  <c r="BN282" i="2"/>
  <c r="BY279" i="2"/>
  <c r="AG278" i="2"/>
  <c r="BT276" i="2"/>
  <c r="AR275" i="2"/>
  <c r="B274" i="2"/>
  <c r="BB272" i="2"/>
  <c r="Y271" i="2"/>
  <c r="D270" i="2"/>
  <c r="BG268" i="2"/>
  <c r="AC267" i="2"/>
  <c r="H266" i="2"/>
  <c r="CQ264" i="2"/>
  <c r="BT263" i="2"/>
  <c r="BT262" i="2"/>
  <c r="U262" i="2"/>
  <c r="AK261" i="2"/>
  <c r="BK260" i="2"/>
  <c r="B260" i="2"/>
  <c r="BD259" i="2"/>
  <c r="Q259" i="2"/>
  <c r="BL258" i="2"/>
  <c r="AI258" i="2"/>
  <c r="H258" i="2"/>
  <c r="BR257" i="2"/>
  <c r="BA257" i="2"/>
  <c r="AC257" i="2"/>
  <c r="L257" i="2"/>
  <c r="BY256" i="2"/>
  <c r="BK256" i="2"/>
  <c r="AR256" i="2"/>
  <c r="Y256" i="2"/>
  <c r="B256" i="2"/>
  <c r="BV255" i="2"/>
  <c r="BG255" i="2"/>
  <c r="AJ255" i="2"/>
  <c r="V255" i="2"/>
  <c r="D255" i="2"/>
  <c r="BY254" i="2"/>
  <c r="BK254" i="2"/>
  <c r="AR254" i="2"/>
  <c r="Y254" i="2"/>
  <c r="G254" i="2"/>
  <c r="CM253" i="2"/>
  <c r="BM253" i="2"/>
  <c r="AY253" i="2"/>
  <c r="AA253" i="2"/>
  <c r="L253" i="2"/>
  <c r="BY252" i="2"/>
  <c r="BK252" i="2"/>
  <c r="AR252" i="2"/>
  <c r="Y252" i="2"/>
  <c r="B252" i="2"/>
  <c r="BM251" i="2"/>
  <c r="AY251" i="2"/>
  <c r="AA251" i="2"/>
  <c r="D251" i="2"/>
  <c r="BP250" i="2"/>
  <c r="BA250" i="2"/>
  <c r="AC250" i="2"/>
  <c r="F250" i="2"/>
  <c r="CL249" i="2"/>
  <c r="BP249" i="2"/>
  <c r="BA249" i="2"/>
  <c r="AC249" i="2"/>
  <c r="K249" i="2"/>
  <c r="BZ248" i="2"/>
  <c r="BL248" i="2"/>
  <c r="AX248" i="2"/>
  <c r="Z248" i="2"/>
  <c r="H248" i="2"/>
  <c r="CN247" i="2"/>
  <c r="BN247" i="2"/>
  <c r="AZ247" i="2"/>
  <c r="AD247" i="2"/>
  <c r="J247" i="2"/>
  <c r="BW246" i="2"/>
  <c r="BH246" i="2"/>
  <c r="AK246" i="2"/>
  <c r="Y246" i="2"/>
  <c r="F246" i="2"/>
  <c r="BR245" i="2"/>
  <c r="BD245" i="2"/>
  <c r="AG245" i="2"/>
  <c r="U245" i="2"/>
  <c r="BX244" i="2"/>
  <c r="BJ244" i="2"/>
  <c r="AL244" i="2"/>
  <c r="Z244" i="2"/>
  <c r="F244" i="2"/>
  <c r="BZ243" i="2"/>
  <c r="BL243" i="2"/>
  <c r="AX243" i="2"/>
  <c r="AA243" i="2"/>
  <c r="H243" i="2"/>
  <c r="CN242" i="2"/>
  <c r="BR242" i="2"/>
  <c r="BE242" i="2"/>
  <c r="AH242" i="2"/>
  <c r="U242" i="2"/>
  <c r="B242" i="2"/>
  <c r="BZ241" i="2"/>
  <c r="BL241" i="2"/>
  <c r="AX241" i="2"/>
  <c r="AB241" i="2"/>
  <c r="I241" i="2"/>
  <c r="CG240" i="2"/>
  <c r="BS240" i="2"/>
  <c r="BE240" i="2"/>
  <c r="AH240" i="2"/>
  <c r="V240" i="2"/>
  <c r="C240" i="2"/>
  <c r="BZ239" i="2"/>
  <c r="BL239" i="2"/>
  <c r="AX239" i="2"/>
  <c r="AB239" i="2"/>
  <c r="I239" i="2"/>
  <c r="CH238" i="2"/>
  <c r="BT238" i="2"/>
  <c r="BF238" i="2"/>
  <c r="AI238" i="2"/>
  <c r="W238" i="2"/>
  <c r="D238" i="2"/>
  <c r="CC237" i="2"/>
  <c r="BN237" i="2"/>
  <c r="AZ237" i="2"/>
  <c r="AD237" i="2"/>
  <c r="N237" i="2"/>
  <c r="CI236" i="2"/>
  <c r="BV236" i="2"/>
  <c r="BG236" i="2"/>
  <c r="AJ236" i="2"/>
  <c r="X236" i="2"/>
  <c r="E236" i="2"/>
  <c r="CB235" i="2"/>
  <c r="BM235" i="2"/>
  <c r="AY235" i="2"/>
  <c r="AC235" i="2"/>
  <c r="I235" i="2"/>
  <c r="CE234" i="2"/>
  <c r="BQ234" i="2"/>
  <c r="BB234" i="2"/>
  <c r="AF234" i="2"/>
  <c r="T234" i="2"/>
  <c r="B234" i="2"/>
  <c r="BM233" i="2"/>
  <c r="AY233" i="2"/>
  <c r="AC233" i="2"/>
  <c r="F233" i="2"/>
  <c r="BR232" i="2"/>
  <c r="BD232" i="2"/>
  <c r="AG232" i="2"/>
  <c r="U232" i="2"/>
  <c r="BW231" i="2"/>
  <c r="BH231" i="2"/>
  <c r="AK231" i="2"/>
  <c r="Y231" i="2"/>
  <c r="B231" i="2"/>
  <c r="BY230" i="2"/>
  <c r="BK230" i="2"/>
  <c r="AR230" i="2"/>
  <c r="Z230" i="2"/>
  <c r="G230" i="2"/>
  <c r="CM229" i="2"/>
  <c r="BQ229" i="2"/>
  <c r="BB229" i="2"/>
  <c r="AF229" i="2"/>
  <c r="Q229" i="2"/>
  <c r="BZ228" i="2"/>
  <c r="BK228" i="2"/>
  <c r="AR228" i="2"/>
  <c r="Y228" i="2"/>
  <c r="B228" i="2"/>
  <c r="BZ227" i="2"/>
  <c r="BL227" i="2"/>
  <c r="AX227" i="2"/>
  <c r="AB227" i="2"/>
  <c r="I227" i="2"/>
  <c r="BY226" i="2"/>
  <c r="BK226" i="2"/>
  <c r="AR226" i="2"/>
  <c r="AA226" i="2"/>
  <c r="H226" i="2"/>
  <c r="BT225" i="2"/>
  <c r="BE225" i="2"/>
  <c r="AH225" i="2"/>
  <c r="V225" i="2"/>
  <c r="CQ224" i="2"/>
  <c r="BV224" i="2"/>
  <c r="BJ224" i="2"/>
  <c r="AT224" i="2"/>
  <c r="AB224" i="2"/>
  <c r="O224" i="2"/>
  <c r="B224" i="2"/>
  <c r="CX223" i="2"/>
  <c r="CL223" i="2"/>
  <c r="BP223" i="2"/>
  <c r="BA223" i="2"/>
  <c r="AE223" i="2"/>
  <c r="R223" i="2"/>
  <c r="E223" i="2"/>
  <c r="CK222" i="2"/>
  <c r="BN222" i="2"/>
  <c r="AZ222" i="2"/>
  <c r="AB222" i="2"/>
  <c r="O222" i="2"/>
  <c r="B222" i="2"/>
  <c r="BY221" i="2"/>
  <c r="BK221" i="2"/>
  <c r="AR221" i="2"/>
  <c r="Z221" i="2"/>
  <c r="L221" i="2"/>
  <c r="CY220" i="2"/>
  <c r="CM220" i="2"/>
  <c r="BQ220" i="2"/>
  <c r="BB220" i="2"/>
  <c r="AF220" i="2"/>
  <c r="R220" i="2"/>
  <c r="E220" i="2"/>
  <c r="BQ219" i="2"/>
  <c r="BB219" i="2"/>
  <c r="AF219" i="2"/>
  <c r="N219" i="2"/>
  <c r="CO218" i="2"/>
  <c r="BS218" i="2"/>
  <c r="BE218" i="2"/>
  <c r="AH218" i="2"/>
  <c r="V218" i="2"/>
  <c r="B218" i="2"/>
  <c r="BY217" i="2"/>
  <c r="BK217" i="2"/>
  <c r="AR217" i="2"/>
  <c r="AA217" i="2"/>
  <c r="G217" i="2"/>
  <c r="CM216" i="2"/>
  <c r="BQ216" i="2"/>
  <c r="BB216" i="2"/>
  <c r="AF216" i="2"/>
  <c r="P216" i="2"/>
  <c r="CK215" i="2"/>
  <c r="BW215" i="2"/>
  <c r="BH215" i="2"/>
  <c r="AY317" i="2"/>
  <c r="C312" i="2"/>
  <c r="AH309" i="2"/>
  <c r="AY306" i="2"/>
  <c r="BQ303" i="2"/>
  <c r="G301" i="2"/>
  <c r="N298" i="2"/>
  <c r="AH295" i="2"/>
  <c r="BD292" i="2"/>
  <c r="CS289" i="2"/>
  <c r="BQ287" i="2"/>
  <c r="W285" i="2"/>
  <c r="AZ282" i="2"/>
  <c r="BK279" i="2"/>
  <c r="Y278" i="2"/>
  <c r="BN276" i="2"/>
  <c r="AH275" i="2"/>
  <c r="BV273" i="2"/>
  <c r="AR272" i="2"/>
  <c r="N271" i="2"/>
  <c r="BX269" i="2"/>
  <c r="BA268" i="2"/>
  <c r="X267" i="2"/>
  <c r="C266" i="2"/>
  <c r="BZ264" i="2"/>
  <c r="BN263" i="2"/>
  <c r="BP262" i="2"/>
  <c r="F262" i="2"/>
  <c r="AG261" i="2"/>
  <c r="BF260" i="2"/>
  <c r="CI259" i="2"/>
  <c r="AY259" i="2"/>
  <c r="I259" i="2"/>
  <c r="BG258" i="2"/>
  <c r="AH258" i="2"/>
  <c r="G258" i="2"/>
  <c r="BQ257" i="2"/>
  <c r="AZ257" i="2"/>
  <c r="AB257" i="2"/>
  <c r="K257" i="2"/>
  <c r="BX256" i="2"/>
  <c r="BJ256" i="2"/>
  <c r="AL256" i="2"/>
  <c r="X256" i="2"/>
  <c r="CS255" i="2"/>
  <c r="BT255" i="2"/>
  <c r="BF255" i="2"/>
  <c r="AI255" i="2"/>
  <c r="U255" i="2"/>
  <c r="C255" i="2"/>
  <c r="BX254" i="2"/>
  <c r="BJ254" i="2"/>
  <c r="AL254" i="2"/>
  <c r="X254" i="2"/>
  <c r="F254" i="2"/>
  <c r="BZ253" i="2"/>
  <c r="BL253" i="2"/>
  <c r="AX253" i="2"/>
  <c r="Z253" i="2"/>
  <c r="K253" i="2"/>
  <c r="BX252" i="2"/>
  <c r="BJ252" i="2"/>
  <c r="AL252" i="2"/>
  <c r="X252" i="2"/>
  <c r="BZ251" i="2"/>
  <c r="BL251" i="2"/>
  <c r="AX251" i="2"/>
  <c r="Z251" i="2"/>
  <c r="C251" i="2"/>
  <c r="BN250" i="2"/>
  <c r="AZ250" i="2"/>
  <c r="AB250" i="2"/>
  <c r="E250" i="2"/>
  <c r="CK249" i="2"/>
  <c r="BN249" i="2"/>
  <c r="AZ249" i="2"/>
  <c r="AB249" i="2"/>
  <c r="J249" i="2"/>
  <c r="BY248" i="2"/>
  <c r="BK248" i="2"/>
  <c r="AR248" i="2"/>
  <c r="Y248" i="2"/>
  <c r="G248" i="2"/>
  <c r="CM247" i="2"/>
  <c r="BM247" i="2"/>
  <c r="AY247" i="2"/>
  <c r="AC247" i="2"/>
  <c r="I247" i="2"/>
  <c r="BV246" i="2"/>
  <c r="BG246" i="2"/>
  <c r="AJ246" i="2"/>
  <c r="X246" i="2"/>
  <c r="E246" i="2"/>
  <c r="BQ245" i="2"/>
  <c r="BB245" i="2"/>
  <c r="AF245" i="2"/>
  <c r="N245" i="2"/>
  <c r="BW244" i="2"/>
  <c r="BH244" i="2"/>
  <c r="AK244" i="2"/>
  <c r="Y244" i="2"/>
  <c r="E244" i="2"/>
  <c r="BY243" i="2"/>
  <c r="BK243" i="2"/>
  <c r="AR243" i="2"/>
  <c r="Z243" i="2"/>
  <c r="G243" i="2"/>
  <c r="CM242" i="2"/>
  <c r="BQ242" i="2"/>
  <c r="BD242" i="2"/>
  <c r="AG242" i="2"/>
  <c r="T242" i="2"/>
  <c r="CL241" i="2"/>
  <c r="BY241" i="2"/>
  <c r="BK241" i="2"/>
  <c r="AR241" i="2"/>
  <c r="AA241" i="2"/>
  <c r="H241" i="2"/>
  <c r="CF240" i="2"/>
  <c r="BR240" i="2"/>
  <c r="BD240" i="2"/>
  <c r="AG240" i="2"/>
  <c r="U240" i="2"/>
  <c r="B240" i="2"/>
  <c r="BY239" i="2"/>
  <c r="BK239" i="2"/>
  <c r="AR239" i="2"/>
  <c r="AA239" i="2"/>
  <c r="H239" i="2"/>
  <c r="CG238" i="2"/>
  <c r="BS238" i="2"/>
  <c r="BE238" i="2"/>
  <c r="AH238" i="2"/>
  <c r="V238" i="2"/>
  <c r="C238" i="2"/>
  <c r="CB237" i="2"/>
  <c r="BM237" i="2"/>
  <c r="AY237" i="2"/>
  <c r="AC237" i="2"/>
  <c r="J237" i="2"/>
  <c r="CH236" i="2"/>
  <c r="BT236" i="2"/>
  <c r="BF236" i="2"/>
  <c r="AI236" i="2"/>
  <c r="W236" i="2"/>
  <c r="D236" i="2"/>
  <c r="BZ235" i="2"/>
  <c r="BL235" i="2"/>
  <c r="AX235" i="2"/>
  <c r="AB235" i="2"/>
  <c r="H235" i="2"/>
  <c r="CD234" i="2"/>
  <c r="BP234" i="2"/>
  <c r="BA234" i="2"/>
  <c r="AE234" i="2"/>
  <c r="Q234" i="2"/>
  <c r="BZ233" i="2"/>
  <c r="BL233" i="2"/>
  <c r="AX233" i="2"/>
  <c r="AB233" i="2"/>
  <c r="E233" i="2"/>
  <c r="BQ232" i="2"/>
  <c r="BB232" i="2"/>
  <c r="AF232" i="2"/>
  <c r="N232" i="2"/>
  <c r="BV231" i="2"/>
  <c r="BG231" i="2"/>
  <c r="AJ231" i="2"/>
  <c r="X231" i="2"/>
  <c r="CS230" i="2"/>
  <c r="BX230" i="2"/>
  <c r="BJ230" i="2"/>
  <c r="AL230" i="2"/>
  <c r="Y230" i="2"/>
  <c r="F230" i="2"/>
  <c r="CL229" i="2"/>
  <c r="BP229" i="2"/>
  <c r="BA229" i="2"/>
  <c r="AE229" i="2"/>
  <c r="P229" i="2"/>
  <c r="BY228" i="2"/>
  <c r="BJ228" i="2"/>
  <c r="AL228" i="2"/>
  <c r="X228" i="2"/>
  <c r="CL227" i="2"/>
  <c r="BY227" i="2"/>
  <c r="BK227" i="2"/>
  <c r="AR227" i="2"/>
  <c r="AA227" i="2"/>
  <c r="H227" i="2"/>
  <c r="BX226" i="2"/>
  <c r="BJ226" i="2"/>
  <c r="AL226" i="2"/>
  <c r="Z226" i="2"/>
  <c r="G226" i="2"/>
  <c r="BR225" i="2"/>
  <c r="BD225" i="2"/>
  <c r="AG225" i="2"/>
  <c r="U225" i="2"/>
  <c r="CP224" i="2"/>
  <c r="BU224" i="2"/>
  <c r="BI224" i="2"/>
  <c r="AS224" i="2"/>
  <c r="AA224" i="2"/>
  <c r="N224" i="2"/>
  <c r="DJ223" i="2"/>
  <c r="CW223" i="2"/>
  <c r="CK223" i="2"/>
  <c r="BN223" i="2"/>
  <c r="AZ223" i="2"/>
  <c r="AC223" i="2"/>
  <c r="Q223" i="2"/>
  <c r="D223" i="2"/>
  <c r="CJ222" i="2"/>
  <c r="BM222" i="2"/>
  <c r="AY222" i="2"/>
  <c r="AA222" i="2"/>
  <c r="N222" i="2"/>
  <c r="CS221" i="2"/>
  <c r="BX221" i="2"/>
  <c r="BJ221" i="2"/>
  <c r="AL221" i="2"/>
  <c r="Y221" i="2"/>
  <c r="K221" i="2"/>
  <c r="CX220" i="2"/>
  <c r="CL220" i="2"/>
  <c r="BP220" i="2"/>
  <c r="BA220" i="2"/>
  <c r="AC220" i="2"/>
  <c r="Q220" i="2"/>
  <c r="D220" i="2"/>
  <c r="BP219" i="2"/>
  <c r="BA219" i="2"/>
  <c r="AE219" i="2"/>
  <c r="H219" i="2"/>
  <c r="CN218" i="2"/>
  <c r="BR218" i="2"/>
  <c r="BD218" i="2"/>
  <c r="AG218" i="2"/>
  <c r="U218" i="2"/>
  <c r="CS217" i="2"/>
  <c r="BX217" i="2"/>
  <c r="BJ217" i="2"/>
  <c r="AL217" i="2"/>
  <c r="Z217" i="2"/>
  <c r="F217" i="2"/>
  <c r="CL216" i="2"/>
  <c r="BP216" i="2"/>
  <c r="BA216" i="2"/>
  <c r="AE216" i="2"/>
  <c r="N216" i="2"/>
  <c r="CJ215" i="2"/>
  <c r="BV215" i="2"/>
  <c r="BG215" i="2"/>
  <c r="AJ215" i="2"/>
  <c r="X215" i="2"/>
  <c r="D215" i="2"/>
  <c r="BP214" i="2"/>
  <c r="BA214" i="2"/>
  <c r="AE214" i="2"/>
  <c r="P214" i="2"/>
  <c r="B214" i="2"/>
  <c r="BP316" i="2"/>
  <c r="BN311" i="2"/>
  <c r="P309" i="2"/>
  <c r="Z306" i="2"/>
  <c r="BB303" i="2"/>
  <c r="BS300" i="2"/>
  <c r="BZ297" i="2"/>
  <c r="H295" i="2"/>
  <c r="AG292" i="2"/>
  <c r="BX289" i="2"/>
  <c r="BB287" i="2"/>
  <c r="D285" i="2"/>
  <c r="AA282" i="2"/>
  <c r="BB279" i="2"/>
  <c r="G278" i="2"/>
  <c r="BF276" i="2"/>
  <c r="V275" i="2"/>
  <c r="BM273" i="2"/>
  <c r="AF272" i="2"/>
  <c r="B271" i="2"/>
  <c r="BP269" i="2"/>
  <c r="AJ268" i="2"/>
  <c r="G267" i="2"/>
  <c r="CN265" i="2"/>
  <c r="BR264" i="2"/>
  <c r="BF263" i="2"/>
  <c r="BN262" i="2"/>
  <c r="E262" i="2"/>
  <c r="AF261" i="2"/>
  <c r="BE260" i="2"/>
  <c r="CH259" i="2"/>
  <c r="AR259" i="2"/>
  <c r="G259" i="2"/>
  <c r="BF258" i="2"/>
  <c r="AG258" i="2"/>
  <c r="E258" i="2"/>
  <c r="BP257" i="2"/>
  <c r="AY257" i="2"/>
  <c r="AA257" i="2"/>
  <c r="J257" i="2"/>
  <c r="BW256" i="2"/>
  <c r="BH256" i="2"/>
  <c r="AK256" i="2"/>
  <c r="W256" i="2"/>
  <c r="CR255" i="2"/>
  <c r="BS255" i="2"/>
  <c r="BE255" i="2"/>
  <c r="AH255" i="2"/>
  <c r="T255" i="2"/>
  <c r="B255" i="2"/>
  <c r="BW254" i="2"/>
  <c r="BH254" i="2"/>
  <c r="AK254" i="2"/>
  <c r="W254" i="2"/>
  <c r="E254" i="2"/>
  <c r="BY253" i="2"/>
  <c r="BK253" i="2"/>
  <c r="AR253" i="2"/>
  <c r="Y253" i="2"/>
  <c r="J253" i="2"/>
  <c r="BW252" i="2"/>
  <c r="BH252" i="2"/>
  <c r="AK252" i="2"/>
  <c r="W252" i="2"/>
  <c r="BY251" i="2"/>
  <c r="BK251" i="2"/>
  <c r="AR251" i="2"/>
  <c r="Y251" i="2"/>
  <c r="B251" i="2"/>
  <c r="BM250" i="2"/>
  <c r="AY250" i="2"/>
  <c r="AA250" i="2"/>
  <c r="D250" i="2"/>
  <c r="CJ249" i="2"/>
  <c r="BM249" i="2"/>
  <c r="AY249" i="2"/>
  <c r="AA249" i="2"/>
  <c r="I249" i="2"/>
  <c r="BX248" i="2"/>
  <c r="BJ248" i="2"/>
  <c r="AL248" i="2"/>
  <c r="X248" i="2"/>
  <c r="F248" i="2"/>
  <c r="BZ247" i="2"/>
  <c r="BL247" i="2"/>
  <c r="AX247" i="2"/>
  <c r="AB247" i="2"/>
  <c r="H247" i="2"/>
  <c r="BT246" i="2"/>
  <c r="BF246" i="2"/>
  <c r="AI246" i="2"/>
  <c r="W246" i="2"/>
  <c r="D246" i="2"/>
  <c r="BP245" i="2"/>
  <c r="BA245" i="2"/>
  <c r="AE245" i="2"/>
  <c r="H245" i="2"/>
  <c r="BV244" i="2"/>
  <c r="BG244" i="2"/>
  <c r="AJ244" i="2"/>
  <c r="X244" i="2"/>
  <c r="D244" i="2"/>
  <c r="BX243" i="2"/>
  <c r="BJ243" i="2"/>
  <c r="AL243" i="2"/>
  <c r="Y243" i="2"/>
  <c r="F243" i="2"/>
  <c r="CL242" i="2"/>
  <c r="BP242" i="2"/>
  <c r="BB242" i="2"/>
  <c r="AF242" i="2"/>
  <c r="P242" i="2"/>
  <c r="CK241" i="2"/>
  <c r="BX241" i="2"/>
  <c r="BJ241" i="2"/>
  <c r="AL241" i="2"/>
  <c r="Z241" i="2"/>
  <c r="G241" i="2"/>
  <c r="CE240" i="2"/>
  <c r="BQ240" i="2"/>
  <c r="BB240" i="2"/>
  <c r="AF240" i="2"/>
  <c r="R240" i="2"/>
  <c r="CL239" i="2"/>
  <c r="BX239" i="2"/>
  <c r="BJ239" i="2"/>
  <c r="AL239" i="2"/>
  <c r="Z239" i="2"/>
  <c r="G239" i="2"/>
  <c r="CF238" i="2"/>
  <c r="BR238" i="2"/>
  <c r="BD238" i="2"/>
  <c r="AG238" i="2"/>
  <c r="U238" i="2"/>
  <c r="B238" i="2"/>
  <c r="BZ237" i="2"/>
  <c r="BL237" i="2"/>
  <c r="AX237" i="2"/>
  <c r="AB237" i="2"/>
  <c r="I237" i="2"/>
  <c r="CG236" i="2"/>
  <c r="BS236" i="2"/>
  <c r="BE236" i="2"/>
  <c r="AH236" i="2"/>
  <c r="V236" i="2"/>
  <c r="C236" i="2"/>
  <c r="BY235" i="2"/>
  <c r="BK235" i="2"/>
  <c r="AR235" i="2"/>
  <c r="AA235" i="2"/>
  <c r="G235" i="2"/>
  <c r="CC234" i="2"/>
  <c r="BN234" i="2"/>
  <c r="AZ234" i="2"/>
  <c r="AD234" i="2"/>
  <c r="P234" i="2"/>
  <c r="BY233" i="2"/>
  <c r="BK233" i="2"/>
  <c r="AR233" i="2"/>
  <c r="AA233" i="2"/>
  <c r="D233" i="2"/>
  <c r="BP232" i="2"/>
  <c r="BA232" i="2"/>
  <c r="AE232" i="2"/>
  <c r="H232" i="2"/>
  <c r="BT231" i="2"/>
  <c r="BF231" i="2"/>
  <c r="AI231" i="2"/>
  <c r="W231" i="2"/>
  <c r="CR230" i="2"/>
  <c r="BW230" i="2"/>
  <c r="BH230" i="2"/>
  <c r="AK230" i="2"/>
  <c r="X230" i="2"/>
  <c r="E230" i="2"/>
  <c r="CK229" i="2"/>
  <c r="BN229" i="2"/>
  <c r="AZ229" i="2"/>
  <c r="AC229" i="2"/>
  <c r="N229" i="2"/>
  <c r="BX228" i="2"/>
  <c r="BH228" i="2"/>
  <c r="AK228" i="2"/>
  <c r="W228" i="2"/>
  <c r="CK227" i="2"/>
  <c r="BX227" i="2"/>
  <c r="BJ227" i="2"/>
  <c r="AL227" i="2"/>
  <c r="Z227" i="2"/>
  <c r="G227" i="2"/>
  <c r="BW226" i="2"/>
  <c r="BH226" i="2"/>
  <c r="AK226" i="2"/>
  <c r="Y226" i="2"/>
  <c r="F226" i="2"/>
  <c r="BQ225" i="2"/>
  <c r="BB225" i="2"/>
  <c r="AF225" i="2"/>
  <c r="N225" i="2"/>
  <c r="CO224" i="2"/>
  <c r="BT224" i="2"/>
  <c r="BH224" i="2"/>
  <c r="AR224" i="2"/>
  <c r="Z224" i="2"/>
  <c r="L224" i="2"/>
  <c r="DI223" i="2"/>
  <c r="CV223" i="2"/>
  <c r="CJ223" i="2"/>
  <c r="BM223" i="2"/>
  <c r="AY223" i="2"/>
  <c r="AB223" i="2"/>
  <c r="P223" i="2"/>
  <c r="C223" i="2"/>
  <c r="BZ222" i="2"/>
  <c r="BL222" i="2"/>
  <c r="AX222" i="2"/>
  <c r="Z222" i="2"/>
  <c r="L222" i="2"/>
  <c r="CR221" i="2"/>
  <c r="BW221" i="2"/>
  <c r="BH221" i="2"/>
  <c r="AK221" i="2"/>
  <c r="X221" i="2"/>
  <c r="J221" i="2"/>
  <c r="BV315" i="2"/>
  <c r="AZ311" i="2"/>
  <c r="B309" i="2"/>
  <c r="G306" i="2"/>
  <c r="AF303" i="2"/>
  <c r="BF300" i="2"/>
  <c r="BL297" i="2"/>
  <c r="BT294" i="2"/>
  <c r="L292" i="2"/>
  <c r="BJ289" i="2"/>
  <c r="AF287" i="2"/>
  <c r="BP284" i="2"/>
  <c r="K282" i="2"/>
  <c r="AR279" i="2"/>
  <c r="B278" i="2"/>
  <c r="AZ276" i="2"/>
  <c r="F275" i="2"/>
  <c r="BG273" i="2"/>
  <c r="Y272" i="2"/>
  <c r="CO270" i="2"/>
  <c r="BJ269" i="2"/>
  <c r="AC268" i="2"/>
  <c r="B267" i="2"/>
  <c r="BW265" i="2"/>
  <c r="BL264" i="2"/>
  <c r="AZ263" i="2"/>
  <c r="BH262" i="2"/>
  <c r="BY261" i="2"/>
  <c r="Y261" i="2"/>
  <c r="AY260" i="2"/>
  <c r="CC259" i="2"/>
  <c r="AK259" i="2"/>
  <c r="E259" i="2"/>
  <c r="BE258" i="2"/>
  <c r="AF258" i="2"/>
  <c r="D258" i="2"/>
  <c r="BN257" i="2"/>
  <c r="AX257" i="2"/>
  <c r="Z257" i="2"/>
  <c r="I257" i="2"/>
  <c r="BV256" i="2"/>
  <c r="BG256" i="2"/>
  <c r="AJ256" i="2"/>
  <c r="V256" i="2"/>
  <c r="CQ255" i="2"/>
  <c r="BR255" i="2"/>
  <c r="BD255" i="2"/>
  <c r="AG255" i="2"/>
  <c r="Q255" i="2"/>
  <c r="CI254" i="2"/>
  <c r="BV254" i="2"/>
  <c r="BG254" i="2"/>
  <c r="AJ254" i="2"/>
  <c r="V254" i="2"/>
  <c r="D254" i="2"/>
  <c r="BX253" i="2"/>
  <c r="BJ253" i="2"/>
  <c r="AL253" i="2"/>
  <c r="X253" i="2"/>
  <c r="I253" i="2"/>
  <c r="BV252" i="2"/>
  <c r="BG252" i="2"/>
  <c r="AJ252" i="2"/>
  <c r="V252" i="2"/>
  <c r="BX251" i="2"/>
  <c r="BJ251" i="2"/>
  <c r="AL251" i="2"/>
  <c r="X251" i="2"/>
  <c r="BZ250" i="2"/>
  <c r="BL250" i="2"/>
  <c r="AX250" i="2"/>
  <c r="Z250" i="2"/>
  <c r="C250" i="2"/>
  <c r="BZ249" i="2"/>
  <c r="BL249" i="2"/>
  <c r="AX249" i="2"/>
  <c r="Z249" i="2"/>
  <c r="H249" i="2"/>
  <c r="BW248" i="2"/>
  <c r="BH248" i="2"/>
  <c r="AK248" i="2"/>
  <c r="W248" i="2"/>
  <c r="E248" i="2"/>
  <c r="BY247" i="2"/>
  <c r="BK247" i="2"/>
  <c r="AR247" i="2"/>
  <c r="AA247" i="2"/>
  <c r="G247" i="2"/>
  <c r="BS246" i="2"/>
  <c r="BE246" i="2"/>
  <c r="AH246" i="2"/>
  <c r="V246" i="2"/>
  <c r="C246" i="2"/>
  <c r="BN245" i="2"/>
  <c r="AZ245" i="2"/>
  <c r="AD245" i="2"/>
  <c r="G245" i="2"/>
  <c r="BT244" i="2"/>
  <c r="BF244" i="2"/>
  <c r="AI244" i="2"/>
  <c r="W244" i="2"/>
  <c r="C244" i="2"/>
  <c r="BW243" i="2"/>
  <c r="BH243" i="2"/>
  <c r="AK243" i="2"/>
  <c r="X243" i="2"/>
  <c r="E243" i="2"/>
  <c r="CK242" i="2"/>
  <c r="BO242" i="2"/>
  <c r="BA242" i="2"/>
  <c r="AE242" i="2"/>
  <c r="N242" i="2"/>
  <c r="CJ241" i="2"/>
  <c r="BW241" i="2"/>
  <c r="BH241" i="2"/>
  <c r="AK241" i="2"/>
  <c r="Y241" i="2"/>
  <c r="F241" i="2"/>
  <c r="CD240" i="2"/>
  <c r="BP240" i="2"/>
  <c r="BA240" i="2"/>
  <c r="AE240" i="2"/>
  <c r="Q240" i="2"/>
  <c r="CK239" i="2"/>
  <c r="BW239" i="2"/>
  <c r="BH239" i="2"/>
  <c r="AK239" i="2"/>
  <c r="Y239" i="2"/>
  <c r="F239" i="2"/>
  <c r="CE238" i="2"/>
  <c r="BQ238" i="2"/>
  <c r="BB238" i="2"/>
  <c r="AF238" i="2"/>
  <c r="R238" i="2"/>
  <c r="CL237" i="2"/>
  <c r="BY237" i="2"/>
  <c r="BK237" i="2"/>
  <c r="AR237" i="2"/>
  <c r="AA237" i="2"/>
  <c r="H237" i="2"/>
  <c r="CF236" i="2"/>
  <c r="BR236" i="2"/>
  <c r="BD236" i="2"/>
  <c r="AG236" i="2"/>
  <c r="U236" i="2"/>
  <c r="B236" i="2"/>
  <c r="BX235" i="2"/>
  <c r="BJ235" i="2"/>
  <c r="AL235" i="2"/>
  <c r="Z235" i="2"/>
  <c r="F235" i="2"/>
  <c r="CB234" i="2"/>
  <c r="BM234" i="2"/>
  <c r="AY234" i="2"/>
  <c r="AC234" i="2"/>
  <c r="N234" i="2"/>
  <c r="BX233" i="2"/>
  <c r="BJ233" i="2"/>
  <c r="AL233" i="2"/>
  <c r="Z233" i="2"/>
  <c r="C233" i="2"/>
  <c r="BN232" i="2"/>
  <c r="AZ232" i="2"/>
  <c r="AD232" i="2"/>
  <c r="G232" i="2"/>
  <c r="BS231" i="2"/>
  <c r="BE231" i="2"/>
  <c r="AH231" i="2"/>
  <c r="V231" i="2"/>
  <c r="CQ230" i="2"/>
  <c r="BV230" i="2"/>
  <c r="BG230" i="2"/>
  <c r="AJ230" i="2"/>
  <c r="W230" i="2"/>
  <c r="D230" i="2"/>
  <c r="CJ229" i="2"/>
  <c r="BM229" i="2"/>
  <c r="AY229" i="2"/>
  <c r="AB229" i="2"/>
  <c r="J229" i="2"/>
  <c r="BW228" i="2"/>
  <c r="BG228" i="2"/>
  <c r="AJ228" i="2"/>
  <c r="V228" i="2"/>
  <c r="CJ227" i="2"/>
  <c r="BW227" i="2"/>
  <c r="BH227" i="2"/>
  <c r="AK227" i="2"/>
  <c r="Y227" i="2"/>
  <c r="F227" i="2"/>
  <c r="BV226" i="2"/>
  <c r="BG226" i="2"/>
  <c r="AJ226" i="2"/>
  <c r="X226" i="2"/>
  <c r="E226" i="2"/>
  <c r="BP225" i="2"/>
  <c r="BA225" i="2"/>
  <c r="AE225" i="2"/>
  <c r="H225" i="2"/>
  <c r="CN224" i="2"/>
  <c r="BS224" i="2"/>
  <c r="BG224" i="2"/>
  <c r="AL224" i="2"/>
  <c r="Y224" i="2"/>
  <c r="K224" i="2"/>
  <c r="DH223" i="2"/>
  <c r="CU223" i="2"/>
  <c r="BZ223" i="2"/>
  <c r="BL223" i="2"/>
  <c r="AX223" i="2"/>
  <c r="AA223" i="2"/>
  <c r="O223" i="2"/>
  <c r="B223" i="2"/>
  <c r="BY222" i="2"/>
  <c r="BK222" i="2"/>
  <c r="AR222" i="2"/>
  <c r="Y222" i="2"/>
  <c r="K222" i="2"/>
  <c r="CQ221" i="2"/>
  <c r="BV221" i="2"/>
  <c r="BG221" i="2"/>
  <c r="AJ221" i="2"/>
  <c r="W221" i="2"/>
  <c r="I221" i="2"/>
  <c r="CV220" i="2"/>
  <c r="CJ220" i="2"/>
  <c r="BM220" i="2"/>
  <c r="AY220" i="2"/>
  <c r="AA220" i="2"/>
  <c r="O220" i="2"/>
  <c r="B220" i="2"/>
  <c r="BM219" i="2"/>
  <c r="AY219" i="2"/>
  <c r="AC219" i="2"/>
  <c r="F219" i="2"/>
  <c r="CL218" i="2"/>
  <c r="BP218" i="2"/>
  <c r="BA218" i="2"/>
  <c r="AE218" i="2"/>
  <c r="N218" i="2"/>
  <c r="CQ217" i="2"/>
  <c r="BV217" i="2"/>
  <c r="BG217" i="2"/>
  <c r="AJ217" i="2"/>
  <c r="X217" i="2"/>
  <c r="D217" i="2"/>
  <c r="CJ216" i="2"/>
  <c r="BM216" i="2"/>
  <c r="AY216" i="2"/>
  <c r="AC216" i="2"/>
  <c r="I216" i="2"/>
  <c r="AJ315" i="2"/>
  <c r="AA311" i="2"/>
  <c r="BM308" i="2"/>
  <c r="BS305" i="2"/>
  <c r="K303" i="2"/>
  <c r="AI300" i="2"/>
  <c r="AX297" i="2"/>
  <c r="BF294" i="2"/>
  <c r="BX291" i="2"/>
  <c r="AL289" i="2"/>
  <c r="L287" i="2"/>
  <c r="BA284" i="2"/>
  <c r="BW281" i="2"/>
  <c r="AF279" i="2"/>
  <c r="BS277" i="2"/>
  <c r="AI276" i="2"/>
  <c r="BX274" i="2"/>
  <c r="AY273" i="2"/>
  <c r="N272" i="2"/>
  <c r="BV270" i="2"/>
  <c r="BA269" i="2"/>
  <c r="V268" i="2"/>
  <c r="CM266" i="2"/>
  <c r="BN265" i="2"/>
  <c r="BD264" i="2"/>
  <c r="AI263" i="2"/>
  <c r="BF262" i="2"/>
  <c r="BW261" i="2"/>
  <c r="W261" i="2"/>
  <c r="AR260" i="2"/>
  <c r="BY259" i="2"/>
  <c r="AI259" i="2"/>
  <c r="C259" i="2"/>
  <c r="BD258" i="2"/>
  <c r="AB258" i="2"/>
  <c r="C258" i="2"/>
  <c r="BM257" i="2"/>
  <c r="AR257" i="2"/>
  <c r="Y257" i="2"/>
  <c r="H257" i="2"/>
  <c r="BT256" i="2"/>
  <c r="BF256" i="2"/>
  <c r="AI256" i="2"/>
  <c r="U256" i="2"/>
  <c r="CP255" i="2"/>
  <c r="BQ255" i="2"/>
  <c r="BB255" i="2"/>
  <c r="AF255" i="2"/>
  <c r="N255" i="2"/>
  <c r="CH254" i="2"/>
  <c r="BT254" i="2"/>
  <c r="BF254" i="2"/>
  <c r="AI254" i="2"/>
  <c r="U254" i="2"/>
  <c r="C254" i="2"/>
  <c r="BW253" i="2"/>
  <c r="BH253" i="2"/>
  <c r="AK253" i="2"/>
  <c r="W253" i="2"/>
  <c r="H253" i="2"/>
  <c r="BT252" i="2"/>
  <c r="BF252" i="2"/>
  <c r="AI252" i="2"/>
  <c r="U252" i="2"/>
  <c r="BW251" i="2"/>
  <c r="BH251" i="2"/>
  <c r="AK251" i="2"/>
  <c r="W251" i="2"/>
  <c r="BY250" i="2"/>
  <c r="BK250" i="2"/>
  <c r="AR250" i="2"/>
  <c r="Y250" i="2"/>
  <c r="B250" i="2"/>
  <c r="BY249" i="2"/>
  <c r="BK249" i="2"/>
  <c r="AR249" i="2"/>
  <c r="Y249" i="2"/>
  <c r="G249" i="2"/>
  <c r="BV248" i="2"/>
  <c r="BG248" i="2"/>
  <c r="AJ248" i="2"/>
  <c r="V248" i="2"/>
  <c r="D248" i="2"/>
  <c r="BX247" i="2"/>
  <c r="BJ247" i="2"/>
  <c r="AL247" i="2"/>
  <c r="Z247" i="2"/>
  <c r="F247" i="2"/>
  <c r="BR246" i="2"/>
  <c r="BD246" i="2"/>
  <c r="AG246" i="2"/>
  <c r="U246" i="2"/>
  <c r="B246" i="2"/>
  <c r="BM245" i="2"/>
  <c r="AY245" i="2"/>
  <c r="AC245" i="2"/>
  <c r="F245" i="2"/>
  <c r="BS244" i="2"/>
  <c r="BE244" i="2"/>
  <c r="AH244" i="2"/>
  <c r="V244" i="2"/>
  <c r="B244" i="2"/>
  <c r="BV243" i="2"/>
  <c r="BG243" i="2"/>
  <c r="AJ243" i="2"/>
  <c r="W243" i="2"/>
  <c r="D243" i="2"/>
  <c r="CJ242" i="2"/>
  <c r="BN242" i="2"/>
  <c r="AZ242" i="2"/>
  <c r="AC242" i="2"/>
  <c r="J242" i="2"/>
  <c r="CI241" i="2"/>
  <c r="BV241" i="2"/>
  <c r="BG241" i="2"/>
  <c r="AJ241" i="2"/>
  <c r="X241" i="2"/>
  <c r="E241" i="2"/>
  <c r="CC240" i="2"/>
  <c r="BN240" i="2"/>
  <c r="AZ240" i="2"/>
  <c r="AD240" i="2"/>
  <c r="N240" i="2"/>
  <c r="CI239" i="2"/>
  <c r="BV239" i="2"/>
  <c r="BG239" i="2"/>
  <c r="AJ239" i="2"/>
  <c r="X239" i="2"/>
  <c r="E239" i="2"/>
  <c r="CD238" i="2"/>
  <c r="BP238" i="2"/>
  <c r="BA238" i="2"/>
  <c r="AE238" i="2"/>
  <c r="Q238" i="2"/>
  <c r="CK237" i="2"/>
  <c r="BX237" i="2"/>
  <c r="BJ237" i="2"/>
  <c r="AL237" i="2"/>
  <c r="Z237" i="2"/>
  <c r="G237" i="2"/>
  <c r="CE236" i="2"/>
  <c r="BQ236" i="2"/>
  <c r="BB236" i="2"/>
  <c r="AF236" i="2"/>
  <c r="Q236" i="2"/>
  <c r="CJ235" i="2"/>
  <c r="BW235" i="2"/>
  <c r="BH235" i="2"/>
  <c r="AK235" i="2"/>
  <c r="Y235" i="2"/>
  <c r="E235" i="2"/>
  <c r="BZ234" i="2"/>
  <c r="BL234" i="2"/>
  <c r="AX234" i="2"/>
  <c r="AB234" i="2"/>
  <c r="J234" i="2"/>
  <c r="BW233" i="2"/>
  <c r="BH233" i="2"/>
  <c r="AK233" i="2"/>
  <c r="Y233" i="2"/>
  <c r="B233" i="2"/>
  <c r="BM232" i="2"/>
  <c r="AY232" i="2"/>
  <c r="AC232" i="2"/>
  <c r="F232" i="2"/>
  <c r="BR231" i="2"/>
  <c r="BD231" i="2"/>
  <c r="AG231" i="2"/>
  <c r="U231" i="2"/>
  <c r="CP230" i="2"/>
  <c r="BT230" i="2"/>
  <c r="BF230" i="2"/>
  <c r="AI230" i="2"/>
  <c r="V230" i="2"/>
  <c r="C230" i="2"/>
  <c r="BZ229" i="2"/>
  <c r="BL229" i="2"/>
  <c r="AX229" i="2"/>
  <c r="AA229" i="2"/>
  <c r="I229" i="2"/>
  <c r="BV228" i="2"/>
  <c r="BF228" i="2"/>
  <c r="AI228" i="2"/>
  <c r="U228" i="2"/>
  <c r="CI227" i="2"/>
  <c r="BV227" i="2"/>
  <c r="BG227" i="2"/>
  <c r="AJ227" i="2"/>
  <c r="X227" i="2"/>
  <c r="E227" i="2"/>
  <c r="BT226" i="2"/>
  <c r="BF226" i="2"/>
  <c r="AI226" i="2"/>
  <c r="W226" i="2"/>
  <c r="D226" i="2"/>
  <c r="BN225" i="2"/>
  <c r="AZ225" i="2"/>
  <c r="AD225" i="2"/>
  <c r="G225" i="2"/>
  <c r="CM224" i="2"/>
  <c r="BR224" i="2"/>
  <c r="BF224" i="2"/>
  <c r="AK224" i="2"/>
  <c r="X224" i="2"/>
  <c r="J224" i="2"/>
  <c r="DG223" i="2"/>
  <c r="CT223" i="2"/>
  <c r="BY223" i="2"/>
  <c r="BK223" i="2"/>
  <c r="AR223" i="2"/>
  <c r="Z223" i="2"/>
  <c r="N223" i="2"/>
  <c r="CS222" i="2"/>
  <c r="BX222" i="2"/>
  <c r="BJ222" i="2"/>
  <c r="AL222" i="2"/>
  <c r="X222" i="2"/>
  <c r="J222" i="2"/>
  <c r="CP221" i="2"/>
  <c r="BT221" i="2"/>
  <c r="BF221" i="2"/>
  <c r="AI221" i="2"/>
  <c r="V221" i="2"/>
  <c r="H221" i="2"/>
  <c r="CU220" i="2"/>
  <c r="BZ220" i="2"/>
  <c r="BL220" i="2"/>
  <c r="AX220" i="2"/>
  <c r="Z220" i="2"/>
  <c r="N220" i="2"/>
  <c r="BZ219" i="2"/>
  <c r="BL219" i="2"/>
  <c r="AX219" i="2"/>
  <c r="AB219" i="2"/>
  <c r="E219" i="2"/>
  <c r="CK218" i="2"/>
  <c r="BN218" i="2"/>
  <c r="AZ218" i="2"/>
  <c r="AD218" i="2"/>
  <c r="J218" i="2"/>
  <c r="CP217" i="2"/>
  <c r="BT217" i="2"/>
  <c r="BF217" i="2"/>
  <c r="AI217" i="2"/>
  <c r="W217" i="2"/>
  <c r="C217" i="2"/>
  <c r="BZ216" i="2"/>
  <c r="BL216" i="2"/>
  <c r="AX216" i="2"/>
  <c r="AB216" i="2"/>
  <c r="H216" i="2"/>
  <c r="CG215" i="2"/>
  <c r="BR215" i="2"/>
  <c r="BD215" i="2"/>
  <c r="AG215" i="2"/>
  <c r="BX314" i="2"/>
  <c r="H311" i="2"/>
  <c r="AZ308" i="2"/>
  <c r="BE305" i="2"/>
  <c r="BY302" i="2"/>
  <c r="G300" i="2"/>
  <c r="Y297" i="2"/>
  <c r="AI294" i="2"/>
  <c r="BJ291" i="2"/>
  <c r="W289" i="2"/>
  <c r="BZ286" i="2"/>
  <c r="AB284" i="2"/>
  <c r="BH281" i="2"/>
  <c r="X279" i="2"/>
  <c r="BM277" i="2"/>
  <c r="AA276" i="2"/>
  <c r="BR274" i="2"/>
  <c r="AJ273" i="2"/>
  <c r="G272" i="2"/>
  <c r="BP270" i="2"/>
  <c r="AL269" i="2"/>
  <c r="K268" i="2"/>
  <c r="BV266" i="2"/>
  <c r="BH265" i="2"/>
  <c r="AX264" i="2"/>
  <c r="AB263" i="2"/>
  <c r="BA262" i="2"/>
  <c r="BR261" i="2"/>
  <c r="H261" i="2"/>
  <c r="AI260" i="2"/>
  <c r="BT259" i="2"/>
  <c r="AH259" i="2"/>
  <c r="B259" i="2"/>
  <c r="BB258" i="2"/>
  <c r="AA258" i="2"/>
  <c r="B258" i="2"/>
  <c r="BK257" i="2"/>
  <c r="AL257" i="2"/>
  <c r="X257" i="2"/>
  <c r="G257" i="2"/>
  <c r="BS256" i="2"/>
  <c r="BE256" i="2"/>
  <c r="AH256" i="2"/>
  <c r="N256" i="2"/>
  <c r="CO255" i="2"/>
  <c r="BP255" i="2"/>
  <c r="BA255" i="2"/>
  <c r="AC255" i="2"/>
  <c r="L255" i="2"/>
  <c r="CG254" i="2"/>
  <c r="BS254" i="2"/>
  <c r="BE254" i="2"/>
  <c r="AH254" i="2"/>
  <c r="P254" i="2"/>
  <c r="B254" i="2"/>
  <c r="BV253" i="2"/>
  <c r="BG253" i="2"/>
  <c r="AJ253" i="2"/>
  <c r="V253" i="2"/>
  <c r="G253" i="2"/>
  <c r="BS252" i="2"/>
  <c r="BE252" i="2"/>
  <c r="AH252" i="2"/>
  <c r="N252" i="2"/>
  <c r="BV251" i="2"/>
  <c r="BG251" i="2"/>
  <c r="AJ251" i="2"/>
  <c r="V251" i="2"/>
  <c r="BX250" i="2"/>
  <c r="BJ250" i="2"/>
  <c r="AL250" i="2"/>
  <c r="X250" i="2"/>
  <c r="CS249" i="2"/>
  <c r="BX249" i="2"/>
  <c r="BJ249" i="2"/>
  <c r="AL249" i="2"/>
  <c r="X249" i="2"/>
  <c r="F249" i="2"/>
  <c r="BT248" i="2"/>
  <c r="BF248" i="2"/>
  <c r="AI248" i="2"/>
  <c r="U248" i="2"/>
  <c r="C248" i="2"/>
  <c r="BW247" i="2"/>
  <c r="BH247" i="2"/>
  <c r="AK247" i="2"/>
  <c r="Y247" i="2"/>
  <c r="E247" i="2"/>
  <c r="BQ246" i="2"/>
  <c r="BB246" i="2"/>
  <c r="AF246" i="2"/>
  <c r="T246" i="2"/>
  <c r="BZ245" i="2"/>
  <c r="BL245" i="2"/>
  <c r="AX245" i="2"/>
  <c r="AB245" i="2"/>
  <c r="E245" i="2"/>
  <c r="BR244" i="2"/>
  <c r="BD244" i="2"/>
  <c r="AG244" i="2"/>
  <c r="U244" i="2"/>
  <c r="CS243" i="2"/>
  <c r="BT243" i="2"/>
  <c r="BF243" i="2"/>
  <c r="AI243" i="2"/>
  <c r="V243" i="2"/>
  <c r="C243" i="2"/>
  <c r="BZ242" i="2"/>
  <c r="BM242" i="2"/>
  <c r="AY242" i="2"/>
  <c r="AB242" i="2"/>
  <c r="I242" i="2"/>
  <c r="CH241" i="2"/>
  <c r="BT241" i="2"/>
  <c r="BF241" i="2"/>
  <c r="AI241" i="2"/>
  <c r="W241" i="2"/>
  <c r="D241" i="2"/>
  <c r="CB240" i="2"/>
  <c r="BM240" i="2"/>
  <c r="AY240" i="2"/>
  <c r="AC240" i="2"/>
  <c r="J240" i="2"/>
  <c r="CH239" i="2"/>
  <c r="BT239" i="2"/>
  <c r="BF239" i="2"/>
  <c r="AI239" i="2"/>
  <c r="W239" i="2"/>
  <c r="D239" i="2"/>
  <c r="CC238" i="2"/>
  <c r="BN238" i="2"/>
  <c r="AZ238" i="2"/>
  <c r="AD238" i="2"/>
  <c r="N238" i="2"/>
  <c r="CJ237" i="2"/>
  <c r="BW237" i="2"/>
  <c r="BH237" i="2"/>
  <c r="AK237" i="2"/>
  <c r="Y237" i="2"/>
  <c r="F237" i="2"/>
  <c r="CD236" i="2"/>
  <c r="BP236" i="2"/>
  <c r="BA236" i="2"/>
  <c r="AE236" i="2"/>
  <c r="P236" i="2"/>
  <c r="CI235" i="2"/>
  <c r="BV235" i="2"/>
  <c r="BG235" i="2"/>
  <c r="AJ235" i="2"/>
  <c r="X235" i="2"/>
  <c r="D235" i="2"/>
  <c r="BY234" i="2"/>
  <c r="BK234" i="2"/>
  <c r="AR234" i="2"/>
  <c r="AA234" i="2"/>
  <c r="I234" i="2"/>
  <c r="BV233" i="2"/>
  <c r="BG233" i="2"/>
  <c r="AJ233" i="2"/>
  <c r="X233" i="2"/>
  <c r="BZ232" i="2"/>
  <c r="BL232" i="2"/>
  <c r="AX232" i="2"/>
  <c r="AB232" i="2"/>
  <c r="E232" i="2"/>
  <c r="BQ231" i="2"/>
  <c r="BB231" i="2"/>
  <c r="AF231" i="2"/>
  <c r="N231" i="2"/>
  <c r="CO230" i="2"/>
  <c r="BS230" i="2"/>
  <c r="BE230" i="2"/>
  <c r="AH230" i="2"/>
  <c r="U230" i="2"/>
  <c r="B230" i="2"/>
  <c r="BY229" i="2"/>
  <c r="BK229" i="2"/>
  <c r="AR229" i="2"/>
  <c r="Z229" i="2"/>
  <c r="H229" i="2"/>
  <c r="BT228" i="2"/>
  <c r="BE228" i="2"/>
  <c r="AH228" i="2"/>
  <c r="N228" i="2"/>
  <c r="CH227" i="2"/>
  <c r="BT227" i="2"/>
  <c r="BF227" i="2"/>
  <c r="AI227" i="2"/>
  <c r="W227" i="2"/>
  <c r="D227" i="2"/>
  <c r="BS226" i="2"/>
  <c r="BE226" i="2"/>
  <c r="AH226" i="2"/>
  <c r="V226" i="2"/>
  <c r="C226" i="2"/>
  <c r="BM225" i="2"/>
  <c r="AY225" i="2"/>
  <c r="AC225" i="2"/>
  <c r="F225" i="2"/>
  <c r="CL224" i="2"/>
  <c r="BQ224" i="2"/>
  <c r="BE224" i="2"/>
  <c r="AJ224" i="2"/>
  <c r="W224" i="2"/>
  <c r="I224" i="2"/>
  <c r="DF223" i="2"/>
  <c r="CS223" i="2"/>
  <c r="BX223" i="2"/>
  <c r="BJ223" i="2"/>
  <c r="AL223" i="2"/>
  <c r="Y223" i="2"/>
  <c r="L223" i="2"/>
  <c r="CR222" i="2"/>
  <c r="BW222" i="2"/>
  <c r="BH222" i="2"/>
  <c r="AK222" i="2"/>
  <c r="W222" i="2"/>
  <c r="I222" i="2"/>
  <c r="CO221" i="2"/>
  <c r="BS221" i="2"/>
  <c r="BE221" i="2"/>
  <c r="AH221" i="2"/>
  <c r="U221" i="2"/>
  <c r="G221" i="2"/>
  <c r="CT220" i="2"/>
  <c r="BY220" i="2"/>
  <c r="BK220" i="2"/>
  <c r="AR220" i="2"/>
  <c r="Y220" i="2"/>
  <c r="L220" i="2"/>
  <c r="BY219" i="2"/>
  <c r="BK219" i="2"/>
  <c r="AR219" i="2"/>
  <c r="AA219" i="2"/>
  <c r="D219" i="2"/>
  <c r="CJ218" i="2"/>
  <c r="BM218" i="2"/>
  <c r="AY218" i="2"/>
  <c r="AC218" i="2"/>
  <c r="I218" i="2"/>
  <c r="CO217" i="2"/>
  <c r="BS217" i="2"/>
  <c r="BE217" i="2"/>
  <c r="AH217" i="2"/>
  <c r="V217" i="2"/>
  <c r="B217" i="2"/>
  <c r="BY216" i="2"/>
  <c r="BK216" i="2"/>
  <c r="AR216" i="2"/>
  <c r="AA216" i="2"/>
  <c r="G216" i="2"/>
  <c r="CF215" i="2"/>
  <c r="BQ215" i="2"/>
  <c r="BB215" i="2"/>
  <c r="AF215" i="2"/>
  <c r="P215" i="2"/>
  <c r="BY214" i="2"/>
  <c r="BK214" i="2"/>
  <c r="AK314" i="2"/>
  <c r="BW310" i="2"/>
  <c r="Y308" i="2"/>
  <c r="AH305" i="2"/>
  <c r="BK302" i="2"/>
  <c r="BS299" i="2"/>
  <c r="B297" i="2"/>
  <c r="P294" i="2"/>
  <c r="AL291" i="2"/>
  <c r="E289" i="2"/>
  <c r="BL286" i="2"/>
  <c r="J284" i="2"/>
  <c r="AK281" i="2"/>
  <c r="F279" i="2"/>
  <c r="BE277" i="2"/>
  <c r="N276" i="2"/>
  <c r="BJ274" i="2"/>
  <c r="AA273" i="2"/>
  <c r="BY271" i="2"/>
  <c r="BG270" i="2"/>
  <c r="AC269" i="2"/>
  <c r="D268" i="2"/>
  <c r="BM266" i="2"/>
  <c r="AZ265" i="2"/>
  <c r="AG264" i="2"/>
  <c r="U263" i="2"/>
  <c r="AZ262" i="2"/>
  <c r="BQ261" i="2"/>
  <c r="G261" i="2"/>
  <c r="AH260" i="2"/>
  <c r="BS259" i="2"/>
  <c r="AG259" i="2"/>
  <c r="BZ258" i="2"/>
  <c r="AZ258" i="2"/>
  <c r="Z258" i="2"/>
  <c r="CJ257" i="2"/>
  <c r="BJ257" i="2"/>
  <c r="AK257" i="2"/>
  <c r="W257" i="2"/>
  <c r="F257" i="2"/>
  <c r="BR256" i="2"/>
  <c r="BD256" i="2"/>
  <c r="AG256" i="2"/>
  <c r="H256" i="2"/>
  <c r="CN255" i="2"/>
  <c r="BN255" i="2"/>
  <c r="AZ255" i="2"/>
  <c r="AB255" i="2"/>
  <c r="K255" i="2"/>
  <c r="CF254" i="2"/>
  <c r="BR254" i="2"/>
  <c r="BD254" i="2"/>
  <c r="AG254" i="2"/>
  <c r="N254" i="2"/>
  <c r="CS253" i="2"/>
  <c r="BT253" i="2"/>
  <c r="BF253" i="2"/>
  <c r="AI253" i="2"/>
  <c r="U253" i="2"/>
  <c r="F253" i="2"/>
  <c r="BR252" i="2"/>
  <c r="BD252" i="2"/>
  <c r="AG252" i="2"/>
  <c r="H252" i="2"/>
  <c r="BT251" i="2"/>
  <c r="BF251" i="2"/>
  <c r="AI251" i="2"/>
  <c r="U251" i="2"/>
  <c r="BW250" i="2"/>
  <c r="BH250" i="2"/>
  <c r="AK250" i="2"/>
  <c r="W250" i="2"/>
  <c r="CR249" i="2"/>
  <c r="BW249" i="2"/>
  <c r="BH249" i="2"/>
  <c r="AK249" i="2"/>
  <c r="W249" i="2"/>
  <c r="E249" i="2"/>
  <c r="BS248" i="2"/>
  <c r="BE248" i="2"/>
  <c r="AH248" i="2"/>
  <c r="P248" i="2"/>
  <c r="B248" i="2"/>
  <c r="BV247" i="2"/>
  <c r="BG247" i="2"/>
  <c r="AJ247" i="2"/>
  <c r="X247" i="2"/>
  <c r="D247" i="2"/>
  <c r="BP246" i="2"/>
  <c r="BA246" i="2"/>
  <c r="AE246" i="2"/>
  <c r="P246" i="2"/>
  <c r="BY245" i="2"/>
  <c r="BK245" i="2"/>
  <c r="AR245" i="2"/>
  <c r="AA245" i="2"/>
  <c r="D245" i="2"/>
  <c r="BQ244" i="2"/>
  <c r="BB244" i="2"/>
  <c r="AF244" i="2"/>
  <c r="P244" i="2"/>
  <c r="CR243" i="2"/>
  <c r="BS243" i="2"/>
  <c r="BE243" i="2"/>
  <c r="AH243" i="2"/>
  <c r="U243" i="2"/>
  <c r="B243" i="2"/>
  <c r="BY242" i="2"/>
  <c r="BL242" i="2"/>
  <c r="AX242" i="2"/>
  <c r="AA242" i="2"/>
  <c r="H242" i="2"/>
  <c r="CG241" i="2"/>
  <c r="BS241" i="2"/>
  <c r="BE241" i="2"/>
  <c r="AH241" i="2"/>
  <c r="V241" i="2"/>
  <c r="C241" i="2"/>
  <c r="BZ240" i="2"/>
  <c r="BL240" i="2"/>
  <c r="AX240" i="2"/>
  <c r="AB240" i="2"/>
  <c r="I240" i="2"/>
  <c r="CG239" i="2"/>
  <c r="BS239" i="2"/>
  <c r="BE239" i="2"/>
  <c r="AH239" i="2"/>
  <c r="V239" i="2"/>
  <c r="C239" i="2"/>
  <c r="CB238" i="2"/>
  <c r="BM238" i="2"/>
  <c r="AY238" i="2"/>
  <c r="AC238" i="2"/>
  <c r="J238" i="2"/>
  <c r="CI237" i="2"/>
  <c r="BV237" i="2"/>
  <c r="BG237" i="2"/>
  <c r="AJ237" i="2"/>
  <c r="X237" i="2"/>
  <c r="E237" i="2"/>
  <c r="CC236" i="2"/>
  <c r="BN236" i="2"/>
  <c r="AZ236" i="2"/>
  <c r="AD236" i="2"/>
  <c r="N236" i="2"/>
  <c r="CH235" i="2"/>
  <c r="BT235" i="2"/>
  <c r="BF235" i="2"/>
  <c r="AI235" i="2"/>
  <c r="W235" i="2"/>
  <c r="C235" i="2"/>
  <c r="BX234" i="2"/>
  <c r="BJ234" i="2"/>
  <c r="AL234" i="2"/>
  <c r="Z234" i="2"/>
  <c r="H234" i="2"/>
  <c r="BT233" i="2"/>
  <c r="BF233" i="2"/>
  <c r="AI233" i="2"/>
  <c r="W233" i="2"/>
  <c r="BY232" i="2"/>
  <c r="BK232" i="2"/>
  <c r="AR232" i="2"/>
  <c r="AA232" i="2"/>
  <c r="D232" i="2"/>
  <c r="BP231" i="2"/>
  <c r="BA231" i="2"/>
  <c r="AE231" i="2"/>
  <c r="H231" i="2"/>
  <c r="CN230" i="2"/>
  <c r="BR230" i="2"/>
  <c r="BD230" i="2"/>
  <c r="AG230" i="2"/>
  <c r="T230" i="2"/>
  <c r="CS229" i="2"/>
  <c r="BX229" i="2"/>
  <c r="BJ229" i="2"/>
  <c r="AL229" i="2"/>
  <c r="Y229" i="2"/>
  <c r="G229" i="2"/>
  <c r="BR228" i="2"/>
  <c r="BD228" i="2"/>
  <c r="AG228" i="2"/>
  <c r="H228" i="2"/>
  <c r="CG227" i="2"/>
  <c r="BS227" i="2"/>
  <c r="BE227" i="2"/>
  <c r="AH227" i="2"/>
  <c r="V227" i="2"/>
  <c r="C227" i="2"/>
  <c r="BR226" i="2"/>
  <c r="BD226" i="2"/>
  <c r="AG226" i="2"/>
  <c r="U226" i="2"/>
  <c r="B226" i="2"/>
  <c r="BL225" i="2"/>
  <c r="AX225" i="2"/>
  <c r="AB225" i="2"/>
  <c r="E225" i="2"/>
  <c r="CK224" i="2"/>
  <c r="BP224" i="2"/>
  <c r="BD224" i="2"/>
  <c r="AI224" i="2"/>
  <c r="V224" i="2"/>
  <c r="H224" i="2"/>
  <c r="DE223" i="2"/>
  <c r="CR223" i="2"/>
  <c r="BW223" i="2"/>
  <c r="BH223" i="2"/>
  <c r="AK223" i="2"/>
  <c r="X223" i="2"/>
  <c r="K223" i="2"/>
  <c r="CQ222" i="2"/>
  <c r="BV222" i="2"/>
  <c r="BG222" i="2"/>
  <c r="AJ222" i="2"/>
  <c r="V222" i="2"/>
  <c r="H222" i="2"/>
  <c r="CN221" i="2"/>
  <c r="BR221" i="2"/>
  <c r="BD221" i="2"/>
  <c r="AG221" i="2"/>
  <c r="S221" i="2"/>
  <c r="F221" i="2"/>
  <c r="CS220" i="2"/>
  <c r="BX220" i="2"/>
  <c r="BJ220" i="2"/>
  <c r="AL220" i="2"/>
  <c r="X220" i="2"/>
  <c r="K220" i="2"/>
  <c r="BX219" i="2"/>
  <c r="BJ219" i="2"/>
  <c r="AL219" i="2"/>
  <c r="Z219" i="2"/>
  <c r="C219" i="2"/>
  <c r="BZ218" i="2"/>
  <c r="BL218" i="2"/>
  <c r="AX218" i="2"/>
  <c r="AB218" i="2"/>
  <c r="H218" i="2"/>
  <c r="CN217" i="2"/>
  <c r="BR217" i="2"/>
  <c r="BD217" i="2"/>
  <c r="AG217" i="2"/>
  <c r="U217" i="2"/>
  <c r="CS216" i="2"/>
  <c r="BX216" i="2"/>
  <c r="BJ216" i="2"/>
  <c r="AL216" i="2"/>
  <c r="Z216" i="2"/>
  <c r="F216" i="2"/>
  <c r="CE215" i="2"/>
  <c r="BP215" i="2"/>
  <c r="BA215" i="2"/>
  <c r="AE215" i="2"/>
  <c r="N215" i="2"/>
  <c r="BX214" i="2"/>
  <c r="BJ214" i="2"/>
  <c r="AL214" i="2"/>
  <c r="Z214" i="2"/>
  <c r="I214" i="2"/>
  <c r="BV213" i="2"/>
  <c r="N313" i="2"/>
  <c r="V310" i="2"/>
  <c r="AZ307" i="2"/>
  <c r="BK304" i="2"/>
  <c r="G302" i="2"/>
  <c r="F299" i="2"/>
  <c r="Z296" i="2"/>
  <c r="AX293" i="2"/>
  <c r="BR290" i="2"/>
  <c r="AZ288" i="2"/>
  <c r="B286" i="2"/>
  <c r="AJ283" i="2"/>
  <c r="BJ280" i="2"/>
  <c r="BL278" i="2"/>
  <c r="Z277" i="2"/>
  <c r="BS275" i="2"/>
  <c r="AG274" i="2"/>
  <c r="BY272" i="2"/>
  <c r="BE271" i="2"/>
  <c r="AC270" i="2"/>
  <c r="D269" i="2"/>
  <c r="BJ267" i="2"/>
  <c r="AJ266" i="2"/>
  <c r="W265" i="2"/>
  <c r="H264" i="2"/>
  <c r="D263" i="2"/>
  <c r="AC262" i="2"/>
  <c r="BD261" i="2"/>
  <c r="BT260" i="2"/>
  <c r="U260" i="2"/>
  <c r="BK259" i="2"/>
  <c r="W259" i="2"/>
  <c r="BQ258" i="2"/>
  <c r="AR258" i="2"/>
  <c r="V258" i="2"/>
  <c r="BW257" i="2"/>
  <c r="BF257" i="2"/>
  <c r="AH257" i="2"/>
  <c r="T257" i="2"/>
  <c r="C257" i="2"/>
  <c r="BN256" i="2"/>
  <c r="AZ256" i="2"/>
  <c r="AB256" i="2"/>
  <c r="E256" i="2"/>
  <c r="BY255" i="2"/>
  <c r="BK255" i="2"/>
  <c r="AR255" i="2"/>
  <c r="Y255" i="2"/>
  <c r="G255" i="2"/>
  <c r="CC254" i="2"/>
  <c r="BN254" i="2"/>
  <c r="AZ254" i="2"/>
  <c r="AB254" i="2"/>
  <c r="J254" i="2"/>
  <c r="CP253" i="2"/>
  <c r="BQ253" i="2"/>
  <c r="BB253" i="2"/>
  <c r="AF253" i="2"/>
  <c r="Q253" i="2"/>
  <c r="C253" i="2"/>
  <c r="BN252" i="2"/>
  <c r="AZ252" i="2"/>
  <c r="AB252" i="2"/>
  <c r="E252" i="2"/>
  <c r="BQ251" i="2"/>
  <c r="BB251" i="2"/>
  <c r="AF251" i="2"/>
  <c r="G251" i="2"/>
  <c r="BS250" i="2"/>
  <c r="BE250" i="2"/>
  <c r="AH250" i="2"/>
  <c r="N250" i="2"/>
  <c r="CO249" i="2"/>
  <c r="BS249" i="2"/>
  <c r="BE249" i="2"/>
  <c r="AH249" i="2"/>
  <c r="P249" i="2"/>
  <c r="B249" i="2"/>
  <c r="BP248" i="2"/>
  <c r="BA248" i="2"/>
  <c r="AC248" i="2"/>
  <c r="K248" i="2"/>
  <c r="CQ247" i="2"/>
  <c r="BR247" i="2"/>
  <c r="BD247" i="2"/>
  <c r="AG247" i="2"/>
  <c r="U247" i="2"/>
  <c r="BZ246" i="2"/>
  <c r="BL246" i="2"/>
  <c r="AX246" i="2"/>
  <c r="AB246" i="2"/>
  <c r="I246" i="2"/>
  <c r="BV245" i="2"/>
  <c r="BG245" i="2"/>
  <c r="AJ245" i="2"/>
  <c r="X245" i="2"/>
  <c r="CK244" i="2"/>
  <c r="BM244" i="2"/>
  <c r="AY244" i="2"/>
  <c r="AC244" i="2"/>
  <c r="I244" i="2"/>
  <c r="CO243" i="2"/>
  <c r="BP243" i="2"/>
  <c r="BA243" i="2"/>
  <c r="AD243" i="2"/>
  <c r="N243" i="2"/>
  <c r="CQ242" i="2"/>
  <c r="BV242" i="2"/>
  <c r="BH242" i="2"/>
  <c r="AK242" i="2"/>
  <c r="X242" i="2"/>
  <c r="E242" i="2"/>
  <c r="CD241" i="2"/>
  <c r="BP241" i="2"/>
  <c r="BA241" i="2"/>
  <c r="AE241" i="2"/>
  <c r="Q241" i="2"/>
  <c r="CK240" i="2"/>
  <c r="BW240" i="2"/>
  <c r="BH240" i="2"/>
  <c r="AK240" i="2"/>
  <c r="Y240" i="2"/>
  <c r="F240" i="2"/>
  <c r="CD239" i="2"/>
  <c r="BP239" i="2"/>
  <c r="BA239" i="2"/>
  <c r="AE239" i="2"/>
  <c r="P239" i="2"/>
  <c r="CK238" i="2"/>
  <c r="BX238" i="2"/>
  <c r="BJ238" i="2"/>
  <c r="AL238" i="2"/>
  <c r="Z238" i="2"/>
  <c r="G238" i="2"/>
  <c r="CF237" i="2"/>
  <c r="BR237" i="2"/>
  <c r="BD237" i="2"/>
  <c r="AG237" i="2"/>
  <c r="U237" i="2"/>
  <c r="B237" i="2"/>
  <c r="BY236" i="2"/>
  <c r="BK236" i="2"/>
  <c r="AR236" i="2"/>
  <c r="AA236" i="2"/>
  <c r="H236" i="2"/>
  <c r="CE235" i="2"/>
  <c r="BQ235" i="2"/>
  <c r="BB235" i="2"/>
  <c r="AF235" i="2"/>
  <c r="P235" i="2"/>
  <c r="CH234" i="2"/>
  <c r="BT234" i="2"/>
  <c r="BF234" i="2"/>
  <c r="AI234" i="2"/>
  <c r="W234" i="2"/>
  <c r="E234" i="2"/>
  <c r="BQ233" i="2"/>
  <c r="BB233" i="2"/>
  <c r="AF233" i="2"/>
  <c r="N233" i="2"/>
  <c r="BV232" i="2"/>
  <c r="BG232" i="2"/>
  <c r="AJ232" i="2"/>
  <c r="X232" i="2"/>
  <c r="BZ231" i="2"/>
  <c r="BL231" i="2"/>
  <c r="AX231" i="2"/>
  <c r="AB231" i="2"/>
  <c r="E231" i="2"/>
  <c r="CK230" i="2"/>
  <c r="BN230" i="2"/>
  <c r="AZ230" i="2"/>
  <c r="AC230" i="2"/>
  <c r="J230" i="2"/>
  <c r="CP229" i="2"/>
  <c r="BT229" i="2"/>
  <c r="BF229" i="2"/>
  <c r="AI229" i="2"/>
  <c r="V229" i="2"/>
  <c r="D229" i="2"/>
  <c r="BN228" i="2"/>
  <c r="AZ228" i="2"/>
  <c r="AB228" i="2"/>
  <c r="E228" i="2"/>
  <c r="CD227" i="2"/>
  <c r="BP227" i="2"/>
  <c r="BA227" i="2"/>
  <c r="AE227" i="2"/>
  <c r="Q227" i="2"/>
  <c r="CK226" i="2"/>
  <c r="BN226" i="2"/>
  <c r="AZ226" i="2"/>
  <c r="AD226" i="2"/>
  <c r="N226" i="2"/>
  <c r="BX225" i="2"/>
  <c r="BH225" i="2"/>
  <c r="AK225" i="2"/>
  <c r="Y225" i="2"/>
  <c r="B225" i="2"/>
  <c r="BY224" i="2"/>
  <c r="BM224" i="2"/>
  <c r="AZ224" i="2"/>
  <c r="AF224" i="2"/>
  <c r="R224" i="2"/>
  <c r="E224" i="2"/>
  <c r="DA223" i="2"/>
  <c r="CO223" i="2"/>
  <c r="BS223" i="2"/>
  <c r="BE223" i="2"/>
  <c r="AH223" i="2"/>
  <c r="U223" i="2"/>
  <c r="H223" i="2"/>
  <c r="CN222" i="2"/>
  <c r="BR222" i="2"/>
  <c r="BD222" i="2"/>
  <c r="AG222" i="2"/>
  <c r="R222" i="2"/>
  <c r="E222" i="2"/>
  <c r="CK221" i="2"/>
  <c r="BN221" i="2"/>
  <c r="AZ221" i="2"/>
  <c r="AC221" i="2"/>
  <c r="P221" i="2"/>
  <c r="C221" i="2"/>
  <c r="CP220" i="2"/>
  <c r="BT220" i="2"/>
  <c r="BF220" i="2"/>
  <c r="AI220" i="2"/>
  <c r="U220" i="2"/>
  <c r="H220" i="2"/>
  <c r="BT219" i="2"/>
  <c r="BF219" i="2"/>
  <c r="AI219" i="2"/>
  <c r="W219" i="2"/>
  <c r="CR218" i="2"/>
  <c r="BW218" i="2"/>
  <c r="BH218" i="2"/>
  <c r="AK218" i="2"/>
  <c r="Y218" i="2"/>
  <c r="E218" i="2"/>
  <c r="CK217" i="2"/>
  <c r="BN217" i="2"/>
  <c r="AZ217" i="2"/>
  <c r="AD217" i="2"/>
  <c r="J217" i="2"/>
  <c r="CP216" i="2"/>
  <c r="BT216" i="2"/>
  <c r="BF216" i="2"/>
  <c r="AI216" i="2"/>
  <c r="W216" i="2"/>
  <c r="C216" i="2"/>
  <c r="E314" i="2"/>
  <c r="BM296" i="2"/>
  <c r="V281" i="2"/>
  <c r="BS271" i="2"/>
  <c r="Z264" i="2"/>
  <c r="BR259" i="2"/>
  <c r="BH257" i="2"/>
  <c r="AF256" i="2"/>
  <c r="I255" i="2"/>
  <c r="CR253" i="2"/>
  <c r="BQ252" i="2"/>
  <c r="AH251" i="2"/>
  <c r="CQ249" i="2"/>
  <c r="BR248" i="2"/>
  <c r="BF247" i="2"/>
  <c r="AD246" i="2"/>
  <c r="C245" i="2"/>
  <c r="BR243" i="2"/>
  <c r="BK242" i="2"/>
  <c r="BD241" i="2"/>
  <c r="AR240" i="2"/>
  <c r="AG239" i="2"/>
  <c r="AB238" i="2"/>
  <c r="W237" i="2"/>
  <c r="J236" i="2"/>
  <c r="B235" i="2"/>
  <c r="BS233" i="2"/>
  <c r="AL232" i="2"/>
  <c r="G231" i="2"/>
  <c r="CR229" i="2"/>
  <c r="BQ228" i="2"/>
  <c r="BD227" i="2"/>
  <c r="AF226" i="2"/>
  <c r="D225" i="2"/>
  <c r="G224" i="2"/>
  <c r="W223" i="2"/>
  <c r="U222" i="2"/>
  <c r="R221" i="2"/>
  <c r="BS220" i="2"/>
  <c r="T220" i="2"/>
  <c r="BE219" i="2"/>
  <c r="CQ218" i="2"/>
  <c r="AJ218" i="2"/>
  <c r="CJ217" i="2"/>
  <c r="AC217" i="2"/>
  <c r="BS216" i="2"/>
  <c r="V216" i="2"/>
  <c r="BS215" i="2"/>
  <c r="AI215" i="2"/>
  <c r="H215" i="2"/>
  <c r="BM214" i="2"/>
  <c r="AJ214" i="2"/>
  <c r="R214" i="2"/>
  <c r="BX213" i="2"/>
  <c r="BH213" i="2"/>
  <c r="AK213" i="2"/>
  <c r="Y213" i="2"/>
  <c r="B213" i="2"/>
  <c r="BN212" i="2"/>
  <c r="AZ212" i="2"/>
  <c r="AD212" i="2"/>
  <c r="G212" i="2"/>
  <c r="BS211" i="2"/>
  <c r="BF211" i="2"/>
  <c r="AI211" i="2"/>
  <c r="W211" i="2"/>
  <c r="BY210" i="2"/>
  <c r="BL210" i="2"/>
  <c r="AX210" i="2"/>
  <c r="AB210" i="2"/>
  <c r="E210" i="2"/>
  <c r="BQ209" i="2"/>
  <c r="BD209" i="2"/>
  <c r="AG209" i="2"/>
  <c r="U209" i="2"/>
  <c r="BW208" i="2"/>
  <c r="BH208" i="2"/>
  <c r="AK208" i="2"/>
  <c r="Y208" i="2"/>
  <c r="F208" i="2"/>
  <c r="BR207" i="2"/>
  <c r="BD207" i="2"/>
  <c r="AG207" i="2"/>
  <c r="U207" i="2"/>
  <c r="BW206" i="2"/>
  <c r="BH206" i="2"/>
  <c r="AK206" i="2"/>
  <c r="Y206" i="2"/>
  <c r="E206" i="2"/>
  <c r="BQ205" i="2"/>
  <c r="BB205" i="2"/>
  <c r="AF205" i="2"/>
  <c r="N205" i="2"/>
  <c r="BV204" i="2"/>
  <c r="BG204" i="2"/>
  <c r="AJ204" i="2"/>
  <c r="X204" i="2"/>
  <c r="BZ203" i="2"/>
  <c r="BL203" i="2"/>
  <c r="AX203" i="2"/>
  <c r="AB203" i="2"/>
  <c r="E203" i="2"/>
  <c r="BQ202" i="2"/>
  <c r="BB202" i="2"/>
  <c r="AF202" i="2"/>
  <c r="P202" i="2"/>
  <c r="B202" i="2"/>
  <c r="BM201" i="2"/>
  <c r="AY201" i="2"/>
  <c r="AC201" i="2"/>
  <c r="F201" i="2"/>
  <c r="BR200" i="2"/>
  <c r="BD200" i="2"/>
  <c r="AG200" i="2"/>
  <c r="U200" i="2"/>
  <c r="BW199" i="2"/>
  <c r="BH199" i="2"/>
  <c r="AK199" i="2"/>
  <c r="Y199" i="2"/>
  <c r="B199" i="2"/>
  <c r="BM198" i="2"/>
  <c r="AY198" i="2"/>
  <c r="AC198" i="2"/>
  <c r="L198" i="2"/>
  <c r="BY197" i="2"/>
  <c r="BK197" i="2"/>
  <c r="AR197" i="2"/>
  <c r="AA197" i="2"/>
  <c r="D197" i="2"/>
  <c r="BP196" i="2"/>
  <c r="BA196" i="2"/>
  <c r="AE196" i="2"/>
  <c r="H196" i="2"/>
  <c r="BT195" i="2"/>
  <c r="BF195" i="2"/>
  <c r="AI195" i="2"/>
  <c r="W195" i="2"/>
  <c r="E195" i="2"/>
  <c r="BQ194" i="2"/>
  <c r="BB194" i="2"/>
  <c r="AF194" i="2"/>
  <c r="P194" i="2"/>
  <c r="B194" i="2"/>
  <c r="BM193" i="2"/>
  <c r="AY193" i="2"/>
  <c r="AC193" i="2"/>
  <c r="K193" i="2"/>
  <c r="BX192" i="2"/>
  <c r="BJ192" i="2"/>
  <c r="AL192" i="2"/>
  <c r="Z192" i="2"/>
  <c r="C192" i="2"/>
  <c r="BN191" i="2"/>
  <c r="AZ191" i="2"/>
  <c r="AD191" i="2"/>
  <c r="G191" i="2"/>
  <c r="BS190" i="2"/>
  <c r="BE190" i="2"/>
  <c r="AH190" i="2"/>
  <c r="V190" i="2"/>
  <c r="BX189" i="2"/>
  <c r="BJ189" i="2"/>
  <c r="AL189" i="2"/>
  <c r="Z189" i="2"/>
  <c r="C189" i="2"/>
  <c r="BN188" i="2"/>
  <c r="AZ188" i="2"/>
  <c r="AD188" i="2"/>
  <c r="N188" i="2"/>
  <c r="BZ187" i="2"/>
  <c r="BL187" i="2"/>
  <c r="AX187" i="2"/>
  <c r="AB187" i="2"/>
  <c r="K187" i="2"/>
  <c r="BX186" i="2"/>
  <c r="BJ186" i="2"/>
  <c r="AL186" i="2"/>
  <c r="Z186" i="2"/>
  <c r="I186" i="2"/>
  <c r="BV185" i="2"/>
  <c r="BG185" i="2"/>
  <c r="AJ185" i="2"/>
  <c r="X185" i="2"/>
  <c r="E185" i="2"/>
  <c r="BQ184" i="2"/>
  <c r="BB184" i="2"/>
  <c r="AF184" i="2"/>
  <c r="Q184" i="2"/>
  <c r="BZ183" i="2"/>
  <c r="BL183" i="2"/>
  <c r="AX183" i="2"/>
  <c r="AB183" i="2"/>
  <c r="I183" i="2"/>
  <c r="BV182" i="2"/>
  <c r="BG182" i="2"/>
  <c r="AJ182" i="2"/>
  <c r="X182" i="2"/>
  <c r="E182" i="2"/>
  <c r="BQ181" i="2"/>
  <c r="BC181" i="2"/>
  <c r="AG181" i="2"/>
  <c r="U181" i="2"/>
  <c r="BW180" i="2"/>
  <c r="BH180" i="2"/>
  <c r="AL180" i="2"/>
  <c r="Z180" i="2"/>
  <c r="C180" i="2"/>
  <c r="BN179" i="2"/>
  <c r="AZ179" i="2"/>
  <c r="AD179" i="2"/>
  <c r="N179" i="2"/>
  <c r="BX178" i="2"/>
  <c r="BJ178" i="2"/>
  <c r="AL178" i="2"/>
  <c r="Z178" i="2"/>
  <c r="G178" i="2"/>
  <c r="BS177" i="2"/>
  <c r="BE177" i="2"/>
  <c r="AH177" i="2"/>
  <c r="V177" i="2"/>
  <c r="C177" i="2"/>
  <c r="BN176" i="2"/>
  <c r="AZ176" i="2"/>
  <c r="AD176" i="2"/>
  <c r="N176" i="2"/>
  <c r="BX175" i="2"/>
  <c r="BJ175" i="2"/>
  <c r="AL175" i="2"/>
  <c r="Z175" i="2"/>
  <c r="G175" i="2"/>
  <c r="BS174" i="2"/>
  <c r="BE174" i="2"/>
  <c r="AH174" i="2"/>
  <c r="V174" i="2"/>
  <c r="C174" i="2"/>
  <c r="BN173" i="2"/>
  <c r="BA173" i="2"/>
  <c r="AE173" i="2"/>
  <c r="H173" i="2"/>
  <c r="BT172" i="2"/>
  <c r="BF172" i="2"/>
  <c r="AI172" i="2"/>
  <c r="W172" i="2"/>
  <c r="D172" i="2"/>
  <c r="BP171" i="2"/>
  <c r="BA171" i="2"/>
  <c r="AE171" i="2"/>
  <c r="P171" i="2"/>
  <c r="BY170" i="2"/>
  <c r="BK170" i="2"/>
  <c r="AX170" i="2"/>
  <c r="AB170" i="2"/>
  <c r="E170" i="2"/>
  <c r="BQ169" i="2"/>
  <c r="BB169" i="2"/>
  <c r="AF169" i="2"/>
  <c r="Q169" i="2"/>
  <c r="BZ168" i="2"/>
  <c r="BL168" i="2"/>
  <c r="AY168" i="2"/>
  <c r="AC168" i="2"/>
  <c r="F168" i="2"/>
  <c r="BR167" i="2"/>
  <c r="BD167" i="2"/>
  <c r="AG167" i="2"/>
  <c r="U167" i="2"/>
  <c r="B167" i="2"/>
  <c r="BM166" i="2"/>
  <c r="AY166" i="2"/>
  <c r="AC166" i="2"/>
  <c r="N166" i="2"/>
  <c r="BX165" i="2"/>
  <c r="BJ165" i="2"/>
  <c r="AL165" i="2"/>
  <c r="Z165" i="2"/>
  <c r="C165" i="2"/>
  <c r="BN164" i="2"/>
  <c r="AZ164" i="2"/>
  <c r="AD164" i="2"/>
  <c r="G164" i="2"/>
  <c r="BS163" i="2"/>
  <c r="BE163" i="2"/>
  <c r="AH163" i="2"/>
  <c r="V163" i="2"/>
  <c r="BX162" i="2"/>
  <c r="BJ162" i="2"/>
  <c r="AL162" i="2"/>
  <c r="Z162" i="2"/>
  <c r="C162" i="2"/>
  <c r="BN161" i="2"/>
  <c r="AZ161" i="2"/>
  <c r="AD161" i="2"/>
  <c r="G161" i="2"/>
  <c r="BS160" i="2"/>
  <c r="BE160" i="2"/>
  <c r="AH160" i="2"/>
  <c r="V160" i="2"/>
  <c r="BX159" i="2"/>
  <c r="BJ159" i="2"/>
  <c r="AL159" i="2"/>
  <c r="Z159" i="2"/>
  <c r="C159" i="2"/>
  <c r="BN158" i="2"/>
  <c r="AZ158" i="2"/>
  <c r="AD158" i="2"/>
  <c r="G158" i="2"/>
  <c r="BS157" i="2"/>
  <c r="BE157" i="2"/>
  <c r="AH157" i="2"/>
  <c r="V157" i="2"/>
  <c r="BX156" i="2"/>
  <c r="BJ156" i="2"/>
  <c r="AL156" i="2"/>
  <c r="Z156" i="2"/>
  <c r="C156" i="2"/>
  <c r="BN155" i="2"/>
  <c r="AZ155" i="2"/>
  <c r="AD155" i="2"/>
  <c r="G155" i="2"/>
  <c r="BS154" i="2"/>
  <c r="BE154" i="2"/>
  <c r="AH154" i="2"/>
  <c r="V154" i="2"/>
  <c r="BX153" i="2"/>
  <c r="BJ153" i="2"/>
  <c r="AL153" i="2"/>
  <c r="Z153" i="2"/>
  <c r="C153" i="2"/>
  <c r="BN152" i="2"/>
  <c r="AZ152" i="2"/>
  <c r="AD152" i="2"/>
  <c r="G152" i="2"/>
  <c r="BS151" i="2"/>
  <c r="BE151" i="2"/>
  <c r="AR151" i="2"/>
  <c r="AF151" i="2"/>
  <c r="N151" i="2"/>
  <c r="BV150" i="2"/>
  <c r="BG150" i="2"/>
  <c r="AT150" i="2"/>
  <c r="AH150" i="2"/>
  <c r="V150" i="2"/>
  <c r="BX149" i="2"/>
  <c r="BJ149" i="2"/>
  <c r="AV149" i="2"/>
  <c r="AE149" i="2"/>
  <c r="H149" i="2"/>
  <c r="BT148" i="2"/>
  <c r="BF148" i="2"/>
  <c r="AN148" i="2"/>
  <c r="AB148" i="2"/>
  <c r="E148" i="2"/>
  <c r="BQ147" i="2"/>
  <c r="BB147" i="2"/>
  <c r="AF147" i="2"/>
  <c r="N147" i="2"/>
  <c r="BV146" i="2"/>
  <c r="BG146" i="2"/>
  <c r="AJ146" i="2"/>
  <c r="X146" i="2"/>
  <c r="C146" i="2"/>
  <c r="BN145" i="2"/>
  <c r="AZ145" i="2"/>
  <c r="AD145" i="2"/>
  <c r="I145" i="2"/>
  <c r="BV144" i="2"/>
  <c r="BG144" i="2"/>
  <c r="AJ144" i="2"/>
  <c r="X144" i="2"/>
  <c r="BZ143" i="2"/>
  <c r="BL143" i="2"/>
  <c r="AX143" i="2"/>
  <c r="AB143" i="2"/>
  <c r="E143" i="2"/>
  <c r="BQ142" i="2"/>
  <c r="BB142" i="2"/>
  <c r="AF142" i="2"/>
  <c r="N142" i="2"/>
  <c r="BV141" i="2"/>
  <c r="BG141" i="2"/>
  <c r="AJ141" i="2"/>
  <c r="X141" i="2"/>
  <c r="BZ140" i="2"/>
  <c r="BL140" i="2"/>
  <c r="AX140" i="2"/>
  <c r="AB140" i="2"/>
  <c r="E140" i="2"/>
  <c r="BQ139" i="2"/>
  <c r="BB139" i="2"/>
  <c r="AF139" i="2"/>
  <c r="N139" i="2"/>
  <c r="BV138" i="2"/>
  <c r="BG138" i="2"/>
  <c r="AJ138" i="2"/>
  <c r="X138" i="2"/>
  <c r="BZ137" i="2"/>
  <c r="BL137" i="2"/>
  <c r="AX137" i="2"/>
  <c r="AB137" i="2"/>
  <c r="E137" i="2"/>
  <c r="BQ136" i="2"/>
  <c r="BB136" i="2"/>
  <c r="AF136" i="2"/>
  <c r="N136" i="2"/>
  <c r="BV135" i="2"/>
  <c r="BG135" i="2"/>
  <c r="AJ135" i="2"/>
  <c r="X135" i="2"/>
  <c r="C135" i="2"/>
  <c r="BN134" i="2"/>
  <c r="AZ134" i="2"/>
  <c r="AD134" i="2"/>
  <c r="I134" i="2"/>
  <c r="BV133" i="2"/>
  <c r="BG133" i="2"/>
  <c r="AJ133" i="2"/>
  <c r="X133" i="2"/>
  <c r="C133" i="2"/>
  <c r="BN132" i="2"/>
  <c r="AZ132" i="2"/>
  <c r="AD132" i="2"/>
  <c r="I132" i="2"/>
  <c r="BV131" i="2"/>
  <c r="BG131" i="2"/>
  <c r="AJ131" i="2"/>
  <c r="X131" i="2"/>
  <c r="B131" i="2"/>
  <c r="BM130" i="2"/>
  <c r="AY130" i="2"/>
  <c r="AC130" i="2"/>
  <c r="K130" i="2"/>
  <c r="BX129" i="2"/>
  <c r="BJ129" i="2"/>
  <c r="AL129" i="2"/>
  <c r="Z129" i="2"/>
  <c r="E129" i="2"/>
  <c r="CD128" i="2"/>
  <c r="BP128" i="2"/>
  <c r="BA128" i="2"/>
  <c r="AE128" i="2"/>
  <c r="L128" i="2"/>
  <c r="BY127" i="2"/>
  <c r="BK127" i="2"/>
  <c r="AR127" i="2"/>
  <c r="AA127" i="2"/>
  <c r="F127" i="2"/>
  <c r="BR126" i="2"/>
  <c r="BD126" i="2"/>
  <c r="AG126" i="2"/>
  <c r="U126" i="2"/>
  <c r="BY125" i="2"/>
  <c r="BK125" i="2"/>
  <c r="AR125" i="2"/>
  <c r="AA125" i="2"/>
  <c r="F125" i="2"/>
  <c r="BR124" i="2"/>
  <c r="BD124" i="2"/>
  <c r="AG124" i="2"/>
  <c r="U124" i="2"/>
  <c r="BY123" i="2"/>
  <c r="BK123" i="2"/>
  <c r="AR123" i="2"/>
  <c r="AA123" i="2"/>
  <c r="F123" i="2"/>
  <c r="BR122" i="2"/>
  <c r="BD122" i="2"/>
  <c r="AG122" i="2"/>
  <c r="U122" i="2"/>
  <c r="CR121" i="2"/>
  <c r="BS121" i="2"/>
  <c r="BE121" i="2"/>
  <c r="AR121" i="2"/>
  <c r="AF121" i="2"/>
  <c r="P121" i="2"/>
  <c r="CR120" i="2"/>
  <c r="BS120" i="2"/>
  <c r="BE120" i="2"/>
  <c r="AH120" i="2"/>
  <c r="BB313" i="2"/>
  <c r="AY296" i="2"/>
  <c r="BX280" i="2"/>
  <c r="BK271" i="2"/>
  <c r="P264" i="2"/>
  <c r="BM259" i="2"/>
  <c r="BG257" i="2"/>
  <c r="AC256" i="2"/>
  <c r="H255" i="2"/>
  <c r="CQ253" i="2"/>
  <c r="BP252" i="2"/>
  <c r="AG251" i="2"/>
  <c r="CP249" i="2"/>
  <c r="BQ248" i="2"/>
  <c r="BE247" i="2"/>
  <c r="AC246" i="2"/>
  <c r="B245" i="2"/>
  <c r="BQ243" i="2"/>
  <c r="BJ242" i="2"/>
  <c r="BB241" i="2"/>
  <c r="AL240" i="2"/>
  <c r="AF239" i="2"/>
  <c r="AA238" i="2"/>
  <c r="V237" i="2"/>
  <c r="I236" i="2"/>
  <c r="CI234" i="2"/>
  <c r="BR233" i="2"/>
  <c r="AK232" i="2"/>
  <c r="F231" i="2"/>
  <c r="CQ229" i="2"/>
  <c r="BP228" i="2"/>
  <c r="BB227" i="2"/>
  <c r="AE226" i="2"/>
  <c r="C225" i="2"/>
  <c r="F224" i="2"/>
  <c r="V223" i="2"/>
  <c r="S222" i="2"/>
  <c r="Q221" i="2"/>
  <c r="BN220" i="2"/>
  <c r="P220" i="2"/>
  <c r="AZ219" i="2"/>
  <c r="CM218" i="2"/>
  <c r="AF218" i="2"/>
  <c r="BW217" i="2"/>
  <c r="Y217" i="2"/>
  <c r="BN216" i="2"/>
  <c r="J216" i="2"/>
  <c r="BN215" i="2"/>
  <c r="AH215" i="2"/>
  <c r="G215" i="2"/>
  <c r="BL214" i="2"/>
  <c r="AI214" i="2"/>
  <c r="N214" i="2"/>
  <c r="BW213" i="2"/>
  <c r="BG213" i="2"/>
  <c r="AJ213" i="2"/>
  <c r="X213" i="2"/>
  <c r="BZ212" i="2"/>
  <c r="BM212" i="2"/>
  <c r="AY212" i="2"/>
  <c r="AC212" i="2"/>
  <c r="F212" i="2"/>
  <c r="BR211" i="2"/>
  <c r="BE211" i="2"/>
  <c r="AH211" i="2"/>
  <c r="V211" i="2"/>
  <c r="BX210" i="2"/>
  <c r="BK210" i="2"/>
  <c r="AR210" i="2"/>
  <c r="AA210" i="2"/>
  <c r="D210" i="2"/>
  <c r="BP209" i="2"/>
  <c r="BB209" i="2"/>
  <c r="AF209" i="2"/>
  <c r="N209" i="2"/>
  <c r="BV208" i="2"/>
  <c r="BG208" i="2"/>
  <c r="AJ208" i="2"/>
  <c r="X208" i="2"/>
  <c r="E208" i="2"/>
  <c r="BQ207" i="2"/>
  <c r="BB207" i="2"/>
  <c r="AF207" i="2"/>
  <c r="N207" i="2"/>
  <c r="BV206" i="2"/>
  <c r="BG206" i="2"/>
  <c r="AJ206" i="2"/>
  <c r="X206" i="2"/>
  <c r="D206" i="2"/>
  <c r="BP205" i="2"/>
  <c r="BA205" i="2"/>
  <c r="AE205" i="2"/>
  <c r="H205" i="2"/>
  <c r="BT204" i="2"/>
  <c r="BF204" i="2"/>
  <c r="AI204" i="2"/>
  <c r="W204" i="2"/>
  <c r="BY203" i="2"/>
  <c r="BK203" i="2"/>
  <c r="AR203" i="2"/>
  <c r="AA203" i="2"/>
  <c r="D203" i="2"/>
  <c r="BP202" i="2"/>
  <c r="BA202" i="2"/>
  <c r="AE202" i="2"/>
  <c r="N202" i="2"/>
  <c r="BZ201" i="2"/>
  <c r="BL201" i="2"/>
  <c r="AX201" i="2"/>
  <c r="AB201" i="2"/>
  <c r="E201" i="2"/>
  <c r="BQ200" i="2"/>
  <c r="BB200" i="2"/>
  <c r="AF200" i="2"/>
  <c r="N200" i="2"/>
  <c r="BV199" i="2"/>
  <c r="BG199" i="2"/>
  <c r="AJ199" i="2"/>
  <c r="X199" i="2"/>
  <c r="BZ198" i="2"/>
  <c r="BL198" i="2"/>
  <c r="AX198" i="2"/>
  <c r="AB198" i="2"/>
  <c r="K198" i="2"/>
  <c r="BX197" i="2"/>
  <c r="BJ197" i="2"/>
  <c r="AL197" i="2"/>
  <c r="Z197" i="2"/>
  <c r="C197" i="2"/>
  <c r="BN196" i="2"/>
  <c r="AZ196" i="2"/>
  <c r="AD196" i="2"/>
  <c r="G196" i="2"/>
  <c r="BS195" i="2"/>
  <c r="BE195" i="2"/>
  <c r="AH195" i="2"/>
  <c r="V195" i="2"/>
  <c r="D195" i="2"/>
  <c r="BP194" i="2"/>
  <c r="BA194" i="2"/>
  <c r="AE194" i="2"/>
  <c r="N194" i="2"/>
  <c r="BZ193" i="2"/>
  <c r="BL193" i="2"/>
  <c r="AX193" i="2"/>
  <c r="AB193" i="2"/>
  <c r="J193" i="2"/>
  <c r="BW192" i="2"/>
  <c r="BH192" i="2"/>
  <c r="AK192" i="2"/>
  <c r="Y192" i="2"/>
  <c r="B192" i="2"/>
  <c r="BM191" i="2"/>
  <c r="AY191" i="2"/>
  <c r="AC191" i="2"/>
  <c r="F191" i="2"/>
  <c r="BR190" i="2"/>
  <c r="BD190" i="2"/>
  <c r="AG190" i="2"/>
  <c r="U190" i="2"/>
  <c r="BW189" i="2"/>
  <c r="BH189" i="2"/>
  <c r="AK189" i="2"/>
  <c r="Y189" i="2"/>
  <c r="B189" i="2"/>
  <c r="BM188" i="2"/>
  <c r="AY188" i="2"/>
  <c r="AC188" i="2"/>
  <c r="L188" i="2"/>
  <c r="BY187" i="2"/>
  <c r="BK187" i="2"/>
  <c r="AR187" i="2"/>
  <c r="AA187" i="2"/>
  <c r="J187" i="2"/>
  <c r="BW186" i="2"/>
  <c r="BH186" i="2"/>
  <c r="AK186" i="2"/>
  <c r="Y186" i="2"/>
  <c r="H186" i="2"/>
  <c r="BT185" i="2"/>
  <c r="BF185" i="2"/>
  <c r="AI185" i="2"/>
  <c r="W185" i="2"/>
  <c r="D185" i="2"/>
  <c r="BP184" i="2"/>
  <c r="BA184" i="2"/>
  <c r="AE184" i="2"/>
  <c r="P184" i="2"/>
  <c r="BY183" i="2"/>
  <c r="BK183" i="2"/>
  <c r="AR183" i="2"/>
  <c r="AA183" i="2"/>
  <c r="H183" i="2"/>
  <c r="BT182" i="2"/>
  <c r="BF182" i="2"/>
  <c r="AI182" i="2"/>
  <c r="W182" i="2"/>
  <c r="D182" i="2"/>
  <c r="BP181" i="2"/>
  <c r="BB181" i="2"/>
  <c r="AF181" i="2"/>
  <c r="N181" i="2"/>
  <c r="BV180" i="2"/>
  <c r="BG180" i="2"/>
  <c r="AK180" i="2"/>
  <c r="Y180" i="2"/>
  <c r="B180" i="2"/>
  <c r="BM179" i="2"/>
  <c r="AY179" i="2"/>
  <c r="AC179" i="2"/>
  <c r="J179" i="2"/>
  <c r="BW178" i="2"/>
  <c r="BH178" i="2"/>
  <c r="AK178" i="2"/>
  <c r="Y178" i="2"/>
  <c r="F178" i="2"/>
  <c r="BR177" i="2"/>
  <c r="BD177" i="2"/>
  <c r="AG177" i="2"/>
  <c r="U177" i="2"/>
  <c r="B177" i="2"/>
  <c r="BM176" i="2"/>
  <c r="AY176" i="2"/>
  <c r="AC176" i="2"/>
  <c r="J176" i="2"/>
  <c r="BW175" i="2"/>
  <c r="BH175" i="2"/>
  <c r="AK175" i="2"/>
  <c r="Y175" i="2"/>
  <c r="F175" i="2"/>
  <c r="BR174" i="2"/>
  <c r="BD174" i="2"/>
  <c r="AG174" i="2"/>
  <c r="U174" i="2"/>
  <c r="B174" i="2"/>
  <c r="BM173" i="2"/>
  <c r="AZ173" i="2"/>
  <c r="AD173" i="2"/>
  <c r="G173" i="2"/>
  <c r="BS172" i="2"/>
  <c r="BE172" i="2"/>
  <c r="AH172" i="2"/>
  <c r="V172" i="2"/>
  <c r="C172" i="2"/>
  <c r="BN171" i="2"/>
  <c r="AZ171" i="2"/>
  <c r="AD171" i="2"/>
  <c r="N171" i="2"/>
  <c r="BX170" i="2"/>
  <c r="BJ170" i="2"/>
  <c r="AR170" i="2"/>
  <c r="AA170" i="2"/>
  <c r="D170" i="2"/>
  <c r="BP169" i="2"/>
  <c r="BA169" i="2"/>
  <c r="AE169" i="2"/>
  <c r="P169" i="2"/>
  <c r="BY168" i="2"/>
  <c r="BK168" i="2"/>
  <c r="AX168" i="2"/>
  <c r="AB168" i="2"/>
  <c r="E168" i="2"/>
  <c r="BQ167" i="2"/>
  <c r="BB167" i="2"/>
  <c r="AF167" i="2"/>
  <c r="Q167" i="2"/>
  <c r="BZ166" i="2"/>
  <c r="BL166" i="2"/>
  <c r="AX166" i="2"/>
  <c r="AB166" i="2"/>
  <c r="J166" i="2"/>
  <c r="BW165" i="2"/>
  <c r="BH165" i="2"/>
  <c r="AK165" i="2"/>
  <c r="Y165" i="2"/>
  <c r="B165" i="2"/>
  <c r="BM164" i="2"/>
  <c r="AY164" i="2"/>
  <c r="AC164" i="2"/>
  <c r="F164" i="2"/>
  <c r="BR163" i="2"/>
  <c r="BD163" i="2"/>
  <c r="AG163" i="2"/>
  <c r="U163" i="2"/>
  <c r="BW162" i="2"/>
  <c r="BH162" i="2"/>
  <c r="AK162" i="2"/>
  <c r="Y162" i="2"/>
  <c r="B162" i="2"/>
  <c r="BM161" i="2"/>
  <c r="AY161" i="2"/>
  <c r="AC161" i="2"/>
  <c r="F161" i="2"/>
  <c r="BR160" i="2"/>
  <c r="BD160" i="2"/>
  <c r="AG160" i="2"/>
  <c r="U160" i="2"/>
  <c r="BW159" i="2"/>
  <c r="BH159" i="2"/>
  <c r="AK159" i="2"/>
  <c r="Y159" i="2"/>
  <c r="B159" i="2"/>
  <c r="BM158" i="2"/>
  <c r="AY158" i="2"/>
  <c r="AC158" i="2"/>
  <c r="F158" i="2"/>
  <c r="BR157" i="2"/>
  <c r="BD157" i="2"/>
  <c r="AG157" i="2"/>
  <c r="U157" i="2"/>
  <c r="BW156" i="2"/>
  <c r="BH156" i="2"/>
  <c r="AK156" i="2"/>
  <c r="Y156" i="2"/>
  <c r="B156" i="2"/>
  <c r="BM155" i="2"/>
  <c r="AY155" i="2"/>
  <c r="AC155" i="2"/>
  <c r="F155" i="2"/>
  <c r="BR154" i="2"/>
  <c r="BD154" i="2"/>
  <c r="AG154" i="2"/>
  <c r="U154" i="2"/>
  <c r="BW153" i="2"/>
  <c r="BH153" i="2"/>
  <c r="AK153" i="2"/>
  <c r="Y153" i="2"/>
  <c r="B153" i="2"/>
  <c r="BM152" i="2"/>
  <c r="AY152" i="2"/>
  <c r="AC152" i="2"/>
  <c r="F152" i="2"/>
  <c r="BR151" i="2"/>
  <c r="BD151" i="2"/>
  <c r="AQ151" i="2"/>
  <c r="AE151" i="2"/>
  <c r="H151" i="2"/>
  <c r="BT150" i="2"/>
  <c r="BF150" i="2"/>
  <c r="AS150" i="2"/>
  <c r="AG150" i="2"/>
  <c r="U150" i="2"/>
  <c r="BW149" i="2"/>
  <c r="BH149" i="2"/>
  <c r="AU149" i="2"/>
  <c r="AD149" i="2"/>
  <c r="G149" i="2"/>
  <c r="BS148" i="2"/>
  <c r="BE148" i="2"/>
  <c r="AM148" i="2"/>
  <c r="AA148" i="2"/>
  <c r="D148" i="2"/>
  <c r="BP147" i="2"/>
  <c r="BA147" i="2"/>
  <c r="AE147" i="2"/>
  <c r="H147" i="2"/>
  <c r="BT146" i="2"/>
  <c r="BF146" i="2"/>
  <c r="AI146" i="2"/>
  <c r="W146" i="2"/>
  <c r="B146" i="2"/>
  <c r="BM145" i="2"/>
  <c r="AY145" i="2"/>
  <c r="AC145" i="2"/>
  <c r="H145" i="2"/>
  <c r="BT144" i="2"/>
  <c r="BF144" i="2"/>
  <c r="AI144" i="2"/>
  <c r="W144" i="2"/>
  <c r="BY143" i="2"/>
  <c r="BK143" i="2"/>
  <c r="AR143" i="2"/>
  <c r="AA143" i="2"/>
  <c r="D143" i="2"/>
  <c r="BP142" i="2"/>
  <c r="BA142" i="2"/>
  <c r="AE142" i="2"/>
  <c r="H142" i="2"/>
  <c r="BT141" i="2"/>
  <c r="BF141" i="2"/>
  <c r="AI141" i="2"/>
  <c r="W141" i="2"/>
  <c r="BY140" i="2"/>
  <c r="BK140" i="2"/>
  <c r="AR140" i="2"/>
  <c r="AA140" i="2"/>
  <c r="D140" i="2"/>
  <c r="BP139" i="2"/>
  <c r="BA139" i="2"/>
  <c r="AE139" i="2"/>
  <c r="H139" i="2"/>
  <c r="BT138" i="2"/>
  <c r="BF138" i="2"/>
  <c r="AI138" i="2"/>
  <c r="W138" i="2"/>
  <c r="BY137" i="2"/>
  <c r="BK137" i="2"/>
  <c r="AR137" i="2"/>
  <c r="AA137" i="2"/>
  <c r="D137" i="2"/>
  <c r="BP136" i="2"/>
  <c r="BA136" i="2"/>
  <c r="AE136" i="2"/>
  <c r="H136" i="2"/>
  <c r="BT135" i="2"/>
  <c r="BF135" i="2"/>
  <c r="AI135" i="2"/>
  <c r="W135" i="2"/>
  <c r="B135" i="2"/>
  <c r="BM134" i="2"/>
  <c r="AY134" i="2"/>
  <c r="AC134" i="2"/>
  <c r="H134" i="2"/>
  <c r="BT133" i="2"/>
  <c r="BF133" i="2"/>
  <c r="AI133" i="2"/>
  <c r="W133" i="2"/>
  <c r="B133" i="2"/>
  <c r="BM132" i="2"/>
  <c r="AY132" i="2"/>
  <c r="AC132" i="2"/>
  <c r="H132" i="2"/>
  <c r="BT131" i="2"/>
  <c r="BF131" i="2"/>
  <c r="AI131" i="2"/>
  <c r="W131" i="2"/>
  <c r="BZ130" i="2"/>
  <c r="BL130" i="2"/>
  <c r="AX130" i="2"/>
  <c r="AB130" i="2"/>
  <c r="J130" i="2"/>
  <c r="BW129" i="2"/>
  <c r="BH129" i="2"/>
  <c r="AK129" i="2"/>
  <c r="Y129" i="2"/>
  <c r="D129" i="2"/>
  <c r="CC128" i="2"/>
  <c r="BN128" i="2"/>
  <c r="AZ128" i="2"/>
  <c r="AD128" i="2"/>
  <c r="K128" i="2"/>
  <c r="BX127" i="2"/>
  <c r="BJ127" i="2"/>
  <c r="AL127" i="2"/>
  <c r="Z127" i="2"/>
  <c r="E127" i="2"/>
  <c r="BQ126" i="2"/>
  <c r="BB126" i="2"/>
  <c r="AF126" i="2"/>
  <c r="N126" i="2"/>
  <c r="BX125" i="2"/>
  <c r="BJ125" i="2"/>
  <c r="AL125" i="2"/>
  <c r="Z125" i="2"/>
  <c r="E125" i="2"/>
  <c r="BQ124" i="2"/>
  <c r="BB124" i="2"/>
  <c r="AF124" i="2"/>
  <c r="N124" i="2"/>
  <c r="BX123" i="2"/>
  <c r="BJ123" i="2"/>
  <c r="AL123" i="2"/>
  <c r="Z123" i="2"/>
  <c r="E123" i="2"/>
  <c r="BQ122" i="2"/>
  <c r="BB122" i="2"/>
  <c r="AF122" i="2"/>
  <c r="N122" i="2"/>
  <c r="CQ121" i="2"/>
  <c r="BR121" i="2"/>
  <c r="BD121" i="2"/>
  <c r="AQ121" i="2"/>
  <c r="AE121" i="2"/>
  <c r="BH310" i="2"/>
  <c r="BZ293" i="2"/>
  <c r="BZ278" i="2"/>
  <c r="BA270" i="2"/>
  <c r="K263" i="2"/>
  <c r="AA259" i="2"/>
  <c r="AJ257" i="2"/>
  <c r="G256" i="2"/>
  <c r="CE254" i="2"/>
  <c r="BS253" i="2"/>
  <c r="BB252" i="2"/>
  <c r="N251" i="2"/>
  <c r="BV249" i="2"/>
  <c r="BD248" i="2"/>
  <c r="AI247" i="2"/>
  <c r="N246" i="2"/>
  <c r="BP244" i="2"/>
  <c r="BD243" i="2"/>
  <c r="AR242" i="2"/>
  <c r="AG241" i="2"/>
  <c r="AA240" i="2"/>
  <c r="U239" i="2"/>
  <c r="I238" i="2"/>
  <c r="D237" i="2"/>
  <c r="CG235" i="2"/>
  <c r="BW234" i="2"/>
  <c r="BE233" i="2"/>
  <c r="Z232" i="2"/>
  <c r="CM230" i="2"/>
  <c r="BW229" i="2"/>
  <c r="BB228" i="2"/>
  <c r="AG227" i="2"/>
  <c r="R226" i="2"/>
  <c r="CJ224" i="2"/>
  <c r="DC223" i="2"/>
  <c r="J223" i="2"/>
  <c r="G222" i="2"/>
  <c r="E221" i="2"/>
  <c r="BH220" i="2"/>
  <c r="J220" i="2"/>
  <c r="AK219" i="2"/>
  <c r="BY218" i="2"/>
  <c r="AA218" i="2"/>
  <c r="BQ217" i="2"/>
  <c r="P217" i="2"/>
  <c r="BH216" i="2"/>
  <c r="E216" i="2"/>
  <c r="BM215" i="2"/>
  <c r="AD215" i="2"/>
  <c r="E215" i="2"/>
  <c r="BH214" i="2"/>
  <c r="AH214" i="2"/>
  <c r="L214" i="2"/>
  <c r="BT213" i="2"/>
  <c r="BF213" i="2"/>
  <c r="AI213" i="2"/>
  <c r="W213" i="2"/>
  <c r="BY212" i="2"/>
  <c r="BL212" i="2"/>
  <c r="AX212" i="2"/>
  <c r="AB212" i="2"/>
  <c r="E212" i="2"/>
  <c r="BQ211" i="2"/>
  <c r="BD211" i="2"/>
  <c r="AG211" i="2"/>
  <c r="U211" i="2"/>
  <c r="BW210" i="2"/>
  <c r="BJ210" i="2"/>
  <c r="AL210" i="2"/>
  <c r="Z210" i="2"/>
  <c r="C210" i="2"/>
  <c r="BO209" i="2"/>
  <c r="BA209" i="2"/>
  <c r="AE209" i="2"/>
  <c r="H209" i="2"/>
  <c r="BT208" i="2"/>
  <c r="BF208" i="2"/>
  <c r="AI208" i="2"/>
  <c r="W208" i="2"/>
  <c r="D208" i="2"/>
  <c r="BP207" i="2"/>
  <c r="BA207" i="2"/>
  <c r="AE207" i="2"/>
  <c r="H207" i="2"/>
  <c r="BT206" i="2"/>
  <c r="BF206" i="2"/>
  <c r="AI206" i="2"/>
  <c r="W206" i="2"/>
  <c r="C206" i="2"/>
  <c r="BN205" i="2"/>
  <c r="AZ205" i="2"/>
  <c r="AD205" i="2"/>
  <c r="G205" i="2"/>
  <c r="BS204" i="2"/>
  <c r="BE204" i="2"/>
  <c r="AH204" i="2"/>
  <c r="V204" i="2"/>
  <c r="BX203" i="2"/>
  <c r="BJ203" i="2"/>
  <c r="AL203" i="2"/>
  <c r="Z203" i="2"/>
  <c r="C203" i="2"/>
  <c r="BN202" i="2"/>
  <c r="AZ202" i="2"/>
  <c r="AD202" i="2"/>
  <c r="L202" i="2"/>
  <c r="BY201" i="2"/>
  <c r="BK201" i="2"/>
  <c r="AR201" i="2"/>
  <c r="AA201" i="2"/>
  <c r="D201" i="2"/>
  <c r="BP200" i="2"/>
  <c r="BA200" i="2"/>
  <c r="AE200" i="2"/>
  <c r="H200" i="2"/>
  <c r="BT199" i="2"/>
  <c r="BF199" i="2"/>
  <c r="AI199" i="2"/>
  <c r="W199" i="2"/>
  <c r="BY198" i="2"/>
  <c r="BK198" i="2"/>
  <c r="AR198" i="2"/>
  <c r="AA198" i="2"/>
  <c r="J198" i="2"/>
  <c r="BW197" i="2"/>
  <c r="BH197" i="2"/>
  <c r="AK197" i="2"/>
  <c r="Y197" i="2"/>
  <c r="B197" i="2"/>
  <c r="BM196" i="2"/>
  <c r="AY196" i="2"/>
  <c r="AC196" i="2"/>
  <c r="F196" i="2"/>
  <c r="BR195" i="2"/>
  <c r="BD195" i="2"/>
  <c r="AG195" i="2"/>
  <c r="U195" i="2"/>
  <c r="C195" i="2"/>
  <c r="BN194" i="2"/>
  <c r="AZ194" i="2"/>
  <c r="AD194" i="2"/>
  <c r="L194" i="2"/>
  <c r="BY193" i="2"/>
  <c r="BK193" i="2"/>
  <c r="AR193" i="2"/>
  <c r="AA193" i="2"/>
  <c r="I193" i="2"/>
  <c r="BV192" i="2"/>
  <c r="BG192" i="2"/>
  <c r="AJ192" i="2"/>
  <c r="X192" i="2"/>
  <c r="BZ191" i="2"/>
  <c r="BL191" i="2"/>
  <c r="AX191" i="2"/>
  <c r="AB191" i="2"/>
  <c r="E191" i="2"/>
  <c r="BQ190" i="2"/>
  <c r="BB190" i="2"/>
  <c r="AF190" i="2"/>
  <c r="N190" i="2"/>
  <c r="BV189" i="2"/>
  <c r="BG189" i="2"/>
  <c r="AJ189" i="2"/>
  <c r="X189" i="2"/>
  <c r="BZ188" i="2"/>
  <c r="BL188" i="2"/>
  <c r="AX188" i="2"/>
  <c r="AB188" i="2"/>
  <c r="K188" i="2"/>
  <c r="BX187" i="2"/>
  <c r="BJ187" i="2"/>
  <c r="AL187" i="2"/>
  <c r="Z187" i="2"/>
  <c r="I187" i="2"/>
  <c r="BV186" i="2"/>
  <c r="BG186" i="2"/>
  <c r="AJ186" i="2"/>
  <c r="X186" i="2"/>
  <c r="G186" i="2"/>
  <c r="BS185" i="2"/>
  <c r="BE185" i="2"/>
  <c r="AH185" i="2"/>
  <c r="V185" i="2"/>
  <c r="C185" i="2"/>
  <c r="BN184" i="2"/>
  <c r="AZ184" i="2"/>
  <c r="AD184" i="2"/>
  <c r="N184" i="2"/>
  <c r="BX183" i="2"/>
  <c r="BJ183" i="2"/>
  <c r="AL183" i="2"/>
  <c r="Z183" i="2"/>
  <c r="G183" i="2"/>
  <c r="BS182" i="2"/>
  <c r="BE182" i="2"/>
  <c r="AH182" i="2"/>
  <c r="V182" i="2"/>
  <c r="C182" i="2"/>
  <c r="BN181" i="2"/>
  <c r="BA181" i="2"/>
  <c r="AE181" i="2"/>
  <c r="H181" i="2"/>
  <c r="BT180" i="2"/>
  <c r="BF180" i="2"/>
  <c r="AJ180" i="2"/>
  <c r="X180" i="2"/>
  <c r="BZ179" i="2"/>
  <c r="BL179" i="2"/>
  <c r="AX179" i="2"/>
  <c r="AB179" i="2"/>
  <c r="I179" i="2"/>
  <c r="BV178" i="2"/>
  <c r="BG178" i="2"/>
  <c r="AJ178" i="2"/>
  <c r="X178" i="2"/>
  <c r="E178" i="2"/>
  <c r="BQ177" i="2"/>
  <c r="BB177" i="2"/>
  <c r="AF177" i="2"/>
  <c r="Q177" i="2"/>
  <c r="BZ176" i="2"/>
  <c r="BL176" i="2"/>
  <c r="AX176" i="2"/>
  <c r="AB176" i="2"/>
  <c r="I176" i="2"/>
  <c r="BV175" i="2"/>
  <c r="BG175" i="2"/>
  <c r="AJ175" i="2"/>
  <c r="X175" i="2"/>
  <c r="E175" i="2"/>
  <c r="BQ174" i="2"/>
  <c r="BB174" i="2"/>
  <c r="AF174" i="2"/>
  <c r="Q174" i="2"/>
  <c r="BZ173" i="2"/>
  <c r="BL173" i="2"/>
  <c r="AY173" i="2"/>
  <c r="AC173" i="2"/>
  <c r="F173" i="2"/>
  <c r="BR172" i="2"/>
  <c r="BD172" i="2"/>
  <c r="AG172" i="2"/>
  <c r="U172" i="2"/>
  <c r="B172" i="2"/>
  <c r="BM171" i="2"/>
  <c r="AY171" i="2"/>
  <c r="AC171" i="2"/>
  <c r="J171" i="2"/>
  <c r="BW170" i="2"/>
  <c r="BH170" i="2"/>
  <c r="AL170" i="2"/>
  <c r="Z170" i="2"/>
  <c r="C170" i="2"/>
  <c r="BN169" i="2"/>
  <c r="AZ169" i="2"/>
  <c r="AD169" i="2"/>
  <c r="N169" i="2"/>
  <c r="BX168" i="2"/>
  <c r="BJ168" i="2"/>
  <c r="AR168" i="2"/>
  <c r="AA168" i="2"/>
  <c r="D168" i="2"/>
  <c r="BP167" i="2"/>
  <c r="BA167" i="2"/>
  <c r="AE167" i="2"/>
  <c r="P167" i="2"/>
  <c r="BY166" i="2"/>
  <c r="BK166" i="2"/>
  <c r="AR166" i="2"/>
  <c r="AA166" i="2"/>
  <c r="I166" i="2"/>
  <c r="BV165" i="2"/>
  <c r="BG165" i="2"/>
  <c r="AJ165" i="2"/>
  <c r="X165" i="2"/>
  <c r="BZ164" i="2"/>
  <c r="BL164" i="2"/>
  <c r="AX164" i="2"/>
  <c r="AB164" i="2"/>
  <c r="E164" i="2"/>
  <c r="BQ163" i="2"/>
  <c r="BB163" i="2"/>
  <c r="AF163" i="2"/>
  <c r="N163" i="2"/>
  <c r="BV162" i="2"/>
  <c r="BG162" i="2"/>
  <c r="AJ162" i="2"/>
  <c r="X162" i="2"/>
  <c r="BZ161" i="2"/>
  <c r="BL161" i="2"/>
  <c r="AX161" i="2"/>
  <c r="AB161" i="2"/>
  <c r="E161" i="2"/>
  <c r="BQ160" i="2"/>
  <c r="BB160" i="2"/>
  <c r="AF160" i="2"/>
  <c r="N160" i="2"/>
  <c r="BV159" i="2"/>
  <c r="BG159" i="2"/>
  <c r="AJ159" i="2"/>
  <c r="X159" i="2"/>
  <c r="BZ158" i="2"/>
  <c r="BL158" i="2"/>
  <c r="AX158" i="2"/>
  <c r="AB158" i="2"/>
  <c r="E158" i="2"/>
  <c r="BQ157" i="2"/>
  <c r="BB157" i="2"/>
  <c r="AF157" i="2"/>
  <c r="N157" i="2"/>
  <c r="BV156" i="2"/>
  <c r="BG156" i="2"/>
  <c r="AJ156" i="2"/>
  <c r="X156" i="2"/>
  <c r="BZ155" i="2"/>
  <c r="BL155" i="2"/>
  <c r="AX155" i="2"/>
  <c r="AB155" i="2"/>
  <c r="E155" i="2"/>
  <c r="BQ154" i="2"/>
  <c r="BB154" i="2"/>
  <c r="AF154" i="2"/>
  <c r="N154" i="2"/>
  <c r="BV153" i="2"/>
  <c r="BG153" i="2"/>
  <c r="AJ153" i="2"/>
  <c r="X153" i="2"/>
  <c r="BZ152" i="2"/>
  <c r="BL152" i="2"/>
  <c r="AX152" i="2"/>
  <c r="AB152" i="2"/>
  <c r="E152" i="2"/>
  <c r="BQ151" i="2"/>
  <c r="BB151" i="2"/>
  <c r="AP151" i="2"/>
  <c r="AD151" i="2"/>
  <c r="G151" i="2"/>
  <c r="BS150" i="2"/>
  <c r="BE150" i="2"/>
  <c r="AR150" i="2"/>
  <c r="AF150" i="2"/>
  <c r="N150" i="2"/>
  <c r="BV149" i="2"/>
  <c r="BG149" i="2"/>
  <c r="AT149" i="2"/>
  <c r="AC149" i="2"/>
  <c r="F149" i="2"/>
  <c r="BR148" i="2"/>
  <c r="BD148" i="2"/>
  <c r="AL148" i="2"/>
  <c r="Z148" i="2"/>
  <c r="C148" i="2"/>
  <c r="BN147" i="2"/>
  <c r="AZ147" i="2"/>
  <c r="AD147" i="2"/>
  <c r="G147" i="2"/>
  <c r="BS146" i="2"/>
  <c r="BE146" i="2"/>
  <c r="AH146" i="2"/>
  <c r="V146" i="2"/>
  <c r="BZ145" i="2"/>
  <c r="BL145" i="2"/>
  <c r="AX145" i="2"/>
  <c r="AB145" i="2"/>
  <c r="G145" i="2"/>
  <c r="BS144" i="2"/>
  <c r="BE144" i="2"/>
  <c r="AH144" i="2"/>
  <c r="V144" i="2"/>
  <c r="BX143" i="2"/>
  <c r="BJ143" i="2"/>
  <c r="AL143" i="2"/>
  <c r="Z143" i="2"/>
  <c r="C143" i="2"/>
  <c r="BN142" i="2"/>
  <c r="AZ142" i="2"/>
  <c r="AD142" i="2"/>
  <c r="G142" i="2"/>
  <c r="BS141" i="2"/>
  <c r="BE141" i="2"/>
  <c r="AH141" i="2"/>
  <c r="V141" i="2"/>
  <c r="BX140" i="2"/>
  <c r="BJ140" i="2"/>
  <c r="AL140" i="2"/>
  <c r="Z140" i="2"/>
  <c r="C140" i="2"/>
  <c r="BN139" i="2"/>
  <c r="AZ139" i="2"/>
  <c r="AD139" i="2"/>
  <c r="G139" i="2"/>
  <c r="BS138" i="2"/>
  <c r="BE138" i="2"/>
  <c r="AH138" i="2"/>
  <c r="V138" i="2"/>
  <c r="BX137" i="2"/>
  <c r="BJ137" i="2"/>
  <c r="AL137" i="2"/>
  <c r="Z137" i="2"/>
  <c r="C137" i="2"/>
  <c r="BN136" i="2"/>
  <c r="AZ136" i="2"/>
  <c r="AD136" i="2"/>
  <c r="G136" i="2"/>
  <c r="BS135" i="2"/>
  <c r="BE135" i="2"/>
  <c r="AH135" i="2"/>
  <c r="V135" i="2"/>
  <c r="BZ134" i="2"/>
  <c r="BL134" i="2"/>
  <c r="AX134" i="2"/>
  <c r="AB134" i="2"/>
  <c r="G134" i="2"/>
  <c r="BS133" i="2"/>
  <c r="BE133" i="2"/>
  <c r="AH133" i="2"/>
  <c r="V133" i="2"/>
  <c r="BZ132" i="2"/>
  <c r="BL132" i="2"/>
  <c r="AX132" i="2"/>
  <c r="AB132" i="2"/>
  <c r="G132" i="2"/>
  <c r="BS131" i="2"/>
  <c r="BE131" i="2"/>
  <c r="AH131" i="2"/>
  <c r="V131" i="2"/>
  <c r="BY130" i="2"/>
  <c r="BK130" i="2"/>
  <c r="AR130" i="2"/>
  <c r="AA130" i="2"/>
  <c r="I130" i="2"/>
  <c r="BV129" i="2"/>
  <c r="BG129" i="2"/>
  <c r="AJ129" i="2"/>
  <c r="X129" i="2"/>
  <c r="C129" i="2"/>
  <c r="CB128" i="2"/>
  <c r="BM128" i="2"/>
  <c r="AY128" i="2"/>
  <c r="AC128" i="2"/>
  <c r="J128" i="2"/>
  <c r="BW127" i="2"/>
  <c r="BH127" i="2"/>
  <c r="AK127" i="2"/>
  <c r="Y127" i="2"/>
  <c r="D127" i="2"/>
  <c r="BP126" i="2"/>
  <c r="BA126" i="2"/>
  <c r="AE126" i="2"/>
  <c r="J126" i="2"/>
  <c r="BW125" i="2"/>
  <c r="BH125" i="2"/>
  <c r="AK125" i="2"/>
  <c r="Y125" i="2"/>
  <c r="D125" i="2"/>
  <c r="BP124" i="2"/>
  <c r="BA124" i="2"/>
  <c r="AE124" i="2"/>
  <c r="J124" i="2"/>
  <c r="BW123" i="2"/>
  <c r="BH123" i="2"/>
  <c r="AK123" i="2"/>
  <c r="Y123" i="2"/>
  <c r="D123" i="2"/>
  <c r="BP122" i="2"/>
  <c r="BA122" i="2"/>
  <c r="AE122" i="2"/>
  <c r="J122" i="2"/>
  <c r="CP121" i="2"/>
  <c r="BQ121" i="2"/>
  <c r="BB121" i="2"/>
  <c r="AP121" i="2"/>
  <c r="AD121" i="2"/>
  <c r="J121" i="2"/>
  <c r="CP120" i="2"/>
  <c r="BQ120" i="2"/>
  <c r="BB120" i="2"/>
  <c r="AF120" i="2"/>
  <c r="T120" i="2"/>
  <c r="C120" i="2"/>
  <c r="BW119" i="2"/>
  <c r="BH119" i="2"/>
  <c r="AU119" i="2"/>
  <c r="AI119" i="2"/>
  <c r="W119" i="2"/>
  <c r="D119" i="2"/>
  <c r="CC118" i="2"/>
  <c r="BN118" i="2"/>
  <c r="AZ118" i="2"/>
  <c r="AD118" i="2"/>
  <c r="P118" i="2"/>
  <c r="B118" i="2"/>
  <c r="BZ117" i="2"/>
  <c r="BL117" i="2"/>
  <c r="AX117" i="2"/>
  <c r="AB117" i="2"/>
  <c r="L117" i="2"/>
  <c r="BY116" i="2"/>
  <c r="BK116" i="2"/>
  <c r="AR116" i="2"/>
  <c r="AA116" i="2"/>
  <c r="F116" i="2"/>
  <c r="BR115" i="2"/>
  <c r="BD115" i="2"/>
  <c r="AG115" i="2"/>
  <c r="U115" i="2"/>
  <c r="BY114" i="2"/>
  <c r="BK114" i="2"/>
  <c r="AR114" i="2"/>
  <c r="AA114" i="2"/>
  <c r="F114" i="2"/>
  <c r="AK310" i="2"/>
  <c r="BL293" i="2"/>
  <c r="BR278" i="2"/>
  <c r="AJ270" i="2"/>
  <c r="H263" i="2"/>
  <c r="Y259" i="2"/>
  <c r="AI257" i="2"/>
  <c r="F256" i="2"/>
  <c r="CD254" i="2"/>
  <c r="BR253" i="2"/>
  <c r="BA252" i="2"/>
  <c r="H251" i="2"/>
  <c r="BT249" i="2"/>
  <c r="BB248" i="2"/>
  <c r="AH247" i="2"/>
  <c r="J246" i="2"/>
  <c r="BN244" i="2"/>
  <c r="BB243" i="2"/>
  <c r="AL242" i="2"/>
  <c r="AF241" i="2"/>
  <c r="Z240" i="2"/>
  <c r="Q239" i="2"/>
  <c r="H238" i="2"/>
  <c r="C237" i="2"/>
  <c r="CF235" i="2"/>
  <c r="BV234" i="2"/>
  <c r="BD233" i="2"/>
  <c r="Y232" i="2"/>
  <c r="CL230" i="2"/>
  <c r="BV229" i="2"/>
  <c r="BA228" i="2"/>
  <c r="AF227" i="2"/>
  <c r="P226" i="2"/>
  <c r="BZ224" i="2"/>
  <c r="DB223" i="2"/>
  <c r="I223" i="2"/>
  <c r="F222" i="2"/>
  <c r="D221" i="2"/>
  <c r="BG220" i="2"/>
  <c r="I220" i="2"/>
  <c r="AJ219" i="2"/>
  <c r="BX218" i="2"/>
  <c r="Z218" i="2"/>
  <c r="BP217" i="2"/>
  <c r="N217" i="2"/>
  <c r="BG216" i="2"/>
  <c r="D216" i="2"/>
  <c r="BL215" i="2"/>
  <c r="AC215" i="2"/>
  <c r="C215" i="2"/>
  <c r="BG214" i="2"/>
  <c r="AF214" i="2"/>
  <c r="K214" i="2"/>
  <c r="BS213" i="2"/>
  <c r="BE213" i="2"/>
  <c r="AH213" i="2"/>
  <c r="V213" i="2"/>
  <c r="BX212" i="2"/>
  <c r="BK212" i="2"/>
  <c r="AR212" i="2"/>
  <c r="AA212" i="2"/>
  <c r="D212" i="2"/>
  <c r="BP211" i="2"/>
  <c r="BB211" i="2"/>
  <c r="AF211" i="2"/>
  <c r="N211" i="2"/>
  <c r="BV210" i="2"/>
  <c r="BH210" i="2"/>
  <c r="AK210" i="2"/>
  <c r="Y210" i="2"/>
  <c r="B210" i="2"/>
  <c r="BN209" i="2"/>
  <c r="AZ209" i="2"/>
  <c r="AD209" i="2"/>
  <c r="G209" i="2"/>
  <c r="BS208" i="2"/>
  <c r="BE208" i="2"/>
  <c r="AH208" i="2"/>
  <c r="V208" i="2"/>
  <c r="C208" i="2"/>
  <c r="BN207" i="2"/>
  <c r="AZ207" i="2"/>
  <c r="AD207" i="2"/>
  <c r="G207" i="2"/>
  <c r="BS206" i="2"/>
  <c r="BE206" i="2"/>
  <c r="AH206" i="2"/>
  <c r="V206" i="2"/>
  <c r="B206" i="2"/>
  <c r="BM205" i="2"/>
  <c r="AY205" i="2"/>
  <c r="AC205" i="2"/>
  <c r="F205" i="2"/>
  <c r="BR204" i="2"/>
  <c r="BD204" i="2"/>
  <c r="AG204" i="2"/>
  <c r="U204" i="2"/>
  <c r="BW203" i="2"/>
  <c r="BH203" i="2"/>
  <c r="AK203" i="2"/>
  <c r="Y203" i="2"/>
  <c r="B203" i="2"/>
  <c r="BM202" i="2"/>
  <c r="AY202" i="2"/>
  <c r="AC202" i="2"/>
  <c r="K202" i="2"/>
  <c r="BX201" i="2"/>
  <c r="BJ201" i="2"/>
  <c r="AL201" i="2"/>
  <c r="Z201" i="2"/>
  <c r="C201" i="2"/>
  <c r="BN200" i="2"/>
  <c r="AZ200" i="2"/>
  <c r="AD200" i="2"/>
  <c r="G200" i="2"/>
  <c r="BS199" i="2"/>
  <c r="BE199" i="2"/>
  <c r="AH199" i="2"/>
  <c r="V199" i="2"/>
  <c r="BX198" i="2"/>
  <c r="BJ198" i="2"/>
  <c r="AL198" i="2"/>
  <c r="Z198" i="2"/>
  <c r="I198" i="2"/>
  <c r="BV197" i="2"/>
  <c r="BG197" i="2"/>
  <c r="AJ197" i="2"/>
  <c r="X197" i="2"/>
  <c r="BZ196" i="2"/>
  <c r="BL196" i="2"/>
  <c r="AX196" i="2"/>
  <c r="AB196" i="2"/>
  <c r="E196" i="2"/>
  <c r="BQ195" i="2"/>
  <c r="BB195" i="2"/>
  <c r="AF195" i="2"/>
  <c r="P195" i="2"/>
  <c r="B195" i="2"/>
  <c r="BM194" i="2"/>
  <c r="AY194" i="2"/>
  <c r="AC194" i="2"/>
  <c r="K194" i="2"/>
  <c r="BX193" i="2"/>
  <c r="BJ193" i="2"/>
  <c r="AL193" i="2"/>
  <c r="Z193" i="2"/>
  <c r="H193" i="2"/>
  <c r="BT192" i="2"/>
  <c r="BF192" i="2"/>
  <c r="AI192" i="2"/>
  <c r="W192" i="2"/>
  <c r="BY191" i="2"/>
  <c r="BK191" i="2"/>
  <c r="AR191" i="2"/>
  <c r="AA191" i="2"/>
  <c r="D191" i="2"/>
  <c r="BP190" i="2"/>
  <c r="BA190" i="2"/>
  <c r="AE190" i="2"/>
  <c r="H190" i="2"/>
  <c r="BT189" i="2"/>
  <c r="BF189" i="2"/>
  <c r="AI189" i="2"/>
  <c r="W189" i="2"/>
  <c r="BY188" i="2"/>
  <c r="BK188" i="2"/>
  <c r="AR188" i="2"/>
  <c r="AA188" i="2"/>
  <c r="J188" i="2"/>
  <c r="BW187" i="2"/>
  <c r="BH187" i="2"/>
  <c r="AK187" i="2"/>
  <c r="Y187" i="2"/>
  <c r="H187" i="2"/>
  <c r="BT186" i="2"/>
  <c r="BF186" i="2"/>
  <c r="AI186" i="2"/>
  <c r="W186" i="2"/>
  <c r="F186" i="2"/>
  <c r="BR185" i="2"/>
  <c r="BD185" i="2"/>
  <c r="AG185" i="2"/>
  <c r="U185" i="2"/>
  <c r="B185" i="2"/>
  <c r="BM184" i="2"/>
  <c r="AY184" i="2"/>
  <c r="AC184" i="2"/>
  <c r="J184" i="2"/>
  <c r="BW183" i="2"/>
  <c r="BH183" i="2"/>
  <c r="AK183" i="2"/>
  <c r="Y183" i="2"/>
  <c r="F183" i="2"/>
  <c r="BR182" i="2"/>
  <c r="BD182" i="2"/>
  <c r="AG182" i="2"/>
  <c r="U182" i="2"/>
  <c r="B182" i="2"/>
  <c r="BM181" i="2"/>
  <c r="AZ181" i="2"/>
  <c r="AD181" i="2"/>
  <c r="G181" i="2"/>
  <c r="BS180" i="2"/>
  <c r="BE180" i="2"/>
  <c r="AI180" i="2"/>
  <c r="W180" i="2"/>
  <c r="BY179" i="2"/>
  <c r="BK179" i="2"/>
  <c r="AR179" i="2"/>
  <c r="AA179" i="2"/>
  <c r="H179" i="2"/>
  <c r="BT178" i="2"/>
  <c r="BF178" i="2"/>
  <c r="AI178" i="2"/>
  <c r="W178" i="2"/>
  <c r="D178" i="2"/>
  <c r="BP177" i="2"/>
  <c r="BA177" i="2"/>
  <c r="AE177" i="2"/>
  <c r="P177" i="2"/>
  <c r="BY176" i="2"/>
  <c r="BK176" i="2"/>
  <c r="AR176" i="2"/>
  <c r="AA176" i="2"/>
  <c r="H176" i="2"/>
  <c r="BT175" i="2"/>
  <c r="BF175" i="2"/>
  <c r="AI175" i="2"/>
  <c r="W175" i="2"/>
  <c r="D175" i="2"/>
  <c r="BP174" i="2"/>
  <c r="BA174" i="2"/>
  <c r="AE174" i="2"/>
  <c r="P174" i="2"/>
  <c r="BY173" i="2"/>
  <c r="BK173" i="2"/>
  <c r="AX173" i="2"/>
  <c r="AB173" i="2"/>
  <c r="E173" i="2"/>
  <c r="BQ172" i="2"/>
  <c r="BB172" i="2"/>
  <c r="AF172" i="2"/>
  <c r="Q172" i="2"/>
  <c r="BZ171" i="2"/>
  <c r="BL171" i="2"/>
  <c r="AX171" i="2"/>
  <c r="AB171" i="2"/>
  <c r="I171" i="2"/>
  <c r="BV170" i="2"/>
  <c r="BG170" i="2"/>
  <c r="AK170" i="2"/>
  <c r="Y170" i="2"/>
  <c r="B170" i="2"/>
  <c r="BM169" i="2"/>
  <c r="AY169" i="2"/>
  <c r="AC169" i="2"/>
  <c r="J169" i="2"/>
  <c r="BW168" i="2"/>
  <c r="BH168" i="2"/>
  <c r="AL168" i="2"/>
  <c r="Z168" i="2"/>
  <c r="C168" i="2"/>
  <c r="BN167" i="2"/>
  <c r="AZ167" i="2"/>
  <c r="AD167" i="2"/>
  <c r="N167" i="2"/>
  <c r="BX166" i="2"/>
  <c r="BJ166" i="2"/>
  <c r="AL166" i="2"/>
  <c r="Z166" i="2"/>
  <c r="H166" i="2"/>
  <c r="BT165" i="2"/>
  <c r="BF165" i="2"/>
  <c r="AI165" i="2"/>
  <c r="W165" i="2"/>
  <c r="BY164" i="2"/>
  <c r="BK164" i="2"/>
  <c r="AR164" i="2"/>
  <c r="AA164" i="2"/>
  <c r="D164" i="2"/>
  <c r="BP163" i="2"/>
  <c r="BA163" i="2"/>
  <c r="AE163" i="2"/>
  <c r="H163" i="2"/>
  <c r="BT162" i="2"/>
  <c r="BF162" i="2"/>
  <c r="AI162" i="2"/>
  <c r="W162" i="2"/>
  <c r="BY161" i="2"/>
  <c r="BK161" i="2"/>
  <c r="AR161" i="2"/>
  <c r="AA161" i="2"/>
  <c r="D161" i="2"/>
  <c r="BP160" i="2"/>
  <c r="BA160" i="2"/>
  <c r="AE160" i="2"/>
  <c r="H160" i="2"/>
  <c r="BT159" i="2"/>
  <c r="BF159" i="2"/>
  <c r="AI159" i="2"/>
  <c r="W159" i="2"/>
  <c r="BY158" i="2"/>
  <c r="BK158" i="2"/>
  <c r="AR158" i="2"/>
  <c r="AA158" i="2"/>
  <c r="D158" i="2"/>
  <c r="BP157" i="2"/>
  <c r="BA157" i="2"/>
  <c r="AE157" i="2"/>
  <c r="H157" i="2"/>
  <c r="BT156" i="2"/>
  <c r="BF156" i="2"/>
  <c r="AI156" i="2"/>
  <c r="W156" i="2"/>
  <c r="BY155" i="2"/>
  <c r="BK155" i="2"/>
  <c r="AR155" i="2"/>
  <c r="AA155" i="2"/>
  <c r="D155" i="2"/>
  <c r="BP154" i="2"/>
  <c r="BA154" i="2"/>
  <c r="AE154" i="2"/>
  <c r="H154" i="2"/>
  <c r="BT153" i="2"/>
  <c r="BF153" i="2"/>
  <c r="AI153" i="2"/>
  <c r="W153" i="2"/>
  <c r="BY152" i="2"/>
  <c r="BK152" i="2"/>
  <c r="AR152" i="2"/>
  <c r="AA152" i="2"/>
  <c r="D152" i="2"/>
  <c r="BP151" i="2"/>
  <c r="BA151" i="2"/>
  <c r="AO151" i="2"/>
  <c r="AC151" i="2"/>
  <c r="F151" i="2"/>
  <c r="BR150" i="2"/>
  <c r="BD150" i="2"/>
  <c r="AQ150" i="2"/>
  <c r="AE150" i="2"/>
  <c r="H150" i="2"/>
  <c r="BT149" i="2"/>
  <c r="BF149" i="2"/>
  <c r="AS149" i="2"/>
  <c r="AB149" i="2"/>
  <c r="E149" i="2"/>
  <c r="BQ148" i="2"/>
  <c r="BB148" i="2"/>
  <c r="AK148" i="2"/>
  <c r="Y148" i="2"/>
  <c r="B148" i="2"/>
  <c r="BM147" i="2"/>
  <c r="AY147" i="2"/>
  <c r="AC147" i="2"/>
  <c r="F147" i="2"/>
  <c r="BR146" i="2"/>
  <c r="BD146" i="2"/>
  <c r="AG146" i="2"/>
  <c r="U146" i="2"/>
  <c r="BY145" i="2"/>
  <c r="BK145" i="2"/>
  <c r="AR145" i="2"/>
  <c r="AA145" i="2"/>
  <c r="F145" i="2"/>
  <c r="BR144" i="2"/>
  <c r="BD144" i="2"/>
  <c r="AG144" i="2"/>
  <c r="U144" i="2"/>
  <c r="BW143" i="2"/>
  <c r="BH143" i="2"/>
  <c r="AK143" i="2"/>
  <c r="Y143" i="2"/>
  <c r="B143" i="2"/>
  <c r="BM142" i="2"/>
  <c r="AY142" i="2"/>
  <c r="AC142" i="2"/>
  <c r="F142" i="2"/>
  <c r="BR141" i="2"/>
  <c r="BD141" i="2"/>
  <c r="AG141" i="2"/>
  <c r="U141" i="2"/>
  <c r="BW140" i="2"/>
  <c r="BH140" i="2"/>
  <c r="AK140" i="2"/>
  <c r="Y140" i="2"/>
  <c r="B140" i="2"/>
  <c r="BM139" i="2"/>
  <c r="AY139" i="2"/>
  <c r="AC139" i="2"/>
  <c r="F139" i="2"/>
  <c r="BR138" i="2"/>
  <c r="BD138" i="2"/>
  <c r="AG138" i="2"/>
  <c r="U138" i="2"/>
  <c r="BW137" i="2"/>
  <c r="BH137" i="2"/>
  <c r="AK137" i="2"/>
  <c r="Y137" i="2"/>
  <c r="B137" i="2"/>
  <c r="BM136" i="2"/>
  <c r="AY136" i="2"/>
  <c r="AC136" i="2"/>
  <c r="F136" i="2"/>
  <c r="BR135" i="2"/>
  <c r="BD135" i="2"/>
  <c r="AG135" i="2"/>
  <c r="U135" i="2"/>
  <c r="BY134" i="2"/>
  <c r="BK134" i="2"/>
  <c r="AR134" i="2"/>
  <c r="AA134" i="2"/>
  <c r="F134" i="2"/>
  <c r="BR133" i="2"/>
  <c r="BD133" i="2"/>
  <c r="AG133" i="2"/>
  <c r="U133" i="2"/>
  <c r="BY132" i="2"/>
  <c r="BK132" i="2"/>
  <c r="AR132" i="2"/>
  <c r="AA132" i="2"/>
  <c r="F132" i="2"/>
  <c r="BR131" i="2"/>
  <c r="BD131" i="2"/>
  <c r="AG131" i="2"/>
  <c r="U131" i="2"/>
  <c r="BX130" i="2"/>
  <c r="BJ130" i="2"/>
  <c r="AL130" i="2"/>
  <c r="Z130" i="2"/>
  <c r="H130" i="2"/>
  <c r="BT129" i="2"/>
  <c r="BF129" i="2"/>
  <c r="AI129" i="2"/>
  <c r="W129" i="2"/>
  <c r="B129" i="2"/>
  <c r="BZ128" i="2"/>
  <c r="BL128" i="2"/>
  <c r="AX128" i="2"/>
  <c r="AB128" i="2"/>
  <c r="I128" i="2"/>
  <c r="BV127" i="2"/>
  <c r="BG127" i="2"/>
  <c r="AJ127" i="2"/>
  <c r="X127" i="2"/>
  <c r="C127" i="2"/>
  <c r="BN126" i="2"/>
  <c r="B308" i="2"/>
  <c r="W291" i="2"/>
  <c r="AY277" i="2"/>
  <c r="X269" i="2"/>
  <c r="AK262" i="2"/>
  <c r="BV258" i="2"/>
  <c r="V257" i="2"/>
  <c r="CM255" i="2"/>
  <c r="BQ254" i="2"/>
  <c r="BE253" i="2"/>
  <c r="AF252" i="2"/>
  <c r="BV250" i="2"/>
  <c r="BG249" i="2"/>
  <c r="AG248" i="2"/>
  <c r="W247" i="2"/>
  <c r="BX245" i="2"/>
  <c r="BA244" i="2"/>
  <c r="AG243" i="2"/>
  <c r="Z242" i="2"/>
  <c r="U241" i="2"/>
  <c r="H240" i="2"/>
  <c r="B239" i="2"/>
  <c r="CH237" i="2"/>
  <c r="CB236" i="2"/>
  <c r="BS235" i="2"/>
  <c r="BH234" i="2"/>
  <c r="AH233" i="2"/>
  <c r="C232" i="2"/>
  <c r="BQ230" i="2"/>
  <c r="BH229" i="2"/>
  <c r="AF228" i="2"/>
  <c r="U227" i="2"/>
  <c r="BZ225" i="2"/>
  <c r="BO224" i="2"/>
  <c r="CQ223" i="2"/>
  <c r="CP222" i="2"/>
  <c r="CM221" i="2"/>
  <c r="B221" i="2"/>
  <c r="BE220" i="2"/>
  <c r="G220" i="2"/>
  <c r="AH219" i="2"/>
  <c r="BV218" i="2"/>
  <c r="X218" i="2"/>
  <c r="BM217" i="2"/>
  <c r="I217" i="2"/>
  <c r="BE216" i="2"/>
  <c r="B216" i="2"/>
  <c r="BK215" i="2"/>
  <c r="AB215" i="2"/>
  <c r="B215" i="2"/>
  <c r="BF214" i="2"/>
  <c r="AD214" i="2"/>
  <c r="J214" i="2"/>
  <c r="BR213" i="2"/>
  <c r="BD213" i="2"/>
  <c r="AG213" i="2"/>
  <c r="U213" i="2"/>
  <c r="BW212" i="2"/>
  <c r="BJ212" i="2"/>
  <c r="AL212" i="2"/>
  <c r="Z212" i="2"/>
  <c r="C212" i="2"/>
  <c r="BO211" i="2"/>
  <c r="BA211" i="2"/>
  <c r="AE211" i="2"/>
  <c r="H211" i="2"/>
  <c r="BT210" i="2"/>
  <c r="BG210" i="2"/>
  <c r="AJ210" i="2"/>
  <c r="X210" i="2"/>
  <c r="BZ209" i="2"/>
  <c r="BM209" i="2"/>
  <c r="AY209" i="2"/>
  <c r="AC209" i="2"/>
  <c r="F209" i="2"/>
  <c r="BR208" i="2"/>
  <c r="BD208" i="2"/>
  <c r="AG208" i="2"/>
  <c r="U208" i="2"/>
  <c r="B208" i="2"/>
  <c r="BM207" i="2"/>
  <c r="AY207" i="2"/>
  <c r="AC207" i="2"/>
  <c r="F207" i="2"/>
  <c r="BR206" i="2"/>
  <c r="BD206" i="2"/>
  <c r="AG206" i="2"/>
  <c r="U206" i="2"/>
  <c r="BZ205" i="2"/>
  <c r="BL205" i="2"/>
  <c r="AX205" i="2"/>
  <c r="AB205" i="2"/>
  <c r="E205" i="2"/>
  <c r="BQ204" i="2"/>
  <c r="BB204" i="2"/>
  <c r="AF204" i="2"/>
  <c r="N204" i="2"/>
  <c r="BV203" i="2"/>
  <c r="BG203" i="2"/>
  <c r="AJ203" i="2"/>
  <c r="X203" i="2"/>
  <c r="BZ202" i="2"/>
  <c r="BL202" i="2"/>
  <c r="AX202" i="2"/>
  <c r="AB202" i="2"/>
  <c r="J202" i="2"/>
  <c r="BW201" i="2"/>
  <c r="BH201" i="2"/>
  <c r="AK201" i="2"/>
  <c r="Y201" i="2"/>
  <c r="B201" i="2"/>
  <c r="BM200" i="2"/>
  <c r="AY200" i="2"/>
  <c r="AC200" i="2"/>
  <c r="F200" i="2"/>
  <c r="BR199" i="2"/>
  <c r="BD199" i="2"/>
  <c r="AG199" i="2"/>
  <c r="U199" i="2"/>
  <c r="BW198" i="2"/>
  <c r="BH198" i="2"/>
  <c r="AK198" i="2"/>
  <c r="Y198" i="2"/>
  <c r="H198" i="2"/>
  <c r="BT197" i="2"/>
  <c r="BF197" i="2"/>
  <c r="AI197" i="2"/>
  <c r="W197" i="2"/>
  <c r="BY196" i="2"/>
  <c r="BK196" i="2"/>
  <c r="AR196" i="2"/>
  <c r="AA196" i="2"/>
  <c r="D196" i="2"/>
  <c r="BP195" i="2"/>
  <c r="BA195" i="2"/>
  <c r="AE195" i="2"/>
  <c r="N195" i="2"/>
  <c r="BZ194" i="2"/>
  <c r="BL194" i="2"/>
  <c r="AX194" i="2"/>
  <c r="AB194" i="2"/>
  <c r="J194" i="2"/>
  <c r="BW193" i="2"/>
  <c r="BH193" i="2"/>
  <c r="AK193" i="2"/>
  <c r="Y193" i="2"/>
  <c r="G193" i="2"/>
  <c r="BS192" i="2"/>
  <c r="BE192" i="2"/>
  <c r="AH192" i="2"/>
  <c r="V192" i="2"/>
  <c r="BX191" i="2"/>
  <c r="BJ191" i="2"/>
  <c r="AL191" i="2"/>
  <c r="Z191" i="2"/>
  <c r="C191" i="2"/>
  <c r="BN190" i="2"/>
  <c r="AZ190" i="2"/>
  <c r="AD190" i="2"/>
  <c r="G190" i="2"/>
  <c r="BS189" i="2"/>
  <c r="BE189" i="2"/>
  <c r="AH189" i="2"/>
  <c r="V189" i="2"/>
  <c r="BX188" i="2"/>
  <c r="BJ188" i="2"/>
  <c r="AL188" i="2"/>
  <c r="Z188" i="2"/>
  <c r="I188" i="2"/>
  <c r="BV187" i="2"/>
  <c r="BG187" i="2"/>
  <c r="AJ187" i="2"/>
  <c r="X187" i="2"/>
  <c r="G187" i="2"/>
  <c r="BS186" i="2"/>
  <c r="BE186" i="2"/>
  <c r="AH186" i="2"/>
  <c r="V186" i="2"/>
  <c r="E186" i="2"/>
  <c r="BQ185" i="2"/>
  <c r="BB185" i="2"/>
  <c r="AF185" i="2"/>
  <c r="Q185" i="2"/>
  <c r="BZ184" i="2"/>
  <c r="BL184" i="2"/>
  <c r="AX184" i="2"/>
  <c r="AB184" i="2"/>
  <c r="I184" i="2"/>
  <c r="BV183" i="2"/>
  <c r="BG183" i="2"/>
  <c r="AJ183" i="2"/>
  <c r="X183" i="2"/>
  <c r="E183" i="2"/>
  <c r="BQ182" i="2"/>
  <c r="BB182" i="2"/>
  <c r="AF182" i="2"/>
  <c r="Q182" i="2"/>
  <c r="BZ181" i="2"/>
  <c r="BL181" i="2"/>
  <c r="AY181" i="2"/>
  <c r="AC181" i="2"/>
  <c r="F181" i="2"/>
  <c r="BR180" i="2"/>
  <c r="BD180" i="2"/>
  <c r="AH180" i="2"/>
  <c r="V180" i="2"/>
  <c r="BX179" i="2"/>
  <c r="BJ179" i="2"/>
  <c r="AL179" i="2"/>
  <c r="Z179" i="2"/>
  <c r="G179" i="2"/>
  <c r="BS178" i="2"/>
  <c r="BE178" i="2"/>
  <c r="AH178" i="2"/>
  <c r="V178" i="2"/>
  <c r="C178" i="2"/>
  <c r="BN177" i="2"/>
  <c r="AZ177" i="2"/>
  <c r="AD177" i="2"/>
  <c r="N177" i="2"/>
  <c r="BX176" i="2"/>
  <c r="BJ176" i="2"/>
  <c r="AL176" i="2"/>
  <c r="Z176" i="2"/>
  <c r="G176" i="2"/>
  <c r="BS175" i="2"/>
  <c r="BE175" i="2"/>
  <c r="AH175" i="2"/>
  <c r="V175" i="2"/>
  <c r="C175" i="2"/>
  <c r="BN174" i="2"/>
  <c r="AZ174" i="2"/>
  <c r="AD174" i="2"/>
  <c r="N174" i="2"/>
  <c r="BX173" i="2"/>
  <c r="BJ173" i="2"/>
  <c r="AR173" i="2"/>
  <c r="AA173" i="2"/>
  <c r="D173" i="2"/>
  <c r="BP172" i="2"/>
  <c r="BA172" i="2"/>
  <c r="AE172" i="2"/>
  <c r="P172" i="2"/>
  <c r="BY171" i="2"/>
  <c r="BK171" i="2"/>
  <c r="AR171" i="2"/>
  <c r="AA171" i="2"/>
  <c r="H171" i="2"/>
  <c r="BT170" i="2"/>
  <c r="BF170" i="2"/>
  <c r="AJ170" i="2"/>
  <c r="X170" i="2"/>
  <c r="BZ169" i="2"/>
  <c r="BL169" i="2"/>
  <c r="AX169" i="2"/>
  <c r="AB169" i="2"/>
  <c r="I169" i="2"/>
  <c r="BV168" i="2"/>
  <c r="BG168" i="2"/>
  <c r="AK168" i="2"/>
  <c r="Y168" i="2"/>
  <c r="B168" i="2"/>
  <c r="BM167" i="2"/>
  <c r="AY167" i="2"/>
  <c r="AC167" i="2"/>
  <c r="J167" i="2"/>
  <c r="BW166" i="2"/>
  <c r="BH166" i="2"/>
  <c r="AK166" i="2"/>
  <c r="Y166" i="2"/>
  <c r="G166" i="2"/>
  <c r="BS165" i="2"/>
  <c r="BE165" i="2"/>
  <c r="AH165" i="2"/>
  <c r="V165" i="2"/>
  <c r="BX164" i="2"/>
  <c r="BJ164" i="2"/>
  <c r="AL164" i="2"/>
  <c r="Z164" i="2"/>
  <c r="C164" i="2"/>
  <c r="BN163" i="2"/>
  <c r="AZ163" i="2"/>
  <c r="AD163" i="2"/>
  <c r="G163" i="2"/>
  <c r="BS162" i="2"/>
  <c r="BE162" i="2"/>
  <c r="AH162" i="2"/>
  <c r="V162" i="2"/>
  <c r="BX161" i="2"/>
  <c r="BJ161" i="2"/>
  <c r="AL161" i="2"/>
  <c r="Z161" i="2"/>
  <c r="C161" i="2"/>
  <c r="BN160" i="2"/>
  <c r="AZ160" i="2"/>
  <c r="AD160" i="2"/>
  <c r="G160" i="2"/>
  <c r="BS159" i="2"/>
  <c r="BE159" i="2"/>
  <c r="AH159" i="2"/>
  <c r="V159" i="2"/>
  <c r="BX158" i="2"/>
  <c r="BJ158" i="2"/>
  <c r="AL158" i="2"/>
  <c r="Z158" i="2"/>
  <c r="C158" i="2"/>
  <c r="BN157" i="2"/>
  <c r="AZ157" i="2"/>
  <c r="AD157" i="2"/>
  <c r="G157" i="2"/>
  <c r="BS156" i="2"/>
  <c r="BE156" i="2"/>
  <c r="AH156" i="2"/>
  <c r="V156" i="2"/>
  <c r="BX155" i="2"/>
  <c r="BJ155" i="2"/>
  <c r="AL155" i="2"/>
  <c r="Z155" i="2"/>
  <c r="C155" i="2"/>
  <c r="BN154" i="2"/>
  <c r="AZ154" i="2"/>
  <c r="AD154" i="2"/>
  <c r="G154" i="2"/>
  <c r="BS153" i="2"/>
  <c r="BE153" i="2"/>
  <c r="AH153" i="2"/>
  <c r="V153" i="2"/>
  <c r="BX152" i="2"/>
  <c r="BJ152" i="2"/>
  <c r="AL152" i="2"/>
  <c r="Z152" i="2"/>
  <c r="C152" i="2"/>
  <c r="BN151" i="2"/>
  <c r="AZ151" i="2"/>
  <c r="AN151" i="2"/>
  <c r="AB151" i="2"/>
  <c r="E151" i="2"/>
  <c r="BQ150" i="2"/>
  <c r="BB150" i="2"/>
  <c r="AP150" i="2"/>
  <c r="AD150" i="2"/>
  <c r="G150" i="2"/>
  <c r="BS149" i="2"/>
  <c r="BE149" i="2"/>
  <c r="AR149" i="2"/>
  <c r="AA149" i="2"/>
  <c r="D149" i="2"/>
  <c r="BP148" i="2"/>
  <c r="BA148" i="2"/>
  <c r="AJ148" i="2"/>
  <c r="X148" i="2"/>
  <c r="BZ147" i="2"/>
  <c r="BL147" i="2"/>
  <c r="AX147" i="2"/>
  <c r="AB147" i="2"/>
  <c r="E147" i="2"/>
  <c r="BQ146" i="2"/>
  <c r="BB146" i="2"/>
  <c r="AF146" i="2"/>
  <c r="N146" i="2"/>
  <c r="BX145" i="2"/>
  <c r="BJ145" i="2"/>
  <c r="AL145" i="2"/>
  <c r="Z145" i="2"/>
  <c r="E145" i="2"/>
  <c r="BQ144" i="2"/>
  <c r="BB144" i="2"/>
  <c r="AF144" i="2"/>
  <c r="N144" i="2"/>
  <c r="BV143" i="2"/>
  <c r="BG143" i="2"/>
  <c r="AJ143" i="2"/>
  <c r="X143" i="2"/>
  <c r="BZ142" i="2"/>
  <c r="BL142" i="2"/>
  <c r="AX142" i="2"/>
  <c r="AB142" i="2"/>
  <c r="E142" i="2"/>
  <c r="BQ141" i="2"/>
  <c r="BB141" i="2"/>
  <c r="AF141" i="2"/>
  <c r="N141" i="2"/>
  <c r="BV140" i="2"/>
  <c r="BG140" i="2"/>
  <c r="AJ140" i="2"/>
  <c r="X140" i="2"/>
  <c r="BZ139" i="2"/>
  <c r="BL139" i="2"/>
  <c r="AX139" i="2"/>
  <c r="AB139" i="2"/>
  <c r="E139" i="2"/>
  <c r="BQ138" i="2"/>
  <c r="BB138" i="2"/>
  <c r="AF138" i="2"/>
  <c r="N138" i="2"/>
  <c r="BV137" i="2"/>
  <c r="BG137" i="2"/>
  <c r="AJ137" i="2"/>
  <c r="X137" i="2"/>
  <c r="BZ136" i="2"/>
  <c r="BL136" i="2"/>
  <c r="AX136" i="2"/>
  <c r="AB136" i="2"/>
  <c r="E136" i="2"/>
  <c r="BQ135" i="2"/>
  <c r="BB135" i="2"/>
  <c r="AF135" i="2"/>
  <c r="N135" i="2"/>
  <c r="BX134" i="2"/>
  <c r="BJ134" i="2"/>
  <c r="AL134" i="2"/>
  <c r="Z134" i="2"/>
  <c r="E134" i="2"/>
  <c r="BQ133" i="2"/>
  <c r="BB133" i="2"/>
  <c r="AF133" i="2"/>
  <c r="N133" i="2"/>
  <c r="BX132" i="2"/>
  <c r="BJ132" i="2"/>
  <c r="AL132" i="2"/>
  <c r="Z132" i="2"/>
  <c r="E132" i="2"/>
  <c r="BQ131" i="2"/>
  <c r="BB131" i="2"/>
  <c r="AF131" i="2"/>
  <c r="N131" i="2"/>
  <c r="BW130" i="2"/>
  <c r="BH130" i="2"/>
  <c r="AK130" i="2"/>
  <c r="Y130" i="2"/>
  <c r="G130" i="2"/>
  <c r="BS129" i="2"/>
  <c r="BE129" i="2"/>
  <c r="AH129" i="2"/>
  <c r="V129" i="2"/>
  <c r="CL128" i="2"/>
  <c r="BY128" i="2"/>
  <c r="BK128" i="2"/>
  <c r="AR128" i="2"/>
  <c r="AA128" i="2"/>
  <c r="H128" i="2"/>
  <c r="BT127" i="2"/>
  <c r="BF127" i="2"/>
  <c r="AI127" i="2"/>
  <c r="W127" i="2"/>
  <c r="B127" i="2"/>
  <c r="BM126" i="2"/>
  <c r="AY126" i="2"/>
  <c r="AC126" i="2"/>
  <c r="H126" i="2"/>
  <c r="BT125" i="2"/>
  <c r="BF125" i="2"/>
  <c r="AI125" i="2"/>
  <c r="W125" i="2"/>
  <c r="B125" i="2"/>
  <c r="BM124" i="2"/>
  <c r="AY124" i="2"/>
  <c r="AC124" i="2"/>
  <c r="H124" i="2"/>
  <c r="BT123" i="2"/>
  <c r="BF123" i="2"/>
  <c r="AI123" i="2"/>
  <c r="W123" i="2"/>
  <c r="B123" i="2"/>
  <c r="BM122" i="2"/>
  <c r="AY122" i="2"/>
  <c r="AC122" i="2"/>
  <c r="H122" i="2"/>
  <c r="CN121" i="2"/>
  <c r="BN121" i="2"/>
  <c r="AZ121" i="2"/>
  <c r="AN121" i="2"/>
  <c r="AB121" i="2"/>
  <c r="H121" i="2"/>
  <c r="CN120" i="2"/>
  <c r="BN120" i="2"/>
  <c r="AZ120" i="2"/>
  <c r="AD120" i="2"/>
  <c r="BM307" i="2"/>
  <c r="D291" i="2"/>
  <c r="AH277" i="2"/>
  <c r="I269" i="2"/>
  <c r="AI262" i="2"/>
  <c r="BS258" i="2"/>
  <c r="U257" i="2"/>
  <c r="BZ255" i="2"/>
  <c r="BP254" i="2"/>
  <c r="BD253" i="2"/>
  <c r="AC252" i="2"/>
  <c r="BT250" i="2"/>
  <c r="BF249" i="2"/>
  <c r="AF248" i="2"/>
  <c r="V247" i="2"/>
  <c r="BW245" i="2"/>
  <c r="AZ244" i="2"/>
  <c r="AF243" i="2"/>
  <c r="Y242" i="2"/>
  <c r="R241" i="2"/>
  <c r="G240" i="2"/>
  <c r="CL238" i="2"/>
  <c r="CG237" i="2"/>
  <c r="BZ236" i="2"/>
  <c r="BR235" i="2"/>
  <c r="BG234" i="2"/>
  <c r="AG233" i="2"/>
  <c r="B232" i="2"/>
  <c r="BP230" i="2"/>
  <c r="BG229" i="2"/>
  <c r="AC228" i="2"/>
  <c r="R227" i="2"/>
  <c r="BY225" i="2"/>
  <c r="BN224" i="2"/>
  <c r="CP223" i="2"/>
  <c r="CO222" i="2"/>
  <c r="CL221" i="2"/>
  <c r="CW220" i="2"/>
  <c r="AZ220" i="2"/>
  <c r="C220" i="2"/>
  <c r="AD219" i="2"/>
  <c r="BQ218" i="2"/>
  <c r="P218" i="2"/>
  <c r="BH217" i="2"/>
  <c r="E217" i="2"/>
  <c r="AZ216" i="2"/>
  <c r="CI215" i="2"/>
  <c r="BF215" i="2"/>
  <c r="AA215" i="2"/>
  <c r="BZ214" i="2"/>
  <c r="BE214" i="2"/>
  <c r="AC214" i="2"/>
  <c r="H214" i="2"/>
  <c r="BQ213" i="2"/>
  <c r="BB213" i="2"/>
  <c r="AF213" i="2"/>
  <c r="N213" i="2"/>
  <c r="BV212" i="2"/>
  <c r="BH212" i="2"/>
  <c r="AK212" i="2"/>
  <c r="Y212" i="2"/>
  <c r="B212" i="2"/>
  <c r="BN211" i="2"/>
  <c r="AZ211" i="2"/>
  <c r="AD211" i="2"/>
  <c r="G211" i="2"/>
  <c r="BS210" i="2"/>
  <c r="BF210" i="2"/>
  <c r="AI210" i="2"/>
  <c r="W210" i="2"/>
  <c r="BY209" i="2"/>
  <c r="BL209" i="2"/>
  <c r="AX209" i="2"/>
  <c r="AB209" i="2"/>
  <c r="E209" i="2"/>
  <c r="BQ208" i="2"/>
  <c r="BB208" i="2"/>
  <c r="AF208" i="2"/>
  <c r="Q208" i="2"/>
  <c r="BZ207" i="2"/>
  <c r="BL207" i="2"/>
  <c r="AX207" i="2"/>
  <c r="AB207" i="2"/>
  <c r="E207" i="2"/>
  <c r="BQ206" i="2"/>
  <c r="BB206" i="2"/>
  <c r="AF206" i="2"/>
  <c r="Q206" i="2"/>
  <c r="BY205" i="2"/>
  <c r="BK205" i="2"/>
  <c r="AR205" i="2"/>
  <c r="AA205" i="2"/>
  <c r="D205" i="2"/>
  <c r="BP204" i="2"/>
  <c r="BA204" i="2"/>
  <c r="AE204" i="2"/>
  <c r="H204" i="2"/>
  <c r="BT203" i="2"/>
  <c r="BF203" i="2"/>
  <c r="AI203" i="2"/>
  <c r="W203" i="2"/>
  <c r="BY202" i="2"/>
  <c r="BK202" i="2"/>
  <c r="AR202" i="2"/>
  <c r="AA202" i="2"/>
  <c r="I202" i="2"/>
  <c r="BV201" i="2"/>
  <c r="BG201" i="2"/>
  <c r="AJ201" i="2"/>
  <c r="X201" i="2"/>
  <c r="BZ200" i="2"/>
  <c r="BL200" i="2"/>
  <c r="AX200" i="2"/>
  <c r="AB200" i="2"/>
  <c r="E200" i="2"/>
  <c r="BQ199" i="2"/>
  <c r="BB199" i="2"/>
  <c r="AF199" i="2"/>
  <c r="N199" i="2"/>
  <c r="BV198" i="2"/>
  <c r="BG198" i="2"/>
  <c r="AJ198" i="2"/>
  <c r="X198" i="2"/>
  <c r="G198" i="2"/>
  <c r="BS197" i="2"/>
  <c r="BE197" i="2"/>
  <c r="AH197" i="2"/>
  <c r="V197" i="2"/>
  <c r="BX196" i="2"/>
  <c r="BJ196" i="2"/>
  <c r="AL196" i="2"/>
  <c r="Z196" i="2"/>
  <c r="C196" i="2"/>
  <c r="BN195" i="2"/>
  <c r="AZ195" i="2"/>
  <c r="AD195" i="2"/>
  <c r="L195" i="2"/>
  <c r="BY194" i="2"/>
  <c r="BK194" i="2"/>
  <c r="AR194" i="2"/>
  <c r="AA194" i="2"/>
  <c r="I194" i="2"/>
  <c r="BV193" i="2"/>
  <c r="BG193" i="2"/>
  <c r="AJ193" i="2"/>
  <c r="X193" i="2"/>
  <c r="F193" i="2"/>
  <c r="BR192" i="2"/>
  <c r="BD192" i="2"/>
  <c r="AG192" i="2"/>
  <c r="U192" i="2"/>
  <c r="BW191" i="2"/>
  <c r="BH191" i="2"/>
  <c r="AK191" i="2"/>
  <c r="Y191" i="2"/>
  <c r="B191" i="2"/>
  <c r="BM190" i="2"/>
  <c r="AY190" i="2"/>
  <c r="AC190" i="2"/>
  <c r="F190" i="2"/>
  <c r="BR189" i="2"/>
  <c r="BD189" i="2"/>
  <c r="AG189" i="2"/>
  <c r="U189" i="2"/>
  <c r="BW188" i="2"/>
  <c r="BH188" i="2"/>
  <c r="AK188" i="2"/>
  <c r="Y188" i="2"/>
  <c r="H188" i="2"/>
  <c r="BT187" i="2"/>
  <c r="BF187" i="2"/>
  <c r="AI187" i="2"/>
  <c r="W187" i="2"/>
  <c r="F187" i="2"/>
  <c r="BR186" i="2"/>
  <c r="BD186" i="2"/>
  <c r="AG186" i="2"/>
  <c r="U186" i="2"/>
  <c r="D186" i="2"/>
  <c r="BP185" i="2"/>
  <c r="BA185" i="2"/>
  <c r="AE185" i="2"/>
  <c r="P185" i="2"/>
  <c r="BY184" i="2"/>
  <c r="BK184" i="2"/>
  <c r="AR184" i="2"/>
  <c r="AA184" i="2"/>
  <c r="H184" i="2"/>
  <c r="BT183" i="2"/>
  <c r="BF183" i="2"/>
  <c r="AI183" i="2"/>
  <c r="W183" i="2"/>
  <c r="D183" i="2"/>
  <c r="BP182" i="2"/>
  <c r="BA182" i="2"/>
  <c r="AE182" i="2"/>
  <c r="P182" i="2"/>
  <c r="BY181" i="2"/>
  <c r="BK181" i="2"/>
  <c r="AX181" i="2"/>
  <c r="AB181" i="2"/>
  <c r="E181" i="2"/>
  <c r="BQ180" i="2"/>
  <c r="BC180" i="2"/>
  <c r="AG180" i="2"/>
  <c r="U180" i="2"/>
  <c r="BW179" i="2"/>
  <c r="BH179" i="2"/>
  <c r="AK179" i="2"/>
  <c r="Y179" i="2"/>
  <c r="F179" i="2"/>
  <c r="BR178" i="2"/>
  <c r="BD178" i="2"/>
  <c r="AG178" i="2"/>
  <c r="U178" i="2"/>
  <c r="B178" i="2"/>
  <c r="BM177" i="2"/>
  <c r="AY177" i="2"/>
  <c r="AC177" i="2"/>
  <c r="J177" i="2"/>
  <c r="BW176" i="2"/>
  <c r="BH176" i="2"/>
  <c r="AK176" i="2"/>
  <c r="Y176" i="2"/>
  <c r="F176" i="2"/>
  <c r="BR175" i="2"/>
  <c r="BD175" i="2"/>
  <c r="AG175" i="2"/>
  <c r="U175" i="2"/>
  <c r="B175" i="2"/>
  <c r="BM174" i="2"/>
  <c r="AY174" i="2"/>
  <c r="AC174" i="2"/>
  <c r="J174" i="2"/>
  <c r="BW173" i="2"/>
  <c r="BH173" i="2"/>
  <c r="AL173" i="2"/>
  <c r="Z173" i="2"/>
  <c r="C173" i="2"/>
  <c r="BN172" i="2"/>
  <c r="AZ172" i="2"/>
  <c r="AD172" i="2"/>
  <c r="N172" i="2"/>
  <c r="BX171" i="2"/>
  <c r="BJ171" i="2"/>
  <c r="AL171" i="2"/>
  <c r="Z171" i="2"/>
  <c r="G171" i="2"/>
  <c r="BS170" i="2"/>
  <c r="BE170" i="2"/>
  <c r="AI170" i="2"/>
  <c r="W170" i="2"/>
  <c r="BY169" i="2"/>
  <c r="BK169" i="2"/>
  <c r="AR169" i="2"/>
  <c r="AA169" i="2"/>
  <c r="H169" i="2"/>
  <c r="BT168" i="2"/>
  <c r="BF168" i="2"/>
  <c r="AJ168" i="2"/>
  <c r="X168" i="2"/>
  <c r="BZ167" i="2"/>
  <c r="BL167" i="2"/>
  <c r="AX167" i="2"/>
  <c r="AB167" i="2"/>
  <c r="I167" i="2"/>
  <c r="BV166" i="2"/>
  <c r="BG166" i="2"/>
  <c r="AJ166" i="2"/>
  <c r="X166" i="2"/>
  <c r="F166" i="2"/>
  <c r="BR165" i="2"/>
  <c r="BD165" i="2"/>
  <c r="AG165" i="2"/>
  <c r="U165" i="2"/>
  <c r="BW164" i="2"/>
  <c r="BH164" i="2"/>
  <c r="AK164" i="2"/>
  <c r="Y164" i="2"/>
  <c r="B164" i="2"/>
  <c r="BM163" i="2"/>
  <c r="AY163" i="2"/>
  <c r="AC163" i="2"/>
  <c r="F163" i="2"/>
  <c r="BR162" i="2"/>
  <c r="BD162" i="2"/>
  <c r="AG162" i="2"/>
  <c r="U162" i="2"/>
  <c r="BW161" i="2"/>
  <c r="BH161" i="2"/>
  <c r="AK161" i="2"/>
  <c r="Y161" i="2"/>
  <c r="B161" i="2"/>
  <c r="BM160" i="2"/>
  <c r="AY160" i="2"/>
  <c r="AC160" i="2"/>
  <c r="F160" i="2"/>
  <c r="BR159" i="2"/>
  <c r="BD159" i="2"/>
  <c r="AG159" i="2"/>
  <c r="U159" i="2"/>
  <c r="BW158" i="2"/>
  <c r="BH158" i="2"/>
  <c r="AK158" i="2"/>
  <c r="Y158" i="2"/>
  <c r="B158" i="2"/>
  <c r="BM157" i="2"/>
  <c r="AY157" i="2"/>
  <c r="AC157" i="2"/>
  <c r="F157" i="2"/>
  <c r="BR156" i="2"/>
  <c r="BD156" i="2"/>
  <c r="AG156" i="2"/>
  <c r="U156" i="2"/>
  <c r="BW155" i="2"/>
  <c r="BH155" i="2"/>
  <c r="AK155" i="2"/>
  <c r="Y155" i="2"/>
  <c r="B155" i="2"/>
  <c r="BM154" i="2"/>
  <c r="AY154" i="2"/>
  <c r="AC154" i="2"/>
  <c r="F154" i="2"/>
  <c r="BR153" i="2"/>
  <c r="BD153" i="2"/>
  <c r="AG153" i="2"/>
  <c r="U153" i="2"/>
  <c r="BW152" i="2"/>
  <c r="BH152" i="2"/>
  <c r="AK152" i="2"/>
  <c r="Y152" i="2"/>
  <c r="B152" i="2"/>
  <c r="BM151" i="2"/>
  <c r="AY151" i="2"/>
  <c r="AM151" i="2"/>
  <c r="AA151" i="2"/>
  <c r="D151" i="2"/>
  <c r="BP150" i="2"/>
  <c r="BA150" i="2"/>
  <c r="AO150" i="2"/>
  <c r="AC150" i="2"/>
  <c r="F150" i="2"/>
  <c r="BR149" i="2"/>
  <c r="BD149" i="2"/>
  <c r="AL149" i="2"/>
  <c r="Z149" i="2"/>
  <c r="C149" i="2"/>
  <c r="BN148" i="2"/>
  <c r="AZ148" i="2"/>
  <c r="AI148" i="2"/>
  <c r="W148" i="2"/>
  <c r="BY147" i="2"/>
  <c r="BK147" i="2"/>
  <c r="AR147" i="2"/>
  <c r="AA147" i="2"/>
  <c r="D147" i="2"/>
  <c r="BP146" i="2"/>
  <c r="BA146" i="2"/>
  <c r="AE146" i="2"/>
  <c r="J146" i="2"/>
  <c r="BW145" i="2"/>
  <c r="BH145" i="2"/>
  <c r="AK145" i="2"/>
  <c r="Y145" i="2"/>
  <c r="D145" i="2"/>
  <c r="BP144" i="2"/>
  <c r="BA144" i="2"/>
  <c r="AE144" i="2"/>
  <c r="H144" i="2"/>
  <c r="BT143" i="2"/>
  <c r="BF143" i="2"/>
  <c r="AI143" i="2"/>
  <c r="W143" i="2"/>
  <c r="BY142" i="2"/>
  <c r="BK142" i="2"/>
  <c r="AR142" i="2"/>
  <c r="AA142" i="2"/>
  <c r="D142" i="2"/>
  <c r="BP141" i="2"/>
  <c r="BA141" i="2"/>
  <c r="AE141" i="2"/>
  <c r="H141" i="2"/>
  <c r="BT140" i="2"/>
  <c r="BF140" i="2"/>
  <c r="AI140" i="2"/>
  <c r="W140" i="2"/>
  <c r="BY139" i="2"/>
  <c r="BK139" i="2"/>
  <c r="AR139" i="2"/>
  <c r="AA139" i="2"/>
  <c r="D139" i="2"/>
  <c r="BP138" i="2"/>
  <c r="BA138" i="2"/>
  <c r="AE138" i="2"/>
  <c r="H138" i="2"/>
  <c r="BT137" i="2"/>
  <c r="BF137" i="2"/>
  <c r="AI137" i="2"/>
  <c r="W137" i="2"/>
  <c r="BY136" i="2"/>
  <c r="BK136" i="2"/>
  <c r="AR136" i="2"/>
  <c r="AA136" i="2"/>
  <c r="D136" i="2"/>
  <c r="BP135" i="2"/>
  <c r="BA135" i="2"/>
  <c r="AE135" i="2"/>
  <c r="J135" i="2"/>
  <c r="BW134" i="2"/>
  <c r="BH134" i="2"/>
  <c r="AK134" i="2"/>
  <c r="Y134" i="2"/>
  <c r="D134" i="2"/>
  <c r="BP133" i="2"/>
  <c r="BA133" i="2"/>
  <c r="AE133" i="2"/>
  <c r="J133" i="2"/>
  <c r="BW132" i="2"/>
  <c r="BH132" i="2"/>
  <c r="AK132" i="2"/>
  <c r="Y132" i="2"/>
  <c r="D132" i="2"/>
  <c r="BP131" i="2"/>
  <c r="BA131" i="2"/>
  <c r="AE131" i="2"/>
  <c r="I131" i="2"/>
  <c r="BV130" i="2"/>
  <c r="BG130" i="2"/>
  <c r="AJ130" i="2"/>
  <c r="X130" i="2"/>
  <c r="F130" i="2"/>
  <c r="BR129" i="2"/>
  <c r="BD129" i="2"/>
  <c r="AG129" i="2"/>
  <c r="U129" i="2"/>
  <c r="CK128" i="2"/>
  <c r="BX128" i="2"/>
  <c r="BJ128" i="2"/>
  <c r="AL128" i="2"/>
  <c r="Z128" i="2"/>
  <c r="G128" i="2"/>
  <c r="BS127" i="2"/>
  <c r="BE127" i="2"/>
  <c r="AH127" i="2"/>
  <c r="V127" i="2"/>
  <c r="BZ126" i="2"/>
  <c r="BL126" i="2"/>
  <c r="AX126" i="2"/>
  <c r="AB126" i="2"/>
  <c r="G126" i="2"/>
  <c r="BS125" i="2"/>
  <c r="BE125" i="2"/>
  <c r="AH125" i="2"/>
  <c r="V125" i="2"/>
  <c r="BZ124" i="2"/>
  <c r="BL124" i="2"/>
  <c r="AX124" i="2"/>
  <c r="AB124" i="2"/>
  <c r="G124" i="2"/>
  <c r="BS123" i="2"/>
  <c r="BE123" i="2"/>
  <c r="AH123" i="2"/>
  <c r="V123" i="2"/>
  <c r="BZ122" i="2"/>
  <c r="BL122" i="2"/>
  <c r="AX122" i="2"/>
  <c r="AB122" i="2"/>
  <c r="G122" i="2"/>
  <c r="CM121" i="2"/>
  <c r="BM121" i="2"/>
  <c r="AY121" i="2"/>
  <c r="AM121" i="2"/>
  <c r="AA121" i="2"/>
  <c r="G121" i="2"/>
  <c r="CM120" i="2"/>
  <c r="BM120" i="2"/>
  <c r="AY120" i="2"/>
  <c r="AC120" i="2"/>
  <c r="L120" i="2"/>
  <c r="CR119" i="2"/>
  <c r="BS119" i="2"/>
  <c r="BE119" i="2"/>
  <c r="AR119" i="2"/>
  <c r="AF119" i="2"/>
  <c r="T119" i="2"/>
  <c r="CL118" i="2"/>
  <c r="BY118" i="2"/>
  <c r="BK118" i="2"/>
  <c r="AR118" i="2"/>
  <c r="AA118" i="2"/>
  <c r="K118" i="2"/>
  <c r="CJ117" i="2"/>
  <c r="BW117" i="2"/>
  <c r="BH117" i="2"/>
  <c r="AK117" i="2"/>
  <c r="Y117" i="2"/>
  <c r="N305" i="2"/>
  <c r="CK288" i="2"/>
  <c r="D276" i="2"/>
  <c r="BX267" i="2"/>
  <c r="BK261" i="2"/>
  <c r="AY258" i="2"/>
  <c r="E257" i="2"/>
  <c r="BM255" i="2"/>
  <c r="BB254" i="2"/>
  <c r="AH253" i="2"/>
  <c r="G252" i="2"/>
  <c r="BG250" i="2"/>
  <c r="AJ249" i="2"/>
  <c r="N248" i="2"/>
  <c r="C247" i="2"/>
  <c r="BJ245" i="2"/>
  <c r="AE244" i="2"/>
  <c r="T243" i="2"/>
  <c r="G242" i="2"/>
  <c r="B241" i="2"/>
  <c r="CF239" i="2"/>
  <c r="BZ238" i="2"/>
  <c r="BT237" i="2"/>
  <c r="BM236" i="2"/>
  <c r="BE235" i="2"/>
  <c r="AK234" i="2"/>
  <c r="V233" i="2"/>
  <c r="BN231" i="2"/>
  <c r="BB230" i="2"/>
  <c r="AK229" i="2"/>
  <c r="G228" i="2"/>
  <c r="B227" i="2"/>
  <c r="BK225" i="2"/>
  <c r="BB224" i="2"/>
  <c r="BV223" i="2"/>
  <c r="BT222" i="2"/>
  <c r="BQ221" i="2"/>
  <c r="CR220" i="2"/>
  <c r="AK220" i="2"/>
  <c r="BW219" i="2"/>
  <c r="Y219" i="2"/>
  <c r="BK218" i="2"/>
  <c r="G218" i="2"/>
  <c r="BB217" i="2"/>
  <c r="CR216" i="2"/>
  <c r="AK216" i="2"/>
  <c r="CH215" i="2"/>
  <c r="BE215" i="2"/>
  <c r="Y215" i="2"/>
  <c r="BW214" i="2"/>
  <c r="BB214" i="2"/>
  <c r="AB214" i="2"/>
  <c r="G214" i="2"/>
  <c r="BO213" i="2"/>
  <c r="BA213" i="2"/>
  <c r="AE213" i="2"/>
  <c r="H213" i="2"/>
  <c r="BT212" i="2"/>
  <c r="BG212" i="2"/>
  <c r="AJ212" i="2"/>
  <c r="X212" i="2"/>
  <c r="BZ211" i="2"/>
  <c r="BM211" i="2"/>
  <c r="AY211" i="2"/>
  <c r="AC211" i="2"/>
  <c r="F211" i="2"/>
  <c r="BR210" i="2"/>
  <c r="BE210" i="2"/>
  <c r="AH210" i="2"/>
  <c r="V210" i="2"/>
  <c r="BX209" i="2"/>
  <c r="BK209" i="2"/>
  <c r="AR209" i="2"/>
  <c r="AA209" i="2"/>
  <c r="D209" i="2"/>
  <c r="BP208" i="2"/>
  <c r="BA208" i="2"/>
  <c r="AE208" i="2"/>
  <c r="P208" i="2"/>
  <c r="BY207" i="2"/>
  <c r="BK207" i="2"/>
  <c r="AR207" i="2"/>
  <c r="AA207" i="2"/>
  <c r="D207" i="2"/>
  <c r="BP206" i="2"/>
  <c r="BA206" i="2"/>
  <c r="AE206" i="2"/>
  <c r="N206" i="2"/>
  <c r="BX205" i="2"/>
  <c r="BJ205" i="2"/>
  <c r="AL205" i="2"/>
  <c r="Z205" i="2"/>
  <c r="C205" i="2"/>
  <c r="BN204" i="2"/>
  <c r="AZ204" i="2"/>
  <c r="AD204" i="2"/>
  <c r="G204" i="2"/>
  <c r="BS203" i="2"/>
  <c r="BE203" i="2"/>
  <c r="AH203" i="2"/>
  <c r="V203" i="2"/>
  <c r="BX202" i="2"/>
  <c r="BJ202" i="2"/>
  <c r="AL202" i="2"/>
  <c r="Z202" i="2"/>
  <c r="H202" i="2"/>
  <c r="BT201" i="2"/>
  <c r="BF201" i="2"/>
  <c r="AI201" i="2"/>
  <c r="W201" i="2"/>
  <c r="BY200" i="2"/>
  <c r="BK200" i="2"/>
  <c r="AR200" i="2"/>
  <c r="AA200" i="2"/>
  <c r="D200" i="2"/>
  <c r="BP199" i="2"/>
  <c r="BA199" i="2"/>
  <c r="AE199" i="2"/>
  <c r="H199" i="2"/>
  <c r="BT198" i="2"/>
  <c r="BF198" i="2"/>
  <c r="AI198" i="2"/>
  <c r="W198" i="2"/>
  <c r="F198" i="2"/>
  <c r="BR197" i="2"/>
  <c r="BD197" i="2"/>
  <c r="AG197" i="2"/>
  <c r="U197" i="2"/>
  <c r="BW196" i="2"/>
  <c r="BH196" i="2"/>
  <c r="AK196" i="2"/>
  <c r="Y196" i="2"/>
  <c r="B196" i="2"/>
  <c r="BM195" i="2"/>
  <c r="AY195" i="2"/>
  <c r="AC195" i="2"/>
  <c r="K195" i="2"/>
  <c r="BX194" i="2"/>
  <c r="BJ194" i="2"/>
  <c r="AL194" i="2"/>
  <c r="Z194" i="2"/>
  <c r="H194" i="2"/>
  <c r="BT193" i="2"/>
  <c r="BF193" i="2"/>
  <c r="AI193" i="2"/>
  <c r="W193" i="2"/>
  <c r="E193" i="2"/>
  <c r="BQ192" i="2"/>
  <c r="BB192" i="2"/>
  <c r="AF192" i="2"/>
  <c r="N192" i="2"/>
  <c r="BV191" i="2"/>
  <c r="BG191" i="2"/>
  <c r="AJ191" i="2"/>
  <c r="X191" i="2"/>
  <c r="BZ190" i="2"/>
  <c r="BL190" i="2"/>
  <c r="AX190" i="2"/>
  <c r="AB190" i="2"/>
  <c r="E190" i="2"/>
  <c r="BQ189" i="2"/>
  <c r="BB189" i="2"/>
  <c r="AF189" i="2"/>
  <c r="N189" i="2"/>
  <c r="BV188" i="2"/>
  <c r="BG188" i="2"/>
  <c r="AJ188" i="2"/>
  <c r="X188" i="2"/>
  <c r="G188" i="2"/>
  <c r="BS187" i="2"/>
  <c r="BE187" i="2"/>
  <c r="AH187" i="2"/>
  <c r="V187" i="2"/>
  <c r="E187" i="2"/>
  <c r="BQ186" i="2"/>
  <c r="BB186" i="2"/>
  <c r="AF186" i="2"/>
  <c r="R186" i="2"/>
  <c r="C186" i="2"/>
  <c r="BN185" i="2"/>
  <c r="AZ185" i="2"/>
  <c r="AD185" i="2"/>
  <c r="N185" i="2"/>
  <c r="BX184" i="2"/>
  <c r="BJ184" i="2"/>
  <c r="AL184" i="2"/>
  <c r="Z184" i="2"/>
  <c r="G184" i="2"/>
  <c r="BS183" i="2"/>
  <c r="BE183" i="2"/>
  <c r="AH183" i="2"/>
  <c r="V183" i="2"/>
  <c r="C183" i="2"/>
  <c r="BN182" i="2"/>
  <c r="AZ182" i="2"/>
  <c r="AD182" i="2"/>
  <c r="N182" i="2"/>
  <c r="BX181" i="2"/>
  <c r="BJ181" i="2"/>
  <c r="AR181" i="2"/>
  <c r="AA181" i="2"/>
  <c r="D181" i="2"/>
  <c r="BP180" i="2"/>
  <c r="BB180" i="2"/>
  <c r="AF180" i="2"/>
  <c r="N180" i="2"/>
  <c r="BV179" i="2"/>
  <c r="BG179" i="2"/>
  <c r="AJ179" i="2"/>
  <c r="X179" i="2"/>
  <c r="E179" i="2"/>
  <c r="BQ178" i="2"/>
  <c r="BB178" i="2"/>
  <c r="AF178" i="2"/>
  <c r="Q178" i="2"/>
  <c r="BZ177" i="2"/>
  <c r="BL177" i="2"/>
  <c r="AX177" i="2"/>
  <c r="AB177" i="2"/>
  <c r="I177" i="2"/>
  <c r="BV176" i="2"/>
  <c r="BG176" i="2"/>
  <c r="AJ176" i="2"/>
  <c r="X176" i="2"/>
  <c r="E176" i="2"/>
  <c r="BQ175" i="2"/>
  <c r="BB175" i="2"/>
  <c r="AF175" i="2"/>
  <c r="Q175" i="2"/>
  <c r="BZ174" i="2"/>
  <c r="BL174" i="2"/>
  <c r="AX174" i="2"/>
  <c r="AB174" i="2"/>
  <c r="I174" i="2"/>
  <c r="BV173" i="2"/>
  <c r="BG173" i="2"/>
  <c r="AK173" i="2"/>
  <c r="Y173" i="2"/>
  <c r="B173" i="2"/>
  <c r="BM172" i="2"/>
  <c r="AY172" i="2"/>
  <c r="AC172" i="2"/>
  <c r="J172" i="2"/>
  <c r="BW171" i="2"/>
  <c r="BH171" i="2"/>
  <c r="AK171" i="2"/>
  <c r="Y171" i="2"/>
  <c r="F171" i="2"/>
  <c r="BR170" i="2"/>
  <c r="BD170" i="2"/>
  <c r="AH170" i="2"/>
  <c r="V170" i="2"/>
  <c r="BX169" i="2"/>
  <c r="BJ169" i="2"/>
  <c r="AL169" i="2"/>
  <c r="Z169" i="2"/>
  <c r="G169" i="2"/>
  <c r="BS168" i="2"/>
  <c r="BE168" i="2"/>
  <c r="AI168" i="2"/>
  <c r="W168" i="2"/>
  <c r="BY167" i="2"/>
  <c r="BK167" i="2"/>
  <c r="AR167" i="2"/>
  <c r="AA167" i="2"/>
  <c r="H167" i="2"/>
  <c r="BT166" i="2"/>
  <c r="BF166" i="2"/>
  <c r="AI166" i="2"/>
  <c r="W166" i="2"/>
  <c r="E166" i="2"/>
  <c r="BQ165" i="2"/>
  <c r="BB165" i="2"/>
  <c r="AF165" i="2"/>
  <c r="N165" i="2"/>
  <c r="BV164" i="2"/>
  <c r="BG164" i="2"/>
  <c r="AJ164" i="2"/>
  <c r="X164" i="2"/>
  <c r="BZ163" i="2"/>
  <c r="BL163" i="2"/>
  <c r="AX163" i="2"/>
  <c r="AB163" i="2"/>
  <c r="E163" i="2"/>
  <c r="BQ162" i="2"/>
  <c r="BB162" i="2"/>
  <c r="AF162" i="2"/>
  <c r="N162" i="2"/>
  <c r="BV161" i="2"/>
  <c r="BG161" i="2"/>
  <c r="AJ161" i="2"/>
  <c r="X161" i="2"/>
  <c r="BZ160" i="2"/>
  <c r="BL160" i="2"/>
  <c r="AX160" i="2"/>
  <c r="AB160" i="2"/>
  <c r="E160" i="2"/>
  <c r="BQ159" i="2"/>
  <c r="BB159" i="2"/>
  <c r="AF159" i="2"/>
  <c r="N159" i="2"/>
  <c r="BV158" i="2"/>
  <c r="BG158" i="2"/>
  <c r="AJ158" i="2"/>
  <c r="X158" i="2"/>
  <c r="BZ157" i="2"/>
  <c r="BL157" i="2"/>
  <c r="AX157" i="2"/>
  <c r="AB157" i="2"/>
  <c r="E157" i="2"/>
  <c r="BQ156" i="2"/>
  <c r="BB156" i="2"/>
  <c r="AF156" i="2"/>
  <c r="N156" i="2"/>
  <c r="BV155" i="2"/>
  <c r="BG155" i="2"/>
  <c r="AJ155" i="2"/>
  <c r="X155" i="2"/>
  <c r="BZ154" i="2"/>
  <c r="BL154" i="2"/>
  <c r="AX154" i="2"/>
  <c r="AB154" i="2"/>
  <c r="E154" i="2"/>
  <c r="BQ153" i="2"/>
  <c r="BB153" i="2"/>
  <c r="AF153" i="2"/>
  <c r="N153" i="2"/>
  <c r="BV152" i="2"/>
  <c r="BG152" i="2"/>
  <c r="AJ152" i="2"/>
  <c r="X152" i="2"/>
  <c r="BZ151" i="2"/>
  <c r="BL151" i="2"/>
  <c r="AX151" i="2"/>
  <c r="AL151" i="2"/>
  <c r="Z151" i="2"/>
  <c r="C151" i="2"/>
  <c r="BN150" i="2"/>
  <c r="AZ150" i="2"/>
  <c r="AN150" i="2"/>
  <c r="AB150" i="2"/>
  <c r="E150" i="2"/>
  <c r="BQ149" i="2"/>
  <c r="BB149" i="2"/>
  <c r="AK149" i="2"/>
  <c r="Y149" i="2"/>
  <c r="B149" i="2"/>
  <c r="BM148" i="2"/>
  <c r="AY148" i="2"/>
  <c r="AH148" i="2"/>
  <c r="V148" i="2"/>
  <c r="BX147" i="2"/>
  <c r="BJ147" i="2"/>
  <c r="AL147" i="2"/>
  <c r="Z147" i="2"/>
  <c r="C147" i="2"/>
  <c r="BN146" i="2"/>
  <c r="AZ146" i="2"/>
  <c r="AD146" i="2"/>
  <c r="I146" i="2"/>
  <c r="BV145" i="2"/>
  <c r="BG145" i="2"/>
  <c r="AJ145" i="2"/>
  <c r="X145" i="2"/>
  <c r="C145" i="2"/>
  <c r="BN144" i="2"/>
  <c r="AZ144" i="2"/>
  <c r="AD144" i="2"/>
  <c r="G144" i="2"/>
  <c r="BS143" i="2"/>
  <c r="BE143" i="2"/>
  <c r="AH143" i="2"/>
  <c r="V143" i="2"/>
  <c r="BX142" i="2"/>
  <c r="BJ142" i="2"/>
  <c r="AL142" i="2"/>
  <c r="Z142" i="2"/>
  <c r="C142" i="2"/>
  <c r="BN141" i="2"/>
  <c r="AZ141" i="2"/>
  <c r="AD141" i="2"/>
  <c r="BY304" i="2"/>
  <c r="BN288" i="2"/>
  <c r="BY275" i="2"/>
  <c r="BP267" i="2"/>
  <c r="BH261" i="2"/>
  <c r="AX258" i="2"/>
  <c r="D257" i="2"/>
  <c r="BL255" i="2"/>
  <c r="BA254" i="2"/>
  <c r="AG253" i="2"/>
  <c r="F252" i="2"/>
  <c r="BF250" i="2"/>
  <c r="AI249" i="2"/>
  <c r="L248" i="2"/>
  <c r="B247" i="2"/>
  <c r="BH245" i="2"/>
  <c r="AD244" i="2"/>
  <c r="P243" i="2"/>
  <c r="F242" i="2"/>
  <c r="CL240" i="2"/>
  <c r="CE239" i="2"/>
  <c r="BY238" i="2"/>
  <c r="BS237" i="2"/>
  <c r="BL236" i="2"/>
  <c r="BD235" i="2"/>
  <c r="AJ234" i="2"/>
  <c r="U233" i="2"/>
  <c r="BM231" i="2"/>
  <c r="BA230" i="2"/>
  <c r="AJ229" i="2"/>
  <c r="F228" i="2"/>
  <c r="CL226" i="2"/>
  <c r="BJ225" i="2"/>
  <c r="BA224" i="2"/>
  <c r="BT223" i="2"/>
  <c r="BS222" i="2"/>
  <c r="BP221" i="2"/>
  <c r="CQ220" i="2"/>
  <c r="AJ220" i="2"/>
  <c r="BV219" i="2"/>
  <c r="X219" i="2"/>
  <c r="BJ218" i="2"/>
  <c r="F218" i="2"/>
  <c r="BA217" i="2"/>
  <c r="CQ216" i="2"/>
  <c r="AJ216" i="2"/>
  <c r="CD215" i="2"/>
  <c r="AZ215" i="2"/>
  <c r="W215" i="2"/>
  <c r="BV214" i="2"/>
  <c r="AZ214" i="2"/>
  <c r="AA214" i="2"/>
  <c r="F214" i="2"/>
  <c r="BN213" i="2"/>
  <c r="AZ213" i="2"/>
  <c r="AD213" i="2"/>
  <c r="G213" i="2"/>
  <c r="BS212" i="2"/>
  <c r="BF212" i="2"/>
  <c r="AI212" i="2"/>
  <c r="W212" i="2"/>
  <c r="BY211" i="2"/>
  <c r="BL211" i="2"/>
  <c r="AX211" i="2"/>
  <c r="AB211" i="2"/>
  <c r="E211" i="2"/>
  <c r="BQ210" i="2"/>
  <c r="BD210" i="2"/>
  <c r="AG210" i="2"/>
  <c r="U210" i="2"/>
  <c r="BW209" i="2"/>
  <c r="BJ209" i="2"/>
  <c r="AL209" i="2"/>
  <c r="Z209" i="2"/>
  <c r="C209" i="2"/>
  <c r="BN208" i="2"/>
  <c r="AZ208" i="2"/>
  <c r="AD208" i="2"/>
  <c r="N208" i="2"/>
  <c r="BX207" i="2"/>
  <c r="BJ207" i="2"/>
  <c r="AL207" i="2"/>
  <c r="Z207" i="2"/>
  <c r="C207" i="2"/>
  <c r="BN206" i="2"/>
  <c r="AZ206" i="2"/>
  <c r="AD206" i="2"/>
  <c r="J206" i="2"/>
  <c r="BW205" i="2"/>
  <c r="BH205" i="2"/>
  <c r="AK205" i="2"/>
  <c r="Y205" i="2"/>
  <c r="B205" i="2"/>
  <c r="BM204" i="2"/>
  <c r="AY204" i="2"/>
  <c r="AC204" i="2"/>
  <c r="F204" i="2"/>
  <c r="BR203" i="2"/>
  <c r="BD203" i="2"/>
  <c r="AG203" i="2"/>
  <c r="U203" i="2"/>
  <c r="BW202" i="2"/>
  <c r="BH202" i="2"/>
  <c r="AK202" i="2"/>
  <c r="Y202" i="2"/>
  <c r="G202" i="2"/>
  <c r="BS201" i="2"/>
  <c r="BE201" i="2"/>
  <c r="AH201" i="2"/>
  <c r="V201" i="2"/>
  <c r="BX200" i="2"/>
  <c r="BJ200" i="2"/>
  <c r="AL200" i="2"/>
  <c r="Z200" i="2"/>
  <c r="C200" i="2"/>
  <c r="BN199" i="2"/>
  <c r="AZ199" i="2"/>
  <c r="AD199" i="2"/>
  <c r="G199" i="2"/>
  <c r="BS198" i="2"/>
  <c r="BE198" i="2"/>
  <c r="AH198" i="2"/>
  <c r="V198" i="2"/>
  <c r="E198" i="2"/>
  <c r="BQ197" i="2"/>
  <c r="BB197" i="2"/>
  <c r="AF197" i="2"/>
  <c r="N197" i="2"/>
  <c r="BV196" i="2"/>
  <c r="BG196" i="2"/>
  <c r="AJ196" i="2"/>
  <c r="X196" i="2"/>
  <c r="BZ195" i="2"/>
  <c r="BL195" i="2"/>
  <c r="AX195" i="2"/>
  <c r="AB195" i="2"/>
  <c r="J195" i="2"/>
  <c r="BW194" i="2"/>
  <c r="BH194" i="2"/>
  <c r="AK194" i="2"/>
  <c r="Y194" i="2"/>
  <c r="G194" i="2"/>
  <c r="BS193" i="2"/>
  <c r="BE193" i="2"/>
  <c r="AH193" i="2"/>
  <c r="V193" i="2"/>
  <c r="D193" i="2"/>
  <c r="BP192" i="2"/>
  <c r="BA192" i="2"/>
  <c r="AE192" i="2"/>
  <c r="H192" i="2"/>
  <c r="BT191" i="2"/>
  <c r="BF191" i="2"/>
  <c r="AI191" i="2"/>
  <c r="W191" i="2"/>
  <c r="BY190" i="2"/>
  <c r="BK190" i="2"/>
  <c r="AR190" i="2"/>
  <c r="AA190" i="2"/>
  <c r="D190" i="2"/>
  <c r="BP189" i="2"/>
  <c r="BA189" i="2"/>
  <c r="AE189" i="2"/>
  <c r="H189" i="2"/>
  <c r="BT188" i="2"/>
  <c r="BF188" i="2"/>
  <c r="AI188" i="2"/>
  <c r="W188" i="2"/>
  <c r="F188" i="2"/>
  <c r="BR187" i="2"/>
  <c r="BD187" i="2"/>
  <c r="AG187" i="2"/>
  <c r="U187" i="2"/>
  <c r="D187" i="2"/>
  <c r="BP186" i="2"/>
  <c r="BA186" i="2"/>
  <c r="AE186" i="2"/>
  <c r="P186" i="2"/>
  <c r="B186" i="2"/>
  <c r="BM185" i="2"/>
  <c r="AY185" i="2"/>
  <c r="AC185" i="2"/>
  <c r="J185" i="2"/>
  <c r="BW184" i="2"/>
  <c r="BH184" i="2"/>
  <c r="AK184" i="2"/>
  <c r="Y184" i="2"/>
  <c r="F184" i="2"/>
  <c r="BR183" i="2"/>
  <c r="BD183" i="2"/>
  <c r="AG183" i="2"/>
  <c r="U183" i="2"/>
  <c r="B183" i="2"/>
  <c r="BM182" i="2"/>
  <c r="AY182" i="2"/>
  <c r="AC182" i="2"/>
  <c r="J182" i="2"/>
  <c r="BW181" i="2"/>
  <c r="BH181" i="2"/>
  <c r="AL181" i="2"/>
  <c r="Z181" i="2"/>
  <c r="C181" i="2"/>
  <c r="BN180" i="2"/>
  <c r="BA180" i="2"/>
  <c r="AE180" i="2"/>
  <c r="H180" i="2"/>
  <c r="BT179" i="2"/>
  <c r="BF179" i="2"/>
  <c r="AI179" i="2"/>
  <c r="W179" i="2"/>
  <c r="D179" i="2"/>
  <c r="BP178" i="2"/>
  <c r="BA178" i="2"/>
  <c r="AE178" i="2"/>
  <c r="P178" i="2"/>
  <c r="BY177" i="2"/>
  <c r="BK177" i="2"/>
  <c r="AR177" i="2"/>
  <c r="AA177" i="2"/>
  <c r="H177" i="2"/>
  <c r="BT176" i="2"/>
  <c r="BF176" i="2"/>
  <c r="AI176" i="2"/>
  <c r="W176" i="2"/>
  <c r="D176" i="2"/>
  <c r="BP175" i="2"/>
  <c r="BA175" i="2"/>
  <c r="AE175" i="2"/>
  <c r="P175" i="2"/>
  <c r="BY174" i="2"/>
  <c r="BK174" i="2"/>
  <c r="AR174" i="2"/>
  <c r="AA174" i="2"/>
  <c r="H174" i="2"/>
  <c r="BT173" i="2"/>
  <c r="BF173" i="2"/>
  <c r="AJ173" i="2"/>
  <c r="X173" i="2"/>
  <c r="BZ172" i="2"/>
  <c r="BL172" i="2"/>
  <c r="AX172" i="2"/>
  <c r="AB172" i="2"/>
  <c r="I172" i="2"/>
  <c r="BV171" i="2"/>
  <c r="BG171" i="2"/>
  <c r="AJ171" i="2"/>
  <c r="X171" i="2"/>
  <c r="E171" i="2"/>
  <c r="BQ170" i="2"/>
  <c r="BC170" i="2"/>
  <c r="AG170" i="2"/>
  <c r="U170" i="2"/>
  <c r="BW169" i="2"/>
  <c r="BH169" i="2"/>
  <c r="AK169" i="2"/>
  <c r="Y169" i="2"/>
  <c r="F169" i="2"/>
  <c r="BR168" i="2"/>
  <c r="BD168" i="2"/>
  <c r="AH168" i="2"/>
  <c r="V168" i="2"/>
  <c r="BX167" i="2"/>
  <c r="BJ167" i="2"/>
  <c r="AL167" i="2"/>
  <c r="Z167" i="2"/>
  <c r="G167" i="2"/>
  <c r="BS166" i="2"/>
  <c r="BE166" i="2"/>
  <c r="AH166" i="2"/>
  <c r="V166" i="2"/>
  <c r="D166" i="2"/>
  <c r="BP165" i="2"/>
  <c r="BA165" i="2"/>
  <c r="AE165" i="2"/>
  <c r="H165" i="2"/>
  <c r="BT164" i="2"/>
  <c r="BF164" i="2"/>
  <c r="AI164" i="2"/>
  <c r="W164" i="2"/>
  <c r="BY163" i="2"/>
  <c r="BK163" i="2"/>
  <c r="AR163" i="2"/>
  <c r="AA163" i="2"/>
  <c r="D163" i="2"/>
  <c r="BP162" i="2"/>
  <c r="BA162" i="2"/>
  <c r="AE162" i="2"/>
  <c r="H162" i="2"/>
  <c r="BT161" i="2"/>
  <c r="BF161" i="2"/>
  <c r="AI161" i="2"/>
  <c r="W161" i="2"/>
  <c r="BY160" i="2"/>
  <c r="BK160" i="2"/>
  <c r="AR160" i="2"/>
  <c r="AA160" i="2"/>
  <c r="D160" i="2"/>
  <c r="BP159" i="2"/>
  <c r="BA159" i="2"/>
  <c r="AE159" i="2"/>
  <c r="H159" i="2"/>
  <c r="BT158" i="2"/>
  <c r="BF158" i="2"/>
  <c r="AI158" i="2"/>
  <c r="W158" i="2"/>
  <c r="BY157" i="2"/>
  <c r="BK157" i="2"/>
  <c r="AR157" i="2"/>
  <c r="AA157" i="2"/>
  <c r="D157" i="2"/>
  <c r="BP156" i="2"/>
  <c r="BA156" i="2"/>
  <c r="AE156" i="2"/>
  <c r="H156" i="2"/>
  <c r="BT155" i="2"/>
  <c r="BF155" i="2"/>
  <c r="AI155" i="2"/>
  <c r="W155" i="2"/>
  <c r="BY154" i="2"/>
  <c r="BK154" i="2"/>
  <c r="AR154" i="2"/>
  <c r="AA154" i="2"/>
  <c r="D154" i="2"/>
  <c r="BP153" i="2"/>
  <c r="BA153" i="2"/>
  <c r="AE153" i="2"/>
  <c r="H153" i="2"/>
  <c r="BT152" i="2"/>
  <c r="BF152" i="2"/>
  <c r="AI152" i="2"/>
  <c r="W152" i="2"/>
  <c r="BY151" i="2"/>
  <c r="BK151" i="2"/>
  <c r="AW151" i="2"/>
  <c r="AK151" i="2"/>
  <c r="Y151" i="2"/>
  <c r="B151" i="2"/>
  <c r="BM150" i="2"/>
  <c r="AY150" i="2"/>
  <c r="AM150" i="2"/>
  <c r="AA150" i="2"/>
  <c r="D150" i="2"/>
  <c r="BP149" i="2"/>
  <c r="BA149" i="2"/>
  <c r="AJ149" i="2"/>
  <c r="X149" i="2"/>
  <c r="BZ148" i="2"/>
  <c r="BL148" i="2"/>
  <c r="AX148" i="2"/>
  <c r="AG148" i="2"/>
  <c r="U148" i="2"/>
  <c r="BW147" i="2"/>
  <c r="BH147" i="2"/>
  <c r="AK147" i="2"/>
  <c r="Y147" i="2"/>
  <c r="B147" i="2"/>
  <c r="BM146" i="2"/>
  <c r="AY146" i="2"/>
  <c r="AC146" i="2"/>
  <c r="H146" i="2"/>
  <c r="BT145" i="2"/>
  <c r="BF145" i="2"/>
  <c r="AI145" i="2"/>
  <c r="W145" i="2"/>
  <c r="B145" i="2"/>
  <c r="BM144" i="2"/>
  <c r="AY144" i="2"/>
  <c r="AC144" i="2"/>
  <c r="F144" i="2"/>
  <c r="BR143" i="2"/>
  <c r="BD143" i="2"/>
  <c r="AG143" i="2"/>
  <c r="U143" i="2"/>
  <c r="BW142" i="2"/>
  <c r="BH142" i="2"/>
  <c r="AK142" i="2"/>
  <c r="Y142" i="2"/>
  <c r="B142" i="2"/>
  <c r="BM141" i="2"/>
  <c r="AY141" i="2"/>
  <c r="AC141" i="2"/>
  <c r="F141" i="2"/>
  <c r="BR140" i="2"/>
  <c r="BD140" i="2"/>
  <c r="AG140" i="2"/>
  <c r="U140" i="2"/>
  <c r="BW139" i="2"/>
  <c r="BH139" i="2"/>
  <c r="AK139" i="2"/>
  <c r="Y139" i="2"/>
  <c r="B139" i="2"/>
  <c r="BM138" i="2"/>
  <c r="AY138" i="2"/>
  <c r="AC138" i="2"/>
  <c r="F138" i="2"/>
  <c r="BR137" i="2"/>
  <c r="BD137" i="2"/>
  <c r="AG137" i="2"/>
  <c r="U137" i="2"/>
  <c r="BW136" i="2"/>
  <c r="BH136" i="2"/>
  <c r="AK136" i="2"/>
  <c r="Y136" i="2"/>
  <c r="B136" i="2"/>
  <c r="BM135" i="2"/>
  <c r="AY135" i="2"/>
  <c r="AC135" i="2"/>
  <c r="H135" i="2"/>
  <c r="BT134" i="2"/>
  <c r="BF134" i="2"/>
  <c r="AI134" i="2"/>
  <c r="W134" i="2"/>
  <c r="B134" i="2"/>
  <c r="BM133" i="2"/>
  <c r="AY133" i="2"/>
  <c r="AC133" i="2"/>
  <c r="H133" i="2"/>
  <c r="BT132" i="2"/>
  <c r="BF132" i="2"/>
  <c r="AI132" i="2"/>
  <c r="W132" i="2"/>
  <c r="B132" i="2"/>
  <c r="BM131" i="2"/>
  <c r="AY131" i="2"/>
  <c r="AC131" i="2"/>
  <c r="G131" i="2"/>
  <c r="BS130" i="2"/>
  <c r="BE130" i="2"/>
  <c r="AH130" i="2"/>
  <c r="V130" i="2"/>
  <c r="D130" i="2"/>
  <c r="BP129" i="2"/>
  <c r="BA129" i="2"/>
  <c r="AE129" i="2"/>
  <c r="J129" i="2"/>
  <c r="CI128" i="2"/>
  <c r="BV128" i="2"/>
  <c r="BG128" i="2"/>
  <c r="AJ128" i="2"/>
  <c r="X128" i="2"/>
  <c r="E128" i="2"/>
  <c r="BQ127" i="2"/>
  <c r="BB127" i="2"/>
  <c r="AF127" i="2"/>
  <c r="N127" i="2"/>
  <c r="BX126" i="2"/>
  <c r="BJ126" i="2"/>
  <c r="AL126" i="2"/>
  <c r="Z126" i="2"/>
  <c r="E126" i="2"/>
  <c r="BQ125" i="2"/>
  <c r="BB125" i="2"/>
  <c r="AF125" i="2"/>
  <c r="N125" i="2"/>
  <c r="BX124" i="2"/>
  <c r="BJ124" i="2"/>
  <c r="AL124" i="2"/>
  <c r="Z124" i="2"/>
  <c r="E124" i="2"/>
  <c r="BQ123" i="2"/>
  <c r="BB123" i="2"/>
  <c r="AF123" i="2"/>
  <c r="N123" i="2"/>
  <c r="BX122" i="2"/>
  <c r="BJ122" i="2"/>
  <c r="AL122" i="2"/>
  <c r="Z122" i="2"/>
  <c r="E122" i="2"/>
  <c r="BY121" i="2"/>
  <c r="BK121" i="2"/>
  <c r="AW121" i="2"/>
  <c r="AK121" i="2"/>
  <c r="Y121" i="2"/>
  <c r="E121" i="2"/>
  <c r="BY120" i="2"/>
  <c r="BK120" i="2"/>
  <c r="AR120" i="2"/>
  <c r="AA120" i="2"/>
  <c r="J120" i="2"/>
  <c r="CP119" i="2"/>
  <c r="BQ119" i="2"/>
  <c r="BB119" i="2"/>
  <c r="AP119" i="2"/>
  <c r="AD119" i="2"/>
  <c r="N119" i="2"/>
  <c r="CJ118" i="2"/>
  <c r="BW118" i="2"/>
  <c r="BH118" i="2"/>
  <c r="AK118" i="2"/>
  <c r="Y118" i="2"/>
  <c r="I118" i="2"/>
  <c r="CH117" i="2"/>
  <c r="BT117" i="2"/>
  <c r="BF117" i="2"/>
  <c r="AI117" i="2"/>
  <c r="W117" i="2"/>
  <c r="AR302" i="2"/>
  <c r="AX286" i="2"/>
  <c r="BD274" i="2"/>
  <c r="BG266" i="2"/>
  <c r="B261" i="2"/>
  <c r="Y258" i="2"/>
  <c r="BQ256" i="2"/>
  <c r="AY255" i="2"/>
  <c r="AF254" i="2"/>
  <c r="T253" i="2"/>
  <c r="BS251" i="2"/>
  <c r="AJ250" i="2"/>
  <c r="V249" i="2"/>
  <c r="CS247" i="2"/>
  <c r="BN246" i="2"/>
  <c r="AL245" i="2"/>
  <c r="N244" i="2"/>
  <c r="CS242" i="2"/>
  <c r="CF241" i="2"/>
  <c r="BY240" i="2"/>
  <c r="BR239" i="2"/>
  <c r="BL238" i="2"/>
  <c r="BF237" i="2"/>
  <c r="AY236" i="2"/>
  <c r="AH235" i="2"/>
  <c r="Y234" i="2"/>
  <c r="BX232" i="2"/>
  <c r="AZ231" i="2"/>
  <c r="AF230" i="2"/>
  <c r="X229" i="2"/>
  <c r="CF227" i="2"/>
  <c r="BQ226" i="2"/>
  <c r="AR225" i="2"/>
  <c r="AH224" i="2"/>
  <c r="BG223" i="2"/>
  <c r="BF222" i="2"/>
  <c r="BB221" i="2"/>
  <c r="CO220" i="2"/>
  <c r="AH220" i="2"/>
  <c r="BS219" i="2"/>
  <c r="V219" i="2"/>
  <c r="BG218" i="2"/>
  <c r="D218" i="2"/>
  <c r="AY217" i="2"/>
  <c r="CO216" i="2"/>
  <c r="AH216" i="2"/>
  <c r="CC215" i="2"/>
  <c r="AY215" i="2"/>
  <c r="V215" i="2"/>
  <c r="BT214" i="2"/>
  <c r="AY214" i="2"/>
  <c r="Y214" i="2"/>
  <c r="E214" i="2"/>
  <c r="BM213" i="2"/>
  <c r="AY213" i="2"/>
  <c r="AC213" i="2"/>
  <c r="F213" i="2"/>
  <c r="BR212" i="2"/>
  <c r="BE212" i="2"/>
  <c r="AH212" i="2"/>
  <c r="V212" i="2"/>
  <c r="BX211" i="2"/>
  <c r="BK211" i="2"/>
  <c r="AR211" i="2"/>
  <c r="AA211" i="2"/>
  <c r="D211" i="2"/>
  <c r="BP210" i="2"/>
  <c r="BB210" i="2"/>
  <c r="AF210" i="2"/>
  <c r="N210" i="2"/>
  <c r="BV209" i="2"/>
  <c r="BH209" i="2"/>
  <c r="AK209" i="2"/>
  <c r="Y209" i="2"/>
  <c r="B209" i="2"/>
  <c r="BM208" i="2"/>
  <c r="AY208" i="2"/>
  <c r="AC208" i="2"/>
  <c r="J208" i="2"/>
  <c r="BW207" i="2"/>
  <c r="BH207" i="2"/>
  <c r="AK207" i="2"/>
  <c r="Y207" i="2"/>
  <c r="B207" i="2"/>
  <c r="BM206" i="2"/>
  <c r="AY206" i="2"/>
  <c r="AC206" i="2"/>
  <c r="I206" i="2"/>
  <c r="BV205" i="2"/>
  <c r="BG205" i="2"/>
  <c r="AJ205" i="2"/>
  <c r="X205" i="2"/>
  <c r="BZ204" i="2"/>
  <c r="BL204" i="2"/>
  <c r="AX204" i="2"/>
  <c r="AB204" i="2"/>
  <c r="E204" i="2"/>
  <c r="BQ203" i="2"/>
  <c r="BB203" i="2"/>
  <c r="AF203" i="2"/>
  <c r="N203" i="2"/>
  <c r="BV202" i="2"/>
  <c r="BG202" i="2"/>
  <c r="AJ202" i="2"/>
  <c r="X202" i="2"/>
  <c r="F202" i="2"/>
  <c r="BR201" i="2"/>
  <c r="BD201" i="2"/>
  <c r="AG201" i="2"/>
  <c r="U201" i="2"/>
  <c r="BW200" i="2"/>
  <c r="BH200" i="2"/>
  <c r="AK200" i="2"/>
  <c r="Y200" i="2"/>
  <c r="B200" i="2"/>
  <c r="BM199" i="2"/>
  <c r="AY199" i="2"/>
  <c r="AC199" i="2"/>
  <c r="F199" i="2"/>
  <c r="BR198" i="2"/>
  <c r="BD198" i="2"/>
  <c r="AG198" i="2"/>
  <c r="U198" i="2"/>
  <c r="D198" i="2"/>
  <c r="BP197" i="2"/>
  <c r="BA197" i="2"/>
  <c r="AE197" i="2"/>
  <c r="H197" i="2"/>
  <c r="BT196" i="2"/>
  <c r="BF196" i="2"/>
  <c r="AI196" i="2"/>
  <c r="W196" i="2"/>
  <c r="BY195" i="2"/>
  <c r="BK195" i="2"/>
  <c r="AR195" i="2"/>
  <c r="AA195" i="2"/>
  <c r="I195" i="2"/>
  <c r="BV194" i="2"/>
  <c r="BG194" i="2"/>
  <c r="AJ194" i="2"/>
  <c r="X194" i="2"/>
  <c r="F194" i="2"/>
  <c r="BR193" i="2"/>
  <c r="BD193" i="2"/>
  <c r="AG193" i="2"/>
  <c r="U193" i="2"/>
  <c r="C193" i="2"/>
  <c r="BN192" i="2"/>
  <c r="AZ192" i="2"/>
  <c r="AD192" i="2"/>
  <c r="G192" i="2"/>
  <c r="BS191" i="2"/>
  <c r="BE191" i="2"/>
  <c r="AH191" i="2"/>
  <c r="V191" i="2"/>
  <c r="BX190" i="2"/>
  <c r="BJ190" i="2"/>
  <c r="AL190" i="2"/>
  <c r="Z190" i="2"/>
  <c r="C190" i="2"/>
  <c r="BN189" i="2"/>
  <c r="AZ189" i="2"/>
  <c r="AD189" i="2"/>
  <c r="G189" i="2"/>
  <c r="BS188" i="2"/>
  <c r="BE188" i="2"/>
  <c r="AH188" i="2"/>
  <c r="V188" i="2"/>
  <c r="E188" i="2"/>
  <c r="BQ187" i="2"/>
  <c r="BB187" i="2"/>
  <c r="AF187" i="2"/>
  <c r="R187" i="2"/>
  <c r="C187" i="2"/>
  <c r="BN186" i="2"/>
  <c r="AZ186" i="2"/>
  <c r="AD186" i="2"/>
  <c r="N186" i="2"/>
  <c r="BZ185" i="2"/>
  <c r="BL185" i="2"/>
  <c r="AX185" i="2"/>
  <c r="AB185" i="2"/>
  <c r="I185" i="2"/>
  <c r="BV184" i="2"/>
  <c r="BG184" i="2"/>
  <c r="AJ184" i="2"/>
  <c r="X184" i="2"/>
  <c r="E184" i="2"/>
  <c r="BQ183" i="2"/>
  <c r="BB183" i="2"/>
  <c r="AF183" i="2"/>
  <c r="Q183" i="2"/>
  <c r="BZ182" i="2"/>
  <c r="BL182" i="2"/>
  <c r="AX182" i="2"/>
  <c r="AB182" i="2"/>
  <c r="I182" i="2"/>
  <c r="BV181" i="2"/>
  <c r="BG181" i="2"/>
  <c r="AK181" i="2"/>
  <c r="Y181" i="2"/>
  <c r="B181" i="2"/>
  <c r="BM180" i="2"/>
  <c r="AZ180" i="2"/>
  <c r="AD180" i="2"/>
  <c r="G180" i="2"/>
  <c r="BS179" i="2"/>
  <c r="BE179" i="2"/>
  <c r="AH179" i="2"/>
  <c r="V179" i="2"/>
  <c r="C179" i="2"/>
  <c r="BN178" i="2"/>
  <c r="AZ178" i="2"/>
  <c r="AD178" i="2"/>
  <c r="N178" i="2"/>
  <c r="BX177" i="2"/>
  <c r="BJ177" i="2"/>
  <c r="AL177" i="2"/>
  <c r="Z177" i="2"/>
  <c r="G177" i="2"/>
  <c r="BS176" i="2"/>
  <c r="BE176" i="2"/>
  <c r="AH176" i="2"/>
  <c r="V176" i="2"/>
  <c r="C176" i="2"/>
  <c r="BN175" i="2"/>
  <c r="AZ175" i="2"/>
  <c r="AD175" i="2"/>
  <c r="N175" i="2"/>
  <c r="BX174" i="2"/>
  <c r="BJ174" i="2"/>
  <c r="AL174" i="2"/>
  <c r="Z174" i="2"/>
  <c r="G174" i="2"/>
  <c r="BS173" i="2"/>
  <c r="BE173" i="2"/>
  <c r="AI173" i="2"/>
  <c r="W173" i="2"/>
  <c r="BY172" i="2"/>
  <c r="BK172" i="2"/>
  <c r="AR172" i="2"/>
  <c r="AA172" i="2"/>
  <c r="H172" i="2"/>
  <c r="BT171" i="2"/>
  <c r="BF171" i="2"/>
  <c r="AI171" i="2"/>
  <c r="W171" i="2"/>
  <c r="D171" i="2"/>
  <c r="BP170" i="2"/>
  <c r="BB170" i="2"/>
  <c r="AF170" i="2"/>
  <c r="N170" i="2"/>
  <c r="BV169" i="2"/>
  <c r="BG169" i="2"/>
  <c r="AJ169" i="2"/>
  <c r="X169" i="2"/>
  <c r="E169" i="2"/>
  <c r="BQ168" i="2"/>
  <c r="BC168" i="2"/>
  <c r="AG168" i="2"/>
  <c r="U168" i="2"/>
  <c r="BW167" i="2"/>
  <c r="BH167" i="2"/>
  <c r="AK167" i="2"/>
  <c r="Y167" i="2"/>
  <c r="F167" i="2"/>
  <c r="BR166" i="2"/>
  <c r="BD166" i="2"/>
  <c r="AG166" i="2"/>
  <c r="U166" i="2"/>
  <c r="C166" i="2"/>
  <c r="BN165" i="2"/>
  <c r="AZ165" i="2"/>
  <c r="AD165" i="2"/>
  <c r="G165" i="2"/>
  <c r="BS164" i="2"/>
  <c r="BE164" i="2"/>
  <c r="AH164" i="2"/>
  <c r="V164" i="2"/>
  <c r="BX163" i="2"/>
  <c r="BJ163" i="2"/>
  <c r="AL163" i="2"/>
  <c r="Z163" i="2"/>
  <c r="C163" i="2"/>
  <c r="BN162" i="2"/>
  <c r="AZ162" i="2"/>
  <c r="AD162" i="2"/>
  <c r="G162" i="2"/>
  <c r="BS161" i="2"/>
  <c r="BE161" i="2"/>
  <c r="AH161" i="2"/>
  <c r="V161" i="2"/>
  <c r="BX160" i="2"/>
  <c r="BJ160" i="2"/>
  <c r="AL160" i="2"/>
  <c r="Z160" i="2"/>
  <c r="C160" i="2"/>
  <c r="BN159" i="2"/>
  <c r="AZ159" i="2"/>
  <c r="AD159" i="2"/>
  <c r="G159" i="2"/>
  <c r="BS158" i="2"/>
  <c r="BE158" i="2"/>
  <c r="AH158" i="2"/>
  <c r="V158" i="2"/>
  <c r="BX157" i="2"/>
  <c r="BJ157" i="2"/>
  <c r="AL157" i="2"/>
  <c r="Z157" i="2"/>
  <c r="C157" i="2"/>
  <c r="BN156" i="2"/>
  <c r="AZ156" i="2"/>
  <c r="AD156" i="2"/>
  <c r="G156" i="2"/>
  <c r="BS155" i="2"/>
  <c r="BE155" i="2"/>
  <c r="AH155" i="2"/>
  <c r="V155" i="2"/>
  <c r="BX154" i="2"/>
  <c r="BJ154" i="2"/>
  <c r="AL154" i="2"/>
  <c r="Z154" i="2"/>
  <c r="C154" i="2"/>
  <c r="BN153" i="2"/>
  <c r="AZ153" i="2"/>
  <c r="AD153" i="2"/>
  <c r="G153" i="2"/>
  <c r="BS152" i="2"/>
  <c r="BE152" i="2"/>
  <c r="AH152" i="2"/>
  <c r="V152" i="2"/>
  <c r="BX151" i="2"/>
  <c r="BJ151" i="2"/>
  <c r="AV151" i="2"/>
  <c r="AJ151" i="2"/>
  <c r="X151" i="2"/>
  <c r="BZ150" i="2"/>
  <c r="BL150" i="2"/>
  <c r="AX150" i="2"/>
  <c r="AL150" i="2"/>
  <c r="Z150" i="2"/>
  <c r="C150" i="2"/>
  <c r="BN149" i="2"/>
  <c r="AZ149" i="2"/>
  <c r="AI149" i="2"/>
  <c r="W149" i="2"/>
  <c r="BY148" i="2"/>
  <c r="BK148" i="2"/>
  <c r="AR148" i="2"/>
  <c r="AF148" i="2"/>
  <c r="N148" i="2"/>
  <c r="BV147" i="2"/>
  <c r="BG147" i="2"/>
  <c r="AJ147" i="2"/>
  <c r="X147" i="2"/>
  <c r="BZ146" i="2"/>
  <c r="BL146" i="2"/>
  <c r="AX146" i="2"/>
  <c r="AB146" i="2"/>
  <c r="G146" i="2"/>
  <c r="BS145" i="2"/>
  <c r="BE145" i="2"/>
  <c r="AH145" i="2"/>
  <c r="V145" i="2"/>
  <c r="BZ144" i="2"/>
  <c r="BL144" i="2"/>
  <c r="AX144" i="2"/>
  <c r="AB144" i="2"/>
  <c r="E144" i="2"/>
  <c r="BQ143" i="2"/>
  <c r="BB143" i="2"/>
  <c r="AF143" i="2"/>
  <c r="N143" i="2"/>
  <c r="BV142" i="2"/>
  <c r="BG142" i="2"/>
  <c r="AJ142" i="2"/>
  <c r="X142" i="2"/>
  <c r="BZ141" i="2"/>
  <c r="BL141" i="2"/>
  <c r="AX141" i="2"/>
  <c r="AB141" i="2"/>
  <c r="E141" i="2"/>
  <c r="BQ140" i="2"/>
  <c r="BB140" i="2"/>
  <c r="AF140" i="2"/>
  <c r="N140" i="2"/>
  <c r="BV139" i="2"/>
  <c r="BG139" i="2"/>
  <c r="AJ139" i="2"/>
  <c r="X139" i="2"/>
  <c r="BZ138" i="2"/>
  <c r="BL138" i="2"/>
  <c r="AX138" i="2"/>
  <c r="AB138" i="2"/>
  <c r="E138" i="2"/>
  <c r="BQ137" i="2"/>
  <c r="BB137" i="2"/>
  <c r="AF137" i="2"/>
  <c r="N137" i="2"/>
  <c r="BV136" i="2"/>
  <c r="BG136" i="2"/>
  <c r="AJ136" i="2"/>
  <c r="X136" i="2"/>
  <c r="BZ135" i="2"/>
  <c r="BL135" i="2"/>
  <c r="AX135" i="2"/>
  <c r="AB135" i="2"/>
  <c r="G135" i="2"/>
  <c r="BS134" i="2"/>
  <c r="BE134" i="2"/>
  <c r="AH134" i="2"/>
  <c r="V134" i="2"/>
  <c r="BZ133" i="2"/>
  <c r="BL133" i="2"/>
  <c r="AX133" i="2"/>
  <c r="AB133" i="2"/>
  <c r="G133" i="2"/>
  <c r="BS132" i="2"/>
  <c r="BE132" i="2"/>
  <c r="AH132" i="2"/>
  <c r="V132" i="2"/>
  <c r="BZ131" i="2"/>
  <c r="BL131" i="2"/>
  <c r="AX131" i="2"/>
  <c r="AB131" i="2"/>
  <c r="F131" i="2"/>
  <c r="BR130" i="2"/>
  <c r="BD130" i="2"/>
  <c r="AG130" i="2"/>
  <c r="U130" i="2"/>
  <c r="C130" i="2"/>
  <c r="BN129" i="2"/>
  <c r="AZ129" i="2"/>
  <c r="AD129" i="2"/>
  <c r="I129" i="2"/>
  <c r="CH128" i="2"/>
  <c r="BT128" i="2"/>
  <c r="BF128" i="2"/>
  <c r="AI128" i="2"/>
  <c r="W128" i="2"/>
  <c r="D128" i="2"/>
  <c r="BP127" i="2"/>
  <c r="BA127" i="2"/>
  <c r="AE127" i="2"/>
  <c r="J127" i="2"/>
  <c r="BW126" i="2"/>
  <c r="BH126" i="2"/>
  <c r="AK126" i="2"/>
  <c r="Y126" i="2"/>
  <c r="D126" i="2"/>
  <c r="BP125" i="2"/>
  <c r="BA125" i="2"/>
  <c r="AE125" i="2"/>
  <c r="J125" i="2"/>
  <c r="BW124" i="2"/>
  <c r="BH124" i="2"/>
  <c r="AK124" i="2"/>
  <c r="Y124" i="2"/>
  <c r="D124" i="2"/>
  <c r="BP123" i="2"/>
  <c r="BA123" i="2"/>
  <c r="AE123" i="2"/>
  <c r="J123" i="2"/>
  <c r="BW122" i="2"/>
  <c r="BH122" i="2"/>
  <c r="AK122" i="2"/>
  <c r="Y122" i="2"/>
  <c r="D122" i="2"/>
  <c r="BX121" i="2"/>
  <c r="BJ121" i="2"/>
  <c r="AV121" i="2"/>
  <c r="AJ121" i="2"/>
  <c r="X121" i="2"/>
  <c r="D121" i="2"/>
  <c r="BX120" i="2"/>
  <c r="BJ120" i="2"/>
  <c r="AL120" i="2"/>
  <c r="Z120" i="2"/>
  <c r="I120" i="2"/>
  <c r="CO119" i="2"/>
  <c r="BP119" i="2"/>
  <c r="BA119" i="2"/>
  <c r="AO119" i="2"/>
  <c r="AC119" i="2"/>
  <c r="J119" i="2"/>
  <c r="CI118" i="2"/>
  <c r="BV118" i="2"/>
  <c r="BG118" i="2"/>
  <c r="AJ118" i="2"/>
  <c r="X118" i="2"/>
  <c r="H118" i="2"/>
  <c r="CG117" i="2"/>
  <c r="BS117" i="2"/>
  <c r="BE117" i="2"/>
  <c r="AH117" i="2"/>
  <c r="V117" i="2"/>
  <c r="F117" i="2"/>
  <c r="BR116" i="2"/>
  <c r="BD116" i="2"/>
  <c r="AG116" i="2"/>
  <c r="U116" i="2"/>
  <c r="BY115" i="2"/>
  <c r="BK115" i="2"/>
  <c r="AR115" i="2"/>
  <c r="AA115" i="2"/>
  <c r="F115" i="2"/>
  <c r="BR114" i="2"/>
  <c r="BD114" i="2"/>
  <c r="AG114" i="2"/>
  <c r="U114" i="2"/>
  <c r="BY113" i="2"/>
  <c r="X302" i="2"/>
  <c r="Y286" i="2"/>
  <c r="AL274" i="2"/>
  <c r="AY266" i="2"/>
  <c r="BY260" i="2"/>
  <c r="X258" i="2"/>
  <c r="BP256" i="2"/>
  <c r="AX255" i="2"/>
  <c r="AC254" i="2"/>
  <c r="R253" i="2"/>
  <c r="BR251" i="2"/>
  <c r="AI250" i="2"/>
  <c r="U249" i="2"/>
  <c r="CR247" i="2"/>
  <c r="BM246" i="2"/>
  <c r="AK245" i="2"/>
  <c r="J244" i="2"/>
  <c r="CR242" i="2"/>
  <c r="CE241" i="2"/>
  <c r="BX240" i="2"/>
  <c r="BQ239" i="2"/>
  <c r="BK238" i="2"/>
  <c r="BE237" i="2"/>
  <c r="AX236" i="2"/>
  <c r="AG235" i="2"/>
  <c r="X234" i="2"/>
  <c r="BW232" i="2"/>
  <c r="AY231" i="2"/>
  <c r="AE230" i="2"/>
  <c r="W229" i="2"/>
  <c r="CE227" i="2"/>
  <c r="BP226" i="2"/>
  <c r="AL225" i="2"/>
  <c r="AG224" i="2"/>
  <c r="BF223" i="2"/>
  <c r="BE222" i="2"/>
  <c r="BA221" i="2"/>
  <c r="CK220" i="2"/>
  <c r="AB220" i="2"/>
  <c r="BN219" i="2"/>
  <c r="G219" i="2"/>
  <c r="BB218" i="2"/>
  <c r="CR217" i="2"/>
  <c r="AK217" i="2"/>
  <c r="CK216" i="2"/>
  <c r="AD216" i="2"/>
  <c r="BZ215" i="2"/>
  <c r="AX215" i="2"/>
  <c r="U215" i="2"/>
  <c r="BS214" i="2"/>
  <c r="AX214" i="2"/>
  <c r="X214" i="2"/>
  <c r="C214" i="2"/>
  <c r="BL213" i="2"/>
  <c r="AX213" i="2"/>
  <c r="AB213" i="2"/>
  <c r="E213" i="2"/>
  <c r="BQ212" i="2"/>
  <c r="BD212" i="2"/>
  <c r="AG212" i="2"/>
  <c r="U212" i="2"/>
  <c r="BW211" i="2"/>
  <c r="BJ211" i="2"/>
  <c r="AL211" i="2"/>
  <c r="Z211" i="2"/>
  <c r="C211" i="2"/>
  <c r="BO210" i="2"/>
  <c r="BA210" i="2"/>
  <c r="AE210" i="2"/>
  <c r="H210" i="2"/>
  <c r="BT209" i="2"/>
  <c r="BG209" i="2"/>
  <c r="AJ209" i="2"/>
  <c r="X209" i="2"/>
  <c r="BZ208" i="2"/>
  <c r="BL208" i="2"/>
  <c r="AX208" i="2"/>
  <c r="AB208" i="2"/>
  <c r="I208" i="2"/>
  <c r="BV207" i="2"/>
  <c r="BG207" i="2"/>
  <c r="AJ207" i="2"/>
  <c r="X207" i="2"/>
  <c r="BZ206" i="2"/>
  <c r="BL206" i="2"/>
  <c r="AX206" i="2"/>
  <c r="AB206" i="2"/>
  <c r="H206" i="2"/>
  <c r="BT205" i="2"/>
  <c r="BF205" i="2"/>
  <c r="AI205" i="2"/>
  <c r="W205" i="2"/>
  <c r="BY204" i="2"/>
  <c r="BK204" i="2"/>
  <c r="AR204" i="2"/>
  <c r="AA204" i="2"/>
  <c r="D204" i="2"/>
  <c r="BP203" i="2"/>
  <c r="BA203" i="2"/>
  <c r="AE203" i="2"/>
  <c r="H203" i="2"/>
  <c r="BT202" i="2"/>
  <c r="BF202" i="2"/>
  <c r="AI202" i="2"/>
  <c r="W202" i="2"/>
  <c r="E202" i="2"/>
  <c r="BQ201" i="2"/>
  <c r="BB201" i="2"/>
  <c r="AF201" i="2"/>
  <c r="N201" i="2"/>
  <c r="BV200" i="2"/>
  <c r="BG200" i="2"/>
  <c r="AJ200" i="2"/>
  <c r="X200" i="2"/>
  <c r="BZ199" i="2"/>
  <c r="BL199" i="2"/>
  <c r="AX199" i="2"/>
  <c r="AB199" i="2"/>
  <c r="E199" i="2"/>
  <c r="BQ198" i="2"/>
  <c r="BB198" i="2"/>
  <c r="AF198" i="2"/>
  <c r="R198" i="2"/>
  <c r="C198" i="2"/>
  <c r="BN197" i="2"/>
  <c r="AZ197" i="2"/>
  <c r="AD197" i="2"/>
  <c r="G197" i="2"/>
  <c r="BS196" i="2"/>
  <c r="BE196" i="2"/>
  <c r="AH196" i="2"/>
  <c r="V196" i="2"/>
  <c r="BX195" i="2"/>
  <c r="BJ195" i="2"/>
  <c r="AL195" i="2"/>
  <c r="Z195" i="2"/>
  <c r="H195" i="2"/>
  <c r="BT194" i="2"/>
  <c r="BF194" i="2"/>
  <c r="AI194" i="2"/>
  <c r="W194" i="2"/>
  <c r="E194" i="2"/>
  <c r="BQ193" i="2"/>
  <c r="BB193" i="2"/>
  <c r="AF193" i="2"/>
  <c r="P193" i="2"/>
  <c r="B193" i="2"/>
  <c r="BM192" i="2"/>
  <c r="AY192" i="2"/>
  <c r="AC192" i="2"/>
  <c r="F192" i="2"/>
  <c r="BR191" i="2"/>
  <c r="BD191" i="2"/>
  <c r="AG191" i="2"/>
  <c r="U191" i="2"/>
  <c r="BW190" i="2"/>
  <c r="BH190" i="2"/>
  <c r="AK190" i="2"/>
  <c r="Y190" i="2"/>
  <c r="B190" i="2"/>
  <c r="BM189" i="2"/>
  <c r="AY189" i="2"/>
  <c r="AC189" i="2"/>
  <c r="F189" i="2"/>
  <c r="BR188" i="2"/>
  <c r="BD188" i="2"/>
  <c r="AG188" i="2"/>
  <c r="U188" i="2"/>
  <c r="D188" i="2"/>
  <c r="BP187" i="2"/>
  <c r="BA187" i="2"/>
  <c r="AE187" i="2"/>
  <c r="P187" i="2"/>
  <c r="B187" i="2"/>
  <c r="BM186" i="2"/>
  <c r="AY186" i="2"/>
  <c r="AC186" i="2"/>
  <c r="L186" i="2"/>
  <c r="BY185" i="2"/>
  <c r="BK185" i="2"/>
  <c r="AR185" i="2"/>
  <c r="AA185" i="2"/>
  <c r="H185" i="2"/>
  <c r="BT184" i="2"/>
  <c r="BF184" i="2"/>
  <c r="AI184" i="2"/>
  <c r="W184" i="2"/>
  <c r="D184" i="2"/>
  <c r="BP183" i="2"/>
  <c r="BA183" i="2"/>
  <c r="AE183" i="2"/>
  <c r="P183" i="2"/>
  <c r="BY182" i="2"/>
  <c r="BK182" i="2"/>
  <c r="AR182" i="2"/>
  <c r="AA182" i="2"/>
  <c r="H182" i="2"/>
  <c r="BT181" i="2"/>
  <c r="BF181" i="2"/>
  <c r="AJ181" i="2"/>
  <c r="X181" i="2"/>
  <c r="BZ180" i="2"/>
  <c r="BL180" i="2"/>
  <c r="AY180" i="2"/>
  <c r="AC180" i="2"/>
  <c r="F180" i="2"/>
  <c r="BR179" i="2"/>
  <c r="BD179" i="2"/>
  <c r="AG179" i="2"/>
  <c r="U179" i="2"/>
  <c r="B179" i="2"/>
  <c r="BM178" i="2"/>
  <c r="AY178" i="2"/>
  <c r="AC178" i="2"/>
  <c r="J178" i="2"/>
  <c r="BW177" i="2"/>
  <c r="BH177" i="2"/>
  <c r="AK177" i="2"/>
  <c r="Y177" i="2"/>
  <c r="F177" i="2"/>
  <c r="BR176" i="2"/>
  <c r="BD176" i="2"/>
  <c r="AG176" i="2"/>
  <c r="U176" i="2"/>
  <c r="B176" i="2"/>
  <c r="BM175" i="2"/>
  <c r="AY175" i="2"/>
  <c r="AC175" i="2"/>
  <c r="J175" i="2"/>
  <c r="BW174" i="2"/>
  <c r="BH174" i="2"/>
  <c r="AK174" i="2"/>
  <c r="Y174" i="2"/>
  <c r="F174" i="2"/>
  <c r="BR173" i="2"/>
  <c r="BD173" i="2"/>
  <c r="AH173" i="2"/>
  <c r="V173" i="2"/>
  <c r="BX172" i="2"/>
  <c r="BJ172" i="2"/>
  <c r="AL172" i="2"/>
  <c r="Z172" i="2"/>
  <c r="G172" i="2"/>
  <c r="BS171" i="2"/>
  <c r="BE171" i="2"/>
  <c r="AH171" i="2"/>
  <c r="V171" i="2"/>
  <c r="C171" i="2"/>
  <c r="BN170" i="2"/>
  <c r="BA170" i="2"/>
  <c r="AE170" i="2"/>
  <c r="H170" i="2"/>
  <c r="BT169" i="2"/>
  <c r="BF169" i="2"/>
  <c r="AI169" i="2"/>
  <c r="W169" i="2"/>
  <c r="D169" i="2"/>
  <c r="BP168" i="2"/>
  <c r="BB168" i="2"/>
  <c r="AF168" i="2"/>
  <c r="N168" i="2"/>
  <c r="BV167" i="2"/>
  <c r="BG167" i="2"/>
  <c r="AJ167" i="2"/>
  <c r="X167" i="2"/>
  <c r="E167" i="2"/>
  <c r="BQ166" i="2"/>
  <c r="BB166" i="2"/>
  <c r="AF166" i="2"/>
  <c r="R166" i="2"/>
  <c r="B166" i="2"/>
  <c r="BM165" i="2"/>
  <c r="AY165" i="2"/>
  <c r="AC165" i="2"/>
  <c r="F165" i="2"/>
  <c r="BR164" i="2"/>
  <c r="BD164" i="2"/>
  <c r="AG164" i="2"/>
  <c r="U164" i="2"/>
  <c r="BW163" i="2"/>
  <c r="BH163" i="2"/>
  <c r="AK163" i="2"/>
  <c r="Y163" i="2"/>
  <c r="B163" i="2"/>
  <c r="BM162" i="2"/>
  <c r="AY162" i="2"/>
  <c r="AC162" i="2"/>
  <c r="F162" i="2"/>
  <c r="BR161" i="2"/>
  <c r="BD161" i="2"/>
  <c r="AG161" i="2"/>
  <c r="U161" i="2"/>
  <c r="BW160" i="2"/>
  <c r="BH160" i="2"/>
  <c r="AK160" i="2"/>
  <c r="Y160" i="2"/>
  <c r="B160" i="2"/>
  <c r="BM159" i="2"/>
  <c r="AY159" i="2"/>
  <c r="AC159" i="2"/>
  <c r="F159" i="2"/>
  <c r="BR158" i="2"/>
  <c r="BD158" i="2"/>
  <c r="AG158" i="2"/>
  <c r="U158" i="2"/>
  <c r="BW157" i="2"/>
  <c r="BH157" i="2"/>
  <c r="AK157" i="2"/>
  <c r="Y157" i="2"/>
  <c r="B157" i="2"/>
  <c r="BM156" i="2"/>
  <c r="AY156" i="2"/>
  <c r="AC156" i="2"/>
  <c r="F156" i="2"/>
  <c r="BR155" i="2"/>
  <c r="BD155" i="2"/>
  <c r="AG155" i="2"/>
  <c r="U155" i="2"/>
  <c r="BW154" i="2"/>
  <c r="BH154" i="2"/>
  <c r="AK154" i="2"/>
  <c r="Y154" i="2"/>
  <c r="B154" i="2"/>
  <c r="BM153" i="2"/>
  <c r="AY153" i="2"/>
  <c r="AC153" i="2"/>
  <c r="F153" i="2"/>
  <c r="BR152" i="2"/>
  <c r="BD152" i="2"/>
  <c r="AG152" i="2"/>
  <c r="U152" i="2"/>
  <c r="BW151" i="2"/>
  <c r="BH151" i="2"/>
  <c r="AU151" i="2"/>
  <c r="AI151" i="2"/>
  <c r="W151" i="2"/>
  <c r="BY150" i="2"/>
  <c r="BK150" i="2"/>
  <c r="AW150" i="2"/>
  <c r="AK150" i="2"/>
  <c r="Y150" i="2"/>
  <c r="B150" i="2"/>
  <c r="BM149" i="2"/>
  <c r="AY149" i="2"/>
  <c r="AH149" i="2"/>
  <c r="V149" i="2"/>
  <c r="BX148" i="2"/>
  <c r="BJ148" i="2"/>
  <c r="AQ148" i="2"/>
  <c r="AE148" i="2"/>
  <c r="H148" i="2"/>
  <c r="BT147" i="2"/>
  <c r="BF147" i="2"/>
  <c r="AI147" i="2"/>
  <c r="W147" i="2"/>
  <c r="BY146" i="2"/>
  <c r="BK146" i="2"/>
  <c r="AR146" i="2"/>
  <c r="AA146" i="2"/>
  <c r="F146" i="2"/>
  <c r="BR145" i="2"/>
  <c r="BD145" i="2"/>
  <c r="AG145" i="2"/>
  <c r="U145" i="2"/>
  <c r="BY144" i="2"/>
  <c r="BK144" i="2"/>
  <c r="AR144" i="2"/>
  <c r="AA144" i="2"/>
  <c r="D144" i="2"/>
  <c r="BP143" i="2"/>
  <c r="BA143" i="2"/>
  <c r="AE143" i="2"/>
  <c r="H143" i="2"/>
  <c r="BT142" i="2"/>
  <c r="BF142" i="2"/>
  <c r="AI142" i="2"/>
  <c r="W142" i="2"/>
  <c r="BY141" i="2"/>
  <c r="BK141" i="2"/>
  <c r="AR141" i="2"/>
  <c r="AA141" i="2"/>
  <c r="D141" i="2"/>
  <c r="BP140" i="2"/>
  <c r="BA140" i="2"/>
  <c r="AE140" i="2"/>
  <c r="H140" i="2"/>
  <c r="BT139" i="2"/>
  <c r="BF139" i="2"/>
  <c r="AI139" i="2"/>
  <c r="W139" i="2"/>
  <c r="BY138" i="2"/>
  <c r="BK138" i="2"/>
  <c r="AR138" i="2"/>
  <c r="AA138" i="2"/>
  <c r="D138" i="2"/>
  <c r="BP137" i="2"/>
  <c r="BA137" i="2"/>
  <c r="AE137" i="2"/>
  <c r="H137" i="2"/>
  <c r="BT136" i="2"/>
  <c r="BF136" i="2"/>
  <c r="AI136" i="2"/>
  <c r="W136" i="2"/>
  <c r="BY135" i="2"/>
  <c r="BK135" i="2"/>
  <c r="AR135" i="2"/>
  <c r="AA135" i="2"/>
  <c r="F135" i="2"/>
  <c r="BR134" i="2"/>
  <c r="BD134" i="2"/>
  <c r="AG134" i="2"/>
  <c r="U134" i="2"/>
  <c r="BY133" i="2"/>
  <c r="BK133" i="2"/>
  <c r="AR133" i="2"/>
  <c r="AA133" i="2"/>
  <c r="F133" i="2"/>
  <c r="BR132" i="2"/>
  <c r="BD132" i="2"/>
  <c r="AG132" i="2"/>
  <c r="U132" i="2"/>
  <c r="BY131" i="2"/>
  <c r="BK131" i="2"/>
  <c r="AR131" i="2"/>
  <c r="AA131" i="2"/>
  <c r="E131" i="2"/>
  <c r="BQ130" i="2"/>
  <c r="BB130" i="2"/>
  <c r="AF130" i="2"/>
  <c r="P130" i="2"/>
  <c r="B130" i="2"/>
  <c r="BM129" i="2"/>
  <c r="AY129" i="2"/>
  <c r="AC129" i="2"/>
  <c r="H129" i="2"/>
  <c r="CG128" i="2"/>
  <c r="BS128" i="2"/>
  <c r="BE128" i="2"/>
  <c r="AH128" i="2"/>
  <c r="V128" i="2"/>
  <c r="C128" i="2"/>
  <c r="BN127" i="2"/>
  <c r="AZ127" i="2"/>
  <c r="AD127" i="2"/>
  <c r="I127" i="2"/>
  <c r="BV126" i="2"/>
  <c r="BG126" i="2"/>
  <c r="AJ126" i="2"/>
  <c r="X126" i="2"/>
  <c r="C126" i="2"/>
  <c r="BN125" i="2"/>
  <c r="AZ125" i="2"/>
  <c r="AD125" i="2"/>
  <c r="I125" i="2"/>
  <c r="BV124" i="2"/>
  <c r="BG124" i="2"/>
  <c r="AJ124" i="2"/>
  <c r="X124" i="2"/>
  <c r="C124" i="2"/>
  <c r="BN123" i="2"/>
  <c r="AZ123" i="2"/>
  <c r="AD123" i="2"/>
  <c r="I123" i="2"/>
  <c r="BV122" i="2"/>
  <c r="BG122" i="2"/>
  <c r="AJ122" i="2"/>
  <c r="X122" i="2"/>
  <c r="C122" i="2"/>
  <c r="BW121" i="2"/>
  <c r="BH121" i="2"/>
  <c r="AU121" i="2"/>
  <c r="AI121" i="2"/>
  <c r="W121" i="2"/>
  <c r="C121" i="2"/>
  <c r="BW120" i="2"/>
  <c r="BH120" i="2"/>
  <c r="AK120" i="2"/>
  <c r="Y120" i="2"/>
  <c r="H120" i="2"/>
  <c r="CN119" i="2"/>
  <c r="BN119" i="2"/>
  <c r="AZ119" i="2"/>
  <c r="AN119" i="2"/>
  <c r="AB119" i="2"/>
  <c r="I119" i="2"/>
  <c r="CH118" i="2"/>
  <c r="BT118" i="2"/>
  <c r="BF118" i="2"/>
  <c r="AI118" i="2"/>
  <c r="W118" i="2"/>
  <c r="G118" i="2"/>
  <c r="CF117" i="2"/>
  <c r="BR117" i="2"/>
  <c r="BD117" i="2"/>
  <c r="AH299" i="2"/>
  <c r="BG283" i="2"/>
  <c r="E273" i="2"/>
  <c r="AB265" i="2"/>
  <c r="Y260" i="2"/>
  <c r="BX257" i="2"/>
  <c r="BA256" i="2"/>
  <c r="Z255" i="2"/>
  <c r="K254" i="2"/>
  <c r="D253" i="2"/>
  <c r="BD251" i="2"/>
  <c r="U250" i="2"/>
  <c r="C249" i="2"/>
  <c r="BS247" i="2"/>
  <c r="AY246" i="2"/>
  <c r="Y245" i="2"/>
  <c r="CP243" i="2"/>
  <c r="BW242" i="2"/>
  <c r="BQ241" i="2"/>
  <c r="BJ240" i="2"/>
  <c r="BB239" i="2"/>
  <c r="AR238" i="2"/>
  <c r="AH237" i="2"/>
  <c r="AB236" i="2"/>
  <c r="U235" i="2"/>
  <c r="F234" i="2"/>
  <c r="BH232" i="2"/>
  <c r="AC231" i="2"/>
  <c r="N230" i="2"/>
  <c r="E229" i="2"/>
  <c r="BQ227" i="2"/>
  <c r="BA226" i="2"/>
  <c r="Z225" i="2"/>
  <c r="S224" i="2"/>
  <c r="AI223" i="2"/>
  <c r="AH222" i="2"/>
  <c r="AE221" i="2"/>
  <c r="BV220" i="2"/>
  <c r="V220" i="2"/>
  <c r="BG219" i="2"/>
  <c r="CS218" i="2"/>
  <c r="AL218" i="2"/>
  <c r="CL217" i="2"/>
  <c r="AE217" i="2"/>
  <c r="BV216" i="2"/>
  <c r="X216" i="2"/>
  <c r="BT215" i="2"/>
  <c r="AK215" i="2"/>
  <c r="I215" i="2"/>
  <c r="BN214" i="2"/>
  <c r="AK214" i="2"/>
  <c r="V214" i="2"/>
  <c r="BY213" i="2"/>
  <c r="BJ213" i="2"/>
  <c r="AL213" i="2"/>
  <c r="BE299" i="2"/>
  <c r="D249" i="2"/>
  <c r="V235" i="2"/>
  <c r="AF221" i="2"/>
  <c r="J215" i="2"/>
  <c r="BO212" i="2"/>
  <c r="AJ211" i="2"/>
  <c r="F210" i="2"/>
  <c r="BJ208" i="2"/>
  <c r="AH207" i="2"/>
  <c r="F206" i="2"/>
  <c r="BH204" i="2"/>
  <c r="AC203" i="2"/>
  <c r="C202" i="2"/>
  <c r="BE200" i="2"/>
  <c r="Z199" i="2"/>
  <c r="BZ197" i="2"/>
  <c r="BB196" i="2"/>
  <c r="X195" i="2"/>
  <c r="C194" i="2"/>
  <c r="BK192" i="2"/>
  <c r="AE191" i="2"/>
  <c r="BY189" i="2"/>
  <c r="BA188" i="2"/>
  <c r="AC187" i="2"/>
  <c r="J186" i="2"/>
  <c r="BR184" i="2"/>
  <c r="AY183" i="2"/>
  <c r="Y182" i="2"/>
  <c r="BX180" i="2"/>
  <c r="BA179" i="2"/>
  <c r="AA178" i="2"/>
  <c r="D177" i="2"/>
  <c r="BK175" i="2"/>
  <c r="AI174" i="2"/>
  <c r="N173" i="2"/>
  <c r="BQ171" i="2"/>
  <c r="AY170" i="2"/>
  <c r="U169" i="2"/>
  <c r="BS167" i="2"/>
  <c r="AZ166" i="2"/>
  <c r="AA165" i="2"/>
  <c r="BT163" i="2"/>
  <c r="AR162" i="2"/>
  <c r="H161" i="2"/>
  <c r="BK159" i="2"/>
  <c r="AE158" i="2"/>
  <c r="BY156" i="2"/>
  <c r="BA155" i="2"/>
  <c r="W154" i="2"/>
  <c r="BP152" i="2"/>
  <c r="AS151" i="2"/>
  <c r="AI150" i="2"/>
  <c r="N149" i="2"/>
  <c r="BR147" i="2"/>
  <c r="AK146" i="2"/>
  <c r="J145" i="2"/>
  <c r="BM143" i="2"/>
  <c r="AG142" i="2"/>
  <c r="C141" i="2"/>
  <c r="G140" i="2"/>
  <c r="V139" i="2"/>
  <c r="Z138" i="2"/>
  <c r="AD137" i="2"/>
  <c r="AH136" i="2"/>
  <c r="AL135" i="2"/>
  <c r="BB134" i="2"/>
  <c r="BJ133" i="2"/>
  <c r="BQ132" i="2"/>
  <c r="BX131" i="2"/>
  <c r="D131" i="2"/>
  <c r="N130" i="2"/>
  <c r="AB129" i="2"/>
  <c r="BD128" i="2"/>
  <c r="BM127" i="2"/>
  <c r="BT126" i="2"/>
  <c r="V126" i="2"/>
  <c r="AX125" i="2"/>
  <c r="BS124" i="2"/>
  <c r="V124" i="2"/>
  <c r="AX123" i="2"/>
  <c r="BS122" i="2"/>
  <c r="V122" i="2"/>
  <c r="BF121" i="2"/>
  <c r="U121" i="2"/>
  <c r="BP120" i="2"/>
  <c r="X120" i="2"/>
  <c r="CS119" i="2"/>
  <c r="BJ119" i="2"/>
  <c r="AL119" i="2"/>
  <c r="P119" i="2"/>
  <c r="CB118" i="2"/>
  <c r="BB118" i="2"/>
  <c r="V118" i="2"/>
  <c r="CK117" i="2"/>
  <c r="BM117" i="2"/>
  <c r="AF117" i="2"/>
  <c r="K117" i="2"/>
  <c r="BV116" i="2"/>
  <c r="BE116" i="2"/>
  <c r="AE116" i="2"/>
  <c r="H116" i="2"/>
  <c r="BQ115" i="2"/>
  <c r="AZ115" i="2"/>
  <c r="AB115" i="2"/>
  <c r="D115" i="2"/>
  <c r="BM114" i="2"/>
  <c r="AL114" i="2"/>
  <c r="X114" i="2"/>
  <c r="BZ113" i="2"/>
  <c r="BK113" i="2"/>
  <c r="AR113" i="2"/>
  <c r="AA113" i="2"/>
  <c r="F113" i="2"/>
  <c r="BZ112" i="2"/>
  <c r="BL112" i="2"/>
  <c r="AX112" i="2"/>
  <c r="AB112" i="2"/>
  <c r="J112" i="2"/>
  <c r="CP111" i="2"/>
  <c r="BQ111" i="2"/>
  <c r="BB111" i="2"/>
  <c r="AF111" i="2"/>
  <c r="T111" i="2"/>
  <c r="CS110" i="2"/>
  <c r="BX110" i="2"/>
  <c r="BJ110" i="2"/>
  <c r="AV110" i="2"/>
  <c r="AE110" i="2"/>
  <c r="P110" i="2"/>
  <c r="B110" i="2"/>
  <c r="BY109" i="2"/>
  <c r="BK109" i="2"/>
  <c r="AR109" i="2"/>
  <c r="AA109" i="2"/>
  <c r="J109" i="2"/>
  <c r="BV108" i="2"/>
  <c r="BD108" i="2"/>
  <c r="AF108" i="2"/>
  <c r="F108" i="2"/>
  <c r="BP107" i="2"/>
  <c r="AX107" i="2"/>
  <c r="Y107" i="2"/>
  <c r="B107" i="2"/>
  <c r="BJ106" i="2"/>
  <c r="AJ106" i="2"/>
  <c r="U106" i="2"/>
  <c r="BV105" i="2"/>
  <c r="BD105" i="2"/>
  <c r="AF105" i="2"/>
  <c r="F105" i="2"/>
  <c r="BP104" i="2"/>
  <c r="AX104" i="2"/>
  <c r="Y104" i="2"/>
  <c r="B104" i="2"/>
  <c r="BJ103" i="2"/>
  <c r="AJ103" i="2"/>
  <c r="U103" i="2"/>
  <c r="BV102" i="2"/>
  <c r="BD102" i="2"/>
  <c r="AF102" i="2"/>
  <c r="F102" i="2"/>
  <c r="BP101" i="2"/>
  <c r="AX101" i="2"/>
  <c r="Y101" i="2"/>
  <c r="B101" i="2"/>
  <c r="BJ100" i="2"/>
  <c r="AJ100" i="2"/>
  <c r="U100" i="2"/>
  <c r="BT99" i="2"/>
  <c r="BB99" i="2"/>
  <c r="AB99" i="2"/>
  <c r="E99" i="2"/>
  <c r="BN98" i="2"/>
  <c r="AR98" i="2"/>
  <c r="X98" i="2"/>
  <c r="BZ97" i="2"/>
  <c r="BH97" i="2"/>
  <c r="AI97" i="2"/>
  <c r="N97" i="2"/>
  <c r="BT96" i="2"/>
  <c r="BB96" i="2"/>
  <c r="AB96" i="2"/>
  <c r="E96" i="2"/>
  <c r="BN95" i="2"/>
  <c r="AR95" i="2"/>
  <c r="X95" i="2"/>
  <c r="BZ94" i="2"/>
  <c r="BH94" i="2"/>
  <c r="AI94" i="2"/>
  <c r="N94" i="2"/>
  <c r="BT93" i="2"/>
  <c r="BB93" i="2"/>
  <c r="AB93" i="2"/>
  <c r="E93" i="2"/>
  <c r="BN92" i="2"/>
  <c r="AR92" i="2"/>
  <c r="X92" i="2"/>
  <c r="BZ91" i="2"/>
  <c r="BH91" i="2"/>
  <c r="AI91" i="2"/>
  <c r="N91" i="2"/>
  <c r="CD90" i="2"/>
  <c r="BK90" i="2"/>
  <c r="AK90" i="2"/>
  <c r="V90" i="2"/>
  <c r="B90" i="2"/>
  <c r="BJ89" i="2"/>
  <c r="AJ89" i="2"/>
  <c r="U89" i="2"/>
  <c r="BV88" i="2"/>
  <c r="BD88" i="2"/>
  <c r="AF88" i="2"/>
  <c r="F88" i="2"/>
  <c r="BP87" i="2"/>
  <c r="AX87" i="2"/>
  <c r="Y87" i="2"/>
  <c r="B87" i="2"/>
  <c r="BJ86" i="2"/>
  <c r="AJ86" i="2"/>
  <c r="U86" i="2"/>
  <c r="BW85" i="2"/>
  <c r="BE85" i="2"/>
  <c r="AG85" i="2"/>
  <c r="H85" i="2"/>
  <c r="CN84" i="2"/>
  <c r="BN84" i="2"/>
  <c r="AR84" i="2"/>
  <c r="X84" i="2"/>
  <c r="B84" i="2"/>
  <c r="BL83" i="2"/>
  <c r="AL83" i="2"/>
  <c r="W83" i="2"/>
  <c r="CS82" i="2"/>
  <c r="BV82" i="2"/>
  <c r="BD82" i="2"/>
  <c r="AF82" i="2"/>
  <c r="G82" i="2"/>
  <c r="BR81" i="2"/>
  <c r="AZ81" i="2"/>
  <c r="AA81" i="2"/>
  <c r="F81" i="2"/>
  <c r="BQ80" i="2"/>
  <c r="AY80" i="2"/>
  <c r="Z80" i="2"/>
  <c r="D80" i="2"/>
  <c r="BL79" i="2"/>
  <c r="AL79" i="2"/>
  <c r="W79" i="2"/>
  <c r="BX78" i="2"/>
  <c r="BF78" i="2"/>
  <c r="AH78" i="2"/>
  <c r="J78" i="2"/>
  <c r="BT77" i="2"/>
  <c r="BB77" i="2"/>
  <c r="AB77" i="2"/>
  <c r="E77" i="2"/>
  <c r="BX76" i="2"/>
  <c r="BF76" i="2"/>
  <c r="AH76" i="2"/>
  <c r="O76" i="2"/>
  <c r="BW75" i="2"/>
  <c r="BE75" i="2"/>
  <c r="AG75" i="2"/>
  <c r="H75" i="2"/>
  <c r="CN74" i="2"/>
  <c r="BP74" i="2"/>
  <c r="AX74" i="2"/>
  <c r="AB74" i="2"/>
  <c r="L74" i="2"/>
  <c r="BX73" i="2"/>
  <c r="BF73" i="2"/>
  <c r="AH73" i="2"/>
  <c r="J73" i="2"/>
  <c r="BT72" i="2"/>
  <c r="BB72" i="2"/>
  <c r="AB72" i="2"/>
  <c r="D72" i="2"/>
  <c r="BL71" i="2"/>
  <c r="AL71" i="2"/>
  <c r="W71" i="2"/>
  <c r="BW70" i="2"/>
  <c r="BE70" i="2"/>
  <c r="AG70" i="2"/>
  <c r="F70" i="2"/>
  <c r="BP69" i="2"/>
  <c r="AX69" i="2"/>
  <c r="Y69" i="2"/>
  <c r="B69" i="2"/>
  <c r="BJ68" i="2"/>
  <c r="AJ68" i="2"/>
  <c r="U68" i="2"/>
  <c r="BV67" i="2"/>
  <c r="BD67" i="2"/>
  <c r="AF67" i="2"/>
  <c r="F67" i="2"/>
  <c r="BP66" i="2"/>
  <c r="AX66" i="2"/>
  <c r="Y66" i="2"/>
  <c r="B66" i="2"/>
  <c r="BJ65" i="2"/>
  <c r="AJ65" i="2"/>
  <c r="U65" i="2"/>
  <c r="BT64" i="2"/>
  <c r="BB64" i="2"/>
  <c r="AB64" i="2"/>
  <c r="D64" i="2"/>
  <c r="BL63" i="2"/>
  <c r="AL63" i="2"/>
  <c r="W63" i="2"/>
  <c r="BX62" i="2"/>
  <c r="BF62" i="2"/>
  <c r="AH62" i="2"/>
  <c r="H62" i="2"/>
  <c r="BR61" i="2"/>
  <c r="AZ61" i="2"/>
  <c r="AA61" i="2"/>
  <c r="C61" i="2"/>
  <c r="BK60" i="2"/>
  <c r="AK60" i="2"/>
  <c r="V60" i="2"/>
  <c r="BX59" i="2"/>
  <c r="BF59" i="2"/>
  <c r="AH59" i="2"/>
  <c r="H59" i="2"/>
  <c r="BW58" i="2"/>
  <c r="BE58" i="2"/>
  <c r="AG58" i="2"/>
  <c r="H58" i="2"/>
  <c r="BR57" i="2"/>
  <c r="AZ57" i="2"/>
  <c r="AA57" i="2"/>
  <c r="D57" i="2"/>
  <c r="BL56" i="2"/>
  <c r="AL56" i="2"/>
  <c r="W56" i="2"/>
  <c r="BW55" i="2"/>
  <c r="BE55" i="2"/>
  <c r="AG55" i="2"/>
  <c r="F55" i="2"/>
  <c r="BP54" i="2"/>
  <c r="AX54" i="2"/>
  <c r="Y54" i="2"/>
  <c r="B54" i="2"/>
  <c r="BJ53" i="2"/>
  <c r="AJ53" i="2"/>
  <c r="U53" i="2"/>
  <c r="BT52" i="2"/>
  <c r="BB52" i="2"/>
  <c r="AB52" i="2"/>
  <c r="D52" i="2"/>
  <c r="BL51" i="2"/>
  <c r="AL51" i="2"/>
  <c r="W51" i="2"/>
  <c r="BX50" i="2"/>
  <c r="BF50" i="2"/>
  <c r="AH50" i="2"/>
  <c r="H50" i="2"/>
  <c r="BR49" i="2"/>
  <c r="AZ49" i="2"/>
  <c r="AA49" i="2"/>
  <c r="D49" i="2"/>
  <c r="BL48" i="2"/>
  <c r="AL48" i="2"/>
  <c r="W48" i="2"/>
  <c r="BW47" i="2"/>
  <c r="BE47" i="2"/>
  <c r="AG47" i="2"/>
  <c r="G47" i="2"/>
  <c r="BQ46" i="2"/>
  <c r="AY46" i="2"/>
  <c r="Z46" i="2"/>
  <c r="C46" i="2"/>
  <c r="BK45" i="2"/>
  <c r="AK45" i="2"/>
  <c r="V45" i="2"/>
  <c r="BV44" i="2"/>
  <c r="BD44" i="2"/>
  <c r="AF44" i="2"/>
  <c r="F44" i="2"/>
  <c r="BP43" i="2"/>
  <c r="AX43" i="2"/>
  <c r="Y43" i="2"/>
  <c r="B43" i="2"/>
  <c r="BJ42" i="2"/>
  <c r="AJ42" i="2"/>
  <c r="U42" i="2"/>
  <c r="BT41" i="2"/>
  <c r="BB41" i="2"/>
  <c r="AB41" i="2"/>
  <c r="F41" i="2"/>
  <c r="BP40" i="2"/>
  <c r="AX40" i="2"/>
  <c r="Y40" i="2"/>
  <c r="BZ39" i="2"/>
  <c r="BH39" i="2"/>
  <c r="AI39" i="2"/>
  <c r="N39" i="2"/>
  <c r="BV38" i="2"/>
  <c r="BD38" i="2"/>
  <c r="AF38" i="2"/>
  <c r="E38" i="2"/>
  <c r="BN37" i="2"/>
  <c r="AR37" i="2"/>
  <c r="X37" i="2"/>
  <c r="B37" i="2"/>
  <c r="BJ36" i="2"/>
  <c r="AJ36" i="2"/>
  <c r="U36" i="2"/>
  <c r="BW35" i="2"/>
  <c r="BE35" i="2"/>
  <c r="AG35" i="2"/>
  <c r="H35" i="2"/>
  <c r="BR34" i="2"/>
  <c r="AZ34" i="2"/>
  <c r="AA34" i="2"/>
  <c r="E34" i="2"/>
  <c r="BN33" i="2"/>
  <c r="AR33" i="2"/>
  <c r="X33" i="2"/>
  <c r="B33" i="2"/>
  <c r="BJ32" i="2"/>
  <c r="AJ32" i="2"/>
  <c r="U32" i="2"/>
  <c r="BW31" i="2"/>
  <c r="BE31" i="2"/>
  <c r="AG31" i="2"/>
  <c r="H31" i="2"/>
  <c r="CN30" i="2"/>
  <c r="BP30" i="2"/>
  <c r="AX30" i="2"/>
  <c r="AB30" i="2"/>
  <c r="L30" i="2"/>
  <c r="BX29" i="2"/>
  <c r="BF29" i="2"/>
  <c r="AH29" i="2"/>
  <c r="H29" i="2"/>
  <c r="BR28" i="2"/>
  <c r="AZ28" i="2"/>
  <c r="AA28" i="2"/>
  <c r="D28" i="2"/>
  <c r="BL27" i="2"/>
  <c r="AL27" i="2"/>
  <c r="W27" i="2"/>
  <c r="BX26" i="2"/>
  <c r="BF26" i="2"/>
  <c r="AH26" i="2"/>
  <c r="H26" i="2"/>
  <c r="BR25" i="2"/>
  <c r="AZ25" i="2"/>
  <c r="AA25" i="2"/>
  <c r="D25" i="2"/>
  <c r="BL24" i="2"/>
  <c r="AL24" i="2"/>
  <c r="W24" i="2"/>
  <c r="BX23" i="2"/>
  <c r="BF23" i="2"/>
  <c r="AH23" i="2"/>
  <c r="H23" i="2"/>
  <c r="BR22" i="2"/>
  <c r="AZ22" i="2"/>
  <c r="AA22" i="2"/>
  <c r="D22" i="2"/>
  <c r="BL21" i="2"/>
  <c r="AL21" i="2"/>
  <c r="W21" i="2"/>
  <c r="BX20" i="2"/>
  <c r="BF20" i="2"/>
  <c r="AH20" i="2"/>
  <c r="H20" i="2"/>
  <c r="BR19" i="2"/>
  <c r="AZ19" i="2"/>
  <c r="AA19" i="2"/>
  <c r="D19" i="2"/>
  <c r="BL18" i="2"/>
  <c r="AL18" i="2"/>
  <c r="W18" i="2"/>
  <c r="BX17" i="2"/>
  <c r="BF17" i="2"/>
  <c r="AH17" i="2"/>
  <c r="H17" i="2"/>
  <c r="CN16" i="2"/>
  <c r="BP16" i="2"/>
  <c r="AX16" i="2"/>
  <c r="AB16" i="2"/>
  <c r="L16" i="2"/>
  <c r="CS15" i="2"/>
  <c r="BW15" i="2"/>
  <c r="BE15" i="2"/>
  <c r="AG15" i="2"/>
  <c r="U15" i="2"/>
  <c r="E15" i="2"/>
  <c r="BN14" i="2"/>
  <c r="AR14" i="2"/>
  <c r="X14" i="2"/>
  <c r="BZ13" i="2"/>
  <c r="BH13" i="2"/>
  <c r="AI13" i="2"/>
  <c r="N13" i="2"/>
  <c r="BT12" i="2"/>
  <c r="BB12" i="2"/>
  <c r="AB12" i="2"/>
  <c r="D12" i="2"/>
  <c r="BL11" i="2"/>
  <c r="AL11" i="2"/>
  <c r="W11" i="2"/>
  <c r="BW10" i="2"/>
  <c r="BE10" i="2"/>
  <c r="BV283" i="2"/>
  <c r="BT247" i="2"/>
  <c r="G234" i="2"/>
  <c r="BW220" i="2"/>
  <c r="BQ214" i="2"/>
  <c r="BB212" i="2"/>
  <c r="Y211" i="2"/>
  <c r="BS209" i="2"/>
  <c r="AR208" i="2"/>
  <c r="W207" i="2"/>
  <c r="BS205" i="2"/>
  <c r="AL204" i="2"/>
  <c r="G203" i="2"/>
  <c r="BP201" i="2"/>
  <c r="AI200" i="2"/>
  <c r="D199" i="2"/>
  <c r="BM197" i="2"/>
  <c r="AG196" i="2"/>
  <c r="G195" i="2"/>
  <c r="BP193" i="2"/>
  <c r="AX192" i="2"/>
  <c r="N191" i="2"/>
  <c r="BL189" i="2"/>
  <c r="AF188" i="2"/>
  <c r="N187" i="2"/>
  <c r="BX185" i="2"/>
  <c r="BE184" i="2"/>
  <c r="AD183" i="2"/>
  <c r="G182" i="2"/>
  <c r="BK180" i="2"/>
  <c r="AF179" i="2"/>
  <c r="I178" i="2"/>
  <c r="BQ176" i="2"/>
  <c r="AX175" i="2"/>
  <c r="X174" i="2"/>
  <c r="BW172" i="2"/>
  <c r="BD171" i="2"/>
  <c r="AD170" i="2"/>
  <c r="C169" i="2"/>
  <c r="BF167" i="2"/>
  <c r="AE166" i="2"/>
  <c r="E165" i="2"/>
  <c r="BG163" i="2"/>
  <c r="AB162" i="2"/>
  <c r="BV160" i="2"/>
  <c r="AX159" i="2"/>
  <c r="N158" i="2"/>
  <c r="BL156" i="2"/>
  <c r="AF155" i="2"/>
  <c r="BZ153" i="2"/>
  <c r="BB152" i="2"/>
  <c r="AH151" i="2"/>
  <c r="X150" i="2"/>
  <c r="BW148" i="2"/>
  <c r="BE147" i="2"/>
  <c r="Z146" i="2"/>
  <c r="BX144" i="2"/>
  <c r="AZ143" i="2"/>
  <c r="V142" i="2"/>
  <c r="B141" i="2"/>
  <c r="F140" i="2"/>
  <c r="U139" i="2"/>
  <c r="Y138" i="2"/>
  <c r="AC137" i="2"/>
  <c r="AG136" i="2"/>
  <c r="AK135" i="2"/>
  <c r="BA134" i="2"/>
  <c r="BH133" i="2"/>
  <c r="BP132" i="2"/>
  <c r="BW131" i="2"/>
  <c r="C131" i="2"/>
  <c r="L130" i="2"/>
  <c r="AA129" i="2"/>
  <c r="BB128" i="2"/>
  <c r="BL127" i="2"/>
  <c r="BS126" i="2"/>
  <c r="I126" i="2"/>
  <c r="AJ125" i="2"/>
  <c r="BN124" i="2"/>
  <c r="I124" i="2"/>
  <c r="AJ123" i="2"/>
  <c r="BN122" i="2"/>
  <c r="I122" i="2"/>
  <c r="BA121" i="2"/>
  <c r="N121" i="2"/>
  <c r="BL120" i="2"/>
  <c r="W120" i="2"/>
  <c r="CQ119" i="2"/>
  <c r="BG119" i="2"/>
  <c r="AK119" i="2"/>
  <c r="H119" i="2"/>
  <c r="BZ118" i="2"/>
  <c r="BA118" i="2"/>
  <c r="U118" i="2"/>
  <c r="CI117" i="2"/>
  <c r="BK117" i="2"/>
  <c r="AE117" i="2"/>
  <c r="J117" i="2"/>
  <c r="BT116" i="2"/>
  <c r="BB116" i="2"/>
  <c r="AD116" i="2"/>
  <c r="G116" i="2"/>
  <c r="BP115" i="2"/>
  <c r="AY115" i="2"/>
  <c r="Z115" i="2"/>
  <c r="C115" i="2"/>
  <c r="BL114" i="2"/>
  <c r="AK114" i="2"/>
  <c r="W114" i="2"/>
  <c r="BX113" i="2"/>
  <c r="BJ113" i="2"/>
  <c r="AL113" i="2"/>
  <c r="Z113" i="2"/>
  <c r="E113" i="2"/>
  <c r="BY112" i="2"/>
  <c r="BK112" i="2"/>
  <c r="AR112" i="2"/>
  <c r="AA112" i="2"/>
  <c r="I112" i="2"/>
  <c r="CO111" i="2"/>
  <c r="BP111" i="2"/>
  <c r="BA111" i="2"/>
  <c r="AE111" i="2"/>
  <c r="P111" i="2"/>
  <c r="CR110" i="2"/>
  <c r="BW110" i="2"/>
  <c r="BH110" i="2"/>
  <c r="AU110" i="2"/>
  <c r="AD110" i="2"/>
  <c r="N110" i="2"/>
  <c r="CS109" i="2"/>
  <c r="BX109" i="2"/>
  <c r="BJ109" i="2"/>
  <c r="AL109" i="2"/>
  <c r="Z109" i="2"/>
  <c r="I109" i="2"/>
  <c r="BT108" i="2"/>
  <c r="BB108" i="2"/>
  <c r="AB108" i="2"/>
  <c r="E108" i="2"/>
  <c r="BN107" i="2"/>
  <c r="AR107" i="2"/>
  <c r="X107" i="2"/>
  <c r="BZ106" i="2"/>
  <c r="BH106" i="2"/>
  <c r="AI106" i="2"/>
  <c r="N106" i="2"/>
  <c r="BT105" i="2"/>
  <c r="BB105" i="2"/>
  <c r="AB105" i="2"/>
  <c r="E105" i="2"/>
  <c r="BN104" i="2"/>
  <c r="AR104" i="2"/>
  <c r="X104" i="2"/>
  <c r="BZ103" i="2"/>
  <c r="BH103" i="2"/>
  <c r="AI103" i="2"/>
  <c r="N103" i="2"/>
  <c r="BT102" i="2"/>
  <c r="BB102" i="2"/>
  <c r="AB102" i="2"/>
  <c r="E102" i="2"/>
  <c r="BN101" i="2"/>
  <c r="AR101" i="2"/>
  <c r="X101" i="2"/>
  <c r="BZ100" i="2"/>
  <c r="BH100" i="2"/>
  <c r="AI100" i="2"/>
  <c r="N100" i="2"/>
  <c r="BR99" i="2"/>
  <c r="AZ99" i="2"/>
  <c r="AA99" i="2"/>
  <c r="D99" i="2"/>
  <c r="BL98" i="2"/>
  <c r="AL98" i="2"/>
  <c r="W98" i="2"/>
  <c r="BX97" i="2"/>
  <c r="BF97" i="2"/>
  <c r="AH97" i="2"/>
  <c r="H97" i="2"/>
  <c r="BR96" i="2"/>
  <c r="AZ96" i="2"/>
  <c r="AA96" i="2"/>
  <c r="D96" i="2"/>
  <c r="BL95" i="2"/>
  <c r="AL95" i="2"/>
  <c r="W95" i="2"/>
  <c r="BX94" i="2"/>
  <c r="BF94" i="2"/>
  <c r="AH94" i="2"/>
  <c r="H94" i="2"/>
  <c r="BR93" i="2"/>
  <c r="AZ93" i="2"/>
  <c r="AA93" i="2"/>
  <c r="D93" i="2"/>
  <c r="BL92" i="2"/>
  <c r="AL92" i="2"/>
  <c r="W92" i="2"/>
  <c r="BX91" i="2"/>
  <c r="BF91" i="2"/>
  <c r="AH91" i="2"/>
  <c r="G91" i="2"/>
  <c r="CC90" i="2"/>
  <c r="BJ90" i="2"/>
  <c r="AJ90" i="2"/>
  <c r="U90" i="2"/>
  <c r="BZ89" i="2"/>
  <c r="BH89" i="2"/>
  <c r="AI89" i="2"/>
  <c r="N89" i="2"/>
  <c r="BT88" i="2"/>
  <c r="BB88" i="2"/>
  <c r="AB88" i="2"/>
  <c r="E88" i="2"/>
  <c r="BN87" i="2"/>
  <c r="AR87" i="2"/>
  <c r="X87" i="2"/>
  <c r="BZ86" i="2"/>
  <c r="BH86" i="2"/>
  <c r="AI86" i="2"/>
  <c r="N86" i="2"/>
  <c r="BV85" i="2"/>
  <c r="BD85" i="2"/>
  <c r="AF85" i="2"/>
  <c r="G85" i="2"/>
  <c r="CM84" i="2"/>
  <c r="BL84" i="2"/>
  <c r="AL84" i="2"/>
  <c r="W84" i="2"/>
  <c r="CL83" i="2"/>
  <c r="BK83" i="2"/>
  <c r="AK83" i="2"/>
  <c r="V83" i="2"/>
  <c r="CR82" i="2"/>
  <c r="BT82" i="2"/>
  <c r="BB82" i="2"/>
  <c r="AB82" i="2"/>
  <c r="F82" i="2"/>
  <c r="BQ81" i="2"/>
  <c r="AY81" i="2"/>
  <c r="Z81" i="2"/>
  <c r="E81" i="2"/>
  <c r="BP80" i="2"/>
  <c r="AX80" i="2"/>
  <c r="Y80" i="2"/>
  <c r="C80" i="2"/>
  <c r="BK79" i="2"/>
  <c r="AK79" i="2"/>
  <c r="V79" i="2"/>
  <c r="BW78" i="2"/>
  <c r="BE78" i="2"/>
  <c r="AG78" i="2"/>
  <c r="H78" i="2"/>
  <c r="BR77" i="2"/>
  <c r="AZ77" i="2"/>
  <c r="AA77" i="2"/>
  <c r="D77" i="2"/>
  <c r="BW76" i="2"/>
  <c r="BE76" i="2"/>
  <c r="AG76" i="2"/>
  <c r="N76" i="2"/>
  <c r="BV75" i="2"/>
  <c r="BD75" i="2"/>
  <c r="AF75" i="2"/>
  <c r="G75" i="2"/>
  <c r="CM74" i="2"/>
  <c r="BN74" i="2"/>
  <c r="AR74" i="2"/>
  <c r="AA74" i="2"/>
  <c r="K74" i="2"/>
  <c r="BW73" i="2"/>
  <c r="BE73" i="2"/>
  <c r="AG73" i="2"/>
  <c r="H73" i="2"/>
  <c r="BR72" i="2"/>
  <c r="AZ72" i="2"/>
  <c r="AA72" i="2"/>
  <c r="C72" i="2"/>
  <c r="BK71" i="2"/>
  <c r="AK71" i="2"/>
  <c r="V71" i="2"/>
  <c r="BV70" i="2"/>
  <c r="BD70" i="2"/>
  <c r="AF70" i="2"/>
  <c r="E70" i="2"/>
  <c r="BN69" i="2"/>
  <c r="AR69" i="2"/>
  <c r="X69" i="2"/>
  <c r="BZ68" i="2"/>
  <c r="BH68" i="2"/>
  <c r="AI68" i="2"/>
  <c r="N68" i="2"/>
  <c r="BT67" i="2"/>
  <c r="BB67" i="2"/>
  <c r="AB67" i="2"/>
  <c r="E67" i="2"/>
  <c r="BN66" i="2"/>
  <c r="AR66" i="2"/>
  <c r="X66" i="2"/>
  <c r="BZ65" i="2"/>
  <c r="BH65" i="2"/>
  <c r="AI65" i="2"/>
  <c r="N65" i="2"/>
  <c r="BR64" i="2"/>
  <c r="AZ64" i="2"/>
  <c r="AA64" i="2"/>
  <c r="C64" i="2"/>
  <c r="BK63" i="2"/>
  <c r="AK63" i="2"/>
  <c r="V63" i="2"/>
  <c r="BW62" i="2"/>
  <c r="BE62" i="2"/>
  <c r="AG62" i="2"/>
  <c r="G62" i="2"/>
  <c r="BQ61" i="2"/>
  <c r="AY61" i="2"/>
  <c r="Z61" i="2"/>
  <c r="B61" i="2"/>
  <c r="BJ60" i="2"/>
  <c r="AJ60" i="2"/>
  <c r="U60" i="2"/>
  <c r="BW59" i="2"/>
  <c r="BE59" i="2"/>
  <c r="AG59" i="2"/>
  <c r="G59" i="2"/>
  <c r="BV58" i="2"/>
  <c r="BD58" i="2"/>
  <c r="AF58" i="2"/>
  <c r="G58" i="2"/>
  <c r="BQ57" i="2"/>
  <c r="AY57" i="2"/>
  <c r="Z57" i="2"/>
  <c r="C57" i="2"/>
  <c r="BK56" i="2"/>
  <c r="AK56" i="2"/>
  <c r="V56" i="2"/>
  <c r="BV55" i="2"/>
  <c r="BD55" i="2"/>
  <c r="AF55" i="2"/>
  <c r="E55" i="2"/>
  <c r="BN54" i="2"/>
  <c r="AR54" i="2"/>
  <c r="X54" i="2"/>
  <c r="BZ53" i="2"/>
  <c r="BH53" i="2"/>
  <c r="AI53" i="2"/>
  <c r="N53" i="2"/>
  <c r="BR52" i="2"/>
  <c r="AZ52" i="2"/>
  <c r="AA52" i="2"/>
  <c r="C52" i="2"/>
  <c r="BK51" i="2"/>
  <c r="AK51" i="2"/>
  <c r="V51" i="2"/>
  <c r="BW50" i="2"/>
  <c r="BE50" i="2"/>
  <c r="AG50" i="2"/>
  <c r="G50" i="2"/>
  <c r="BQ49" i="2"/>
  <c r="AY49" i="2"/>
  <c r="Z49" i="2"/>
  <c r="C49" i="2"/>
  <c r="BK48" i="2"/>
  <c r="AK48" i="2"/>
  <c r="V48" i="2"/>
  <c r="BV47" i="2"/>
  <c r="BD47" i="2"/>
  <c r="AF47" i="2"/>
  <c r="F47" i="2"/>
  <c r="BP46" i="2"/>
  <c r="AX46" i="2"/>
  <c r="Y46" i="2"/>
  <c r="B46" i="2"/>
  <c r="BJ45" i="2"/>
  <c r="AJ45" i="2"/>
  <c r="U45" i="2"/>
  <c r="BT44" i="2"/>
  <c r="BB44" i="2"/>
  <c r="AB44" i="2"/>
  <c r="E44" i="2"/>
  <c r="BN43" i="2"/>
  <c r="AR43" i="2"/>
  <c r="X43" i="2"/>
  <c r="BZ42" i="2"/>
  <c r="BH42" i="2"/>
  <c r="AI42" i="2"/>
  <c r="N42" i="2"/>
  <c r="BR41" i="2"/>
  <c r="AZ41" i="2"/>
  <c r="AA41" i="2"/>
  <c r="E41" i="2"/>
  <c r="BN40" i="2"/>
  <c r="AR40" i="2"/>
  <c r="X40" i="2"/>
  <c r="BX39" i="2"/>
  <c r="BF39" i="2"/>
  <c r="AH39" i="2"/>
  <c r="J39" i="2"/>
  <c r="BT38" i="2"/>
  <c r="BB38" i="2"/>
  <c r="AB38" i="2"/>
  <c r="D38" i="2"/>
  <c r="BL37" i="2"/>
  <c r="AL37" i="2"/>
  <c r="W37" i="2"/>
  <c r="BZ36" i="2"/>
  <c r="BH36" i="2"/>
  <c r="AI36" i="2"/>
  <c r="N36" i="2"/>
  <c r="BV35" i="2"/>
  <c r="BD35" i="2"/>
  <c r="AF35" i="2"/>
  <c r="G35" i="2"/>
  <c r="BQ34" i="2"/>
  <c r="AY34" i="2"/>
  <c r="Z34" i="2"/>
  <c r="D34" i="2"/>
  <c r="BL33" i="2"/>
  <c r="AL33" i="2"/>
  <c r="W33" i="2"/>
  <c r="BZ32" i="2"/>
  <c r="BH32" i="2"/>
  <c r="AI32" i="2"/>
  <c r="N32" i="2"/>
  <c r="BV31" i="2"/>
  <c r="BD31" i="2"/>
  <c r="AF31" i="2"/>
  <c r="G31" i="2"/>
  <c r="CM30" i="2"/>
  <c r="BN30" i="2"/>
  <c r="AR30" i="2"/>
  <c r="AA30" i="2"/>
  <c r="K30" i="2"/>
  <c r="BW29" i="2"/>
  <c r="BE29" i="2"/>
  <c r="AG29" i="2"/>
  <c r="G29" i="2"/>
  <c r="BQ28" i="2"/>
  <c r="AY28" i="2"/>
  <c r="Z28" i="2"/>
  <c r="C28" i="2"/>
  <c r="BK27" i="2"/>
  <c r="AK27" i="2"/>
  <c r="V27" i="2"/>
  <c r="BW26" i="2"/>
  <c r="BE26" i="2"/>
  <c r="AG26" i="2"/>
  <c r="G26" i="2"/>
  <c r="BQ25" i="2"/>
  <c r="AY25" i="2"/>
  <c r="Z25" i="2"/>
  <c r="C25" i="2"/>
  <c r="BK24" i="2"/>
  <c r="AK24" i="2"/>
  <c r="V24" i="2"/>
  <c r="BW23" i="2"/>
  <c r="BE23" i="2"/>
  <c r="AG23" i="2"/>
  <c r="G23" i="2"/>
  <c r="BQ22" i="2"/>
  <c r="AY22" i="2"/>
  <c r="Z22" i="2"/>
  <c r="C22" i="2"/>
  <c r="BK21" i="2"/>
  <c r="AK21" i="2"/>
  <c r="V21" i="2"/>
  <c r="BW20" i="2"/>
  <c r="BE20" i="2"/>
  <c r="AG20" i="2"/>
  <c r="G20" i="2"/>
  <c r="BQ19" i="2"/>
  <c r="AY19" i="2"/>
  <c r="Z19" i="2"/>
  <c r="C19" i="2"/>
  <c r="BK18" i="2"/>
  <c r="AK18" i="2"/>
  <c r="V18" i="2"/>
  <c r="BW17" i="2"/>
  <c r="BE17" i="2"/>
  <c r="AG17" i="2"/>
  <c r="G17" i="2"/>
  <c r="CM16" i="2"/>
  <c r="BN16" i="2"/>
  <c r="AR16" i="2"/>
  <c r="AA16" i="2"/>
  <c r="K16" i="2"/>
  <c r="CR15" i="2"/>
  <c r="BV15" i="2"/>
  <c r="BD15" i="2"/>
  <c r="AF15" i="2"/>
  <c r="T15" i="2"/>
  <c r="D15" i="2"/>
  <c r="BL14" i="2"/>
  <c r="AL14" i="2"/>
  <c r="W14" i="2"/>
  <c r="BX13" i="2"/>
  <c r="BF13" i="2"/>
  <c r="AH13" i="2"/>
  <c r="H13" i="2"/>
  <c r="BR12" i="2"/>
  <c r="AZ12" i="2"/>
  <c r="AA12" i="2"/>
  <c r="C12" i="2"/>
  <c r="BK11" i="2"/>
  <c r="AK11" i="2"/>
  <c r="V11" i="2"/>
  <c r="BV10" i="2"/>
  <c r="BD10" i="2"/>
  <c r="V273" i="2"/>
  <c r="AZ246" i="2"/>
  <c r="BJ232" i="2"/>
  <c r="W220" i="2"/>
  <c r="AR214" i="2"/>
  <c r="BA212" i="2"/>
  <c r="X211" i="2"/>
  <c r="BR209" i="2"/>
  <c r="AL208" i="2"/>
  <c r="V207" i="2"/>
  <c r="BR205" i="2"/>
  <c r="AK204" i="2"/>
  <c r="F203" i="2"/>
  <c r="BN201" i="2"/>
  <c r="AH200" i="2"/>
  <c r="C199" i="2"/>
  <c r="BL197" i="2"/>
  <c r="AF196" i="2"/>
  <c r="F195" i="2"/>
  <c r="BN193" i="2"/>
  <c r="AR192" i="2"/>
  <c r="H191" i="2"/>
  <c r="BK189" i="2"/>
  <c r="AE188" i="2"/>
  <c r="L187" i="2"/>
  <c r="BW185" i="2"/>
  <c r="BD184" i="2"/>
  <c r="AC183" i="2"/>
  <c r="F182" i="2"/>
  <c r="BJ180" i="2"/>
  <c r="AE179" i="2"/>
  <c r="H178" i="2"/>
  <c r="BP176" i="2"/>
  <c r="AR175" i="2"/>
  <c r="W174" i="2"/>
  <c r="BV172" i="2"/>
  <c r="BB171" i="2"/>
  <c r="AC170" i="2"/>
  <c r="B169" i="2"/>
  <c r="BE167" i="2"/>
  <c r="AD166" i="2"/>
  <c r="D165" i="2"/>
  <c r="BF163" i="2"/>
  <c r="AA162" i="2"/>
  <c r="BT160" i="2"/>
  <c r="AR159" i="2"/>
  <c r="H158" i="2"/>
  <c r="BK156" i="2"/>
  <c r="AE155" i="2"/>
  <c r="BY153" i="2"/>
  <c r="BA152" i="2"/>
  <c r="AG151" i="2"/>
  <c r="W150" i="2"/>
  <c r="BV148" i="2"/>
  <c r="BD147" i="2"/>
  <c r="Y146" i="2"/>
  <c r="BW144" i="2"/>
  <c r="AY143" i="2"/>
  <c r="U142" i="2"/>
  <c r="BS140" i="2"/>
  <c r="BX139" i="2"/>
  <c r="C139" i="2"/>
  <c r="G138" i="2"/>
  <c r="V137" i="2"/>
  <c r="Z136" i="2"/>
  <c r="AD135" i="2"/>
  <c r="AJ134" i="2"/>
  <c r="AZ133" i="2"/>
  <c r="BG132" i="2"/>
  <c r="BN131" i="2"/>
  <c r="BT130" i="2"/>
  <c r="E130" i="2"/>
  <c r="N129" i="2"/>
  <c r="AK128" i="2"/>
  <c r="BD127" i="2"/>
  <c r="BK126" i="2"/>
  <c r="F126" i="2"/>
  <c r="AG125" i="2"/>
  <c r="BK124" i="2"/>
  <c r="F124" i="2"/>
  <c r="AG123" i="2"/>
  <c r="BK122" i="2"/>
  <c r="F122" i="2"/>
  <c r="AX121" i="2"/>
  <c r="I121" i="2"/>
  <c r="BG120" i="2"/>
  <c r="V120" i="2"/>
  <c r="CM119" i="2"/>
  <c r="BF119" i="2"/>
  <c r="AJ119" i="2"/>
  <c r="G119" i="2"/>
  <c r="BX118" i="2"/>
  <c r="AY118" i="2"/>
  <c r="T118" i="2"/>
  <c r="CE117" i="2"/>
  <c r="BJ117" i="2"/>
  <c r="AD117" i="2"/>
  <c r="I117" i="2"/>
  <c r="BS116" i="2"/>
  <c r="BA116" i="2"/>
  <c r="AC116" i="2"/>
  <c r="E116" i="2"/>
  <c r="BN115" i="2"/>
  <c r="AX115" i="2"/>
  <c r="Y115" i="2"/>
  <c r="B115" i="2"/>
  <c r="BJ114" i="2"/>
  <c r="AJ114" i="2"/>
  <c r="V114" i="2"/>
  <c r="BW113" i="2"/>
  <c r="BH113" i="2"/>
  <c r="AK113" i="2"/>
  <c r="Y113" i="2"/>
  <c r="D113" i="2"/>
  <c r="BX112" i="2"/>
  <c r="BJ112" i="2"/>
  <c r="AL112" i="2"/>
  <c r="Z112" i="2"/>
  <c r="H112" i="2"/>
  <c r="CN111" i="2"/>
  <c r="BN111" i="2"/>
  <c r="AZ111" i="2"/>
  <c r="AD111" i="2"/>
  <c r="N111" i="2"/>
  <c r="CQ110" i="2"/>
  <c r="BV110" i="2"/>
  <c r="BG110" i="2"/>
  <c r="AT110" i="2"/>
  <c r="AC110" i="2"/>
  <c r="L110" i="2"/>
  <c r="CR109" i="2"/>
  <c r="BW109" i="2"/>
  <c r="BH109" i="2"/>
  <c r="AK109" i="2"/>
  <c r="Y109" i="2"/>
  <c r="H109" i="2"/>
  <c r="BR108" i="2"/>
  <c r="AZ108" i="2"/>
  <c r="AA108" i="2"/>
  <c r="D108" i="2"/>
  <c r="BL107" i="2"/>
  <c r="AL107" i="2"/>
  <c r="W107" i="2"/>
  <c r="BX106" i="2"/>
  <c r="BF106" i="2"/>
  <c r="AH106" i="2"/>
  <c r="H106" i="2"/>
  <c r="BR105" i="2"/>
  <c r="AZ105" i="2"/>
  <c r="AA105" i="2"/>
  <c r="D105" i="2"/>
  <c r="BL104" i="2"/>
  <c r="AL104" i="2"/>
  <c r="W104" i="2"/>
  <c r="BX103" i="2"/>
  <c r="BF103" i="2"/>
  <c r="AH103" i="2"/>
  <c r="H103" i="2"/>
  <c r="BR102" i="2"/>
  <c r="AZ102" i="2"/>
  <c r="AA102" i="2"/>
  <c r="D102" i="2"/>
  <c r="BL101" i="2"/>
  <c r="AL101" i="2"/>
  <c r="W101" i="2"/>
  <c r="BX100" i="2"/>
  <c r="BF100" i="2"/>
  <c r="AH100" i="2"/>
  <c r="G100" i="2"/>
  <c r="BQ99" i="2"/>
  <c r="AY99" i="2"/>
  <c r="Z99" i="2"/>
  <c r="C99" i="2"/>
  <c r="BK98" i="2"/>
  <c r="AK98" i="2"/>
  <c r="V98" i="2"/>
  <c r="BW97" i="2"/>
  <c r="BE97" i="2"/>
  <c r="AG97" i="2"/>
  <c r="G97" i="2"/>
  <c r="BQ96" i="2"/>
  <c r="AY96" i="2"/>
  <c r="Z96" i="2"/>
  <c r="C96" i="2"/>
  <c r="BK95" i="2"/>
  <c r="AK95" i="2"/>
  <c r="V95" i="2"/>
  <c r="BW94" i="2"/>
  <c r="BE94" i="2"/>
  <c r="AG94" i="2"/>
  <c r="G94" i="2"/>
  <c r="BQ93" i="2"/>
  <c r="AY93" i="2"/>
  <c r="Z93" i="2"/>
  <c r="C93" i="2"/>
  <c r="BK92" i="2"/>
  <c r="AK92" i="2"/>
  <c r="V92" i="2"/>
  <c r="BW91" i="2"/>
  <c r="BE91" i="2"/>
  <c r="AG91" i="2"/>
  <c r="F91" i="2"/>
  <c r="BZ90" i="2"/>
  <c r="BH90" i="2"/>
  <c r="AI90" i="2"/>
  <c r="P90" i="2"/>
  <c r="BX89" i="2"/>
  <c r="BF89" i="2"/>
  <c r="AH89" i="2"/>
  <c r="H89" i="2"/>
  <c r="BR88" i="2"/>
  <c r="AZ88" i="2"/>
  <c r="AA88" i="2"/>
  <c r="D88" i="2"/>
  <c r="BL87" i="2"/>
  <c r="AL87" i="2"/>
  <c r="W87" i="2"/>
  <c r="BX86" i="2"/>
  <c r="BF86" i="2"/>
  <c r="AH86" i="2"/>
  <c r="J86" i="2"/>
  <c r="BT85" i="2"/>
  <c r="BB85" i="2"/>
  <c r="AB85" i="2"/>
  <c r="F85" i="2"/>
  <c r="CL84" i="2"/>
  <c r="BK84" i="2"/>
  <c r="AK84" i="2"/>
  <c r="V84" i="2"/>
  <c r="CK83" i="2"/>
  <c r="BJ83" i="2"/>
  <c r="AJ83" i="2"/>
  <c r="U83" i="2"/>
  <c r="CQ82" i="2"/>
  <c r="BR82" i="2"/>
  <c r="AZ82" i="2"/>
  <c r="AA82" i="2"/>
  <c r="E82" i="2"/>
  <c r="BP81" i="2"/>
  <c r="AX81" i="2"/>
  <c r="Y81" i="2"/>
  <c r="D81" i="2"/>
  <c r="BN80" i="2"/>
  <c r="AR80" i="2"/>
  <c r="X80" i="2"/>
  <c r="B80" i="2"/>
  <c r="BJ79" i="2"/>
  <c r="AJ79" i="2"/>
  <c r="U79" i="2"/>
  <c r="BV78" i="2"/>
  <c r="BD78" i="2"/>
  <c r="AF78" i="2"/>
  <c r="G78" i="2"/>
  <c r="BQ77" i="2"/>
  <c r="AY77" i="2"/>
  <c r="Z77" i="2"/>
  <c r="C77" i="2"/>
  <c r="BV76" i="2"/>
  <c r="BD76" i="2"/>
  <c r="AF76" i="2"/>
  <c r="J76" i="2"/>
  <c r="BT75" i="2"/>
  <c r="BB75" i="2"/>
  <c r="AB75" i="2"/>
  <c r="F75" i="2"/>
  <c r="CL74" i="2"/>
  <c r="BL74" i="2"/>
  <c r="AL74" i="2"/>
  <c r="Z74" i="2"/>
  <c r="J74" i="2"/>
  <c r="BV73" i="2"/>
  <c r="BD73" i="2"/>
  <c r="AF73" i="2"/>
  <c r="G73" i="2"/>
  <c r="BQ72" i="2"/>
  <c r="AY72" i="2"/>
  <c r="Z72" i="2"/>
  <c r="B72" i="2"/>
  <c r="BJ71" i="2"/>
  <c r="AJ71" i="2"/>
  <c r="U71" i="2"/>
  <c r="BT70" i="2"/>
  <c r="BB70" i="2"/>
  <c r="AB70" i="2"/>
  <c r="D70" i="2"/>
  <c r="BL69" i="2"/>
  <c r="AL69" i="2"/>
  <c r="W69" i="2"/>
  <c r="BX68" i="2"/>
  <c r="BF68" i="2"/>
  <c r="AH68" i="2"/>
  <c r="H68" i="2"/>
  <c r="BR67" i="2"/>
  <c r="AZ67" i="2"/>
  <c r="AA67" i="2"/>
  <c r="D67" i="2"/>
  <c r="BL66" i="2"/>
  <c r="AL66" i="2"/>
  <c r="W66" i="2"/>
  <c r="BX65" i="2"/>
  <c r="BF65" i="2"/>
  <c r="AH65" i="2"/>
  <c r="G65" i="2"/>
  <c r="BQ64" i="2"/>
  <c r="AY64" i="2"/>
  <c r="Z64" i="2"/>
  <c r="B64" i="2"/>
  <c r="BJ63" i="2"/>
  <c r="AJ63" i="2"/>
  <c r="U63" i="2"/>
  <c r="BV62" i="2"/>
  <c r="BD62" i="2"/>
  <c r="AF62" i="2"/>
  <c r="F62" i="2"/>
  <c r="BP61" i="2"/>
  <c r="AX61" i="2"/>
  <c r="Y61" i="2"/>
  <c r="BZ60" i="2"/>
  <c r="BH60" i="2"/>
  <c r="AI60" i="2"/>
  <c r="N60" i="2"/>
  <c r="BV59" i="2"/>
  <c r="BD59" i="2"/>
  <c r="AF59" i="2"/>
  <c r="F59" i="2"/>
  <c r="BT58" i="2"/>
  <c r="BB58" i="2"/>
  <c r="AB58" i="2"/>
  <c r="F58" i="2"/>
  <c r="BP57" i="2"/>
  <c r="AX57" i="2"/>
  <c r="Y57" i="2"/>
  <c r="B57" i="2"/>
  <c r="BJ56" i="2"/>
  <c r="AJ56" i="2"/>
  <c r="U56" i="2"/>
  <c r="BT55" i="2"/>
  <c r="BB55" i="2"/>
  <c r="AB55" i="2"/>
  <c r="D55" i="2"/>
  <c r="BL54" i="2"/>
  <c r="AL54" i="2"/>
  <c r="W54" i="2"/>
  <c r="BX53" i="2"/>
  <c r="BF53" i="2"/>
  <c r="AH53" i="2"/>
  <c r="G53" i="2"/>
  <c r="BQ52" i="2"/>
  <c r="AY52" i="2"/>
  <c r="Z52" i="2"/>
  <c r="B52" i="2"/>
  <c r="BJ51" i="2"/>
  <c r="AJ51" i="2"/>
  <c r="U51" i="2"/>
  <c r="BV50" i="2"/>
  <c r="BD50" i="2"/>
  <c r="AF50" i="2"/>
  <c r="F50" i="2"/>
  <c r="BP49" i="2"/>
  <c r="AX49" i="2"/>
  <c r="Y49" i="2"/>
  <c r="B49" i="2"/>
  <c r="BJ48" i="2"/>
  <c r="AJ48" i="2"/>
  <c r="U48" i="2"/>
  <c r="BT47" i="2"/>
  <c r="BB47" i="2"/>
  <c r="AB47" i="2"/>
  <c r="E47" i="2"/>
  <c r="BN46" i="2"/>
  <c r="AR46" i="2"/>
  <c r="X46" i="2"/>
  <c r="BZ45" i="2"/>
  <c r="BH45" i="2"/>
  <c r="AI45" i="2"/>
  <c r="N45" i="2"/>
  <c r="BR44" i="2"/>
  <c r="AZ44" i="2"/>
  <c r="AA44" i="2"/>
  <c r="D44" i="2"/>
  <c r="BL43" i="2"/>
  <c r="AL43" i="2"/>
  <c r="W43" i="2"/>
  <c r="BX42" i="2"/>
  <c r="BF42" i="2"/>
  <c r="AH42" i="2"/>
  <c r="G42" i="2"/>
  <c r="BQ41" i="2"/>
  <c r="AY41" i="2"/>
  <c r="Z41" i="2"/>
  <c r="D41" i="2"/>
  <c r="BL40" i="2"/>
  <c r="AL40" i="2"/>
  <c r="W40" i="2"/>
  <c r="BW39" i="2"/>
  <c r="BE39" i="2"/>
  <c r="AG39" i="2"/>
  <c r="H39" i="2"/>
  <c r="BR38" i="2"/>
  <c r="AZ38" i="2"/>
  <c r="AA38" i="2"/>
  <c r="C38" i="2"/>
  <c r="BK37" i="2"/>
  <c r="AK37" i="2"/>
  <c r="V37" i="2"/>
  <c r="BX36" i="2"/>
  <c r="BF36" i="2"/>
  <c r="AH36" i="2"/>
  <c r="J36" i="2"/>
  <c r="BT35" i="2"/>
  <c r="BB35" i="2"/>
  <c r="AB35" i="2"/>
  <c r="F35" i="2"/>
  <c r="BP34" i="2"/>
  <c r="AX34" i="2"/>
  <c r="Y34" i="2"/>
  <c r="C34" i="2"/>
  <c r="BK33" i="2"/>
  <c r="AK33" i="2"/>
  <c r="V33" i="2"/>
  <c r="BX32" i="2"/>
  <c r="BF32" i="2"/>
  <c r="AH32" i="2"/>
  <c r="J32" i="2"/>
  <c r="BT31" i="2"/>
  <c r="BB31" i="2"/>
  <c r="AB31" i="2"/>
  <c r="F31" i="2"/>
  <c r="CL30" i="2"/>
  <c r="BL30" i="2"/>
  <c r="AL30" i="2"/>
  <c r="Z30" i="2"/>
  <c r="J30" i="2"/>
  <c r="BV29" i="2"/>
  <c r="BD29" i="2"/>
  <c r="AF29" i="2"/>
  <c r="F29" i="2"/>
  <c r="BP28" i="2"/>
  <c r="AX28" i="2"/>
  <c r="Y28" i="2"/>
  <c r="B28" i="2"/>
  <c r="BJ27" i="2"/>
  <c r="AJ27" i="2"/>
  <c r="U27" i="2"/>
  <c r="BV26" i="2"/>
  <c r="BD26" i="2"/>
  <c r="AF26" i="2"/>
  <c r="F26" i="2"/>
  <c r="BP25" i="2"/>
  <c r="AX25" i="2"/>
  <c r="Y25" i="2"/>
  <c r="B25" i="2"/>
  <c r="BJ24" i="2"/>
  <c r="AJ24" i="2"/>
  <c r="U24" i="2"/>
  <c r="BV23" i="2"/>
  <c r="BD23" i="2"/>
  <c r="AF23" i="2"/>
  <c r="F23" i="2"/>
  <c r="BP22" i="2"/>
  <c r="AX22" i="2"/>
  <c r="Y22" i="2"/>
  <c r="B22" i="2"/>
  <c r="BJ21" i="2"/>
  <c r="AJ21" i="2"/>
  <c r="U21" i="2"/>
  <c r="BV20" i="2"/>
  <c r="BD20" i="2"/>
  <c r="AF20" i="2"/>
  <c r="F20" i="2"/>
  <c r="BP19" i="2"/>
  <c r="AX19" i="2"/>
  <c r="Y19" i="2"/>
  <c r="B19" i="2"/>
  <c r="BJ18" i="2"/>
  <c r="AJ18" i="2"/>
  <c r="U18" i="2"/>
  <c r="BV17" i="2"/>
  <c r="BD17" i="2"/>
  <c r="AF17" i="2"/>
  <c r="F17" i="2"/>
  <c r="CL16" i="2"/>
  <c r="BL16" i="2"/>
  <c r="AL16" i="2"/>
  <c r="Z16" i="2"/>
  <c r="J16" i="2"/>
  <c r="CQ15" i="2"/>
  <c r="BT15" i="2"/>
  <c r="BB15" i="2"/>
  <c r="AE15" i="2"/>
  <c r="P15" i="2"/>
  <c r="C15" i="2"/>
  <c r="BK14" i="2"/>
  <c r="AK14" i="2"/>
  <c r="V14" i="2"/>
  <c r="BW13" i="2"/>
  <c r="BE13" i="2"/>
  <c r="AG13" i="2"/>
  <c r="G13" i="2"/>
  <c r="BQ12" i="2"/>
  <c r="AY12" i="2"/>
  <c r="Z12" i="2"/>
  <c r="B12" i="2"/>
  <c r="BJ11" i="2"/>
  <c r="AJ11" i="2"/>
  <c r="U11" i="2"/>
  <c r="BT10" i="2"/>
  <c r="BB10" i="2"/>
  <c r="AB10" i="2"/>
  <c r="F10" i="2"/>
  <c r="BP9" i="2"/>
  <c r="AX9" i="2"/>
  <c r="AK265" i="2"/>
  <c r="Z245" i="2"/>
  <c r="AD231" i="2"/>
  <c r="BH219" i="2"/>
  <c r="W214" i="2"/>
  <c r="AF212" i="2"/>
  <c r="B211" i="2"/>
  <c r="BF209" i="2"/>
  <c r="AA208" i="2"/>
  <c r="BY206" i="2"/>
  <c r="BE205" i="2"/>
  <c r="Z204" i="2"/>
  <c r="BS202" i="2"/>
  <c r="BA201" i="2"/>
  <c r="W200" i="2"/>
  <c r="BP198" i="2"/>
  <c r="AY197" i="2"/>
  <c r="U196" i="2"/>
  <c r="BS194" i="2"/>
  <c r="BA193" i="2"/>
  <c r="AB192" i="2"/>
  <c r="BV190" i="2"/>
  <c r="AX189" i="2"/>
  <c r="R188" i="2"/>
  <c r="BZ186" i="2"/>
  <c r="BJ185" i="2"/>
  <c r="AH184" i="2"/>
  <c r="N183" i="2"/>
  <c r="BS181" i="2"/>
  <c r="AX180" i="2"/>
  <c r="Q179" i="2"/>
  <c r="BV177" i="2"/>
  <c r="BB176" i="2"/>
  <c r="AB175" i="2"/>
  <c r="E174" i="2"/>
  <c r="BH172" i="2"/>
  <c r="AG171" i="2"/>
  <c r="G170" i="2"/>
  <c r="BN168" i="2"/>
  <c r="AI167" i="2"/>
  <c r="Q166" i="2"/>
  <c r="BQ164" i="2"/>
  <c r="AJ163" i="2"/>
  <c r="E162" i="2"/>
  <c r="BG160" i="2"/>
  <c r="AB159" i="2"/>
  <c r="BV157" i="2"/>
  <c r="AX156" i="2"/>
  <c r="N155" i="2"/>
  <c r="BL153" i="2"/>
  <c r="AF152" i="2"/>
  <c r="V151" i="2"/>
  <c r="BZ149" i="2"/>
  <c r="BH148" i="2"/>
  <c r="AH147" i="2"/>
  <c r="E146" i="2"/>
  <c r="BJ144" i="2"/>
  <c r="AD143" i="2"/>
  <c r="BX141" i="2"/>
  <c r="BN140" i="2"/>
  <c r="BS139" i="2"/>
  <c r="BX138" i="2"/>
  <c r="C138" i="2"/>
  <c r="G137" i="2"/>
  <c r="V136" i="2"/>
  <c r="Z135" i="2"/>
  <c r="AF134" i="2"/>
  <c r="AL133" i="2"/>
  <c r="BB132" i="2"/>
  <c r="BJ131" i="2"/>
  <c r="BP130" i="2"/>
  <c r="BZ129" i="2"/>
  <c r="G129" i="2"/>
  <c r="AG128" i="2"/>
  <c r="AY127" i="2"/>
  <c r="BF126" i="2"/>
  <c r="B126" i="2"/>
  <c r="AC125" i="2"/>
  <c r="BF124" i="2"/>
  <c r="B124" i="2"/>
  <c r="AC123" i="2"/>
  <c r="BF122" i="2"/>
  <c r="B122" i="2"/>
  <c r="AT121" i="2"/>
  <c r="F121" i="2"/>
  <c r="BF120" i="2"/>
  <c r="U120" i="2"/>
  <c r="BZ119" i="2"/>
  <c r="BD119" i="2"/>
  <c r="AH119" i="2"/>
  <c r="F119" i="2"/>
  <c r="BS118" i="2"/>
  <c r="AX118" i="2"/>
  <c r="R118" i="2"/>
  <c r="CD117" i="2"/>
  <c r="BG117" i="2"/>
  <c r="AC117" i="2"/>
  <c r="H117" i="2"/>
  <c r="BQ116" i="2"/>
  <c r="AZ116" i="2"/>
  <c r="AB116" i="2"/>
  <c r="D116" i="2"/>
  <c r="BM115" i="2"/>
  <c r="AL115" i="2"/>
  <c r="X115" i="2"/>
  <c r="BZ114" i="2"/>
  <c r="BH114" i="2"/>
  <c r="AI114" i="2"/>
  <c r="N114" i="2"/>
  <c r="BV113" i="2"/>
  <c r="BG113" i="2"/>
  <c r="AJ113" i="2"/>
  <c r="X113" i="2"/>
  <c r="C113" i="2"/>
  <c r="BW112" i="2"/>
  <c r="BH112" i="2"/>
  <c r="AK112" i="2"/>
  <c r="Y112" i="2"/>
  <c r="G112" i="2"/>
  <c r="CM111" i="2"/>
  <c r="BM111" i="2"/>
  <c r="AY111" i="2"/>
  <c r="AC111" i="2"/>
  <c r="J111" i="2"/>
  <c r="CP110" i="2"/>
  <c r="BT110" i="2"/>
  <c r="BF110" i="2"/>
  <c r="AS110" i="2"/>
  <c r="AB110" i="2"/>
  <c r="K110" i="2"/>
  <c r="CQ109" i="2"/>
  <c r="BV109" i="2"/>
  <c r="BG109" i="2"/>
  <c r="AJ109" i="2"/>
  <c r="X109" i="2"/>
  <c r="G109" i="2"/>
  <c r="BQ108" i="2"/>
  <c r="AY108" i="2"/>
  <c r="Z108" i="2"/>
  <c r="C108" i="2"/>
  <c r="BK107" i="2"/>
  <c r="AK107" i="2"/>
  <c r="V107" i="2"/>
  <c r="BW106" i="2"/>
  <c r="BE106" i="2"/>
  <c r="AG106" i="2"/>
  <c r="G106" i="2"/>
  <c r="BQ105" i="2"/>
  <c r="AY105" i="2"/>
  <c r="Z105" i="2"/>
  <c r="C105" i="2"/>
  <c r="BK104" i="2"/>
  <c r="AK104" i="2"/>
  <c r="V104" i="2"/>
  <c r="BW103" i="2"/>
  <c r="BE103" i="2"/>
  <c r="AG103" i="2"/>
  <c r="G103" i="2"/>
  <c r="BQ102" i="2"/>
  <c r="AY102" i="2"/>
  <c r="Z102" i="2"/>
  <c r="C102" i="2"/>
  <c r="BK101" i="2"/>
  <c r="AK101" i="2"/>
  <c r="V101" i="2"/>
  <c r="BW100" i="2"/>
  <c r="BE100" i="2"/>
  <c r="AG100" i="2"/>
  <c r="F100" i="2"/>
  <c r="BP99" i="2"/>
  <c r="AX99" i="2"/>
  <c r="Y99" i="2"/>
  <c r="B99" i="2"/>
  <c r="BJ98" i="2"/>
  <c r="AJ98" i="2"/>
  <c r="U98" i="2"/>
  <c r="BV97" i="2"/>
  <c r="BD97" i="2"/>
  <c r="AF97" i="2"/>
  <c r="F97" i="2"/>
  <c r="BP96" i="2"/>
  <c r="AX96" i="2"/>
  <c r="Y96" i="2"/>
  <c r="B96" i="2"/>
  <c r="BJ95" i="2"/>
  <c r="AJ95" i="2"/>
  <c r="U95" i="2"/>
  <c r="BV94" i="2"/>
  <c r="BD94" i="2"/>
  <c r="AF94" i="2"/>
  <c r="F94" i="2"/>
  <c r="BP93" i="2"/>
  <c r="AX93" i="2"/>
  <c r="Y93" i="2"/>
  <c r="B93" i="2"/>
  <c r="BJ92" i="2"/>
  <c r="AJ92" i="2"/>
  <c r="U92" i="2"/>
  <c r="BV91" i="2"/>
  <c r="BD91" i="2"/>
  <c r="AF91" i="2"/>
  <c r="E91" i="2"/>
  <c r="BX90" i="2"/>
  <c r="BF90" i="2"/>
  <c r="AH90" i="2"/>
  <c r="N90" i="2"/>
  <c r="BW89" i="2"/>
  <c r="BE89" i="2"/>
  <c r="AG89" i="2"/>
  <c r="G89" i="2"/>
  <c r="BQ88" i="2"/>
  <c r="AY88" i="2"/>
  <c r="Z88" i="2"/>
  <c r="C88" i="2"/>
  <c r="BK87" i="2"/>
  <c r="AK87" i="2"/>
  <c r="V87" i="2"/>
  <c r="BW86" i="2"/>
  <c r="BE86" i="2"/>
  <c r="AG86" i="2"/>
  <c r="H86" i="2"/>
  <c r="BR85" i="2"/>
  <c r="AZ85" i="2"/>
  <c r="AA85" i="2"/>
  <c r="E85" i="2"/>
  <c r="CK84" i="2"/>
  <c r="BJ84" i="2"/>
  <c r="AJ84" i="2"/>
  <c r="U84" i="2"/>
  <c r="BZ83" i="2"/>
  <c r="BH83" i="2"/>
  <c r="AI83" i="2"/>
  <c r="N83" i="2"/>
  <c r="CP82" i="2"/>
  <c r="BQ82" i="2"/>
  <c r="AY82" i="2"/>
  <c r="Z82" i="2"/>
  <c r="D82" i="2"/>
  <c r="BN81" i="2"/>
  <c r="AR81" i="2"/>
  <c r="X81" i="2"/>
  <c r="C81" i="2"/>
  <c r="BL80" i="2"/>
  <c r="AL80" i="2"/>
  <c r="W80" i="2"/>
  <c r="BZ79" i="2"/>
  <c r="BH79" i="2"/>
  <c r="AI79" i="2"/>
  <c r="N79" i="2"/>
  <c r="BT78" i="2"/>
  <c r="BB78" i="2"/>
  <c r="AB78" i="2"/>
  <c r="F78" i="2"/>
  <c r="BP77" i="2"/>
  <c r="AX77" i="2"/>
  <c r="Y77" i="2"/>
  <c r="B77" i="2"/>
  <c r="BT76" i="2"/>
  <c r="BB76" i="2"/>
  <c r="AB76" i="2"/>
  <c r="H76" i="2"/>
  <c r="BR75" i="2"/>
  <c r="AZ75" i="2"/>
  <c r="AA75" i="2"/>
  <c r="E75" i="2"/>
  <c r="CK74" i="2"/>
  <c r="BK74" i="2"/>
  <c r="AK74" i="2"/>
  <c r="Y74" i="2"/>
  <c r="I74" i="2"/>
  <c r="BT73" i="2"/>
  <c r="BB73" i="2"/>
  <c r="AB73" i="2"/>
  <c r="F73" i="2"/>
  <c r="BP72" i="2"/>
  <c r="AX72" i="2"/>
  <c r="Y72" i="2"/>
  <c r="BZ71" i="2"/>
  <c r="BH71" i="2"/>
  <c r="AI71" i="2"/>
  <c r="N71" i="2"/>
  <c r="BR70" i="2"/>
  <c r="AZ70" i="2"/>
  <c r="AA70" i="2"/>
  <c r="C70" i="2"/>
  <c r="BK69" i="2"/>
  <c r="AK69" i="2"/>
  <c r="V69" i="2"/>
  <c r="BW68" i="2"/>
  <c r="BE68" i="2"/>
  <c r="AG68" i="2"/>
  <c r="G68" i="2"/>
  <c r="BQ67" i="2"/>
  <c r="AY67" i="2"/>
  <c r="Z67" i="2"/>
  <c r="C67" i="2"/>
  <c r="BK66" i="2"/>
  <c r="AK66" i="2"/>
  <c r="V66" i="2"/>
  <c r="BW65" i="2"/>
  <c r="BE65" i="2"/>
  <c r="AG65" i="2"/>
  <c r="F65" i="2"/>
  <c r="BP64" i="2"/>
  <c r="AX64" i="2"/>
  <c r="Y64" i="2"/>
  <c r="BZ63" i="2"/>
  <c r="BH63" i="2"/>
  <c r="AI63" i="2"/>
  <c r="N63" i="2"/>
  <c r="BT62" i="2"/>
  <c r="BB62" i="2"/>
  <c r="AB62" i="2"/>
  <c r="E62" i="2"/>
  <c r="BN61" i="2"/>
  <c r="AR61" i="2"/>
  <c r="X61" i="2"/>
  <c r="BX60" i="2"/>
  <c r="BF60" i="2"/>
  <c r="AH60" i="2"/>
  <c r="J60" i="2"/>
  <c r="BT59" i="2"/>
  <c r="BB59" i="2"/>
  <c r="AB59" i="2"/>
  <c r="E59" i="2"/>
  <c r="BR58" i="2"/>
  <c r="AZ58" i="2"/>
  <c r="AA58" i="2"/>
  <c r="E58" i="2"/>
  <c r="BN57" i="2"/>
  <c r="AR57" i="2"/>
  <c r="X57" i="2"/>
  <c r="BZ56" i="2"/>
  <c r="BH56" i="2"/>
  <c r="AI56" i="2"/>
  <c r="N56" i="2"/>
  <c r="BR55" i="2"/>
  <c r="AZ55" i="2"/>
  <c r="AA55" i="2"/>
  <c r="C55" i="2"/>
  <c r="BK54" i="2"/>
  <c r="AK54" i="2"/>
  <c r="V54" i="2"/>
  <c r="BW53" i="2"/>
  <c r="BE53" i="2"/>
  <c r="AG53" i="2"/>
  <c r="F53" i="2"/>
  <c r="BP52" i="2"/>
  <c r="AX52" i="2"/>
  <c r="Y52" i="2"/>
  <c r="BZ51" i="2"/>
  <c r="BH51" i="2"/>
  <c r="AI51" i="2"/>
  <c r="N51" i="2"/>
  <c r="BT50" i="2"/>
  <c r="BB50" i="2"/>
  <c r="AB50" i="2"/>
  <c r="E50" i="2"/>
  <c r="BN49" i="2"/>
  <c r="AR49" i="2"/>
  <c r="X49" i="2"/>
  <c r="BZ48" i="2"/>
  <c r="BH48" i="2"/>
  <c r="AI48" i="2"/>
  <c r="N48" i="2"/>
  <c r="BR47" i="2"/>
  <c r="AZ47" i="2"/>
  <c r="AA47" i="2"/>
  <c r="D47" i="2"/>
  <c r="BL46" i="2"/>
  <c r="AL46" i="2"/>
  <c r="W46" i="2"/>
  <c r="BX45" i="2"/>
  <c r="BF45" i="2"/>
  <c r="AH45" i="2"/>
  <c r="G45" i="2"/>
  <c r="BQ44" i="2"/>
  <c r="AY44" i="2"/>
  <c r="Z44" i="2"/>
  <c r="C44" i="2"/>
  <c r="BK43" i="2"/>
  <c r="AK43" i="2"/>
  <c r="V43" i="2"/>
  <c r="BW42" i="2"/>
  <c r="BE42" i="2"/>
  <c r="AG42" i="2"/>
  <c r="F42" i="2"/>
  <c r="BP41" i="2"/>
  <c r="AX41" i="2"/>
  <c r="Y41" i="2"/>
  <c r="C41" i="2"/>
  <c r="BK40" i="2"/>
  <c r="AK40" i="2"/>
  <c r="V40" i="2"/>
  <c r="BV39" i="2"/>
  <c r="BD39" i="2"/>
  <c r="AF39" i="2"/>
  <c r="G39" i="2"/>
  <c r="BQ38" i="2"/>
  <c r="AY38" i="2"/>
  <c r="Z38" i="2"/>
  <c r="B38" i="2"/>
  <c r="BJ37" i="2"/>
  <c r="AJ37" i="2"/>
  <c r="U37" i="2"/>
  <c r="BW36" i="2"/>
  <c r="BE36" i="2"/>
  <c r="AG36" i="2"/>
  <c r="H36" i="2"/>
  <c r="BR35" i="2"/>
  <c r="AZ35" i="2"/>
  <c r="AA35" i="2"/>
  <c r="E35" i="2"/>
  <c r="BN34" i="2"/>
  <c r="AR34" i="2"/>
  <c r="X34" i="2"/>
  <c r="B34" i="2"/>
  <c r="BJ33" i="2"/>
  <c r="AJ33" i="2"/>
  <c r="U33" i="2"/>
  <c r="BW32" i="2"/>
  <c r="BE32" i="2"/>
  <c r="AG32" i="2"/>
  <c r="H32" i="2"/>
  <c r="BR31" i="2"/>
  <c r="AZ31" i="2"/>
  <c r="AA31" i="2"/>
  <c r="E31" i="2"/>
  <c r="CK30" i="2"/>
  <c r="BK30" i="2"/>
  <c r="AK30" i="2"/>
  <c r="Y30" i="2"/>
  <c r="I30" i="2"/>
  <c r="BT29" i="2"/>
  <c r="BB29" i="2"/>
  <c r="AB29" i="2"/>
  <c r="E29" i="2"/>
  <c r="BN28" i="2"/>
  <c r="AR28" i="2"/>
  <c r="X28" i="2"/>
  <c r="BZ27" i="2"/>
  <c r="BH27" i="2"/>
  <c r="AI27" i="2"/>
  <c r="N27" i="2"/>
  <c r="BT26" i="2"/>
  <c r="BB26" i="2"/>
  <c r="AB26" i="2"/>
  <c r="E26" i="2"/>
  <c r="BN25" i="2"/>
  <c r="AR25" i="2"/>
  <c r="X25" i="2"/>
  <c r="BZ24" i="2"/>
  <c r="BH24" i="2"/>
  <c r="AI24" i="2"/>
  <c r="N24" i="2"/>
  <c r="BT23" i="2"/>
  <c r="BB23" i="2"/>
  <c r="AB23" i="2"/>
  <c r="E23" i="2"/>
  <c r="BN22" i="2"/>
  <c r="AR22" i="2"/>
  <c r="X22" i="2"/>
  <c r="BZ21" i="2"/>
  <c r="BH21" i="2"/>
  <c r="AI21" i="2"/>
  <c r="N21" i="2"/>
  <c r="BT20" i="2"/>
  <c r="BB20" i="2"/>
  <c r="AB20" i="2"/>
  <c r="E20" i="2"/>
  <c r="BN19" i="2"/>
  <c r="AR19" i="2"/>
  <c r="X19" i="2"/>
  <c r="BZ18" i="2"/>
  <c r="BH18" i="2"/>
  <c r="AI18" i="2"/>
  <c r="N18" i="2"/>
  <c r="BT17" i="2"/>
  <c r="BB17" i="2"/>
  <c r="AB17" i="2"/>
  <c r="E17" i="2"/>
  <c r="CK16" i="2"/>
  <c r="BK16" i="2"/>
  <c r="AK16" i="2"/>
  <c r="Y16" i="2"/>
  <c r="I16" i="2"/>
  <c r="CP15" i="2"/>
  <c r="BR15" i="2"/>
  <c r="AZ15" i="2"/>
  <c r="AD15" i="2"/>
  <c r="O15" i="2"/>
  <c r="B15" i="2"/>
  <c r="BJ14" i="2"/>
  <c r="AJ14" i="2"/>
  <c r="U14" i="2"/>
  <c r="BV13" i="2"/>
  <c r="BD13" i="2"/>
  <c r="AF13" i="2"/>
  <c r="F13" i="2"/>
  <c r="BP12" i="2"/>
  <c r="AX12" i="2"/>
  <c r="Y12" i="2"/>
  <c r="BZ11" i="2"/>
  <c r="BH11" i="2"/>
  <c r="AI11" i="2"/>
  <c r="N11" i="2"/>
  <c r="AA260" i="2"/>
  <c r="CQ243" i="2"/>
  <c r="P230" i="2"/>
  <c r="B219" i="2"/>
  <c r="BZ213" i="2"/>
  <c r="AE212" i="2"/>
  <c r="BZ210" i="2"/>
  <c r="BE209" i="2"/>
  <c r="Z208" i="2"/>
  <c r="BX206" i="2"/>
  <c r="BD205" i="2"/>
  <c r="Y204" i="2"/>
  <c r="BR202" i="2"/>
  <c r="AZ201" i="2"/>
  <c r="V200" i="2"/>
  <c r="BN198" i="2"/>
  <c r="AX197" i="2"/>
  <c r="N196" i="2"/>
  <c r="BR194" i="2"/>
  <c r="AZ193" i="2"/>
  <c r="AA192" i="2"/>
  <c r="BT190" i="2"/>
  <c r="AR189" i="2"/>
  <c r="P188" i="2"/>
  <c r="BY186" i="2"/>
  <c r="BH185" i="2"/>
  <c r="AG184" i="2"/>
  <c r="J183" i="2"/>
  <c r="BR181" i="2"/>
  <c r="AR180" i="2"/>
  <c r="P179" i="2"/>
  <c r="BT177" i="2"/>
  <c r="BA176" i="2"/>
  <c r="AA175" i="2"/>
  <c r="D174" i="2"/>
  <c r="BG172" i="2"/>
  <c r="AF171" i="2"/>
  <c r="F170" i="2"/>
  <c r="BM168" i="2"/>
  <c r="AH167" i="2"/>
  <c r="P166" i="2"/>
  <c r="BP164" i="2"/>
  <c r="AI163" i="2"/>
  <c r="D162" i="2"/>
  <c r="BF160" i="2"/>
  <c r="AA159" i="2"/>
  <c r="BT157" i="2"/>
  <c r="AR156" i="2"/>
  <c r="H155" i="2"/>
  <c r="BK153" i="2"/>
  <c r="AE152" i="2"/>
  <c r="U151" i="2"/>
  <c r="BY149" i="2"/>
  <c r="BG148" i="2"/>
  <c r="AG147" i="2"/>
  <c r="D146" i="2"/>
  <c r="BH144" i="2"/>
  <c r="AC143" i="2"/>
  <c r="BW141" i="2"/>
  <c r="BM140" i="2"/>
  <c r="BR139" i="2"/>
  <c r="BW138" i="2"/>
  <c r="B138" i="2"/>
  <c r="F137" i="2"/>
  <c r="U136" i="2"/>
  <c r="Y135" i="2"/>
  <c r="AE134" i="2"/>
  <c r="AK133" i="2"/>
  <c r="BA132" i="2"/>
  <c r="BH131" i="2"/>
  <c r="BN130" i="2"/>
  <c r="BY129" i="2"/>
  <c r="F129" i="2"/>
  <c r="AF128" i="2"/>
  <c r="AX127" i="2"/>
  <c r="BE126" i="2"/>
  <c r="BZ125" i="2"/>
  <c r="AB125" i="2"/>
  <c r="BE124" i="2"/>
  <c r="BZ123" i="2"/>
  <c r="AB123" i="2"/>
  <c r="BE122" i="2"/>
  <c r="CS121" i="2"/>
  <c r="AS121" i="2"/>
  <c r="B121" i="2"/>
  <c r="BD120" i="2"/>
  <c r="P120" i="2"/>
  <c r="BY119" i="2"/>
  <c r="AY119" i="2"/>
  <c r="AG119" i="2"/>
  <c r="E119" i="2"/>
  <c r="BR118" i="2"/>
  <c r="AL118" i="2"/>
  <c r="N118" i="2"/>
  <c r="CC117" i="2"/>
  <c r="BB117" i="2"/>
  <c r="AA117" i="2"/>
  <c r="G117" i="2"/>
  <c r="BP116" i="2"/>
  <c r="AY116" i="2"/>
  <c r="Z116" i="2"/>
  <c r="C116" i="2"/>
  <c r="BL115" i="2"/>
  <c r="AK115" i="2"/>
  <c r="W115" i="2"/>
  <c r="BX114" i="2"/>
  <c r="BG114" i="2"/>
  <c r="AH114" i="2"/>
  <c r="J114" i="2"/>
  <c r="BT113" i="2"/>
  <c r="BF113" i="2"/>
  <c r="AI113" i="2"/>
  <c r="W113" i="2"/>
  <c r="B113" i="2"/>
  <c r="BV112" i="2"/>
  <c r="BG112" i="2"/>
  <c r="AJ112" i="2"/>
  <c r="X112" i="2"/>
  <c r="F112" i="2"/>
  <c r="BZ111" i="2"/>
  <c r="BL111" i="2"/>
  <c r="AX111" i="2"/>
  <c r="AB111" i="2"/>
  <c r="I111" i="2"/>
  <c r="CO110" i="2"/>
  <c r="BS110" i="2"/>
  <c r="BE110" i="2"/>
  <c r="AR110" i="2"/>
  <c r="AA110" i="2"/>
  <c r="J110" i="2"/>
  <c r="CP109" i="2"/>
  <c r="BT109" i="2"/>
  <c r="BF109" i="2"/>
  <c r="AI109" i="2"/>
  <c r="W109" i="2"/>
  <c r="F109" i="2"/>
  <c r="BP108" i="2"/>
  <c r="AX108" i="2"/>
  <c r="Y108" i="2"/>
  <c r="B108" i="2"/>
  <c r="BJ107" i="2"/>
  <c r="AJ107" i="2"/>
  <c r="U107" i="2"/>
  <c r="BV106" i="2"/>
  <c r="BD106" i="2"/>
  <c r="AF106" i="2"/>
  <c r="F106" i="2"/>
  <c r="BP105" i="2"/>
  <c r="AX105" i="2"/>
  <c r="Y105" i="2"/>
  <c r="B105" i="2"/>
  <c r="BJ104" i="2"/>
  <c r="AJ104" i="2"/>
  <c r="U104" i="2"/>
  <c r="BV103" i="2"/>
  <c r="BD103" i="2"/>
  <c r="AF103" i="2"/>
  <c r="F103" i="2"/>
  <c r="BP102" i="2"/>
  <c r="AX102" i="2"/>
  <c r="Y102" i="2"/>
  <c r="B102" i="2"/>
  <c r="BJ101" i="2"/>
  <c r="AJ101" i="2"/>
  <c r="U101" i="2"/>
  <c r="BV100" i="2"/>
  <c r="BD100" i="2"/>
  <c r="AF100" i="2"/>
  <c r="E100" i="2"/>
  <c r="BN99" i="2"/>
  <c r="AR99" i="2"/>
  <c r="X99" i="2"/>
  <c r="BZ98" i="2"/>
  <c r="BH98" i="2"/>
  <c r="AI98" i="2"/>
  <c r="N98" i="2"/>
  <c r="BT97" i="2"/>
  <c r="BB97" i="2"/>
  <c r="AB97" i="2"/>
  <c r="E97" i="2"/>
  <c r="BN96" i="2"/>
  <c r="AR96" i="2"/>
  <c r="X96" i="2"/>
  <c r="BZ95" i="2"/>
  <c r="BH95" i="2"/>
  <c r="AI95" i="2"/>
  <c r="N95" i="2"/>
  <c r="BT94" i="2"/>
  <c r="BB94" i="2"/>
  <c r="AB94" i="2"/>
  <c r="E94" i="2"/>
  <c r="BN93" i="2"/>
  <c r="AR93" i="2"/>
  <c r="X93" i="2"/>
  <c r="BZ92" i="2"/>
  <c r="BH92" i="2"/>
  <c r="AI92" i="2"/>
  <c r="N92" i="2"/>
  <c r="BT91" i="2"/>
  <c r="BB91" i="2"/>
  <c r="AB91" i="2"/>
  <c r="D91" i="2"/>
  <c r="BW90" i="2"/>
  <c r="BE90" i="2"/>
  <c r="AG90" i="2"/>
  <c r="J90" i="2"/>
  <c r="BV89" i="2"/>
  <c r="BD89" i="2"/>
  <c r="AF89" i="2"/>
  <c r="F89" i="2"/>
  <c r="BP88" i="2"/>
  <c r="AX88" i="2"/>
  <c r="Y88" i="2"/>
  <c r="B88" i="2"/>
  <c r="BJ87" i="2"/>
  <c r="AJ87" i="2"/>
  <c r="U87" i="2"/>
  <c r="BV86" i="2"/>
  <c r="BD86" i="2"/>
  <c r="AF86" i="2"/>
  <c r="G86" i="2"/>
  <c r="BQ85" i="2"/>
  <c r="AY85" i="2"/>
  <c r="Z85" i="2"/>
  <c r="D85" i="2"/>
  <c r="BZ84" i="2"/>
  <c r="BH84" i="2"/>
  <c r="AI84" i="2"/>
  <c r="N84" i="2"/>
  <c r="BX83" i="2"/>
  <c r="BF83" i="2"/>
  <c r="AH83" i="2"/>
  <c r="J83" i="2"/>
  <c r="CO82" i="2"/>
  <c r="BP82" i="2"/>
  <c r="AX82" i="2"/>
  <c r="Y82" i="2"/>
  <c r="C82" i="2"/>
  <c r="BL81" i="2"/>
  <c r="AL81" i="2"/>
  <c r="W81" i="2"/>
  <c r="B81" i="2"/>
  <c r="BK80" i="2"/>
  <c r="AK80" i="2"/>
  <c r="V80" i="2"/>
  <c r="BX79" i="2"/>
  <c r="BF79" i="2"/>
  <c r="AH79" i="2"/>
  <c r="H79" i="2"/>
  <c r="BR78" i="2"/>
  <c r="AZ78" i="2"/>
  <c r="AA78" i="2"/>
  <c r="E78" i="2"/>
  <c r="BN77" i="2"/>
  <c r="AR77" i="2"/>
  <c r="X77" i="2"/>
  <c r="CS76" i="2"/>
  <c r="BR76" i="2"/>
  <c r="AZ76" i="2"/>
  <c r="AA76" i="2"/>
  <c r="G76" i="2"/>
  <c r="BQ75" i="2"/>
  <c r="AY75" i="2"/>
  <c r="Z75" i="2"/>
  <c r="D75" i="2"/>
  <c r="CJ74" i="2"/>
  <c r="BJ74" i="2"/>
  <c r="AJ74" i="2"/>
  <c r="X74" i="2"/>
  <c r="H74" i="2"/>
  <c r="BR73" i="2"/>
  <c r="AZ73" i="2"/>
  <c r="AA73" i="2"/>
  <c r="E73" i="2"/>
  <c r="BN72" i="2"/>
  <c r="AR72" i="2"/>
  <c r="X72" i="2"/>
  <c r="BX71" i="2"/>
  <c r="BF71" i="2"/>
  <c r="AH71" i="2"/>
  <c r="G71" i="2"/>
  <c r="BQ70" i="2"/>
  <c r="AY70" i="2"/>
  <c r="Z70" i="2"/>
  <c r="B70" i="2"/>
  <c r="BJ69" i="2"/>
  <c r="AJ69" i="2"/>
  <c r="U69" i="2"/>
  <c r="BV68" i="2"/>
  <c r="BD68" i="2"/>
  <c r="AF68" i="2"/>
  <c r="F68" i="2"/>
  <c r="BP67" i="2"/>
  <c r="AX67" i="2"/>
  <c r="Y67" i="2"/>
  <c r="B67" i="2"/>
  <c r="BJ66" i="2"/>
  <c r="AJ66" i="2"/>
  <c r="U66" i="2"/>
  <c r="BV65" i="2"/>
  <c r="BD65" i="2"/>
  <c r="AF65" i="2"/>
  <c r="E65" i="2"/>
  <c r="BN64" i="2"/>
  <c r="AR64" i="2"/>
  <c r="X64" i="2"/>
  <c r="BX63" i="2"/>
  <c r="BF63" i="2"/>
  <c r="AH63" i="2"/>
  <c r="H63" i="2"/>
  <c r="BR62" i="2"/>
  <c r="AZ62" i="2"/>
  <c r="AA62" i="2"/>
  <c r="D62" i="2"/>
  <c r="BL61" i="2"/>
  <c r="AL61" i="2"/>
  <c r="W61" i="2"/>
  <c r="BW60" i="2"/>
  <c r="BE60" i="2"/>
  <c r="AG60" i="2"/>
  <c r="H60" i="2"/>
  <c r="BR59" i="2"/>
  <c r="AZ59" i="2"/>
  <c r="AA59" i="2"/>
  <c r="D59" i="2"/>
  <c r="BQ58" i="2"/>
  <c r="AY58" i="2"/>
  <c r="Z58" i="2"/>
  <c r="D58" i="2"/>
  <c r="BL57" i="2"/>
  <c r="AL57" i="2"/>
  <c r="W57" i="2"/>
  <c r="BX56" i="2"/>
  <c r="BF56" i="2"/>
  <c r="AH56" i="2"/>
  <c r="G56" i="2"/>
  <c r="BQ55" i="2"/>
  <c r="AY55" i="2"/>
  <c r="Z55" i="2"/>
  <c r="B55" i="2"/>
  <c r="BJ54" i="2"/>
  <c r="AJ54" i="2"/>
  <c r="U54" i="2"/>
  <c r="BV53" i="2"/>
  <c r="BD53" i="2"/>
  <c r="AF53" i="2"/>
  <c r="E53" i="2"/>
  <c r="BN52" i="2"/>
  <c r="AR52" i="2"/>
  <c r="X52" i="2"/>
  <c r="BX51" i="2"/>
  <c r="BF51" i="2"/>
  <c r="AH51" i="2"/>
  <c r="H51" i="2"/>
  <c r="BR50" i="2"/>
  <c r="AZ50" i="2"/>
  <c r="AA50" i="2"/>
  <c r="D50" i="2"/>
  <c r="BL49" i="2"/>
  <c r="AL49" i="2"/>
  <c r="W49" i="2"/>
  <c r="BX48" i="2"/>
  <c r="BF48" i="2"/>
  <c r="AH48" i="2"/>
  <c r="G48" i="2"/>
  <c r="BQ47" i="2"/>
  <c r="AY47" i="2"/>
  <c r="Z47" i="2"/>
  <c r="C47" i="2"/>
  <c r="BK46" i="2"/>
  <c r="AK46" i="2"/>
  <c r="V46" i="2"/>
  <c r="BW45" i="2"/>
  <c r="BE45" i="2"/>
  <c r="AG45" i="2"/>
  <c r="F45" i="2"/>
  <c r="BP44" i="2"/>
  <c r="AX44" i="2"/>
  <c r="Y44" i="2"/>
  <c r="B44" i="2"/>
  <c r="BJ43" i="2"/>
  <c r="AJ43" i="2"/>
  <c r="U43" i="2"/>
  <c r="BV42" i="2"/>
  <c r="BD42" i="2"/>
  <c r="AF42" i="2"/>
  <c r="E42" i="2"/>
  <c r="BN41" i="2"/>
  <c r="AR41" i="2"/>
  <c r="X41" i="2"/>
  <c r="B41" i="2"/>
  <c r="BJ40" i="2"/>
  <c r="AJ40" i="2"/>
  <c r="U40" i="2"/>
  <c r="BT39" i="2"/>
  <c r="BB39" i="2"/>
  <c r="AB39" i="2"/>
  <c r="F39" i="2"/>
  <c r="BP38" i="2"/>
  <c r="AX38" i="2"/>
  <c r="Y38" i="2"/>
  <c r="BZ37" i="2"/>
  <c r="BH37" i="2"/>
  <c r="AI37" i="2"/>
  <c r="N37" i="2"/>
  <c r="BV36" i="2"/>
  <c r="BD36" i="2"/>
  <c r="AF36" i="2"/>
  <c r="G36" i="2"/>
  <c r="BQ35" i="2"/>
  <c r="AY35" i="2"/>
  <c r="Z35" i="2"/>
  <c r="D35" i="2"/>
  <c r="BL34" i="2"/>
  <c r="AL34" i="2"/>
  <c r="W34" i="2"/>
  <c r="BZ33" i="2"/>
  <c r="BH33" i="2"/>
  <c r="AI33" i="2"/>
  <c r="N33" i="2"/>
  <c r="BV32" i="2"/>
  <c r="BD32" i="2"/>
  <c r="AF32" i="2"/>
  <c r="G32" i="2"/>
  <c r="BQ31" i="2"/>
  <c r="AY31" i="2"/>
  <c r="Z31" i="2"/>
  <c r="D31" i="2"/>
  <c r="CJ30" i="2"/>
  <c r="BJ30" i="2"/>
  <c r="AJ30" i="2"/>
  <c r="X30" i="2"/>
  <c r="H30" i="2"/>
  <c r="BR29" i="2"/>
  <c r="AZ29" i="2"/>
  <c r="AA29" i="2"/>
  <c r="D29" i="2"/>
  <c r="BL28" i="2"/>
  <c r="AL28" i="2"/>
  <c r="W28" i="2"/>
  <c r="BX27" i="2"/>
  <c r="BF27" i="2"/>
  <c r="AH27" i="2"/>
  <c r="H27" i="2"/>
  <c r="BR26" i="2"/>
  <c r="AZ26" i="2"/>
  <c r="AA26" i="2"/>
  <c r="D26" i="2"/>
  <c r="BL25" i="2"/>
  <c r="AL25" i="2"/>
  <c r="W25" i="2"/>
  <c r="BX24" i="2"/>
  <c r="BF24" i="2"/>
  <c r="AH24" i="2"/>
  <c r="H24" i="2"/>
  <c r="BR23" i="2"/>
  <c r="AZ23" i="2"/>
  <c r="AA23" i="2"/>
  <c r="D23" i="2"/>
  <c r="BL22" i="2"/>
  <c r="AL22" i="2"/>
  <c r="W22" i="2"/>
  <c r="BX21" i="2"/>
  <c r="BF21" i="2"/>
  <c r="AH21" i="2"/>
  <c r="H21" i="2"/>
  <c r="BR20" i="2"/>
  <c r="AZ20" i="2"/>
  <c r="AA20" i="2"/>
  <c r="D20" i="2"/>
  <c r="BL19" i="2"/>
  <c r="AL19" i="2"/>
  <c r="W19" i="2"/>
  <c r="BX18" i="2"/>
  <c r="BF18" i="2"/>
  <c r="AH18" i="2"/>
  <c r="H18" i="2"/>
  <c r="BR17" i="2"/>
  <c r="AZ17" i="2"/>
  <c r="AA17" i="2"/>
  <c r="D17" i="2"/>
  <c r="CJ16" i="2"/>
  <c r="BJ16" i="2"/>
  <c r="AJ16" i="2"/>
  <c r="X16" i="2"/>
  <c r="H16" i="2"/>
  <c r="CO15" i="2"/>
  <c r="BQ15" i="2"/>
  <c r="AY15" i="2"/>
  <c r="AC15" i="2"/>
  <c r="N15" i="2"/>
  <c r="BZ14" i="2"/>
  <c r="BH14" i="2"/>
  <c r="AI14" i="2"/>
  <c r="N14" i="2"/>
  <c r="BT13" i="2"/>
  <c r="BB13" i="2"/>
  <c r="AB13" i="2"/>
  <c r="E13" i="2"/>
  <c r="BN12" i="2"/>
  <c r="AR12" i="2"/>
  <c r="X12" i="2"/>
  <c r="BX11" i="2"/>
  <c r="BF11" i="2"/>
  <c r="AH11" i="2"/>
  <c r="G11" i="2"/>
  <c r="BQ10" i="2"/>
  <c r="BY257" i="2"/>
  <c r="BX242" i="2"/>
  <c r="F229" i="2"/>
  <c r="AR218" i="2"/>
  <c r="BK213" i="2"/>
  <c r="N212" i="2"/>
  <c r="BN210" i="2"/>
  <c r="AI209" i="2"/>
  <c r="H208" i="2"/>
  <c r="BK206" i="2"/>
  <c r="AH205" i="2"/>
  <c r="C204" i="2"/>
  <c r="BE202" i="2"/>
  <c r="AE201" i="2"/>
  <c r="BY199" i="2"/>
  <c r="BA198" i="2"/>
  <c r="AC197" i="2"/>
  <c r="BW195" i="2"/>
  <c r="BE194" i="2"/>
  <c r="AE193" i="2"/>
  <c r="E192" i="2"/>
  <c r="BG190" i="2"/>
  <c r="AB189" i="2"/>
  <c r="C188" i="2"/>
  <c r="BL186" i="2"/>
  <c r="AL185" i="2"/>
  <c r="V184" i="2"/>
  <c r="BX182" i="2"/>
  <c r="BE181" i="2"/>
  <c r="AB180" i="2"/>
  <c r="BZ178" i="2"/>
  <c r="BG177" i="2"/>
  <c r="AF176" i="2"/>
  <c r="I175" i="2"/>
  <c r="BQ173" i="2"/>
  <c r="AK172" i="2"/>
  <c r="U171" i="2"/>
  <c r="BS169" i="2"/>
  <c r="BA168" i="2"/>
  <c r="W167" i="2"/>
  <c r="BZ165" i="2"/>
  <c r="BB164" i="2"/>
  <c r="X163" i="2"/>
  <c r="BQ161" i="2"/>
  <c r="AJ160" i="2"/>
  <c r="E159" i="2"/>
  <c r="BG157" i="2"/>
  <c r="AB156" i="2"/>
  <c r="BV154" i="2"/>
  <c r="AX153" i="2"/>
  <c r="N152" i="2"/>
  <c r="BX150" i="2"/>
  <c r="BL149" i="2"/>
  <c r="AP148" i="2"/>
  <c r="V147" i="2"/>
  <c r="BQ145" i="2"/>
  <c r="AL144" i="2"/>
  <c r="G143" i="2"/>
  <c r="BJ141" i="2"/>
  <c r="BE140" i="2"/>
  <c r="BJ139" i="2"/>
  <c r="BN138" i="2"/>
  <c r="BS137" i="2"/>
  <c r="BX136" i="2"/>
  <c r="C136" i="2"/>
  <c r="I135" i="2"/>
  <c r="X134" i="2"/>
  <c r="AD133" i="2"/>
  <c r="AJ132" i="2"/>
  <c r="AZ131" i="2"/>
  <c r="BF130" i="2"/>
  <c r="BQ129" i="2"/>
  <c r="CJ128" i="2"/>
  <c r="Y128" i="2"/>
  <c r="AG127" i="2"/>
  <c r="AZ126" i="2"/>
  <c r="BV125" i="2"/>
  <c r="X125" i="2"/>
  <c r="AZ124" i="2"/>
  <c r="BV123" i="2"/>
  <c r="X123" i="2"/>
  <c r="AZ122" i="2"/>
  <c r="CO121" i="2"/>
  <c r="AO121" i="2"/>
  <c r="CS120" i="2"/>
  <c r="BA120" i="2"/>
  <c r="N120" i="2"/>
  <c r="BX119" i="2"/>
  <c r="AX119" i="2"/>
  <c r="AE119" i="2"/>
  <c r="C119" i="2"/>
  <c r="BQ118" i="2"/>
  <c r="AH118" i="2"/>
  <c r="L118" i="2"/>
  <c r="CB117" i="2"/>
  <c r="BA117" i="2"/>
  <c r="Z117" i="2"/>
  <c r="E117" i="2"/>
  <c r="BN116" i="2"/>
  <c r="AX116" i="2"/>
  <c r="Y116" i="2"/>
  <c r="B116" i="2"/>
  <c r="BJ115" i="2"/>
  <c r="AJ115" i="2"/>
  <c r="V115" i="2"/>
  <c r="BW114" i="2"/>
  <c r="BF114" i="2"/>
  <c r="AF114" i="2"/>
  <c r="I114" i="2"/>
  <c r="BS113" i="2"/>
  <c r="BE113" i="2"/>
  <c r="AH113" i="2"/>
  <c r="V113" i="2"/>
  <c r="CS112" i="2"/>
  <c r="BT112" i="2"/>
  <c r="BF112" i="2"/>
  <c r="AI112" i="2"/>
  <c r="W112" i="2"/>
  <c r="E112" i="2"/>
  <c r="BY111" i="2"/>
  <c r="BK111" i="2"/>
  <c r="AR111" i="2"/>
  <c r="AA111" i="2"/>
  <c r="H111" i="2"/>
  <c r="CN110" i="2"/>
  <c r="BR110" i="2"/>
  <c r="BD110" i="2"/>
  <c r="AL110" i="2"/>
  <c r="Z110" i="2"/>
  <c r="I110" i="2"/>
  <c r="CO109" i="2"/>
  <c r="BS109" i="2"/>
  <c r="BE109" i="2"/>
  <c r="AH109" i="2"/>
  <c r="V109" i="2"/>
  <c r="E109" i="2"/>
  <c r="BN108" i="2"/>
  <c r="AR108" i="2"/>
  <c r="X108" i="2"/>
  <c r="BZ107" i="2"/>
  <c r="BH107" i="2"/>
  <c r="AI107" i="2"/>
  <c r="N107" i="2"/>
  <c r="BT106" i="2"/>
  <c r="BB106" i="2"/>
  <c r="AB106" i="2"/>
  <c r="E106" i="2"/>
  <c r="BN105" i="2"/>
  <c r="AR105" i="2"/>
  <c r="X105" i="2"/>
  <c r="BZ104" i="2"/>
  <c r="BH104" i="2"/>
  <c r="AI104" i="2"/>
  <c r="N104" i="2"/>
  <c r="BT103" i="2"/>
  <c r="BB103" i="2"/>
  <c r="AB103" i="2"/>
  <c r="E103" i="2"/>
  <c r="BN102" i="2"/>
  <c r="AR102" i="2"/>
  <c r="X102" i="2"/>
  <c r="BZ101" i="2"/>
  <c r="BH101" i="2"/>
  <c r="AI101" i="2"/>
  <c r="N101" i="2"/>
  <c r="BT100" i="2"/>
  <c r="BB100" i="2"/>
  <c r="AB100" i="2"/>
  <c r="D100" i="2"/>
  <c r="BL99" i="2"/>
  <c r="AL99" i="2"/>
  <c r="W99" i="2"/>
  <c r="BX98" i="2"/>
  <c r="BF98" i="2"/>
  <c r="AH98" i="2"/>
  <c r="H98" i="2"/>
  <c r="BR97" i="2"/>
  <c r="AZ97" i="2"/>
  <c r="AA97" i="2"/>
  <c r="D97" i="2"/>
  <c r="BL96" i="2"/>
  <c r="AL96" i="2"/>
  <c r="W96" i="2"/>
  <c r="BX95" i="2"/>
  <c r="BF95" i="2"/>
  <c r="AH95" i="2"/>
  <c r="H95" i="2"/>
  <c r="BR94" i="2"/>
  <c r="AZ94" i="2"/>
  <c r="AA94" i="2"/>
  <c r="D94" i="2"/>
  <c r="BL93" i="2"/>
  <c r="AL93" i="2"/>
  <c r="W93" i="2"/>
  <c r="BX92" i="2"/>
  <c r="BF92" i="2"/>
  <c r="AH92" i="2"/>
  <c r="H92" i="2"/>
  <c r="BR91" i="2"/>
  <c r="AZ91" i="2"/>
  <c r="AA91" i="2"/>
  <c r="C91" i="2"/>
  <c r="BV90" i="2"/>
  <c r="BD90" i="2"/>
  <c r="AF90" i="2"/>
  <c r="I90" i="2"/>
  <c r="BT89" i="2"/>
  <c r="BB89" i="2"/>
  <c r="AB89" i="2"/>
  <c r="E89" i="2"/>
  <c r="BN88" i="2"/>
  <c r="AR88" i="2"/>
  <c r="X88" i="2"/>
  <c r="BZ87" i="2"/>
  <c r="BH87" i="2"/>
  <c r="AI87" i="2"/>
  <c r="N87" i="2"/>
  <c r="BT86" i="2"/>
  <c r="BB86" i="2"/>
  <c r="AB86" i="2"/>
  <c r="F86" i="2"/>
  <c r="BP85" i="2"/>
  <c r="AX85" i="2"/>
  <c r="Y85" i="2"/>
  <c r="C85" i="2"/>
  <c r="BX84" i="2"/>
  <c r="BF84" i="2"/>
  <c r="AH84" i="2"/>
  <c r="J84" i="2"/>
  <c r="BW83" i="2"/>
  <c r="BE83" i="2"/>
  <c r="AG83" i="2"/>
  <c r="H83" i="2"/>
  <c r="CN82" i="2"/>
  <c r="BN82" i="2"/>
  <c r="AR82" i="2"/>
  <c r="X82" i="2"/>
  <c r="B82" i="2"/>
  <c r="BK81" i="2"/>
  <c r="AK81" i="2"/>
  <c r="V81" i="2"/>
  <c r="CJ80" i="2"/>
  <c r="BJ80" i="2"/>
  <c r="AJ80" i="2"/>
  <c r="U80" i="2"/>
  <c r="BW79" i="2"/>
  <c r="BE79" i="2"/>
  <c r="AG79" i="2"/>
  <c r="G79" i="2"/>
  <c r="BQ78" i="2"/>
  <c r="AY78" i="2"/>
  <c r="Z78" i="2"/>
  <c r="D78" i="2"/>
  <c r="BL77" i="2"/>
  <c r="AL77" i="2"/>
  <c r="W77" i="2"/>
  <c r="CR76" i="2"/>
  <c r="BQ76" i="2"/>
  <c r="AY76" i="2"/>
  <c r="Z76" i="2"/>
  <c r="F76" i="2"/>
  <c r="BP75" i="2"/>
  <c r="AX75" i="2"/>
  <c r="Y75" i="2"/>
  <c r="C75" i="2"/>
  <c r="BZ74" i="2"/>
  <c r="BH74" i="2"/>
  <c r="AI74" i="2"/>
  <c r="W74" i="2"/>
  <c r="G74" i="2"/>
  <c r="BQ73" i="2"/>
  <c r="AY73" i="2"/>
  <c r="Z73" i="2"/>
  <c r="D73" i="2"/>
  <c r="BL72" i="2"/>
  <c r="AL72" i="2"/>
  <c r="W72" i="2"/>
  <c r="BW71" i="2"/>
  <c r="BE71" i="2"/>
  <c r="AG71" i="2"/>
  <c r="F71" i="2"/>
  <c r="BP70" i="2"/>
  <c r="AX70" i="2"/>
  <c r="Y70" i="2"/>
  <c r="BZ69" i="2"/>
  <c r="BH69" i="2"/>
  <c r="AI69" i="2"/>
  <c r="N69" i="2"/>
  <c r="BT68" i="2"/>
  <c r="BB68" i="2"/>
  <c r="AB68" i="2"/>
  <c r="E68" i="2"/>
  <c r="BN67" i="2"/>
  <c r="AR67" i="2"/>
  <c r="X67" i="2"/>
  <c r="BZ66" i="2"/>
  <c r="BH66" i="2"/>
  <c r="AI66" i="2"/>
  <c r="N66" i="2"/>
  <c r="BT65" i="2"/>
  <c r="BB65" i="2"/>
  <c r="AB65" i="2"/>
  <c r="D65" i="2"/>
  <c r="BL64" i="2"/>
  <c r="AL64" i="2"/>
  <c r="W64" i="2"/>
  <c r="BW63" i="2"/>
  <c r="BE63" i="2"/>
  <c r="AG63" i="2"/>
  <c r="G63" i="2"/>
  <c r="BQ62" i="2"/>
  <c r="AY62" i="2"/>
  <c r="Z62" i="2"/>
  <c r="C62" i="2"/>
  <c r="BK61" i="2"/>
  <c r="AK61" i="2"/>
  <c r="V61" i="2"/>
  <c r="BV60" i="2"/>
  <c r="BD60" i="2"/>
  <c r="AF60" i="2"/>
  <c r="G60" i="2"/>
  <c r="BQ59" i="2"/>
  <c r="AY59" i="2"/>
  <c r="Z59" i="2"/>
  <c r="C59" i="2"/>
  <c r="BP58" i="2"/>
  <c r="AX58" i="2"/>
  <c r="Y58" i="2"/>
  <c r="C58" i="2"/>
  <c r="BK57" i="2"/>
  <c r="AK57" i="2"/>
  <c r="V57" i="2"/>
  <c r="BW56" i="2"/>
  <c r="BE56" i="2"/>
  <c r="AG56" i="2"/>
  <c r="F56" i="2"/>
  <c r="BP55" i="2"/>
  <c r="AX55" i="2"/>
  <c r="Y55" i="2"/>
  <c r="BZ54" i="2"/>
  <c r="BH54" i="2"/>
  <c r="AI54" i="2"/>
  <c r="N54" i="2"/>
  <c r="BT53" i="2"/>
  <c r="BB53" i="2"/>
  <c r="AB53" i="2"/>
  <c r="D53" i="2"/>
  <c r="BL52" i="2"/>
  <c r="AL52" i="2"/>
  <c r="W52" i="2"/>
  <c r="BW51" i="2"/>
  <c r="BE51" i="2"/>
  <c r="AG51" i="2"/>
  <c r="G51" i="2"/>
  <c r="BQ50" i="2"/>
  <c r="AY50" i="2"/>
  <c r="Z50" i="2"/>
  <c r="C50" i="2"/>
  <c r="BK49" i="2"/>
  <c r="AK49" i="2"/>
  <c r="V49" i="2"/>
  <c r="BW48" i="2"/>
  <c r="BE48" i="2"/>
  <c r="AG48" i="2"/>
  <c r="F48" i="2"/>
  <c r="BP47" i="2"/>
  <c r="AX47" i="2"/>
  <c r="Y47" i="2"/>
  <c r="B47" i="2"/>
  <c r="BJ46" i="2"/>
  <c r="AJ46" i="2"/>
  <c r="U46" i="2"/>
  <c r="BV45" i="2"/>
  <c r="BD45" i="2"/>
  <c r="AF45" i="2"/>
  <c r="E45" i="2"/>
  <c r="BN44" i="2"/>
  <c r="AR44" i="2"/>
  <c r="X44" i="2"/>
  <c r="BZ43" i="2"/>
  <c r="BH43" i="2"/>
  <c r="AI43" i="2"/>
  <c r="N43" i="2"/>
  <c r="BT42" i="2"/>
  <c r="BB42" i="2"/>
  <c r="AB42" i="2"/>
  <c r="D42" i="2"/>
  <c r="BL41" i="2"/>
  <c r="AL41" i="2"/>
  <c r="W41" i="2"/>
  <c r="BZ40" i="2"/>
  <c r="BH40" i="2"/>
  <c r="AI40" i="2"/>
  <c r="N40" i="2"/>
  <c r="BR39" i="2"/>
  <c r="AZ39" i="2"/>
  <c r="AA39" i="2"/>
  <c r="E39" i="2"/>
  <c r="BN38" i="2"/>
  <c r="AR38" i="2"/>
  <c r="X38" i="2"/>
  <c r="BX37" i="2"/>
  <c r="BF37" i="2"/>
  <c r="AH37" i="2"/>
  <c r="J37" i="2"/>
  <c r="BT36" i="2"/>
  <c r="BB36" i="2"/>
  <c r="AB36" i="2"/>
  <c r="F36" i="2"/>
  <c r="BP35" i="2"/>
  <c r="AX35" i="2"/>
  <c r="Y35" i="2"/>
  <c r="C35" i="2"/>
  <c r="BK34" i="2"/>
  <c r="AK34" i="2"/>
  <c r="V34" i="2"/>
  <c r="BX33" i="2"/>
  <c r="BF33" i="2"/>
  <c r="AH33" i="2"/>
  <c r="J33" i="2"/>
  <c r="BT32" i="2"/>
  <c r="BB32" i="2"/>
  <c r="AB32" i="2"/>
  <c r="F32" i="2"/>
  <c r="BP31" i="2"/>
  <c r="AX31" i="2"/>
  <c r="Y31" i="2"/>
  <c r="C31" i="2"/>
  <c r="BZ30" i="2"/>
  <c r="BH30" i="2"/>
  <c r="AI30" i="2"/>
  <c r="W30" i="2"/>
  <c r="G30" i="2"/>
  <c r="BQ29" i="2"/>
  <c r="AY29" i="2"/>
  <c r="Z29" i="2"/>
  <c r="C29" i="2"/>
  <c r="BK28" i="2"/>
  <c r="AK28" i="2"/>
  <c r="V28" i="2"/>
  <c r="BW27" i="2"/>
  <c r="BE27" i="2"/>
  <c r="AG27" i="2"/>
  <c r="G27" i="2"/>
  <c r="BQ26" i="2"/>
  <c r="AY26" i="2"/>
  <c r="Z26" i="2"/>
  <c r="C26" i="2"/>
  <c r="BK25" i="2"/>
  <c r="AK25" i="2"/>
  <c r="V25" i="2"/>
  <c r="BW24" i="2"/>
  <c r="BE24" i="2"/>
  <c r="AG24" i="2"/>
  <c r="G24" i="2"/>
  <c r="BQ23" i="2"/>
  <c r="AY23" i="2"/>
  <c r="Z23" i="2"/>
  <c r="C23" i="2"/>
  <c r="BK22" i="2"/>
  <c r="AK22" i="2"/>
  <c r="V22" i="2"/>
  <c r="BW21" i="2"/>
  <c r="BE21" i="2"/>
  <c r="AG21" i="2"/>
  <c r="G21" i="2"/>
  <c r="BQ20" i="2"/>
  <c r="AY20" i="2"/>
  <c r="Z20" i="2"/>
  <c r="C20" i="2"/>
  <c r="BK19" i="2"/>
  <c r="AK19" i="2"/>
  <c r="V19" i="2"/>
  <c r="BW18" i="2"/>
  <c r="BE18" i="2"/>
  <c r="AG18" i="2"/>
  <c r="G18" i="2"/>
  <c r="BQ17" i="2"/>
  <c r="AY17" i="2"/>
  <c r="Z17" i="2"/>
  <c r="C17" i="2"/>
  <c r="BZ16" i="2"/>
  <c r="BH16" i="2"/>
  <c r="AI16" i="2"/>
  <c r="W16" i="2"/>
  <c r="G16" i="2"/>
  <c r="CN15" i="2"/>
  <c r="BP15" i="2"/>
  <c r="AX15" i="2"/>
  <c r="AB15" i="2"/>
  <c r="L15" i="2"/>
  <c r="BX14" i="2"/>
  <c r="BF14" i="2"/>
  <c r="AH14" i="2"/>
  <c r="H14" i="2"/>
  <c r="BR13" i="2"/>
  <c r="AZ13" i="2"/>
  <c r="AA13" i="2"/>
  <c r="D13" i="2"/>
  <c r="BL12" i="2"/>
  <c r="AL12" i="2"/>
  <c r="W12" i="2"/>
  <c r="BW11" i="2"/>
  <c r="BE11" i="2"/>
  <c r="AG11" i="2"/>
  <c r="F11" i="2"/>
  <c r="BP10" i="2"/>
  <c r="AX10" i="2"/>
  <c r="Y10" i="2"/>
  <c r="BB256" i="2"/>
  <c r="BR241" i="2"/>
  <c r="BR227" i="2"/>
  <c r="CM217" i="2"/>
  <c r="AR213" i="2"/>
  <c r="H212" i="2"/>
  <c r="BM210" i="2"/>
  <c r="AH209" i="2"/>
  <c r="G208" i="2"/>
  <c r="BJ206" i="2"/>
  <c r="AG205" i="2"/>
  <c r="B204" i="2"/>
  <c r="BD202" i="2"/>
  <c r="AD201" i="2"/>
  <c r="BX199" i="2"/>
  <c r="AZ198" i="2"/>
  <c r="AB197" i="2"/>
  <c r="BV195" i="2"/>
  <c r="BD194" i="2"/>
  <c r="AD193" i="2"/>
  <c r="D192" i="2"/>
  <c r="BF190" i="2"/>
  <c r="AA189" i="2"/>
  <c r="B188" i="2"/>
  <c r="BK186" i="2"/>
  <c r="AK185" i="2"/>
  <c r="U184" i="2"/>
  <c r="BW182" i="2"/>
  <c r="BD181" i="2"/>
  <c r="AA180" i="2"/>
  <c r="BY178" i="2"/>
  <c r="BF177" i="2"/>
  <c r="AE176" i="2"/>
  <c r="H175" i="2"/>
  <c r="BP173" i="2"/>
  <c r="AJ172" i="2"/>
  <c r="Q171" i="2"/>
  <c r="BR169" i="2"/>
  <c r="AZ168" i="2"/>
  <c r="V167" i="2"/>
  <c r="BY165" i="2"/>
  <c r="BA164" i="2"/>
  <c r="W163" i="2"/>
  <c r="BP161" i="2"/>
  <c r="AI160" i="2"/>
  <c r="D159" i="2"/>
  <c r="BF157" i="2"/>
  <c r="AA156" i="2"/>
  <c r="BT154" i="2"/>
  <c r="AR153" i="2"/>
  <c r="H152" i="2"/>
  <c r="BW150" i="2"/>
  <c r="BK149" i="2"/>
  <c r="AO148" i="2"/>
  <c r="U147" i="2"/>
  <c r="BP145" i="2"/>
  <c r="AK144" i="2"/>
  <c r="F143" i="2"/>
  <c r="BH141" i="2"/>
  <c r="AZ140" i="2"/>
  <c r="BE139" i="2"/>
  <c r="BJ138" i="2"/>
  <c r="BN137" i="2"/>
  <c r="BS136" i="2"/>
  <c r="BX135" i="2"/>
  <c r="E135" i="2"/>
  <c r="N134" i="2"/>
  <c r="Z133" i="2"/>
  <c r="AF132" i="2"/>
  <c r="AL131" i="2"/>
  <c r="BA130" i="2"/>
  <c r="BL129" i="2"/>
  <c r="CF128" i="2"/>
  <c r="U128" i="2"/>
  <c r="AC127" i="2"/>
  <c r="AR126" i="2"/>
  <c r="BR125" i="2"/>
  <c r="U125" i="2"/>
  <c r="AR124" i="2"/>
  <c r="BR123" i="2"/>
  <c r="U123" i="2"/>
  <c r="AR122" i="2"/>
  <c r="BZ121" i="2"/>
  <c r="AL121" i="2"/>
  <c r="CQ120" i="2"/>
  <c r="AX120" i="2"/>
  <c r="K120" i="2"/>
  <c r="BV119" i="2"/>
  <c r="AW119" i="2"/>
  <c r="AA119" i="2"/>
  <c r="B119" i="2"/>
  <c r="BP118" i="2"/>
  <c r="AG118" i="2"/>
  <c r="J118" i="2"/>
  <c r="BY117" i="2"/>
  <c r="AZ117" i="2"/>
  <c r="X117" i="2"/>
  <c r="D117" i="2"/>
  <c r="BM116" i="2"/>
  <c r="AL116" i="2"/>
  <c r="X116" i="2"/>
  <c r="BZ115" i="2"/>
  <c r="BH115" i="2"/>
  <c r="AI115" i="2"/>
  <c r="N115" i="2"/>
  <c r="BV114" i="2"/>
  <c r="BE114" i="2"/>
  <c r="AE114" i="2"/>
  <c r="H114" i="2"/>
  <c r="BR113" i="2"/>
  <c r="BD113" i="2"/>
  <c r="AG113" i="2"/>
  <c r="U113" i="2"/>
  <c r="CR112" i="2"/>
  <c r="BS112" i="2"/>
  <c r="BE112" i="2"/>
  <c r="AH112" i="2"/>
  <c r="V112" i="2"/>
  <c r="D112" i="2"/>
  <c r="BX111" i="2"/>
  <c r="BJ111" i="2"/>
  <c r="AL111" i="2"/>
  <c r="Z111" i="2"/>
  <c r="G111" i="2"/>
  <c r="CM110" i="2"/>
  <c r="BQ110" i="2"/>
  <c r="BB110" i="2"/>
  <c r="AK110" i="2"/>
  <c r="Y110" i="2"/>
  <c r="H110" i="2"/>
  <c r="CN109" i="2"/>
  <c r="BR109" i="2"/>
  <c r="BD109" i="2"/>
  <c r="AG109" i="2"/>
  <c r="U109" i="2"/>
  <c r="D109" i="2"/>
  <c r="BL108" i="2"/>
  <c r="AL108" i="2"/>
  <c r="W108" i="2"/>
  <c r="BX107" i="2"/>
  <c r="BF107" i="2"/>
  <c r="AH107" i="2"/>
  <c r="H107" i="2"/>
  <c r="BR106" i="2"/>
  <c r="AZ106" i="2"/>
  <c r="AA106" i="2"/>
  <c r="D106" i="2"/>
  <c r="BL105" i="2"/>
  <c r="AL105" i="2"/>
  <c r="W105" i="2"/>
  <c r="BX104" i="2"/>
  <c r="BF104" i="2"/>
  <c r="AH104" i="2"/>
  <c r="H104" i="2"/>
  <c r="BR103" i="2"/>
  <c r="AZ103" i="2"/>
  <c r="AA103" i="2"/>
  <c r="D103" i="2"/>
  <c r="BL102" i="2"/>
  <c r="AL102" i="2"/>
  <c r="W102" i="2"/>
  <c r="BX101" i="2"/>
  <c r="BF101" i="2"/>
  <c r="AH101" i="2"/>
  <c r="H101" i="2"/>
  <c r="BR100" i="2"/>
  <c r="AZ100" i="2"/>
  <c r="AA100" i="2"/>
  <c r="C100" i="2"/>
  <c r="BK99" i="2"/>
  <c r="AK99" i="2"/>
  <c r="V99" i="2"/>
  <c r="BW98" i="2"/>
  <c r="BE98" i="2"/>
  <c r="AG98" i="2"/>
  <c r="G98" i="2"/>
  <c r="BQ97" i="2"/>
  <c r="AY97" i="2"/>
  <c r="Z97" i="2"/>
  <c r="C97" i="2"/>
  <c r="BK96" i="2"/>
  <c r="AK96" i="2"/>
  <c r="V96" i="2"/>
  <c r="BW95" i="2"/>
  <c r="BE95" i="2"/>
  <c r="AG95" i="2"/>
  <c r="G95" i="2"/>
  <c r="BQ94" i="2"/>
  <c r="AY94" i="2"/>
  <c r="Z94" i="2"/>
  <c r="C94" i="2"/>
  <c r="BK93" i="2"/>
  <c r="AK93" i="2"/>
  <c r="V93" i="2"/>
  <c r="BW92" i="2"/>
  <c r="BE92" i="2"/>
  <c r="AG92" i="2"/>
  <c r="G92" i="2"/>
  <c r="BQ91" i="2"/>
  <c r="AY91" i="2"/>
  <c r="Z91" i="2"/>
  <c r="B91" i="2"/>
  <c r="BT90" i="2"/>
  <c r="BB90" i="2"/>
  <c r="AB90" i="2"/>
  <c r="H90" i="2"/>
  <c r="BR89" i="2"/>
  <c r="AZ89" i="2"/>
  <c r="AA89" i="2"/>
  <c r="D89" i="2"/>
  <c r="BL88" i="2"/>
  <c r="AL88" i="2"/>
  <c r="W88" i="2"/>
  <c r="BX87" i="2"/>
  <c r="BF87" i="2"/>
  <c r="AH87" i="2"/>
  <c r="H87" i="2"/>
  <c r="BR86" i="2"/>
  <c r="AZ86" i="2"/>
  <c r="AA86" i="2"/>
  <c r="E86" i="2"/>
  <c r="BN85" i="2"/>
  <c r="AR85" i="2"/>
  <c r="X85" i="2"/>
  <c r="B85" i="2"/>
  <c r="BW84" i="2"/>
  <c r="BE84" i="2"/>
  <c r="AG84" i="2"/>
  <c r="H84" i="2"/>
  <c r="BV83" i="2"/>
  <c r="BD83" i="2"/>
  <c r="AF83" i="2"/>
  <c r="G83" i="2"/>
  <c r="CM82" i="2"/>
  <c r="BL82" i="2"/>
  <c r="AL82" i="2"/>
  <c r="W82" i="2"/>
  <c r="CJ81" i="2"/>
  <c r="BJ81" i="2"/>
  <c r="AJ81" i="2"/>
  <c r="U81" i="2"/>
  <c r="BZ80" i="2"/>
  <c r="BH80" i="2"/>
  <c r="AI80" i="2"/>
  <c r="N80" i="2"/>
  <c r="BV79" i="2"/>
  <c r="BD79" i="2"/>
  <c r="AF79" i="2"/>
  <c r="F79" i="2"/>
  <c r="BP78" i="2"/>
  <c r="AX78" i="2"/>
  <c r="Y78" i="2"/>
  <c r="C78" i="2"/>
  <c r="BK77" i="2"/>
  <c r="AK77" i="2"/>
  <c r="V77" i="2"/>
  <c r="CQ76" i="2"/>
  <c r="BP76" i="2"/>
  <c r="AX76" i="2"/>
  <c r="Y76" i="2"/>
  <c r="E76" i="2"/>
  <c r="BN75" i="2"/>
  <c r="AR75" i="2"/>
  <c r="X75" i="2"/>
  <c r="B75" i="2"/>
  <c r="BX74" i="2"/>
  <c r="BF74" i="2"/>
  <c r="AH74" i="2"/>
  <c r="V74" i="2"/>
  <c r="F74" i="2"/>
  <c r="BP73" i="2"/>
  <c r="AX73" i="2"/>
  <c r="Y73" i="2"/>
  <c r="C73" i="2"/>
  <c r="BK72" i="2"/>
  <c r="AK72" i="2"/>
  <c r="V72" i="2"/>
  <c r="BV71" i="2"/>
  <c r="BD71" i="2"/>
  <c r="AF71" i="2"/>
  <c r="E71" i="2"/>
  <c r="BN70" i="2"/>
  <c r="AR70" i="2"/>
  <c r="X70" i="2"/>
  <c r="BX69" i="2"/>
  <c r="BF69" i="2"/>
  <c r="AH69" i="2"/>
  <c r="H69" i="2"/>
  <c r="BR68" i="2"/>
  <c r="AZ68" i="2"/>
  <c r="AA68" i="2"/>
  <c r="D68" i="2"/>
  <c r="BL67" i="2"/>
  <c r="AL67" i="2"/>
  <c r="W67" i="2"/>
  <c r="BX66" i="2"/>
  <c r="BF66" i="2"/>
  <c r="AH66" i="2"/>
  <c r="H66" i="2"/>
  <c r="BR65" i="2"/>
  <c r="AZ65" i="2"/>
  <c r="AA65" i="2"/>
  <c r="C65" i="2"/>
  <c r="BK64" i="2"/>
  <c r="AK64" i="2"/>
  <c r="V64" i="2"/>
  <c r="BV63" i="2"/>
  <c r="BD63" i="2"/>
  <c r="AF63" i="2"/>
  <c r="F63" i="2"/>
  <c r="BP62" i="2"/>
  <c r="AX62" i="2"/>
  <c r="Y62" i="2"/>
  <c r="B62" i="2"/>
  <c r="BJ61" i="2"/>
  <c r="AJ61" i="2"/>
  <c r="U61" i="2"/>
  <c r="BT60" i="2"/>
  <c r="BB60" i="2"/>
  <c r="AB60" i="2"/>
  <c r="F60" i="2"/>
  <c r="BP59" i="2"/>
  <c r="AX59" i="2"/>
  <c r="Y59" i="2"/>
  <c r="B59" i="2"/>
  <c r="BN58" i="2"/>
  <c r="AR58" i="2"/>
  <c r="X58" i="2"/>
  <c r="B58" i="2"/>
  <c r="BJ57" i="2"/>
  <c r="AJ57" i="2"/>
  <c r="U57" i="2"/>
  <c r="BV56" i="2"/>
  <c r="BD56" i="2"/>
  <c r="AF56" i="2"/>
  <c r="E56" i="2"/>
  <c r="BN55" i="2"/>
  <c r="AR55" i="2"/>
  <c r="X55" i="2"/>
  <c r="BX54" i="2"/>
  <c r="BF54" i="2"/>
  <c r="AH54" i="2"/>
  <c r="H54" i="2"/>
  <c r="BR53" i="2"/>
  <c r="AZ53" i="2"/>
  <c r="AA53" i="2"/>
  <c r="C53" i="2"/>
  <c r="BK52" i="2"/>
  <c r="AK52" i="2"/>
  <c r="V52" i="2"/>
  <c r="BV51" i="2"/>
  <c r="BD51" i="2"/>
  <c r="AF51" i="2"/>
  <c r="F51" i="2"/>
  <c r="BP50" i="2"/>
  <c r="AX50" i="2"/>
  <c r="Y50" i="2"/>
  <c r="B50" i="2"/>
  <c r="BJ49" i="2"/>
  <c r="AJ49" i="2"/>
  <c r="U49" i="2"/>
  <c r="BV48" i="2"/>
  <c r="BD48" i="2"/>
  <c r="AF48" i="2"/>
  <c r="E48" i="2"/>
  <c r="BN47" i="2"/>
  <c r="AR47" i="2"/>
  <c r="X47" i="2"/>
  <c r="BZ46" i="2"/>
  <c r="BH46" i="2"/>
  <c r="AI46" i="2"/>
  <c r="N46" i="2"/>
  <c r="BT45" i="2"/>
  <c r="BB45" i="2"/>
  <c r="AB45" i="2"/>
  <c r="D45" i="2"/>
  <c r="BL44" i="2"/>
  <c r="AL44" i="2"/>
  <c r="W44" i="2"/>
  <c r="BX43" i="2"/>
  <c r="BF43" i="2"/>
  <c r="AH43" i="2"/>
  <c r="H43" i="2"/>
  <c r="BR42" i="2"/>
  <c r="AZ42" i="2"/>
  <c r="AA42" i="2"/>
  <c r="C42" i="2"/>
  <c r="BK41" i="2"/>
  <c r="AK41" i="2"/>
  <c r="V41" i="2"/>
  <c r="BX40" i="2"/>
  <c r="BF40" i="2"/>
  <c r="AH40" i="2"/>
  <c r="G40" i="2"/>
  <c r="BQ39" i="2"/>
  <c r="AY39" i="2"/>
  <c r="Z39" i="2"/>
  <c r="D39" i="2"/>
  <c r="BL38" i="2"/>
  <c r="AL38" i="2"/>
  <c r="W38" i="2"/>
  <c r="BW37" i="2"/>
  <c r="BE37" i="2"/>
  <c r="AG37" i="2"/>
  <c r="H37" i="2"/>
  <c r="BR36" i="2"/>
  <c r="AZ36" i="2"/>
  <c r="AA36" i="2"/>
  <c r="E36" i="2"/>
  <c r="BN35" i="2"/>
  <c r="AR35" i="2"/>
  <c r="X35" i="2"/>
  <c r="B35" i="2"/>
  <c r="BJ34" i="2"/>
  <c r="AJ34" i="2"/>
  <c r="U34" i="2"/>
  <c r="BW33" i="2"/>
  <c r="BE33" i="2"/>
  <c r="AG33" i="2"/>
  <c r="H33" i="2"/>
  <c r="BR32" i="2"/>
  <c r="AZ32" i="2"/>
  <c r="AA32" i="2"/>
  <c r="E32" i="2"/>
  <c r="BN31" i="2"/>
  <c r="AR31" i="2"/>
  <c r="X31" i="2"/>
  <c r="B31" i="2"/>
  <c r="BX30" i="2"/>
  <c r="BF30" i="2"/>
  <c r="AH30" i="2"/>
  <c r="V30" i="2"/>
  <c r="F30" i="2"/>
  <c r="BP29" i="2"/>
  <c r="AX29" i="2"/>
  <c r="Y29" i="2"/>
  <c r="B29" i="2"/>
  <c r="BJ28" i="2"/>
  <c r="AJ28" i="2"/>
  <c r="U28" i="2"/>
  <c r="BV27" i="2"/>
  <c r="BD27" i="2"/>
  <c r="AF27" i="2"/>
  <c r="F27" i="2"/>
  <c r="BP26" i="2"/>
  <c r="AX26" i="2"/>
  <c r="Y26" i="2"/>
  <c r="B26" i="2"/>
  <c r="BJ25" i="2"/>
  <c r="AJ25" i="2"/>
  <c r="U25" i="2"/>
  <c r="BV24" i="2"/>
  <c r="BD24" i="2"/>
  <c r="AF24" i="2"/>
  <c r="F24" i="2"/>
  <c r="BP23" i="2"/>
  <c r="AX23" i="2"/>
  <c r="Y23" i="2"/>
  <c r="B23" i="2"/>
  <c r="BJ22" i="2"/>
  <c r="AJ22" i="2"/>
  <c r="U22" i="2"/>
  <c r="BV21" i="2"/>
  <c r="BD21" i="2"/>
  <c r="AF21" i="2"/>
  <c r="F21" i="2"/>
  <c r="BP20" i="2"/>
  <c r="AX20" i="2"/>
  <c r="Y20" i="2"/>
  <c r="B20" i="2"/>
  <c r="BJ19" i="2"/>
  <c r="AJ19" i="2"/>
  <c r="U19" i="2"/>
  <c r="BV18" i="2"/>
  <c r="BD18" i="2"/>
  <c r="AF18" i="2"/>
  <c r="F18" i="2"/>
  <c r="BP17" i="2"/>
  <c r="AX17" i="2"/>
  <c r="Y17" i="2"/>
  <c r="B17" i="2"/>
  <c r="BX16" i="2"/>
  <c r="BF16" i="2"/>
  <c r="AH16" i="2"/>
  <c r="V16" i="2"/>
  <c r="F16" i="2"/>
  <c r="CM15" i="2"/>
  <c r="BN15" i="2"/>
  <c r="AR15" i="2"/>
  <c r="AA15" i="2"/>
  <c r="K15" i="2"/>
  <c r="BW14" i="2"/>
  <c r="BE14" i="2"/>
  <c r="AG14" i="2"/>
  <c r="G14" i="2"/>
  <c r="BQ13" i="2"/>
  <c r="AY13" i="2"/>
  <c r="Z13" i="2"/>
  <c r="C13" i="2"/>
  <c r="BK12" i="2"/>
  <c r="AK12" i="2"/>
  <c r="V12" i="2"/>
  <c r="BV11" i="2"/>
  <c r="BD11" i="2"/>
  <c r="AF11" i="2"/>
  <c r="E11" i="2"/>
  <c r="BN10" i="2"/>
  <c r="AA255" i="2"/>
  <c r="BK240" i="2"/>
  <c r="BB226" i="2"/>
  <c r="AF217" i="2"/>
  <c r="AA213" i="2"/>
  <c r="BV211" i="2"/>
  <c r="AZ210" i="2"/>
  <c r="W209" i="2"/>
  <c r="BT207" i="2"/>
  <c r="AR206" i="2"/>
  <c r="V205" i="2"/>
  <c r="BN203" i="2"/>
  <c r="AH202" i="2"/>
  <c r="H201" i="2"/>
  <c r="BK199" i="2"/>
  <c r="AE198" i="2"/>
  <c r="F197" i="2"/>
  <c r="BH195" i="2"/>
  <c r="AH194" i="2"/>
  <c r="N193" i="2"/>
  <c r="BQ191" i="2"/>
  <c r="AJ190" i="2"/>
  <c r="E189" i="2"/>
  <c r="BN187" i="2"/>
  <c r="AX186" i="2"/>
  <c r="Z185" i="2"/>
  <c r="C184" i="2"/>
  <c r="BJ182" i="2"/>
  <c r="AI181" i="2"/>
  <c r="E180" i="2"/>
  <c r="BL178" i="2"/>
  <c r="AJ177" i="2"/>
  <c r="Q176" i="2"/>
  <c r="BV174" i="2"/>
  <c r="BC173" i="2"/>
  <c r="Y172" i="2"/>
  <c r="B171" i="2"/>
  <c r="BE169" i="2"/>
  <c r="AE168" i="2"/>
  <c r="D167" i="2"/>
  <c r="BL165" i="2"/>
  <c r="AF164" i="2"/>
  <c r="BZ162" i="2"/>
  <c r="BB161" i="2"/>
  <c r="X160" i="2"/>
  <c r="BQ158" i="2"/>
  <c r="AJ157" i="2"/>
  <c r="E156" i="2"/>
  <c r="BG154" i="2"/>
  <c r="AB153" i="2"/>
  <c r="BV151" i="2"/>
  <c r="BJ150" i="2"/>
  <c r="AX149" i="2"/>
  <c r="AD148" i="2"/>
  <c r="BX146" i="2"/>
  <c r="BB145" i="2"/>
  <c r="Z144" i="2"/>
  <c r="BS142" i="2"/>
  <c r="AL141" i="2"/>
  <c r="AY140" i="2"/>
  <c r="BD139" i="2"/>
  <c r="BH138" i="2"/>
  <c r="BM137" i="2"/>
  <c r="BR136" i="2"/>
  <c r="BW135" i="2"/>
  <c r="D135" i="2"/>
  <c r="J134" i="2"/>
  <c r="Y133" i="2"/>
  <c r="AE132" i="2"/>
  <c r="AK131" i="2"/>
  <c r="AZ130" i="2"/>
  <c r="BK129" i="2"/>
  <c r="CE128" i="2"/>
  <c r="N128" i="2"/>
  <c r="AB127" i="2"/>
  <c r="AI126" i="2"/>
  <c r="BM125" i="2"/>
  <c r="H125" i="2"/>
  <c r="AI124" i="2"/>
  <c r="BM123" i="2"/>
  <c r="H123" i="2"/>
  <c r="AI122" i="2"/>
  <c r="BV121" i="2"/>
  <c r="AH121" i="2"/>
  <c r="CO120" i="2"/>
  <c r="AJ120" i="2"/>
  <c r="G120" i="2"/>
  <c r="BT119" i="2"/>
  <c r="AV119" i="2"/>
  <c r="Z119" i="2"/>
  <c r="CK118" i="2"/>
  <c r="BM118" i="2"/>
  <c r="AF118" i="2"/>
  <c r="F118" i="2"/>
  <c r="BX117" i="2"/>
  <c r="AY117" i="2"/>
  <c r="U117" i="2"/>
  <c r="C117" i="2"/>
  <c r="BL116" i="2"/>
  <c r="AK116" i="2"/>
  <c r="W116" i="2"/>
  <c r="BX115" i="2"/>
  <c r="BG115" i="2"/>
  <c r="AH115" i="2"/>
  <c r="J115" i="2"/>
  <c r="BT114" i="2"/>
  <c r="BB114" i="2"/>
  <c r="AD114" i="2"/>
  <c r="G114" i="2"/>
  <c r="BQ113" i="2"/>
  <c r="BB113" i="2"/>
  <c r="AF113" i="2"/>
  <c r="N113" i="2"/>
  <c r="CQ112" i="2"/>
  <c r="BR112" i="2"/>
  <c r="BD112" i="2"/>
  <c r="AG112" i="2"/>
  <c r="U112" i="2"/>
  <c r="C112" i="2"/>
  <c r="BW111" i="2"/>
  <c r="BH111" i="2"/>
  <c r="AK111" i="2"/>
  <c r="Y111" i="2"/>
  <c r="F111" i="2"/>
  <c r="CL110" i="2"/>
  <c r="BP110" i="2"/>
  <c r="BA110" i="2"/>
  <c r="AJ110" i="2"/>
  <c r="X110" i="2"/>
  <c r="G110" i="2"/>
  <c r="CM109" i="2"/>
  <c r="BQ109" i="2"/>
  <c r="BB109" i="2"/>
  <c r="AF109" i="2"/>
  <c r="R109" i="2"/>
  <c r="C109" i="2"/>
  <c r="BK108" i="2"/>
  <c r="AK108" i="2"/>
  <c r="V108" i="2"/>
  <c r="BW107" i="2"/>
  <c r="BE107" i="2"/>
  <c r="AG107" i="2"/>
  <c r="G107" i="2"/>
  <c r="BQ106" i="2"/>
  <c r="AY106" i="2"/>
  <c r="Z106" i="2"/>
  <c r="C106" i="2"/>
  <c r="BK105" i="2"/>
  <c r="AK105" i="2"/>
  <c r="V105" i="2"/>
  <c r="BW104" i="2"/>
  <c r="BE104" i="2"/>
  <c r="AG104" i="2"/>
  <c r="G104" i="2"/>
  <c r="BQ103" i="2"/>
  <c r="AY103" i="2"/>
  <c r="Z103" i="2"/>
  <c r="C103" i="2"/>
  <c r="BK102" i="2"/>
  <c r="AK102" i="2"/>
  <c r="V102" i="2"/>
  <c r="BW101" i="2"/>
  <c r="BE101" i="2"/>
  <c r="AG101" i="2"/>
  <c r="G101" i="2"/>
  <c r="BQ100" i="2"/>
  <c r="AY100" i="2"/>
  <c r="Z100" i="2"/>
  <c r="B100" i="2"/>
  <c r="BJ99" i="2"/>
  <c r="AJ99" i="2"/>
  <c r="U99" i="2"/>
  <c r="BV98" i="2"/>
  <c r="BD98" i="2"/>
  <c r="AF98" i="2"/>
  <c r="F98" i="2"/>
  <c r="BP97" i="2"/>
  <c r="AX97" i="2"/>
  <c r="Y97" i="2"/>
  <c r="B97" i="2"/>
  <c r="BJ96" i="2"/>
  <c r="AJ96" i="2"/>
  <c r="U96" i="2"/>
  <c r="BV95" i="2"/>
  <c r="BD95" i="2"/>
  <c r="AF95" i="2"/>
  <c r="F95" i="2"/>
  <c r="BP94" i="2"/>
  <c r="AX94" i="2"/>
  <c r="Y94" i="2"/>
  <c r="B94" i="2"/>
  <c r="BJ93" i="2"/>
  <c r="AJ93" i="2"/>
  <c r="U93" i="2"/>
  <c r="BV92" i="2"/>
  <c r="BD92" i="2"/>
  <c r="AF92" i="2"/>
  <c r="F92" i="2"/>
  <c r="BP91" i="2"/>
  <c r="AX91" i="2"/>
  <c r="Y91" i="2"/>
  <c r="CI90" i="2"/>
  <c r="BR90" i="2"/>
  <c r="AZ90" i="2"/>
  <c r="AA90" i="2"/>
  <c r="G90" i="2"/>
  <c r="BQ89" i="2"/>
  <c r="AY89" i="2"/>
  <c r="Z89" i="2"/>
  <c r="C89" i="2"/>
  <c r="BK88" i="2"/>
  <c r="AK88" i="2"/>
  <c r="V88" i="2"/>
  <c r="BW87" i="2"/>
  <c r="BE87" i="2"/>
  <c r="AG87" i="2"/>
  <c r="G87" i="2"/>
  <c r="BQ86" i="2"/>
  <c r="AY86" i="2"/>
  <c r="Z86" i="2"/>
  <c r="D86" i="2"/>
  <c r="BL85" i="2"/>
  <c r="AL85" i="2"/>
  <c r="W85" i="2"/>
  <c r="CS84" i="2"/>
  <c r="BV84" i="2"/>
  <c r="BD84" i="2"/>
  <c r="AF84" i="2"/>
  <c r="G84" i="2"/>
  <c r="BT83" i="2"/>
  <c r="BB83" i="2"/>
  <c r="AB83" i="2"/>
  <c r="F83" i="2"/>
  <c r="CL82" i="2"/>
  <c r="BK82" i="2"/>
  <c r="AK82" i="2"/>
  <c r="V82" i="2"/>
  <c r="BZ81" i="2"/>
  <c r="BH81" i="2"/>
  <c r="AI81" i="2"/>
  <c r="N81" i="2"/>
  <c r="BX80" i="2"/>
  <c r="BF80" i="2"/>
  <c r="AH80" i="2"/>
  <c r="J80" i="2"/>
  <c r="BT79" i="2"/>
  <c r="BB79" i="2"/>
  <c r="AB79" i="2"/>
  <c r="E79" i="2"/>
  <c r="BN78" i="2"/>
  <c r="AR78" i="2"/>
  <c r="X78" i="2"/>
  <c r="B78" i="2"/>
  <c r="BJ77" i="2"/>
  <c r="AJ77" i="2"/>
  <c r="U77" i="2"/>
  <c r="CP76" i="2"/>
  <c r="BN76" i="2"/>
  <c r="AR76" i="2"/>
  <c r="X76" i="2"/>
  <c r="D76" i="2"/>
  <c r="BL75" i="2"/>
  <c r="AL75" i="2"/>
  <c r="W75" i="2"/>
  <c r="CS74" i="2"/>
  <c r="BW74" i="2"/>
  <c r="BE74" i="2"/>
  <c r="AG74" i="2"/>
  <c r="U74" i="2"/>
  <c r="E74" i="2"/>
  <c r="BN73" i="2"/>
  <c r="AR73" i="2"/>
  <c r="X73" i="2"/>
  <c r="B73" i="2"/>
  <c r="BJ72" i="2"/>
  <c r="AJ72" i="2"/>
  <c r="U72" i="2"/>
  <c r="BT71" i="2"/>
  <c r="BB71" i="2"/>
  <c r="AB71" i="2"/>
  <c r="D71" i="2"/>
  <c r="BL70" i="2"/>
  <c r="AL70" i="2"/>
  <c r="W70" i="2"/>
  <c r="BW69" i="2"/>
  <c r="BE69" i="2"/>
  <c r="AG69" i="2"/>
  <c r="G69" i="2"/>
  <c r="BQ68" i="2"/>
  <c r="AY68" i="2"/>
  <c r="Z68" i="2"/>
  <c r="C68" i="2"/>
  <c r="BK67" i="2"/>
  <c r="AK67" i="2"/>
  <c r="V67" i="2"/>
  <c r="BW66" i="2"/>
  <c r="BE66" i="2"/>
  <c r="AG66" i="2"/>
  <c r="G66" i="2"/>
  <c r="BQ65" i="2"/>
  <c r="AY65" i="2"/>
  <c r="Z65" i="2"/>
  <c r="B65" i="2"/>
  <c r="BJ64" i="2"/>
  <c r="AJ64" i="2"/>
  <c r="U64" i="2"/>
  <c r="BT63" i="2"/>
  <c r="BB63" i="2"/>
  <c r="AB63" i="2"/>
  <c r="E63" i="2"/>
  <c r="BN62" i="2"/>
  <c r="AR62" i="2"/>
  <c r="X62" i="2"/>
  <c r="BZ61" i="2"/>
  <c r="BH61" i="2"/>
  <c r="AI61" i="2"/>
  <c r="N61" i="2"/>
  <c r="BR60" i="2"/>
  <c r="AZ60" i="2"/>
  <c r="AA60" i="2"/>
  <c r="E60" i="2"/>
  <c r="BN59" i="2"/>
  <c r="AR59" i="2"/>
  <c r="X59" i="2"/>
  <c r="CL58" i="2"/>
  <c r="BL58" i="2"/>
  <c r="AL58" i="2"/>
  <c r="W58" i="2"/>
  <c r="BZ57" i="2"/>
  <c r="BH57" i="2"/>
  <c r="AI57" i="2"/>
  <c r="N57" i="2"/>
  <c r="BT56" i="2"/>
  <c r="BB56" i="2"/>
  <c r="AB56" i="2"/>
  <c r="D56" i="2"/>
  <c r="BL55" i="2"/>
  <c r="AL55" i="2"/>
  <c r="W55" i="2"/>
  <c r="BW54" i="2"/>
  <c r="BE54" i="2"/>
  <c r="AG54" i="2"/>
  <c r="G54" i="2"/>
  <c r="BQ53" i="2"/>
  <c r="AY53" i="2"/>
  <c r="Z53" i="2"/>
  <c r="B53" i="2"/>
  <c r="BJ52" i="2"/>
  <c r="AJ52" i="2"/>
  <c r="U52" i="2"/>
  <c r="BT51" i="2"/>
  <c r="BB51" i="2"/>
  <c r="AB51" i="2"/>
  <c r="E51" i="2"/>
  <c r="BN50" i="2"/>
  <c r="AR50" i="2"/>
  <c r="X50" i="2"/>
  <c r="BZ49" i="2"/>
  <c r="BH49" i="2"/>
  <c r="AI49" i="2"/>
  <c r="N49" i="2"/>
  <c r="BT48" i="2"/>
  <c r="BB48" i="2"/>
  <c r="AB48" i="2"/>
  <c r="D48" i="2"/>
  <c r="BL47" i="2"/>
  <c r="AL47" i="2"/>
  <c r="W47" i="2"/>
  <c r="BX46" i="2"/>
  <c r="BF46" i="2"/>
  <c r="AH46" i="2"/>
  <c r="H46" i="2"/>
  <c r="BR45" i="2"/>
  <c r="AZ45" i="2"/>
  <c r="AA45" i="2"/>
  <c r="C45" i="2"/>
  <c r="BK44" i="2"/>
  <c r="AK44" i="2"/>
  <c r="V44" i="2"/>
  <c r="BW43" i="2"/>
  <c r="BE43" i="2"/>
  <c r="AG43" i="2"/>
  <c r="G43" i="2"/>
  <c r="BQ42" i="2"/>
  <c r="AY42" i="2"/>
  <c r="Z42" i="2"/>
  <c r="B42" i="2"/>
  <c r="BJ41" i="2"/>
  <c r="AJ41" i="2"/>
  <c r="U41" i="2"/>
  <c r="BW40" i="2"/>
  <c r="BE40" i="2"/>
  <c r="AG40" i="2"/>
  <c r="F40" i="2"/>
  <c r="BP39" i="2"/>
  <c r="AX39" i="2"/>
  <c r="Y39" i="2"/>
  <c r="C39" i="2"/>
  <c r="BK38" i="2"/>
  <c r="AK38" i="2"/>
  <c r="V38" i="2"/>
  <c r="BV37" i="2"/>
  <c r="BD37" i="2"/>
  <c r="AF37" i="2"/>
  <c r="G37" i="2"/>
  <c r="BQ36" i="2"/>
  <c r="AY36" i="2"/>
  <c r="Z36" i="2"/>
  <c r="D36" i="2"/>
  <c r="BL35" i="2"/>
  <c r="AL35" i="2"/>
  <c r="W35" i="2"/>
  <c r="BZ34" i="2"/>
  <c r="BH34" i="2"/>
  <c r="AI34" i="2"/>
  <c r="N34" i="2"/>
  <c r="BV33" i="2"/>
  <c r="BD33" i="2"/>
  <c r="AF33" i="2"/>
  <c r="G33" i="2"/>
  <c r="BQ32" i="2"/>
  <c r="AY32" i="2"/>
  <c r="Z32" i="2"/>
  <c r="D32" i="2"/>
  <c r="BL31" i="2"/>
  <c r="AL31" i="2"/>
  <c r="W31" i="2"/>
  <c r="CS30" i="2"/>
  <c r="BW30" i="2"/>
  <c r="BE30" i="2"/>
  <c r="AG30" i="2"/>
  <c r="U30" i="2"/>
  <c r="E30" i="2"/>
  <c r="BN29" i="2"/>
  <c r="AR29" i="2"/>
  <c r="X29" i="2"/>
  <c r="BZ28" i="2"/>
  <c r="BH28" i="2"/>
  <c r="AI28" i="2"/>
  <c r="N28" i="2"/>
  <c r="BT27" i="2"/>
  <c r="BB27" i="2"/>
  <c r="AB27" i="2"/>
  <c r="E27" i="2"/>
  <c r="BN26" i="2"/>
  <c r="AR26" i="2"/>
  <c r="X26" i="2"/>
  <c r="BZ25" i="2"/>
  <c r="BH25" i="2"/>
  <c r="AI25" i="2"/>
  <c r="N25" i="2"/>
  <c r="BT24" i="2"/>
  <c r="BB24" i="2"/>
  <c r="AB24" i="2"/>
  <c r="E24" i="2"/>
  <c r="BN23" i="2"/>
  <c r="AR23" i="2"/>
  <c r="X23" i="2"/>
  <c r="BZ22" i="2"/>
  <c r="BH22" i="2"/>
  <c r="AI22" i="2"/>
  <c r="N22" i="2"/>
  <c r="BT21" i="2"/>
  <c r="BB21" i="2"/>
  <c r="AB21" i="2"/>
  <c r="E21" i="2"/>
  <c r="BN20" i="2"/>
  <c r="AR20" i="2"/>
  <c r="X20" i="2"/>
  <c r="BZ19" i="2"/>
  <c r="BH19" i="2"/>
  <c r="AI19" i="2"/>
  <c r="N19" i="2"/>
  <c r="BT18" i="2"/>
  <c r="BB18" i="2"/>
  <c r="AB18" i="2"/>
  <c r="E18" i="2"/>
  <c r="BN17" i="2"/>
  <c r="AR17" i="2"/>
  <c r="X17" i="2"/>
  <c r="CS16" i="2"/>
  <c r="BW16" i="2"/>
  <c r="BE16" i="2"/>
  <c r="AG16" i="2"/>
  <c r="U16" i="2"/>
  <c r="E16" i="2"/>
  <c r="CL15" i="2"/>
  <c r="BL15" i="2"/>
  <c r="AL15" i="2"/>
  <c r="Z15" i="2"/>
  <c r="J15" i="2"/>
  <c r="BV14" i="2"/>
  <c r="BD14" i="2"/>
  <c r="AF14" i="2"/>
  <c r="F14" i="2"/>
  <c r="BP13" i="2"/>
  <c r="AX13" i="2"/>
  <c r="Y13" i="2"/>
  <c r="B13" i="2"/>
  <c r="BJ12" i="2"/>
  <c r="AJ12" i="2"/>
  <c r="U12" i="2"/>
  <c r="BT11" i="2"/>
  <c r="BB11" i="2"/>
  <c r="AB11" i="2"/>
  <c r="L254" i="2"/>
  <c r="BD239" i="2"/>
  <c r="AA225" i="2"/>
  <c r="BW216" i="2"/>
  <c r="Z213" i="2"/>
  <c r="BT211" i="2"/>
  <c r="AY210" i="2"/>
  <c r="V209" i="2"/>
  <c r="BS207" i="2"/>
  <c r="AL206" i="2"/>
  <c r="U205" i="2"/>
  <c r="BM203" i="2"/>
  <c r="AG202" i="2"/>
  <c r="G201" i="2"/>
  <c r="BJ199" i="2"/>
  <c r="AD198" i="2"/>
  <c r="E197" i="2"/>
  <c r="BG195" i="2"/>
  <c r="AG194" i="2"/>
  <c r="L193" i="2"/>
  <c r="BP191" i="2"/>
  <c r="AI190" i="2"/>
  <c r="D189" i="2"/>
  <c r="BM187" i="2"/>
  <c r="AR186" i="2"/>
  <c r="Y185" i="2"/>
  <c r="B184" i="2"/>
  <c r="BH182" i="2"/>
  <c r="AH181" i="2"/>
  <c r="D180" i="2"/>
  <c r="BK178" i="2"/>
  <c r="AI177" i="2"/>
  <c r="P176" i="2"/>
  <c r="BT174" i="2"/>
  <c r="BB173" i="2"/>
  <c r="X172" i="2"/>
  <c r="BZ170" i="2"/>
  <c r="BD169" i="2"/>
  <c r="AD168" i="2"/>
  <c r="C167" i="2"/>
  <c r="BK165" i="2"/>
  <c r="AE164" i="2"/>
  <c r="BY162" i="2"/>
  <c r="BA161" i="2"/>
  <c r="W160" i="2"/>
  <c r="BP158" i="2"/>
  <c r="AI157" i="2"/>
  <c r="D156" i="2"/>
  <c r="BF154" i="2"/>
  <c r="AA153" i="2"/>
  <c r="BT151" i="2"/>
  <c r="BH150" i="2"/>
  <c r="AW149" i="2"/>
  <c r="AC148" i="2"/>
  <c r="BW146" i="2"/>
  <c r="BA145" i="2"/>
  <c r="Y144" i="2"/>
  <c r="BR142" i="2"/>
  <c r="AK141" i="2"/>
  <c r="AH140" i="2"/>
  <c r="AL139" i="2"/>
  <c r="AZ138" i="2"/>
  <c r="BE137" i="2"/>
  <c r="BJ136" i="2"/>
  <c r="BN135" i="2"/>
  <c r="BV134" i="2"/>
  <c r="C134" i="2"/>
  <c r="I133" i="2"/>
  <c r="X132" i="2"/>
  <c r="AD131" i="2"/>
  <c r="AI130" i="2"/>
  <c r="BB129" i="2"/>
  <c r="BW128" i="2"/>
  <c r="F128" i="2"/>
  <c r="U127" i="2"/>
  <c r="AH126" i="2"/>
  <c r="BL125" i="2"/>
  <c r="G125" i="2"/>
  <c r="AH124" i="2"/>
  <c r="BL123" i="2"/>
  <c r="G123" i="2"/>
  <c r="AH122" i="2"/>
  <c r="BT121" i="2"/>
  <c r="AG121" i="2"/>
  <c r="BZ120" i="2"/>
  <c r="AI120" i="2"/>
  <c r="F120" i="2"/>
  <c r="BR119" i="2"/>
  <c r="AT119" i="2"/>
  <c r="Y119" i="2"/>
  <c r="CG118" i="2"/>
  <c r="BL118" i="2"/>
  <c r="AE118" i="2"/>
  <c r="E118" i="2"/>
  <c r="BV117" i="2"/>
  <c r="AR117" i="2"/>
  <c r="T117" i="2"/>
  <c r="B117" i="2"/>
  <c r="BJ116" i="2"/>
  <c r="AJ116" i="2"/>
  <c r="V116" i="2"/>
  <c r="BW115" i="2"/>
  <c r="BF115" i="2"/>
  <c r="AF115" i="2"/>
  <c r="I115" i="2"/>
  <c r="BS114" i="2"/>
  <c r="BA114" i="2"/>
  <c r="AC114" i="2"/>
  <c r="E114" i="2"/>
  <c r="BP113" i="2"/>
  <c r="BA113" i="2"/>
  <c r="AE113" i="2"/>
  <c r="J113" i="2"/>
  <c r="CP112" i="2"/>
  <c r="BQ112" i="2"/>
  <c r="BB112" i="2"/>
  <c r="AF112" i="2"/>
  <c r="T112" i="2"/>
  <c r="B112" i="2"/>
  <c r="BV111" i="2"/>
  <c r="BG111" i="2"/>
  <c r="AJ111" i="2"/>
  <c r="X111" i="2"/>
  <c r="E111" i="2"/>
  <c r="CK110" i="2"/>
  <c r="BN110" i="2"/>
  <c r="AZ110" i="2"/>
  <c r="AI110" i="2"/>
  <c r="W110" i="2"/>
  <c r="F110" i="2"/>
  <c r="CL109" i="2"/>
  <c r="BP109" i="2"/>
  <c r="BA109" i="2"/>
  <c r="AE109" i="2"/>
  <c r="P109" i="2"/>
  <c r="B109" i="2"/>
  <c r="BJ108" i="2"/>
  <c r="AJ108" i="2"/>
  <c r="U108" i="2"/>
  <c r="BV107" i="2"/>
  <c r="BD107" i="2"/>
  <c r="AF107" i="2"/>
  <c r="F107" i="2"/>
  <c r="BP106" i="2"/>
  <c r="AX106" i="2"/>
  <c r="Y106" i="2"/>
  <c r="B106" i="2"/>
  <c r="BJ105" i="2"/>
  <c r="AJ105" i="2"/>
  <c r="U105" i="2"/>
  <c r="BV104" i="2"/>
  <c r="BD104" i="2"/>
  <c r="AF104" i="2"/>
  <c r="F104" i="2"/>
  <c r="BP103" i="2"/>
  <c r="AX103" i="2"/>
  <c r="Y103" i="2"/>
  <c r="B103" i="2"/>
  <c r="BJ102" i="2"/>
  <c r="AJ102" i="2"/>
  <c r="U102" i="2"/>
  <c r="BV101" i="2"/>
  <c r="BD101" i="2"/>
  <c r="AF101" i="2"/>
  <c r="F101" i="2"/>
  <c r="BP100" i="2"/>
  <c r="AX100" i="2"/>
  <c r="Y100" i="2"/>
  <c r="BZ99" i="2"/>
  <c r="BH99" i="2"/>
  <c r="AI99" i="2"/>
  <c r="N99" i="2"/>
  <c r="BT98" i="2"/>
  <c r="BB98" i="2"/>
  <c r="AB98" i="2"/>
  <c r="E98" i="2"/>
  <c r="BN97" i="2"/>
  <c r="AR97" i="2"/>
  <c r="X97" i="2"/>
  <c r="BZ96" i="2"/>
  <c r="BH96" i="2"/>
  <c r="AI96" i="2"/>
  <c r="N96" i="2"/>
  <c r="BT95" i="2"/>
  <c r="BB95" i="2"/>
  <c r="AB95" i="2"/>
  <c r="E95" i="2"/>
  <c r="BN94" i="2"/>
  <c r="AR94" i="2"/>
  <c r="X94" i="2"/>
  <c r="BZ93" i="2"/>
  <c r="BH93" i="2"/>
  <c r="AI93" i="2"/>
  <c r="N93" i="2"/>
  <c r="BT92" i="2"/>
  <c r="BB92" i="2"/>
  <c r="AB92" i="2"/>
  <c r="E92" i="2"/>
  <c r="BN91" i="2"/>
  <c r="AR91" i="2"/>
  <c r="X91" i="2"/>
  <c r="CH90" i="2"/>
  <c r="BQ90" i="2"/>
  <c r="AY90" i="2"/>
  <c r="Z90" i="2"/>
  <c r="F90" i="2"/>
  <c r="BP89" i="2"/>
  <c r="AX89" i="2"/>
  <c r="Y89" i="2"/>
  <c r="B89" i="2"/>
  <c r="BJ88" i="2"/>
  <c r="AJ88" i="2"/>
  <c r="U88" i="2"/>
  <c r="BV87" i="2"/>
  <c r="BD87" i="2"/>
  <c r="AF87" i="2"/>
  <c r="F87" i="2"/>
  <c r="BP86" i="2"/>
  <c r="AX86" i="2"/>
  <c r="Y86" i="2"/>
  <c r="C86" i="2"/>
  <c r="BK85" i="2"/>
  <c r="AK85" i="2"/>
  <c r="V85" i="2"/>
  <c r="CR84" i="2"/>
  <c r="BT84" i="2"/>
  <c r="BB84" i="2"/>
  <c r="AB84" i="2"/>
  <c r="F84" i="2"/>
  <c r="BR83" i="2"/>
  <c r="AZ83" i="2"/>
  <c r="AA83" i="2"/>
  <c r="E83" i="2"/>
  <c r="CK82" i="2"/>
  <c r="BJ82" i="2"/>
  <c r="AJ82" i="2"/>
  <c r="U82" i="2"/>
  <c r="BX81" i="2"/>
  <c r="BF81" i="2"/>
  <c r="AH81" i="2"/>
  <c r="J81" i="2"/>
  <c r="BW80" i="2"/>
  <c r="BE80" i="2"/>
  <c r="AG80" i="2"/>
  <c r="H80" i="2"/>
  <c r="BR79" i="2"/>
  <c r="AZ79" i="2"/>
  <c r="AA79" i="2"/>
  <c r="D79" i="2"/>
  <c r="BL78" i="2"/>
  <c r="AL78" i="2"/>
  <c r="W78" i="2"/>
  <c r="BZ77" i="2"/>
  <c r="BH77" i="2"/>
  <c r="AI77" i="2"/>
  <c r="N77" i="2"/>
  <c r="CO76" i="2"/>
  <c r="BL76" i="2"/>
  <c r="AL76" i="2"/>
  <c r="W76" i="2"/>
  <c r="C76" i="2"/>
  <c r="BK75" i="2"/>
  <c r="AK75" i="2"/>
  <c r="V75" i="2"/>
  <c r="CR74" i="2"/>
  <c r="BV74" i="2"/>
  <c r="BD74" i="2"/>
  <c r="AF74" i="2"/>
  <c r="T74" i="2"/>
  <c r="D74" i="2"/>
  <c r="BL73" i="2"/>
  <c r="AL73" i="2"/>
  <c r="W73" i="2"/>
  <c r="BZ72" i="2"/>
  <c r="BH72" i="2"/>
  <c r="AI72" i="2"/>
  <c r="N72" i="2"/>
  <c r="BR71" i="2"/>
  <c r="AZ71" i="2"/>
  <c r="AA71" i="2"/>
  <c r="C71" i="2"/>
  <c r="BK70" i="2"/>
  <c r="AK70" i="2"/>
  <c r="V70" i="2"/>
  <c r="BV69" i="2"/>
  <c r="BD69" i="2"/>
  <c r="AF69" i="2"/>
  <c r="F69" i="2"/>
  <c r="BP68" i="2"/>
  <c r="AX68" i="2"/>
  <c r="Y68" i="2"/>
  <c r="B68" i="2"/>
  <c r="BJ67" i="2"/>
  <c r="AJ67" i="2"/>
  <c r="U67" i="2"/>
  <c r="BV66" i="2"/>
  <c r="BD66" i="2"/>
  <c r="AF66" i="2"/>
  <c r="F66" i="2"/>
  <c r="BP65" i="2"/>
  <c r="AX65" i="2"/>
  <c r="Y65" i="2"/>
  <c r="BZ64" i="2"/>
  <c r="BH64" i="2"/>
  <c r="AI64" i="2"/>
  <c r="N64" i="2"/>
  <c r="BR63" i="2"/>
  <c r="AZ63" i="2"/>
  <c r="AA63" i="2"/>
  <c r="D63" i="2"/>
  <c r="BL62" i="2"/>
  <c r="AL62" i="2"/>
  <c r="W62" i="2"/>
  <c r="BX61" i="2"/>
  <c r="BF61" i="2"/>
  <c r="AH61" i="2"/>
  <c r="G61" i="2"/>
  <c r="BQ60" i="2"/>
  <c r="AY60" i="2"/>
  <c r="Z60" i="2"/>
  <c r="D60" i="2"/>
  <c r="BL59" i="2"/>
  <c r="AL59" i="2"/>
  <c r="W59" i="2"/>
  <c r="CK58" i="2"/>
  <c r="BK58" i="2"/>
  <c r="AK58" i="2"/>
  <c r="V58" i="2"/>
  <c r="BX57" i="2"/>
  <c r="BF57" i="2"/>
  <c r="AH57" i="2"/>
  <c r="H57" i="2"/>
  <c r="BR56" i="2"/>
  <c r="AZ56" i="2"/>
  <c r="AA56" i="2"/>
  <c r="C56" i="2"/>
  <c r="BK55" i="2"/>
  <c r="AK55" i="2"/>
  <c r="V55" i="2"/>
  <c r="BV54" i="2"/>
  <c r="BD54" i="2"/>
  <c r="AF54" i="2"/>
  <c r="F54" i="2"/>
  <c r="BP53" i="2"/>
  <c r="AX53" i="2"/>
  <c r="Y53" i="2"/>
  <c r="BZ52" i="2"/>
  <c r="BH52" i="2"/>
  <c r="AI52" i="2"/>
  <c r="N52" i="2"/>
  <c r="BR51" i="2"/>
  <c r="AZ51" i="2"/>
  <c r="AA51" i="2"/>
  <c r="D51" i="2"/>
  <c r="BL50" i="2"/>
  <c r="AL50" i="2"/>
  <c r="W50" i="2"/>
  <c r="BX49" i="2"/>
  <c r="BF49" i="2"/>
  <c r="AH49" i="2"/>
  <c r="H49" i="2"/>
  <c r="BR48" i="2"/>
  <c r="AZ48" i="2"/>
  <c r="AA48" i="2"/>
  <c r="C48" i="2"/>
  <c r="BK47" i="2"/>
  <c r="AK47" i="2"/>
  <c r="V47" i="2"/>
  <c r="BW46" i="2"/>
  <c r="BE46" i="2"/>
  <c r="AG46" i="2"/>
  <c r="G46" i="2"/>
  <c r="BQ45" i="2"/>
  <c r="AY45" i="2"/>
  <c r="Z45" i="2"/>
  <c r="B45" i="2"/>
  <c r="BJ44" i="2"/>
  <c r="AJ44" i="2"/>
  <c r="U44" i="2"/>
  <c r="BV43" i="2"/>
  <c r="BD43" i="2"/>
  <c r="AF43" i="2"/>
  <c r="F43" i="2"/>
  <c r="BP42" i="2"/>
  <c r="AX42" i="2"/>
  <c r="Y42" i="2"/>
  <c r="BZ41" i="2"/>
  <c r="BH41" i="2"/>
  <c r="AI41" i="2"/>
  <c r="N41" i="2"/>
  <c r="BV40" i="2"/>
  <c r="BD40" i="2"/>
  <c r="AF40" i="2"/>
  <c r="E40" i="2"/>
  <c r="BN39" i="2"/>
  <c r="AR39" i="2"/>
  <c r="X39" i="2"/>
  <c r="B39" i="2"/>
  <c r="BJ38" i="2"/>
  <c r="AJ38" i="2"/>
  <c r="U38" i="2"/>
  <c r="BT37" i="2"/>
  <c r="BB37" i="2"/>
  <c r="AB37" i="2"/>
  <c r="F37" i="2"/>
  <c r="BP36" i="2"/>
  <c r="AX36" i="2"/>
  <c r="Y36" i="2"/>
  <c r="C36" i="2"/>
  <c r="BK35" i="2"/>
  <c r="AK35" i="2"/>
  <c r="V35" i="2"/>
  <c r="BX34" i="2"/>
  <c r="BF34" i="2"/>
  <c r="AH34" i="2"/>
  <c r="J34" i="2"/>
  <c r="BT33" i="2"/>
  <c r="BB33" i="2"/>
  <c r="AB33" i="2"/>
  <c r="F33" i="2"/>
  <c r="BP32" i="2"/>
  <c r="AX32" i="2"/>
  <c r="Y32" i="2"/>
  <c r="C32" i="2"/>
  <c r="BK31" i="2"/>
  <c r="AK31" i="2"/>
  <c r="V31" i="2"/>
  <c r="CR30" i="2"/>
  <c r="BV30" i="2"/>
  <c r="BD30" i="2"/>
  <c r="AF30" i="2"/>
  <c r="T30" i="2"/>
  <c r="D30" i="2"/>
  <c r="BL29" i="2"/>
  <c r="AL29" i="2"/>
  <c r="W29" i="2"/>
  <c r="BX28" i="2"/>
  <c r="BF28" i="2"/>
  <c r="AH28" i="2"/>
  <c r="H28" i="2"/>
  <c r="BR27" i="2"/>
  <c r="AZ27" i="2"/>
  <c r="AA27" i="2"/>
  <c r="D27" i="2"/>
  <c r="BL26" i="2"/>
  <c r="AL26" i="2"/>
  <c r="W26" i="2"/>
  <c r="BX25" i="2"/>
  <c r="BF25" i="2"/>
  <c r="AH25" i="2"/>
  <c r="H25" i="2"/>
  <c r="BR24" i="2"/>
  <c r="AZ24" i="2"/>
  <c r="AA24" i="2"/>
  <c r="D24" i="2"/>
  <c r="BL23" i="2"/>
  <c r="AL23" i="2"/>
  <c r="W23" i="2"/>
  <c r="BX22" i="2"/>
  <c r="BF22" i="2"/>
  <c r="AH22" i="2"/>
  <c r="H22" i="2"/>
  <c r="BR21" i="2"/>
  <c r="AZ21" i="2"/>
  <c r="AA21" i="2"/>
  <c r="D21" i="2"/>
  <c r="BL20" i="2"/>
  <c r="AL20" i="2"/>
  <c r="W20" i="2"/>
  <c r="BX19" i="2"/>
  <c r="BF19" i="2"/>
  <c r="AH19" i="2"/>
  <c r="H19" i="2"/>
  <c r="BR18" i="2"/>
  <c r="AZ18" i="2"/>
  <c r="AA18" i="2"/>
  <c r="D18" i="2"/>
  <c r="BL17" i="2"/>
  <c r="AL17" i="2"/>
  <c r="W17" i="2"/>
  <c r="CR16" i="2"/>
  <c r="BV16" i="2"/>
  <c r="BD16" i="2"/>
  <c r="AF16" i="2"/>
  <c r="T16" i="2"/>
  <c r="D16" i="2"/>
  <c r="CK15" i="2"/>
  <c r="BK15" i="2"/>
  <c r="AK15" i="2"/>
  <c r="Y15" i="2"/>
  <c r="I15" i="2"/>
  <c r="BT14" i="2"/>
  <c r="BB14" i="2"/>
  <c r="AB14" i="2"/>
  <c r="E14" i="2"/>
  <c r="BN13" i="2"/>
  <c r="AR13" i="2"/>
  <c r="X13" i="2"/>
  <c r="BZ12" i="2"/>
  <c r="BH12" i="2"/>
  <c r="AI12" i="2"/>
  <c r="N12" i="2"/>
  <c r="BR11" i="2"/>
  <c r="AZ11" i="2"/>
  <c r="AA11" i="2"/>
  <c r="C11" i="2"/>
  <c r="BK10" i="2"/>
  <c r="AK10" i="2"/>
  <c r="V10" i="2"/>
  <c r="BX9" i="2"/>
  <c r="BF9" i="2"/>
  <c r="E253" i="2"/>
  <c r="AX238" i="2"/>
  <c r="U224" i="2"/>
  <c r="Y216" i="2"/>
  <c r="D213" i="2"/>
  <c r="BH211" i="2"/>
  <c r="AD210" i="2"/>
  <c r="BY208" i="2"/>
  <c r="BF207" i="2"/>
  <c r="AA206" i="2"/>
  <c r="BX204" i="2"/>
  <c r="AZ203" i="2"/>
  <c r="V202" i="2"/>
  <c r="BT200" i="2"/>
  <c r="AR199" i="2"/>
  <c r="P198" i="2"/>
  <c r="BR196" i="2"/>
  <c r="AK195" i="2"/>
  <c r="V194" i="2"/>
  <c r="BZ192" i="2"/>
  <c r="BB191" i="2"/>
  <c r="X190" i="2"/>
  <c r="BQ188" i="2"/>
  <c r="AZ187" i="2"/>
  <c r="AB186" i="2"/>
  <c r="G185" i="2"/>
  <c r="BN183" i="2"/>
  <c r="AL182" i="2"/>
  <c r="W181" i="2"/>
  <c r="BQ179" i="2"/>
  <c r="AX178" i="2"/>
  <c r="X177" i="2"/>
  <c r="BZ175" i="2"/>
  <c r="BG174" i="2"/>
  <c r="AG173" i="2"/>
  <c r="F172" i="2"/>
  <c r="BM170" i="2"/>
  <c r="AH169" i="2"/>
  <c r="H168" i="2"/>
  <c r="BP166" i="2"/>
  <c r="AX165" i="2"/>
  <c r="N164" i="2"/>
  <c r="BL162" i="2"/>
  <c r="AF161" i="2"/>
  <c r="BZ159" i="2"/>
  <c r="BB158" i="2"/>
  <c r="X157" i="2"/>
  <c r="BQ155" i="2"/>
  <c r="AJ154" i="2"/>
  <c r="E153" i="2"/>
  <c r="BG151" i="2"/>
  <c r="AV150" i="2"/>
  <c r="AG149" i="2"/>
  <c r="G148" i="2"/>
  <c r="BJ146" i="2"/>
  <c r="AF145" i="2"/>
  <c r="C144" i="2"/>
  <c r="BE142" i="2"/>
  <c r="Z141" i="2"/>
  <c r="AD140" i="2"/>
  <c r="AH139" i="2"/>
  <c r="AL138" i="2"/>
  <c r="AZ137" i="2"/>
  <c r="BE136" i="2"/>
  <c r="BJ135" i="2"/>
  <c r="BQ134" i="2"/>
  <c r="BX133" i="2"/>
  <c r="E133" i="2"/>
  <c r="N132" i="2"/>
  <c r="Z131" i="2"/>
  <c r="AE130" i="2"/>
  <c r="AX129" i="2"/>
  <c r="BR128" i="2"/>
  <c r="B128" i="2"/>
  <c r="H127" i="2"/>
  <c r="AD126" i="2"/>
  <c r="BG125" i="2"/>
  <c r="C125" i="2"/>
  <c r="AD124" i="2"/>
  <c r="BG123" i="2"/>
  <c r="C123" i="2"/>
  <c r="AD122" i="2"/>
  <c r="BP121" i="2"/>
  <c r="AC121" i="2"/>
  <c r="BV120" i="2"/>
  <c r="AG120" i="2"/>
  <c r="E120" i="2"/>
  <c r="BM119" i="2"/>
  <c r="AS119" i="2"/>
  <c r="X119" i="2"/>
  <c r="CF118" i="2"/>
  <c r="BJ118" i="2"/>
  <c r="AC118" i="2"/>
  <c r="D118" i="2"/>
  <c r="BQ117" i="2"/>
  <c r="AL117" i="2"/>
  <c r="R117" i="2"/>
  <c r="BZ116" i="2"/>
  <c r="BH116" i="2"/>
  <c r="AI116" i="2"/>
  <c r="N116" i="2"/>
  <c r="BV115" i="2"/>
  <c r="BE115" i="2"/>
  <c r="AE115" i="2"/>
  <c r="H115" i="2"/>
  <c r="BQ114" i="2"/>
  <c r="AZ114" i="2"/>
  <c r="AB114" i="2"/>
  <c r="D114" i="2"/>
  <c r="BN113" i="2"/>
  <c r="AZ113" i="2"/>
  <c r="AD113" i="2"/>
  <c r="I113" i="2"/>
  <c r="CO112" i="2"/>
  <c r="BP112" i="2"/>
  <c r="BA112" i="2"/>
  <c r="AE112" i="2"/>
  <c r="N112" i="2"/>
  <c r="CS111" i="2"/>
  <c r="BT111" i="2"/>
  <c r="BF111" i="2"/>
  <c r="AI111" i="2"/>
  <c r="W111" i="2"/>
  <c r="D111" i="2"/>
  <c r="CJ110" i="2"/>
  <c r="BM110" i="2"/>
  <c r="AY110" i="2"/>
  <c r="AH110" i="2"/>
  <c r="V110" i="2"/>
  <c r="E110" i="2"/>
  <c r="CK109" i="2"/>
  <c r="BN109" i="2"/>
  <c r="AZ109" i="2"/>
  <c r="AD109" i="2"/>
  <c r="N109" i="2"/>
  <c r="BZ108" i="2"/>
  <c r="BH108" i="2"/>
  <c r="AI108" i="2"/>
  <c r="N108" i="2"/>
  <c r="BT107" i="2"/>
  <c r="BB107" i="2"/>
  <c r="AB107" i="2"/>
  <c r="E107" i="2"/>
  <c r="BN106" i="2"/>
  <c r="AR106" i="2"/>
  <c r="X106" i="2"/>
  <c r="BZ105" i="2"/>
  <c r="BH105" i="2"/>
  <c r="AI105" i="2"/>
  <c r="N105" i="2"/>
  <c r="BT104" i="2"/>
  <c r="BB104" i="2"/>
  <c r="AB104" i="2"/>
  <c r="E104" i="2"/>
  <c r="BN103" i="2"/>
  <c r="AR103" i="2"/>
  <c r="X103" i="2"/>
  <c r="BZ102" i="2"/>
  <c r="BH102" i="2"/>
  <c r="AI102" i="2"/>
  <c r="N102" i="2"/>
  <c r="BT101" i="2"/>
  <c r="BB101" i="2"/>
  <c r="AB101" i="2"/>
  <c r="E101" i="2"/>
  <c r="BN100" i="2"/>
  <c r="AR100" i="2"/>
  <c r="X100" i="2"/>
  <c r="BX99" i="2"/>
  <c r="BF99" i="2"/>
  <c r="AH99" i="2"/>
  <c r="H99" i="2"/>
  <c r="BR98" i="2"/>
  <c r="AZ98" i="2"/>
  <c r="AA98" i="2"/>
  <c r="D98" i="2"/>
  <c r="BL97" i="2"/>
  <c r="AL97" i="2"/>
  <c r="W97" i="2"/>
  <c r="BX96" i="2"/>
  <c r="BF96" i="2"/>
  <c r="AH96" i="2"/>
  <c r="H96" i="2"/>
  <c r="BR95" i="2"/>
  <c r="AZ95" i="2"/>
  <c r="AA95" i="2"/>
  <c r="D95" i="2"/>
  <c r="BL94" i="2"/>
  <c r="AL94" i="2"/>
  <c r="W94" i="2"/>
  <c r="BX93" i="2"/>
  <c r="BF93" i="2"/>
  <c r="AH93" i="2"/>
  <c r="H93" i="2"/>
  <c r="BR92" i="2"/>
  <c r="AZ92" i="2"/>
  <c r="AA92" i="2"/>
  <c r="D92" i="2"/>
  <c r="BL91" i="2"/>
  <c r="AL91" i="2"/>
  <c r="W91" i="2"/>
  <c r="CG90" i="2"/>
  <c r="BP90" i="2"/>
  <c r="AX90" i="2"/>
  <c r="Y90" i="2"/>
  <c r="E90" i="2"/>
  <c r="BN89" i="2"/>
  <c r="AR89" i="2"/>
  <c r="X89" i="2"/>
  <c r="BZ88" i="2"/>
  <c r="BH88" i="2"/>
  <c r="AI88" i="2"/>
  <c r="N88" i="2"/>
  <c r="BT87" i="2"/>
  <c r="BB87" i="2"/>
  <c r="AB87" i="2"/>
  <c r="E87" i="2"/>
  <c r="BN86" i="2"/>
  <c r="AR86" i="2"/>
  <c r="X86" i="2"/>
  <c r="B86" i="2"/>
  <c r="BJ85" i="2"/>
  <c r="AJ85" i="2"/>
  <c r="U85" i="2"/>
  <c r="CQ84" i="2"/>
  <c r="BR84" i="2"/>
  <c r="AZ84" i="2"/>
  <c r="AA84" i="2"/>
  <c r="E84" i="2"/>
  <c r="BQ83" i="2"/>
  <c r="AY83" i="2"/>
  <c r="Z83" i="2"/>
  <c r="D83" i="2"/>
  <c r="BZ82" i="2"/>
  <c r="BH82" i="2"/>
  <c r="AI82" i="2"/>
  <c r="N82" i="2"/>
  <c r="BW81" i="2"/>
  <c r="BE81" i="2"/>
  <c r="AG81" i="2"/>
  <c r="I81" i="2"/>
  <c r="BV80" i="2"/>
  <c r="BD80" i="2"/>
  <c r="AF80" i="2"/>
  <c r="G80" i="2"/>
  <c r="BQ79" i="2"/>
  <c r="AY79" i="2"/>
  <c r="Z79" i="2"/>
  <c r="C79" i="2"/>
  <c r="BK78" i="2"/>
  <c r="AK78" i="2"/>
  <c r="V78" i="2"/>
  <c r="BX77" i="2"/>
  <c r="BF77" i="2"/>
  <c r="AH77" i="2"/>
  <c r="H77" i="2"/>
  <c r="CN76" i="2"/>
  <c r="BK76" i="2"/>
  <c r="AK76" i="2"/>
  <c r="V76" i="2"/>
  <c r="B76" i="2"/>
  <c r="BJ75" i="2"/>
  <c r="AJ75" i="2"/>
  <c r="U75" i="2"/>
  <c r="CQ74" i="2"/>
  <c r="BT74" i="2"/>
  <c r="BB74" i="2"/>
  <c r="AE74" i="2"/>
  <c r="P74" i="2"/>
  <c r="C74" i="2"/>
  <c r="BK73" i="2"/>
  <c r="AK73" i="2"/>
  <c r="V73" i="2"/>
  <c r="BX72" i="2"/>
  <c r="BF72" i="2"/>
  <c r="AH72" i="2"/>
  <c r="G72" i="2"/>
  <c r="BQ71" i="2"/>
  <c r="AY71" i="2"/>
  <c r="Z71" i="2"/>
  <c r="B71" i="2"/>
  <c r="BJ70" i="2"/>
  <c r="AJ70" i="2"/>
  <c r="U70" i="2"/>
  <c r="BT69" i="2"/>
  <c r="BB69" i="2"/>
  <c r="AB69" i="2"/>
  <c r="E69" i="2"/>
  <c r="BN68" i="2"/>
  <c r="AR68" i="2"/>
  <c r="X68" i="2"/>
  <c r="BZ67" i="2"/>
  <c r="BH67" i="2"/>
  <c r="AI67" i="2"/>
  <c r="N67" i="2"/>
  <c r="BT66" i="2"/>
  <c r="BB66" i="2"/>
  <c r="AB66" i="2"/>
  <c r="E66" i="2"/>
  <c r="BN65" i="2"/>
  <c r="AR65" i="2"/>
  <c r="X65" i="2"/>
  <c r="BX64" i="2"/>
  <c r="BF64" i="2"/>
  <c r="AH64" i="2"/>
  <c r="G64" i="2"/>
  <c r="BQ63" i="2"/>
  <c r="AY63" i="2"/>
  <c r="Z63" i="2"/>
  <c r="C63" i="2"/>
  <c r="BK62" i="2"/>
  <c r="AK62" i="2"/>
  <c r="V62" i="2"/>
  <c r="BW61" i="2"/>
  <c r="BE61" i="2"/>
  <c r="AG61" i="2"/>
  <c r="F61" i="2"/>
  <c r="BP60" i="2"/>
  <c r="AX60" i="2"/>
  <c r="Y60" i="2"/>
  <c r="C60" i="2"/>
  <c r="BK59" i="2"/>
  <c r="AK59" i="2"/>
  <c r="V59" i="2"/>
  <c r="CJ58" i="2"/>
  <c r="BJ58" i="2"/>
  <c r="AJ58" i="2"/>
  <c r="U58" i="2"/>
  <c r="BW57" i="2"/>
  <c r="BE57" i="2"/>
  <c r="AG57" i="2"/>
  <c r="G57" i="2"/>
  <c r="BQ56" i="2"/>
  <c r="AY56" i="2"/>
  <c r="Z56" i="2"/>
  <c r="B56" i="2"/>
  <c r="BJ55" i="2"/>
  <c r="AJ55" i="2"/>
  <c r="U55" i="2"/>
  <c r="BT54" i="2"/>
  <c r="BB54" i="2"/>
  <c r="AB54" i="2"/>
  <c r="E54" i="2"/>
  <c r="BN53" i="2"/>
  <c r="AR53" i="2"/>
  <c r="X53" i="2"/>
  <c r="BX52" i="2"/>
  <c r="BF52" i="2"/>
  <c r="AH52" i="2"/>
  <c r="G52" i="2"/>
  <c r="BQ51" i="2"/>
  <c r="AY51" i="2"/>
  <c r="Z51" i="2"/>
  <c r="C51" i="2"/>
  <c r="BK50" i="2"/>
  <c r="AK50" i="2"/>
  <c r="V50" i="2"/>
  <c r="BW49" i="2"/>
  <c r="BE49" i="2"/>
  <c r="AG49" i="2"/>
  <c r="G49" i="2"/>
  <c r="BQ48" i="2"/>
  <c r="AY48" i="2"/>
  <c r="Z48" i="2"/>
  <c r="B48" i="2"/>
  <c r="BJ47" i="2"/>
  <c r="AJ47" i="2"/>
  <c r="U47" i="2"/>
  <c r="BV46" i="2"/>
  <c r="BD46" i="2"/>
  <c r="AF46" i="2"/>
  <c r="F46" i="2"/>
  <c r="BP45" i="2"/>
  <c r="AX45" i="2"/>
  <c r="Y45" i="2"/>
  <c r="BZ44" i="2"/>
  <c r="BH44" i="2"/>
  <c r="AI44" i="2"/>
  <c r="N44" i="2"/>
  <c r="BT43" i="2"/>
  <c r="BB43" i="2"/>
  <c r="AB43" i="2"/>
  <c r="E43" i="2"/>
  <c r="BN42" i="2"/>
  <c r="AR42" i="2"/>
  <c r="X42" i="2"/>
  <c r="BX41" i="2"/>
  <c r="BF41" i="2"/>
  <c r="AH41" i="2"/>
  <c r="J41" i="2"/>
  <c r="BT40" i="2"/>
  <c r="BB40" i="2"/>
  <c r="AB40" i="2"/>
  <c r="D40" i="2"/>
  <c r="BL39" i="2"/>
  <c r="AL39" i="2"/>
  <c r="W39" i="2"/>
  <c r="BZ38" i="2"/>
  <c r="BH38" i="2"/>
  <c r="AI38" i="2"/>
  <c r="N38" i="2"/>
  <c r="BR37" i="2"/>
  <c r="AZ37" i="2"/>
  <c r="AA37" i="2"/>
  <c r="E37" i="2"/>
  <c r="BN36" i="2"/>
  <c r="AR36" i="2"/>
  <c r="X36" i="2"/>
  <c r="B36" i="2"/>
  <c r="BJ35" i="2"/>
  <c r="AJ35" i="2"/>
  <c r="U35" i="2"/>
  <c r="BW34" i="2"/>
  <c r="BE34" i="2"/>
  <c r="AG34" i="2"/>
  <c r="H34" i="2"/>
  <c r="BR33" i="2"/>
  <c r="AZ33" i="2"/>
  <c r="AA33" i="2"/>
  <c r="E33" i="2"/>
  <c r="BN32" i="2"/>
  <c r="AR32" i="2"/>
  <c r="X32" i="2"/>
  <c r="B32" i="2"/>
  <c r="BJ31" i="2"/>
  <c r="AJ31" i="2"/>
  <c r="U31" i="2"/>
  <c r="CQ30" i="2"/>
  <c r="BT30" i="2"/>
  <c r="BB30" i="2"/>
  <c r="AE30" i="2"/>
  <c r="P30" i="2"/>
  <c r="C30" i="2"/>
  <c r="BK29" i="2"/>
  <c r="AK29" i="2"/>
  <c r="V29" i="2"/>
  <c r="BW28" i="2"/>
  <c r="BE28" i="2"/>
  <c r="AG28" i="2"/>
  <c r="G28" i="2"/>
  <c r="BQ27" i="2"/>
  <c r="AY27" i="2"/>
  <c r="Z27" i="2"/>
  <c r="C27" i="2"/>
  <c r="BK26" i="2"/>
  <c r="AK26" i="2"/>
  <c r="V26" i="2"/>
  <c r="BW25" i="2"/>
  <c r="BE25" i="2"/>
  <c r="AG25" i="2"/>
  <c r="G25" i="2"/>
  <c r="BQ24" i="2"/>
  <c r="AY24" i="2"/>
  <c r="Z24" i="2"/>
  <c r="C24" i="2"/>
  <c r="BK23" i="2"/>
  <c r="AK23" i="2"/>
  <c r="V23" i="2"/>
  <c r="BW22" i="2"/>
  <c r="BE22" i="2"/>
  <c r="AG22" i="2"/>
  <c r="G22" i="2"/>
  <c r="BQ21" i="2"/>
  <c r="AY21" i="2"/>
  <c r="Z21" i="2"/>
  <c r="C21" i="2"/>
  <c r="BK20" i="2"/>
  <c r="AK20" i="2"/>
  <c r="V20" i="2"/>
  <c r="BW19" i="2"/>
  <c r="BE19" i="2"/>
  <c r="AG19" i="2"/>
  <c r="G19" i="2"/>
  <c r="BQ18" i="2"/>
  <c r="AY18" i="2"/>
  <c r="Z18" i="2"/>
  <c r="C18" i="2"/>
  <c r="BK17" i="2"/>
  <c r="AK17" i="2"/>
  <c r="V17" i="2"/>
  <c r="CQ16" i="2"/>
  <c r="BT16" i="2"/>
  <c r="BB16" i="2"/>
  <c r="AE16" i="2"/>
  <c r="P16" i="2"/>
  <c r="C16" i="2"/>
  <c r="CJ15" i="2"/>
  <c r="BJ15" i="2"/>
  <c r="AJ15" i="2"/>
  <c r="X15" i="2"/>
  <c r="H15" i="2"/>
  <c r="BR14" i="2"/>
  <c r="AZ14" i="2"/>
  <c r="AA14" i="2"/>
  <c r="D14" i="2"/>
  <c r="BL13" i="2"/>
  <c r="AL13" i="2"/>
  <c r="W13" i="2"/>
  <c r="BX12" i="2"/>
  <c r="BF12" i="2"/>
  <c r="AH12" i="2"/>
  <c r="G12" i="2"/>
  <c r="BQ11" i="2"/>
  <c r="AY11" i="2"/>
  <c r="Z11" i="2"/>
  <c r="B11" i="2"/>
  <c r="BJ10" i="2"/>
  <c r="AJ10" i="2"/>
  <c r="U10" i="2"/>
  <c r="BW9" i="2"/>
  <c r="BE9" i="2"/>
  <c r="V250" i="2"/>
  <c r="AC236" i="2"/>
  <c r="AI222" i="2"/>
  <c r="AR215" i="2"/>
  <c r="BP212" i="2"/>
  <c r="AK211" i="2"/>
  <c r="G210" i="2"/>
  <c r="BK208" i="2"/>
  <c r="AI207" i="2"/>
  <c r="G206" i="2"/>
  <c r="BJ204" i="2"/>
  <c r="AD203" i="2"/>
  <c r="D202" i="2"/>
  <c r="BF200" i="2"/>
  <c r="AA199" i="2"/>
  <c r="B198" i="2"/>
  <c r="BD196" i="2"/>
  <c r="Y195" i="2"/>
  <c r="D194" i="2"/>
  <c r="BL192" i="2"/>
  <c r="AF191" i="2"/>
  <c r="BZ189" i="2"/>
  <c r="BB188" i="2"/>
  <c r="AD187" i="2"/>
  <c r="K186" i="2"/>
  <c r="BS184" i="2"/>
  <c r="AZ183" i="2"/>
  <c r="Z182" i="2"/>
  <c r="BY180" i="2"/>
  <c r="BB179" i="2"/>
  <c r="AB178" i="2"/>
  <c r="E177" i="2"/>
  <c r="BL175" i="2"/>
  <c r="AJ174" i="2"/>
  <c r="U173" i="2"/>
  <c r="BR171" i="2"/>
  <c r="AZ170" i="2"/>
  <c r="V169" i="2"/>
  <c r="BT167" i="2"/>
  <c r="BA166" i="2"/>
  <c r="AB165" i="2"/>
  <c r="BV163" i="2"/>
  <c r="AX162" i="2"/>
  <c r="N161" i="2"/>
  <c r="BL159" i="2"/>
  <c r="AF158" i="2"/>
  <c r="BZ156" i="2"/>
  <c r="BB155" i="2"/>
  <c r="X154" i="2"/>
  <c r="BQ152" i="2"/>
  <c r="AT151" i="2"/>
  <c r="AJ150" i="2"/>
  <c r="U149" i="2"/>
  <c r="BS147" i="2"/>
  <c r="AL146" i="2"/>
  <c r="N145" i="2"/>
  <c r="BN143" i="2"/>
  <c r="AH142" i="2"/>
  <c r="G141" i="2"/>
  <c r="V140" i="2"/>
  <c r="Z139" i="2"/>
  <c r="AD138" i="2"/>
  <c r="AH137" i="2"/>
  <c r="AL136" i="2"/>
  <c r="AZ135" i="2"/>
  <c r="BG134" i="2"/>
  <c r="BN133" i="2"/>
  <c r="BV132" i="2"/>
  <c r="C132" i="2"/>
  <c r="H131" i="2"/>
  <c r="W130" i="2"/>
  <c r="AF129" i="2"/>
  <c r="BH128" i="2"/>
  <c r="BR127" i="2"/>
  <c r="BY126" i="2"/>
  <c r="W126" i="2"/>
  <c r="AY125" i="2"/>
  <c r="BT124" i="2"/>
  <c r="W124" i="2"/>
  <c r="AY123" i="2"/>
  <c r="BT122" i="2"/>
  <c r="W122" i="2"/>
  <c r="BG121" i="2"/>
  <c r="V121" i="2"/>
  <c r="BR120" i="2"/>
  <c r="AB120" i="2"/>
  <c r="B120" i="2"/>
  <c r="BK119" i="2"/>
  <c r="AM119" i="2"/>
  <c r="U119" i="2"/>
  <c r="CD118" i="2"/>
  <c r="BD118" i="2"/>
  <c r="Z118" i="2"/>
  <c r="CL117" i="2"/>
  <c r="BN117" i="2"/>
  <c r="AG117" i="2"/>
  <c r="N117" i="2"/>
  <c r="BW116" i="2"/>
  <c r="BF116" i="2"/>
  <c r="AF116" i="2"/>
  <c r="I116" i="2"/>
  <c r="BS115" i="2"/>
  <c r="BA115" i="2"/>
  <c r="AC115" i="2"/>
  <c r="E115" i="2"/>
  <c r="BN114" i="2"/>
  <c r="AX114" i="2"/>
  <c r="Y114" i="2"/>
  <c r="B114" i="2"/>
  <c r="BL113" i="2"/>
  <c r="AX113" i="2"/>
  <c r="AB113" i="2"/>
  <c r="G113" i="2"/>
  <c r="CM112" i="2"/>
  <c r="BM112" i="2"/>
  <c r="AY112" i="2"/>
  <c r="AC112" i="2"/>
  <c r="K112" i="2"/>
  <c r="CQ111" i="2"/>
  <c r="BR111" i="2"/>
  <c r="BD111" i="2"/>
  <c r="AG111" i="2"/>
  <c r="U111" i="2"/>
  <c r="B111" i="2"/>
  <c r="BY110" i="2"/>
  <c r="BK110" i="2"/>
  <c r="AW110" i="2"/>
  <c r="AF110" i="2"/>
  <c r="T110" i="2"/>
  <c r="C110" i="2"/>
  <c r="BZ109" i="2"/>
  <c r="BL109" i="2"/>
  <c r="AX109" i="2"/>
  <c r="AB109" i="2"/>
  <c r="K109" i="2"/>
  <c r="BW108" i="2"/>
  <c r="BE108" i="2"/>
  <c r="AG108" i="2"/>
  <c r="G108" i="2"/>
  <c r="BQ107" i="2"/>
  <c r="AY107" i="2"/>
  <c r="Z107" i="2"/>
  <c r="C107" i="2"/>
  <c r="BK106" i="2"/>
  <c r="AK106" i="2"/>
  <c r="V106" i="2"/>
  <c r="BW105" i="2"/>
  <c r="BE105" i="2"/>
  <c r="AG105" i="2"/>
  <c r="G105" i="2"/>
  <c r="BQ104" i="2"/>
  <c r="AY104" i="2"/>
  <c r="Z104" i="2"/>
  <c r="C104" i="2"/>
  <c r="BK103" i="2"/>
  <c r="AK103" i="2"/>
  <c r="V103" i="2"/>
  <c r="BW102" i="2"/>
  <c r="BE102" i="2"/>
  <c r="AG102" i="2"/>
  <c r="G102" i="2"/>
  <c r="BQ101" i="2"/>
  <c r="AY101" i="2"/>
  <c r="Z101" i="2"/>
  <c r="C101" i="2"/>
  <c r="BK100" i="2"/>
  <c r="AK100" i="2"/>
  <c r="V100" i="2"/>
  <c r="BV99" i="2"/>
  <c r="BD99" i="2"/>
  <c r="AF99" i="2"/>
  <c r="F99" i="2"/>
  <c r="BP98" i="2"/>
  <c r="AX98" i="2"/>
  <c r="Y98" i="2"/>
  <c r="B98" i="2"/>
  <c r="BJ97" i="2"/>
  <c r="AJ97" i="2"/>
  <c r="U97" i="2"/>
  <c r="BV96" i="2"/>
  <c r="BD96" i="2"/>
  <c r="AF96" i="2"/>
  <c r="F96" i="2"/>
  <c r="BP95" i="2"/>
  <c r="AX95" i="2"/>
  <c r="Y95" i="2"/>
  <c r="B95" i="2"/>
  <c r="BJ94" i="2"/>
  <c r="AJ94" i="2"/>
  <c r="U94" i="2"/>
  <c r="BV93" i="2"/>
  <c r="BD93" i="2"/>
  <c r="AF93" i="2"/>
  <c r="F93" i="2"/>
  <c r="BP92" i="2"/>
  <c r="AX92" i="2"/>
  <c r="Y92" i="2"/>
  <c r="B92" i="2"/>
  <c r="BJ91" i="2"/>
  <c r="AJ91" i="2"/>
  <c r="U91" i="2"/>
  <c r="CE90" i="2"/>
  <c r="BL90" i="2"/>
  <c r="AL90" i="2"/>
  <c r="W90" i="2"/>
  <c r="C90" i="2"/>
  <c r="BK89" i="2"/>
  <c r="AK89" i="2"/>
  <c r="V89" i="2"/>
  <c r="BW88" i="2"/>
  <c r="BE88" i="2"/>
  <c r="AG88" i="2"/>
  <c r="G88" i="2"/>
  <c r="BQ87" i="2"/>
  <c r="AY87" i="2"/>
  <c r="Z87" i="2"/>
  <c r="C87" i="2"/>
  <c r="BK86" i="2"/>
  <c r="AK86" i="2"/>
  <c r="V86" i="2"/>
  <c r="BX85" i="2"/>
  <c r="BF85" i="2"/>
  <c r="AH85" i="2"/>
  <c r="J85" i="2"/>
  <c r="CO84" i="2"/>
  <c r="BP84" i="2"/>
  <c r="AX84" i="2"/>
  <c r="Y84" i="2"/>
  <c r="C84" i="2"/>
  <c r="BN83" i="2"/>
  <c r="AR83" i="2"/>
  <c r="X83" i="2"/>
  <c r="B83" i="2"/>
  <c r="BW82" i="2"/>
  <c r="BE82" i="2"/>
  <c r="AG82" i="2"/>
  <c r="H82" i="2"/>
  <c r="BT81" i="2"/>
  <c r="BB81" i="2"/>
  <c r="AB81" i="2"/>
  <c r="G81" i="2"/>
  <c r="BR80" i="2"/>
  <c r="AZ80" i="2"/>
  <c r="AA80" i="2"/>
  <c r="E80" i="2"/>
  <c r="BN79" i="2"/>
  <c r="AR79" i="2"/>
  <c r="X79" i="2"/>
  <c r="BZ78" i="2"/>
  <c r="BH78" i="2"/>
  <c r="AI78" i="2"/>
  <c r="N78" i="2"/>
  <c r="BV77" i="2"/>
  <c r="BD77" i="2"/>
  <c r="AF77" i="2"/>
  <c r="F77" i="2"/>
  <c r="BZ76" i="2"/>
  <c r="BH76" i="2"/>
  <c r="AI76" i="2"/>
  <c r="P76" i="2"/>
  <c r="BX75" i="2"/>
  <c r="BF75" i="2"/>
  <c r="AH75" i="2"/>
  <c r="J75" i="2"/>
  <c r="CO74" i="2"/>
  <c r="BQ74" i="2"/>
  <c r="AY74" i="2"/>
  <c r="AC74" i="2"/>
  <c r="N74" i="2"/>
  <c r="BZ73" i="2"/>
  <c r="BH73" i="2"/>
  <c r="AI73" i="2"/>
  <c r="N73" i="2"/>
  <c r="BV72" i="2"/>
  <c r="BD72" i="2"/>
  <c r="AF72" i="2"/>
  <c r="E72" i="2"/>
  <c r="BN71" i="2"/>
  <c r="AR71" i="2"/>
  <c r="X71" i="2"/>
  <c r="BX70" i="2"/>
  <c r="BF70" i="2"/>
  <c r="AH70" i="2"/>
  <c r="G70" i="2"/>
  <c r="BQ69" i="2"/>
  <c r="AY69" i="2"/>
  <c r="Z69" i="2"/>
  <c r="C69" i="2"/>
  <c r="BK68" i="2"/>
  <c r="AK68" i="2"/>
  <c r="V68" i="2"/>
  <c r="BW67" i="2"/>
  <c r="BE67" i="2"/>
  <c r="AG67" i="2"/>
  <c r="G67" i="2"/>
  <c r="BQ66" i="2"/>
  <c r="AY66" i="2"/>
  <c r="Z66" i="2"/>
  <c r="C66" i="2"/>
  <c r="BK65" i="2"/>
  <c r="AK65" i="2"/>
  <c r="V65" i="2"/>
  <c r="BV64" i="2"/>
  <c r="BD64" i="2"/>
  <c r="AF64" i="2"/>
  <c r="E64" i="2"/>
  <c r="BN63" i="2"/>
  <c r="AR63" i="2"/>
  <c r="X63" i="2"/>
  <c r="BZ62" i="2"/>
  <c r="BH62" i="2"/>
  <c r="AI62" i="2"/>
  <c r="N62" i="2"/>
  <c r="BT61" i="2"/>
  <c r="BB61" i="2"/>
  <c r="AB61" i="2"/>
  <c r="D61" i="2"/>
  <c r="BL60" i="2"/>
  <c r="AL60" i="2"/>
  <c r="W60" i="2"/>
  <c r="BZ59" i="2"/>
  <c r="BH59" i="2"/>
  <c r="AI59" i="2"/>
  <c r="N59" i="2"/>
  <c r="BX58" i="2"/>
  <c r="BF58" i="2"/>
  <c r="AH58" i="2"/>
  <c r="J58" i="2"/>
  <c r="BT57" i="2"/>
  <c r="BB57" i="2"/>
  <c r="AB57" i="2"/>
  <c r="E57" i="2"/>
  <c r="BN56" i="2"/>
  <c r="AR56" i="2"/>
  <c r="X56" i="2"/>
  <c r="BX55" i="2"/>
  <c r="BF55" i="2"/>
  <c r="AH55" i="2"/>
  <c r="G55" i="2"/>
  <c r="BQ54" i="2"/>
  <c r="AY54" i="2"/>
  <c r="Z54" i="2"/>
  <c r="C54" i="2"/>
  <c r="BK53" i="2"/>
  <c r="AK53" i="2"/>
  <c r="V53" i="2"/>
  <c r="BV52" i="2"/>
  <c r="BD52" i="2"/>
  <c r="AF52" i="2"/>
  <c r="E52" i="2"/>
  <c r="BN51" i="2"/>
  <c r="AR51" i="2"/>
  <c r="X51" i="2"/>
  <c r="BZ50" i="2"/>
  <c r="BH50" i="2"/>
  <c r="AI50" i="2"/>
  <c r="N50" i="2"/>
  <c r="BT49" i="2"/>
  <c r="BB49" i="2"/>
  <c r="AB49" i="2"/>
  <c r="E49" i="2"/>
  <c r="BN48" i="2"/>
  <c r="AR48" i="2"/>
  <c r="X48" i="2"/>
  <c r="BX47" i="2"/>
  <c r="BF47" i="2"/>
  <c r="AH47" i="2"/>
  <c r="H47" i="2"/>
  <c r="BR46" i="2"/>
  <c r="AZ46" i="2"/>
  <c r="AA46" i="2"/>
  <c r="D46" i="2"/>
  <c r="BL45" i="2"/>
  <c r="AL45" i="2"/>
  <c r="W45" i="2"/>
  <c r="BW44" i="2"/>
  <c r="BE44" i="2"/>
  <c r="AG44" i="2"/>
  <c r="G44" i="2"/>
  <c r="BQ43" i="2"/>
  <c r="AY43" i="2"/>
  <c r="Z43" i="2"/>
  <c r="C43" i="2"/>
  <c r="BK42" i="2"/>
  <c r="AK42" i="2"/>
  <c r="V42" i="2"/>
  <c r="BV41" i="2"/>
  <c r="BD41" i="2"/>
  <c r="AF41" i="2"/>
  <c r="G41" i="2"/>
  <c r="BQ40" i="2"/>
  <c r="AY40" i="2"/>
  <c r="Z40" i="2"/>
  <c r="B40" i="2"/>
  <c r="BJ39" i="2"/>
  <c r="AJ39" i="2"/>
  <c r="U39" i="2"/>
  <c r="BW38" i="2"/>
  <c r="BE38" i="2"/>
  <c r="AG38" i="2"/>
  <c r="F38" i="2"/>
  <c r="BP37" i="2"/>
  <c r="AX37" i="2"/>
  <c r="Y37" i="2"/>
  <c r="C37" i="2"/>
  <c r="BK36" i="2"/>
  <c r="AK36" i="2"/>
  <c r="V36" i="2"/>
  <c r="BX35" i="2"/>
  <c r="BF35" i="2"/>
  <c r="AH35" i="2"/>
  <c r="J35" i="2"/>
  <c r="BT34" i="2"/>
  <c r="BB34" i="2"/>
  <c r="AB34" i="2"/>
  <c r="F34" i="2"/>
  <c r="BP33" i="2"/>
  <c r="AX33" i="2"/>
  <c r="Y33" i="2"/>
  <c r="C33" i="2"/>
  <c r="BK32" i="2"/>
  <c r="AK32" i="2"/>
  <c r="V32" i="2"/>
  <c r="BX31" i="2"/>
  <c r="BF31" i="2"/>
  <c r="AH31" i="2"/>
  <c r="J31" i="2"/>
  <c r="CO30" i="2"/>
  <c r="BQ30" i="2"/>
  <c r="AY30" i="2"/>
  <c r="AC30" i="2"/>
  <c r="N30" i="2"/>
  <c r="BZ29" i="2"/>
  <c r="BH29" i="2"/>
  <c r="AI29" i="2"/>
  <c r="N29" i="2"/>
  <c r="BT28" i="2"/>
  <c r="BB28" i="2"/>
  <c r="AB28" i="2"/>
  <c r="E28" i="2"/>
  <c r="BN27" i="2"/>
  <c r="AR27" i="2"/>
  <c r="X27" i="2"/>
  <c r="BZ26" i="2"/>
  <c r="BH26" i="2"/>
  <c r="AI26" i="2"/>
  <c r="N26" i="2"/>
  <c r="BT25" i="2"/>
  <c r="BB25" i="2"/>
  <c r="AB25" i="2"/>
  <c r="E25" i="2"/>
  <c r="BN24" i="2"/>
  <c r="AR24" i="2"/>
  <c r="X24" i="2"/>
  <c r="BZ23" i="2"/>
  <c r="BH23" i="2"/>
  <c r="AI23" i="2"/>
  <c r="N23" i="2"/>
  <c r="BT22" i="2"/>
  <c r="BB22" i="2"/>
  <c r="AB22" i="2"/>
  <c r="E22" i="2"/>
  <c r="BN21" i="2"/>
  <c r="AR21" i="2"/>
  <c r="X21" i="2"/>
  <c r="BZ20" i="2"/>
  <c r="BH20" i="2"/>
  <c r="AI20" i="2"/>
  <c r="N20" i="2"/>
  <c r="BT19" i="2"/>
  <c r="BB19" i="2"/>
  <c r="AB19" i="2"/>
  <c r="E19" i="2"/>
  <c r="BN18" i="2"/>
  <c r="AR18" i="2"/>
  <c r="X18" i="2"/>
  <c r="BZ17" i="2"/>
  <c r="BH17" i="2"/>
  <c r="AI17" i="2"/>
  <c r="N17" i="2"/>
  <c r="CO16" i="2"/>
  <c r="BQ16" i="2"/>
  <c r="AY16" i="2"/>
  <c r="AC16" i="2"/>
  <c r="N16" i="2"/>
  <c r="CT15" i="2"/>
  <c r="BX15" i="2"/>
  <c r="BF15" i="2"/>
  <c r="AH15" i="2"/>
  <c r="V15" i="2"/>
  <c r="F15" i="2"/>
  <c r="BP14" i="2"/>
  <c r="AX14" i="2"/>
  <c r="Y14" i="2"/>
  <c r="B14" i="2"/>
  <c r="BJ13" i="2"/>
  <c r="AJ13" i="2"/>
  <c r="U13" i="2"/>
  <c r="BV12" i="2"/>
  <c r="BD12" i="2"/>
  <c r="AF12" i="2"/>
  <c r="E12" i="2"/>
  <c r="BN11" i="2"/>
  <c r="AR11" i="2"/>
  <c r="X11" i="2"/>
  <c r="BX10" i="2"/>
  <c r="BF10" i="2"/>
  <c r="BE251" i="2"/>
  <c r="U202" i="2"/>
  <c r="AA186" i="2"/>
  <c r="BL170" i="2"/>
  <c r="AI154" i="2"/>
  <c r="AG139" i="2"/>
  <c r="BQ128" i="2"/>
  <c r="BT120" i="2"/>
  <c r="P117" i="2"/>
  <c r="C114" i="2"/>
  <c r="BE111" i="2"/>
  <c r="AY109" i="2"/>
  <c r="AL106" i="2"/>
  <c r="W103" i="2"/>
  <c r="BW99" i="2"/>
  <c r="BE96" i="2"/>
  <c r="AG93" i="2"/>
  <c r="X90" i="2"/>
  <c r="D87" i="2"/>
  <c r="D84" i="2"/>
  <c r="H81" i="2"/>
  <c r="BW77" i="2"/>
  <c r="CP74" i="2"/>
  <c r="F72" i="2"/>
  <c r="BL68" i="2"/>
  <c r="AL65" i="2"/>
  <c r="U62" i="2"/>
  <c r="BZ58" i="2"/>
  <c r="BH55" i="2"/>
  <c r="AG52" i="2"/>
  <c r="F49" i="2"/>
  <c r="BN45" i="2"/>
  <c r="AL42" i="2"/>
  <c r="V39" i="2"/>
  <c r="BZ35" i="2"/>
  <c r="BL32" i="2"/>
  <c r="B30" i="2"/>
  <c r="BJ26" i="2"/>
  <c r="AJ23" i="2"/>
  <c r="U20" i="2"/>
  <c r="CP16" i="2"/>
  <c r="AY14" i="2"/>
  <c r="Y11" i="2"/>
  <c r="AG10" i="2"/>
  <c r="C10" i="2"/>
  <c r="BD9" i="2"/>
  <c r="AB9" i="2"/>
  <c r="F9" i="2"/>
  <c r="BP8" i="2"/>
  <c r="AX8" i="2"/>
  <c r="Y8" i="2"/>
  <c r="D8" i="2"/>
  <c r="BW7" i="2"/>
  <c r="BE7" i="2"/>
  <c r="AG7" i="2"/>
  <c r="I7" i="2"/>
  <c r="CO6" i="2"/>
  <c r="BQ6" i="2"/>
  <c r="AY6" i="2"/>
  <c r="AC6" i="2"/>
  <c r="N6" i="2"/>
  <c r="CS5" i="2"/>
  <c r="BW5" i="2"/>
  <c r="BE5" i="2"/>
  <c r="AG5" i="2"/>
  <c r="U5" i="2"/>
  <c r="E5" i="2"/>
  <c r="U110" i="2"/>
  <c r="B79" i="2"/>
  <c r="BR69" i="2"/>
  <c r="Y63" i="2"/>
  <c r="BP56" i="2"/>
  <c r="BT46" i="2"/>
  <c r="D37" i="2"/>
  <c r="B18" i="2"/>
  <c r="AI9" i="2"/>
  <c r="AF8" i="2"/>
  <c r="BK7" i="2"/>
  <c r="BW6" i="2"/>
  <c r="E6" i="2"/>
  <c r="AI237" i="2"/>
  <c r="BS200" i="2"/>
  <c r="F185" i="2"/>
  <c r="AG169" i="2"/>
  <c r="D153" i="2"/>
  <c r="AK138" i="2"/>
  <c r="BZ127" i="2"/>
  <c r="AE120" i="2"/>
  <c r="BX116" i="2"/>
  <c r="BM113" i="2"/>
  <c r="AH111" i="2"/>
  <c r="AC109" i="2"/>
  <c r="W106" i="2"/>
  <c r="BX102" i="2"/>
  <c r="BE99" i="2"/>
  <c r="AG96" i="2"/>
  <c r="G93" i="2"/>
  <c r="D90" i="2"/>
  <c r="BL86" i="2"/>
  <c r="BP83" i="2"/>
  <c r="BT80" i="2"/>
  <c r="BE77" i="2"/>
  <c r="BR74" i="2"/>
  <c r="BP71" i="2"/>
  <c r="AL68" i="2"/>
  <c r="W65" i="2"/>
  <c r="BV61" i="2"/>
  <c r="BH58" i="2"/>
  <c r="AI55" i="2"/>
  <c r="F52" i="2"/>
  <c r="BP48" i="2"/>
  <c r="AR45" i="2"/>
  <c r="W42" i="2"/>
  <c r="BX38" i="2"/>
  <c r="BH35" i="2"/>
  <c r="AL32" i="2"/>
  <c r="BJ29" i="2"/>
  <c r="AJ26" i="2"/>
  <c r="U23" i="2"/>
  <c r="BV19" i="2"/>
  <c r="BR16" i="2"/>
  <c r="Z14" i="2"/>
  <c r="D11" i="2"/>
  <c r="AF10" i="2"/>
  <c r="B10" i="2"/>
  <c r="BB9" i="2"/>
  <c r="AA9" i="2"/>
  <c r="E9" i="2"/>
  <c r="BN8" i="2"/>
  <c r="AR8" i="2"/>
  <c r="X8" i="2"/>
  <c r="C8" i="2"/>
  <c r="BV7" i="2"/>
  <c r="BD7" i="2"/>
  <c r="AF7" i="2"/>
  <c r="H7" i="2"/>
  <c r="CN6" i="2"/>
  <c r="BP6" i="2"/>
  <c r="AX6" i="2"/>
  <c r="AB6" i="2"/>
  <c r="L6" i="2"/>
  <c r="CR5" i="2"/>
  <c r="BV5" i="2"/>
  <c r="BD5" i="2"/>
  <c r="AF5" i="2"/>
  <c r="T5" i="2"/>
  <c r="D5" i="2"/>
  <c r="B144" i="2"/>
  <c r="BP27" i="2"/>
  <c r="V7" i="2"/>
  <c r="I5" i="2"/>
  <c r="AJ223" i="2"/>
  <c r="AL199" i="2"/>
  <c r="BM183" i="2"/>
  <c r="G168" i="2"/>
  <c r="BF151" i="2"/>
  <c r="AY137" i="2"/>
  <c r="G127" i="2"/>
  <c r="D120" i="2"/>
  <c r="BG116" i="2"/>
  <c r="AY113" i="2"/>
  <c r="V111" i="2"/>
  <c r="L109" i="2"/>
  <c r="BX105" i="2"/>
  <c r="BF102" i="2"/>
  <c r="AG99" i="2"/>
  <c r="G96" i="2"/>
  <c r="BQ92" i="2"/>
  <c r="BL89" i="2"/>
  <c r="AL86" i="2"/>
  <c r="AX83" i="2"/>
  <c r="BB80" i="2"/>
  <c r="AG77" i="2"/>
  <c r="AZ74" i="2"/>
  <c r="AX71" i="2"/>
  <c r="W68" i="2"/>
  <c r="BW64" i="2"/>
  <c r="BD61" i="2"/>
  <c r="AI58" i="2"/>
  <c r="N55" i="2"/>
  <c r="BP51" i="2"/>
  <c r="AX48" i="2"/>
  <c r="X45" i="2"/>
  <c r="BW41" i="2"/>
  <c r="BF38" i="2"/>
  <c r="AI35" i="2"/>
  <c r="W32" i="2"/>
  <c r="AJ29" i="2"/>
  <c r="U26" i="2"/>
  <c r="BV22" i="2"/>
  <c r="BD19" i="2"/>
  <c r="AZ16" i="2"/>
  <c r="C14" i="2"/>
  <c r="BZ10" i="2"/>
  <c r="AA10" i="2"/>
  <c r="BZ9" i="2"/>
  <c r="AZ9" i="2"/>
  <c r="Z9" i="2"/>
  <c r="D9" i="2"/>
  <c r="BL8" i="2"/>
  <c r="AL8" i="2"/>
  <c r="W8" i="2"/>
  <c r="B8" i="2"/>
  <c r="BT7" i="2"/>
  <c r="BB7" i="2"/>
  <c r="AB7" i="2"/>
  <c r="G7" i="2"/>
  <c r="CM6" i="2"/>
  <c r="BN6" i="2"/>
  <c r="AR6" i="2"/>
  <c r="AA6" i="2"/>
  <c r="K6" i="2"/>
  <c r="CQ5" i="2"/>
  <c r="BT5" i="2"/>
  <c r="BB5" i="2"/>
  <c r="AE5" i="2"/>
  <c r="P5" i="2"/>
  <c r="C5" i="2"/>
  <c r="J132" i="2"/>
  <c r="AX24" i="2"/>
  <c r="AG6" i="2"/>
  <c r="BY215" i="2"/>
  <c r="N198" i="2"/>
  <c r="AK182" i="2"/>
  <c r="BN166" i="2"/>
  <c r="AU150" i="2"/>
  <c r="BD136" i="2"/>
  <c r="AA126" i="2"/>
  <c r="BL119" i="2"/>
  <c r="AH116" i="2"/>
  <c r="AC113" i="2"/>
  <c r="C111" i="2"/>
  <c r="BX108" i="2"/>
  <c r="BF105" i="2"/>
  <c r="AH102" i="2"/>
  <c r="G99" i="2"/>
  <c r="BQ95" i="2"/>
  <c r="AY92" i="2"/>
  <c r="AL89" i="2"/>
  <c r="W86" i="2"/>
  <c r="Y83" i="2"/>
  <c r="AB80" i="2"/>
  <c r="G77" i="2"/>
  <c r="AD74" i="2"/>
  <c r="Y71" i="2"/>
  <c r="BX67" i="2"/>
  <c r="BE64" i="2"/>
  <c r="AF61" i="2"/>
  <c r="N58" i="2"/>
  <c r="BR54" i="2"/>
  <c r="AX51" i="2"/>
  <c r="Y48" i="2"/>
  <c r="BX44" i="2"/>
  <c r="BE41" i="2"/>
  <c r="AH38" i="2"/>
  <c r="N35" i="2"/>
  <c r="BZ31" i="2"/>
  <c r="U29" i="2"/>
  <c r="BV25" i="2"/>
  <c r="BD22" i="2"/>
  <c r="AF19" i="2"/>
  <c r="AD16" i="2"/>
  <c r="BK13" i="2"/>
  <c r="BR10" i="2"/>
  <c r="Z10" i="2"/>
  <c r="BV9" i="2"/>
  <c r="AY9" i="2"/>
  <c r="Y9" i="2"/>
  <c r="C9" i="2"/>
  <c r="BK8" i="2"/>
  <c r="AK8" i="2"/>
  <c r="V8" i="2"/>
  <c r="CS7" i="2"/>
  <c r="BR7" i="2"/>
  <c r="AZ7" i="2"/>
  <c r="AA7" i="2"/>
  <c r="F7" i="2"/>
  <c r="CL6" i="2"/>
  <c r="BL6" i="2"/>
  <c r="AL6" i="2"/>
  <c r="Z6" i="2"/>
  <c r="J6" i="2"/>
  <c r="CP5" i="2"/>
  <c r="BR5" i="2"/>
  <c r="AZ5" i="2"/>
  <c r="AD5" i="2"/>
  <c r="O5" i="2"/>
  <c r="B5" i="2"/>
  <c r="BA191" i="2"/>
  <c r="H10" i="2"/>
  <c r="C213" i="2"/>
  <c r="BQ196" i="2"/>
  <c r="V181" i="2"/>
  <c r="AR165" i="2"/>
  <c r="AF149" i="2"/>
  <c r="BH135" i="2"/>
  <c r="BD125" i="2"/>
  <c r="AQ119" i="2"/>
  <c r="J116" i="2"/>
  <c r="H113" i="2"/>
  <c r="BZ110" i="2"/>
  <c r="BF108" i="2"/>
  <c r="AH105" i="2"/>
  <c r="H102" i="2"/>
  <c r="BQ98" i="2"/>
  <c r="AY95" i="2"/>
  <c r="Z92" i="2"/>
  <c r="W89" i="2"/>
  <c r="BZ85" i="2"/>
  <c r="C83" i="2"/>
  <c r="F80" i="2"/>
  <c r="CM76" i="2"/>
  <c r="O74" i="2"/>
  <c r="BZ70" i="2"/>
  <c r="BF67" i="2"/>
  <c r="AG64" i="2"/>
  <c r="E61" i="2"/>
  <c r="BV57" i="2"/>
  <c r="AZ54" i="2"/>
  <c r="Y51" i="2"/>
  <c r="BZ47" i="2"/>
  <c r="BF44" i="2"/>
  <c r="AG41" i="2"/>
  <c r="G38" i="2"/>
  <c r="BV34" i="2"/>
  <c r="BH31" i="2"/>
  <c r="BV28" i="2"/>
  <c r="BD25" i="2"/>
  <c r="AF22" i="2"/>
  <c r="F19" i="2"/>
  <c r="O16" i="2"/>
  <c r="AK13" i="2"/>
  <c r="BL10" i="2"/>
  <c r="X10" i="2"/>
  <c r="BT9" i="2"/>
  <c r="AR9" i="2"/>
  <c r="X9" i="2"/>
  <c r="B9" i="2"/>
  <c r="BJ8" i="2"/>
  <c r="AJ8" i="2"/>
  <c r="U8" i="2"/>
  <c r="CR7" i="2"/>
  <c r="BQ7" i="2"/>
  <c r="AY7" i="2"/>
  <c r="Z7" i="2"/>
  <c r="E7" i="2"/>
  <c r="CK6" i="2"/>
  <c r="BK6" i="2"/>
  <c r="AK6" i="2"/>
  <c r="Y6" i="2"/>
  <c r="I6" i="2"/>
  <c r="CO5" i="2"/>
  <c r="BQ5" i="2"/>
  <c r="AY5" i="2"/>
  <c r="AC5" i="2"/>
  <c r="N5" i="2"/>
  <c r="G115" i="2"/>
  <c r="AZ43" i="2"/>
  <c r="N9" i="2"/>
  <c r="BE6" i="2"/>
  <c r="BG211" i="2"/>
  <c r="AJ195" i="2"/>
  <c r="BP179" i="2"/>
  <c r="H164" i="2"/>
  <c r="F148" i="2"/>
  <c r="BP134" i="2"/>
  <c r="BY124" i="2"/>
  <c r="V119" i="2"/>
  <c r="BT115" i="2"/>
  <c r="CN112" i="2"/>
  <c r="BL110" i="2"/>
  <c r="AH108" i="2"/>
  <c r="H105" i="2"/>
  <c r="BR101" i="2"/>
  <c r="AY98" i="2"/>
  <c r="Z95" i="2"/>
  <c r="C92" i="2"/>
  <c r="BX88" i="2"/>
  <c r="BH85" i="2"/>
  <c r="BX82" i="2"/>
  <c r="BP79" i="2"/>
  <c r="BJ76" i="2"/>
  <c r="B74" i="2"/>
  <c r="BH70" i="2"/>
  <c r="AH67" i="2"/>
  <c r="F64" i="2"/>
  <c r="BN60" i="2"/>
  <c r="BD57" i="2"/>
  <c r="AA54" i="2"/>
  <c r="B51" i="2"/>
  <c r="BH47" i="2"/>
  <c r="AH44" i="2"/>
  <c r="H41" i="2"/>
  <c r="BQ37" i="2"/>
  <c r="BD34" i="2"/>
  <c r="AI31" i="2"/>
  <c r="BD28" i="2"/>
  <c r="AF25" i="2"/>
  <c r="F22" i="2"/>
  <c r="BP18" i="2"/>
  <c r="B16" i="2"/>
  <c r="V13" i="2"/>
  <c r="BH10" i="2"/>
  <c r="W10" i="2"/>
  <c r="BR9" i="2"/>
  <c r="AL9" i="2"/>
  <c r="W9" i="2"/>
  <c r="BZ8" i="2"/>
  <c r="BH8" i="2"/>
  <c r="AI8" i="2"/>
  <c r="N8" i="2"/>
  <c r="CQ7" i="2"/>
  <c r="BP7" i="2"/>
  <c r="AX7" i="2"/>
  <c r="Y7" i="2"/>
  <c r="D7" i="2"/>
  <c r="CJ6" i="2"/>
  <c r="BJ6" i="2"/>
  <c r="AJ6" i="2"/>
  <c r="X6" i="2"/>
  <c r="H6" i="2"/>
  <c r="CN5" i="2"/>
  <c r="BP5" i="2"/>
  <c r="AX5" i="2"/>
  <c r="AB5" i="2"/>
  <c r="L5" i="2"/>
  <c r="AD112" i="2"/>
  <c r="U50" i="2"/>
  <c r="AR10" i="2"/>
  <c r="AK7" i="2"/>
  <c r="AK5" i="2"/>
  <c r="AC210" i="2"/>
  <c r="U194" i="2"/>
  <c r="AR178" i="2"/>
  <c r="BK162" i="2"/>
  <c r="BH146" i="2"/>
  <c r="BW133" i="2"/>
  <c r="AA124" i="2"/>
  <c r="CE118" i="2"/>
  <c r="BB115" i="2"/>
  <c r="BN112" i="2"/>
  <c r="AX110" i="2"/>
  <c r="H108" i="2"/>
  <c r="BR104" i="2"/>
  <c r="AZ101" i="2"/>
  <c r="Z98" i="2"/>
  <c r="C95" i="2"/>
  <c r="BK91" i="2"/>
  <c r="BF88" i="2"/>
  <c r="AI85" i="2"/>
  <c r="BF82" i="2"/>
  <c r="AX79" i="2"/>
  <c r="AJ76" i="2"/>
  <c r="BJ73" i="2"/>
  <c r="AI70" i="2"/>
  <c r="H67" i="2"/>
  <c r="BP63" i="2"/>
  <c r="AR60" i="2"/>
  <c r="AF57" i="2"/>
  <c r="D54" i="2"/>
  <c r="BJ50" i="2"/>
  <c r="AI47" i="2"/>
  <c r="H44" i="2"/>
  <c r="BR40" i="2"/>
  <c r="AY37" i="2"/>
  <c r="AF34" i="2"/>
  <c r="N31" i="2"/>
  <c r="AF28" i="2"/>
  <c r="F25" i="2"/>
  <c r="BP21" i="2"/>
  <c r="AX18" i="2"/>
  <c r="BZ15" i="2"/>
  <c r="BW12" i="2"/>
  <c r="AZ10" i="2"/>
  <c r="N10" i="2"/>
  <c r="BQ9" i="2"/>
  <c r="AK9" i="2"/>
  <c r="V9" i="2"/>
  <c r="BX8" i="2"/>
  <c r="BF8" i="2"/>
  <c r="AH8" i="2"/>
  <c r="J8" i="2"/>
  <c r="CP7" i="2"/>
  <c r="BN7" i="2"/>
  <c r="AR7" i="2"/>
  <c r="X7" i="2"/>
  <c r="C7" i="2"/>
  <c r="BZ6" i="2"/>
  <c r="BH6" i="2"/>
  <c r="AI6" i="2"/>
  <c r="W6" i="2"/>
  <c r="G6" i="2"/>
  <c r="CM5" i="2"/>
  <c r="BN5" i="2"/>
  <c r="AR5" i="2"/>
  <c r="AA5" i="2"/>
  <c r="K5" i="2"/>
  <c r="AB118" i="2"/>
  <c r="BV8" i="2"/>
  <c r="BX208" i="2"/>
  <c r="BY192" i="2"/>
  <c r="W177" i="2"/>
  <c r="AE161" i="2"/>
  <c r="AE145" i="2"/>
  <c r="D133" i="2"/>
  <c r="BD123" i="2"/>
  <c r="BE118" i="2"/>
  <c r="AD115" i="2"/>
  <c r="AZ112" i="2"/>
  <c r="AG110" i="2"/>
  <c r="BR107" i="2"/>
  <c r="AZ104" i="2"/>
  <c r="AA101" i="2"/>
  <c r="C98" i="2"/>
  <c r="BK94" i="2"/>
  <c r="AK91" i="2"/>
  <c r="AH88" i="2"/>
  <c r="N85" i="2"/>
  <c r="AH82" i="2"/>
  <c r="Y79" i="2"/>
  <c r="U76" i="2"/>
  <c r="AJ73" i="2"/>
  <c r="N70" i="2"/>
  <c r="BR66" i="2"/>
  <c r="AX63" i="2"/>
  <c r="X60" i="2"/>
  <c r="F57" i="2"/>
  <c r="BL53" i="2"/>
  <c r="AJ50" i="2"/>
  <c r="N47" i="2"/>
  <c r="BR43" i="2"/>
  <c r="AZ40" i="2"/>
  <c r="Z37" i="2"/>
  <c r="G34" i="2"/>
  <c r="CP30" i="2"/>
  <c r="F28" i="2"/>
  <c r="BP24" i="2"/>
  <c r="AX21" i="2"/>
  <c r="Y18" i="2"/>
  <c r="BH15" i="2"/>
  <c r="BE12" i="2"/>
  <c r="AY10" i="2"/>
  <c r="J10" i="2"/>
  <c r="BN9" i="2"/>
  <c r="AJ9" i="2"/>
  <c r="U9" i="2"/>
  <c r="BW8" i="2"/>
  <c r="BE8" i="2"/>
  <c r="AG8" i="2"/>
  <c r="I8" i="2"/>
  <c r="CO7" i="2"/>
  <c r="BL7" i="2"/>
  <c r="AL7" i="2"/>
  <c r="W7" i="2"/>
  <c r="B7" i="2"/>
  <c r="BX6" i="2"/>
  <c r="BF6" i="2"/>
  <c r="AH6" i="2"/>
  <c r="V6" i="2"/>
  <c r="F6" i="2"/>
  <c r="CL5" i="2"/>
  <c r="BL5" i="2"/>
  <c r="AL5" i="2"/>
  <c r="Z5" i="2"/>
  <c r="J5" i="2"/>
  <c r="BE207" i="2"/>
  <c r="AZ107" i="2"/>
  <c r="AA104" i="2"/>
  <c r="D101" i="2"/>
  <c r="BK97" i="2"/>
  <c r="AK94" i="2"/>
  <c r="V91" i="2"/>
  <c r="H88" i="2"/>
  <c r="CP84" i="2"/>
  <c r="J82" i="2"/>
  <c r="BZ75" i="2"/>
  <c r="U73" i="2"/>
  <c r="AZ66" i="2"/>
  <c r="B60" i="2"/>
  <c r="AL53" i="2"/>
  <c r="AA40" i="2"/>
  <c r="BQ33" i="2"/>
  <c r="Y21" i="2"/>
  <c r="BL9" i="2"/>
  <c r="BD8" i="2"/>
  <c r="CN7" i="2"/>
  <c r="CS6" i="2"/>
  <c r="CK5" i="2"/>
  <c r="Y5" i="2"/>
  <c r="Z206" i="2"/>
  <c r="W190" i="2"/>
  <c r="BF174" i="2"/>
  <c r="BA158" i="2"/>
  <c r="BD142" i="2"/>
  <c r="Y131" i="2"/>
  <c r="AA122" i="2"/>
  <c r="C118" i="2"/>
  <c r="BP114" i="2"/>
  <c r="L112" i="2"/>
  <c r="D110" i="2"/>
  <c r="AA107" i="2"/>
  <c r="D104" i="2"/>
  <c r="BL100" i="2"/>
  <c r="AK97" i="2"/>
  <c r="V94" i="2"/>
  <c r="CF90" i="2"/>
  <c r="BR87" i="2"/>
  <c r="BQ84" i="2"/>
  <c r="BV81" i="2"/>
  <c r="BJ78" i="2"/>
  <c r="BH75" i="2"/>
  <c r="BW72" i="2"/>
  <c r="AZ69" i="2"/>
  <c r="AA66" i="2"/>
  <c r="B63" i="2"/>
  <c r="BJ59" i="2"/>
  <c r="AX56" i="2"/>
  <c r="W53" i="2"/>
  <c r="BV49" i="2"/>
  <c r="BB46" i="2"/>
  <c r="AA43" i="2"/>
  <c r="C40" i="2"/>
  <c r="BL36" i="2"/>
  <c r="AY33" i="2"/>
  <c r="AZ30" i="2"/>
  <c r="AX27" i="2"/>
  <c r="Y24" i="2"/>
  <c r="B21" i="2"/>
  <c r="BJ17" i="2"/>
  <c r="W15" i="2"/>
  <c r="F12" i="2"/>
  <c r="AL10" i="2"/>
  <c r="G10" i="2"/>
  <c r="BK9" i="2"/>
  <c r="AH9" i="2"/>
  <c r="J9" i="2"/>
  <c r="BT8" i="2"/>
  <c r="BB8" i="2"/>
  <c r="AB8" i="2"/>
  <c r="G8" i="2"/>
  <c r="CM7" i="2"/>
  <c r="BJ7" i="2"/>
  <c r="AJ7" i="2"/>
  <c r="U7" i="2"/>
  <c r="CR6" i="2"/>
  <c r="BV6" i="2"/>
  <c r="BD6" i="2"/>
  <c r="AF6" i="2"/>
  <c r="T6" i="2"/>
  <c r="D6" i="2"/>
  <c r="CJ5" i="2"/>
  <c r="BJ5" i="2"/>
  <c r="AJ5" i="2"/>
  <c r="X5" i="2"/>
  <c r="H5" i="2"/>
  <c r="BY175" i="2"/>
  <c r="AG12" i="2"/>
  <c r="BW204" i="2"/>
  <c r="BP188" i="2"/>
  <c r="AF173" i="2"/>
  <c r="W157" i="2"/>
  <c r="Y141" i="2"/>
  <c r="AD130" i="2"/>
  <c r="BL121" i="2"/>
  <c r="BP117" i="2"/>
  <c r="AY114" i="2"/>
  <c r="CR111" i="2"/>
  <c r="CJ109" i="2"/>
  <c r="D107" i="2"/>
  <c r="BL103" i="2"/>
  <c r="AL100" i="2"/>
  <c r="V97" i="2"/>
  <c r="BW93" i="2"/>
  <c r="BN90" i="2"/>
  <c r="AZ87" i="2"/>
  <c r="AY84" i="2"/>
  <c r="BD81" i="2"/>
  <c r="AJ78" i="2"/>
  <c r="AI75" i="2"/>
  <c r="BE72" i="2"/>
  <c r="AA69" i="2"/>
  <c r="D66" i="2"/>
  <c r="BJ62" i="2"/>
  <c r="AJ59" i="2"/>
  <c r="Y56" i="2"/>
  <c r="BW52" i="2"/>
  <c r="BD49" i="2"/>
  <c r="AB46" i="2"/>
  <c r="D43" i="2"/>
  <c r="BK39" i="2"/>
  <c r="AL36" i="2"/>
  <c r="Z33" i="2"/>
  <c r="AD30" i="2"/>
  <c r="Y27" i="2"/>
  <c r="B24" i="2"/>
  <c r="BJ20" i="2"/>
  <c r="AJ17" i="2"/>
  <c r="G15" i="2"/>
  <c r="BP11" i="2"/>
  <c r="AI10" i="2"/>
  <c r="E10" i="2"/>
  <c r="BJ9" i="2"/>
  <c r="AG9" i="2"/>
  <c r="H9" i="2"/>
  <c r="BR8" i="2"/>
  <c r="AZ8" i="2"/>
  <c r="AA8" i="2"/>
  <c r="F8" i="2"/>
  <c r="BZ7" i="2"/>
  <c r="BH7" i="2"/>
  <c r="AI7" i="2"/>
  <c r="N7" i="2"/>
  <c r="CQ6" i="2"/>
  <c r="BT6" i="2"/>
  <c r="BB6" i="2"/>
  <c r="AE6" i="2"/>
  <c r="P6" i="2"/>
  <c r="C6" i="2"/>
  <c r="BZ5" i="2"/>
  <c r="BH5" i="2"/>
  <c r="AI5" i="2"/>
  <c r="W5" i="2"/>
  <c r="G5" i="2"/>
  <c r="BY159" i="2"/>
  <c r="AI15" i="2"/>
  <c r="U6" i="2"/>
  <c r="AY203" i="2"/>
  <c r="AY187" i="2"/>
  <c r="E172" i="2"/>
  <c r="BP155" i="2"/>
  <c r="AC140" i="2"/>
  <c r="AR129" i="2"/>
  <c r="Z121" i="2"/>
  <c r="AJ117" i="2"/>
  <c r="Z114" i="2"/>
  <c r="BS111" i="2"/>
  <c r="BM109" i="2"/>
  <c r="BL106" i="2"/>
  <c r="AL103" i="2"/>
  <c r="W100" i="2"/>
  <c r="BW96" i="2"/>
  <c r="BE93" i="2"/>
  <c r="AR90" i="2"/>
  <c r="AA87" i="2"/>
  <c r="Z84" i="2"/>
  <c r="AF81" i="2"/>
  <c r="U78" i="2"/>
  <c r="N75" i="2"/>
  <c r="AG72" i="2"/>
  <c r="D69" i="2"/>
  <c r="BL65" i="2"/>
  <c r="AJ62" i="2"/>
  <c r="U59" i="2"/>
  <c r="BZ55" i="2"/>
  <c r="BE52" i="2"/>
  <c r="AF49" i="2"/>
  <c r="E46" i="2"/>
  <c r="BL42" i="2"/>
  <c r="AK39" i="2"/>
  <c r="W36" i="2"/>
  <c r="D33" i="2"/>
  <c r="O30" i="2"/>
  <c r="B27" i="2"/>
  <c r="BJ23" i="2"/>
  <c r="AJ20" i="2"/>
  <c r="U17" i="2"/>
  <c r="BQ14" i="2"/>
  <c r="AX11" i="2"/>
  <c r="AH10" i="2"/>
  <c r="D10" i="2"/>
  <c r="BH9" i="2"/>
  <c r="AF9" i="2"/>
  <c r="G9" i="2"/>
  <c r="BQ8" i="2"/>
  <c r="AY8" i="2"/>
  <c r="Z8" i="2"/>
  <c r="E8" i="2"/>
  <c r="BX7" i="2"/>
  <c r="BF7" i="2"/>
  <c r="AH7" i="2"/>
  <c r="J7" i="2"/>
  <c r="CP6" i="2"/>
  <c r="BR6" i="2"/>
  <c r="AZ6" i="2"/>
  <c r="AD6" i="2"/>
  <c r="O6" i="2"/>
  <c r="B6" i="2"/>
  <c r="BX5" i="2"/>
  <c r="BF5" i="2"/>
  <c r="AH5" i="2"/>
  <c r="V5" i="2"/>
  <c r="F5" i="2"/>
  <c r="BY122" i="2"/>
  <c r="BR30" i="2"/>
  <c r="H8" i="2"/>
  <c r="BK5" i="2"/>
  <c r="P14" i="17" l="1"/>
  <c r="P16" i="17"/>
  <c r="P27" i="17"/>
  <c r="P30" i="17"/>
  <c r="P31" i="17"/>
  <c r="P33" i="17"/>
  <c r="P34" i="17"/>
  <c r="P35" i="17"/>
  <c r="P37" i="17"/>
  <c r="P38" i="17"/>
  <c r="P39" i="17"/>
  <c r="P41" i="17"/>
  <c r="P42" i="17"/>
  <c r="P90" i="17"/>
  <c r="P96" i="17"/>
  <c r="P107" i="17"/>
  <c r="P114" i="17"/>
  <c r="P138" i="17"/>
  <c r="P145" i="17"/>
  <c r="P173" i="17"/>
  <c r="P175" i="17"/>
  <c r="P179" i="17"/>
  <c r="P193" i="17"/>
  <c r="P204" i="17"/>
  <c r="P229" i="17"/>
  <c r="P232" i="17"/>
  <c r="P235" i="17"/>
  <c r="P239" i="17"/>
  <c r="P243" i="17"/>
  <c r="P269" i="17"/>
  <c r="P277" i="17"/>
  <c r="P324" i="17"/>
  <c r="P344" i="17"/>
  <c r="P348" i="17"/>
  <c r="P352" i="17"/>
  <c r="P356" i="17"/>
  <c r="P360" i="17"/>
  <c r="P364" i="17"/>
  <c r="P368" i="17"/>
  <c r="P372" i="17"/>
  <c r="P376" i="17"/>
  <c r="P380" i="17"/>
  <c r="P384" i="17"/>
  <c r="P388" i="17"/>
  <c r="P394" i="17"/>
  <c r="P395" i="17"/>
  <c r="P412" i="17"/>
  <c r="P413" i="17"/>
  <c r="P15" i="17"/>
  <c r="P20" i="17"/>
  <c r="P49" i="17"/>
  <c r="P69" i="17"/>
  <c r="P70" i="17"/>
  <c r="P71" i="17"/>
  <c r="P72" i="17"/>
  <c r="P77" i="17"/>
  <c r="P78" i="17"/>
  <c r="P89" i="17"/>
  <c r="P101" i="17"/>
  <c r="P115" i="17"/>
  <c r="P128" i="17"/>
  <c r="P131" i="17"/>
  <c r="P135" i="17"/>
  <c r="P146" i="17"/>
  <c r="P164" i="17"/>
  <c r="P176" i="17"/>
  <c r="P188" i="17"/>
  <c r="P191" i="17"/>
  <c r="P198" i="17"/>
  <c r="P208" i="17"/>
  <c r="P212" i="17"/>
  <c r="P216" i="17"/>
  <c r="P219" i="17"/>
  <c r="P226" i="17"/>
  <c r="P245" i="17"/>
  <c r="P249" i="17"/>
  <c r="P252" i="17"/>
  <c r="P263" i="17"/>
  <c r="P306" i="17"/>
  <c r="P312" i="17"/>
  <c r="P328" i="17"/>
  <c r="P340" i="17"/>
  <c r="P341" i="17"/>
  <c r="P396" i="17"/>
  <c r="P400" i="17"/>
  <c r="P417" i="17"/>
  <c r="P451" i="17"/>
  <c r="P19" i="17"/>
  <c r="P24" i="17"/>
  <c r="P47" i="17"/>
  <c r="P48" i="17"/>
  <c r="P53" i="17"/>
  <c r="P57" i="17"/>
  <c r="P58" i="17"/>
  <c r="P60" i="17"/>
  <c r="P62" i="17"/>
  <c r="P68" i="17"/>
  <c r="P75" i="17"/>
  <c r="P92" i="17"/>
  <c r="P98" i="17"/>
  <c r="P118" i="17"/>
  <c r="P136" i="17"/>
  <c r="P156" i="17"/>
  <c r="P165" i="17"/>
  <c r="P171" i="17"/>
  <c r="P202" i="17"/>
  <c r="P217" i="17"/>
  <c r="P224" i="17"/>
  <c r="P227" i="17"/>
  <c r="P260" i="17"/>
  <c r="P292" i="17"/>
  <c r="P295" i="17"/>
  <c r="P296" i="17"/>
  <c r="P300" i="17"/>
  <c r="P302" i="17"/>
  <c r="P326" i="17"/>
  <c r="P418" i="17"/>
  <c r="P421" i="17"/>
  <c r="P435" i="17"/>
  <c r="P445" i="17"/>
  <c r="R459" i="17"/>
  <c r="P462" i="17"/>
  <c r="P463" i="17"/>
  <c r="P262" i="17"/>
  <c r="P265" i="17"/>
  <c r="P270" i="17"/>
  <c r="P272" i="17"/>
  <c r="P276" i="17"/>
  <c r="P289" i="17"/>
  <c r="P291" i="17"/>
  <c r="P294" i="17"/>
  <c r="P313" i="17"/>
  <c r="P318" i="17"/>
  <c r="P327" i="17"/>
  <c r="P333" i="17"/>
  <c r="P335" i="17"/>
  <c r="P338" i="17"/>
  <c r="P345" i="17"/>
  <c r="P349" i="17"/>
  <c r="P353" i="17"/>
  <c r="P357" i="17"/>
  <c r="P361" i="17"/>
  <c r="P365" i="17"/>
  <c r="P369" i="17"/>
  <c r="P373" i="17"/>
  <c r="P377" i="17"/>
  <c r="P381" i="17"/>
  <c r="P385" i="17"/>
  <c r="P389" i="17"/>
  <c r="P398" i="17"/>
  <c r="P399" i="17"/>
  <c r="P404" i="17"/>
  <c r="P405" i="17"/>
  <c r="P423" i="17"/>
  <c r="P430" i="17"/>
  <c r="P434" i="17"/>
  <c r="P440" i="17"/>
  <c r="P446" i="17"/>
  <c r="P447" i="17"/>
  <c r="P74" i="17"/>
  <c r="P76" i="17"/>
  <c r="P105" i="17"/>
  <c r="P112" i="17"/>
  <c r="P116" i="17"/>
  <c r="P120" i="17"/>
  <c r="P124" i="17"/>
  <c r="P130" i="17"/>
  <c r="P144" i="17"/>
  <c r="P153" i="17"/>
  <c r="P161" i="17"/>
  <c r="P167" i="17"/>
  <c r="P181" i="17"/>
  <c r="P185" i="17"/>
  <c r="P201" i="17"/>
  <c r="P215" i="17"/>
  <c r="P222" i="17"/>
  <c r="P234" i="17"/>
  <c r="P238" i="17"/>
  <c r="P242" i="17"/>
  <c r="P247" i="17"/>
  <c r="P250" i="17"/>
  <c r="P258" i="17"/>
  <c r="P259" i="17"/>
  <c r="P266" i="17"/>
  <c r="P275" i="17"/>
  <c r="P282" i="17"/>
  <c r="P288" i="17"/>
  <c r="P297" i="17"/>
  <c r="P310" i="17"/>
  <c r="P311" i="17"/>
  <c r="P321" i="17"/>
  <c r="P325" i="17"/>
  <c r="P332" i="17"/>
  <c r="P336" i="17"/>
  <c r="P346" i="17"/>
  <c r="P350" i="17"/>
  <c r="P354" i="17"/>
  <c r="P358" i="17"/>
  <c r="P362" i="17"/>
  <c r="P366" i="17"/>
  <c r="P370" i="17"/>
  <c r="P374" i="17"/>
  <c r="P378" i="17"/>
  <c r="P382" i="17"/>
  <c r="P386" i="17"/>
  <c r="P408" i="17"/>
  <c r="P410" i="17"/>
  <c r="P414" i="17"/>
  <c r="P415" i="17"/>
  <c r="P420" i="17"/>
  <c r="P424" i="17"/>
  <c r="P427" i="17"/>
  <c r="P428" i="17"/>
  <c r="P437" i="17"/>
  <c r="P438" i="17"/>
  <c r="P441" i="17"/>
  <c r="P444" i="17"/>
  <c r="P453" i="17"/>
  <c r="P457" i="17"/>
  <c r="BU3" i="2"/>
  <c r="Z110" i="12"/>
  <c r="Z119" i="12"/>
  <c r="Z248" i="12"/>
  <c r="Z122" i="12"/>
  <c r="Z318" i="12"/>
  <c r="Z241" i="12"/>
  <c r="Z91" i="12"/>
  <c r="Z131" i="12"/>
  <c r="Z120" i="12"/>
  <c r="Z111" i="12"/>
  <c r="Z189" i="12"/>
  <c r="Z194" i="12"/>
  <c r="Z207" i="12"/>
  <c r="Z121" i="12"/>
  <c r="Z199" i="12"/>
  <c r="Z260" i="12"/>
  <c r="Z217" i="12"/>
  <c r="Z236" i="12"/>
  <c r="Z250" i="12"/>
  <c r="Z315" i="12"/>
  <c r="Z188" i="12"/>
  <c r="Z196" i="12"/>
  <c r="Z245" i="12"/>
  <c r="Z228" i="12"/>
  <c r="Z203" i="12"/>
  <c r="Z216" i="12"/>
  <c r="Z219" i="12"/>
  <c r="Z247" i="12"/>
  <c r="Z288" i="12"/>
  <c r="Z187" i="12"/>
  <c r="Z195" i="12"/>
  <c r="Z112" i="12"/>
  <c r="Z227" i="12"/>
  <c r="Z231" i="12"/>
  <c r="Z239" i="12"/>
  <c r="Z244" i="12"/>
  <c r="Z256" i="12"/>
  <c r="Z273" i="12"/>
  <c r="Z118" i="12"/>
  <c r="Z215" i="12"/>
  <c r="Z218" i="12"/>
  <c r="Z321" i="12"/>
  <c r="Z266" i="12"/>
  <c r="Z274" i="12"/>
  <c r="Z286" i="12"/>
  <c r="Z306" i="12"/>
  <c r="Z343" i="12"/>
  <c r="Z268" i="12"/>
  <c r="Z271" i="12"/>
  <c r="Z324" i="12"/>
  <c r="Z328" i="12"/>
  <c r="Z332" i="12"/>
  <c r="Z335" i="12"/>
  <c r="Z338" i="12"/>
  <c r="Z341" i="12"/>
  <c r="Z344" i="12"/>
  <c r="Z285" i="12"/>
  <c r="Z305" i="12"/>
  <c r="Z314" i="12"/>
  <c r="Z320" i="12"/>
  <c r="Z327" i="12"/>
  <c r="Z331" i="12"/>
  <c r="Z334" i="12"/>
  <c r="Z386" i="12"/>
  <c r="Z264" i="12"/>
  <c r="Z270" i="12"/>
  <c r="Z293" i="12"/>
  <c r="Z312" i="12"/>
  <c r="Z323" i="12"/>
  <c r="Z267" i="12"/>
  <c r="Z290" i="12"/>
  <c r="Z307" i="12"/>
  <c r="Z337" i="12"/>
  <c r="Z243" i="12"/>
  <c r="Z255" i="12"/>
  <c r="Z316" i="12"/>
  <c r="Z326" i="12"/>
  <c r="Z330" i="12"/>
  <c r="Z340" i="12"/>
  <c r="Z342" i="12"/>
  <c r="Z405" i="12"/>
  <c r="Z412" i="12"/>
  <c r="Z423" i="12"/>
  <c r="Z249" i="12"/>
  <c r="Z258" i="12"/>
  <c r="Z295" i="12"/>
  <c r="Z319" i="12"/>
  <c r="Z333" i="12"/>
  <c r="Z345" i="12"/>
  <c r="Z269" i="12"/>
  <c r="Z304" i="12"/>
  <c r="Z322" i="12"/>
  <c r="Z242" i="12"/>
  <c r="Z289" i="12"/>
  <c r="Z292" i="12"/>
  <c r="Z297" i="12"/>
  <c r="Z313" i="12"/>
  <c r="Z325" i="12"/>
  <c r="Z329" i="12"/>
  <c r="Z336" i="12"/>
  <c r="Z339" i="12"/>
  <c r="Z402" i="12"/>
  <c r="Z414" i="12"/>
  <c r="Z421" i="12"/>
  <c r="Z447" i="12"/>
  <c r="Z458" i="12"/>
  <c r="Z407" i="12"/>
  <c r="Z409" i="12"/>
  <c r="Z431" i="12"/>
  <c r="Z456" i="12"/>
  <c r="Z461" i="12"/>
  <c r="Z346" i="12"/>
  <c r="Z416" i="12"/>
  <c r="Z426" i="12"/>
  <c r="Z428" i="12"/>
  <c r="Z404" i="12"/>
  <c r="Z438" i="12"/>
  <c r="Z420" i="12"/>
  <c r="Z422" i="12"/>
  <c r="Z406" i="12"/>
  <c r="Z413" i="12"/>
  <c r="Z436" i="12"/>
  <c r="Z442" i="12"/>
  <c r="Z462" i="12"/>
  <c r="Z383" i="12"/>
  <c r="Z424" i="12"/>
  <c r="Z429" i="12"/>
  <c r="Z403" i="12"/>
  <c r="Z415" i="12"/>
  <c r="Z448" i="12"/>
  <c r="Z410" i="12"/>
  <c r="Z451" i="12"/>
  <c r="Z457" i="12"/>
  <c r="Z390" i="12"/>
  <c r="Z417" i="12"/>
  <c r="Z419" i="12"/>
  <c r="Z443" i="12"/>
  <c r="Z466" i="12"/>
  <c r="Q83" i="16"/>
  <c r="Q30" i="16"/>
  <c r="Q79" i="16"/>
  <c r="K477" i="14"/>
  <c r="Q40" i="16"/>
  <c r="Q45" i="16"/>
  <c r="Q50" i="16"/>
  <c r="Q55" i="16"/>
  <c r="Q60" i="16"/>
  <c r="Q65" i="16"/>
  <c r="Q89" i="16"/>
  <c r="K465" i="14"/>
  <c r="K471" i="14"/>
  <c r="Q80" i="16"/>
  <c r="Q85" i="16"/>
  <c r="Q97" i="16"/>
  <c r="Q98" i="16"/>
  <c r="Q57" i="16"/>
  <c r="Q86" i="16"/>
  <c r="K473" i="14"/>
  <c r="Q52" i="16"/>
  <c r="Q92" i="16"/>
  <c r="Q77" i="16"/>
  <c r="K466" i="14"/>
  <c r="K478" i="14"/>
  <c r="Q11" i="16"/>
  <c r="Q18" i="16"/>
  <c r="Q24" i="16"/>
  <c r="Q31" i="16"/>
  <c r="Q37" i="16"/>
  <c r="Q42" i="16"/>
  <c r="Q47" i="16"/>
  <c r="Q62" i="16"/>
  <c r="Q67" i="16"/>
  <c r="Q72" i="16"/>
  <c r="Q103" i="16"/>
  <c r="Q106" i="16"/>
  <c r="Q125" i="16"/>
  <c r="K468" i="14"/>
  <c r="Q10" i="16"/>
  <c r="Q17" i="16"/>
  <c r="Q23" i="16"/>
  <c r="Q29" i="16"/>
  <c r="Q36" i="16"/>
  <c r="Q41" i="16"/>
  <c r="Q46" i="16"/>
  <c r="Q56" i="16"/>
  <c r="Q66" i="16"/>
  <c r="Q91" i="16"/>
  <c r="Q102" i="16"/>
  <c r="Q115" i="16"/>
  <c r="Q165" i="16"/>
  <c r="K475" i="14"/>
  <c r="Q15" i="16"/>
  <c r="Q16" i="16"/>
  <c r="Q51" i="16"/>
  <c r="Q61" i="16"/>
  <c r="Q71" i="16"/>
  <c r="Q78" i="16"/>
  <c r="Q84" i="16"/>
  <c r="Q96" i="16"/>
  <c r="Q132" i="16"/>
  <c r="Q187" i="16"/>
  <c r="Q219" i="16"/>
  <c r="K470" i="14"/>
  <c r="Q9" i="16"/>
  <c r="Q14" i="16"/>
  <c r="Q22" i="16"/>
  <c r="Q28" i="16"/>
  <c r="Q35" i="16"/>
  <c r="Q90" i="16"/>
  <c r="Q101" i="16"/>
  <c r="Q107" i="16"/>
  <c r="Q123" i="16"/>
  <c r="Q202" i="16"/>
  <c r="Q95" i="16"/>
  <c r="Q110" i="16"/>
  <c r="Q129" i="16"/>
  <c r="Q166" i="16"/>
  <c r="K472" i="14"/>
  <c r="Q8" i="16"/>
  <c r="Q13" i="16"/>
  <c r="Q21" i="16"/>
  <c r="Q27" i="16"/>
  <c r="Q34" i="16"/>
  <c r="Q70" i="16"/>
  <c r="Q76" i="16"/>
  <c r="Q105" i="16"/>
  <c r="K467" i="14"/>
  <c r="L479" i="14"/>
  <c r="Q39" i="16"/>
  <c r="Q44" i="16"/>
  <c r="Q49" i="16"/>
  <c r="Q54" i="16"/>
  <c r="Q59" i="16"/>
  <c r="Q75" i="16"/>
  <c r="Q82" i="16"/>
  <c r="Q88" i="16"/>
  <c r="Q94" i="16"/>
  <c r="Q100" i="16"/>
  <c r="Q144" i="16"/>
  <c r="K474" i="14"/>
  <c r="Q7" i="16"/>
  <c r="Q20" i="16"/>
  <c r="Q26" i="16"/>
  <c r="Q33" i="16"/>
  <c r="Q64" i="16"/>
  <c r="Q69" i="16"/>
  <c r="Q74" i="16"/>
  <c r="Q127" i="16"/>
  <c r="Q153" i="16"/>
  <c r="Q167" i="16"/>
  <c r="Q382" i="16"/>
  <c r="K469" i="14"/>
  <c r="Q6" i="16"/>
  <c r="Q12" i="16"/>
  <c r="Q43" i="16"/>
  <c r="Q58" i="16"/>
  <c r="Q73" i="16"/>
  <c r="Q81" i="16"/>
  <c r="Q87" i="16"/>
  <c r="Q93" i="16"/>
  <c r="Q99" i="16"/>
  <c r="Q284" i="16"/>
  <c r="K476" i="14"/>
  <c r="Q19" i="16"/>
  <c r="Q25" i="16"/>
  <c r="Q32" i="16"/>
  <c r="Q38" i="16"/>
  <c r="Q48" i="16"/>
  <c r="Q53" i="16"/>
  <c r="Q63" i="16"/>
  <c r="Q68" i="16"/>
  <c r="Q104" i="16"/>
  <c r="Q195" i="16"/>
  <c r="Q241" i="16"/>
  <c r="Q114" i="16"/>
  <c r="Q117" i="16"/>
  <c r="Q138" i="16"/>
  <c r="Q159" i="16"/>
  <c r="Q108" i="16"/>
  <c r="Q126" i="16"/>
  <c r="Q188" i="16"/>
  <c r="Q210" i="16"/>
  <c r="Q231" i="16"/>
  <c r="Q254" i="16"/>
  <c r="Q270" i="16"/>
  <c r="Q403" i="16"/>
  <c r="Q186" i="16"/>
  <c r="Q194" i="16"/>
  <c r="Q201" i="16"/>
  <c r="Q209" i="16"/>
  <c r="Q409" i="16"/>
  <c r="Q131" i="16"/>
  <c r="Q137" i="16"/>
  <c r="Q143" i="16"/>
  <c r="Q150" i="16"/>
  <c r="Q151" i="16"/>
  <c r="Q152" i="16"/>
  <c r="Q158" i="16"/>
  <c r="Q164" i="16"/>
  <c r="Q181" i="16"/>
  <c r="Q182" i="16"/>
  <c r="Q183" i="16"/>
  <c r="Q184" i="16"/>
  <c r="Q185" i="16"/>
  <c r="Q193" i="16"/>
  <c r="Q285" i="16"/>
  <c r="Q311" i="16"/>
  <c r="Q124" i="16"/>
  <c r="Q192" i="16"/>
  <c r="Q200" i="16"/>
  <c r="Q207" i="16"/>
  <c r="Q208" i="16"/>
  <c r="Q113" i="16"/>
  <c r="Q130" i="16"/>
  <c r="Q136" i="16"/>
  <c r="Q142" i="16"/>
  <c r="Q148" i="16"/>
  <c r="Q149" i="16"/>
  <c r="Q157" i="16"/>
  <c r="Q163" i="16"/>
  <c r="Q180" i="16"/>
  <c r="Q220" i="16"/>
  <c r="Q388" i="16"/>
  <c r="Q191" i="16"/>
  <c r="Q199" i="16"/>
  <c r="Q206" i="16"/>
  <c r="Q259" i="16"/>
  <c r="Q277" i="16"/>
  <c r="Q295" i="16"/>
  <c r="Q324" i="16"/>
  <c r="Q112" i="16"/>
  <c r="Q135" i="16"/>
  <c r="Q141" i="16"/>
  <c r="Q147" i="16"/>
  <c r="Q156" i="16"/>
  <c r="Q162" i="16"/>
  <c r="Q173" i="16"/>
  <c r="Q174" i="16"/>
  <c r="Q175" i="16"/>
  <c r="Q176" i="16"/>
  <c r="Q177" i="16"/>
  <c r="Q178" i="16"/>
  <c r="Q179" i="16"/>
  <c r="Q205" i="16"/>
  <c r="Q256" i="16"/>
  <c r="Q304" i="16"/>
  <c r="Q119" i="16"/>
  <c r="Q121" i="16"/>
  <c r="Q122" i="16"/>
  <c r="Q128" i="16"/>
  <c r="Q190" i="16"/>
  <c r="Q198" i="16"/>
  <c r="Q212" i="16"/>
  <c r="Q273" i="16"/>
  <c r="Q111" i="16"/>
  <c r="Q118" i="16"/>
  <c r="Q120" i="16"/>
  <c r="Q134" i="16"/>
  <c r="Q140" i="16"/>
  <c r="Q146" i="16"/>
  <c r="Q155" i="16"/>
  <c r="Q161" i="16"/>
  <c r="Q170" i="16"/>
  <c r="Q171" i="16"/>
  <c r="Q172" i="16"/>
  <c r="Q197" i="16"/>
  <c r="Q204" i="16"/>
  <c r="Q189" i="16"/>
  <c r="Q211" i="16"/>
  <c r="Q221" i="16"/>
  <c r="Q227" i="16"/>
  <c r="Q240" i="16"/>
  <c r="Q250" i="16"/>
  <c r="Q269" i="16"/>
  <c r="Q109" i="16"/>
  <c r="Q116" i="16"/>
  <c r="Q133" i="16"/>
  <c r="Q139" i="16"/>
  <c r="Q145" i="16"/>
  <c r="Q154" i="16"/>
  <c r="Q160" i="16"/>
  <c r="Q168" i="16"/>
  <c r="Q169" i="16"/>
  <c r="Q196" i="16"/>
  <c r="Q203" i="16"/>
  <c r="Q215" i="16"/>
  <c r="Q247" i="16"/>
  <c r="Q279" i="16"/>
  <c r="Q288" i="16"/>
  <c r="Q228" i="16"/>
  <c r="Q229" i="16"/>
  <c r="Q242" i="16"/>
  <c r="Q251" i="16"/>
  <c r="Q260" i="16"/>
  <c r="Q296" i="16"/>
  <c r="Q321" i="16"/>
  <c r="Q360" i="16"/>
  <c r="Q378" i="16"/>
  <c r="Q385" i="16"/>
  <c r="Q411" i="16"/>
  <c r="Q432" i="16"/>
  <c r="Q218" i="16"/>
  <c r="Q222" i="16"/>
  <c r="Q226" i="16"/>
  <c r="Q238" i="16"/>
  <c r="Q239" i="16"/>
  <c r="Q258" i="16"/>
  <c r="Q268" i="16"/>
  <c r="Q276" i="16"/>
  <c r="Q283" i="16"/>
  <c r="Q294" i="16"/>
  <c r="Q303" i="16"/>
  <c r="Q306" i="16"/>
  <c r="Q319" i="16"/>
  <c r="Q327" i="16"/>
  <c r="Q357" i="16"/>
  <c r="Q375" i="16"/>
  <c r="Q390" i="16"/>
  <c r="Q217" i="16"/>
  <c r="Q223" i="16"/>
  <c r="Q225" i="16"/>
  <c r="Q235" i="16"/>
  <c r="Q236" i="16"/>
  <c r="Q237" i="16"/>
  <c r="Q249" i="16"/>
  <c r="Q267" i="16"/>
  <c r="Q293" i="16"/>
  <c r="Q301" i="16"/>
  <c r="Q302" i="16"/>
  <c r="Q322" i="16"/>
  <c r="Q354" i="16"/>
  <c r="Q372" i="16"/>
  <c r="Q443" i="16"/>
  <c r="Q216" i="16"/>
  <c r="Q224" i="16"/>
  <c r="Q233" i="16"/>
  <c r="Q234" i="16"/>
  <c r="Q248" i="16"/>
  <c r="Q257" i="16"/>
  <c r="Q266" i="16"/>
  <c r="Q275" i="16"/>
  <c r="Q281" i="16"/>
  <c r="Q282" i="16"/>
  <c r="Q383" i="16"/>
  <c r="Q444" i="16"/>
  <c r="Q265" i="16"/>
  <c r="Q292" i="16"/>
  <c r="Q300" i="16"/>
  <c r="Q214" i="16"/>
  <c r="Q232" i="16"/>
  <c r="Q246" i="16"/>
  <c r="Q263" i="16"/>
  <c r="Q264" i="16"/>
  <c r="Q274" i="16"/>
  <c r="Q280" i="16"/>
  <c r="Q291" i="16"/>
  <c r="Q307" i="16"/>
  <c r="Q333" i="16"/>
  <c r="Q351" i="16"/>
  <c r="Q369" i="16"/>
  <c r="Q421" i="16"/>
  <c r="Q213" i="16"/>
  <c r="Q245" i="16"/>
  <c r="Q255" i="16"/>
  <c r="Q262" i="16"/>
  <c r="Q289" i="16"/>
  <c r="Q290" i="16"/>
  <c r="Q299" i="16"/>
  <c r="Q336" i="16"/>
  <c r="Q348" i="16"/>
  <c r="Q366" i="16"/>
  <c r="Q422" i="16"/>
  <c r="Q446" i="16"/>
  <c r="Q244" i="16"/>
  <c r="Q252" i="16"/>
  <c r="Q253" i="16"/>
  <c r="Q261" i="16"/>
  <c r="Q272" i="16"/>
  <c r="Q287" i="16"/>
  <c r="Q297" i="16"/>
  <c r="Q298" i="16"/>
  <c r="Q331" i="16"/>
  <c r="Q339" i="16"/>
  <c r="Q430" i="16"/>
  <c r="Q439" i="16"/>
  <c r="Q230" i="16"/>
  <c r="Q243" i="16"/>
  <c r="Q271" i="16"/>
  <c r="Q278" i="16"/>
  <c r="Q286" i="16"/>
  <c r="Q334" i="16"/>
  <c r="Q345" i="16"/>
  <c r="Q363" i="16"/>
  <c r="Q381" i="16"/>
  <c r="Q393" i="16"/>
  <c r="Q398" i="16"/>
  <c r="Q423" i="16"/>
  <c r="Q460" i="16"/>
  <c r="Q320" i="16"/>
  <c r="Q332" i="16"/>
  <c r="Q344" i="16"/>
  <c r="Q410" i="16"/>
  <c r="Q445" i="16"/>
  <c r="Q343" i="16"/>
  <c r="Q350" i="16"/>
  <c r="Q356" i="16"/>
  <c r="Q362" i="16"/>
  <c r="Q368" i="16"/>
  <c r="Q374" i="16"/>
  <c r="Q380" i="16"/>
  <c r="Q400" i="16"/>
  <c r="Q431" i="16"/>
  <c r="Q305" i="16"/>
  <c r="Q318" i="16"/>
  <c r="Q330" i="16"/>
  <c r="Q342" i="16"/>
  <c r="Q395" i="16"/>
  <c r="Q419" i="16"/>
  <c r="Q437" i="16"/>
  <c r="Q458" i="16"/>
  <c r="Q315" i="16"/>
  <c r="Q317" i="16"/>
  <c r="Q329" i="16"/>
  <c r="Q341" i="16"/>
  <c r="Q349" i="16"/>
  <c r="Q355" i="16"/>
  <c r="Q361" i="16"/>
  <c r="Q367" i="16"/>
  <c r="Q373" i="16"/>
  <c r="Q379" i="16"/>
  <c r="Q386" i="16"/>
  <c r="Q389" i="16"/>
  <c r="Q392" i="16"/>
  <c r="Q417" i="16"/>
  <c r="Q461" i="16"/>
  <c r="Q314" i="16"/>
  <c r="Q316" i="16"/>
  <c r="Q328" i="16"/>
  <c r="Q340" i="16"/>
  <c r="Q397" i="16"/>
  <c r="Q451" i="16"/>
  <c r="Q313" i="16"/>
  <c r="Q326" i="16"/>
  <c r="Q338" i="16"/>
  <c r="Q384" i="16"/>
  <c r="Q399" i="16"/>
  <c r="Q312" i="16"/>
  <c r="Q325" i="16"/>
  <c r="Q337" i="16"/>
  <c r="Q347" i="16"/>
  <c r="Q353" i="16"/>
  <c r="Q359" i="16"/>
  <c r="Q365" i="16"/>
  <c r="Q371" i="16"/>
  <c r="Q377" i="16"/>
  <c r="Q391" i="16"/>
  <c r="Q394" i="16"/>
  <c r="Q401" i="16"/>
  <c r="Q420" i="16"/>
  <c r="Q308" i="16"/>
  <c r="Q309" i="16"/>
  <c r="Q310" i="16"/>
  <c r="Q323" i="16"/>
  <c r="Q335" i="16"/>
  <c r="Q346" i="16"/>
  <c r="Q352" i="16"/>
  <c r="Q358" i="16"/>
  <c r="Q364" i="16"/>
  <c r="Q370" i="16"/>
  <c r="Q376" i="16"/>
  <c r="Q396" i="16"/>
  <c r="Q407" i="16"/>
  <c r="Q438" i="16"/>
  <c r="Q459" i="16"/>
  <c r="Q387" i="16"/>
  <c r="Q408" i="16"/>
  <c r="Q418" i="16"/>
  <c r="Q436" i="16"/>
  <c r="Q452" i="16"/>
  <c r="Q406" i="16"/>
  <c r="Q416" i="16"/>
  <c r="Q429" i="16"/>
  <c r="Q435" i="16"/>
  <c r="Q455" i="16"/>
  <c r="Q405" i="16"/>
  <c r="Q415" i="16"/>
  <c r="Q434" i="16"/>
  <c r="Q450" i="16"/>
  <c r="Q457" i="16"/>
  <c r="Q465" i="16"/>
  <c r="Q404" i="16"/>
  <c r="Q414" i="16"/>
  <c r="Q425" i="16"/>
  <c r="Q428" i="16"/>
  <c r="Q441" i="16"/>
  <c r="Q442" i="16"/>
  <c r="Q449" i="16"/>
  <c r="Q464" i="16"/>
  <c r="Q413" i="16"/>
  <c r="Q424" i="16"/>
  <c r="Q426" i="16"/>
  <c r="Q427" i="16"/>
  <c r="Q440" i="16"/>
  <c r="Q462" i="16"/>
  <c r="Q463" i="16"/>
  <c r="Q402" i="16"/>
  <c r="Q412" i="16"/>
  <c r="Q433" i="16"/>
  <c r="Q448" i="16"/>
  <c r="Q456" i="16"/>
  <c r="Q453" i="16"/>
  <c r="Z398" i="12"/>
  <c r="Q447" i="16"/>
  <c r="P448" i="12"/>
  <c r="P450" i="12"/>
  <c r="AD450" i="12" s="1"/>
  <c r="S3" i="2"/>
  <c r="P32" i="12"/>
  <c r="AD32" i="12" s="1"/>
  <c r="Z172" i="12"/>
  <c r="Z209" i="12"/>
  <c r="BI3" i="2"/>
  <c r="P78" i="12"/>
  <c r="AD78" i="12" s="1"/>
  <c r="Y346" i="12"/>
  <c r="Y347" i="12"/>
  <c r="Y422" i="12"/>
  <c r="Y423" i="12"/>
  <c r="Y424" i="12"/>
  <c r="P434" i="12"/>
  <c r="AD434" i="12" s="1"/>
  <c r="Y448" i="12"/>
  <c r="BZ3" i="2"/>
  <c r="AU3" i="2"/>
  <c r="AQ3" i="2"/>
  <c r="P20" i="12"/>
  <c r="AD20" i="12" s="1"/>
  <c r="P22" i="12"/>
  <c r="AD22" i="12" s="1"/>
  <c r="K32" i="12"/>
  <c r="K375" i="12"/>
  <c r="Z17" i="12"/>
  <c r="P33" i="12"/>
  <c r="AD33" i="12" s="1"/>
  <c r="P37" i="12"/>
  <c r="AD37" i="12" s="1"/>
  <c r="Y44" i="12"/>
  <c r="P86" i="12"/>
  <c r="AD86" i="12" s="1"/>
  <c r="P90" i="12"/>
  <c r="AD90" i="12" s="1"/>
  <c r="Z395" i="12"/>
  <c r="Z455" i="12"/>
  <c r="P55" i="12"/>
  <c r="AD55" i="12" s="1"/>
  <c r="P58" i="12"/>
  <c r="AD58" i="12" s="1"/>
  <c r="K216" i="12"/>
  <c r="X3" i="2"/>
  <c r="AF3" i="2"/>
  <c r="AJ3" i="2"/>
  <c r="AX3" i="2"/>
  <c r="BD3" i="2"/>
  <c r="BJ3" i="2"/>
  <c r="BP3" i="2"/>
  <c r="BV3" i="2"/>
  <c r="U3" i="2"/>
  <c r="Y3" i="2"/>
  <c r="AL3" i="2"/>
  <c r="BF3" i="2"/>
  <c r="BR3" i="2"/>
  <c r="AV3" i="2"/>
  <c r="AN3" i="2"/>
  <c r="K343" i="12"/>
  <c r="K374" i="12"/>
  <c r="AM3" i="2"/>
  <c r="K78" i="12"/>
  <c r="K126" i="12"/>
  <c r="Z299" i="12"/>
  <c r="Y336" i="12"/>
  <c r="K359" i="12"/>
  <c r="P75" i="12"/>
  <c r="Y126" i="12"/>
  <c r="Y127" i="12"/>
  <c r="Y256" i="12"/>
  <c r="Y257" i="12"/>
  <c r="Y262" i="12"/>
  <c r="P265" i="12"/>
  <c r="K358" i="12"/>
  <c r="Y372" i="12"/>
  <c r="K450" i="12"/>
  <c r="Y453" i="12"/>
  <c r="Y455" i="12"/>
  <c r="O3" i="2"/>
  <c r="BA3" i="2"/>
  <c r="BY3" i="2"/>
  <c r="BS3" i="2"/>
  <c r="BG3" i="2"/>
  <c r="BM3" i="2"/>
  <c r="AO3" i="2"/>
  <c r="AS3" i="2"/>
  <c r="AW3" i="2"/>
  <c r="AP3" i="2"/>
  <c r="BC3" i="2"/>
  <c r="R3" i="2"/>
  <c r="BO3" i="2"/>
  <c r="K468" i="12"/>
  <c r="AG3" i="2"/>
  <c r="P303" i="12"/>
  <c r="K303" i="12"/>
  <c r="BB3" i="2"/>
  <c r="BN3" i="2"/>
  <c r="P444" i="12"/>
  <c r="AD444" i="12" s="1"/>
  <c r="K122" i="12"/>
  <c r="K125" i="12"/>
  <c r="K367" i="12"/>
  <c r="K371" i="12"/>
  <c r="K476" i="12"/>
  <c r="K480" i="12"/>
  <c r="K481" i="12"/>
  <c r="P26" i="12"/>
  <c r="AD26" i="12" s="1"/>
  <c r="K55" i="12"/>
  <c r="Y56" i="12"/>
  <c r="P57" i="12"/>
  <c r="AD57" i="12" s="1"/>
  <c r="P59" i="12"/>
  <c r="AD59" i="12" s="1"/>
  <c r="P61" i="12"/>
  <c r="AD61" i="12" s="1"/>
  <c r="P63" i="12"/>
  <c r="AD63" i="12" s="1"/>
  <c r="Y76" i="12"/>
  <c r="P99" i="12"/>
  <c r="AD99" i="12" s="1"/>
  <c r="Y120" i="12"/>
  <c r="K121" i="12"/>
  <c r="K130" i="12"/>
  <c r="K138" i="12"/>
  <c r="K146" i="12"/>
  <c r="K152" i="12"/>
  <c r="Z168" i="12"/>
  <c r="Y191" i="12"/>
  <c r="K210" i="12"/>
  <c r="Y216" i="12"/>
  <c r="Y220" i="12"/>
  <c r="P228" i="12"/>
  <c r="P229" i="12"/>
  <c r="AD229" i="12" s="1"/>
  <c r="P230" i="12"/>
  <c r="Z235" i="12"/>
  <c r="Z254" i="12"/>
  <c r="K307" i="12"/>
  <c r="K312" i="12"/>
  <c r="K331" i="12"/>
  <c r="K366" i="12"/>
  <c r="Z394" i="12"/>
  <c r="P441" i="12"/>
  <c r="AD441" i="12" s="1"/>
  <c r="P465" i="12"/>
  <c r="AD465" i="12" s="1"/>
  <c r="Z16" i="12"/>
  <c r="P53" i="12"/>
  <c r="AD53" i="12" s="1"/>
  <c r="Y111" i="12"/>
  <c r="Y118" i="12"/>
  <c r="Y142" i="12"/>
  <c r="Y148" i="12"/>
  <c r="K172" i="12"/>
  <c r="Z183" i="12"/>
  <c r="K206" i="12"/>
  <c r="P271" i="12"/>
  <c r="K272" i="12"/>
  <c r="K273" i="12"/>
  <c r="Y275" i="12"/>
  <c r="Y277" i="12"/>
  <c r="P279" i="12"/>
  <c r="AD279" i="12" s="1"/>
  <c r="Y291" i="12"/>
  <c r="Y292" i="12"/>
  <c r="P294" i="12"/>
  <c r="AD294" i="12" s="1"/>
  <c r="P295" i="12"/>
  <c r="K296" i="12"/>
  <c r="P301" i="12"/>
  <c r="AD301" i="12" s="1"/>
  <c r="Y303" i="12"/>
  <c r="Y304" i="12"/>
  <c r="K346" i="12"/>
  <c r="K351" i="12"/>
  <c r="Y352" i="12"/>
  <c r="K355" i="12"/>
  <c r="Y356" i="12"/>
  <c r="K383" i="12"/>
  <c r="Z391" i="12"/>
  <c r="Z400" i="12"/>
  <c r="P422" i="12"/>
  <c r="P440" i="12"/>
  <c r="AD440" i="12" s="1"/>
  <c r="Y441" i="12"/>
  <c r="Z464" i="12"/>
  <c r="Y465" i="12"/>
  <c r="P95" i="12"/>
  <c r="AD95" i="12" s="1"/>
  <c r="K95" i="12"/>
  <c r="AK3" i="2"/>
  <c r="BE3" i="2"/>
  <c r="BQ3" i="2"/>
  <c r="AT3" i="2"/>
  <c r="P48" i="12"/>
  <c r="AD48" i="12" s="1"/>
  <c r="K48" i="12"/>
  <c r="P82" i="12"/>
  <c r="AD82" i="12" s="1"/>
  <c r="K82" i="12"/>
  <c r="K370" i="12"/>
  <c r="P8" i="12"/>
  <c r="AD8" i="12" s="1"/>
  <c r="P259" i="12"/>
  <c r="AD259" i="12" s="1"/>
  <c r="K259" i="12"/>
  <c r="Z310" i="12"/>
  <c r="P3" i="2"/>
  <c r="AH3" i="2"/>
  <c r="Q3" i="2"/>
  <c r="P25" i="12"/>
  <c r="AD25" i="12" s="1"/>
  <c r="K25" i="12"/>
  <c r="P66" i="12"/>
  <c r="AD66" i="12" s="1"/>
  <c r="K66" i="12"/>
  <c r="K160" i="12"/>
  <c r="Y167" i="12"/>
  <c r="P196" i="12"/>
  <c r="K231" i="12"/>
  <c r="K232" i="12"/>
  <c r="K239" i="12"/>
  <c r="K8" i="12"/>
  <c r="Y14" i="12"/>
  <c r="P70" i="12"/>
  <c r="AD70" i="12" s="1"/>
  <c r="K70" i="12"/>
  <c r="K110" i="12"/>
  <c r="K113" i="12"/>
  <c r="K114" i="12"/>
  <c r="K115" i="12"/>
  <c r="K116" i="12"/>
  <c r="K117" i="12"/>
  <c r="K119" i="12"/>
  <c r="P255" i="12"/>
  <c r="K255" i="12"/>
  <c r="K262" i="12"/>
  <c r="K264" i="12"/>
  <c r="Z265" i="12"/>
  <c r="Y8" i="12"/>
  <c r="P18" i="12"/>
  <c r="AD18" i="12" s="1"/>
  <c r="Y26" i="12"/>
  <c r="P28" i="12"/>
  <c r="AD28" i="12" s="1"/>
  <c r="Y28" i="12"/>
  <c r="P30" i="12"/>
  <c r="AD30" i="12" s="1"/>
  <c r="Z31" i="12"/>
  <c r="Y40" i="12"/>
  <c r="Y49" i="12"/>
  <c r="Y51" i="12"/>
  <c r="K53" i="12"/>
  <c r="K169" i="12"/>
  <c r="K200" i="12"/>
  <c r="K243" i="12"/>
  <c r="Y246" i="12"/>
  <c r="Y252" i="12"/>
  <c r="Y254" i="12"/>
  <c r="K315" i="12"/>
  <c r="Z317" i="12"/>
  <c r="K345" i="12"/>
  <c r="K347" i="12"/>
  <c r="K349" i="12"/>
  <c r="K350" i="12"/>
  <c r="K354" i="12"/>
  <c r="K382" i="12"/>
  <c r="K396" i="12"/>
  <c r="Z401" i="12"/>
  <c r="P460" i="12"/>
  <c r="AD460" i="12" s="1"/>
  <c r="K460" i="12"/>
  <c r="K470" i="12"/>
  <c r="Y71" i="12"/>
  <c r="Y74" i="12"/>
  <c r="K75" i="12"/>
  <c r="K99" i="12"/>
  <c r="Y102" i="12"/>
  <c r="Y104" i="12"/>
  <c r="Y106" i="12"/>
  <c r="Y108" i="12"/>
  <c r="K129" i="12"/>
  <c r="Y130" i="12"/>
  <c r="Y131" i="12"/>
  <c r="Y134" i="12"/>
  <c r="Y136" i="12"/>
  <c r="K139" i="12"/>
  <c r="K141" i="12"/>
  <c r="Y141" i="12"/>
  <c r="K217" i="12"/>
  <c r="P219" i="12"/>
  <c r="Z223" i="12"/>
  <c r="Y225" i="12"/>
  <c r="Z225" i="12"/>
  <c r="Z237" i="12"/>
  <c r="K260" i="12"/>
  <c r="Y261" i="12"/>
  <c r="P263" i="12"/>
  <c r="AD263" i="12" s="1"/>
  <c r="K317" i="12"/>
  <c r="K318" i="12"/>
  <c r="P319" i="12"/>
  <c r="Y322" i="12"/>
  <c r="Y324" i="12"/>
  <c r="K325" i="12"/>
  <c r="K327" i="12"/>
  <c r="Y328" i="12"/>
  <c r="K330" i="12"/>
  <c r="Y331" i="12"/>
  <c r="Y334" i="12"/>
  <c r="K340" i="12"/>
  <c r="Y345" i="12"/>
  <c r="P346" i="12"/>
  <c r="K363" i="12"/>
  <c r="K379" i="12"/>
  <c r="Y383" i="12"/>
  <c r="K390" i="12"/>
  <c r="Y393" i="12"/>
  <c r="Y394" i="12"/>
  <c r="Y398" i="12"/>
  <c r="Y405" i="12"/>
  <c r="K408" i="12"/>
  <c r="Y408" i="12"/>
  <c r="K414" i="12"/>
  <c r="K415" i="12"/>
  <c r="P439" i="12"/>
  <c r="AD439" i="12" s="1"/>
  <c r="P447" i="12"/>
  <c r="K473" i="12"/>
  <c r="Q5" i="16"/>
  <c r="P60" i="12"/>
  <c r="AD60" i="12" s="1"/>
  <c r="Z77" i="12"/>
  <c r="Y82" i="12"/>
  <c r="P84" i="12"/>
  <c r="AD84" i="12" s="1"/>
  <c r="Y86" i="12"/>
  <c r="P88" i="12"/>
  <c r="AD88" i="12" s="1"/>
  <c r="K161" i="12"/>
  <c r="K163" i="12"/>
  <c r="Y163" i="12"/>
  <c r="P170" i="12"/>
  <c r="Y172" i="12"/>
  <c r="K176" i="12"/>
  <c r="Y177" i="12"/>
  <c r="K180" i="12"/>
  <c r="P182" i="12"/>
  <c r="AD182" i="12" s="1"/>
  <c r="P184" i="12"/>
  <c r="Y185" i="12"/>
  <c r="Z185" i="12"/>
  <c r="P188" i="12"/>
  <c r="K189" i="12"/>
  <c r="K201" i="12"/>
  <c r="K202" i="12"/>
  <c r="K203" i="12"/>
  <c r="Y204" i="12"/>
  <c r="K207" i="12"/>
  <c r="P211" i="12"/>
  <c r="AD211" i="12" s="1"/>
  <c r="Y213" i="12"/>
  <c r="K221" i="12"/>
  <c r="Y222" i="12"/>
  <c r="K233" i="12"/>
  <c r="Y234" i="12"/>
  <c r="K236" i="12"/>
  <c r="Y240" i="12"/>
  <c r="Y243" i="12"/>
  <c r="K247" i="12"/>
  <c r="K248" i="12"/>
  <c r="P250" i="12"/>
  <c r="Y253" i="12"/>
  <c r="Y255" i="12"/>
  <c r="Y260" i="12"/>
  <c r="Y282" i="12"/>
  <c r="Y283" i="12"/>
  <c r="Z283" i="12"/>
  <c r="Y284" i="12"/>
  <c r="P286" i="12"/>
  <c r="K287" i="12"/>
  <c r="K288" i="12"/>
  <c r="K297" i="12"/>
  <c r="K305" i="12"/>
  <c r="Y305" i="12"/>
  <c r="Y308" i="12"/>
  <c r="Y325" i="12"/>
  <c r="Y340" i="12"/>
  <c r="K362" i="12"/>
  <c r="K378" i="12"/>
  <c r="K384" i="12"/>
  <c r="Y387" i="12"/>
  <c r="P389" i="12"/>
  <c r="AD389" i="12" s="1"/>
  <c r="Y395" i="12"/>
  <c r="K420" i="12"/>
  <c r="Y439" i="12"/>
  <c r="P463" i="12"/>
  <c r="AD463" i="12" s="1"/>
  <c r="P17" i="12"/>
  <c r="AD17" i="12" s="1"/>
  <c r="K17" i="12"/>
  <c r="P56" i="12"/>
  <c r="AD56" i="12" s="1"/>
  <c r="K56" i="12"/>
  <c r="P80" i="12"/>
  <c r="AD80" i="12" s="1"/>
  <c r="K80" i="12"/>
  <c r="U4" i="12"/>
  <c r="P7" i="12"/>
  <c r="K7" i="12"/>
  <c r="P15" i="12"/>
  <c r="AD15" i="12" s="1"/>
  <c r="K15" i="12"/>
  <c r="P36" i="12"/>
  <c r="AD36" i="12" s="1"/>
  <c r="K36" i="12"/>
  <c r="P46" i="12"/>
  <c r="AD46" i="12" s="1"/>
  <c r="K46" i="12"/>
  <c r="P93" i="12"/>
  <c r="AD93" i="12" s="1"/>
  <c r="K93" i="12"/>
  <c r="Z6" i="12"/>
  <c r="P9" i="12"/>
  <c r="AD9" i="12" s="1"/>
  <c r="K9" i="12"/>
  <c r="V4" i="12"/>
  <c r="P77" i="12"/>
  <c r="K77" i="12"/>
  <c r="W3" i="2"/>
  <c r="AI3" i="2"/>
  <c r="AR3" i="2"/>
  <c r="BH3" i="2"/>
  <c r="BT3" i="2"/>
  <c r="N3" i="2"/>
  <c r="AZ3" i="2"/>
  <c r="BL3" i="2"/>
  <c r="BX3" i="2"/>
  <c r="V3" i="2"/>
  <c r="Z3" i="2"/>
  <c r="AY3" i="2"/>
  <c r="BK3" i="2"/>
  <c r="BW3" i="2"/>
  <c r="K6" i="12"/>
  <c r="AB4" i="12"/>
  <c r="Z7" i="12"/>
  <c r="P42" i="12"/>
  <c r="AD42" i="12" s="1"/>
  <c r="K42" i="12"/>
  <c r="P43" i="12"/>
  <c r="AD43" i="12" s="1"/>
  <c r="K43" i="12"/>
  <c r="P45" i="12"/>
  <c r="AD45" i="12" s="1"/>
  <c r="K45" i="12"/>
  <c r="P65" i="12"/>
  <c r="AD65" i="12" s="1"/>
  <c r="K65" i="12"/>
  <c r="P68" i="12"/>
  <c r="AD68" i="12" s="1"/>
  <c r="K68" i="12"/>
  <c r="P97" i="12"/>
  <c r="AD97" i="12" s="1"/>
  <c r="K97" i="12"/>
  <c r="P128" i="12"/>
  <c r="AD128" i="12" s="1"/>
  <c r="K128" i="12"/>
  <c r="P164" i="12"/>
  <c r="AD164" i="12" s="1"/>
  <c r="K164" i="12"/>
  <c r="P197" i="12"/>
  <c r="AD197" i="12" s="1"/>
  <c r="K197" i="12"/>
  <c r="P214" i="12"/>
  <c r="AD214" i="12" s="1"/>
  <c r="K214" i="12"/>
  <c r="P270" i="12"/>
  <c r="K270" i="12"/>
  <c r="P425" i="12"/>
  <c r="AD425" i="12" s="1"/>
  <c r="K425" i="12"/>
  <c r="P442" i="12"/>
  <c r="K442" i="12"/>
  <c r="P467" i="12"/>
  <c r="K467" i="12"/>
  <c r="Y9" i="12"/>
  <c r="P11" i="12"/>
  <c r="AD11" i="12" s="1"/>
  <c r="Y11" i="12"/>
  <c r="P14" i="12"/>
  <c r="AD14" i="12" s="1"/>
  <c r="Y18" i="12"/>
  <c r="Y20" i="12"/>
  <c r="K26" i="12"/>
  <c r="P29" i="12"/>
  <c r="AD29" i="12" s="1"/>
  <c r="K29" i="12"/>
  <c r="Y39" i="12"/>
  <c r="P73" i="12"/>
  <c r="AD73" i="12" s="1"/>
  <c r="K73" i="12"/>
  <c r="K86" i="12"/>
  <c r="Y90" i="12"/>
  <c r="Y119" i="12"/>
  <c r="Y121" i="12"/>
  <c r="P142" i="12"/>
  <c r="AD142" i="12" s="1"/>
  <c r="K142" i="12"/>
  <c r="Y146" i="12"/>
  <c r="Y147" i="12"/>
  <c r="Y156" i="12"/>
  <c r="Y173" i="12"/>
  <c r="Y174" i="12"/>
  <c r="Y175" i="12"/>
  <c r="Y179" i="12"/>
  <c r="Y182" i="12"/>
  <c r="Y183" i="12"/>
  <c r="K186" i="12"/>
  <c r="Y187" i="12"/>
  <c r="Y190" i="12"/>
  <c r="Y198" i="12"/>
  <c r="Y199" i="12"/>
  <c r="Y201" i="12"/>
  <c r="P203" i="12"/>
  <c r="AD203" i="12" s="1"/>
  <c r="P204" i="12"/>
  <c r="AD204" i="12" s="1"/>
  <c r="Y211" i="12"/>
  <c r="P213" i="12"/>
  <c r="AD213" i="12" s="1"/>
  <c r="P226" i="12"/>
  <c r="AD226" i="12" s="1"/>
  <c r="K226" i="12"/>
  <c r="P310" i="12"/>
  <c r="K310" i="12"/>
  <c r="P335" i="12"/>
  <c r="AD335" i="12" s="1"/>
  <c r="K335" i="12"/>
  <c r="Y6" i="12"/>
  <c r="Y7" i="12"/>
  <c r="Y12" i="12"/>
  <c r="K18" i="12"/>
  <c r="P21" i="12"/>
  <c r="AD21" i="12" s="1"/>
  <c r="K21" i="12"/>
  <c r="P40" i="12"/>
  <c r="AD40" i="12" s="1"/>
  <c r="K40" i="12"/>
  <c r="Y53" i="12"/>
  <c r="Y62" i="12"/>
  <c r="K90" i="12"/>
  <c r="Y101" i="12"/>
  <c r="Y103" i="12"/>
  <c r="Y105" i="12"/>
  <c r="Y107" i="12"/>
  <c r="Y109" i="12"/>
  <c r="Y123" i="12"/>
  <c r="P141" i="12"/>
  <c r="AD141" i="12" s="1"/>
  <c r="P148" i="12"/>
  <c r="AD148" i="12" s="1"/>
  <c r="K148" i="12"/>
  <c r="K153" i="12"/>
  <c r="K155" i="12"/>
  <c r="Y155" i="12"/>
  <c r="Y164" i="12"/>
  <c r="P191" i="12"/>
  <c r="AD191" i="12" s="1"/>
  <c r="K191" i="12"/>
  <c r="Y193" i="12"/>
  <c r="Y195" i="12"/>
  <c r="Y197" i="12"/>
  <c r="K209" i="12"/>
  <c r="Y214" i="12"/>
  <c r="Y215" i="12"/>
  <c r="K220" i="12"/>
  <c r="K246" i="12"/>
  <c r="P102" i="12"/>
  <c r="AD102" i="12" s="1"/>
  <c r="K102" i="12"/>
  <c r="P104" i="12"/>
  <c r="AD104" i="12" s="1"/>
  <c r="K104" i="12"/>
  <c r="P106" i="12"/>
  <c r="AD106" i="12" s="1"/>
  <c r="K106" i="12"/>
  <c r="P108" i="12"/>
  <c r="AD108" i="12" s="1"/>
  <c r="K108" i="12"/>
  <c r="P124" i="12"/>
  <c r="AD124" i="12" s="1"/>
  <c r="K124" i="12"/>
  <c r="P156" i="12"/>
  <c r="AD156" i="12" s="1"/>
  <c r="K156" i="12"/>
  <c r="P198" i="12"/>
  <c r="AD198" i="12" s="1"/>
  <c r="K198" i="12"/>
  <c r="P251" i="12"/>
  <c r="AD251" i="12" s="1"/>
  <c r="K251" i="12"/>
  <c r="P280" i="12"/>
  <c r="AD280" i="12" s="1"/>
  <c r="K280" i="12"/>
  <c r="K30" i="12"/>
  <c r="Y30" i="12"/>
  <c r="Y31" i="12"/>
  <c r="Y33" i="12"/>
  <c r="Y36" i="12"/>
  <c r="Y38" i="12"/>
  <c r="P49" i="12"/>
  <c r="AD49" i="12" s="1"/>
  <c r="P51" i="12"/>
  <c r="AD51" i="12" s="1"/>
  <c r="Y58" i="12"/>
  <c r="Y60" i="12"/>
  <c r="Y64" i="12"/>
  <c r="Y67" i="12"/>
  <c r="Y68" i="12"/>
  <c r="Y72" i="12"/>
  <c r="Y79" i="12"/>
  <c r="K84" i="12"/>
  <c r="Y84" i="12"/>
  <c r="Y92" i="12"/>
  <c r="Y96" i="12"/>
  <c r="Y100" i="12"/>
  <c r="K112" i="12"/>
  <c r="K118" i="12"/>
  <c r="K120" i="12"/>
  <c r="P123" i="12"/>
  <c r="AD123" i="12" s="1"/>
  <c r="Y124" i="12"/>
  <c r="Y125" i="12"/>
  <c r="P130" i="12"/>
  <c r="AD130" i="12" s="1"/>
  <c r="P131" i="12"/>
  <c r="P133" i="12"/>
  <c r="AD133" i="12" s="1"/>
  <c r="P135" i="12"/>
  <c r="AD135" i="12" s="1"/>
  <c r="P137" i="12"/>
  <c r="AD137" i="12" s="1"/>
  <c r="P138" i="12"/>
  <c r="AD138" i="12" s="1"/>
  <c r="K143" i="12"/>
  <c r="K144" i="12"/>
  <c r="K145" i="12"/>
  <c r="Y145" i="12"/>
  <c r="P152" i="12"/>
  <c r="AD152" i="12" s="1"/>
  <c r="K157" i="12"/>
  <c r="K159" i="12"/>
  <c r="Y159" i="12"/>
  <c r="Y160" i="12"/>
  <c r="P169" i="12"/>
  <c r="AD169" i="12" s="1"/>
  <c r="K177" i="12"/>
  <c r="Y178" i="12"/>
  <c r="Z178" i="12"/>
  <c r="K181" i="12"/>
  <c r="K185" i="12"/>
  <c r="Y189" i="12"/>
  <c r="P192" i="12"/>
  <c r="AD192" i="12" s="1"/>
  <c r="K199" i="12"/>
  <c r="Y200" i="12"/>
  <c r="P202" i="12"/>
  <c r="AD202" i="12" s="1"/>
  <c r="K204" i="12"/>
  <c r="K205" i="12"/>
  <c r="Y205" i="12"/>
  <c r="Y206" i="12"/>
  <c r="Y207" i="12"/>
  <c r="Y208" i="12"/>
  <c r="Y209" i="12"/>
  <c r="P210" i="12"/>
  <c r="AD210" i="12" s="1"/>
  <c r="Y212" i="12"/>
  <c r="P215" i="12"/>
  <c r="AD215" i="12" s="1"/>
  <c r="P222" i="12"/>
  <c r="Z222" i="12"/>
  <c r="P238" i="12"/>
  <c r="K238" i="12"/>
  <c r="Y239" i="12"/>
  <c r="K241" i="12"/>
  <c r="P245" i="12"/>
  <c r="AD245" i="12" s="1"/>
  <c r="Y266" i="12"/>
  <c r="Y267" i="12"/>
  <c r="Y268" i="12"/>
  <c r="K308" i="12"/>
  <c r="P309" i="12"/>
  <c r="AD309" i="12" s="1"/>
  <c r="Z311" i="12"/>
  <c r="Y312" i="12"/>
  <c r="Y314" i="12"/>
  <c r="P315" i="12"/>
  <c r="AD315" i="12" s="1"/>
  <c r="K316" i="12"/>
  <c r="K320" i="12"/>
  <c r="K322" i="12"/>
  <c r="P403" i="12"/>
  <c r="AD403" i="12" s="1"/>
  <c r="K403" i="12"/>
  <c r="P411" i="12"/>
  <c r="AD411" i="12" s="1"/>
  <c r="K411" i="12"/>
  <c r="Y217" i="12"/>
  <c r="Y218" i="12"/>
  <c r="P220" i="12"/>
  <c r="AD220" i="12" s="1"/>
  <c r="Y221" i="12"/>
  <c r="Z221" i="12"/>
  <c r="Y223" i="12"/>
  <c r="Z224" i="12"/>
  <c r="K225" i="12"/>
  <c r="Y226" i="12"/>
  <c r="Y227" i="12"/>
  <c r="K228" i="12"/>
  <c r="Y229" i="12"/>
  <c r="Y231" i="12"/>
  <c r="P234" i="12"/>
  <c r="AD234" i="12" s="1"/>
  <c r="P235" i="12"/>
  <c r="Y236" i="12"/>
  <c r="Y237" i="12"/>
  <c r="P246" i="12"/>
  <c r="AD246" i="12" s="1"/>
  <c r="Y247" i="12"/>
  <c r="Y248" i="12"/>
  <c r="Y249" i="12"/>
  <c r="K311" i="12"/>
  <c r="K313" i="12"/>
  <c r="Y316" i="12"/>
  <c r="P347" i="12"/>
  <c r="AD347" i="12" s="1"/>
  <c r="Y349" i="12"/>
  <c r="P385" i="12"/>
  <c r="AD385" i="12" s="1"/>
  <c r="K385" i="12"/>
  <c r="P401" i="12"/>
  <c r="K401" i="12"/>
  <c r="Y16" i="12"/>
  <c r="Y17" i="12"/>
  <c r="K22" i="12"/>
  <c r="Y22" i="12"/>
  <c r="P24" i="12"/>
  <c r="AD24" i="12" s="1"/>
  <c r="Y24" i="12"/>
  <c r="Y32" i="12"/>
  <c r="Y34" i="12"/>
  <c r="W4" i="12"/>
  <c r="Y37" i="12"/>
  <c r="P41" i="12"/>
  <c r="AD41" i="12" s="1"/>
  <c r="Y41" i="12"/>
  <c r="Y54" i="12"/>
  <c r="Y57" i="12"/>
  <c r="Y59" i="12"/>
  <c r="Y61" i="12"/>
  <c r="K63" i="12"/>
  <c r="Y63" i="12"/>
  <c r="Y66" i="12"/>
  <c r="Y69" i="12"/>
  <c r="Y70" i="12"/>
  <c r="P71" i="12"/>
  <c r="AD71" i="12" s="1"/>
  <c r="Y75" i="12"/>
  <c r="Z75" i="12"/>
  <c r="Y81" i="12"/>
  <c r="K88" i="12"/>
  <c r="Y88" i="12"/>
  <c r="Y91" i="12"/>
  <c r="Y94" i="12"/>
  <c r="Y98" i="12"/>
  <c r="Y113" i="12"/>
  <c r="Y114" i="12"/>
  <c r="Y115" i="12"/>
  <c r="Y116" i="12"/>
  <c r="Y117" i="12"/>
  <c r="Y122" i="12"/>
  <c r="P126" i="12"/>
  <c r="AD126" i="12" s="1"/>
  <c r="P127" i="12"/>
  <c r="AD127" i="12" s="1"/>
  <c r="Y128" i="12"/>
  <c r="Y129" i="12"/>
  <c r="K132" i="12"/>
  <c r="K133" i="12"/>
  <c r="K134" i="12"/>
  <c r="K135" i="12"/>
  <c r="K136" i="12"/>
  <c r="K137" i="12"/>
  <c r="Y137" i="12"/>
  <c r="Y138" i="12"/>
  <c r="P145" i="12"/>
  <c r="AD145" i="12" s="1"/>
  <c r="P146" i="12"/>
  <c r="AD146" i="12" s="1"/>
  <c r="K147" i="12"/>
  <c r="K149" i="12"/>
  <c r="K151" i="12"/>
  <c r="Y151" i="12"/>
  <c r="Y152" i="12"/>
  <c r="P160" i="12"/>
  <c r="AD160" i="12" s="1"/>
  <c r="K165" i="12"/>
  <c r="K167" i="12"/>
  <c r="Y169" i="12"/>
  <c r="Y170" i="12"/>
  <c r="Y171" i="12"/>
  <c r="P173" i="12"/>
  <c r="Z173" i="12"/>
  <c r="K175" i="12"/>
  <c r="Y176" i="12"/>
  <c r="Z176" i="12"/>
  <c r="P179" i="12"/>
  <c r="Y180" i="12"/>
  <c r="Z180" i="12"/>
  <c r="Y181" i="12"/>
  <c r="Y184" i="12"/>
  <c r="K187" i="12"/>
  <c r="Y188" i="12"/>
  <c r="Y192" i="12"/>
  <c r="Y196" i="12"/>
  <c r="P200" i="12"/>
  <c r="AD200" i="12" s="1"/>
  <c r="Y202" i="12"/>
  <c r="Y203" i="12"/>
  <c r="P205" i="12"/>
  <c r="AD205" i="12" s="1"/>
  <c r="P206" i="12"/>
  <c r="AD206" i="12" s="1"/>
  <c r="P208" i="12"/>
  <c r="AD208" i="12" s="1"/>
  <c r="Y210" i="12"/>
  <c r="K212" i="12"/>
  <c r="K213" i="12"/>
  <c r="P216" i="12"/>
  <c r="AD216" i="12" s="1"/>
  <c r="P217" i="12"/>
  <c r="K218" i="12"/>
  <c r="Y219" i="12"/>
  <c r="P221" i="12"/>
  <c r="K223" i="12"/>
  <c r="K224" i="12"/>
  <c r="P227" i="12"/>
  <c r="AD227" i="12" s="1"/>
  <c r="Y228" i="12"/>
  <c r="Y230" i="12"/>
  <c r="Z230" i="12"/>
  <c r="P231" i="12"/>
  <c r="P232" i="12"/>
  <c r="AD232" i="12" s="1"/>
  <c r="P233" i="12"/>
  <c r="AD233" i="12" s="1"/>
  <c r="P236" i="12"/>
  <c r="K237" i="12"/>
  <c r="P240" i="12"/>
  <c r="Z240" i="12"/>
  <c r="Y241" i="12"/>
  <c r="Y242" i="12"/>
  <c r="P243" i="12"/>
  <c r="AD243" i="12" s="1"/>
  <c r="Y244" i="12"/>
  <c r="Y265" i="12"/>
  <c r="P267" i="12"/>
  <c r="P268" i="12"/>
  <c r="P269" i="12"/>
  <c r="Y270" i="12"/>
  <c r="Y271" i="12"/>
  <c r="K274" i="12"/>
  <c r="P276" i="12"/>
  <c r="AD276" i="12" s="1"/>
  <c r="Y278" i="12"/>
  <c r="K281" i="12"/>
  <c r="K282" i="12"/>
  <c r="K283" i="12"/>
  <c r="Y285" i="12"/>
  <c r="P287" i="12"/>
  <c r="AD287" i="12" s="1"/>
  <c r="P288" i="12"/>
  <c r="K289" i="12"/>
  <c r="P292" i="12"/>
  <c r="K293" i="12"/>
  <c r="Y295" i="12"/>
  <c r="P298" i="12"/>
  <c r="AD298" i="12" s="1"/>
  <c r="K298" i="12"/>
  <c r="K302" i="12"/>
  <c r="Z303" i="12"/>
  <c r="K336" i="12"/>
  <c r="K392" i="12"/>
  <c r="P430" i="12"/>
  <c r="AD430" i="12" s="1"/>
  <c r="K430" i="12"/>
  <c r="P443" i="12"/>
  <c r="K443" i="12"/>
  <c r="P475" i="12"/>
  <c r="K475" i="12"/>
  <c r="Y360" i="12"/>
  <c r="Y368" i="12"/>
  <c r="Y385" i="12"/>
  <c r="Y401" i="12"/>
  <c r="Y403" i="12"/>
  <c r="Y224" i="12"/>
  <c r="P225" i="12"/>
  <c r="K229" i="12"/>
  <c r="K230" i="12"/>
  <c r="Y232" i="12"/>
  <c r="Y233" i="12"/>
  <c r="Y235" i="12"/>
  <c r="Y238" i="12"/>
  <c r="Z238" i="12"/>
  <c r="P241" i="12"/>
  <c r="K242" i="12"/>
  <c r="K244" i="12"/>
  <c r="Y245" i="12"/>
  <c r="P247" i="12"/>
  <c r="P248" i="12"/>
  <c r="K249" i="12"/>
  <c r="Y250" i="12"/>
  <c r="Y251" i="12"/>
  <c r="K253" i="12"/>
  <c r="K254" i="12"/>
  <c r="K256" i="12"/>
  <c r="Y258" i="12"/>
  <c r="P260" i="12"/>
  <c r="P261" i="12"/>
  <c r="AD261" i="12" s="1"/>
  <c r="P262" i="12"/>
  <c r="AD262" i="12" s="1"/>
  <c r="Y272" i="12"/>
  <c r="Y273" i="12"/>
  <c r="K275" i="12"/>
  <c r="K277" i="12"/>
  <c r="K278" i="12"/>
  <c r="K279" i="12"/>
  <c r="Y279" i="12"/>
  <c r="Y280" i="12"/>
  <c r="P282" i="12"/>
  <c r="AD282" i="12" s="1"/>
  <c r="P283" i="12"/>
  <c r="K284" i="12"/>
  <c r="K285" i="12"/>
  <c r="Y286" i="12"/>
  <c r="P289" i="12"/>
  <c r="AD289" i="12" s="1"/>
  <c r="K290" i="12"/>
  <c r="P291" i="12"/>
  <c r="Z291" i="12"/>
  <c r="P293" i="12"/>
  <c r="K294" i="12"/>
  <c r="K295" i="12"/>
  <c r="Y296" i="12"/>
  <c r="Y297" i="12"/>
  <c r="Y298" i="12"/>
  <c r="Y299" i="12"/>
  <c r="Y301" i="12"/>
  <c r="K306" i="12"/>
  <c r="K309" i="12"/>
  <c r="Y309" i="12"/>
  <c r="Y319" i="12"/>
  <c r="Y321" i="12"/>
  <c r="K337" i="12"/>
  <c r="P338" i="12"/>
  <c r="K339" i="12"/>
  <c r="K344" i="12"/>
  <c r="Y384" i="12"/>
  <c r="P387" i="12"/>
  <c r="AD387" i="12" s="1"/>
  <c r="K387" i="12"/>
  <c r="Z392" i="12"/>
  <c r="K395" i="12"/>
  <c r="Y396" i="12"/>
  <c r="Z396" i="12"/>
  <c r="Z397" i="12"/>
  <c r="K402" i="12"/>
  <c r="Y402" i="12"/>
  <c r="P408" i="12"/>
  <c r="AD408" i="12" s="1"/>
  <c r="Y414" i="12"/>
  <c r="P445" i="12"/>
  <c r="AD445" i="12" s="1"/>
  <c r="K445" i="12"/>
  <c r="P252" i="12"/>
  <c r="AD252" i="12" s="1"/>
  <c r="P257" i="12"/>
  <c r="AD257" i="12" s="1"/>
  <c r="P258" i="12"/>
  <c r="Y259" i="12"/>
  <c r="K261" i="12"/>
  <c r="Y263" i="12"/>
  <c r="Y264" i="12"/>
  <c r="K266" i="12"/>
  <c r="Y269" i="12"/>
  <c r="K271" i="12"/>
  <c r="Y274" i="12"/>
  <c r="Y276" i="12"/>
  <c r="P278" i="12"/>
  <c r="AD278" i="12" s="1"/>
  <c r="Y281" i="12"/>
  <c r="P285" i="12"/>
  <c r="K286" i="12"/>
  <c r="Y287" i="12"/>
  <c r="Y288" i="12"/>
  <c r="Y289" i="12"/>
  <c r="Y290" i="12"/>
  <c r="K292" i="12"/>
  <c r="Y293" i="12"/>
  <c r="Y294" i="12"/>
  <c r="P296" i="12"/>
  <c r="AD296" i="12" s="1"/>
  <c r="P297" i="12"/>
  <c r="Y302" i="12"/>
  <c r="K304" i="12"/>
  <c r="Y306" i="12"/>
  <c r="Y307" i="12"/>
  <c r="P308" i="12"/>
  <c r="AD308" i="12" s="1"/>
  <c r="Y310" i="12"/>
  <c r="P312" i="12"/>
  <c r="AD312" i="12" s="1"/>
  <c r="Y313" i="12"/>
  <c r="K314" i="12"/>
  <c r="Y315" i="12"/>
  <c r="Y318" i="12"/>
  <c r="K323" i="12"/>
  <c r="P325" i="12"/>
  <c r="AD325" i="12" s="1"/>
  <c r="Y326" i="12"/>
  <c r="Y329" i="12"/>
  <c r="Y337" i="12"/>
  <c r="P341" i="12"/>
  <c r="K342" i="12"/>
  <c r="P351" i="12"/>
  <c r="AD351" i="12" s="1"/>
  <c r="Y353" i="12"/>
  <c r="Y354" i="12"/>
  <c r="Y355" i="12"/>
  <c r="P358" i="12"/>
  <c r="AD358" i="12" s="1"/>
  <c r="P359" i="12"/>
  <c r="AD359" i="12" s="1"/>
  <c r="Y362" i="12"/>
  <c r="Y363" i="12"/>
  <c r="P366" i="12"/>
  <c r="AD366" i="12" s="1"/>
  <c r="P367" i="12"/>
  <c r="AD367" i="12" s="1"/>
  <c r="Y369" i="12"/>
  <c r="Y370" i="12"/>
  <c r="Y371" i="12"/>
  <c r="P374" i="12"/>
  <c r="AD374" i="12" s="1"/>
  <c r="P375" i="12"/>
  <c r="AD375" i="12" s="1"/>
  <c r="Y378" i="12"/>
  <c r="Y379" i="12"/>
  <c r="P382" i="12"/>
  <c r="AD382" i="12" s="1"/>
  <c r="P383" i="12"/>
  <c r="Y391" i="12"/>
  <c r="P398" i="12"/>
  <c r="K398" i="12"/>
  <c r="Y399" i="12"/>
  <c r="Z399" i="12"/>
  <c r="Y404" i="12"/>
  <c r="Y411" i="12"/>
  <c r="P433" i="12"/>
  <c r="AD433" i="12" s="1"/>
  <c r="K433" i="12"/>
  <c r="Y327" i="12"/>
  <c r="P329" i="12"/>
  <c r="Y330" i="12"/>
  <c r="P331" i="12"/>
  <c r="Y332" i="12"/>
  <c r="Y335" i="12"/>
  <c r="P337" i="12"/>
  <c r="Y339" i="12"/>
  <c r="P340" i="12"/>
  <c r="Y341" i="12"/>
  <c r="Y342" i="12"/>
  <c r="P345" i="12"/>
  <c r="K348" i="12"/>
  <c r="Y348" i="12"/>
  <c r="Y350" i="12"/>
  <c r="Y351" i="12"/>
  <c r="P354" i="12"/>
  <c r="AD354" i="12" s="1"/>
  <c r="P355" i="12"/>
  <c r="AD355" i="12" s="1"/>
  <c r="Y357" i="12"/>
  <c r="Y358" i="12"/>
  <c r="Y359" i="12"/>
  <c r="P362" i="12"/>
  <c r="AD362" i="12" s="1"/>
  <c r="P363" i="12"/>
  <c r="AD363" i="12" s="1"/>
  <c r="Y366" i="12"/>
  <c r="Y367" i="12"/>
  <c r="P370" i="12"/>
  <c r="AD370" i="12" s="1"/>
  <c r="P371" i="12"/>
  <c r="AD371" i="12" s="1"/>
  <c r="Y374" i="12"/>
  <c r="Y375" i="12"/>
  <c r="P378" i="12"/>
  <c r="AD378" i="12" s="1"/>
  <c r="P379" i="12"/>
  <c r="AD379" i="12" s="1"/>
  <c r="Y382" i="12"/>
  <c r="Y390" i="12"/>
  <c r="Y392" i="12"/>
  <c r="K394" i="12"/>
  <c r="Y406" i="12"/>
  <c r="Y410" i="12"/>
  <c r="P415" i="12"/>
  <c r="AD415" i="12" s="1"/>
  <c r="K417" i="12"/>
  <c r="K418" i="12"/>
  <c r="K422" i="12"/>
  <c r="Y430" i="12"/>
  <c r="Y431" i="12"/>
  <c r="Y432" i="12"/>
  <c r="K439" i="12"/>
  <c r="K441" i="12"/>
  <c r="Y446" i="12"/>
  <c r="K447" i="12"/>
  <c r="P459" i="12"/>
  <c r="AD459" i="12" s="1"/>
  <c r="K465" i="12"/>
  <c r="P468" i="12"/>
  <c r="P469" i="12"/>
  <c r="P476" i="12"/>
  <c r="P478" i="12"/>
  <c r="Q454" i="16"/>
  <c r="Y417" i="12"/>
  <c r="Y419" i="12"/>
  <c r="Y427" i="12"/>
  <c r="Y443" i="12"/>
  <c r="Y447" i="12"/>
  <c r="Y449" i="12"/>
  <c r="Y459" i="12"/>
  <c r="K469" i="12"/>
  <c r="P470" i="12"/>
  <c r="K477" i="12"/>
  <c r="K479" i="12"/>
  <c r="L478" i="14"/>
  <c r="K409" i="12"/>
  <c r="P410" i="12"/>
  <c r="Y415" i="12"/>
  <c r="K416" i="12"/>
  <c r="Y416" i="12"/>
  <c r="Y426" i="12"/>
  <c r="P431" i="12"/>
  <c r="AD431" i="12" s="1"/>
  <c r="Y437" i="12"/>
  <c r="Y440" i="12"/>
  <c r="Y442" i="12"/>
  <c r="K444" i="12"/>
  <c r="Y444" i="12"/>
  <c r="K448" i="12"/>
  <c r="P453" i="12"/>
  <c r="AD453" i="12" s="1"/>
  <c r="Y454" i="12"/>
  <c r="Z454" i="12"/>
  <c r="Y456" i="12"/>
  <c r="P474" i="12"/>
  <c r="P480" i="12"/>
  <c r="P13" i="12"/>
  <c r="AD13" i="12" s="1"/>
  <c r="K13" i="12"/>
  <c r="P31" i="12"/>
  <c r="K31" i="12"/>
  <c r="P34" i="12"/>
  <c r="AD34" i="12" s="1"/>
  <c r="K34" i="12"/>
  <c r="P62" i="12"/>
  <c r="AD62" i="12" s="1"/>
  <c r="K62" i="12"/>
  <c r="P115" i="12"/>
  <c r="AD115" i="12" s="1"/>
  <c r="P147" i="12"/>
  <c r="AD147" i="12" s="1"/>
  <c r="P157" i="12"/>
  <c r="AD157" i="12" s="1"/>
  <c r="P19" i="12"/>
  <c r="AD19" i="12" s="1"/>
  <c r="K19" i="12"/>
  <c r="P35" i="12"/>
  <c r="AD35" i="12" s="1"/>
  <c r="K35" i="12"/>
  <c r="Y48" i="12"/>
  <c r="P64" i="12"/>
  <c r="AD64" i="12" s="1"/>
  <c r="K64" i="12"/>
  <c r="P72" i="12"/>
  <c r="AD72" i="12" s="1"/>
  <c r="K72" i="12"/>
  <c r="P118" i="12"/>
  <c r="P161" i="12"/>
  <c r="AD161" i="12" s="1"/>
  <c r="P23" i="12"/>
  <c r="AD23" i="12" s="1"/>
  <c r="K23" i="12"/>
  <c r="P38" i="12"/>
  <c r="AD38" i="12" s="1"/>
  <c r="K38" i="12"/>
  <c r="P113" i="12"/>
  <c r="AD113" i="12" s="1"/>
  <c r="P117" i="12"/>
  <c r="AD117" i="12" s="1"/>
  <c r="P125" i="12"/>
  <c r="AD125" i="12" s="1"/>
  <c r="P129" i="12"/>
  <c r="AD129" i="12" s="1"/>
  <c r="P149" i="12"/>
  <c r="AD149" i="12" s="1"/>
  <c r="P165" i="12"/>
  <c r="AD165" i="12" s="1"/>
  <c r="Z170" i="12"/>
  <c r="AC4" i="12"/>
  <c r="P10" i="12"/>
  <c r="AD10" i="12" s="1"/>
  <c r="K10" i="12"/>
  <c r="P27" i="12"/>
  <c r="AD27" i="12" s="1"/>
  <c r="K27" i="12"/>
  <c r="Y46" i="12"/>
  <c r="P50" i="12"/>
  <c r="AD50" i="12" s="1"/>
  <c r="K50" i="12"/>
  <c r="P52" i="12"/>
  <c r="AD52" i="12" s="1"/>
  <c r="K52" i="12"/>
  <c r="P120" i="12"/>
  <c r="AD120" i="12" s="1"/>
  <c r="P153" i="12"/>
  <c r="AD153" i="12" s="1"/>
  <c r="Y168" i="12"/>
  <c r="AA4" i="12"/>
  <c r="P6" i="12"/>
  <c r="Y10" i="12"/>
  <c r="Y13" i="12"/>
  <c r="Y19" i="12"/>
  <c r="Y23" i="12"/>
  <c r="Y27" i="12"/>
  <c r="K33" i="12"/>
  <c r="K37" i="12"/>
  <c r="P44" i="12"/>
  <c r="AD44" i="12" s="1"/>
  <c r="P47" i="12"/>
  <c r="AD47" i="12" s="1"/>
  <c r="K47" i="12"/>
  <c r="Y55" i="12"/>
  <c r="K58" i="12"/>
  <c r="K60" i="12"/>
  <c r="Y65" i="12"/>
  <c r="Y73" i="12"/>
  <c r="Y77" i="12"/>
  <c r="P79" i="12"/>
  <c r="AD79" i="12" s="1"/>
  <c r="P81" i="12"/>
  <c r="AD81" i="12" s="1"/>
  <c r="P94" i="12"/>
  <c r="AD94" i="12" s="1"/>
  <c r="P96" i="12"/>
  <c r="AD96" i="12" s="1"/>
  <c r="P98" i="12"/>
  <c r="AD98" i="12" s="1"/>
  <c r="P100" i="12"/>
  <c r="AD100" i="12" s="1"/>
  <c r="K111" i="12"/>
  <c r="P111" i="12"/>
  <c r="Y112" i="12"/>
  <c r="P119" i="12"/>
  <c r="P121" i="12"/>
  <c r="K123" i="12"/>
  <c r="K127" i="12"/>
  <c r="K131" i="12"/>
  <c r="Y132" i="12"/>
  <c r="Y139" i="12"/>
  <c r="Y140" i="12"/>
  <c r="Y143" i="12"/>
  <c r="Y144" i="12"/>
  <c r="K150" i="12"/>
  <c r="K154" i="12"/>
  <c r="K158" i="12"/>
  <c r="K162" i="12"/>
  <c r="K166" i="12"/>
  <c r="Z167" i="12"/>
  <c r="K170" i="12"/>
  <c r="K173" i="12"/>
  <c r="P176" i="12"/>
  <c r="P16" i="12"/>
  <c r="K16" i="12"/>
  <c r="Y35" i="12"/>
  <c r="P39" i="12"/>
  <c r="AD39" i="12" s="1"/>
  <c r="K39" i="12"/>
  <c r="Y47" i="12"/>
  <c r="Y50" i="12"/>
  <c r="Y52" i="12"/>
  <c r="P83" i="12"/>
  <c r="AD83" i="12" s="1"/>
  <c r="K83" i="12"/>
  <c r="P85" i="12"/>
  <c r="AD85" i="12" s="1"/>
  <c r="K85" i="12"/>
  <c r="P87" i="12"/>
  <c r="AD87" i="12" s="1"/>
  <c r="K87" i="12"/>
  <c r="P89" i="12"/>
  <c r="AD89" i="12" s="1"/>
  <c r="K89" i="12"/>
  <c r="P91" i="12"/>
  <c r="K91" i="12"/>
  <c r="P92" i="12"/>
  <c r="AD92" i="12" s="1"/>
  <c r="K92" i="12"/>
  <c r="Y110" i="12"/>
  <c r="P112" i="12"/>
  <c r="P114" i="12"/>
  <c r="AD114" i="12" s="1"/>
  <c r="P116" i="12"/>
  <c r="AD116" i="12" s="1"/>
  <c r="P122" i="12"/>
  <c r="P132" i="12"/>
  <c r="AD132" i="12" s="1"/>
  <c r="P134" i="12"/>
  <c r="AD134" i="12" s="1"/>
  <c r="P136" i="12"/>
  <c r="AD136" i="12" s="1"/>
  <c r="P139" i="12"/>
  <c r="AD139" i="12" s="1"/>
  <c r="P143" i="12"/>
  <c r="AD143" i="12" s="1"/>
  <c r="P151" i="12"/>
  <c r="AD151" i="12" s="1"/>
  <c r="P155" i="12"/>
  <c r="AD155" i="12" s="1"/>
  <c r="P159" i="12"/>
  <c r="AD159" i="12" s="1"/>
  <c r="P163" i="12"/>
  <c r="AD163" i="12" s="1"/>
  <c r="P167" i="12"/>
  <c r="P171" i="12"/>
  <c r="AD171" i="12" s="1"/>
  <c r="P175" i="12"/>
  <c r="X4" i="12"/>
  <c r="K11" i="12"/>
  <c r="P12" i="12"/>
  <c r="AD12" i="12" s="1"/>
  <c r="K12" i="12"/>
  <c r="K14" i="12"/>
  <c r="Y15" i="12"/>
  <c r="K20" i="12"/>
  <c r="Y21" i="12"/>
  <c r="K24" i="12"/>
  <c r="Y25" i="12"/>
  <c r="K28" i="12"/>
  <c r="Y29" i="12"/>
  <c r="K41" i="12"/>
  <c r="Y42" i="12"/>
  <c r="Y43" i="12"/>
  <c r="Y45" i="12"/>
  <c r="P54" i="12"/>
  <c r="AD54" i="12" s="1"/>
  <c r="P67" i="12"/>
  <c r="AD67" i="12" s="1"/>
  <c r="K67" i="12"/>
  <c r="P69" i="12"/>
  <c r="AD69" i="12" s="1"/>
  <c r="K69" i="12"/>
  <c r="P74" i="12"/>
  <c r="AD74" i="12" s="1"/>
  <c r="P76" i="12"/>
  <c r="AD76" i="12" s="1"/>
  <c r="Y78" i="12"/>
  <c r="Y80" i="12"/>
  <c r="Y83" i="12"/>
  <c r="Y85" i="12"/>
  <c r="Y87" i="12"/>
  <c r="Y89" i="12"/>
  <c r="Y93" i="12"/>
  <c r="Y95" i="12"/>
  <c r="Y97" i="12"/>
  <c r="Y99" i="12"/>
  <c r="P101" i="12"/>
  <c r="AD101" i="12" s="1"/>
  <c r="K101" i="12"/>
  <c r="P103" i="12"/>
  <c r="AD103" i="12" s="1"/>
  <c r="K103" i="12"/>
  <c r="P105" i="12"/>
  <c r="AD105" i="12" s="1"/>
  <c r="K105" i="12"/>
  <c r="P107" i="12"/>
  <c r="AD107" i="12" s="1"/>
  <c r="K107" i="12"/>
  <c r="P109" i="12"/>
  <c r="AD109" i="12" s="1"/>
  <c r="K109" i="12"/>
  <c r="P110" i="12"/>
  <c r="Y133" i="12"/>
  <c r="Y135" i="12"/>
  <c r="K140" i="12"/>
  <c r="P144" i="12"/>
  <c r="AD144" i="12" s="1"/>
  <c r="Y149" i="12"/>
  <c r="Y150" i="12"/>
  <c r="Y153" i="12"/>
  <c r="Y154" i="12"/>
  <c r="Y157" i="12"/>
  <c r="Y158" i="12"/>
  <c r="Y161" i="12"/>
  <c r="Y162" i="12"/>
  <c r="Y165" i="12"/>
  <c r="Y166" i="12"/>
  <c r="K168" i="12"/>
  <c r="P168" i="12"/>
  <c r="K171" i="12"/>
  <c r="K174" i="12"/>
  <c r="P140" i="12"/>
  <c r="AD140" i="12" s="1"/>
  <c r="P150" i="12"/>
  <c r="AD150" i="12" s="1"/>
  <c r="P154" i="12"/>
  <c r="AD154" i="12" s="1"/>
  <c r="P158" i="12"/>
  <c r="AD158" i="12" s="1"/>
  <c r="P162" i="12"/>
  <c r="AD162" i="12" s="1"/>
  <c r="P166" i="12"/>
  <c r="AD166" i="12" s="1"/>
  <c r="P174" i="12"/>
  <c r="AD174" i="12" s="1"/>
  <c r="P177" i="12"/>
  <c r="K178" i="12"/>
  <c r="P178" i="12"/>
  <c r="P181" i="12"/>
  <c r="AD181" i="12" s="1"/>
  <c r="K183" i="12"/>
  <c r="P183" i="12"/>
  <c r="P186" i="12"/>
  <c r="Y186" i="12"/>
  <c r="Z186" i="12"/>
  <c r="P190" i="12"/>
  <c r="AD190" i="12" s="1"/>
  <c r="P194" i="12"/>
  <c r="K196" i="12"/>
  <c r="Z177" i="12"/>
  <c r="K179" i="12"/>
  <c r="K182" i="12"/>
  <c r="K184" i="12"/>
  <c r="K188" i="12"/>
  <c r="K190" i="12"/>
  <c r="K192" i="12"/>
  <c r="K194" i="12"/>
  <c r="K195" i="12"/>
  <c r="P195" i="12"/>
  <c r="P180" i="12"/>
  <c r="P185" i="12"/>
  <c r="P187" i="12"/>
  <c r="K44" i="12"/>
  <c r="K49" i="12"/>
  <c r="K51" i="12"/>
  <c r="K54" i="12"/>
  <c r="K57" i="12"/>
  <c r="K59" i="12"/>
  <c r="K61" i="12"/>
  <c r="K71" i="12"/>
  <c r="K74" i="12"/>
  <c r="K76" i="12"/>
  <c r="K79" i="12"/>
  <c r="K81" i="12"/>
  <c r="K94" i="12"/>
  <c r="K96" i="12"/>
  <c r="K98" i="12"/>
  <c r="K100" i="12"/>
  <c r="P172" i="12"/>
  <c r="Z175" i="12"/>
  <c r="Z179" i="12"/>
  <c r="Z184" i="12"/>
  <c r="P189" i="12"/>
  <c r="K193" i="12"/>
  <c r="P193" i="12"/>
  <c r="AD193" i="12" s="1"/>
  <c r="Y194" i="12"/>
  <c r="P199" i="12"/>
  <c r="P201" i="12"/>
  <c r="AD201" i="12" s="1"/>
  <c r="P207" i="12"/>
  <c r="K208" i="12"/>
  <c r="P209" i="12"/>
  <c r="K211" i="12"/>
  <c r="P212" i="12"/>
  <c r="AD212" i="12" s="1"/>
  <c r="K215" i="12"/>
  <c r="P218" i="12"/>
  <c r="AD218" i="12" s="1"/>
  <c r="K219" i="12"/>
  <c r="K222" i="12"/>
  <c r="P223" i="12"/>
  <c r="P224" i="12"/>
  <c r="K227" i="12"/>
  <c r="K234" i="12"/>
  <c r="K235" i="12"/>
  <c r="P237" i="12"/>
  <c r="P239" i="12"/>
  <c r="K240" i="12"/>
  <c r="P242" i="12"/>
  <c r="P244" i="12"/>
  <c r="K245" i="12"/>
  <c r="P249" i="12"/>
  <c r="K250" i="12"/>
  <c r="K252" i="12"/>
  <c r="P253" i="12"/>
  <c r="AD253" i="12" s="1"/>
  <c r="P254" i="12"/>
  <c r="P256" i="12"/>
  <c r="K257" i="12"/>
  <c r="K258" i="12"/>
  <c r="K263" i="12"/>
  <c r="P264" i="12"/>
  <c r="K265" i="12"/>
  <c r="P266" i="12"/>
  <c r="K267" i="12"/>
  <c r="K268" i="12"/>
  <c r="K269" i="12"/>
  <c r="P272" i="12"/>
  <c r="AD272" i="12" s="1"/>
  <c r="P273" i="12"/>
  <c r="P274" i="12"/>
  <c r="P275" i="12"/>
  <c r="AD275" i="12" s="1"/>
  <c r="K276" i="12"/>
  <c r="P277" i="12"/>
  <c r="AD277" i="12" s="1"/>
  <c r="P281" i="12"/>
  <c r="AD281" i="12" s="1"/>
  <c r="P284" i="12"/>
  <c r="AD284" i="12" s="1"/>
  <c r="P290" i="12"/>
  <c r="K291" i="12"/>
  <c r="K299" i="12"/>
  <c r="P299" i="12"/>
  <c r="P302" i="12"/>
  <c r="AD302" i="12" s="1"/>
  <c r="P304" i="12"/>
  <c r="AD304" i="12" s="1"/>
  <c r="P306" i="12"/>
  <c r="P314" i="12"/>
  <c r="Y317" i="12"/>
  <c r="P318" i="12"/>
  <c r="K319" i="12"/>
  <c r="Y320" i="12"/>
  <c r="P322" i="12"/>
  <c r="P323" i="12"/>
  <c r="P327" i="12"/>
  <c r="K328" i="12"/>
  <c r="P328" i="12"/>
  <c r="K329" i="12"/>
  <c r="K334" i="12"/>
  <c r="P334" i="12"/>
  <c r="P343" i="12"/>
  <c r="Y344" i="12"/>
  <c r="Y409" i="12"/>
  <c r="Y433" i="12"/>
  <c r="P452" i="12"/>
  <c r="AD452" i="12" s="1"/>
  <c r="K452" i="12"/>
  <c r="P317" i="12"/>
  <c r="P320" i="12"/>
  <c r="P330" i="12"/>
  <c r="AD330" i="12" s="1"/>
  <c r="P339" i="12"/>
  <c r="P344" i="12"/>
  <c r="P409" i="12"/>
  <c r="P413" i="12"/>
  <c r="K413" i="12"/>
  <c r="P418" i="12"/>
  <c r="AD418" i="12" s="1"/>
  <c r="Y300" i="12"/>
  <c r="K301" i="12"/>
  <c r="P305" i="12"/>
  <c r="P307" i="12"/>
  <c r="Y311" i="12"/>
  <c r="K324" i="12"/>
  <c r="P324" i="12"/>
  <c r="P332" i="12"/>
  <c r="Y333" i="12"/>
  <c r="P336" i="12"/>
  <c r="P438" i="12"/>
  <c r="K438" i="12"/>
  <c r="P455" i="12"/>
  <c r="K455" i="12"/>
  <c r="K300" i="12"/>
  <c r="P300" i="12"/>
  <c r="AD300" i="12" s="1"/>
  <c r="P311" i="12"/>
  <c r="P313" i="12"/>
  <c r="P316" i="12"/>
  <c r="K321" i="12"/>
  <c r="P321" i="12"/>
  <c r="Y323" i="12"/>
  <c r="K326" i="12"/>
  <c r="P326" i="12"/>
  <c r="K333" i="12"/>
  <c r="P333" i="12"/>
  <c r="Y338" i="12"/>
  <c r="P342" i="12"/>
  <c r="Y343" i="12"/>
  <c r="P392" i="12"/>
  <c r="P395" i="12"/>
  <c r="P428" i="12"/>
  <c r="K428" i="12"/>
  <c r="P349" i="12"/>
  <c r="AD349" i="12" s="1"/>
  <c r="Y361" i="12"/>
  <c r="Y364" i="12"/>
  <c r="Y365" i="12"/>
  <c r="Y373" i="12"/>
  <c r="Y376" i="12"/>
  <c r="Y377" i="12"/>
  <c r="Y380" i="12"/>
  <c r="Y381" i="12"/>
  <c r="P384" i="12"/>
  <c r="AD384" i="12" s="1"/>
  <c r="P390" i="12"/>
  <c r="P393" i="12"/>
  <c r="P394" i="12"/>
  <c r="P396" i="12"/>
  <c r="Y397" i="12"/>
  <c r="Y400" i="12"/>
  <c r="P420" i="12"/>
  <c r="P429" i="12"/>
  <c r="AD429" i="12" s="1"/>
  <c r="K429" i="12"/>
  <c r="Y435" i="12"/>
  <c r="P436" i="12"/>
  <c r="AD436" i="12" s="1"/>
  <c r="K436" i="12"/>
  <c r="Y452" i="12"/>
  <c r="Y458" i="12"/>
  <c r="P461" i="12"/>
  <c r="K461" i="12"/>
  <c r="P464" i="12"/>
  <c r="K464" i="12"/>
  <c r="P466" i="12"/>
  <c r="AD466" i="12" s="1"/>
  <c r="K466" i="12"/>
  <c r="K332" i="12"/>
  <c r="K338" i="12"/>
  <c r="K341" i="12"/>
  <c r="P348" i="12"/>
  <c r="AD348" i="12" s="1"/>
  <c r="K352" i="12"/>
  <c r="P352" i="12"/>
  <c r="AD352" i="12" s="1"/>
  <c r="K356" i="12"/>
  <c r="P356" i="12"/>
  <c r="AD356" i="12" s="1"/>
  <c r="K360" i="12"/>
  <c r="P360" i="12"/>
  <c r="AD360" i="12" s="1"/>
  <c r="K364" i="12"/>
  <c r="P364" i="12"/>
  <c r="AD364" i="12" s="1"/>
  <c r="K368" i="12"/>
  <c r="P368" i="12"/>
  <c r="AD368" i="12" s="1"/>
  <c r="K372" i="12"/>
  <c r="P372" i="12"/>
  <c r="AD372" i="12" s="1"/>
  <c r="K376" i="12"/>
  <c r="P376" i="12"/>
  <c r="AD376" i="12" s="1"/>
  <c r="K380" i="12"/>
  <c r="P380" i="12"/>
  <c r="AD380" i="12" s="1"/>
  <c r="Y386" i="12"/>
  <c r="Y388" i="12"/>
  <c r="Y389" i="12"/>
  <c r="P391" i="12"/>
  <c r="P399" i="12"/>
  <c r="K400" i="12"/>
  <c r="P400" i="12"/>
  <c r="P402" i="12"/>
  <c r="P404" i="12"/>
  <c r="P405" i="12"/>
  <c r="AD405" i="12" s="1"/>
  <c r="P406" i="12"/>
  <c r="Y407" i="12"/>
  <c r="K410" i="12"/>
  <c r="Y412" i="12"/>
  <c r="Y413" i="12"/>
  <c r="P417" i="12"/>
  <c r="AD417" i="12" s="1"/>
  <c r="Y421" i="12"/>
  <c r="Y428" i="12"/>
  <c r="P432" i="12"/>
  <c r="AD432" i="12" s="1"/>
  <c r="K432" i="12"/>
  <c r="K434" i="12"/>
  <c r="Y436" i="12"/>
  <c r="Y438" i="12"/>
  <c r="Y450" i="12"/>
  <c r="P451" i="12"/>
  <c r="K451" i="12"/>
  <c r="P457" i="12"/>
  <c r="K457" i="12"/>
  <c r="Y460" i="12"/>
  <c r="Y461" i="12"/>
  <c r="K463" i="12"/>
  <c r="K472" i="12"/>
  <c r="P472" i="12"/>
  <c r="P477" i="12"/>
  <c r="K478" i="12"/>
  <c r="P350" i="12"/>
  <c r="AD350" i="12" s="1"/>
  <c r="P353" i="12"/>
  <c r="AD353" i="12" s="1"/>
  <c r="P357" i="12"/>
  <c r="AD357" i="12" s="1"/>
  <c r="P361" i="12"/>
  <c r="AD361" i="12" s="1"/>
  <c r="P365" i="12"/>
  <c r="AD365" i="12" s="1"/>
  <c r="P369" i="12"/>
  <c r="AD369" i="12" s="1"/>
  <c r="P373" i="12"/>
  <c r="AD373" i="12" s="1"/>
  <c r="P377" i="12"/>
  <c r="AD377" i="12" s="1"/>
  <c r="P381" i="12"/>
  <c r="AD381" i="12" s="1"/>
  <c r="K386" i="12"/>
  <c r="P386" i="12"/>
  <c r="K388" i="12"/>
  <c r="P388" i="12"/>
  <c r="AD388" i="12" s="1"/>
  <c r="Z393" i="12"/>
  <c r="P397" i="12"/>
  <c r="K407" i="12"/>
  <c r="P407" i="12"/>
  <c r="K412" i="12"/>
  <c r="P412" i="12"/>
  <c r="Y418" i="12"/>
  <c r="K421" i="12"/>
  <c r="P421" i="12"/>
  <c r="P423" i="12"/>
  <c r="K423" i="12"/>
  <c r="P424" i="12"/>
  <c r="K424" i="12"/>
  <c r="Y425" i="12"/>
  <c r="P426" i="12"/>
  <c r="K426" i="12"/>
  <c r="P427" i="12"/>
  <c r="K427" i="12"/>
  <c r="Y429" i="12"/>
  <c r="Y445" i="12"/>
  <c r="P446" i="12"/>
  <c r="AD446" i="12" s="1"/>
  <c r="K446" i="12"/>
  <c r="P454" i="12"/>
  <c r="K454" i="12"/>
  <c r="P458" i="12"/>
  <c r="Y462" i="12"/>
  <c r="Y464" i="12"/>
  <c r="Y466" i="12"/>
  <c r="K471" i="12"/>
  <c r="P481" i="12"/>
  <c r="K353" i="12"/>
  <c r="K357" i="12"/>
  <c r="K361" i="12"/>
  <c r="K365" i="12"/>
  <c r="K369" i="12"/>
  <c r="K373" i="12"/>
  <c r="K377" i="12"/>
  <c r="K381" i="12"/>
  <c r="K389" i="12"/>
  <c r="K391" i="12"/>
  <c r="K393" i="12"/>
  <c r="K397" i="12"/>
  <c r="K399" i="12"/>
  <c r="K404" i="12"/>
  <c r="K405" i="12"/>
  <c r="K406" i="12"/>
  <c r="P414" i="12"/>
  <c r="P416" i="12"/>
  <c r="K419" i="12"/>
  <c r="P419" i="12"/>
  <c r="K431" i="12"/>
  <c r="P435" i="12"/>
  <c r="AD435" i="12" s="1"/>
  <c r="K435" i="12"/>
  <c r="K440" i="12"/>
  <c r="Y451" i="12"/>
  <c r="K453" i="12"/>
  <c r="Y457" i="12"/>
  <c r="K458" i="12"/>
  <c r="K459" i="12"/>
  <c r="P462" i="12"/>
  <c r="K462" i="12"/>
  <c r="P473" i="12"/>
  <c r="K474" i="12"/>
  <c r="Y420" i="12"/>
  <c r="Z427" i="12"/>
  <c r="Y434" i="12"/>
  <c r="P437" i="12"/>
  <c r="AD437" i="12" s="1"/>
  <c r="K437" i="12"/>
  <c r="P449" i="12"/>
  <c r="AD449" i="12" s="1"/>
  <c r="K449" i="12"/>
  <c r="P456" i="12"/>
  <c r="K456" i="12"/>
  <c r="Y463" i="12"/>
  <c r="P471" i="12"/>
  <c r="P479" i="12"/>
  <c r="K479" i="14"/>
  <c r="P18" i="17"/>
  <c r="P52" i="17"/>
  <c r="P6" i="17"/>
  <c r="P22" i="17"/>
  <c r="P32" i="17"/>
  <c r="P36" i="17"/>
  <c r="P40" i="17"/>
  <c r="P46" i="17"/>
  <c r="P51" i="17"/>
  <c r="P81" i="17"/>
  <c r="P73" i="17"/>
  <c r="P86" i="17"/>
  <c r="P110" i="17"/>
  <c r="P121" i="17"/>
  <c r="P125" i="17"/>
  <c r="P134" i="17"/>
  <c r="P141" i="17"/>
  <c r="P151" i="17"/>
  <c r="P159" i="17"/>
  <c r="P166" i="17"/>
  <c r="P172" i="17"/>
  <c r="P209" i="17"/>
  <c r="P67" i="17"/>
  <c r="P84" i="17"/>
  <c r="P97" i="17"/>
  <c r="P106" i="17"/>
  <c r="P133" i="17"/>
  <c r="P139" i="17"/>
  <c r="P149" i="17"/>
  <c r="P61" i="17"/>
  <c r="P82" i="17"/>
  <c r="P117" i="17"/>
  <c r="P123" i="17"/>
  <c r="P127" i="17"/>
  <c r="P132" i="17"/>
  <c r="P137" i="17"/>
  <c r="P147" i="17"/>
  <c r="P155" i="17"/>
  <c r="P163" i="17"/>
  <c r="P170" i="17"/>
  <c r="P221" i="17"/>
  <c r="P178" i="17"/>
  <c r="P183" i="17"/>
  <c r="P189" i="17"/>
  <c r="P197" i="17"/>
  <c r="P205" i="17"/>
  <c r="P213" i="17"/>
  <c r="P225" i="17"/>
  <c r="P233" i="17"/>
  <c r="P237" i="17"/>
  <c r="P241" i="17"/>
  <c r="P248" i="17"/>
  <c r="P255" i="17"/>
  <c r="P264" i="17"/>
  <c r="P274" i="17"/>
  <c r="P281" i="17"/>
  <c r="P293" i="17"/>
  <c r="P299" i="17"/>
  <c r="P304" i="17"/>
  <c r="P317" i="17"/>
  <c r="P323" i="17"/>
  <c r="P331" i="17"/>
  <c r="P393" i="17"/>
  <c r="P411" i="17"/>
  <c r="P422" i="17"/>
  <c r="P431" i="17"/>
  <c r="P450" i="17"/>
  <c r="P455" i="17"/>
  <c r="P460" i="17"/>
  <c r="P177" i="17"/>
  <c r="P182" i="17"/>
  <c r="P187" i="17"/>
  <c r="P195" i="17"/>
  <c r="P203" i="17"/>
  <c r="P211" i="17"/>
  <c r="P223" i="17"/>
  <c r="P231" i="17"/>
  <c r="P236" i="17"/>
  <c r="P240" i="17"/>
  <c r="P244" i="17"/>
  <c r="P254" i="17"/>
  <c r="P261" i="17"/>
  <c r="P273" i="17"/>
  <c r="P279" i="17"/>
  <c r="P290" i="17"/>
  <c r="P298" i="17"/>
  <c r="P303" i="17"/>
  <c r="P314" i="17"/>
  <c r="P322" i="17"/>
  <c r="P329" i="17"/>
  <c r="P337" i="17"/>
  <c r="P343" i="17"/>
  <c r="P351" i="17"/>
  <c r="P355" i="17"/>
  <c r="P359" i="17"/>
  <c r="P363" i="17"/>
  <c r="P367" i="17"/>
  <c r="P371" i="17"/>
  <c r="P375" i="17"/>
  <c r="P379" i="17"/>
  <c r="P383" i="17"/>
  <c r="P387" i="17"/>
  <c r="P397" i="17"/>
  <c r="P403" i="17"/>
  <c r="P425" i="17"/>
  <c r="P454" i="17"/>
  <c r="P459" i="17"/>
  <c r="P464" i="17"/>
  <c r="R448" i="17"/>
  <c r="P448" i="17" s="1"/>
  <c r="AD416" i="12" l="1"/>
  <c r="AD438" i="12"/>
  <c r="AD339" i="12"/>
  <c r="AD323" i="12"/>
  <c r="AD318" i="12"/>
  <c r="AD207" i="12"/>
  <c r="AD345" i="12"/>
  <c r="AD285" i="12"/>
  <c r="AD258" i="12"/>
  <c r="AD443" i="12"/>
  <c r="AD217" i="12"/>
  <c r="AD326" i="12"/>
  <c r="AD327" i="12"/>
  <c r="AD264" i="12"/>
  <c r="AD256" i="12"/>
  <c r="AD242" i="12"/>
  <c r="AD457" i="12"/>
  <c r="AD313" i="12"/>
  <c r="AD413" i="12"/>
  <c r="AD110" i="12"/>
  <c r="AD337" i="12"/>
  <c r="AD383" i="12"/>
  <c r="AD288" i="12"/>
  <c r="AD334" i="12"/>
  <c r="AD195" i="12"/>
  <c r="AD199" i="12"/>
  <c r="AD423" i="12"/>
  <c r="AD188" i="12"/>
  <c r="AD329" i="12"/>
  <c r="AD428" i="12"/>
  <c r="AD340" i="12"/>
  <c r="AD442" i="12"/>
  <c r="AD219" i="12"/>
  <c r="AD255" i="12"/>
  <c r="AD414" i="12"/>
  <c r="AD461" i="12"/>
  <c r="AD343" i="12"/>
  <c r="AD328" i="12"/>
  <c r="AD266" i="12"/>
  <c r="AD239" i="12"/>
  <c r="AD91" i="12"/>
  <c r="AD118" i="12"/>
  <c r="AD341" i="12"/>
  <c r="AD293" i="12"/>
  <c r="AD248" i="12"/>
  <c r="AD250" i="12"/>
  <c r="AD319" i="12"/>
  <c r="AD464" i="12"/>
  <c r="AD455" i="12"/>
  <c r="AD209" i="12"/>
  <c r="AD424" i="12"/>
  <c r="AD390" i="12"/>
  <c r="AD187" i="12"/>
  <c r="AD121" i="12"/>
  <c r="AD338" i="12"/>
  <c r="AD236" i="12"/>
  <c r="AD270" i="12"/>
  <c r="AD299" i="12"/>
  <c r="AD456" i="12"/>
  <c r="AD426" i="12"/>
  <c r="AD402" i="12"/>
  <c r="AD324" i="12"/>
  <c r="AD273" i="12"/>
  <c r="AD119" i="12"/>
  <c r="AD331" i="12"/>
  <c r="AD269" i="12"/>
  <c r="AD321" i="12"/>
  <c r="AD241" i="12"/>
  <c r="AD249" i="12"/>
  <c r="AD421" i="12"/>
  <c r="AD451" i="12"/>
  <c r="AD320" i="12"/>
  <c r="AD244" i="12"/>
  <c r="AD409" i="12"/>
  <c r="AD268" i="12"/>
  <c r="AD406" i="12"/>
  <c r="AD322" i="12"/>
  <c r="AD194" i="12"/>
  <c r="AD112" i="12"/>
  <c r="AD131" i="12"/>
  <c r="AD404" i="12"/>
  <c r="AD342" i="12"/>
  <c r="AD307" i="12"/>
  <c r="AD344" i="12"/>
  <c r="AD274" i="12"/>
  <c r="AD297" i="12"/>
  <c r="AD228" i="12"/>
  <c r="AD271" i="12"/>
  <c r="AD314" i="12"/>
  <c r="AD407" i="12"/>
  <c r="AD290" i="12"/>
  <c r="AD447" i="12"/>
  <c r="AD286" i="12"/>
  <c r="AD189" i="12"/>
  <c r="AD292" i="12"/>
  <c r="AD386" i="12"/>
  <c r="AD336" i="12"/>
  <c r="AD332" i="12"/>
  <c r="AD247" i="12"/>
  <c r="AD316" i="12"/>
  <c r="AD122" i="12"/>
  <c r="AD260" i="12"/>
  <c r="AD419" i="12"/>
  <c r="AD333" i="12"/>
  <c r="AD462" i="12"/>
  <c r="AD346" i="12"/>
  <c r="AD295" i="12"/>
  <c r="AD265" i="12"/>
  <c r="AD410" i="12"/>
  <c r="AD422" i="12"/>
  <c r="AD306" i="12"/>
  <c r="AD111" i="12"/>
  <c r="AD267" i="12"/>
  <c r="AD231" i="12"/>
  <c r="AD196" i="12"/>
  <c r="AD412" i="12"/>
  <c r="AD305" i="12"/>
  <c r="AD420" i="12"/>
  <c r="AD458" i="12"/>
  <c r="AD448" i="12"/>
  <c r="AD398" i="12"/>
  <c r="AD75" i="12"/>
  <c r="AD172" i="12"/>
  <c r="AD168" i="12"/>
  <c r="AD391" i="12"/>
  <c r="AD254" i="12"/>
  <c r="AD303" i="12"/>
  <c r="AD77" i="12"/>
  <c r="AD237" i="12"/>
  <c r="AD183" i="12"/>
  <c r="AD16" i="12"/>
  <c r="AD6" i="12"/>
  <c r="AD283" i="12"/>
  <c r="AD235" i="12"/>
  <c r="AD223" i="12"/>
  <c r="AD184" i="12"/>
  <c r="AD230" i="12"/>
  <c r="AD225" i="12"/>
  <c r="AD395" i="12"/>
  <c r="AD170" i="12"/>
  <c r="AD31" i="12"/>
  <c r="AD180" i="12"/>
  <c r="AD291" i="12"/>
  <c r="AD394" i="12"/>
  <c r="AD401" i="12"/>
  <c r="AD310" i="12"/>
  <c r="AD400" i="12"/>
  <c r="AD317" i="12"/>
  <c r="AD185" i="12"/>
  <c r="AD396" i="12"/>
  <c r="AD173" i="12"/>
  <c r="AD222" i="12"/>
  <c r="AD399" i="12"/>
  <c r="AD178" i="12"/>
  <c r="AD240" i="12"/>
  <c r="AD454" i="12"/>
  <c r="AD392" i="12"/>
  <c r="AD397" i="12"/>
  <c r="AD311" i="12"/>
  <c r="AD176" i="12"/>
  <c r="AD238" i="12"/>
  <c r="AD224" i="12"/>
  <c r="AD393" i="12"/>
  <c r="AD186" i="12"/>
  <c r="AD427" i="12"/>
  <c r="Y4" i="12"/>
  <c r="AD179" i="12"/>
  <c r="AD221" i="12"/>
  <c r="AD175" i="12"/>
  <c r="AD177" i="12"/>
  <c r="AD7" i="12"/>
  <c r="P4" i="12"/>
  <c r="Z4" i="12"/>
  <c r="AD167" i="12"/>
</calcChain>
</file>

<file path=xl/sharedStrings.xml><?xml version="1.0" encoding="utf-8"?>
<sst xmlns="http://schemas.openxmlformats.org/spreadsheetml/2006/main" count="1565" uniqueCount="646">
  <si>
    <t>№</t>
  </si>
  <si>
    <t>ОМСУ</t>
  </si>
  <si>
    <t>Субсидия</t>
  </si>
  <si>
    <t>ГРБС</t>
  </si>
  <si>
    <t>Объект</t>
  </si>
  <si>
    <t>Тип объекта</t>
  </si>
  <si>
    <t>Срок реализации</t>
  </si>
  <si>
    <t>Вид работ</t>
  </si>
  <si>
    <t>Процент выполения мероприятия %</t>
  </si>
  <si>
    <t>Примечание</t>
  </si>
  <si>
    <t xml:space="preserve">Охват населения </t>
  </si>
  <si>
    <t xml:space="preserve">Ссылка на материалы </t>
  </si>
  <si>
    <t>Кассовое исполнение (тыс. руб.)</t>
  </si>
  <si>
    <t>Кассовое исполнение разбивка (тыс. руб.)</t>
  </si>
  <si>
    <t>Комментарий к кассовому исполнению</t>
  </si>
  <si>
    <t>Остаток подлежащий к оплате (тыс. руб.)</t>
  </si>
  <si>
    <t>(Разбивка) Остаток подлежащий к оплате</t>
  </si>
  <si>
    <t>ЦСР</t>
  </si>
  <si>
    <t>КВР</t>
  </si>
  <si>
    <t>Разрешение на строительтсво</t>
  </si>
  <si>
    <t>Лимиты 2020-2024 в том числе</t>
  </si>
  <si>
    <t>Контрактация (ПИР/СМР)</t>
  </si>
  <si>
    <t>Контрактация (ПИР)</t>
  </si>
  <si>
    <t>МОГЭ</t>
  </si>
  <si>
    <t>Контрактация (СМР)</t>
  </si>
  <si>
    <t>Охват населения до выполения мероприятия (чел.)</t>
  </si>
  <si>
    <t>Охват населения после выполения мероприятия (чел.)</t>
  </si>
  <si>
    <t>Федеральный бюджет</t>
  </si>
  <si>
    <t>Бюджет Московской области</t>
  </si>
  <si>
    <t>Средства города Москвы</t>
  </si>
  <si>
    <t>Бюджет ОМСУ</t>
  </si>
  <si>
    <t>Внебюджетные источники</t>
  </si>
  <si>
    <t>Получено (да/нет/не требуется)</t>
  </si>
  <si>
    <t>Плановая дата получения</t>
  </si>
  <si>
    <t>Номер и дата получения</t>
  </si>
  <si>
    <t>Всего 2020-2024</t>
  </si>
  <si>
    <t>Итого за год</t>
  </si>
  <si>
    <t>Дата публикации закупки (ПИР)</t>
  </si>
  <si>
    <t>Номер извещения о закупке (ПИР)</t>
  </si>
  <si>
    <t>Дата заключения 
контракта (ПИР)</t>
  </si>
  <si>
    <t xml:space="preserve"> № 
контракта (ПИР)</t>
  </si>
  <si>
    <t>Цена 
контракта (ПИР)</t>
  </si>
  <si>
    <t>Подрядная 
организация (ПИР)</t>
  </si>
  <si>
    <t>Ссылка 
на контракт (ПИР)</t>
  </si>
  <si>
    <t>Дата захода на экспертизу</t>
  </si>
  <si>
    <t>Дата выхода из экспертизы</t>
  </si>
  <si>
    <t>Номер заключения МОГЭ</t>
  </si>
  <si>
    <t>Дата публикации закупки (СМР)</t>
  </si>
  <si>
    <t>Номер извещения о закупке (СМР)</t>
  </si>
  <si>
    <t>Дата заключения 
контракта (СМР)</t>
  </si>
  <si>
    <t xml:space="preserve"> № 
контракта (СМР)</t>
  </si>
  <si>
    <t>Цена 
контракта (СМР)</t>
  </si>
  <si>
    <t>Подрядная 
организация (СМР)</t>
  </si>
  <si>
    <t>Ссылка 
на контракт (СМР)</t>
  </si>
  <si>
    <t>МинЖКХ</t>
  </si>
  <si>
    <t>г.о. Воскресенск</t>
  </si>
  <si>
    <t>г.о. Богородский</t>
  </si>
  <si>
    <t>г.о. Наро-Фоминск</t>
  </si>
  <si>
    <t>г.о. Солнечногорск</t>
  </si>
  <si>
    <t>Строительство сетей водоснабжения от ВРУ до т. А, по адресу: Московская обл., г. Дзержинский, в районе поймы Москвы-реки</t>
  </si>
  <si>
    <t xml:space="preserve">Реконструкция  ВЗУ №4 с установкой станции водоподготовки , г. Фрязино,  Окружной проезд, дом 2, стр. 1 (ПИР)                                         </t>
  </si>
  <si>
    <t xml:space="preserve">Реконструкция  ВЗУ №5 с установкой станции водоподготовки, г. Фрязино, пл. Введенского, дом 1, стр. 1   (ПИР)                                            </t>
  </si>
  <si>
    <t xml:space="preserv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t>
  </si>
  <si>
    <t>Строительство очисных сооружений г. Кашира д. Терново-1 (ПИР)</t>
  </si>
  <si>
    <t>Строительство сетей водоснабжения по адресу: Московская обл., г. Дзержинский (ПИР)</t>
  </si>
  <si>
    <t xml:space="preserve">Строительство автоматизированной блочно-модульной котельной производительностью 11,0 МВт по адресу: Талдомский район, р.п. Северный, ул. Садовая,  д. 12 </t>
  </si>
  <si>
    <t>МинЖКХ "ТОП 5 (1 этап)"</t>
  </si>
  <si>
    <t>МинЖКХ "ТОП 5 (2 этап)"</t>
  </si>
  <si>
    <t>г.о. Серебряные Пруды</t>
  </si>
  <si>
    <t>Минобр</t>
  </si>
  <si>
    <t>Минкульт</t>
  </si>
  <si>
    <t>Минстрой</t>
  </si>
  <si>
    <t xml:space="preserve">Реконструкция ВЗУ №4 с установкой станции водоподготовки , г. Фрязино,  Окружной проезд, дом 2, стр. 1                                     </t>
  </si>
  <si>
    <t>Реконструкция ВЗУ №5 с установкой станции водоподготовки по адресу: Московская область, г. Фрязино, площадь Введенского, д. 1, стр. 1</t>
  </si>
  <si>
    <t>Реконструкция ВЗУ Степанщино Воскресенский м.р., с устройством РЧВ 500 м. куб. и установкой станции обезжелезования; бурение доп. артскважин</t>
  </si>
  <si>
    <t>Реконструкция ВЗУ в пгт.Новый, г.о. Егорьевск</t>
  </si>
  <si>
    <t>Реконструкция ВЗУ Звездочка скважина №2 д Мотяково, д. б/н г.о. Люберцы</t>
  </si>
  <si>
    <t>Реконструкция ВЗУ №21 д.п. Красково г.о. Люберцы</t>
  </si>
  <si>
    <t>Реконструкция ВЗУ №11 г.п.Малаховка г.о. Люберцы</t>
  </si>
  <si>
    <t>Реконструкция ВЗУ №5  г.о. Люберцы</t>
  </si>
  <si>
    <t>Реконструкция ВЗУ№20-Томилино  г.о. Люберцы</t>
  </si>
  <si>
    <t>Реконструкция ВЗУ-Птицефабрика  г.о. Люберцы</t>
  </si>
  <si>
    <t>Реконструкция ВЗУ-1 г.п. Одинцово Одинцовский г.о.</t>
  </si>
  <si>
    <t>Реконструкция ВЗУ-8 г.п. Одинцово Одинцовский г.о.</t>
  </si>
  <si>
    <t>Реконструкция ВЗУ-7 г.п. Одинцово Одинцовский г.о.</t>
  </si>
  <si>
    <t>Реконструкция ВЗУ-6 г.п. Одинцово Одинцовский г.о.</t>
  </si>
  <si>
    <t>Реконструкция ВЗУ-10 г.п. Одинцово Одинцовский г.о.</t>
  </si>
  <si>
    <t>Реконструкция ВЗУ ВНИИССОК г.п. Лесной городок Одинцовский г.о.</t>
  </si>
  <si>
    <t>Реконструкция ВЗУ 1 г.п. Большие Вяземы Одинцовский г.о.</t>
  </si>
  <si>
    <t>Реконструкция ВЗУ 2 г.п. Большие Вяземы Одинцовский г.о.</t>
  </si>
  <si>
    <t>Реконструкция ВЗУ 9 Одинцовский г.о.</t>
  </si>
  <si>
    <t>Реконструкция ВЗУ В.Ромашково Одинцовский г.о.</t>
  </si>
  <si>
    <t>Реконструкция ВЗУ Н. Ромашково Одинцовский г.о.</t>
  </si>
  <si>
    <t>Реконструкция ВЗУ Ликино п. Жаворонковские Одинцовский г.о.</t>
  </si>
  <si>
    <t>Реконструкция ВЗУ ПМС-4 п. Часцовское Одинцовский г.о.</t>
  </si>
  <si>
    <t>Реконструкция ВЗУ Аниково г.Кубинка Одинцовский г.о.</t>
  </si>
  <si>
    <t>Строительство станции второго подъема и станции обезжелезивания по адресу: Московская область, Чеховский район, п. Мещерское</t>
  </si>
  <si>
    <t>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t>
  </si>
  <si>
    <t xml:space="preserve">Строительство ВЗУ  Есино г.о. Электросталь </t>
  </si>
  <si>
    <t xml:space="preserve">Строительство ВЗУ "Верея Ск №1" п. Верея (Верейское с/п), ул. Почтовая, д. 7 Орехово-Зуевский г.о. </t>
  </si>
  <si>
    <t xml:space="preserve">Реконструкция ВЗУ "Кировский" г. Орехово-Зуево, ул. Кирова,  Орехово-Зуевский г.о. </t>
  </si>
  <si>
    <t>Реконструкция ВЗУ "Стрелки" г. Орехово-Зуево, проезд. Сосновый, Орехово-Зуевский  г.о.</t>
  </si>
  <si>
    <t xml:space="preserve">Реконструкция водопровода от ВЗУ "Новая стройка" до городского парка с переходом по железной дорогой, L=750 м  Орехово-Зуевский г.о.  </t>
  </si>
  <si>
    <t>Реконструкция водопровода от Водозаборного узла "Стрелки" до ДСК, далее до перекрестка Малодубенское шоссе-ул. Северная,  L= 2950 м  Орехово-Зуевский г.о.</t>
  </si>
  <si>
    <t>Реконструкция ВЗУ №4 г.о. Жуковский</t>
  </si>
  <si>
    <t>Реконструкция ВЗУ №1 г.о. Жуковский</t>
  </si>
  <si>
    <t>Реконструкция ВЗУ №2 г.о. Жуковский</t>
  </si>
  <si>
    <t xml:space="preserve">Реконструкция ВЗУ № 1 г. Пушкино Пушкинский г.о. </t>
  </si>
  <si>
    <t>изменился срок реализации</t>
  </si>
  <si>
    <t>Реконструкция ВЗУ № 3 г. Пушкино г.о. Пушкино</t>
  </si>
  <si>
    <t>Реконструкция ВЗУ № 12 г. Пушкино Пушкинский г.о.</t>
  </si>
  <si>
    <t>Реконструкция ВЗУ № 14 пос. Правдинский  Пушкинский г.о.</t>
  </si>
  <si>
    <t>Реконструкция ВЗУ № 18 пос. Правдинский  г.о. Пушкино</t>
  </si>
  <si>
    <t>Реконструкция ВЗУ № 42  пос. Царевское Пушкинский г.о.</t>
  </si>
  <si>
    <t>Реконструкция ВЗУ № 8  пос. Царевское  г.о. Пушкино</t>
  </si>
  <si>
    <t>Реконструкция ВЗУ Большие Парфенки Московская область, Можайский городской округ, с.п. Борисовское, д. Большие Парфенки</t>
  </si>
  <si>
    <t>Реконструкция ВЗУ № 5 ЦМИС г.о. Солнечногорск</t>
  </si>
  <si>
    <t>Реконструкция ВЗУ д.Брехово г.о. Солнечногорск</t>
  </si>
  <si>
    <t>Реконструкция ВЗУ №4 д. Кресты  г.о. Солнечногорск</t>
  </si>
  <si>
    <t>Реконструкция ВЗУ №8 д. Тимоново  г.о. Солнечногорск</t>
  </si>
  <si>
    <t>Реконструкция ВЗУ №6 СЭМЗ  г.о. Солнечногорск</t>
  </si>
  <si>
    <t>Реконструкция ВЗУ №2 ул. Рабочая  г.о. Солнечногорск</t>
  </si>
  <si>
    <t>Реконструкция ВЗУ №1Ул. Крупской  г.о. Солнечногорск</t>
  </si>
  <si>
    <t>Реконструкция ВЗУ №3 пос. Матросова  г.о. Солнечногорск</t>
  </si>
  <si>
    <t>Реконструкция ВЗУ №9 пос. Сан.МО  г.о. Солнечногорск</t>
  </si>
  <si>
    <t>Реконструкция ВЗУ №14  д. Новая  городского округа Солнечногорск (доукомплектация станцией очистки воды) (в т.ч. Тех.присоединение)</t>
  </si>
  <si>
    <t>Реконструкция ВЗУ №19 д. Толстяково г.о. Солнечногорск</t>
  </si>
  <si>
    <t>Реконструкция ВЗУ №1 д.п. Поварово мкрн. Поваровка городского округа Солнечногорск (доукомплектация станцией очистки воды)</t>
  </si>
  <si>
    <t>Реконструкция ВЗУ №3 п. Деденево, ул. Набережная, г.о. Дмтровский</t>
  </si>
  <si>
    <t>Реконструкция ВЗУ№1 г. Яхрома, ул. Рабочая; Дмитровский г.о</t>
  </si>
  <si>
    <t>Реконструкция ВЗУп. Насадкино г.о. Дмтровский</t>
  </si>
  <si>
    <t>Реконструкция ВЗУ д. Бунятино г.о. Дмтровский</t>
  </si>
  <si>
    <t>Реконструкция ВЗУ д. Юркино Талдомский г.о.</t>
  </si>
  <si>
    <t>Реконструкция ВЗУ Павловичи г.о. Талдомский</t>
  </si>
  <si>
    <t>Строительство ВЗУ №8 г. Волоколамск, ул. Мелиораторов, Волоколамский г.о.</t>
  </si>
  <si>
    <t>Реконструкция ВЗУ №14 г. Волоколамск,  ул. Лесная, Волоколамский г.о.</t>
  </si>
  <si>
    <t>Реконструкция ВЗУ-442 г. Верея, проезд. Ленинский, Наро-Фоминский г.о.</t>
  </si>
  <si>
    <t>Реконструкция ВЗУ-11пгт. Горки Ленинские, Ленинский г.о.</t>
  </si>
  <si>
    <t>Реконструкция ВЗУ-18 с/п. Молоковское, с. Остров, ул. Центральная, Ленинский г.о.</t>
  </si>
  <si>
    <t>Реконструкция ВЗУ-15 с/п. Молоковское,  Ленинский г.о.</t>
  </si>
  <si>
    <t>Строительство водозаборного узла в д. Дроздово сельского поселения Развилковское Ленинского муниципального района Московской области</t>
  </si>
  <si>
    <t>Строительство сети водоснабжения по адресу: Московской области, Ленинский г.о. сельское поселение Булатниковское, с. Булатниково.</t>
  </si>
  <si>
    <t>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t>
  </si>
  <si>
    <t>Реконструкция водозаборного узла в п/о "Петровское" городского поселения Горки Ленинские Ленинского муниципального района Московской области</t>
  </si>
  <si>
    <t>Реконструкция водозаборного узла № 8 в п.Горки Ленинские городского поселения Горки Ленинские Ленинского городского округа Московской области</t>
  </si>
  <si>
    <t>Реконструкция ВЗУ Пироговкий г.о. Мытищи</t>
  </si>
  <si>
    <t>Реконструкция ВЗУ № 1 г.о.Дзержинский с переводом в станцию второго подъема производительностью 10 тыс. м3/сут.</t>
  </si>
  <si>
    <t xml:space="preserve"> Реконструкция ВЗУ № 3 г.о.Дзержинский с переводом в станцию второго подъема производительностью 10 тыс. м3/сут</t>
  </si>
  <si>
    <t>Строительсвто сетей водоснабжения от т.А до ВЗУ-3 по адресу: Московская обл., г. Дзержинский, ул. Дзержинская</t>
  </si>
  <si>
    <t>Строительство сетей водоснабжения от т.А до ВЗУ-1 по адресу: Московская обл., г.Дзержинский, ул.Академика Жукова</t>
  </si>
  <si>
    <t>Реконструкция водопроводных сетей в мкр. Опалиха, расположенных по адресу: Московская область, г/о Красногорск, мкр. Опалиха</t>
  </si>
  <si>
    <t>Строительство присоединительного водовода от НС-9 в г.п. Старая Купавна к пос. Рыбхоз, к пос. Зеленый и д. Щемилово</t>
  </si>
  <si>
    <t>Строителььство ВЗУ «Заречье» и сетей водоснабжения  с врезкой в существующую сеть,  г.о. Богородский</t>
  </si>
  <si>
    <t>Строительство II-ой нитки присоединительного водовода Ду 500 мм от ВК-7/14 до НС-9 г.о. Богородский</t>
  </si>
  <si>
    <t>Строительство сетей водоснабжения в г. Старая Купавна Богородского г.о.</t>
  </si>
  <si>
    <t>Строительство  присоеденительного водовода от Восточной системы водоснабжения Московской области к  д. Тимохово Богородский г.о. (в том числе ПИР)</t>
  </si>
  <si>
    <t>Реконструкция НС-1 Восточнй системы водоснабжения</t>
  </si>
  <si>
    <t>Реконструкция ВЗУ Карьероуправление с.п. Дровнинское, д. Карьероуправление г.о. Можайский</t>
  </si>
  <si>
    <t>Реконструкция ВЗУ Цветковский с.п. Дровнинское, п. Цветковский г.о. Можайский</t>
  </si>
  <si>
    <t>Реконструкция ВЗУ Сокольниковос с.п. Юрловское, с. Сокольниково г.о. Можайский</t>
  </si>
  <si>
    <t>Реконструкция ВЗУ Мокрое с.п. Замошинское, д. Мокрое г.о. Можайский</t>
  </si>
  <si>
    <t>Реконструкция ВЗУ Семеновское Московская область, Можайский городской округ, с.п. Замошинское, д. Семеновское</t>
  </si>
  <si>
    <t>Реконструкция ВЗУ №1 и №2 Павлищево Московская область, Можайский городской округ, с.п. Клементьевское, д. Павлищево</t>
  </si>
  <si>
    <t>Реконструкция ВЗУ Новая Московская область, Можайский городской округ, г.п. Можайск, д. Новая</t>
  </si>
  <si>
    <t>Реконструкция ВЗУ Логиново Московская область, Можайский городской округ, с.п. Бородинское, д. Логиново</t>
  </si>
  <si>
    <t>Реконструкция ВЗУ Сокольниково ул. Верхнее Сокольниково Московская область, Можайский городской округ, с.п. Юрловское</t>
  </si>
  <si>
    <t>Реконструкция ВЗУ Преснецово Московская область, Можайский городской округ, с.п. Юрловское, д. Преснецово</t>
  </si>
  <si>
    <t>Реконструкция ВЗУ Марфин Брод Московская область, Можайский городской округ, г.п. Можайск, д. Марфин Брод</t>
  </si>
  <si>
    <t>Реконструкция ВЗУ Троица Московская область, Можайский городской округ, с.п. Бородинское, д. Троица</t>
  </si>
  <si>
    <t>Реконструкция ВЗУ Клементьево с.п. Клементьевское, д. Клементьево г.о. Можайский</t>
  </si>
  <si>
    <t>Реконструкция ВЗУ Александрово Московская область, Можайский городской округ, с.п. Бородинское, п. учхоза Александрово</t>
  </si>
  <si>
    <t>Реконструкция ВЗУ Язево  Московская область, Можайский городской округ, с.п. Борисовское, д. Язево</t>
  </si>
  <si>
    <t>Строительство ВЗУ по адресу: г. Волоколамск, ул. Пороховская (в том числе корректировка проекта) (в том числе кредиторская задолженность)</t>
  </si>
  <si>
    <t>Строительство ВЗУ с установкой станции обезжелезивания по адресу: городской округ Луховицы,  д. Круглово (в т.ч. ПИР)</t>
  </si>
  <si>
    <t>Реконструкция ВЗУ, расположенного по адресу: Московская область, Можайский район, п. Спутник  (в том числе ПИР)</t>
  </si>
  <si>
    <t>Реконструкция ВЗУ Степанщино Воскресенский м.р., с устройством РЧВ 500 м. куб. и установкой станции обезжелезования; бурение доп. артскважин (в том числе ПИР)</t>
  </si>
  <si>
    <t>Строительство ВЗУ в  д. Глазово, Серпуховский м.р. (в том числе ПИР)</t>
  </si>
  <si>
    <t>Строительство ВЗУ в д. Селино, д. Вечери, Серпуховский м.р. (в том числе ПИР)</t>
  </si>
  <si>
    <t>Строительство ВЗУ в д. Б. Грызлово, Серпуховский м.р. (в том числе ПИР)</t>
  </si>
  <si>
    <t>Строительство ВЗУ в д. Калугино, Серпуховский м.р. (в том числе ПИР)</t>
  </si>
  <si>
    <t>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t>
  </si>
  <si>
    <t>Реконструкция и модернизация комплекса сооружений водопроводной насосной станции №5 (ВЗУ№5) ,  г. Жуковский</t>
  </si>
  <si>
    <t>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t>
  </si>
  <si>
    <t>Строительство ВЗУ  в местечке Крольчатник  г.о. Орехово-Зуево</t>
  </si>
  <si>
    <t>Реконструкция системы водоснабжения с установкой оборудования водоподготовки, ВЗУ №3 гп Фряново Щелковского района Московсой области (ПИР)</t>
  </si>
  <si>
    <t>Реконструкция ВЗУ №1 и ВЗУ №3 г.о. Дзержинский (ПИР)</t>
  </si>
  <si>
    <t>Строительство и реконструкция артезианских скважин г.о. Шатура (бывшая территория г.о. Рошаль) ПИР</t>
  </si>
  <si>
    <t>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t>
  </si>
  <si>
    <t>Капитальный ремонт ВНС № 29  с устройством станции обезжелезивания,   пос. Софрино, ул. Комсомольская, д.13, г.п. Софрино</t>
  </si>
  <si>
    <t>Приобретение, монтаж и ввод в эксплуатацию  станции водоочистки на ВЗУ дер. Б.Буньково, мкр. Фабрики,  Богородский г.о.</t>
  </si>
  <si>
    <t xml:space="preserve">Приобретение, монтаж и ввод в эксплуатацию  станции водоочистки на ВЗУ дер. Караваево, Богородский г.о.  </t>
  </si>
  <si>
    <t>Приобретение, монтаж и ввод в эксплуатацию   станции водоочистки на ВЗУ дер. Б.Буньково, ул. Ленинская, 126 (БЗКИ), Богородский г.о.</t>
  </si>
  <si>
    <t>Приобретение, монтаж и ввод в эксплуатацию    станции водоочистки на ВЗУ дер. Б.Буньково, ул. Ленинская, 126 (ул. Демонстрационная), Богородский г.о.</t>
  </si>
  <si>
    <t xml:space="preserve">Капитальный ремонт участка водопровода Ду-500 мм в г.п.  Старая Купавна </t>
  </si>
  <si>
    <t>Приобретение, монтаж и ввод в эксплуатацию станции водоподготовки на ВЗУ-5, Воскресенский м.р., д. Цибино г.п. Белоозерский</t>
  </si>
  <si>
    <t>Приобретение, монтаж и ввод в эксплуатацию станции водоподготовки на ВЗУ-6, Воскресенский м.р., дер. Ивановка  г.п. Белоозерский</t>
  </si>
  <si>
    <t>Приобретение, монтаж и ввод в эксплуатацию станции водоподготовки на ВЗУ-8,  Воскресенский м.р.,  дер. Ворщиково  г.п. Белоозерский</t>
  </si>
  <si>
    <t xml:space="preserve">Приобретение, монтаж и ввод в эксплуатацию станции водоподготовки на ВЗУ - 9, Воскресенский м.р., дер.  Ворщиково г.п. Белоозерский </t>
  </si>
  <si>
    <t>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t>
  </si>
  <si>
    <t>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t>
  </si>
  <si>
    <t>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t>
  </si>
  <si>
    <t>Приобретение, монтаж и ввод в эксплуатацию станции водоочистки, д. Софьино (в том числе погашение кредиторской задолженности - 6 157,72 тыс.руб.)  г.о. Наро-Фоминск</t>
  </si>
  <si>
    <t>Приобретение, монтаж и ввод в эксплуатацию станции обезжелезивания на ВЗУ № 15, д. Стрелино, с. п. Кривцовское  Солнечногорский м.р.</t>
  </si>
  <si>
    <t>Приобретение, монтаж и ввод в эксплуатацию станции обезжелезивания на ВЗУ № 19, д. Тараканово, с. п. Смирновское Солнечногорский м.р.</t>
  </si>
  <si>
    <t>Капитальный ремонт ВЗУ №3 со станцией обезжелезивания г. Щелково, ул. Центральная 1-ый и 2-ой этапы</t>
  </si>
  <si>
    <t>Капитальный ремонт ВЗУ  со станцией обезжелезивания  ул. Розы Люксембург, г.п. Загорянский  Щелковский муниципальный район Московской области (I этап)</t>
  </si>
  <si>
    <t>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t>
  </si>
  <si>
    <t>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t>
  </si>
  <si>
    <t>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t>
  </si>
  <si>
    <t>Приобретение, монтаж и ввод в эксплуатацию станции водоочистки, Сергиево-Посадский м.р., с.п. Шеметово, д. Самотовино</t>
  </si>
  <si>
    <t>Капитальный ремонт ВЗУ в п. Архангельское Красногорского района</t>
  </si>
  <si>
    <t>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t>
  </si>
  <si>
    <t xml:space="preserve">Капитальный ремонт ВЗУ № 4 по адресу: Московская область, Пушкинский муниципальный район, г.Пушкино, мкр. Новая деревня  </t>
  </si>
  <si>
    <t xml:space="preserve">Приобретение, монтаж и ввод в эксплуатацию станции водоочистки по адресу: д. Михали, г.о. Егорьевск. </t>
  </si>
  <si>
    <t xml:space="preserve">Приобретение, монтаж и ввод в эксплуатацию станции водоочистки по адресу: д.Клеменово, г.о. Егорьевск. </t>
  </si>
  <si>
    <t xml:space="preserve">Приобретение, монтаж и ввод в эксплуатацию станции водоочистки по адресу: д. Лелечи, г.о. Егорьевск. </t>
  </si>
  <si>
    <t xml:space="preserve">Приобретение, монтаж и ввод в эксплуатацию станции водоочистки по адресу: д. Захарово, 3В, г.о. Егорьевск. </t>
  </si>
  <si>
    <t xml:space="preserve">Приобретение, монтаж и ввод в эксплуатацию станции водоочистки по адресу: д. Дмитровка, г.о. Егорьевск. </t>
  </si>
  <si>
    <t xml:space="preserve">Приобретение, монтаж и ввод в эксплуатацию станции водоочистки по адресу: д. Жучага, г.о. Егорьевск. </t>
  </si>
  <si>
    <t xml:space="preserve">Приобретение, монтаж и ввод в эксплуатацию станции водоочистки по адресу: д. Радовицы, г.о. Егорьевск. </t>
  </si>
  <si>
    <t xml:space="preserve">Приобретение, монтаж и ввод в эксплуатацию станции водоочистки по адресу: д. Леоново, г.о. Егорьевск. </t>
  </si>
  <si>
    <t xml:space="preserve">Приобретение, монтаж и ввод в эксплуатацию станции водоочистки по адресу: д. Волково, г.о. Егорьевск. </t>
  </si>
  <si>
    <t>Приобретение, монтаж и ввод в эксплуатацию станции очистки воды на ВЗУ в с. Старое Бобренево, Коломенский г.о.</t>
  </si>
  <si>
    <t>Приобретение, монтаж и ввод в эксплуатацию станции  очистки воды на ВЗУ в с. Октябрьское, Коломенский г.о.</t>
  </si>
  <si>
    <t>Приобретение, монтаж и ввод в эксплуатацию станции  очистки воды на ВЗУ в д. Семеновское, Коломенский г.о.</t>
  </si>
  <si>
    <t>Приобретение, монтаж и ввод в эксплуатацию станции  очистки воды на ВЗУ в д. Семибратское, Коломенский г.о.</t>
  </si>
  <si>
    <t>Приобретение, монтаж и ввод в эксплуатацию станции  очистки воды на ВЗУ в п. Возрождение, Коломенский г.о.</t>
  </si>
  <si>
    <t>Приобретение, монтаж и ввод в эксплуатацию станции  очистки воды на ВЗУ в с. Лукерьино-2, Коломенский г.о.</t>
  </si>
  <si>
    <t>Приобретение, монтаж и ввод в эксплуатацию станции  очистки воды на ВЗУ в с. Парфентьево, Коломенский г.о.</t>
  </si>
  <si>
    <t>Приобретение, монтаж и ввод в эксплуатацию станции  очистки воды на ВЗУ в д. В. Хорошово, Коломенский г.о.</t>
  </si>
  <si>
    <t>Приобретение, монтаж и ввод в эксплуатацию станции  очистки воды на ВЗУ в д. Проводник-2, Коломенский г.о.</t>
  </si>
  <si>
    <t>Приобретение, монтаж и ввод в эксплуатацию станции  очистки воды на ВЗУ в п. Запрудный, Коломенский г.о.</t>
  </si>
  <si>
    <t>Приобретение, монтаж и ввод в эксплуатацию станции  очистки воды на ВЗУ в с. Горки, Коломенский г.о.</t>
  </si>
  <si>
    <t>Приобретение, монтаж и ввод в эксплуатацию станции  очистки воды на ВЗУ в с. Макшеево, Коломенский г.о.</t>
  </si>
  <si>
    <t>Приобретение, монтаж и ввод в эксплуатацию станции  очистки воды на ВЗУ в д. Молитвино, Коломенский г.о.</t>
  </si>
  <si>
    <t>Приобретение, монтаж и ввод в эксплуатацию станции  очистки воды на ВЗУ в д. Новая, Коломенский г.о.</t>
  </si>
  <si>
    <t>Приобретение, монтаж и ввод в эксплуатацию станции  очистки воды на ВЗУ в д. Молодинки (Новопокровское), Коломенский г.о.</t>
  </si>
  <si>
    <t>Приобретение, монтаж и ввод в эксплуатацию станции  очистки воды на ВЗУ в д. Колодкино, Коломенский г.о.</t>
  </si>
  <si>
    <t>Приобретение, монтаж и ввод в эксплуатацию станции  очистки воды на ВЗУ в д. Туменское, Коломенский г.о.</t>
  </si>
  <si>
    <t>Приобретение, монтаж и ввод в эксплуатацию станции  очистки воды на ВЗУ в с. Никульское, Коломенский г.о.</t>
  </si>
  <si>
    <t>Приобретение, монтаж и ввод в эксплуатацию станции  очистки воды на ВЗУ в д. Лыково, Коломенский г.о.</t>
  </si>
  <si>
    <t>Приобретение, монтаж и ввод в эксплуатацию станции водоочистки на ВЗУ №9, по ажресу: Московская обл., г. Пушкино, мкр. Серебрянка</t>
  </si>
  <si>
    <t>Приобретение, монтаж и ввод в эксплуатацию станции водоочистки на ВЗУв д. Лидино, Рузский г.о.</t>
  </si>
  <si>
    <t>Приобретение, монтаж и ввод в эксплуатацию станции водоочистки на ВЗУв с. Никольское, соор.64,, Рузский г.о.</t>
  </si>
  <si>
    <t>Приобретение, монтаж и ввод в эксплуатацию станции водоочистки на ВЗУв д. Колодкино, ул. Верейская д.176, Рузский г.о.</t>
  </si>
  <si>
    <t>Приобретение, монтаж и ввод в эксплуатацию станции водоочистки на ВЗУв д. Грибцово, ул. Больничная д.138, Рузский г.о.</t>
  </si>
  <si>
    <t>Приобретение, монтаж и ввод в эксплуатацию станции водоочистки на ВЗУв д. Новоивановское,  д.81, Рузский г.о.</t>
  </si>
  <si>
    <t>Приобретение, монтаж и ввод в эксплуатацию станции водоочистки на ВЗУв д. Филатово  д.1, стр.2, Рузский г.о.</t>
  </si>
  <si>
    <t>Приобретение, монтаж и ввод в эксплуатацию станции водоочистки на ВЗУв д. Леньково  д.2, стр.2, Рузский г.о.</t>
  </si>
  <si>
    <t>Приобретение, монтаж и ввод в эксплуатацию станции водоочистки на ВЗУв д. Лихачево  д.108, Рузский г.о.</t>
  </si>
  <si>
    <t>Приобретение, монтаж и ввод в эксплуатацию станции водоочистки на ВЗУв д. Ивойлово, соор.19, Рузский г.о.</t>
  </si>
  <si>
    <t>Приобретение, монтаж и ввод в эксплуатацию станции водоочистки на ВЗУв д. Комлево,  Рузский г.о.</t>
  </si>
  <si>
    <t>Приобретение, монтаж и ввод в эксплуатацию станции водоочистки на ВЗУв д. Городище, п/ст151, соор.2В,  Рузский г.о.</t>
  </si>
  <si>
    <t>Приобретение, монтаж и ввод в эксплуатацию станции водоочистки на ВЗУв д. Маврино, г.о. Шатура</t>
  </si>
  <si>
    <t>Приобретение, монтаж и ввод в эксплуатацию станции водоочистки на ВЗУв д. Самойлиха, г.о. Шатура</t>
  </si>
  <si>
    <t>Приобретение, монтаж и ввод в эксплуатацию станции водоочистки на ВЗУв с. Иванисово, ул. Центральная усадьба, д.1, г.о. Электросталь</t>
  </si>
  <si>
    <t>Приобретение, монтаж и ввод в эксплуатцию станций водоочистки на ВЗУ в д. Титово г.о. Зарайск</t>
  </si>
  <si>
    <t>Приобретение, монтаж и ввод в эксплуатацию станции обезжелезивания на ВЗУ, п. Павлово, г.о.  Егорьевск</t>
  </si>
  <si>
    <t>Приобретение, монтаж и ввод в эксплуатацию станции обезжелезивания на ВЗУ, п. Шувое, г.о. Егорьевск</t>
  </si>
  <si>
    <t>Приобретение, монтаж и ввод в эксплуатацию станции  очистки воды на ВЗУ в п. Лесной, Коломенский г.о.</t>
  </si>
  <si>
    <t>Приобретение, монтаж и ввод в эксплуатацию станций водоочитски ВЗУ д. Алехново  г.о. Истра</t>
  </si>
  <si>
    <t>Приобретение, монтаж и ввод в эксплуатацию станций водоочитски ВЗУ д. Лечищево  г.о. Истра</t>
  </si>
  <si>
    <t>Приобретение, монтаж и ввод в эксплуатацию станций водоочитски ВЗУ п. Румянцево, ул. Садовая  г.о. Истра</t>
  </si>
  <si>
    <t>Приобретение, монтаж и ввод в эксплуатацию станций водоочитски ВЗУ д. Дарна  г.о. Истра</t>
  </si>
  <si>
    <t>Приобретение, монтаж и ввод в эксплуатацию станций водоочитски на ВЗУ д. Буньково г.о. Истра</t>
  </si>
  <si>
    <t>Приобретение, монтаж и ввод в эксплуатацию станции водоочистки на ВЗУ №27 по адресу: Московская область, Пушкинский городской округ, р.п. Софрино, ул. Сетевая</t>
  </si>
  <si>
    <t>Реконструкция ВЗУ, расположенного по адресу: Московская область, Можайский район, с. Тропарево  (в т.ч. ПИР)</t>
  </si>
  <si>
    <t>Реконструкция   ВЗУ, расположенного по адресу: Московская область, Можайский район, Красный Балтиец  (в т.ч. ПИР)</t>
  </si>
  <si>
    <t>Реконструкция   ВЗУ, расположенного по адресу: Московская область, Можайский район, п.Колычево  (в т.ч. ПИР)</t>
  </si>
  <si>
    <t>Реконструкция  ВЗУ,  расположенного по адресу: Московская область, Можайский район, п.Поречье  (в т.ч. ПИР)</t>
  </si>
  <si>
    <t>Капитальный ремонт   ВЗУ расположенного по адресу: Московская область, Можайский г.о., п. Бородинское поле</t>
  </si>
  <si>
    <t>Строительство городских канализационных очистных сооружений в г. Лыткарино производительностью 30 000 м куб. в сутки</t>
  </si>
  <si>
    <t>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t>
  </si>
  <si>
    <t>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t>
  </si>
  <si>
    <t xml:space="preserve">Реконструкция очистных сооружений биологической очистки, мощностью 500 м. куб. в сутки. дер. Степанщино, Воскресенский м.р. (в том числе ПИР)          </t>
  </si>
  <si>
    <t>Реконструкция очистных сооружений, с. Непецино (в том числе ПИР) г.о. Коломенский</t>
  </si>
  <si>
    <t xml:space="preserve">Реконструкция очистных сооружений близ пос. Сергиевский Коломенского городского округа (ПИР) </t>
  </si>
  <si>
    <t xml:space="preserve">Строительство блочно-модульной станции очистки хозяйственно-бытовых сточных вод, Серпуховский м.р., с. Райсеменовское ( в том числе ПИР) </t>
  </si>
  <si>
    <t xml:space="preserve">Реконструкция очистных сооружений пос. Горки 10 Одинцовского г.о. </t>
  </si>
  <si>
    <t>Реконструкция биологических очистных сооружений канализации по адресу: городской округ Электросталь, пос. Фрязево (в том числе ПИР)</t>
  </si>
  <si>
    <t>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t>
  </si>
  <si>
    <t>изменен срок реализации</t>
  </si>
  <si>
    <t>Строительство  очистных сооружений канализации д. Корпуса  (в том числе ПИР) г.о. Лосино-Петровский</t>
  </si>
  <si>
    <t xml:space="preserve">Реконструкция очистных сооружений  г. Серпухов пер. Безымянный д.1 ( ПИР) </t>
  </si>
  <si>
    <t>Реконструкция очистных сооружений  г. Павловский Посад пер. Интернациональный д. 28 Б (ПИР)</t>
  </si>
  <si>
    <t>Реконструкция очистных сооружений   г.п. Солнечногорск, д. Осипово (ПИР)</t>
  </si>
  <si>
    <t xml:space="preserve">Строительство очистных сооружений г. Наро-Фоминск ул. Профсоюзная  (ПИР) </t>
  </si>
  <si>
    <t>Строительство очистных сооружений канализации г.п. Сергиев-Посад мощностью 40 тыс. куб.м/сут. (ПИР)</t>
  </si>
  <si>
    <t>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t>
  </si>
  <si>
    <t>Строительство очистных сооружений,  г. Шатура, ул. Малькина Грива  (ПИР)</t>
  </si>
  <si>
    <t>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t>
  </si>
  <si>
    <t>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t>
  </si>
  <si>
    <t>Приобретение, монтаж и ввод в эксплуатацию 2-х воздуходувок на очистных сооружениях в г. Рошаль г.о. Шатура</t>
  </si>
  <si>
    <t>Реконструкция очистных сооружений г. Можайск (в том числе ПИР), кадастровый номер 50:180030307:1016 от 20.11.2018</t>
  </si>
  <si>
    <t>Реконструкция самотечного канализационного коллектора по адресу: г. Воскресенск, от жилого дома № 23 по ул. Мичурина до КНС, ул. Коломенская, д.10</t>
  </si>
  <si>
    <t xml:space="preserve">Реконструкция самотечного канализационного коллектора по адресу: г. Воскресенск, от жилого дома № 28 ул. Маркина  до КНС, ул. Центральная, д. 32а </t>
  </si>
  <si>
    <t xml:space="preserv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t>
  </si>
  <si>
    <t xml:space="preserve">Реконструкция КНС по адресу: г. Воскресенск, ул. Лермонтова, д.7а </t>
  </si>
  <si>
    <t>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t>
  </si>
  <si>
    <t>Модернизация КНС "Соколовская" г.Щелково, в том числе:</t>
  </si>
  <si>
    <t>В том числе проектно-изыскательские работы
 (к объекту Модернизация КНС "Соколовская" г.Щелково - включено в общую стоимость работ))</t>
  </si>
  <si>
    <t>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правом берегу с дюкерным переходом через реку Москву</t>
  </si>
  <si>
    <t>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работы, выполненные в предшествующие годы: 2015 г. – 14258,99 тыс. руб.), в том числе: корректировка проекта</t>
  </si>
  <si>
    <t xml:space="preserv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t>
  </si>
  <si>
    <t>Реконструкция канализационного коллектора с Д-400 на Д-800 мм, г.п. Солнечногорск (в том числе ПИР)</t>
  </si>
  <si>
    <t>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t>
  </si>
  <si>
    <t>Капитальный ремонт самотечного каналиационного коллектора Д=500мм в п. Оболенск, Серпуховский м.р.</t>
  </si>
  <si>
    <t xml:space="preserve">Капитальный ремонт коллектора 2Д=1200мм (две нитки), проходящего в железобетонном дюкере по дну реки Клязьма и в прилегающей береговой зоне,  Щелковский м.р. </t>
  </si>
  <si>
    <t xml:space="preserve">Капитальный ремонт Фенинской районной канализационной насосной станции, г.о. Балашиха </t>
  </si>
  <si>
    <t>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t>
  </si>
  <si>
    <t>Капитальный ремонт напорного канализационного коллектора от КНС д. Новое до ОАО "Куровские очистные сооружения" (в т.ч. ПИР), Орехово-Зуевский г.о.</t>
  </si>
  <si>
    <t>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них средства бюджета Московской области – 5 500,02 тыс.руб., средства бюджета муниципального образования -2 203,09 тыс.руб.)</t>
  </si>
  <si>
    <t xml:space="preserv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3 962,00 тыс.руб. средства бюджета Московской области)  </t>
  </si>
  <si>
    <t>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t>
  </si>
  <si>
    <t>Капитальный ремонт самотечного  канализационного коллектора в районе д. Малиновые луга, Орехово-Зувский городской округ (в том числе ПИР)</t>
  </si>
  <si>
    <t>Капитальный ремонт канализационного коллектора мкрн. Березки, д.Жуково, г.о. Солнечногорск</t>
  </si>
  <si>
    <t xml:space="preserv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t>
  </si>
  <si>
    <t xml:space="preserve">Строительство газовой котельной 20 Мвт в мкр. Ольгино г. Балашиха (в том числе ПИР) </t>
  </si>
  <si>
    <t>Строительство сетей водоснабжения, в д. Глазово, Серпуховский м.р. (в т.ч. ПИР)</t>
  </si>
  <si>
    <t>Строительство  сетей водоснабжения в д. Селино, д. Вечери, Серпуховский м.р. (в т.ч. ПИР)</t>
  </si>
  <si>
    <t>Строительство сетей водоснабжения в д. Б. Грызлово, Серпуховский м.р. (в т.ч. ПИР)</t>
  </si>
  <si>
    <t>Строительство сетей водоснабжения в д. Калугино, Серпуховский м.р. (в т.ч. ПИР)</t>
  </si>
  <si>
    <t>Строительство БМК мощностью 1,2 МВт , д. Щемилово, г.о. Богородский</t>
  </si>
  <si>
    <t>Строительство БМК мощностью 1 МВт , д. Щемилово, г.о. Богородский</t>
  </si>
  <si>
    <t xml:space="preserve">Капитальный ремонт сетей водоснабжения мкр. Железнодорожный, г.о. Балашиха (1 и 2 этапы) </t>
  </si>
  <si>
    <t xml:space="preserve">Реконструкция котельной, расположенной по адресу: г. Долгопрудный, ул. Спортивная, д. 3а  (в т.ч. ПИР) </t>
  </si>
  <si>
    <t xml:space="preserve">Строительство котельной по адресу: д. Судниково сельского поселения Спасское (в том числе ПИР) </t>
  </si>
  <si>
    <t>Строительство сетей теплоснабжения от котельной до потребителей в д. Судниково (ПИР)</t>
  </si>
  <si>
    <t>Строительство сетей водоснабжения от д. Поповская к д. Круги, д. Соломаево и д. Поцелуево г.о. Егорьевск (ПИР)</t>
  </si>
  <si>
    <t>Приобретение , монтаж и ввод в эксплуатацию  котельной в д. Козловка г.о. Зарайск</t>
  </si>
  <si>
    <t>Приобретение , монтаж и ввод в эксплуатацию котельной д. Новоселки г.о. Зарайск</t>
  </si>
  <si>
    <t xml:space="preserve">Строительство блочно-модульной котельной "ГПТУ" со снижением мощности в г. Зарайск, г.о. Зарайск (в т.ч. ПИР) </t>
  </si>
  <si>
    <t xml:space="preserve">Строительство блочно-модульной котельной "Струпна" со снижением мощности в с. Чулки-Соколово, г.о. Зарайск (в т.ч. ПИР) </t>
  </si>
  <si>
    <t>Строительство блочно-модульной котельной со снижением мощности в г. Зарайск, пос. ПМК-6  г.о. Зарайск (в т.ч. ПИР)</t>
  </si>
  <si>
    <t xml:space="preserv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и электроснабжения) </t>
  </si>
  <si>
    <t xml:space="preserve">Строительство блочно-модульной котельной со снижением мощности в д. Авдеево, г.о. Зарайск (в т.ч. ПИР) </t>
  </si>
  <si>
    <t>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t>
  </si>
  <si>
    <t xml:space="preserve">Строительство блочно-модульной котельной со снижением мощности в д. Алферьево, г.о. Зарайск (в т.ч. ПИР) </t>
  </si>
  <si>
    <t>Реконструкция   тепловых сетей отопления и горячего водоснабжения   (в том числе ПИР) по адресу: городской округ Красногорск, пос. Архангельское</t>
  </si>
  <si>
    <t>Строительство блочно-модульной котельной со снижением мощности в д. Гололобово г.о. Зарайск</t>
  </si>
  <si>
    <t>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t>
  </si>
  <si>
    <t xml:space="preserve">Строительство блочно-модульной котельной со снижением мощности в д. Мендюкино, г.о. Зарайск (в т.ч. ПИР) </t>
  </si>
  <si>
    <t xml:space="preserve">Строительство блочно-модульной котельной со снижением мощности в д. Протекино, г.о. Зарайск (в т.ч. ПИР) </t>
  </si>
  <si>
    <t xml:space="preserve">Строительство блочно-модульной котельной со снижением мощности в п. Масловский, г.о. Зарайск (в т.ч. ПИР) </t>
  </si>
  <si>
    <t xml:space="preserve">Строительство блочно-модульной котельной со снижением мощности в пос. ц.у. с/х "40 лет Октября, г.о. Зарайск (в т.ч. ПИР) </t>
  </si>
  <si>
    <t xml:space="preserve">Строительство блочно-модульной котельной со снижением мощности в с. Макеево, г.о. Зарайск (в т.ч. ПИР) </t>
  </si>
  <si>
    <t>Создание и модернизация объектов централизованного теплоснабжения и горячего водоснабжения на территории г.о.  Кашира</t>
  </si>
  <si>
    <t>Субсидия на приобретение тепловых сетей филиала  "Каширская ГРЭС" АО "Интер РАО -Электрогенерация".</t>
  </si>
  <si>
    <t xml:space="preserv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t>
  </si>
  <si>
    <t>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t>
  </si>
  <si>
    <t>Реконструкция котельной "Школа-интернат" р.п. Белоомут, ул. Центральная, д.57 (в т.ч. ПИР), г.о. Луховицы</t>
  </si>
  <si>
    <t>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t>
  </si>
  <si>
    <t>Капитальный ремонт котельной № 40 по адресу: Московская область, г. Можайск, ул. Российская, д. 4а</t>
  </si>
  <si>
    <t>Строительство хозяйственно-бытовой канализации в дер. Раздоры Одинцовского городского округа Московской области»  (в .т.ч. Тех.присоединение )</t>
  </si>
  <si>
    <t>Реконструкция газовой котельной №5 в поселке центральной усадьбы совхоза "Озёры", г.о. Озёры</t>
  </si>
  <si>
    <t xml:space="preserv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t>
  </si>
  <si>
    <t xml:space="preserv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2 047,50 тыс.руб. из них средства бюджета Московской области - 2 047,19 тыс.руб., средства бюджета муниципального образования - 0,31 тыс.руб.  </t>
  </si>
  <si>
    <t>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t>
  </si>
  <si>
    <t>Строительство БМК  д. Колодкино, д.10  г.о. Рузский</t>
  </si>
  <si>
    <t>Строительство БМК д. Грибцово, ул. Больничная, д.13  г.о. Рузский</t>
  </si>
  <si>
    <t>Строительство БМК д. Ивойлово, д.18  г.о. Рузский</t>
  </si>
  <si>
    <t>Строительство БМК д. Лихачево, д.78  г.о. Рузский</t>
  </si>
  <si>
    <t>Строительство БМК д. Лужки, д.1а, стр.1  г.о. Рузский</t>
  </si>
  <si>
    <t>Строительство БМК с. Богородское, д.30  г.о. Рузский</t>
  </si>
  <si>
    <t>Строительство котельной по адресу: Рузский г.о., п.Тучково, ул. Лебеденко д.36</t>
  </si>
  <si>
    <t>Реконструкция объектов инженерной инфраструктуры по ул.Кооперативная, г.Хотьково</t>
  </si>
  <si>
    <t>Строительство газовой блочно-модульной котельной с. Константиново, сельское поселение Шеметовское Сергиево-Посадского м.р. Московской области</t>
  </si>
  <si>
    <t>Капитальный ремонт котельной №14 с. Петрово мощностью 4,0 МВт г.о. Серебрянные Пруды</t>
  </si>
  <si>
    <t xml:space="preserve">Строительство блочно-модульной котельной (БМК) в п. Дмитриевский мощностью 2,1 МВт, г.о. Серебряные Пруды (в т.ч. ПИР) </t>
  </si>
  <si>
    <t xml:space="preserve">Строительство блочно-модульной котельной в с. Глубокое мощностью 2,2 МВт, г.о. Серебряные Пруды (в т.ч. ПИР) </t>
  </si>
  <si>
    <t xml:space="preserve">Строительство блочно-модульной котельной р.п. Серебряные Пруды, ул. ПТУ, мощностью 2,1 МВт , г.о. Серебряные Пруды (в т.ч. ПИР) </t>
  </si>
  <si>
    <t xml:space="preserve">Строительство блочно-модульной котельной №2 р.п. Серебряные Пруды, ул.Комсомольская, г.о. Серебряные Пруды (в т.ч. ПИР) </t>
  </si>
  <si>
    <t xml:space="preserve">Строительство блочно-модульной котельной №4 с. Подхожее, г.о. Серебряные Пруды (в т.ч. ПИР) </t>
  </si>
  <si>
    <t xml:space="preserve">Строительство блочно-модульной котельной №8 д. Шеметово, г.о. Серебряные Пруды (в т.ч. ПИР) </t>
  </si>
  <si>
    <t xml:space="preserve">Капитальный ремонт  здания котельной, д. Новая Солнечногорский м.р. </t>
  </si>
  <si>
    <t>Капитальный ремонт  тепловых сетей,  д. Новая, Солнечногорский м.р.</t>
  </si>
  <si>
    <t>Строительство котельной по адресу г. Наро-Фоминск, ул. Маршала Куркоткина, Наро-Фоминский г.о</t>
  </si>
  <si>
    <t>Реконструкция котельной № 74, д. Назарьево, Наро-Фоминский г.о. (в т.ч. ТП)</t>
  </si>
  <si>
    <t>Реконструкция котельной № 79, г. Верея, ул. Боровская, Наро-Фоминский г.о. (в т.ч. ТП)</t>
  </si>
  <si>
    <t>Реконструкция котельной №7 по адресу р.п.Шаховская, ул.Солнечная д.8, г.о. Шаховская (в т.ч. ПИР, ТП)</t>
  </si>
  <si>
    <t xml:space="preserve">Реконструкция котельной "Григорово", д. Григорово,  и тепловых сетей, г.о. Талдомский (в т.ч. ПИР, ТП) </t>
  </si>
  <si>
    <t xml:space="preserve">Реконструкция котельной "Пановка", д. Пановка, д.47, и тепловых сетей, г.о. Талдомский (в т.ч. ПИР, ТП) </t>
  </si>
  <si>
    <t>Строительство котельной №37, п. Сычево, Школьный пр., д.4, г.о. Волоколамский (в т.ч. ПИР, ТП)</t>
  </si>
  <si>
    <t>Реконструкция котельной №4 по адресу п. Лотошино, ул. Спортивная, д. 9 и тепловых сетей, г.о. Лотошино (в т.ч. ПИР)</t>
  </si>
  <si>
    <t>Реконструкция котельной №5 по адресу с. Микулино, ул. Школьная д.18 и тепловых сетей, г.о. Лотошино (в т.ч. ПИР)</t>
  </si>
  <si>
    <t>Реконструкция котельной №6 по адресу п.Лотошино, ул 2-я Ветеринарная, д.23 и тепловых сетей, г.о. Лотошино (в т.ч. ПИР)</t>
  </si>
  <si>
    <t>Реконструкция тепловых сетей котельной д. Степаньково, г.о. Шаховская (в т.ч. ПИР)</t>
  </si>
  <si>
    <t>Реконструкция тепловых сетей котельной с. Б-Колпь, д.63, г.о. Шаховская (в т.ч. ПИР)</t>
  </si>
  <si>
    <t>Реконструкция тепловых сетей котельной д. Муриково, г.о. Шаховская (в т.ч. ПИР)</t>
  </si>
  <si>
    <t>Реконструкция тепловых сетей котельной с. Ивашково, г.о. Шаховская (в т.ч. ПИР)</t>
  </si>
  <si>
    <t>Реконструкция тепловых сетей котельной д. Дубранивка, ул. Совхозная, д. 7, г.о. Шаховская (в т.ч. ПИР)</t>
  </si>
  <si>
    <t>Реконструкция котельной №3 (перевод котельной в режим ЦТП) по адресу г. Наро-Фоминск, ул. Калинина, Наро-Фоминский г.о.</t>
  </si>
  <si>
    <t>Строительство тепловых сетей к котельной № 5 по адресу г. Наро-Фоминск, ул. Новикова, Наро-Фоминский г.о.</t>
  </si>
  <si>
    <t>Реконструкция котельной №1 по адресу г. Талдом, мкр. р-н "Юбилейный", д.24а, г.о. Талдомский
 (в т.ч. ПИР, ТП)</t>
  </si>
  <si>
    <t>Реконструкция котельной №3 по адресу г. Талдом, ул. Мичурина, д.3а, г.о. Талдомский (в т.ч. ПИР, ТП)</t>
  </si>
  <si>
    <t>Реконструкция котельной "Вербилки", п. Вербилки, ул. Якотская, д.6, г.о. Талдомский (в т.ч. ПИР)</t>
  </si>
  <si>
    <t>Реконструкция котельной "РУС", г. Талдом, ул. Собцова, д.1а, г.о. Талдомский (в т.ч. ПИР, ТП)</t>
  </si>
  <si>
    <t>Реконструкция котельной № 15 по адресу г. Апрелевка, ул. Ленина, Наро-Фоминский г.о. (в т.ч. ПИР)</t>
  </si>
  <si>
    <t>Реконструкция котельной №14 по адресу д. Михалёво, Микрорайон, д.28, г.о. Лотошино (в т.ч. ПИР)</t>
  </si>
  <si>
    <t>Реконструкция котельной №16 по адресу с. Микулино, Микрорайон, д.19, г.о. Лотошино (в т.ч. ПИР)</t>
  </si>
  <si>
    <t>Реконструкция котельной №2 по адресу г. Талдом, Промышленный проезд, д.12, г.о. Талдомский (в т.ч. ПИР, ТП)</t>
  </si>
  <si>
    <t>Реконструкция котельной "Баня", г. Талдом, ул. Садовая, д.17, г.о. Талдомский (в т.ч. ПИР, ТП)</t>
  </si>
  <si>
    <t>Реконструкция котельной "Юркино", д. Юркино, г.о. Талдомский (в т.ч. ПИР, ТП)</t>
  </si>
  <si>
    <t>Реконструкция котельной "Очистные сооружения", г. Талдом, ул. Загородная, д.24а, г.о. Талдомский (в т.ч. ПИР, ТП)</t>
  </si>
  <si>
    <t xml:space="preserve">Реконструкция котельной "Темпы", п. Темпы. ул. Шоссейная, д.9Б, г.о. Талдомский (в т.ч. ПИР, ТП) </t>
  </si>
  <si>
    <t xml:space="preserve">Реконструкция котельной "Топочная", г. Талдом, ул. Первомайская, д.43а, г.о. Талдомский (в т.ч. ПИР, ТП)  </t>
  </si>
  <si>
    <t>Реконструкция котельной и ЦТП по адресу г.Егорьевск, ул. Меланжистов д.3б, г.о. Егорьевск (в т.ч. ПИР)</t>
  </si>
  <si>
    <t>Реконструкция  котельной и ЦТП по адресу г.Егорьевск, ул. Жукова гора, д. 19б, г.о. Егорьевск (в т.ч. ПИР)</t>
  </si>
  <si>
    <t>Реконструкция котельной и ЦТП по адресу г.Егорьевск, ул. Парижской коммуны, д. 1б, г.о. Егорьевск (в т.ч. ПИР)</t>
  </si>
  <si>
    <t>Строительство котельной №34, с. Ярополец, ул. Пушкинская, г.о. Волоколамский (в т.ч. ПИР, ТП)</t>
  </si>
  <si>
    <t>Строительство котельной по адресу г. Электроугли,  ул. Маяковского, д. 25,  Богородский г.о. (в т.ч. ПИР)</t>
  </si>
  <si>
    <t>Реконструкция котельной "Заречье", г.Ногинск, ул. Соединительная, д. 5,  Богородский г.о. (в т.ч. ПИР, ТП)</t>
  </si>
  <si>
    <t xml:space="preserv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11 508,00 тыс.руб. из них средства бюджета Московской области - 11 507,63 тыс.руб., средства бюджета муниципального образования - 0,37 тыс.руб. "
</t>
  </si>
  <si>
    <t>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t>
  </si>
  <si>
    <t>Строительство сетей водоснбжения р.п. Андреевка, г.о. Солнечногорск</t>
  </si>
  <si>
    <t>Внеплощадочные сети для очистных сооружений по адресу: Московская обл., городской округ Кашира, г.Кашира, д. Терново-1 (ПИР)</t>
  </si>
  <si>
    <t>Строительство наружный сетей водоснабжения, водоотведеиня и теплоснабжения  г.о. Шатура (бывшая территория г.о. Рошаль) ПИР</t>
  </si>
  <si>
    <t>Строительство сетей водоснабжения и водоотведения в д. Подушкино, Одинцово г.о.</t>
  </si>
  <si>
    <t>Реконструкция участка магистральной тепловой сети Ду 700 от центральной котельной до тепловой камеры ТК-3 по адресу: Московская область, г. Черноголовка</t>
  </si>
  <si>
    <t>Модернизация (реконструкция) дизельной котельной (перевод на газ) п. Мещерский Бор (в т.ч. ПИР, ТП) г.о. Шатура</t>
  </si>
  <si>
    <t>Модернизация (реконструкция) котельной на электрокотлах (перевод на газ) д. Новосидориха (в т.ч. ПИР, ТП) г.о. Шатура</t>
  </si>
  <si>
    <t>Строительство газовой блочно-модульной котельной (БМК) пос. Санатория Озеро Белое (в т.ч. ПИР, ТП) г.о. Шатура</t>
  </si>
  <si>
    <t>Строительство сдвоенного газового котла наружного размещения (КНР)  с. Кривандино, ул. Центральная, д. 36 (в т.ч. ПИР, ТП) г.о. Шатура</t>
  </si>
  <si>
    <t>Строительство сдвоенного газового котла наружного размещения (КНР) д. Голыгино (в т.ч. ПИР, ТП) г.о. Шатура</t>
  </si>
  <si>
    <t>Строительство сдвоенного газового котла наружного размещения (КНР) рп. Черусти, Пионерский пр. (в т.ч. ПИР, ТП г.о. Шатура</t>
  </si>
  <si>
    <t>Строительство сдвоенного газового котла наружного размещения (КНР) рп. Черусти, ул. Вокзальная, д.12 (в т.ч. ПИР, ТП) г.о. Шатура</t>
  </si>
  <si>
    <t>Строительство сдвоенного газового котла наружного размещения (КНР) рп. Черусти, ул. М.Горького 3 (в т.ч. ПИР, ТП)  г.о. Шатура</t>
  </si>
  <si>
    <t>Строительство сдвоенного газового котла наружного размещения (КНР) с. Власово (в т.ч. ПИР, ТП) г.о. Шатура</t>
  </si>
  <si>
    <t xml:space="preserv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t>
  </si>
  <si>
    <t>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(городской округ Егорьевск)  (в том числе ПИР)</t>
  </si>
  <si>
    <t>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t>
  </si>
  <si>
    <t>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t>
  </si>
  <si>
    <t>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t>
  </si>
  <si>
    <t>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t>
  </si>
  <si>
    <t xml:space="preserve">Капитальный ремонт канализационных сетей в посёлке Станция Непецино, Коломенский г.о. (в т.ч. ПИР) </t>
  </si>
  <si>
    <t>Изменен срок реализации</t>
  </si>
  <si>
    <t>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t>
  </si>
  <si>
    <t>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t>
  </si>
  <si>
    <t xml:space="preserve">Капитальный ремонт  водопроводных сетей,  д. Новая, Солнечногорский м.р. </t>
  </si>
  <si>
    <t>Строительство блочно-модульной котельной для ГБУЗ МО "Пушкинская поликлиника микрорайона Клязьма" по адресу: ул. Лермонтовская, д. 25  (в том числе ПИР)</t>
  </si>
  <si>
    <t>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t>
  </si>
  <si>
    <t xml:space="preserv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t>
  </si>
  <si>
    <t>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t>
  </si>
  <si>
    <t>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t>
  </si>
  <si>
    <t>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t>
  </si>
  <si>
    <t xml:space="preserve">Приобретение  объектов теплоснабжения на территории  г.п. Деденево, Дмитровский муниципальный район </t>
  </si>
  <si>
    <t>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t>
  </si>
  <si>
    <t>Строительство блочно-модульной котельной для Клеменовская участковая больница ГБУЗ МО "Егорьевская ЦРБ" по адресу: д. Овчагино  (в том числе ПИР)</t>
  </si>
  <si>
    <t>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t>
  </si>
  <si>
    <t>Капитальный ремонт МБОУ «Мещеринская СОШ № 1», пос. Мещерино-1, г.о. Ступино,  военный городок № 1, в/ч 03770</t>
  </si>
  <si>
    <t>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области – 3 662,00 тыс.руб.)</t>
  </si>
  <si>
    <t xml:space="preserv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222,0 тыс.руб.)
</t>
  </si>
  <si>
    <t>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t>
  </si>
  <si>
    <t>Строительство газовой котельной 20МВт по адресу: городской округ Балашиха, мкр. Северный, в том числе:: ПИР</t>
  </si>
  <si>
    <t>Реконструкция котельной № 123 по адресу: Ногинский муниципальный район, с.п. Мамонтовское, военный городок Ногинск-9, в том числе:проектно-изыскательские работы</t>
  </si>
  <si>
    <t>Капитальный ремонт наружных тепловых сетей и ГВС в в/г Ногинск-9 Богородского городского округа Московской области</t>
  </si>
  <si>
    <t>Капитальный ремонт наружных водопроводных сетей в в/г Ногинск-9 Богородского городского округа Московской области</t>
  </si>
  <si>
    <t>Капитальный ремонт наружных сетей канализации сельское поселение Степановское, село Всеволодово военный городок Ногинск-5</t>
  </si>
  <si>
    <t>Реконструкция тепловой сети в подземном исполнении по адресу: Московская область, городской округ Власиха, п. Власиха, ул. Цветной бульвар</t>
  </si>
  <si>
    <t xml:space="preserv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t>
  </si>
  <si>
    <t>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t>
  </si>
  <si>
    <t xml:space="preserve">Капитальный ремонт сетей водоснабжения п. Власиха военный городок № 22/1 (г.Одинцово-10)
</t>
  </si>
  <si>
    <t xml:space="preserv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t>
  </si>
  <si>
    <t>Канализационные очистные сооружения хозяйственно-бытовых сточных вод производительностью 1500 куб.м/сут. по адресу: п. Молодежный (в том числе ПИР)</t>
  </si>
  <si>
    <t>Физкультурно-оздоровительный комплекс с универсальным спортивным залом (ПИР и строительство) в ЗАТО Молодежный</t>
  </si>
  <si>
    <t>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t>
  </si>
  <si>
    <t xml:space="preserve">Реконструкция инженерных сетей на территории городского округа Звездный городок Московской области
 </t>
  </si>
  <si>
    <t xml:space="preserve">Капитальный ремонт тепловых сетей и сетей горячего водоснабжения, поселок Звёздный городок, военный городок № 1, в/ч 26266
</t>
  </si>
  <si>
    <t>Приобретение, монтаж и ввод в эксплуатациюблочно-модульной станции обезжелезивания воды в Клин-9</t>
  </si>
  <si>
    <t xml:space="preserve">Строительство БМК, г. Коломна-1, военный городок Сосновый бор,  в/ч 17204 (в том числе ПИР) </t>
  </si>
  <si>
    <t>Строительство скважины в п. Военный городок, Орехово-Зуевский городской округ</t>
  </si>
  <si>
    <t xml:space="preserve">
Капитальный ремонт техническое переоснащение здания МБУК «Дом офицеров» Московская область, г. Краснознаменск, ул. Молодёжная, д. 2</t>
  </si>
  <si>
    <t xml:space="preserve">Капитальный ремонт здания клуба "Искатель" для размещения детского сада Новый городок Кубинка-7 Одинцовский м.р.                 </t>
  </si>
  <si>
    <t>Капитальный ремонт МБОУ Новогородковская городская средняя образовательная школа с.п. Никольское, пос. Новый Городок военный городок Кубинка-7</t>
  </si>
  <si>
    <t>Строительство локальных очистных сооружений п. Военный городок объемом до 30 куб.м.  Орехово-Зуевский городской округ</t>
  </si>
  <si>
    <t>Строительство блочно-модульной котельной в военном городке № 112 Михнево-3 Ступинский муниципальный район (в том числе ПИР)</t>
  </si>
  <si>
    <t xml:space="preserve">Капитальный ремонт МДОУ детский сад № 39 «Золотой ключик» по адресу: г. Серпухов, Московское шоссе, д. 62 </t>
  </si>
  <si>
    <t>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t>
  </si>
  <si>
    <t xml:space="preserve">Строительство канализационных очистных сооружений, по адресу: военный городок Ногинск-4,
с. Макарово, городской округ Черноголовка (в т.ч. ПИР)    
</t>
  </si>
  <si>
    <t>Капитальный ремонт МАДОУ «Мещеринский детский сад комбинированного вида «Солнышко» г.о. Ступино, в/ч 03770</t>
  </si>
  <si>
    <t>Капитальный ремонт МАДОУ «Мещеринский детский сад общеразвивающего вида «Светлячок» г.о. Ступино, в/ч 92551</t>
  </si>
  <si>
    <t>Реконструкция очистных сооружений канализации по адресу: пос.Чернецкое, г. Чехов-7, ул. Победы, военный городок №  18, в том числе: проектно-изыскательские работы</t>
  </si>
  <si>
    <t>Реконструкция котельной № 6 по адресу: пос.Чернецкое, г. Чехов-7, ул. Победы, военный городок №  18 (в том числе ПИР)</t>
  </si>
  <si>
    <t>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  т.р. за счет средств поступивших из города Москвы) в том числе:</t>
  </si>
  <si>
    <t xml:space="preserv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 из города Москвы
 </t>
  </si>
  <si>
    <t>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t>
  </si>
  <si>
    <t xml:space="preserv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t>
  </si>
  <si>
    <t xml:space="preserv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t>
  </si>
  <si>
    <t>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Щелковский район, г. Щелково (Щелково-4, ул. Беляева) - с.п. Анискинское (д. Леониха) - г. Щелково (Щелково-3),военный городок Щелково 3-4</t>
  </si>
  <si>
    <t xml:space="preserve">Капитальный ремонт теплообменников и насосного оборудования на ЦТП сельское поселение Степановское, село
Всеволодово, военный городок Ногинск-5
</t>
  </si>
  <si>
    <t>Капитальный ремонт и техническое переоснащение здания Дома культуры «Всеволодово» ф-л МБУК «СДК «Елизаветино» д. Всеволодово, д. 90, военный городок Ногинск-5</t>
  </si>
  <si>
    <t xml:space="preserve">Реконструкция очистных сооружений, в/г Ногинск-5, д. Всеволодово, Электросталь г.о. </t>
  </si>
  <si>
    <t>Капитальный ремонт напорного коллектора сельское поселение Степановское, село Всеволодово военный городок Ногинск-5</t>
  </si>
  <si>
    <t>Капитальный ремонт котельной (2-й этап)  по адресу: Московская область, г.о. Электросталь, военный городок Ногинск-5</t>
  </si>
  <si>
    <t>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t>
  </si>
  <si>
    <t>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t>
  </si>
  <si>
    <t>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t>
  </si>
  <si>
    <t>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t>
  </si>
  <si>
    <t>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присоединение к сетям электроснабжения)</t>
  </si>
  <si>
    <t>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3800000,00 руб., из них средства бюджета города Москвы – 2899370,00 руб. средства бюджета Московской области, средства бюджета муниципального образования - 900630,00 руб.)</t>
  </si>
  <si>
    <t>Строительство канализационной насосной станции для подачи очищенных сточных вод от ЗТО в напорный коллектор, д. Могутово, Наро-Фоминского г.о.</t>
  </si>
  <si>
    <t>Строительство ВЗУ  с сетями водоснабжения Ду 160 для технических нужд ЗТО, д. Тимохово, Богородский г.о. (в том числе ПИР) *</t>
  </si>
  <si>
    <t>Строительство сетей  водоснабжения Ду 80 для хозяйственно-бытовых нужд ЗТО,д.Тимохово, Богородский г.о. (в том числе ПИР)*</t>
  </si>
  <si>
    <t>Строительство напорного коллектора Ду200 от ЗТО  до точки сброса в водный объект, д. Тимохово, Богородский г.о. (в том числе ПИР)*</t>
  </si>
  <si>
    <t xml:space="preserv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t>
  </si>
  <si>
    <t>Строительство ВЗУ с сетями водоснабжения Ду 160 для технических нужд ЗТО,  д. Хметьево, г.п. Солнечногорск  (в том числе ПИР)</t>
  </si>
  <si>
    <t>г.о. Дубна</t>
  </si>
  <si>
    <t>Капитальные вложения в объекты инфраструктуры особой экономической зоны технико-внедренческого типа на территории городского округа Дубна</t>
  </si>
  <si>
    <t>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t>
  </si>
  <si>
    <t>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t>
  </si>
  <si>
    <t>"Проектирование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t>
  </si>
  <si>
    <t>Строительство водопроводных сетей в с. Глубокое, мкр. Новый, сельского поселения Узуновское Московской области</t>
  </si>
  <si>
    <t>Информация о выполнении программ на 01.09.2020 и прогноз кассовых выплат из бюджета Московской области до конца 2020 года</t>
  </si>
  <si>
    <t>Временный
Рабочий комментарий</t>
  </si>
  <si>
    <t>субсидия</t>
  </si>
  <si>
    <t>Наименование межбюджетного трансферта/наименование мероприятия</t>
  </si>
  <si>
    <t>Наименование муниципального образования</t>
  </si>
  <si>
    <t>Срок реализайии</t>
  </si>
  <si>
    <t>План на 2020 год
 всего:</t>
  </si>
  <si>
    <t>В т.ч. Средства бюджета Московской обл.</t>
  </si>
  <si>
    <t>Средства федерального бюджета</t>
  </si>
  <si>
    <t>Средства бюджета г. Москвы</t>
  </si>
  <si>
    <t>Средства ОМСУ</t>
  </si>
  <si>
    <t>Лимит финсирования 2020 без учета ОМСУ</t>
  </si>
  <si>
    <t>Фактический % выполнения работ</t>
  </si>
  <si>
    <t>Фактический % освоения
 (ст. 12/5)</t>
  </si>
  <si>
    <t xml:space="preserve">Выплачено средств всего на текущий момент </t>
  </si>
  <si>
    <t>В т.ч. средства бюджета Московской обл.</t>
  </si>
  <si>
    <t>Остаток подлежащий к оплате (тыс. руб.) Без ОМСУ</t>
  </si>
  <si>
    <t>Кассовое исполнение (тыс. руб.) Без ОМСУ</t>
  </si>
  <si>
    <t>%-освоения денежных средств государственной программы (без ОМСУ)</t>
  </si>
  <si>
    <t>Сентябрь</t>
  </si>
  <si>
    <t>Октябрь</t>
  </si>
  <si>
    <t>Ноябрь</t>
  </si>
  <si>
    <t>Декабрь</t>
  </si>
  <si>
    <t>Средства бюджета Московской области</t>
  </si>
  <si>
    <t>Средства федераль-ного бюджета</t>
  </si>
  <si>
    <t>Перечень проблемных объектов в части кассового исполнения (ФБ+БМО+Москва) по ОМСУ государственной программы "Развитие инженерной инфраструктуры и энергоэффективности" на 2018-2024 годы</t>
  </si>
  <si>
    <t xml:space="preserve">Наименование заявки </t>
  </si>
  <si>
    <t>Ввод</t>
  </si>
  <si>
    <t>БМО</t>
  </si>
  <si>
    <t xml:space="preserve">ФБ </t>
  </si>
  <si>
    <t>Москва</t>
  </si>
  <si>
    <t xml:space="preserve">Кассовое исполнение за 2020 год с учетом оплаты кредиторской задолженности </t>
  </si>
  <si>
    <t>Остаток подлежащий оплате в 2020 году</t>
  </si>
  <si>
    <t>%-освоения денежных средств государственной программы</t>
  </si>
  <si>
    <t xml:space="preserve">Проблематика </t>
  </si>
  <si>
    <t>Проект поручения</t>
  </si>
  <si>
    <t>Примечание/
Исполнение поручений</t>
  </si>
  <si>
    <t xml:space="preserve">Исполнение поручений </t>
  </si>
  <si>
    <t>Дата проблемный</t>
  </si>
  <si>
    <t>?</t>
  </si>
  <si>
    <t>Ответственный</t>
  </si>
  <si>
    <t>Седов Б.В.</t>
  </si>
  <si>
    <t>Силаев С.С.</t>
  </si>
  <si>
    <t>Варламов А.А.</t>
  </si>
  <si>
    <t>Сахно М.В.</t>
  </si>
  <si>
    <t xml:space="preserve">Сахно М.В.
</t>
  </si>
  <si>
    <t xml:space="preserve">Сахно М.В., Черепанов С.С.
</t>
  </si>
  <si>
    <t xml:space="preserve">Силаев С.С.
</t>
  </si>
  <si>
    <t>Сахно М.В., Черепанов С.С.</t>
  </si>
  <si>
    <t xml:space="preserve">Пулин А.А.
</t>
  </si>
  <si>
    <t xml:space="preserve">Кубарев С.А.
</t>
  </si>
  <si>
    <t xml:space="preserve">Варламов А.А.
</t>
  </si>
  <si>
    <t>Кубарев С.А.</t>
  </si>
  <si>
    <t xml:space="preserve">Седов Б.В.
</t>
  </si>
  <si>
    <t>Пулин А.А.</t>
  </si>
  <si>
    <t xml:space="preserve">Кузнецов П.С.
</t>
  </si>
  <si>
    <t>Кузнецов П.С.</t>
  </si>
  <si>
    <t xml:space="preserve">Седов Б.В.
</t>
  </si>
  <si>
    <t xml:space="preserve">Кузнецов П.С.
</t>
  </si>
  <si>
    <t>Петренко С.И.</t>
  </si>
  <si>
    <t xml:space="preserve">Петренко С.И.
</t>
  </si>
  <si>
    <t>Строительство ПВНС г. Люберцы по адресу: г. Люберцы, ул. Московская у дома № 1</t>
  </si>
  <si>
    <t>Реконструкция ВЗУ  п. Орево г.о. Дмтровский</t>
  </si>
  <si>
    <t>Реконструкция ВЗУ Ивакино с.п. Юрловское, д. Ивакиног.о. Можайский</t>
  </si>
  <si>
    <t>Строительство 2х скважин в п.Новый Снопок (в т.ч.  разрешительная документация)</t>
  </si>
  <si>
    <t>Строительство 2х скважин  в п.Озерецкий (в т.ч. разрешительная документация)</t>
  </si>
  <si>
    <t>Строительство 2х скважин в п.Малая Дубна (в т.ч.  разрешительная документация)</t>
  </si>
  <si>
    <t>Строительство 1 скважины в м. Крольчатник (в т.ч.  разрешительная документация)</t>
  </si>
  <si>
    <t xml:space="preserve">Капитальный ремонт ВЗУ  со станцией обезжелезивания, п. Краснознамененский г. Щелково, Щелковский м.р. </t>
  </si>
  <si>
    <t>Приобретение, монтаж и ввод в эксплуатацию станции  очистки воды на ВЗУ в д. Андреевское, Коломенский г.о.</t>
  </si>
  <si>
    <t>Приобретение, монтаж и ввод в эксплуатацию станции водоочистки на ВЗУв с. Покровское, ДОХБ, соор.2В,  Рузский г.о.</t>
  </si>
  <si>
    <t>Приобретение, монтаж и ввод в эксплуатацию станции водоподготовки на ВЗУ производительнстью 130 м3/ч,  г.п. Цюрупы Воскресенский</t>
  </si>
  <si>
    <t>Приобретение, монтаж и ввод в эксплуатцию станций водоочистки на ВЗУ в п. Зарайск</t>
  </si>
  <si>
    <t>Приобретение, монтаж и ввод в эксплуатцию станций водоочистки на ВЗУ в 2-е отделение Зарайск</t>
  </si>
  <si>
    <t>Строительство очистных сооружений г. Шатура ул. Малькина Грива</t>
  </si>
  <si>
    <r>
      <t xml:space="preserve">Реконструкция Щелковских межрайонных очистных сооружений </t>
    </r>
    <r>
      <rPr>
        <sz val="11"/>
        <color rgb="FFFF0000"/>
        <rFont val="Arial"/>
        <family val="2"/>
        <charset val="204"/>
      </rPr>
      <t>(Есть внебюджет!!!)</t>
    </r>
  </si>
  <si>
    <t>Аварийный ремонт очистных сооружений г. Зарайск (в том числе погашение кредиторской задолженности)</t>
  </si>
  <si>
    <t>Капитальный ремонт очистных сооружений канализации пос. Фряново, Щелковского г.о. производительностью 3000 тыс. м3/сут. (в т.ч. ПИР)</t>
  </si>
  <si>
    <t>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(в том числе ПИР)</t>
  </si>
  <si>
    <t xml:space="preserve">Капитальный ремонт КНС в с. Непецино, Коломенский г.о. с прилегающими сетями канализвации (в т.ч. ПИР) </t>
  </si>
  <si>
    <t xml:space="preserve">Капитальный ремонт КНС в с. Непецино ул. Тимохина, Коломенский г.о. с прилегающими сетями канализвации (в том числе ПИР) </t>
  </si>
  <si>
    <t>Строительство БМК г. Руза, ул. Говорова, д.1А
(есть внебюджет!!!)</t>
  </si>
  <si>
    <t>Строительсвто БМК г. Руза, Волоколамское шоссе
(есть внебюджет!!!)</t>
  </si>
  <si>
    <t xml:space="preserve">Строительство блочно-модульной котельной со снижением мощности в д. Ерново г.о. Зарайск </t>
  </si>
  <si>
    <t>Строительство блочно-модульной котельной со снижением мощности в д. Летуново  г.о. Зарайск</t>
  </si>
  <si>
    <t>Строительство БМК д. Сумароково, д.34  г.о. Рузский
(есть внебюджет!!!)</t>
  </si>
  <si>
    <t>Строительсвто БМК д. Строниколаево, д.195  г.о. Рузский
(есть внебюджет!!!)</t>
  </si>
  <si>
    <t>Строительство блочно-модульной котельной со снижением мощности в пос. Зарайский г.о. Зарайск</t>
  </si>
  <si>
    <t>Строительство БМК д. Старая Руза, ул. ДТК  г.о. Рузский
(есть внебюджет!!!)</t>
  </si>
  <si>
    <t>Строительство БМК п. Тучково, ул. Луговая  г.о. Рузский
(есть внебюджет!!!)</t>
  </si>
  <si>
    <t>Строительство газовой блочно-модульной котельной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 2019 году в размере 699,6 тыс.руб. средства бюджета Московской области)</t>
  </si>
  <si>
    <t xml:space="preserve">Строительство блочно-модульной котельной №5 с. Мочилы мощностью 2,4 МВт, г.о. Серебряные Пруды (в т.ч. ПИР) </t>
  </si>
  <si>
    <t>Строительство дренажной системы (в т.ч. ПИР)  в рп. Запрудня, городской округ Талдомский</t>
  </si>
  <si>
    <t xml:space="preserve"> Модернизация (реконструкция) котельной на электрокотлах (перевод на газ) д. Бордуки установочной мощностью 0,08 МВт (в т.ч. ПИР, ТП) г.о. Шатура</t>
  </si>
  <si>
    <t>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 ПИР)</t>
  </si>
  <si>
    <t>Строительство напорного коллектора Ду 200 от ЗТО до точки сброса в водный объект,  д. Хметьево, г.п. Солнечногорск (в том числе ПИР)</t>
  </si>
  <si>
    <t>Кассовое исполнение (ФБ+БМО+Москва) по ОМСУ государственной программы "Развитие инженерной инфраструктуры и энергоэффективности" на 2018-2024 годы</t>
  </si>
  <si>
    <t>ОМСУ / Заказчик</t>
  </si>
  <si>
    <t>Кол-во Объек-тов</t>
  </si>
  <si>
    <t>ВС</t>
  </si>
  <si>
    <t>ВО</t>
  </si>
  <si>
    <t>ЦО</t>
  </si>
  <si>
    <t>ВГ</t>
  </si>
  <si>
    <t>Лимит финансирования 2020 по утв. ГП</t>
  </si>
  <si>
    <t>Лимит финансирования на 2020 согласно проекту ППМО (думские правки)</t>
  </si>
  <si>
    <t>Кассовое исполнение за 2020 год с учетом оплаты кредиторки (05.11.2020)</t>
  </si>
  <si>
    <t>Кассовое исполнение за 2020 год с учетом оплаты кредиторки (12.11.2020)</t>
  </si>
  <si>
    <t xml:space="preserve">Динамика за неделю (с 05.11 по 12.11) </t>
  </si>
  <si>
    <t>Остаток подлежащий оплате в 2020 году по утв. ГП</t>
  </si>
  <si>
    <t>% 
освоения денежных средств</t>
  </si>
  <si>
    <t>3 ч1</t>
  </si>
  <si>
    <t>3 ч2</t>
  </si>
  <si>
    <t>3 ч3</t>
  </si>
  <si>
    <t>3 ч4</t>
  </si>
  <si>
    <t>"Реконструкция ВЗУ №4 с установкой станции водоподготовки , г. Фрязино,  Окружной проезд, дом 2, стр. 1</t>
  </si>
  <si>
    <t xml:space="preserve">Капитальный ремонт сетей водоснабжения мкр. Железнодорожный, г.о. Балашиха (1 этап) </t>
  </si>
  <si>
    <t xml:space="preserve">Капитальный ремонт сетей водоснабжения мкр. Железнодорожный, г.о. Балашиха (2 этап) </t>
  </si>
  <si>
    <t>Приобретение, монтаж и ввод в эксплуатцию станций водоочистки на ВЗУ по адресу: п. Зарайский, г.о. Зарайск</t>
  </si>
  <si>
    <t>Приобретение, монтаж и ввод в эксплуатцию станций водоочистки на ВЗУ по адресу: 2-е отделение с/з Зарайский г.о. Зарайск</t>
  </si>
  <si>
    <t>Строительство ПВНС г. Люберцы по адресу: г. Люберцы, ул. Московская у дома № 1 (в том числе техническое присоединение)</t>
  </si>
  <si>
    <t>Завершение работ</t>
  </si>
  <si>
    <t>Строительство сетей водоснабжения от т.А до ВЗУ-3 по адресу: Московская обл., г. Дзержинский, ул. Дзержинская</t>
  </si>
  <si>
    <t>Дзержинский</t>
  </si>
  <si>
    <t>Зарайск</t>
  </si>
  <si>
    <t>Одинцово</t>
  </si>
  <si>
    <t>Раменский</t>
  </si>
  <si>
    <t>Балашиха</t>
  </si>
  <si>
    <t>Люберцы</t>
  </si>
  <si>
    <t>Богородский</t>
  </si>
  <si>
    <t>Ленинский</t>
  </si>
  <si>
    <t>Солнечногорск</t>
  </si>
  <si>
    <t>Фрязино</t>
  </si>
  <si>
    <t>Чехов</t>
  </si>
  <si>
    <t>Мероприятие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</si>
</sst>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
    <numFmt numFmtId="165" formatCode="dd\.mm\.yyyy"/>
    <numFmt numFmtId="166" formatCode="d\.m\.yyyy"/>
    <numFmt numFmtId="167" formatCode="m/yyyy"/>
  </numFmts>
  <fonts count="30" x14ac:knownFonts="1">
    <font>
      <sz val="11"/>
      <color theme="1"/>
      <name val="Arial"/>
    </font>
    <font>
      <sz val="11"/>
      <color theme="1"/>
      <name val="Calibri"/>
      <family val="2"/>
      <charset val="204"/>
      <scheme val="minor"/>
    </font>
    <font>
      <b/>
      <sz val="9"/>
      <color theme="1"/>
      <name val="Times New Roman"/>
      <family val="1"/>
      <charset val="204"/>
    </font>
    <font>
      <b/>
      <sz val="9"/>
      <color rgb="FF000000"/>
      <name val="Times New Roman"/>
      <family val="1"/>
      <charset val="204"/>
    </font>
    <font>
      <sz val="11"/>
      <name val="Arial"/>
      <family val="2"/>
      <charset val="204"/>
    </font>
    <font>
      <b/>
      <sz val="9"/>
      <color theme="1"/>
      <name val="Arial"/>
      <family val="2"/>
      <charset val="204"/>
    </font>
    <font>
      <sz val="9"/>
      <color theme="1"/>
      <name val="Times New Roman"/>
      <family val="1"/>
      <charset val="204"/>
    </font>
    <font>
      <u/>
      <sz val="9"/>
      <color rgb="FF000000"/>
      <name val="Times New Roman"/>
      <family val="1"/>
      <charset val="204"/>
    </font>
    <font>
      <u/>
      <sz val="9"/>
      <color rgb="FF0000FF"/>
      <name val="Times New Roman"/>
      <family val="1"/>
      <charset val="204"/>
    </font>
    <font>
      <u/>
      <sz val="9"/>
      <color rgb="FF1155CC"/>
      <name val="Times New Roman"/>
      <family val="1"/>
      <charset val="204"/>
    </font>
    <font>
      <strike/>
      <sz val="9"/>
      <color theme="1"/>
      <name val="Times New Roman"/>
      <family val="1"/>
      <charset val="204"/>
    </font>
    <font>
      <sz val="9"/>
      <color rgb="FF000000"/>
      <name val="Times New Roman"/>
      <family val="1"/>
      <charset val="204"/>
    </font>
    <font>
      <u/>
      <sz val="9"/>
      <color rgb="FF0000FF"/>
      <name val="Times New Roman"/>
      <family val="1"/>
      <charset val="204"/>
    </font>
    <font>
      <sz val="11"/>
      <color theme="1"/>
      <name val="Calibri"/>
      <family val="2"/>
      <charset val="204"/>
    </font>
    <font>
      <b/>
      <sz val="10"/>
      <color rgb="FF000000"/>
      <name val="Times New Roman"/>
      <family val="1"/>
      <charset val="204"/>
    </font>
    <font>
      <sz val="10"/>
      <color theme="1"/>
      <name val="Times New Roman"/>
      <family val="1"/>
      <charset val="204"/>
    </font>
    <font>
      <b/>
      <sz val="10"/>
      <color theme="1"/>
      <name val="Times New Roman"/>
      <family val="1"/>
      <charset val="204"/>
    </font>
    <font>
      <u/>
      <sz val="9"/>
      <color rgb="FF0000FF"/>
      <name val="Times New Roman"/>
      <family val="1"/>
      <charset val="204"/>
    </font>
    <font>
      <b/>
      <sz val="11"/>
      <color theme="1"/>
      <name val="Calibri"/>
      <family val="2"/>
      <charset val="204"/>
    </font>
    <font>
      <b/>
      <sz val="9"/>
      <color rgb="FF000000"/>
      <name val="Arial"/>
      <family val="2"/>
      <charset val="204"/>
    </font>
    <font>
      <b/>
      <sz val="14"/>
      <color rgb="FF000000"/>
      <name val="Arial"/>
      <family val="2"/>
      <charset val="204"/>
    </font>
    <font>
      <b/>
      <sz val="12"/>
      <color theme="1"/>
      <name val="Arial"/>
      <family val="2"/>
      <charset val="204"/>
    </font>
    <font>
      <b/>
      <sz val="12"/>
      <color rgb="FF000000"/>
      <name val="Arial"/>
      <family val="2"/>
      <charset val="204"/>
    </font>
    <font>
      <b/>
      <sz val="11"/>
      <color theme="1"/>
      <name val="Times New Roman"/>
      <family val="1"/>
      <charset val="204"/>
    </font>
    <font>
      <sz val="11"/>
      <color rgb="FFFF0000"/>
      <name val="Arial"/>
      <family val="2"/>
      <charset val="204"/>
    </font>
    <font>
      <sz val="10"/>
      <name val="Arial"/>
    </font>
    <font>
      <sz val="10"/>
      <name val="Arial"/>
      <family val="2"/>
      <charset val="204"/>
    </font>
    <font>
      <b/>
      <sz val="13"/>
      <color theme="1"/>
      <name val="Times New Roman"/>
      <family val="1"/>
      <charset val="204"/>
    </font>
    <font>
      <sz val="13"/>
      <color theme="1"/>
      <name val="Times New Roman"/>
      <family val="1"/>
      <charset val="204"/>
    </font>
    <font>
      <sz val="13"/>
      <color rgb="FF000000"/>
      <name val="Times New Roman"/>
      <family val="1"/>
      <charset val="204"/>
    </font>
  </fonts>
  <fills count="21">
    <fill>
      <patternFill patternType="none"/>
    </fill>
    <fill>
      <patternFill patternType="gray125"/>
    </fill>
    <fill>
      <patternFill patternType="solid">
        <fgColor rgb="FFD8D8D8"/>
        <bgColor rgb="FFD8D8D8"/>
      </patternFill>
    </fill>
    <fill>
      <patternFill patternType="solid">
        <fgColor rgb="FFFFF2CC"/>
        <bgColor rgb="FFFFF2CC"/>
      </patternFill>
    </fill>
    <fill>
      <patternFill patternType="solid">
        <fgColor rgb="FFCFE2F3"/>
        <bgColor rgb="FFCFE2F3"/>
      </patternFill>
    </fill>
    <fill>
      <patternFill patternType="solid">
        <fgColor rgb="FFFCE5CD"/>
        <bgColor rgb="FFFCE5CD"/>
      </patternFill>
    </fill>
    <fill>
      <patternFill patternType="solid">
        <fgColor rgb="FFEAD1DC"/>
        <bgColor rgb="FFEAD1DC"/>
      </patternFill>
    </fill>
    <fill>
      <patternFill patternType="solid">
        <fgColor rgb="FFD9EAD3"/>
        <bgColor rgb="FFD9EAD3"/>
      </patternFill>
    </fill>
    <fill>
      <patternFill patternType="solid">
        <fgColor rgb="FFE6B8AF"/>
        <bgColor rgb="FFE6B8AF"/>
      </patternFill>
    </fill>
    <fill>
      <patternFill patternType="solid">
        <fgColor rgb="FFF4CCCC"/>
        <bgColor rgb="FFF4CCCC"/>
      </patternFill>
    </fill>
    <fill>
      <patternFill patternType="solid">
        <fgColor rgb="FF9FC5E8"/>
        <bgColor rgb="FF9FC5E8"/>
      </patternFill>
    </fill>
    <fill>
      <patternFill patternType="solid">
        <fgColor rgb="FFD9D9D9"/>
        <bgColor rgb="FFD9D9D9"/>
      </patternFill>
    </fill>
    <fill>
      <patternFill patternType="solid">
        <fgColor rgb="FFEFEFEF"/>
        <bgColor rgb="FFEFEFEF"/>
      </patternFill>
    </fill>
    <fill>
      <patternFill patternType="solid">
        <fgColor rgb="FFF3F3F3"/>
        <bgColor rgb="FFF3F3F3"/>
      </patternFill>
    </fill>
    <fill>
      <patternFill patternType="solid">
        <fgColor rgb="FFFFFFFF"/>
        <bgColor rgb="FFFFFFFF"/>
      </patternFill>
    </fill>
    <fill>
      <patternFill patternType="solid">
        <fgColor rgb="FFB7B7B7"/>
        <bgColor rgb="FFB7B7B7"/>
      </patternFill>
    </fill>
    <fill>
      <patternFill patternType="solid">
        <fgColor rgb="FFC9DAF8"/>
        <bgColor rgb="FFC9DAF8"/>
      </patternFill>
    </fill>
    <fill>
      <patternFill patternType="solid">
        <fgColor rgb="FFCCCCCC"/>
        <bgColor rgb="FFCCCCCC"/>
      </patternFill>
    </fill>
    <fill>
      <patternFill patternType="solid">
        <fgColor rgb="FFFFFF00"/>
        <bgColor rgb="FFFFFF00"/>
      </patternFill>
    </fill>
    <fill>
      <patternFill patternType="solid">
        <fgColor theme="0"/>
        <bgColor indexed="64"/>
      </patternFill>
    </fill>
    <fill>
      <patternFill patternType="solid">
        <fgColor theme="4" tint="0.59999389629810485"/>
        <bgColor indexed="64"/>
      </patternFill>
    </fill>
  </fills>
  <borders count="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0" fontId="25" fillId="0" borderId="0"/>
    <xf numFmtId="0" fontId="26" fillId="0" borderId="0"/>
  </cellStyleXfs>
  <cellXfs count="162">
    <xf numFmtId="0" fontId="0" fillId="0" borderId="0" xfId="0" applyFont="1" applyAlignment="1"/>
    <xf numFmtId="0" fontId="6" fillId="0" borderId="0" xfId="0" applyFont="1" applyAlignment="1">
      <alignment horizontal="center" vertical="center" wrapText="1"/>
    </xf>
    <xf numFmtId="0" fontId="3" fillId="4" borderId="6" xfId="0" applyFont="1" applyFill="1" applyBorder="1" applyAlignment="1">
      <alignment horizontal="center" vertical="center" wrapText="1"/>
    </xf>
    <xf numFmtId="4" fontId="2" fillId="5" borderId="6" xfId="0" applyNumberFormat="1" applyFont="1" applyFill="1" applyBorder="1" applyAlignment="1">
      <alignment horizontal="center" vertical="center" wrapText="1"/>
    </xf>
    <xf numFmtId="4" fontId="2" fillId="5" borderId="6" xfId="0" applyNumberFormat="1" applyFont="1" applyFill="1" applyBorder="1" applyAlignment="1">
      <alignment horizontal="center" vertical="center" wrapText="1"/>
    </xf>
    <xf numFmtId="0" fontId="3" fillId="6" borderId="6" xfId="0" applyFont="1" applyFill="1" applyBorder="1" applyAlignment="1">
      <alignment horizontal="center" vertical="center" wrapText="1"/>
    </xf>
    <xf numFmtId="164" fontId="2" fillId="7" borderId="6" xfId="0" applyNumberFormat="1" applyFont="1" applyFill="1" applyBorder="1" applyAlignment="1">
      <alignment horizontal="center" vertical="center" wrapText="1"/>
    </xf>
    <xf numFmtId="4" fontId="2" fillId="7" borderId="6" xfId="0" applyNumberFormat="1" applyFont="1" applyFill="1" applyBorder="1" applyAlignment="1">
      <alignment horizontal="center" vertical="center" wrapText="1"/>
    </xf>
    <xf numFmtId="4" fontId="5" fillId="2" borderId="6" xfId="0" applyNumberFormat="1" applyFont="1" applyFill="1" applyBorder="1" applyAlignment="1">
      <alignment horizontal="center" vertical="center" wrapText="1"/>
    </xf>
    <xf numFmtId="4" fontId="5" fillId="7" borderId="6" xfId="0" applyNumberFormat="1" applyFont="1" applyFill="1" applyBorder="1" applyAlignment="1">
      <alignment horizontal="center" vertical="center" wrapText="1"/>
    </xf>
    <xf numFmtId="0" fontId="3" fillId="8" borderId="6" xfId="0" applyFont="1" applyFill="1" applyBorder="1" applyAlignment="1">
      <alignment horizontal="center" vertical="center" wrapText="1"/>
    </xf>
    <xf numFmtId="0" fontId="3" fillId="9" borderId="6" xfId="0" applyFont="1" applyFill="1" applyBorder="1" applyAlignment="1">
      <alignment horizontal="center" vertical="center" wrapText="1"/>
    </xf>
    <xf numFmtId="165" fontId="3" fillId="9" borderId="6" xfId="0" applyNumberFormat="1" applyFont="1" applyFill="1" applyBorder="1" applyAlignment="1">
      <alignment horizontal="center" vertical="center" wrapText="1"/>
    </xf>
    <xf numFmtId="0" fontId="3" fillId="5" borderId="6" xfId="0" applyFont="1" applyFill="1" applyBorder="1" applyAlignment="1">
      <alignment horizontal="center" vertical="center" wrapText="1"/>
    </xf>
    <xf numFmtId="4" fontId="3" fillId="5" borderId="6" xfId="0" applyNumberFormat="1" applyFont="1" applyFill="1" applyBorder="1" applyAlignment="1">
      <alignment horizontal="center" vertical="center" wrapText="1"/>
    </xf>
    <xf numFmtId="4" fontId="2" fillId="10" borderId="6"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7" fillId="0" borderId="6" xfId="0" applyFont="1" applyBorder="1" applyAlignment="1">
      <alignment horizontal="center" vertical="center" wrapText="1"/>
    </xf>
    <xf numFmtId="0" fontId="6" fillId="4" borderId="6" xfId="0" applyFont="1" applyFill="1" applyBorder="1" applyAlignment="1">
      <alignment horizontal="center" vertical="center" wrapText="1"/>
    </xf>
    <xf numFmtId="10" fontId="6" fillId="0" borderId="6" xfId="0" applyNumberFormat="1" applyFont="1" applyBorder="1" applyAlignment="1">
      <alignment horizontal="center" vertical="center" wrapText="1"/>
    </xf>
    <xf numFmtId="4" fontId="6" fillId="0" borderId="6" xfId="0" applyNumberFormat="1" applyFont="1" applyBorder="1" applyAlignment="1">
      <alignment horizontal="center" vertical="center" wrapText="1"/>
    </xf>
    <xf numFmtId="166" fontId="6" fillId="0" borderId="6" xfId="0" applyNumberFormat="1" applyFont="1" applyBorder="1" applyAlignment="1">
      <alignment horizontal="center" vertical="center" wrapText="1"/>
    </xf>
    <xf numFmtId="165" fontId="6" fillId="0" borderId="6"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6" fillId="0" borderId="6" xfId="0" applyFont="1" applyBorder="1" applyAlignment="1">
      <alignment horizontal="center" vertical="center" wrapText="1"/>
    </xf>
    <xf numFmtId="0" fontId="9" fillId="0" borderId="6" xfId="0" applyFont="1" applyBorder="1" applyAlignment="1">
      <alignment horizontal="center" vertical="center" wrapText="1"/>
    </xf>
    <xf numFmtId="0" fontId="6" fillId="4" borderId="6"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6" fillId="4" borderId="6" xfId="0" applyFont="1" applyFill="1" applyBorder="1" applyAlignment="1">
      <alignment horizontal="center" vertical="center" wrapText="1"/>
    </xf>
    <xf numFmtId="165" fontId="6" fillId="0" borderId="6" xfId="0" applyNumberFormat="1" applyFont="1" applyBorder="1" applyAlignment="1">
      <alignment horizontal="center" vertical="center" wrapText="1"/>
    </xf>
    <xf numFmtId="166" fontId="6" fillId="0" borderId="0" xfId="0" applyNumberFormat="1" applyFont="1" applyAlignment="1">
      <alignment horizontal="center" vertical="center" wrapText="1"/>
    </xf>
    <xf numFmtId="167" fontId="6" fillId="0" borderId="0" xfId="0" applyNumberFormat="1" applyFont="1" applyAlignment="1">
      <alignment horizontal="center" vertical="center" wrapText="1"/>
    </xf>
    <xf numFmtId="4" fontId="6" fillId="0" borderId="0" xfId="0" applyNumberFormat="1" applyFont="1" applyAlignment="1">
      <alignment horizontal="center" vertical="center" wrapText="1"/>
    </xf>
    <xf numFmtId="165" fontId="6" fillId="0" borderId="0" xfId="0" applyNumberFormat="1" applyFont="1" applyAlignment="1">
      <alignment horizontal="center" vertical="center" wrapText="1"/>
    </xf>
    <xf numFmtId="4" fontId="6" fillId="4" borderId="6" xfId="0" applyNumberFormat="1" applyFont="1" applyFill="1" applyBorder="1" applyAlignment="1">
      <alignment horizontal="center" vertical="center" wrapText="1"/>
    </xf>
    <xf numFmtId="2" fontId="6" fillId="0" borderId="6" xfId="0" applyNumberFormat="1" applyFont="1" applyBorder="1" applyAlignment="1">
      <alignment horizontal="center" vertical="center" wrapText="1"/>
    </xf>
    <xf numFmtId="49" fontId="6" fillId="4" borderId="6" xfId="0" applyNumberFormat="1" applyFont="1" applyFill="1" applyBorder="1" applyAlignment="1">
      <alignment horizontal="center" vertical="center" wrapText="1"/>
    </xf>
    <xf numFmtId="49" fontId="6" fillId="0" borderId="6" xfId="0" applyNumberFormat="1" applyFont="1" applyBorder="1" applyAlignment="1">
      <alignment horizontal="center" vertical="center" wrapText="1"/>
    </xf>
    <xf numFmtId="0" fontId="6"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12" borderId="6" xfId="0" applyFont="1" applyFill="1" applyBorder="1" applyAlignment="1">
      <alignment horizontal="center" vertical="center" wrapText="1"/>
    </xf>
    <xf numFmtId="4" fontId="6" fillId="12" borderId="6" xfId="0" applyNumberFormat="1" applyFont="1" applyFill="1" applyBorder="1" applyAlignment="1">
      <alignment horizontal="center" vertical="center" wrapText="1"/>
    </xf>
    <xf numFmtId="0" fontId="6" fillId="12" borderId="6" xfId="0" applyFont="1" applyFill="1" applyBorder="1" applyAlignment="1">
      <alignment horizontal="center" vertical="center" wrapText="1"/>
    </xf>
    <xf numFmtId="0" fontId="12" fillId="12" borderId="6" xfId="0" applyFont="1" applyFill="1" applyBorder="1" applyAlignment="1">
      <alignment horizontal="center" vertical="center" wrapText="1"/>
    </xf>
    <xf numFmtId="4" fontId="6" fillId="0" borderId="6" xfId="0" applyNumberFormat="1" applyFont="1" applyBorder="1" applyAlignment="1">
      <alignment horizontal="center" vertical="center" wrapText="1"/>
    </xf>
    <xf numFmtId="0" fontId="2" fillId="11" borderId="6"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0" fillId="12" borderId="6"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12" borderId="6" xfId="0" applyFont="1" applyFill="1" applyBorder="1" applyAlignment="1">
      <alignment horizontal="center" vertical="center" wrapText="1"/>
    </xf>
    <xf numFmtId="0" fontId="6" fillId="14" borderId="6" xfId="0" applyFont="1" applyFill="1" applyBorder="1" applyAlignment="1">
      <alignment horizontal="center" vertical="center" wrapText="1"/>
    </xf>
    <xf numFmtId="4" fontId="6" fillId="14" borderId="6" xfId="0" applyNumberFormat="1"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14" borderId="6" xfId="0" applyFont="1" applyFill="1" applyBorder="1" applyAlignment="1">
      <alignment horizontal="center" vertical="center" wrapText="1"/>
    </xf>
    <xf numFmtId="4" fontId="6" fillId="14" borderId="6" xfId="0" applyNumberFormat="1" applyFont="1" applyFill="1" applyBorder="1" applyAlignment="1">
      <alignment horizontal="center" vertical="center" wrapText="1"/>
    </xf>
    <xf numFmtId="0" fontId="6" fillId="0" borderId="6" xfId="0" applyFont="1" applyBorder="1" applyAlignment="1">
      <alignment horizontal="center" vertical="center"/>
    </xf>
    <xf numFmtId="0" fontId="2" fillId="12" borderId="6" xfId="0" applyFont="1" applyFill="1" applyBorder="1" applyAlignment="1">
      <alignment horizontal="center" vertical="center" wrapText="1"/>
    </xf>
    <xf numFmtId="0" fontId="2" fillId="17" borderId="6" xfId="0" applyFont="1" applyFill="1" applyBorder="1" applyAlignment="1">
      <alignment horizontal="center" vertical="center" wrapText="1"/>
    </xf>
    <xf numFmtId="10" fontId="6" fillId="12" borderId="6" xfId="0" applyNumberFormat="1" applyFont="1" applyFill="1" applyBorder="1" applyAlignment="1">
      <alignment horizontal="center" vertical="center" wrapText="1"/>
    </xf>
    <xf numFmtId="4" fontId="6" fillId="0" borderId="6" xfId="0" applyNumberFormat="1" applyFont="1" applyBorder="1" applyAlignment="1">
      <alignment horizontal="center" vertical="center" wrapText="1"/>
    </xf>
    <xf numFmtId="4" fontId="6" fillId="0" borderId="6" xfId="0" applyNumberFormat="1" applyFont="1" applyBorder="1" applyAlignment="1">
      <alignment horizontal="center" vertical="center" wrapText="1"/>
    </xf>
    <xf numFmtId="4" fontId="10" fillId="0" borderId="6" xfId="0" applyNumberFormat="1" applyFont="1" applyBorder="1" applyAlignment="1">
      <alignment horizontal="center" vertical="center" wrapText="1"/>
    </xf>
    <xf numFmtId="4" fontId="10" fillId="0" borderId="6" xfId="0" applyNumberFormat="1" applyFont="1" applyBorder="1" applyAlignment="1">
      <alignment horizontal="center" vertical="center" wrapText="1"/>
    </xf>
    <xf numFmtId="0" fontId="6" fillId="7" borderId="6" xfId="0" applyFont="1" applyFill="1" applyBorder="1" applyAlignment="1">
      <alignment horizontal="center" vertical="center" wrapText="1"/>
    </xf>
    <xf numFmtId="0" fontId="6" fillId="7" borderId="6" xfId="0" applyFont="1" applyFill="1" applyBorder="1" applyAlignment="1">
      <alignment horizontal="center" vertical="center" wrapText="1"/>
    </xf>
    <xf numFmtId="10" fontId="6" fillId="7" borderId="6" xfId="0" applyNumberFormat="1" applyFont="1" applyFill="1" applyBorder="1" applyAlignment="1">
      <alignment horizontal="center" vertical="center" wrapText="1"/>
    </xf>
    <xf numFmtId="4" fontId="6" fillId="7" borderId="6" xfId="0" applyNumberFormat="1" applyFont="1" applyFill="1" applyBorder="1" applyAlignment="1">
      <alignment horizontal="center" vertical="center" wrapText="1"/>
    </xf>
    <xf numFmtId="4" fontId="6" fillId="7" borderId="6" xfId="0" applyNumberFormat="1" applyFont="1" applyFill="1" applyBorder="1" applyAlignment="1">
      <alignment horizontal="center" vertical="center" wrapText="1"/>
    </xf>
    <xf numFmtId="4" fontId="2" fillId="12" borderId="6" xfId="0" applyNumberFormat="1" applyFont="1" applyFill="1" applyBorder="1" applyAlignment="1">
      <alignment horizontal="center" vertical="center" wrapText="1"/>
    </xf>
    <xf numFmtId="2" fontId="6" fillId="14" borderId="6" xfId="0" applyNumberFormat="1" applyFont="1" applyFill="1" applyBorder="1" applyAlignment="1">
      <alignment horizontal="center" vertical="center" wrapText="1"/>
    </xf>
    <xf numFmtId="4" fontId="2" fillId="12" borderId="6" xfId="0" applyNumberFormat="1" applyFont="1" applyFill="1" applyBorder="1" applyAlignment="1">
      <alignment horizontal="center" vertical="center" wrapText="1"/>
    </xf>
    <xf numFmtId="49" fontId="2" fillId="12" borderId="6" xfId="0" applyNumberFormat="1" applyFont="1" applyFill="1" applyBorder="1" applyAlignment="1">
      <alignment horizontal="center" vertical="center" wrapText="1"/>
    </xf>
    <xf numFmtId="0" fontId="2" fillId="12" borderId="6" xfId="0" applyFont="1" applyFill="1" applyBorder="1" applyAlignment="1">
      <alignment horizontal="center" vertical="center" wrapText="1"/>
    </xf>
    <xf numFmtId="0" fontId="13" fillId="7" borderId="6" xfId="0" applyFont="1" applyFill="1" applyBorder="1"/>
    <xf numFmtId="0" fontId="13" fillId="0" borderId="6" xfId="0" applyFont="1" applyBorder="1"/>
    <xf numFmtId="0" fontId="11" fillId="4" borderId="1" xfId="0" applyFont="1" applyFill="1" applyBorder="1" applyAlignment="1">
      <alignment horizontal="center" vertical="center" wrapText="1"/>
    </xf>
    <xf numFmtId="0" fontId="3" fillId="15" borderId="1" xfId="0" applyFont="1" applyFill="1" applyBorder="1" applyAlignment="1">
      <alignment horizontal="center" vertical="center" wrapText="1"/>
    </xf>
    <xf numFmtId="4" fontId="3" fillId="15" borderId="1" xfId="0" applyNumberFormat="1" applyFont="1" applyFill="1" applyBorder="1" applyAlignment="1">
      <alignment horizontal="center" vertical="center" wrapText="1"/>
    </xf>
    <xf numFmtId="0" fontId="11" fillId="15" borderId="1" xfId="0" applyFont="1" applyFill="1" applyBorder="1" applyAlignment="1">
      <alignment horizontal="center" vertical="center" wrapText="1"/>
    </xf>
    <xf numFmtId="0" fontId="3" fillId="15" borderId="6" xfId="0" applyFont="1" applyFill="1" applyBorder="1" applyAlignment="1">
      <alignment horizontal="center" vertical="center" wrapText="1"/>
    </xf>
    <xf numFmtId="0" fontId="11" fillId="15" borderId="6" xfId="0" applyFont="1" applyFill="1" applyBorder="1" applyAlignment="1">
      <alignment horizontal="center" vertical="center" wrapText="1"/>
    </xf>
    <xf numFmtId="0" fontId="6" fillId="17" borderId="6" xfId="0" applyFont="1" applyFill="1" applyBorder="1" applyAlignment="1">
      <alignment horizontal="center" vertical="center" wrapText="1"/>
    </xf>
    <xf numFmtId="9" fontId="6" fillId="0" borderId="6" xfId="0" applyNumberFormat="1" applyFont="1" applyBorder="1" applyAlignment="1">
      <alignment horizontal="center" vertical="center" wrapText="1"/>
    </xf>
    <xf numFmtId="0" fontId="6" fillId="17" borderId="6" xfId="0" applyFont="1" applyFill="1" applyBorder="1" applyAlignment="1">
      <alignment horizontal="center" vertical="center" wrapText="1"/>
    </xf>
    <xf numFmtId="0" fontId="6" fillId="17" borderId="6" xfId="0" applyFont="1" applyFill="1" applyBorder="1" applyAlignment="1">
      <alignment horizontal="center" vertical="center"/>
    </xf>
    <xf numFmtId="4" fontId="6" fillId="0" borderId="6" xfId="0" applyNumberFormat="1" applyFont="1" applyBorder="1" applyAlignment="1">
      <alignment horizontal="center" vertical="center"/>
    </xf>
    <xf numFmtId="10" fontId="6" fillId="0" borderId="6" xfId="0" applyNumberFormat="1" applyFont="1" applyBorder="1" applyAlignment="1">
      <alignment horizontal="center" vertical="center"/>
    </xf>
    <xf numFmtId="9" fontId="6" fillId="0" borderId="6" xfId="0" applyNumberFormat="1" applyFont="1" applyBorder="1" applyAlignment="1">
      <alignment horizontal="center" vertical="center"/>
    </xf>
    <xf numFmtId="0" fontId="6" fillId="17" borderId="6" xfId="0" applyFont="1" applyFill="1" applyBorder="1" applyAlignment="1">
      <alignment horizontal="center" vertical="center"/>
    </xf>
    <xf numFmtId="49" fontId="6" fillId="0" borderId="6" xfId="0" applyNumberFormat="1" applyFont="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wrapText="1"/>
    </xf>
    <xf numFmtId="0" fontId="16" fillId="4" borderId="6"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5" fillId="7" borderId="0" xfId="0" applyFont="1" applyFill="1" applyAlignment="1">
      <alignment horizontal="center" vertical="center" wrapText="1"/>
    </xf>
    <xf numFmtId="0" fontId="14" fillId="4" borderId="6" xfId="0" applyFont="1" applyFill="1" applyBorder="1" applyAlignment="1">
      <alignment horizontal="center" vertical="center" wrapText="1"/>
    </xf>
    <xf numFmtId="0" fontId="15" fillId="9" borderId="0" xfId="0" applyFont="1" applyFill="1" applyAlignment="1">
      <alignment horizontal="center" vertical="center" wrapText="1"/>
    </xf>
    <xf numFmtId="0" fontId="15"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5" fillId="9" borderId="6" xfId="0" applyFont="1" applyFill="1" applyBorder="1" applyAlignment="1">
      <alignment horizontal="center" vertical="center" wrapText="1"/>
    </xf>
    <xf numFmtId="4" fontId="15" fillId="0" borderId="6" xfId="0" applyNumberFormat="1" applyFont="1" applyBorder="1" applyAlignment="1">
      <alignment horizontal="center" vertical="center" wrapText="1"/>
    </xf>
    <xf numFmtId="9" fontId="15" fillId="0" borderId="6" xfId="0" applyNumberFormat="1" applyFont="1" applyBorder="1" applyAlignment="1">
      <alignment horizontal="center" vertical="center" wrapText="1"/>
    </xf>
    <xf numFmtId="166" fontId="15" fillId="9" borderId="6" xfId="0" applyNumberFormat="1"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5" fillId="13" borderId="6" xfId="0" applyFont="1" applyFill="1" applyBorder="1" applyAlignment="1">
      <alignment horizontal="center" vertical="center" wrapText="1"/>
    </xf>
    <xf numFmtId="4" fontId="15" fillId="13" borderId="6" xfId="0" applyNumberFormat="1" applyFont="1" applyFill="1" applyBorder="1" applyAlignment="1">
      <alignment horizontal="center" vertical="center" wrapText="1"/>
    </xf>
    <xf numFmtId="9" fontId="15" fillId="13" borderId="6" xfId="0" applyNumberFormat="1" applyFont="1" applyFill="1" applyBorder="1" applyAlignment="1">
      <alignment horizontal="center" vertical="center" wrapText="1"/>
    </xf>
    <xf numFmtId="0" fontId="15" fillId="9" borderId="6" xfId="0" applyFont="1" applyFill="1" applyBorder="1" applyAlignment="1">
      <alignment horizontal="center" vertical="center" wrapText="1"/>
    </xf>
    <xf numFmtId="49" fontId="15" fillId="0" borderId="6" xfId="0" applyNumberFormat="1" applyFont="1" applyBorder="1" applyAlignment="1">
      <alignment horizontal="center" vertical="center" wrapText="1"/>
    </xf>
    <xf numFmtId="0" fontId="15" fillId="0" borderId="0" xfId="0" applyFont="1" applyAlignment="1">
      <alignment horizontal="center" vertical="center" wrapText="1"/>
    </xf>
    <xf numFmtId="4" fontId="15" fillId="0" borderId="6" xfId="0" applyNumberFormat="1" applyFont="1" applyBorder="1" applyAlignment="1">
      <alignment horizontal="center" vertical="center" wrapText="1"/>
    </xf>
    <xf numFmtId="4" fontId="15" fillId="13" borderId="6" xfId="0" applyNumberFormat="1" applyFont="1" applyFill="1" applyBorder="1" applyAlignment="1">
      <alignment horizontal="center" vertical="center" wrapText="1"/>
    </xf>
    <xf numFmtId="10" fontId="15" fillId="0" borderId="6" xfId="0" applyNumberFormat="1" applyFont="1" applyBorder="1" applyAlignment="1">
      <alignment horizontal="center" vertical="center" wrapText="1"/>
    </xf>
    <xf numFmtId="0" fontId="17" fillId="0" borderId="6" xfId="0" applyFont="1" applyBorder="1" applyAlignment="1">
      <alignment horizontal="center" vertical="center"/>
    </xf>
    <xf numFmtId="0" fontId="6" fillId="18" borderId="6" xfId="0" applyFont="1" applyFill="1" applyBorder="1" applyAlignment="1">
      <alignment horizontal="center" vertical="center" wrapText="1"/>
    </xf>
    <xf numFmtId="0" fontId="18" fillId="7" borderId="6" xfId="0" applyFont="1" applyFill="1" applyBorder="1" applyAlignment="1">
      <alignment horizontal="center" vertical="center"/>
    </xf>
    <xf numFmtId="0" fontId="21" fillId="4" borderId="6"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23" fillId="4" borderId="6" xfId="0" applyFont="1" applyFill="1" applyBorder="1" applyAlignment="1">
      <alignment horizontal="center" vertical="center"/>
    </xf>
    <xf numFmtId="0" fontId="27" fillId="20" borderId="8" xfId="0" applyFont="1" applyFill="1" applyBorder="1" applyAlignment="1">
      <alignment horizontal="center" vertical="center"/>
    </xf>
    <xf numFmtId="0" fontId="27" fillId="20" borderId="8" xfId="0" applyFont="1" applyFill="1" applyBorder="1" applyAlignment="1">
      <alignment horizontal="center" vertical="center" wrapText="1"/>
    </xf>
    <xf numFmtId="0" fontId="28" fillId="0" borderId="0" xfId="0" applyFont="1" applyAlignment="1"/>
    <xf numFmtId="0" fontId="28" fillId="19" borderId="8" xfId="0" applyFont="1" applyFill="1" applyBorder="1" applyAlignment="1">
      <alignment horizontal="center" vertical="center" wrapText="1"/>
    </xf>
    <xf numFmtId="14" fontId="28" fillId="19" borderId="8" xfId="0" applyNumberFormat="1" applyFont="1" applyFill="1" applyBorder="1" applyAlignment="1">
      <alignment horizontal="center" vertical="center" wrapText="1"/>
    </xf>
    <xf numFmtId="0" fontId="29" fillId="19"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4" fillId="0" borderId="5" xfId="0" applyFont="1" applyBorder="1"/>
    <xf numFmtId="0" fontId="6" fillId="10" borderId="2" xfId="0" applyFont="1" applyFill="1" applyBorder="1" applyAlignment="1">
      <alignment horizontal="center" vertical="center" wrapText="1"/>
    </xf>
    <xf numFmtId="0" fontId="4" fillId="0" borderId="4" xfId="0" applyFont="1" applyBorder="1"/>
    <xf numFmtId="0" fontId="4" fillId="0" borderId="3" xfId="0" applyFont="1" applyBorder="1"/>
    <xf numFmtId="10"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4" fillId="0" borderId="7" xfId="0" applyFont="1" applyBorder="1"/>
    <xf numFmtId="0" fontId="14" fillId="0" borderId="2" xfId="0" applyFont="1" applyBorder="1" applyAlignment="1">
      <alignment horizontal="center" vertical="center" wrapText="1"/>
    </xf>
    <xf numFmtId="0" fontId="3" fillId="16" borderId="1" xfId="0" applyFont="1" applyFill="1" applyBorder="1" applyAlignment="1">
      <alignment horizontal="center" vertical="center" wrapText="1"/>
    </xf>
    <xf numFmtId="0" fontId="20" fillId="14" borderId="2" xfId="0" applyFont="1" applyFill="1" applyBorder="1" applyAlignment="1">
      <alignment horizontal="center" vertical="center" wrapText="1"/>
    </xf>
  </cellXfs>
  <cellStyles count="4">
    <cellStyle name="Обычный" xfId="0" builtinId="0"/>
    <cellStyle name="Обычный 2" xfId="2" xr:uid="{53BCBBEC-5B51-4D23-AE75-B47793FF290A}"/>
    <cellStyle name="Обычный 2 2" xfId="3" xr:uid="{A2B961A8-77D5-4F47-9DF9-3BAC24ADAE75}"/>
    <cellStyle name="Обычный 3" xfId="1" xr:uid="{38D70B44-7AFF-4218-94DA-99F63AC2FB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zakupki.gov.ru/epz/contract/contractCard/common-info.html?reestrNumber=3502611720320000054" TargetMode="External"/><Relationship Id="rId117" Type="http://schemas.openxmlformats.org/officeDocument/2006/relationships/hyperlink" Target="https://drive.google.com/drive/folders/1BKhtX24QMmvAokCE7UM1jBbROzdlDhk-?usp=sharing" TargetMode="External"/><Relationship Id="rId21" Type="http://schemas.openxmlformats.org/officeDocument/2006/relationships/hyperlink" Target="https://zakupki.gov.ru/epz/contract/contractCard/common-info.html?reestrNumber=3502702397419000064&amp;backUrl=33e888a2-78fd-4fa0-b740-9bae2c7dbbbd" TargetMode="External"/><Relationship Id="rId42" Type="http://schemas.openxmlformats.org/officeDocument/2006/relationships/hyperlink" Target="https://zakupki.gov.ru/epz/contract/contractCard/common-info.html?reestrNumber=3501701576620000143&amp;backUrl=38bd1910-caa9-487a-88a7-65cfd43f77f1" TargetMode="External"/><Relationship Id="rId47" Type="http://schemas.openxmlformats.org/officeDocument/2006/relationships/hyperlink" Target="https://zakupki.gov.ru/epz/contract/contractCard/common-info.html?reestrNumber=3505000215419000233&amp;backUrl=2479bc82-6253-474d-9d2a-3de571f245bb" TargetMode="External"/><Relationship Id="rId63" Type="http://schemas.openxmlformats.org/officeDocument/2006/relationships/hyperlink" Target="https://zakupki.gov.ru/epz/contract/contractCard/common-info.html?reestrNumber=3503200422220000169&amp;backUrl=c54e7e55-709a-4c28-86e6-ecfca358ffaa" TargetMode="External"/><Relationship Id="rId68" Type="http://schemas.openxmlformats.org/officeDocument/2006/relationships/hyperlink" Target="https://zakupki.gov.ru/epz/contract/contractCard/common-info.html?reestrNumber=3507500328719000191" TargetMode="External"/><Relationship Id="rId84" Type="http://schemas.openxmlformats.org/officeDocument/2006/relationships/hyperlink" Target="https://zakupki.gov.ru/epz/contract/contractCard/common-info.html?reestrNumber=3504900333020000062&amp;backUrl=76180298-e6d2-4976-8266-e0d0b9eaaf5a" TargetMode="External"/><Relationship Id="rId89" Type="http://schemas.openxmlformats.org/officeDocument/2006/relationships/hyperlink" Target="https://zakupki.gov.ru/epz/contract/contractCard/common-info.html?reestrNumber=3504900333020000062&amp;backUrl=76180298-e6d2-4976-8266-e0d0b9eaaf5a" TargetMode="External"/><Relationship Id="rId112" Type="http://schemas.openxmlformats.org/officeDocument/2006/relationships/hyperlink" Target="https://zakupki.gov.ru/epz/contract/contractCard/document-info.html?reestrNumber=3504805359217000053" TargetMode="External"/><Relationship Id="rId16" Type="http://schemas.openxmlformats.org/officeDocument/2006/relationships/hyperlink" Target="https://zakupki.gov.ru/epz/contract/contractCard/common-info.html?reestrNumber=3505200212820000037&amp;backUrl=6a6c93ac-4711-4538-bcb5-353b08a1ab2e" TargetMode="External"/><Relationship Id="rId107" Type="http://schemas.openxmlformats.org/officeDocument/2006/relationships/hyperlink" Target="https://zakupki.gov.ru/epz/contract/contractCard/common-info.html?reestrNumber=3502205470719000037" TargetMode="External"/><Relationship Id="rId11" Type="http://schemas.openxmlformats.org/officeDocument/2006/relationships/hyperlink" Target="https://zakupki.gov.ru/epz/contract/contractCard/common-info.html?reestrNumber=2503406517120000004&amp;backUrl=6055b7be-0af4-466b-84f5-9198f45eb93b" TargetMode="External"/><Relationship Id="rId32" Type="http://schemas.openxmlformats.org/officeDocument/2006/relationships/hyperlink" Target="https://zakupki.gov.ru/epz/contract/contractCard/common-info.html?reestrNumber=3503200422220000120&amp;backUrl=0a85df83-97d7-41b0-ad75-6d390cc53581" TargetMode="External"/><Relationship Id="rId37" Type="http://schemas.openxmlformats.org/officeDocument/2006/relationships/hyperlink" Target="https://zakupki.gov.ru/epz/contract/contractCard/common-info.html?reestrNumber=3503003185519000027&amp;backUrl=676266ef-31b3-4a38-a770-e3a6197244a4" TargetMode="External"/><Relationship Id="rId53" Type="http://schemas.openxmlformats.org/officeDocument/2006/relationships/hyperlink" Target="https://zakupki.gov.ru/epz/contract/contractCard/common-info.html?reestrNumber=3505000215419000186&amp;backUrl=4ada7410-9a86-417d-98a6-86d8770d8c72" TargetMode="External"/><Relationship Id="rId58" Type="http://schemas.openxmlformats.org/officeDocument/2006/relationships/hyperlink" Target="https://zakupki.gov.ru/epz/contract/contractCard/common-info.html?reestrNumber=3501400314519000073&amp;backUrl=c51a1be5-5aeb-4b65-8557-7db8ab7fa78c" TargetMode="External"/><Relationship Id="rId74" Type="http://schemas.openxmlformats.org/officeDocument/2006/relationships/hyperlink" Target="https://zakupki.gov.ru/epz/contract/contractCard/common-info.html?reestrNumber=3507600024020000100&amp;backUrl=b98fddca-6b40-408c-bf66-5adc1e4e56e0" TargetMode="External"/><Relationship Id="rId79" Type="http://schemas.openxmlformats.org/officeDocument/2006/relationships/hyperlink" Target="https://zakupki.gov.ru/epz/contract/contractCard/common-info.html?reestrNumber=3507600024020000100&amp;backUrl=b98fddca-6b40-408c-bf66-5adc1e4e56e0" TargetMode="External"/><Relationship Id="rId102" Type="http://schemas.openxmlformats.org/officeDocument/2006/relationships/hyperlink" Target="https://zakupki.gov.ru/epz/contract/contractCard/document-info.html?reestrNumber=3503107821419000029" TargetMode="External"/><Relationship Id="rId5" Type="http://schemas.openxmlformats.org/officeDocument/2006/relationships/hyperlink" Target="https://zakupki.gov.ru/epz/contract/contractCard/common-info.html?reestrNumber=3503200422220000150&amp;backUrl=ad9f27c5-c06a-4904-a7f4-6230b383c638" TargetMode="External"/><Relationship Id="rId90" Type="http://schemas.openxmlformats.org/officeDocument/2006/relationships/hyperlink" Target="https://zakupki.gov.ru/epz/contract/contractCard/common-info.html?reestrNumber=3504900333020000062&amp;backUrl=76180298-e6d2-4976-8266-e0d0b9eaaf5a" TargetMode="External"/><Relationship Id="rId95" Type="http://schemas.openxmlformats.org/officeDocument/2006/relationships/hyperlink" Target="https://zakupki.gov.ru/epz/contract/contractCard/common-info.html?reestrNumber=2503107028619000081&amp;backUrl=5cad5904-c7d1-445d-8607-3f7135829b07" TargetMode="External"/><Relationship Id="rId22" Type="http://schemas.openxmlformats.org/officeDocument/2006/relationships/hyperlink" Target="https://zakupki.gov.ru/epz/contract/contractCard/common-info.html?reestrNumber=2502413966719000005&amp;backUrl=f5c9b410-aca6-45c3-9bce-09883b720338" TargetMode="External"/><Relationship Id="rId27" Type="http://schemas.openxmlformats.org/officeDocument/2006/relationships/hyperlink" Target="https://zakupki.gov.ru/epz/contract/contractCard/common-info.html?reestrNumber=3503615528619000048&amp;backUrl=642ceed7-c226-4ce4-87aa-51b97a4a4007" TargetMode="External"/><Relationship Id="rId43" Type="http://schemas.openxmlformats.org/officeDocument/2006/relationships/hyperlink" Target="https://zakupki.gov.ru/epz/contract/contractCard/common-info.html?reestrNumber=3502916894320000040&amp;backUrl=6ef416ae-c495-4bc8-add5-d6d1fe2c3d2c" TargetMode="External"/><Relationship Id="rId48" Type="http://schemas.openxmlformats.org/officeDocument/2006/relationships/hyperlink" Target="https://zakupki.gov.ru/epz/contract/contractCard/common-info.html?reestrNumber=3502400207718000297&amp;backUrl=4581b73d-f4cb-469c-ae29-7e911694c36a" TargetMode="External"/><Relationship Id="rId64" Type="http://schemas.openxmlformats.org/officeDocument/2006/relationships/hyperlink" Target="https://zakupki.gov.ru/epz/contract/contractCard/common-info.html?reestrNumber=3503300233020000028&amp;backUrl=5eb2eef2-2279-41f2-b687-253a9e3ce2ba" TargetMode="External"/><Relationship Id="rId69" Type="http://schemas.openxmlformats.org/officeDocument/2006/relationships/hyperlink" Target="https://zakupki.gov.ru/epz/contract/contractCard/common-info.html?reestrNumber=3507500328719000191" TargetMode="External"/><Relationship Id="rId113" Type="http://schemas.openxmlformats.org/officeDocument/2006/relationships/hyperlink" Target="https://zakupki.gov.ru/epz/contract/search/results.html?searchString=&amp;orderNumber=0148200005420000262&amp;openMode=USE_DEFAULT_PARAMS&amp;fz44=on&amp;priceFrom=0&amp;priceTo=200000000000&amp;contractStageList=0%2C1%2C2%2C3&amp;budgetaryFunds=on&amp;extraBudgetaryFunds=on" TargetMode="External"/><Relationship Id="rId118" Type="http://schemas.openxmlformats.org/officeDocument/2006/relationships/hyperlink" Target="https://zakupki.gov.ru/epz/contract/search/results.html?searchString=&amp;orderNumber=0848300016517000360&amp;openMode=USE_DEFAULT_PARAMS&amp;fz44=on&amp;priceFrom=0&amp;priceTo=200000000000&amp;contractStageList=0%2C1%2C2%2C3&amp;budgetaryFunds=on&amp;extraBudgetaryFunds=on" TargetMode="External"/><Relationship Id="rId80" Type="http://schemas.openxmlformats.org/officeDocument/2006/relationships/hyperlink" Target="https://zakupki.gov.ru/epz/contract/contractCard/common-info.html?reestrNumber=3507600024020000100&amp;backUrl=b98fddca-6b40-408c-bf66-5adc1e4e56e0" TargetMode="External"/><Relationship Id="rId85" Type="http://schemas.openxmlformats.org/officeDocument/2006/relationships/hyperlink" Target="https://zakupki.gov.ru/epz/contract/contractCard/common-info.html?reestrNumber=3504900333020000062&amp;backUrl=76180298-e6d2-4976-8266-e0d0b9eaaf5a" TargetMode="External"/><Relationship Id="rId12" Type="http://schemas.openxmlformats.org/officeDocument/2006/relationships/hyperlink" Target="https://zakupki.gov.ru/epz/contract/contractCard/common-info.html?reestrNumber=3500400389019000065&amp;backUrl=a5d1d95a-b789-442f-ad04-448142ee8b45" TargetMode="External"/><Relationship Id="rId17" Type="http://schemas.openxmlformats.org/officeDocument/2006/relationships/hyperlink" Target="https://zakupki.gov.ru/epz/contract/contractCard/common-info.html?reestrNumber=3505200212820000041&amp;backUrl=1ea4d53e-11b5-4198-a12a-960e006f535e" TargetMode="External"/><Relationship Id="rId33" Type="http://schemas.openxmlformats.org/officeDocument/2006/relationships/hyperlink" Target="https://zakupki.gov.ru/epz/contract/contractCard/common-info.html?reestrNumber=3502205470719000127&amp;backUrl=30e1246d-b60f-4d72-a749-a0f94d538c0c" TargetMode="External"/><Relationship Id="rId38" Type="http://schemas.openxmlformats.org/officeDocument/2006/relationships/hyperlink" Target="https://zakupki.gov.ru/epz/contract/contractCard/common-info.html?reestrNumber=3504202239719000102&amp;backUrl=e2620fc5-a3f3-4f94-9415-f21d9f99c0fb" TargetMode="External"/><Relationship Id="rId59" Type="http://schemas.openxmlformats.org/officeDocument/2006/relationships/hyperlink" Target="https://zakupki.gov.ru/epz/order/notice/view/common-info.html?regNumber=0848300069519000443" TargetMode="External"/><Relationship Id="rId103" Type="http://schemas.openxmlformats.org/officeDocument/2006/relationships/hyperlink" Target="https://zakupki.gov.ru/epz/contract/contractCard/common-info.html?reestrNumber=3505305293219000018&amp;backUrl=53488c45-ebfd-4524-af8b-a355d378776f" TargetMode="External"/><Relationship Id="rId108" Type="http://schemas.openxmlformats.org/officeDocument/2006/relationships/hyperlink" Target="https://drive.google.com/drive/folders/17oRbTRK7o2kb9erkQxxvOOq4dqZ-KsxI?usp=sharing" TargetMode="External"/><Relationship Id="rId54" Type="http://schemas.openxmlformats.org/officeDocument/2006/relationships/hyperlink" Target="https://zakupki.gov.ru/epz/contract/contractCard/common-info.html?reestrNumber=3503408266720000045&amp;backUrl=60754490-0a76-40a6-8ec8-523920815337" TargetMode="External"/><Relationship Id="rId70" Type="http://schemas.openxmlformats.org/officeDocument/2006/relationships/hyperlink" Target="https://zakupki.gov.ru/epz/contract/contractCard/common-info.html?reestrNumber=3504202239719000252&amp;backUrl=250cdae6-0c05-4b5a-b127-60c58bc8b761" TargetMode="External"/><Relationship Id="rId75" Type="http://schemas.openxmlformats.org/officeDocument/2006/relationships/hyperlink" Target="https://zakupki.gov.ru/epz/contract/contractCard/common-info.html?reestrNumber=3507600024020000100&amp;backUrl=b98fddca-6b40-408c-bf66-5adc1e4e56e0" TargetMode="External"/><Relationship Id="rId91" Type="http://schemas.openxmlformats.org/officeDocument/2006/relationships/hyperlink" Target="https://zakupki.gov.ru/epz/contract/contractCard/common-info.html?reestrNumber=3504900333020000062&amp;backUrl=76180298-e6d2-4976-8266-e0d0b9eaaf5a" TargetMode="External"/><Relationship Id="rId96" Type="http://schemas.openxmlformats.org/officeDocument/2006/relationships/hyperlink" Target="https://zakupki.gov.ru/epz/contract/contractCard/common-info.html?reestrNumber=2503107028619000084&amp;backUrl=188c818a-4f36-4ad7-ad8b-b8c18e927734" TargetMode="External"/><Relationship Id="rId1" Type="http://schemas.openxmlformats.org/officeDocument/2006/relationships/hyperlink" Target="https://zakupki.gov.ru/epz/contract/search/results.html?searchString=&amp;orderNumber=0148200005420000190&amp;openMode=USE_DEFAULT_PARAMS&amp;fz44=on&amp;priceFrom=0&amp;priceTo=200000000000&amp;contractStageList=0%2C1%2C2%2C3&amp;budgetaryFunds=on&amp;extraBudgetaryFunds=on" TargetMode="External"/><Relationship Id="rId6" Type="http://schemas.openxmlformats.org/officeDocument/2006/relationships/hyperlink" Target="https://zakupki.gov.ru/epz/contract/contractCard/common-info.html?reestrNumber=3504805359220000007&amp;backUrl=1a150117-ef74-4efb-bed6-a999c2b3c581" TargetMode="External"/><Relationship Id="rId23" Type="http://schemas.openxmlformats.org/officeDocument/2006/relationships/hyperlink" Target="https://zakupki.gov.ru/epz/contract/contractCard/common-info.html?reestrNumber=2502413966719000008&amp;backUrl=f4bb9055-0be4-4b85-8756-61e439ed81cd" TargetMode="External"/><Relationship Id="rId28" Type="http://schemas.openxmlformats.org/officeDocument/2006/relationships/hyperlink" Target="https://zakupki.gov.ru/epz/contract/contractCard/common-info.html?reestrNumber=3503615528619000054&amp;backUrl=480ac382-1635-409a-a3e4-0df246e810c5" TargetMode="External"/><Relationship Id="rId49" Type="http://schemas.openxmlformats.org/officeDocument/2006/relationships/hyperlink" Target="https://zakupki.gov.ru/epz/contract/search/results.html?searchString=&amp;orderNumber=0848300051719000592&amp;openMode=USE_DEFAULT_PARAMS&amp;fz44=on&amp;priceFrom=0&amp;priceTo=200000000000&amp;contractStageList=0%2C1%2C2%2C3&amp;budgetaryFunds=on&amp;extraBudgetaryFunds=on" TargetMode="External"/><Relationship Id="rId114" Type="http://schemas.openxmlformats.org/officeDocument/2006/relationships/hyperlink" Target="https://drive.google.com/drive/folders/1CD6P0gNQl0u0Fvx95N33zFIHzjAiGPSp?usp=sharing" TargetMode="External"/><Relationship Id="rId119" Type="http://schemas.openxmlformats.org/officeDocument/2006/relationships/hyperlink" Target="https://zakupki.gov.ru/epz/contract/search/results.html?searchString=&amp;orderNumber=0148200005419000619&amp;openMode=USE_DEFAULT_PARAMS&amp;fz44=on&amp;priceFrom=0&amp;priceTo=200000000000&amp;contractStageList=0%2C1%2C2%2C3&amp;budgetaryFunds=on&amp;extraBudgetaryFunds=on" TargetMode="External"/><Relationship Id="rId44" Type="http://schemas.openxmlformats.org/officeDocument/2006/relationships/hyperlink" Target="https://zakupki.gov.ru/epz/contract/contractCard/common-info.html?reestrNumber=2502413966719000001&amp;backUrl=e1a2a103-4d28-449f-837b-015391830430" TargetMode="External"/><Relationship Id="rId60" Type="http://schemas.openxmlformats.org/officeDocument/2006/relationships/hyperlink" Target="https://zakupki.gov.ru/epz/contract/contractCard/common-info.html?reestrNumber=3501400314519000073&amp;backUrl=c51a1be5-5aeb-4b65-8557-7db8ab7fa78c" TargetMode="External"/><Relationship Id="rId65" Type="http://schemas.openxmlformats.org/officeDocument/2006/relationships/hyperlink" Target="https://zakupki.gov.ru/epz/contract/contractCard/common-info.html?reestrNumber=3503900368319000071&amp;backUrl=eff1c657-f871-4941-9c8b-f98ec2dd4418" TargetMode="External"/><Relationship Id="rId81" Type="http://schemas.openxmlformats.org/officeDocument/2006/relationships/hyperlink" Target="https://zakupki.gov.ru/epz/contract/contractCard/common-info.html?reestrNumber=3507800172119000203&amp;backUrl=3bd1e099-cec9-40a7-adfa-f15670766097" TargetMode="External"/><Relationship Id="rId86" Type="http://schemas.openxmlformats.org/officeDocument/2006/relationships/hyperlink" Target="https://zakupki.gov.ru/epz/contract/contractCard/common-info.html?reestrNumber=3504900333020000062&amp;backUrl=76180298-e6d2-4976-8266-e0d0b9eaaf5a" TargetMode="External"/><Relationship Id="rId4" Type="http://schemas.openxmlformats.org/officeDocument/2006/relationships/hyperlink" Target="https://zakupki.gov.ru/epz/contract/contractCard/payment-info-and-target-of-order.html?reestrNumber=3502703675820000109&amp;backUrl=c2d578b2-ec3e-4f5a-8ae1-92b3c956fc5c" TargetMode="External"/><Relationship Id="rId9" Type="http://schemas.openxmlformats.org/officeDocument/2006/relationships/hyperlink" Target="https://zakupki.gov.ru/epz/contract/contractCard/document-info.html?reestrNumber=3502702397420000061" TargetMode="External"/><Relationship Id="rId13" Type="http://schemas.openxmlformats.org/officeDocument/2006/relationships/hyperlink" Target="https://zakupki.gov.ru/epz/contract/contractCard/common-info.html?reestrNumber=3507272297420000060&amp;backUrl=cec6ef65-c734-4a1e-b446-9db4b150f345" TargetMode="External"/><Relationship Id="rId18" Type="http://schemas.openxmlformats.org/officeDocument/2006/relationships/hyperlink" Target="https://zakupki.gov.ru/epz/contract/contractCard/common-info.html?reestrNumber=3504015306619000041&amp;backUrl=fddf9ec1-e2b3-4818-9dc5-49b0a829a976" TargetMode="External"/><Relationship Id="rId39" Type="http://schemas.openxmlformats.org/officeDocument/2006/relationships/hyperlink" Target="https://zakupki.gov.ru/epz/contract/contractCard/common-info.html?reestrNumber=3500710214519000029&amp;backUrl=d0a303d8-6c58-49ff-a40e-7775ce4f6aee" TargetMode="External"/><Relationship Id="rId109" Type="http://schemas.openxmlformats.org/officeDocument/2006/relationships/hyperlink" Target="https://zakupki.gov.ru/epz/contract/contractCard/document-info.html?reestrNumber=3504506235920000123" TargetMode="External"/><Relationship Id="rId34" Type="http://schemas.openxmlformats.org/officeDocument/2006/relationships/hyperlink" Target="https://zakupki.gov.ru/epz/contract/contractCard/common-info.html?reestrNumber=3504305548319000004&amp;backUrl=d3e0df58-35fe-4498-a8fb-cb5985b74179" TargetMode="External"/><Relationship Id="rId50" Type="http://schemas.openxmlformats.org/officeDocument/2006/relationships/hyperlink" Target="https://zakupki.gov.ru/epz/contract/contractCard/common-info.html?reestrNumber=3504301469519000157&amp;backUrl=4a22b059-ddba-45d3-a731-f4cea70792c4" TargetMode="External"/><Relationship Id="rId55" Type="http://schemas.openxmlformats.org/officeDocument/2006/relationships/hyperlink" Target="https://zakupki.gov.ru/epz/contract/contractCard/common-info.html?reestrNumber=3500400389019000081&amp;backUrl=5a463841-8dc6-46e8-88f8-4314e028b5f6" TargetMode="External"/><Relationship Id="rId76" Type="http://schemas.openxmlformats.org/officeDocument/2006/relationships/hyperlink" Target="https://zakupki.gov.ru/epz/contract/contractCard/common-info.html?reestrNumber=3507600024020000100&amp;backUrl=b98fddca-6b40-408c-bf66-5adc1e4e56e0" TargetMode="External"/><Relationship Id="rId97" Type="http://schemas.openxmlformats.org/officeDocument/2006/relationships/hyperlink" Target="https://zakupki.gov.ru/epz/contract/contractCard/common-info.html?reestrNumber=2503107028619000074&amp;backUrl=a007b7ec-8601-42ac-b990-557bf8faafc4" TargetMode="External"/><Relationship Id="rId104" Type="http://schemas.openxmlformats.org/officeDocument/2006/relationships/hyperlink" Target="https://zakupki.gov.ru/epz/contract/search/results.html?searchString=&amp;orderNumber=0848600002718000552&amp;openMode=USE_DEFAULT_PARAMS&amp;fz44=on&amp;priceFrom=0&amp;priceTo=200000000000&amp;contractStageList=0%2C1%2C2%2C3&amp;budgetaryFunds=on&amp;extraBudgetaryFunds=on" TargetMode="External"/><Relationship Id="rId120" Type="http://schemas.openxmlformats.org/officeDocument/2006/relationships/hyperlink" Target="https://zakupki.gov.ru/epz/contract/contractCard/common-info.html?reestrNumber=3505000215419000329&amp;backUrl=c4527f9e-a71a-4214-9d5f-fc549ec5dcaf" TargetMode="External"/><Relationship Id="rId7" Type="http://schemas.openxmlformats.org/officeDocument/2006/relationships/hyperlink" Target="https://zakupki.gov.ru/epz/contract/contractCard/common-info.html?reestrNumber=3500313323020000003&amp;backUrl=b0c37ff8-087c-4a9b-9cc0-569e05fc242f" TargetMode="External"/><Relationship Id="rId71" Type="http://schemas.openxmlformats.org/officeDocument/2006/relationships/hyperlink" Target="https://zakupki.gov.ru/epz/contract/contractCard/common-info.html?reestrNumber=3504210787619000051&amp;backUrl=c67375d9-0b28-45c1-acb8-ca7db0a385bf" TargetMode="External"/><Relationship Id="rId92" Type="http://schemas.openxmlformats.org/officeDocument/2006/relationships/hyperlink" Target="https://zakupki.gov.ru/epz/contract/contractCard/common-info.html?reestrNumber=3504900333020000062&amp;backUrl=76180298-e6d2-4976-8266-e0d0b9eaaf5a" TargetMode="External"/><Relationship Id="rId2" Type="http://schemas.openxmlformats.org/officeDocument/2006/relationships/hyperlink" Target="https://zakupki.gov.ru/epz/contract/contractCard/common-info.html?reestrNumber=3505200212820000041" TargetMode="External"/><Relationship Id="rId29" Type="http://schemas.openxmlformats.org/officeDocument/2006/relationships/hyperlink" Target="https://zakupki.gov.ru/epz/contract/contractCard/common-info.html?reestrNumber=3504900333020000104&amp;backUrl=5909e958-e70f-4813-9e9e-6688e94578d7" TargetMode="External"/><Relationship Id="rId24" Type="http://schemas.openxmlformats.org/officeDocument/2006/relationships/hyperlink" Target="https://zakupki.gov.ru/epz/contract/contractCard/common-info.html?reestrNumber=2502413966720000001&amp;backUrl=4fde3531-56b7-42d3-bb0e-bcb844c2011f" TargetMode="External"/><Relationship Id="rId40" Type="http://schemas.openxmlformats.org/officeDocument/2006/relationships/hyperlink" Target="https://zakupki.gov.ru/epz/contract/contractCard/common-info.html?reestrNumber=3501900890119000022&amp;backUrl=6f1c4103-caa7-4ac3-b3d4-95c8a0bee8b3" TargetMode="External"/><Relationship Id="rId45" Type="http://schemas.openxmlformats.org/officeDocument/2006/relationships/hyperlink" Target="https://zakupki.gov.ru/epz/contract/contractCard/document-info.html?reestrNumber=3500505657420000022" TargetMode="External"/><Relationship Id="rId66" Type="http://schemas.openxmlformats.org/officeDocument/2006/relationships/hyperlink" Target="https://zakupki.gov.ru/epz/contract/contractCard/common-info.html?reestrNumber=3504015306619000015&amp;backUrl=347c8773-fe58-42b3-b4d0-d1b5f159733b" TargetMode="External"/><Relationship Id="rId87" Type="http://schemas.openxmlformats.org/officeDocument/2006/relationships/hyperlink" Target="https://zakupki.gov.ru/epz/contract/contractCard/common-info.html?reestrNumber=3504900333020000062&amp;backUrl=76180298-e6d2-4976-8266-e0d0b9eaaf5a" TargetMode="External"/><Relationship Id="rId110" Type="http://schemas.openxmlformats.org/officeDocument/2006/relationships/hyperlink" Target="https://zakupki.gov.ru/epz/contract/contractCard/common-info.html?reestrNumber=3503102976019000101&amp;backUrl=dd9b8ff1-86d9-4be6-8e41-5596f19d8404" TargetMode="External"/><Relationship Id="rId115" Type="http://schemas.openxmlformats.org/officeDocument/2006/relationships/hyperlink" Target="https://zakupki.gov.ru/epz/contract/contractCard/document-info.html?reestrNumber=3504805359217000067" TargetMode="External"/><Relationship Id="rId61" Type="http://schemas.openxmlformats.org/officeDocument/2006/relationships/hyperlink" Target="https://zakupki.gov.ru/epz/contract/contractCard/common-info.html?reestrNumber=3507272297420000053&amp;backUrl=5dd64fef-f458-4b30-808e-2a85b2bb3a65" TargetMode="External"/><Relationship Id="rId82" Type="http://schemas.openxmlformats.org/officeDocument/2006/relationships/hyperlink" Target="https://zakupki.gov.ru/epz/contract/contractCard/common-info.html?reestrNumber=1503100780920000001&amp;backUrl=415a644a-ab07-457a-8c35-c1d9fc46ecde" TargetMode="External"/><Relationship Id="rId19" Type="http://schemas.openxmlformats.org/officeDocument/2006/relationships/hyperlink" Target="https://zakupki.gov.ru/epz/contract/contractCard/common-info.html?reestrNumber=3501301962519000125&amp;backUrl=453d6101-7fd8-4280-a3f7-c173f563f7d6" TargetMode="External"/><Relationship Id="rId14" Type="http://schemas.openxmlformats.org/officeDocument/2006/relationships/hyperlink" Target="https://zakupki.gov.ru/epz/contract/contractCard/common-info.html?reestrNumber=3502800396320000031&amp;backUrl=6e133243-3c55-4050-a0a6-733aed174db5" TargetMode="External"/><Relationship Id="rId30" Type="http://schemas.openxmlformats.org/officeDocument/2006/relationships/hyperlink" Target="https://zakupki.gov.ru/epz/contract/contractCard/common-info.html?reestrNumber=2503406517120000003&amp;backUrl=e9f17223-8b70-4be1-b0bc-633733b6edbd" TargetMode="External"/><Relationship Id="rId35" Type="http://schemas.openxmlformats.org/officeDocument/2006/relationships/hyperlink" Target="https://zakupki.gov.ru/epz/contract/contractCard/common-info.html?reestrNumber=3503500627419000074&amp;backUrl=d31ec1f5-a74c-457e-b1f3-d0d377769fe5" TargetMode="External"/><Relationship Id="rId56" Type="http://schemas.openxmlformats.org/officeDocument/2006/relationships/hyperlink" Target="https://zakupki.gov.ru/epz/contract/contractCard/common-info.html?reestrNumber=3501102549320000033&amp;backUrl=dea90917-64d3-4ba4-b5b3-28c55c106e72" TargetMode="External"/><Relationship Id="rId77" Type="http://schemas.openxmlformats.org/officeDocument/2006/relationships/hyperlink" Target="https://zakupki.gov.ru/epz/contract/contractCard/common-info.html?reestrNumber=3507600024020000100&amp;backUrl=b98fddca-6b40-408c-bf66-5adc1e4e56e0" TargetMode="External"/><Relationship Id="rId100" Type="http://schemas.openxmlformats.org/officeDocument/2006/relationships/hyperlink" Target="https://zakupki.gov.ru/epz/contract/contractCard/document-info.html?reestrNumber=3500110667218000122" TargetMode="External"/><Relationship Id="rId105" Type="http://schemas.openxmlformats.org/officeDocument/2006/relationships/hyperlink" Target="https://zakupki.gov.ru/epz/contract/search/results.html?searchString=&amp;orderNumber=0148200005419000257&amp;openMode=USE_DEFAULT_PARAMS&amp;fz44=on&amp;priceFrom=0&amp;priceTo=200000000000&amp;contractStageList=0%2C1%2C2%2C3&amp;budgetaryFunds=on&amp;extraBudgetaryFunds=on" TargetMode="External"/><Relationship Id="rId8" Type="http://schemas.openxmlformats.org/officeDocument/2006/relationships/hyperlink" Target="https://zakupki.gov.ru/epz/contract/contractCard/common-info.html?reestrNumber=3500313323020000031" TargetMode="External"/><Relationship Id="rId51" Type="http://schemas.openxmlformats.org/officeDocument/2006/relationships/hyperlink" Target="https://zakupki.gov.ru/epz/contract/contractCard/common-info.html?reestrNumber=3505000215419000210&amp;backUrl=e0d7e0d0-29c2-4e18-9067-5e3a21c93ce1" TargetMode="External"/><Relationship Id="rId72" Type="http://schemas.openxmlformats.org/officeDocument/2006/relationships/hyperlink" Target="https://zakupki.gov.ru/epz/contract/contractCard/common-info.html?reestrNumber=3504210787619000050&amp;backUrl=801e6e9c-1636-4935-b6ca-74dd3d3aec3a" TargetMode="External"/><Relationship Id="rId93" Type="http://schemas.openxmlformats.org/officeDocument/2006/relationships/hyperlink" Target="https://zakupki.gov.ru/epz/contract/contractCard/common-info.html?reestrNumber=3503408266720000046&amp;backUrl=343a9dd8-e31e-4bdc-a203-e4835032fc06" TargetMode="External"/><Relationship Id="rId98" Type="http://schemas.openxmlformats.org/officeDocument/2006/relationships/hyperlink" Target="https://zakupki.gov.ru/epz/contract/contractCard/document-info.html?reestrNumber=3500110667219000142" TargetMode="External"/><Relationship Id="rId121" Type="http://schemas.openxmlformats.org/officeDocument/2006/relationships/hyperlink" Target="https://zakupki.gov.ru/epz/contract/contractCard/common-info.html?reestrNumber=3505305293219000029&amp;backUrl=279a23a4-2028-4d95-a9dd-93636aa98a0f" TargetMode="External"/><Relationship Id="rId3" Type="http://schemas.openxmlformats.org/officeDocument/2006/relationships/hyperlink" Target="https://zakupki.gov.ru/epz/order/notice/rpec/common-info.html?regNumber=08486000068200000020001" TargetMode="External"/><Relationship Id="rId25" Type="http://schemas.openxmlformats.org/officeDocument/2006/relationships/hyperlink" Target="https://zakupki.gov.ru/epz/contract/contractCard/common-info.html?reestrNumber=2502413966720000002&amp;backUrl=3a746daf-428b-421f-bf6e-ab578427b32e" TargetMode="External"/><Relationship Id="rId46" Type="http://schemas.openxmlformats.org/officeDocument/2006/relationships/hyperlink" Target="https://zakupki.gov.ru/epz/contract/contractCard/common-info.html?reestrNumber=3505000215419000278&amp;backUrl=1eb41833-297f-4274-8436-069f3d26e4c7" TargetMode="External"/><Relationship Id="rId67" Type="http://schemas.openxmlformats.org/officeDocument/2006/relationships/hyperlink" Target="https://zakupki.gov.ru/epz/contract/contractCard/common-info.html?reestrNumber=3504015306618000007&amp;backUrl=f4e0b326-d3eb-46ee-8e63-5c7714120cb0" TargetMode="External"/><Relationship Id="rId116" Type="http://schemas.openxmlformats.org/officeDocument/2006/relationships/hyperlink" Target="https://zakupki.gov.ru/epz/contract/search/results.html?searchString=&amp;orderNumber=0148200005420000149&amp;openMode=USE_DEFAULT_PARAMS&amp;fz44=on&amp;priceFrom=0&amp;priceTo=200000000000&amp;contractStageList=0%2C1%2C2%2C3&amp;budgetaryFunds=on&amp;extraBudgetaryFunds=on" TargetMode="External"/><Relationship Id="rId20" Type="http://schemas.openxmlformats.org/officeDocument/2006/relationships/hyperlink" Target="https://zakupki.gov.ru/epz/contract/contractCard/common-info.html?reestrNumber=3500710214519000111&amp;backUrl=e9c794b8-e29a-4ca7-8548-bcf2ee8d294f" TargetMode="External"/><Relationship Id="rId41" Type="http://schemas.openxmlformats.org/officeDocument/2006/relationships/hyperlink" Target="https://zakupki.gov.ru/epz/contract/contractCard/common-info.html?reestrNumber=3504900333019000147&amp;backUrl=bc47a9b1-d95e-4949-b76f-b9a34a70ddea" TargetMode="External"/><Relationship Id="rId62" Type="http://schemas.openxmlformats.org/officeDocument/2006/relationships/hyperlink" Target="https://zakupki.gov.ru/223/purchase/public/purchase/info/contractInfo.html?noticeInfoId=11698279" TargetMode="External"/><Relationship Id="rId83" Type="http://schemas.openxmlformats.org/officeDocument/2006/relationships/hyperlink" Target="https://zakupki.gov.ru/epz/contract/contractCard/common-info.html?reestrNumber=3504900333020000062&amp;backUrl=76180298-e6d2-4976-8266-e0d0b9eaaf5a" TargetMode="External"/><Relationship Id="rId88" Type="http://schemas.openxmlformats.org/officeDocument/2006/relationships/hyperlink" Target="https://zakupki.gov.ru/epz/contract/contractCard/common-info.html?reestrNumber=3504900333020000062&amp;backUrl=76180298-e6d2-4976-8266-e0d0b9eaaf5a" TargetMode="External"/><Relationship Id="rId111" Type="http://schemas.openxmlformats.org/officeDocument/2006/relationships/hyperlink" Target="https://drive.google.com/drive/folders/1c614LYlV-DyKK8fYuzo9TOyjm5_GcfPa?usp=sharing" TargetMode="External"/><Relationship Id="rId15" Type="http://schemas.openxmlformats.org/officeDocument/2006/relationships/hyperlink" Target="https://zakupki.gov.ru/epz/contract/contractCard/common-info.html?reestrNumber=3500505657420000016&amp;backUrl=785cd4b9-a016-491a-91db-9d55bcf9721f" TargetMode="External"/><Relationship Id="rId36" Type="http://schemas.openxmlformats.org/officeDocument/2006/relationships/hyperlink" Target="https://zakupki.gov.ru/epz/contract/contractCard/common-info.html?reestrNumber=3504405139319000029&amp;backUrl=97781ce2-4f5a-4f97-ad5e-d2e56cb7139f" TargetMode="External"/><Relationship Id="rId57" Type="http://schemas.openxmlformats.org/officeDocument/2006/relationships/hyperlink" Target="https://zakupki.gov.ru/epz/order/notice/view/common-info.html?regNumber=0848300069519000443" TargetMode="External"/><Relationship Id="rId106" Type="http://schemas.openxmlformats.org/officeDocument/2006/relationships/hyperlink" Target="https://zakupki.gov.ru/epz/contract/contractCard/common-info.html?reestrNumber=3505008153319000044&amp;backUrl=d3674d40-120f-4a3f-b5e6-f95240f10534" TargetMode="External"/><Relationship Id="rId10" Type="http://schemas.openxmlformats.org/officeDocument/2006/relationships/hyperlink" Target="https://zakupki.gov.ru/epz/contract/contractCard/document-info.html?reestrNumber=3502702397420000064" TargetMode="External"/><Relationship Id="rId31" Type="http://schemas.openxmlformats.org/officeDocument/2006/relationships/hyperlink" Target="https://zakupki.gov.ru/epz/contract/contractCard/common-info.html?reestrNumber=3502205470719000053&amp;backUrl=38342cc5-e647-40ef-aa77-f3f8f6914c85" TargetMode="External"/><Relationship Id="rId52" Type="http://schemas.openxmlformats.org/officeDocument/2006/relationships/hyperlink" Target="https://zakupki.gov.ru/epz/contract/contractCard/common-info.html?reestrNumber=3500110667219000268&amp;backUrl=166f8b93-71fb-45ba-afcd-14495e1c7132" TargetMode="External"/><Relationship Id="rId73" Type="http://schemas.openxmlformats.org/officeDocument/2006/relationships/hyperlink" Target="https://zakupki.gov.ru/epz/contract/contractCard/common-info.html?reestrNumber=3507600024020000075&amp;backUrl=6d4d1cd6-4c61-4a08-9d64-a78f42881ff3" TargetMode="External"/><Relationship Id="rId78" Type="http://schemas.openxmlformats.org/officeDocument/2006/relationships/hyperlink" Target="https://zakupki.gov.ru/epz/contract/contractCard/common-info.html?reestrNumber=3507600024020000100&amp;backUrl=b98fddca-6b40-408c-bf66-5adc1e4e56e0" TargetMode="External"/><Relationship Id="rId94" Type="http://schemas.openxmlformats.org/officeDocument/2006/relationships/hyperlink" Target="https://zakupki.gov.ru/epz/contract/contractCard/common-info.html?reestrNumber=2503107028619000073&amp;backUrl=b87268c3-b73f-4ac4-ae9f-c7a848f670ff" TargetMode="External"/><Relationship Id="rId99" Type="http://schemas.openxmlformats.org/officeDocument/2006/relationships/hyperlink" Target="https://zakupki.gov.ru/epz/contract/contractCard/document-info.html?reestrNumber=3500110667219000161" TargetMode="External"/><Relationship Id="rId101" Type="http://schemas.openxmlformats.org/officeDocument/2006/relationships/hyperlink" Target="https://zakupki.gov.ru/epz/contract/contractCard/document-info.html?reestrNumber=3503107821417000066"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drive.google.com/drive/folders/1CD6P0gNQl0u0Fvx95N33zFIHzjAiGPSp?usp=sharing" TargetMode="External"/><Relationship Id="rId2" Type="http://schemas.openxmlformats.org/officeDocument/2006/relationships/hyperlink" Target="https://drive.google.com/drive/folders/1c614LYlV-DyKK8fYuzo9TOyjm5_GcfPa?usp=sharing" TargetMode="External"/><Relationship Id="rId1" Type="http://schemas.openxmlformats.org/officeDocument/2006/relationships/hyperlink" Target="https://drive.google.com/drive/folders/17oRbTRK7o2kb9erkQxxvOOq4dqZ-KsxI?usp=sharing" TargetMode="External"/><Relationship Id="rId4" Type="http://schemas.openxmlformats.org/officeDocument/2006/relationships/hyperlink" Target="https://drive.google.com/drive/folders/1BKhtX24QMmvAokCE7UM1jBbROzdlDhk-?usp=sharing"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drive.google.com/drive/folders/1CD6P0gNQl0u0Fvx95N33zFIHzjAiGPSp?usp=sharing" TargetMode="External"/><Relationship Id="rId2" Type="http://schemas.openxmlformats.org/officeDocument/2006/relationships/hyperlink" Target="https://drive.google.com/drive/folders/1c614LYlV-DyKK8fYuzo9TOyjm5_GcfPa?usp=sharing" TargetMode="External"/><Relationship Id="rId1" Type="http://schemas.openxmlformats.org/officeDocument/2006/relationships/hyperlink" Target="https://drive.google.com/drive/folders/17oRbTRK7o2kb9erkQxxvOOq4dqZ-KsxI?usp=sharing" TargetMode="External"/><Relationship Id="rId4" Type="http://schemas.openxmlformats.org/officeDocument/2006/relationships/hyperlink" Target="https://drive.google.com/drive/folders/1BKhtX24QMmvAokCE7UM1jBbROzdlDhk-?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2D929-E002-4689-8AC2-C8B1599EA920}">
  <dimension ref="A1:C20"/>
  <sheetViews>
    <sheetView tabSelected="1" view="pageBreakPreview" zoomScaleNormal="100" zoomScaleSheetLayoutView="100" workbookViewId="0">
      <selection activeCell="B1" sqref="B1"/>
    </sheetView>
  </sheetViews>
  <sheetFormatPr defaultRowHeight="36" customHeight="1" x14ac:dyDescent="0.25"/>
  <cols>
    <col min="1" max="1" width="17.625" style="136" customWidth="1"/>
    <col min="2" max="2" width="45" style="136" customWidth="1"/>
    <col min="3" max="3" width="15.125" style="136" customWidth="1"/>
    <col min="4" max="16384" width="9" style="136"/>
  </cols>
  <sheetData>
    <row r="1" spans="1:3" ht="36" customHeight="1" x14ac:dyDescent="0.25">
      <c r="A1" s="134" t="s">
        <v>1</v>
      </c>
      <c r="B1" s="134" t="s">
        <v>645</v>
      </c>
      <c r="C1" s="135" t="s">
        <v>632</v>
      </c>
    </row>
    <row r="2" spans="1:3" ht="49.5" x14ac:dyDescent="0.25">
      <c r="A2" s="137" t="s">
        <v>634</v>
      </c>
      <c r="B2" s="137" t="s">
        <v>59</v>
      </c>
      <c r="C2" s="138">
        <v>44333</v>
      </c>
    </row>
    <row r="3" spans="1:3" ht="49.5" x14ac:dyDescent="0.25">
      <c r="A3" s="137" t="s">
        <v>634</v>
      </c>
      <c r="B3" s="137" t="s">
        <v>633</v>
      </c>
      <c r="C3" s="138">
        <v>44333</v>
      </c>
    </row>
    <row r="4" spans="1:3" ht="49.5" x14ac:dyDescent="0.25">
      <c r="A4" s="137" t="s">
        <v>634</v>
      </c>
      <c r="B4" s="137" t="s">
        <v>149</v>
      </c>
      <c r="C4" s="138">
        <v>44333</v>
      </c>
    </row>
    <row r="5" spans="1:3" ht="49.5" x14ac:dyDescent="0.25">
      <c r="A5" s="137" t="s">
        <v>635</v>
      </c>
      <c r="B5" s="137" t="s">
        <v>629</v>
      </c>
      <c r="C5" s="138">
        <v>44376</v>
      </c>
    </row>
    <row r="6" spans="1:3" ht="49.5" x14ac:dyDescent="0.25">
      <c r="A6" s="137" t="s">
        <v>635</v>
      </c>
      <c r="B6" s="137" t="s">
        <v>630</v>
      </c>
      <c r="C6" s="138">
        <v>44376</v>
      </c>
    </row>
    <row r="7" spans="1:3" ht="49.5" x14ac:dyDescent="0.25">
      <c r="A7" s="137" t="s">
        <v>635</v>
      </c>
      <c r="B7" s="137" t="s">
        <v>256</v>
      </c>
      <c r="C7" s="138">
        <v>44376</v>
      </c>
    </row>
    <row r="8" spans="1:3" ht="33" x14ac:dyDescent="0.25">
      <c r="A8" s="137" t="s">
        <v>636</v>
      </c>
      <c r="B8" s="137" t="s">
        <v>82</v>
      </c>
      <c r="C8" s="138">
        <v>44376</v>
      </c>
    </row>
    <row r="9" spans="1:3" ht="115.5" x14ac:dyDescent="0.25">
      <c r="A9" s="137" t="s">
        <v>637</v>
      </c>
      <c r="B9" s="137" t="s">
        <v>180</v>
      </c>
      <c r="C9" s="138">
        <v>44467</v>
      </c>
    </row>
    <row r="10" spans="1:3" ht="99" x14ac:dyDescent="0.25">
      <c r="A10" s="137" t="s">
        <v>638</v>
      </c>
      <c r="B10" s="137" t="s">
        <v>187</v>
      </c>
      <c r="C10" s="138">
        <v>44495</v>
      </c>
    </row>
    <row r="11" spans="1:3" ht="33" x14ac:dyDescent="0.25">
      <c r="A11" s="137" t="s">
        <v>638</v>
      </c>
      <c r="B11" s="137" t="s">
        <v>627</v>
      </c>
      <c r="C11" s="138">
        <v>44495</v>
      </c>
    </row>
    <row r="12" spans="1:3" ht="33" x14ac:dyDescent="0.25">
      <c r="A12" s="137" t="s">
        <v>638</v>
      </c>
      <c r="B12" s="137" t="s">
        <v>628</v>
      </c>
      <c r="C12" s="138">
        <v>44495</v>
      </c>
    </row>
    <row r="13" spans="1:3" ht="49.5" x14ac:dyDescent="0.25">
      <c r="A13" s="137" t="s">
        <v>639</v>
      </c>
      <c r="B13" s="137" t="s">
        <v>631</v>
      </c>
      <c r="C13" s="138">
        <v>44495</v>
      </c>
    </row>
    <row r="14" spans="1:3" ht="49.5" x14ac:dyDescent="0.25">
      <c r="A14" s="137" t="s">
        <v>640</v>
      </c>
      <c r="B14" s="137" t="s">
        <v>151</v>
      </c>
      <c r="C14" s="138">
        <v>44546</v>
      </c>
    </row>
    <row r="15" spans="1:3" ht="66" x14ac:dyDescent="0.25">
      <c r="A15" s="137" t="s">
        <v>641</v>
      </c>
      <c r="B15" s="137" t="s">
        <v>140</v>
      </c>
      <c r="C15" s="138">
        <v>44546</v>
      </c>
    </row>
    <row r="16" spans="1:3" ht="49.5" x14ac:dyDescent="0.25">
      <c r="A16" s="137" t="s">
        <v>641</v>
      </c>
      <c r="B16" s="137" t="s">
        <v>141</v>
      </c>
      <c r="C16" s="138">
        <v>44546</v>
      </c>
    </row>
    <row r="17" spans="1:3" ht="66" x14ac:dyDescent="0.25">
      <c r="A17" s="137" t="s">
        <v>642</v>
      </c>
      <c r="B17" s="137" t="s">
        <v>125</v>
      </c>
      <c r="C17" s="138">
        <v>44546</v>
      </c>
    </row>
    <row r="18" spans="1:3" ht="49.5" x14ac:dyDescent="0.25">
      <c r="A18" s="137" t="s">
        <v>643</v>
      </c>
      <c r="B18" s="139" t="s">
        <v>626</v>
      </c>
      <c r="C18" s="138">
        <v>44546</v>
      </c>
    </row>
    <row r="19" spans="1:3" ht="66" x14ac:dyDescent="0.25">
      <c r="A19" s="137" t="s">
        <v>643</v>
      </c>
      <c r="B19" s="137" t="s">
        <v>73</v>
      </c>
      <c r="C19" s="138">
        <v>44546</v>
      </c>
    </row>
    <row r="20" spans="1:3" ht="66" x14ac:dyDescent="0.25">
      <c r="A20" s="137" t="s">
        <v>644</v>
      </c>
      <c r="B20" s="137" t="s">
        <v>96</v>
      </c>
      <c r="C20" s="138">
        <v>44546</v>
      </c>
    </row>
  </sheetData>
  <sortState xmlns:xlrd2="http://schemas.microsoft.com/office/spreadsheetml/2017/richdata2" ref="A2:C20">
    <sortCondition ref="C2:C2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outlinePr summaryBelow="0" summaryRight="0"/>
  </sheetPr>
  <dimension ref="A1:DS998"/>
  <sheetViews>
    <sheetView workbookViewId="0">
      <pane ySplit="4" topLeftCell="A5" activePane="bottomLeft" state="frozen"/>
      <selection pane="bottomLeft" activeCell="B6" sqref="B6"/>
    </sheetView>
  </sheetViews>
  <sheetFormatPr defaultColWidth="12.625" defaultRowHeight="15" customHeight="1" outlineLevelCol="2" x14ac:dyDescent="0.2"/>
  <cols>
    <col min="1" max="1" width="5.375" customWidth="1"/>
    <col min="2" max="2" width="14.625" customWidth="1"/>
    <col min="3" max="3" width="34.75" customWidth="1" outlineLevel="1"/>
    <col min="4" max="4" width="12.625" outlineLevel="1"/>
    <col min="5" max="5" width="37.375" customWidth="1"/>
    <col min="6" max="6" width="12.625" outlineLevel="1"/>
    <col min="7" max="7" width="11.375" customWidth="1" outlineLevel="1"/>
    <col min="8" max="8" width="11.5" customWidth="1" outlineLevel="2"/>
    <col min="9" max="9" width="15.75" customWidth="1" outlineLevel="2"/>
    <col min="10" max="10" width="36.25" customWidth="1" outlineLevel="1" collapsed="1"/>
    <col min="11" max="11" width="17.625" hidden="1" customWidth="1" outlineLevel="2"/>
    <col min="12" max="12" width="16.875" hidden="1" customWidth="1" outlineLevel="2"/>
    <col min="13" max="13" width="12.625" hidden="1" outlineLevel="2"/>
    <col min="15" max="19" width="11.5" customWidth="1" outlineLevel="2"/>
    <col min="20" max="20" width="23.125" customWidth="1" outlineLevel="1"/>
    <col min="21" max="21" width="17.5" customWidth="1" outlineLevel="1"/>
    <col min="22" max="26" width="12.125" customWidth="1" outlineLevel="2"/>
    <col min="27" max="27" width="16.625" customWidth="1" outlineLevel="1"/>
    <col min="28" max="28" width="16.5" customWidth="1" outlineLevel="1"/>
    <col min="29" max="29" width="16.125" customWidth="1" collapsed="1"/>
    <col min="30" max="30" width="16.125" hidden="1" customWidth="1" outlineLevel="1"/>
    <col min="31" max="31" width="14.875" hidden="1" customWidth="1" outlineLevel="1"/>
    <col min="32" max="32" width="12.625" collapsed="1"/>
    <col min="33" max="37" width="12.625" hidden="1" outlineLevel="2"/>
    <col min="38" max="38" width="12.625" outlineLevel="1" collapsed="1"/>
    <col min="39" max="43" width="12.625" hidden="1" outlineLevel="2"/>
    <col min="44" max="44" width="12.625" outlineLevel="1" collapsed="1"/>
    <col min="45" max="49" width="12.625" hidden="1" outlineLevel="2"/>
    <col min="50" max="50" width="12.625" outlineLevel="1"/>
    <col min="51" max="55" width="12.625" outlineLevel="2"/>
    <col min="56" max="56" width="12.625" outlineLevel="1" collapsed="1"/>
    <col min="57" max="61" width="12.625" hidden="1" outlineLevel="2"/>
    <col min="62" max="62" width="12.625" outlineLevel="1" collapsed="1"/>
    <col min="63" max="67" width="12.625" hidden="1" outlineLevel="2"/>
    <col min="68" max="68" width="12.625" outlineLevel="1" collapsed="1"/>
    <col min="69" max="73" width="12.625" hidden="1" outlineLevel="2"/>
    <col min="74" max="74" width="12.625" outlineLevel="1" collapsed="1"/>
    <col min="75" max="79" width="12.625" hidden="1" outlineLevel="2"/>
    <col min="80" max="80" width="12.625" collapsed="1"/>
    <col min="81" max="81" width="12.625" hidden="1" outlineLevel="1"/>
    <col min="82" max="87" width="12.625" hidden="1" outlineLevel="2"/>
    <col min="88" max="88" width="12.625" hidden="1" outlineLevel="1"/>
    <col min="89" max="90" width="12.625" hidden="1" outlineLevel="2"/>
    <col min="91" max="91" width="12.625" hidden="1" outlineLevel="1"/>
    <col min="92" max="97" width="12.625" hidden="1" outlineLevel="2"/>
  </cols>
  <sheetData>
    <row r="1" spans="1:123" ht="24" customHeight="1" x14ac:dyDescent="0.2">
      <c r="A1" s="148" t="s">
        <v>0</v>
      </c>
      <c r="B1" s="149" t="s">
        <v>1</v>
      </c>
      <c r="C1" s="149" t="s">
        <v>2</v>
      </c>
      <c r="D1" s="149" t="s">
        <v>3</v>
      </c>
      <c r="E1" s="140" t="s">
        <v>4</v>
      </c>
      <c r="F1" s="140" t="s">
        <v>5</v>
      </c>
      <c r="G1" s="140" t="s">
        <v>6</v>
      </c>
      <c r="H1" s="140" t="s">
        <v>7</v>
      </c>
      <c r="I1" s="145" t="s">
        <v>8</v>
      </c>
      <c r="J1" s="146" t="s">
        <v>9</v>
      </c>
      <c r="K1" s="147" t="s">
        <v>10</v>
      </c>
      <c r="L1" s="144"/>
      <c r="M1" s="146" t="s">
        <v>11</v>
      </c>
      <c r="N1" s="150" t="s">
        <v>12</v>
      </c>
      <c r="O1" s="151" t="s">
        <v>13</v>
      </c>
      <c r="P1" s="143"/>
      <c r="Q1" s="143"/>
      <c r="R1" s="143"/>
      <c r="S1" s="144"/>
      <c r="T1" s="150" t="s">
        <v>14</v>
      </c>
      <c r="U1" s="150" t="s">
        <v>15</v>
      </c>
      <c r="V1" s="151" t="s">
        <v>16</v>
      </c>
      <c r="W1" s="143"/>
      <c r="X1" s="143"/>
      <c r="Y1" s="143"/>
      <c r="Z1" s="144"/>
      <c r="AA1" s="150" t="s">
        <v>17</v>
      </c>
      <c r="AB1" s="150" t="s">
        <v>18</v>
      </c>
      <c r="AC1" s="152" t="s">
        <v>19</v>
      </c>
      <c r="AD1" s="143"/>
      <c r="AE1" s="144"/>
      <c r="AF1" s="153" t="s">
        <v>20</v>
      </c>
      <c r="AG1" s="143"/>
      <c r="AH1" s="143"/>
      <c r="AI1" s="143"/>
      <c r="AJ1" s="143"/>
      <c r="AK1" s="144"/>
      <c r="AL1" s="156">
        <v>2018</v>
      </c>
      <c r="AM1" s="143"/>
      <c r="AN1" s="143"/>
      <c r="AO1" s="143"/>
      <c r="AP1" s="143"/>
      <c r="AQ1" s="144"/>
      <c r="AR1" s="156">
        <v>2019</v>
      </c>
      <c r="AS1" s="143"/>
      <c r="AT1" s="143"/>
      <c r="AU1" s="143"/>
      <c r="AV1" s="143"/>
      <c r="AW1" s="144"/>
      <c r="AX1" s="153">
        <v>2020</v>
      </c>
      <c r="AY1" s="143"/>
      <c r="AZ1" s="143"/>
      <c r="BA1" s="143"/>
      <c r="BB1" s="143"/>
      <c r="BC1" s="144"/>
      <c r="BD1" s="153">
        <v>2021</v>
      </c>
      <c r="BE1" s="143"/>
      <c r="BF1" s="143"/>
      <c r="BG1" s="143"/>
      <c r="BH1" s="143"/>
      <c r="BI1" s="144"/>
      <c r="BJ1" s="153">
        <v>2022</v>
      </c>
      <c r="BK1" s="143"/>
      <c r="BL1" s="143"/>
      <c r="BM1" s="143"/>
      <c r="BN1" s="143"/>
      <c r="BO1" s="144"/>
      <c r="BP1" s="153">
        <v>2023</v>
      </c>
      <c r="BQ1" s="143"/>
      <c r="BR1" s="143"/>
      <c r="BS1" s="143"/>
      <c r="BT1" s="143"/>
      <c r="BU1" s="144"/>
      <c r="BV1" s="153">
        <v>2024</v>
      </c>
      <c r="BW1" s="143"/>
      <c r="BX1" s="143"/>
      <c r="BY1" s="143"/>
      <c r="BZ1" s="143"/>
      <c r="CA1" s="144"/>
      <c r="CB1" s="157" t="s">
        <v>21</v>
      </c>
      <c r="CC1" s="154" t="s">
        <v>22</v>
      </c>
      <c r="CD1" s="143"/>
      <c r="CE1" s="143"/>
      <c r="CF1" s="143"/>
      <c r="CG1" s="143"/>
      <c r="CH1" s="143"/>
      <c r="CI1" s="144"/>
      <c r="CJ1" s="155" t="s">
        <v>23</v>
      </c>
      <c r="CK1" s="143"/>
      <c r="CL1" s="144"/>
      <c r="CM1" s="151" t="s">
        <v>24</v>
      </c>
      <c r="CN1" s="143"/>
      <c r="CO1" s="143"/>
      <c r="CP1" s="143"/>
      <c r="CQ1" s="143"/>
      <c r="CR1" s="143"/>
      <c r="CS1" s="144"/>
      <c r="CT1" s="1"/>
      <c r="CU1" s="1"/>
      <c r="CV1" s="1"/>
      <c r="CW1" s="1"/>
      <c r="CX1" s="1"/>
      <c r="CY1" s="1"/>
      <c r="CZ1" s="1"/>
      <c r="DA1" s="1"/>
      <c r="DB1" s="1"/>
      <c r="DC1" s="1"/>
      <c r="DD1" s="1"/>
      <c r="DE1" s="1"/>
      <c r="DF1" s="1"/>
      <c r="DG1" s="1"/>
      <c r="DH1" s="1"/>
      <c r="DI1" s="1"/>
      <c r="DJ1" s="1"/>
      <c r="DK1" s="1"/>
      <c r="DL1" s="1"/>
      <c r="DM1" s="1"/>
      <c r="DN1" s="1"/>
      <c r="DO1" s="1"/>
      <c r="DP1" s="1"/>
      <c r="DQ1" s="1"/>
      <c r="DR1" s="1"/>
      <c r="DS1" s="1"/>
    </row>
    <row r="2" spans="1:123" ht="54" customHeight="1" x14ac:dyDescent="0.2">
      <c r="A2" s="141"/>
      <c r="B2" s="141"/>
      <c r="C2" s="141"/>
      <c r="D2" s="141"/>
      <c r="E2" s="141"/>
      <c r="F2" s="141"/>
      <c r="G2" s="141"/>
      <c r="H2" s="141"/>
      <c r="I2" s="141"/>
      <c r="J2" s="141"/>
      <c r="K2" s="2" t="s">
        <v>25</v>
      </c>
      <c r="L2" s="2" t="s">
        <v>26</v>
      </c>
      <c r="M2" s="141"/>
      <c r="N2" s="141"/>
      <c r="O2" s="3" t="s">
        <v>27</v>
      </c>
      <c r="P2" s="3" t="s">
        <v>28</v>
      </c>
      <c r="Q2" s="4" t="s">
        <v>29</v>
      </c>
      <c r="R2" s="3" t="s">
        <v>30</v>
      </c>
      <c r="S2" s="3" t="s">
        <v>31</v>
      </c>
      <c r="T2" s="141"/>
      <c r="U2" s="141"/>
      <c r="V2" s="3" t="s">
        <v>27</v>
      </c>
      <c r="W2" s="3" t="s">
        <v>28</v>
      </c>
      <c r="X2" s="4" t="s">
        <v>29</v>
      </c>
      <c r="Y2" s="3" t="s">
        <v>30</v>
      </c>
      <c r="Z2" s="3" t="s">
        <v>31</v>
      </c>
      <c r="AA2" s="141"/>
      <c r="AB2" s="141"/>
      <c r="AC2" s="5" t="s">
        <v>32</v>
      </c>
      <c r="AD2" s="5" t="s">
        <v>33</v>
      </c>
      <c r="AE2" s="5" t="s">
        <v>34</v>
      </c>
      <c r="AF2" s="6" t="s">
        <v>35</v>
      </c>
      <c r="AG2" s="7" t="s">
        <v>27</v>
      </c>
      <c r="AH2" s="7" t="s">
        <v>28</v>
      </c>
      <c r="AI2" s="8" t="s">
        <v>29</v>
      </c>
      <c r="AJ2" s="7" t="s">
        <v>30</v>
      </c>
      <c r="AK2" s="7" t="s">
        <v>31</v>
      </c>
      <c r="AL2" s="9" t="s">
        <v>36</v>
      </c>
      <c r="AM2" s="7" t="s">
        <v>27</v>
      </c>
      <c r="AN2" s="9" t="s">
        <v>28</v>
      </c>
      <c r="AO2" s="8" t="s">
        <v>29</v>
      </c>
      <c r="AP2" s="9" t="s">
        <v>30</v>
      </c>
      <c r="AQ2" s="9"/>
      <c r="AR2" s="9" t="s">
        <v>36</v>
      </c>
      <c r="AS2" s="7" t="s">
        <v>27</v>
      </c>
      <c r="AT2" s="9" t="s">
        <v>28</v>
      </c>
      <c r="AU2" s="8" t="s">
        <v>29</v>
      </c>
      <c r="AV2" s="9" t="s">
        <v>30</v>
      </c>
      <c r="AW2" s="7" t="s">
        <v>31</v>
      </c>
      <c r="AX2" s="7" t="s">
        <v>36</v>
      </c>
      <c r="AY2" s="7" t="s">
        <v>27</v>
      </c>
      <c r="AZ2" s="7" t="s">
        <v>28</v>
      </c>
      <c r="BA2" s="8" t="s">
        <v>29</v>
      </c>
      <c r="BB2" s="7" t="s">
        <v>30</v>
      </c>
      <c r="BC2" s="7" t="s">
        <v>31</v>
      </c>
      <c r="BD2" s="7" t="s">
        <v>36</v>
      </c>
      <c r="BE2" s="7" t="s">
        <v>27</v>
      </c>
      <c r="BF2" s="7" t="s">
        <v>28</v>
      </c>
      <c r="BG2" s="8" t="s">
        <v>29</v>
      </c>
      <c r="BH2" s="7" t="s">
        <v>30</v>
      </c>
      <c r="BI2" s="7" t="s">
        <v>31</v>
      </c>
      <c r="BJ2" s="7" t="s">
        <v>36</v>
      </c>
      <c r="BK2" s="7" t="s">
        <v>27</v>
      </c>
      <c r="BL2" s="7" t="s">
        <v>28</v>
      </c>
      <c r="BM2" s="8" t="s">
        <v>29</v>
      </c>
      <c r="BN2" s="7" t="s">
        <v>30</v>
      </c>
      <c r="BO2" s="7" t="s">
        <v>31</v>
      </c>
      <c r="BP2" s="7" t="s">
        <v>36</v>
      </c>
      <c r="BQ2" s="7" t="s">
        <v>27</v>
      </c>
      <c r="BR2" s="7" t="s">
        <v>28</v>
      </c>
      <c r="BS2" s="8" t="s">
        <v>29</v>
      </c>
      <c r="BT2" s="7" t="s">
        <v>30</v>
      </c>
      <c r="BU2" s="7" t="s">
        <v>31</v>
      </c>
      <c r="BV2" s="7" t="s">
        <v>36</v>
      </c>
      <c r="BW2" s="7" t="s">
        <v>27</v>
      </c>
      <c r="BX2" s="7" t="s">
        <v>28</v>
      </c>
      <c r="BY2" s="8" t="s">
        <v>29</v>
      </c>
      <c r="BZ2" s="7" t="s">
        <v>30</v>
      </c>
      <c r="CA2" s="7" t="s">
        <v>31</v>
      </c>
      <c r="CB2" s="141"/>
      <c r="CC2" s="10" t="s">
        <v>37</v>
      </c>
      <c r="CD2" s="10" t="s">
        <v>38</v>
      </c>
      <c r="CE2" s="10" t="s">
        <v>39</v>
      </c>
      <c r="CF2" s="10" t="s">
        <v>40</v>
      </c>
      <c r="CG2" s="10" t="s">
        <v>41</v>
      </c>
      <c r="CH2" s="10" t="s">
        <v>42</v>
      </c>
      <c r="CI2" s="10" t="s">
        <v>43</v>
      </c>
      <c r="CJ2" s="11" t="s">
        <v>44</v>
      </c>
      <c r="CK2" s="12" t="s">
        <v>45</v>
      </c>
      <c r="CL2" s="11" t="s">
        <v>46</v>
      </c>
      <c r="CM2" s="13" t="s">
        <v>47</v>
      </c>
      <c r="CN2" s="13" t="s">
        <v>48</v>
      </c>
      <c r="CO2" s="13" t="s">
        <v>49</v>
      </c>
      <c r="CP2" s="13" t="s">
        <v>50</v>
      </c>
      <c r="CQ2" s="14" t="s">
        <v>51</v>
      </c>
      <c r="CR2" s="13" t="s">
        <v>52</v>
      </c>
      <c r="CS2" s="13" t="s">
        <v>53</v>
      </c>
      <c r="CT2" s="1"/>
      <c r="CU2" s="1"/>
      <c r="CV2" s="1"/>
      <c r="CW2" s="1"/>
      <c r="CX2" s="1"/>
      <c r="CY2" s="1"/>
      <c r="CZ2" s="1"/>
      <c r="DA2" s="1"/>
      <c r="DB2" s="1"/>
      <c r="DC2" s="1"/>
      <c r="DD2" s="1"/>
      <c r="DE2" s="1"/>
      <c r="DF2" s="1"/>
      <c r="DG2" s="1"/>
      <c r="DH2" s="1"/>
      <c r="DI2" s="1"/>
      <c r="DJ2" s="1"/>
      <c r="DK2" s="1"/>
      <c r="DL2" s="1"/>
      <c r="DM2" s="1"/>
      <c r="DN2" s="1"/>
      <c r="DO2" s="1"/>
      <c r="DP2" s="1"/>
      <c r="DQ2" s="1"/>
      <c r="DR2" s="1"/>
      <c r="DS2" s="1"/>
    </row>
    <row r="3" spans="1:123" ht="12.75" customHeight="1" x14ac:dyDescent="0.2">
      <c r="A3" s="142"/>
      <c r="B3" s="143"/>
      <c r="C3" s="143"/>
      <c r="D3" s="143"/>
      <c r="E3" s="143"/>
      <c r="F3" s="143"/>
      <c r="G3" s="143"/>
      <c r="H3" s="143"/>
      <c r="I3" s="143"/>
      <c r="J3" s="143"/>
      <c r="K3" s="143"/>
      <c r="L3" s="143"/>
      <c r="M3" s="144"/>
      <c r="N3" s="15">
        <f t="shared" ref="N3:S3" ca="1" si="0">SUM(N5:N465)</f>
        <v>10199820.080089996</v>
      </c>
      <c r="O3" s="15">
        <f t="shared" ca="1" si="0"/>
        <v>4287987.09</v>
      </c>
      <c r="P3" s="15">
        <f t="shared" ca="1" si="0"/>
        <v>2981539.85</v>
      </c>
      <c r="Q3" s="17">
        <f t="shared" ca="1" si="0"/>
        <v>2849819.77</v>
      </c>
      <c r="R3" s="17">
        <f t="shared" ca="1" si="0"/>
        <v>80473.370090000011</v>
      </c>
      <c r="S3" s="17">
        <f t="shared" ca="1" si="0"/>
        <v>0</v>
      </c>
      <c r="T3" s="16"/>
      <c r="U3" s="15">
        <f t="shared" ref="U3:Z3" ca="1" si="1">SUM(U5:U465)</f>
        <v>2651989.5799100008</v>
      </c>
      <c r="V3" s="15">
        <f t="shared" ca="1" si="1"/>
        <v>90173.400000000081</v>
      </c>
      <c r="W3" s="15">
        <f t="shared" ca="1" si="1"/>
        <v>1135202.4699999993</v>
      </c>
      <c r="X3" s="15">
        <f t="shared" ca="1" si="1"/>
        <v>531785.36999999976</v>
      </c>
      <c r="Y3" s="15">
        <f t="shared" ca="1" si="1"/>
        <v>884278.32990999985</v>
      </c>
      <c r="Z3" s="15">
        <f t="shared" ca="1" si="1"/>
        <v>10550.01</v>
      </c>
      <c r="AA3" s="16"/>
      <c r="AB3" s="16"/>
      <c r="AC3" s="16"/>
      <c r="AD3" s="16"/>
      <c r="AE3" s="16"/>
      <c r="AF3" s="15">
        <f t="shared" ref="AF3:CA3" ca="1" si="2">SUM(AF5:AF465)</f>
        <v>50037492.629999891</v>
      </c>
      <c r="AG3" s="15">
        <f t="shared" ca="1" si="2"/>
        <v>17561466.469999999</v>
      </c>
      <c r="AH3" s="15">
        <f t="shared" ca="1" si="2"/>
        <v>22462162.429999989</v>
      </c>
      <c r="AI3" s="15">
        <f t="shared" ca="1" si="2"/>
        <v>4835807.5200000005</v>
      </c>
      <c r="AJ3" s="15">
        <f t="shared" ca="1" si="2"/>
        <v>4635238.2200000053</v>
      </c>
      <c r="AK3" s="15">
        <f t="shared" ca="1" si="2"/>
        <v>542817.98999999987</v>
      </c>
      <c r="AL3" s="15">
        <f t="shared" ca="1" si="2"/>
        <v>434248.70999999996</v>
      </c>
      <c r="AM3" s="17">
        <f t="shared" ca="1" si="2"/>
        <v>0</v>
      </c>
      <c r="AN3" s="17">
        <f t="shared" ca="1" si="2"/>
        <v>372513.72000000003</v>
      </c>
      <c r="AO3" s="17">
        <f t="shared" ca="1" si="2"/>
        <v>0</v>
      </c>
      <c r="AP3" s="17">
        <f t="shared" ca="1" si="2"/>
        <v>42247.139999999992</v>
      </c>
      <c r="AQ3" s="17">
        <f t="shared" ca="1" si="2"/>
        <v>19487.850000000002</v>
      </c>
      <c r="AR3" s="15">
        <f t="shared" ca="1" si="2"/>
        <v>4429424.6400000006</v>
      </c>
      <c r="AS3" s="17">
        <f t="shared" ca="1" si="2"/>
        <v>2453430</v>
      </c>
      <c r="AT3" s="17">
        <f t="shared" ca="1" si="2"/>
        <v>1877927.16</v>
      </c>
      <c r="AU3" s="17">
        <f t="shared" ca="1" si="2"/>
        <v>19871</v>
      </c>
      <c r="AV3" s="17">
        <f t="shared" ca="1" si="2"/>
        <v>78196.479999999996</v>
      </c>
      <c r="AW3" s="17">
        <f t="shared" ca="1" si="2"/>
        <v>0</v>
      </c>
      <c r="AX3" s="15">
        <f t="shared" ca="1" si="2"/>
        <v>12851809.66</v>
      </c>
      <c r="AY3" s="15">
        <f t="shared" ca="1" si="2"/>
        <v>4378160.49</v>
      </c>
      <c r="AZ3" s="15">
        <f t="shared" ca="1" si="2"/>
        <v>4116742.3199999989</v>
      </c>
      <c r="BA3" s="17">
        <f t="shared" ca="1" si="2"/>
        <v>3381605.1399999997</v>
      </c>
      <c r="BB3" s="15">
        <f t="shared" ca="1" si="2"/>
        <v>964751.70000000007</v>
      </c>
      <c r="BC3" s="17">
        <f t="shared" ca="1" si="2"/>
        <v>10550.01</v>
      </c>
      <c r="BD3" s="15">
        <f t="shared" ca="1" si="2"/>
        <v>9899201.3299999945</v>
      </c>
      <c r="BE3" s="15">
        <f t="shared" ca="1" si="2"/>
        <v>3187065.91</v>
      </c>
      <c r="BF3" s="15">
        <f t="shared" ca="1" si="2"/>
        <v>4042406.85</v>
      </c>
      <c r="BG3" s="17">
        <f t="shared" ca="1" si="2"/>
        <v>1433176.3800000004</v>
      </c>
      <c r="BH3" s="15">
        <f t="shared" ca="1" si="2"/>
        <v>1123772.0599999996</v>
      </c>
      <c r="BI3" s="17">
        <f t="shared" ca="1" si="2"/>
        <v>112780.13000000002</v>
      </c>
      <c r="BJ3" s="15">
        <f t="shared" ca="1" si="2"/>
        <v>7342302.0100000016</v>
      </c>
      <c r="BK3" s="15">
        <f t="shared" ca="1" si="2"/>
        <v>1818400.1400000001</v>
      </c>
      <c r="BL3" s="15">
        <f t="shared" ca="1" si="2"/>
        <v>4383587.3800000008</v>
      </c>
      <c r="BM3" s="17">
        <f t="shared" ca="1" si="2"/>
        <v>1155</v>
      </c>
      <c r="BN3" s="15">
        <f t="shared" ca="1" si="2"/>
        <v>939159.49000000011</v>
      </c>
      <c r="BO3" s="17">
        <f t="shared" ca="1" si="2"/>
        <v>200000</v>
      </c>
      <c r="BP3" s="15">
        <f t="shared" ca="1" si="2"/>
        <v>6713845.5300000012</v>
      </c>
      <c r="BQ3" s="15">
        <f t="shared" ca="1" si="2"/>
        <v>2420799.9299999997</v>
      </c>
      <c r="BR3" s="15">
        <f t="shared" ca="1" si="2"/>
        <v>3512699.68</v>
      </c>
      <c r="BS3" s="17">
        <f t="shared" ca="1" si="2"/>
        <v>0</v>
      </c>
      <c r="BT3" s="15">
        <f t="shared" ca="1" si="2"/>
        <v>580345.92000000004</v>
      </c>
      <c r="BU3" s="17">
        <f t="shared" ca="1" si="2"/>
        <v>200000</v>
      </c>
      <c r="BV3" s="15">
        <f t="shared" ca="1" si="2"/>
        <v>8366660.75</v>
      </c>
      <c r="BW3" s="15">
        <f t="shared" ca="1" si="2"/>
        <v>3303610</v>
      </c>
      <c r="BX3" s="15">
        <f t="shared" ca="1" si="2"/>
        <v>4156285.3200000003</v>
      </c>
      <c r="BY3" s="17">
        <f t="shared" ca="1" si="2"/>
        <v>0</v>
      </c>
      <c r="BZ3" s="15">
        <f t="shared" ca="1" si="2"/>
        <v>906765.43000000017</v>
      </c>
      <c r="CA3" s="17">
        <f t="shared" si="2"/>
        <v>0</v>
      </c>
      <c r="CB3" s="142"/>
      <c r="CC3" s="143"/>
      <c r="CD3" s="143"/>
      <c r="CE3" s="143"/>
      <c r="CF3" s="143"/>
      <c r="CG3" s="143"/>
      <c r="CH3" s="143"/>
      <c r="CI3" s="143"/>
      <c r="CJ3" s="143"/>
      <c r="CK3" s="143"/>
      <c r="CL3" s="143"/>
      <c r="CM3" s="143"/>
      <c r="CN3" s="143"/>
      <c r="CO3" s="143"/>
      <c r="CP3" s="143"/>
      <c r="CQ3" s="143"/>
      <c r="CR3" s="143"/>
      <c r="CS3" s="144"/>
      <c r="CT3" s="1"/>
      <c r="CU3" s="1"/>
      <c r="CV3" s="1"/>
      <c r="CW3" s="1"/>
      <c r="CX3" s="1"/>
      <c r="CY3" s="1"/>
      <c r="CZ3" s="1"/>
      <c r="DA3" s="1"/>
      <c r="DB3" s="1"/>
      <c r="DC3" s="1"/>
      <c r="DD3" s="1"/>
      <c r="DE3" s="1"/>
      <c r="DF3" s="1"/>
      <c r="DG3" s="1"/>
      <c r="DH3" s="1"/>
      <c r="DI3" s="1"/>
      <c r="DJ3" s="1"/>
      <c r="DK3" s="1"/>
      <c r="DL3" s="1"/>
      <c r="DM3" s="1"/>
      <c r="DN3" s="1"/>
      <c r="DO3" s="1"/>
      <c r="DP3" s="1"/>
      <c r="DQ3" s="1"/>
      <c r="DR3" s="1"/>
      <c r="DS3" s="1"/>
    </row>
    <row r="4" spans="1:123" ht="12.75" customHeight="1" x14ac:dyDescent="0.2">
      <c r="A4" s="18">
        <v>1</v>
      </c>
      <c r="B4" s="18">
        <v>2</v>
      </c>
      <c r="C4" s="18">
        <v>3</v>
      </c>
      <c r="D4" s="18">
        <v>4</v>
      </c>
      <c r="E4" s="18">
        <v>5</v>
      </c>
      <c r="F4" s="18">
        <v>6</v>
      </c>
      <c r="G4" s="18">
        <v>7</v>
      </c>
      <c r="H4" s="18">
        <v>8</v>
      </c>
      <c r="I4" s="18">
        <v>9</v>
      </c>
      <c r="J4" s="18">
        <v>10</v>
      </c>
      <c r="K4" s="18">
        <v>11</v>
      </c>
      <c r="L4" s="18">
        <v>12</v>
      </c>
      <c r="M4" s="18">
        <v>13</v>
      </c>
      <c r="N4" s="18">
        <v>14</v>
      </c>
      <c r="O4" s="18">
        <v>15</v>
      </c>
      <c r="P4" s="18">
        <v>16</v>
      </c>
      <c r="Q4" s="18">
        <v>17</v>
      </c>
      <c r="R4" s="18">
        <v>18</v>
      </c>
      <c r="S4" s="18">
        <v>19</v>
      </c>
      <c r="T4" s="18">
        <v>20</v>
      </c>
      <c r="U4" s="18">
        <v>21</v>
      </c>
      <c r="V4" s="18">
        <v>22</v>
      </c>
      <c r="W4" s="18">
        <v>23</v>
      </c>
      <c r="X4" s="18">
        <v>24</v>
      </c>
      <c r="Y4" s="18">
        <v>25</v>
      </c>
      <c r="Z4" s="18">
        <v>26</v>
      </c>
      <c r="AA4" s="18">
        <v>27</v>
      </c>
      <c r="AB4" s="18">
        <v>28</v>
      </c>
      <c r="AC4" s="18">
        <v>29</v>
      </c>
      <c r="AD4" s="18">
        <v>30</v>
      </c>
      <c r="AE4" s="18">
        <v>31</v>
      </c>
      <c r="AF4" s="18">
        <v>32</v>
      </c>
      <c r="AG4" s="18">
        <v>33</v>
      </c>
      <c r="AH4" s="18">
        <v>34</v>
      </c>
      <c r="AI4" s="18">
        <v>35</v>
      </c>
      <c r="AJ4" s="18">
        <v>36</v>
      </c>
      <c r="AK4" s="18">
        <v>37</v>
      </c>
      <c r="AL4" s="18">
        <v>38</v>
      </c>
      <c r="AM4" s="18">
        <v>39</v>
      </c>
      <c r="AN4" s="18">
        <v>40</v>
      </c>
      <c r="AO4" s="18">
        <v>41</v>
      </c>
      <c r="AP4" s="18">
        <v>42</v>
      </c>
      <c r="AQ4" s="18">
        <v>43</v>
      </c>
      <c r="AR4" s="18">
        <v>44</v>
      </c>
      <c r="AS4" s="18">
        <v>45</v>
      </c>
      <c r="AT4" s="18">
        <v>46</v>
      </c>
      <c r="AU4" s="18">
        <v>47</v>
      </c>
      <c r="AV4" s="18">
        <v>48</v>
      </c>
      <c r="AW4" s="18">
        <v>49</v>
      </c>
      <c r="AX4" s="18">
        <v>50</v>
      </c>
      <c r="AY4" s="18">
        <v>51</v>
      </c>
      <c r="AZ4" s="18">
        <v>52</v>
      </c>
      <c r="BA4" s="18">
        <v>53</v>
      </c>
      <c r="BB4" s="18">
        <v>54</v>
      </c>
      <c r="BC4" s="18">
        <v>55</v>
      </c>
      <c r="BD4" s="18">
        <v>56</v>
      </c>
      <c r="BE4" s="18">
        <v>57</v>
      </c>
      <c r="BF4" s="18">
        <v>58</v>
      </c>
      <c r="BG4" s="18">
        <v>59</v>
      </c>
      <c r="BH4" s="18">
        <v>60</v>
      </c>
      <c r="BI4" s="18">
        <v>61</v>
      </c>
      <c r="BJ4" s="18">
        <v>62</v>
      </c>
      <c r="BK4" s="18">
        <v>63</v>
      </c>
      <c r="BL4" s="18">
        <v>64</v>
      </c>
      <c r="BM4" s="18">
        <v>65</v>
      </c>
      <c r="BN4" s="18">
        <v>66</v>
      </c>
      <c r="BO4" s="18">
        <v>67</v>
      </c>
      <c r="BP4" s="18">
        <v>68</v>
      </c>
      <c r="BQ4" s="18">
        <v>69</v>
      </c>
      <c r="BR4" s="18">
        <v>70</v>
      </c>
      <c r="BS4" s="18">
        <v>71</v>
      </c>
      <c r="BT4" s="18">
        <v>72</v>
      </c>
      <c r="BU4" s="18">
        <v>73</v>
      </c>
      <c r="BV4" s="18">
        <v>74</v>
      </c>
      <c r="BW4" s="18">
        <v>75</v>
      </c>
      <c r="BX4" s="18">
        <v>76</v>
      </c>
      <c r="BY4" s="18">
        <v>77</v>
      </c>
      <c r="BZ4" s="18">
        <v>78</v>
      </c>
      <c r="CA4" s="18">
        <v>79</v>
      </c>
      <c r="CB4" s="18">
        <v>80</v>
      </c>
      <c r="CC4" s="18">
        <v>81</v>
      </c>
      <c r="CD4" s="18">
        <v>82</v>
      </c>
      <c r="CE4" s="18">
        <v>83</v>
      </c>
      <c r="CF4" s="18">
        <v>84</v>
      </c>
      <c r="CG4" s="18">
        <v>85</v>
      </c>
      <c r="CH4" s="18">
        <v>86</v>
      </c>
      <c r="CI4" s="18">
        <v>87</v>
      </c>
      <c r="CJ4" s="18">
        <v>88</v>
      </c>
      <c r="CK4" s="18">
        <v>89</v>
      </c>
      <c r="CL4" s="18">
        <v>90</v>
      </c>
      <c r="CM4" s="18">
        <v>91</v>
      </c>
      <c r="CN4" s="18">
        <v>92</v>
      </c>
      <c r="CO4" s="18">
        <v>93</v>
      </c>
      <c r="CP4" s="18">
        <v>94</v>
      </c>
      <c r="CQ4" s="18">
        <v>95</v>
      </c>
      <c r="CR4" s="18">
        <v>96</v>
      </c>
      <c r="CS4" s="18">
        <v>97</v>
      </c>
      <c r="CT4" s="1"/>
      <c r="CU4" s="1"/>
      <c r="CV4" s="1"/>
      <c r="CW4" s="1"/>
      <c r="CX4" s="1"/>
      <c r="CY4" s="1"/>
      <c r="CZ4" s="1"/>
      <c r="DA4" s="1"/>
      <c r="DB4" s="1"/>
      <c r="DC4" s="1"/>
      <c r="DD4" s="1"/>
      <c r="DE4" s="1"/>
      <c r="DF4" s="1"/>
      <c r="DG4" s="1"/>
      <c r="DH4" s="1"/>
      <c r="DI4" s="1"/>
      <c r="DJ4" s="1"/>
      <c r="DK4" s="1"/>
      <c r="DL4" s="1"/>
      <c r="DM4" s="1"/>
      <c r="DN4" s="1"/>
      <c r="DO4" s="1"/>
      <c r="DP4" s="1"/>
      <c r="DQ4" s="1"/>
      <c r="DR4" s="1"/>
      <c r="DS4" s="1"/>
    </row>
    <row r="5" spans="1:123" ht="64.5" customHeight="1" x14ac:dyDescent="0.2">
      <c r="A5" s="19"/>
      <c r="B5" s="20" t="str">
        <f ca="1">IFERROR(__xludf.DUMMYFUNCTION("IMPORTRANGE(""https://docs.google.com/spreadsheets/d/1ZpB0joDVH_P6wgS1qdxv2Cg30eSt21FXcCJZMPEFRM4/edit#gid=1678506762&amp;range=B5:DK108"", ""'ФП G5 ЧВ'!B5:DK108"")"),"г.о. Фрязино")</f>
        <v>г.о. Фрязино</v>
      </c>
      <c r="C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 s="20" t="str">
        <f ca="1">IFERROR(__xludf.DUMMYFUNCTION("""COMPUTED_VALUE"""),"МинЖКХ")</f>
        <v>МинЖКХ</v>
      </c>
      <c r="E5" s="21" t="str">
        <f ca="1">IFERROR(__xludf.DUMMYFUNCTION("""COMPUTED_VALUE"""),"Реконструкция ВЗУ №4 с установкой станции водоподготовки , г. Фрязино,  Окружной проезд, дом 2, стр. 1                                     ")</f>
        <v xml:space="preserve">Реконструкция ВЗУ №4 с установкой станции водоподготовки , г. Фрязино,  Окружной проезд, дом 2, стр. 1                                     </v>
      </c>
      <c r="F5" s="22" t="str">
        <f ca="1">IFERROR(__xludf.DUMMYFUNCTION("""COMPUTED_VALUE"""),"ВЗУ")</f>
        <v>ВЗУ</v>
      </c>
      <c r="G5" s="20" t="str">
        <f ca="1">IFERROR(__xludf.DUMMYFUNCTION("""COMPUTED_VALUE"""),"2020-2021")</f>
        <v>2020-2021</v>
      </c>
      <c r="H5" s="20" t="str">
        <f ca="1">IFERROR(__xludf.DUMMYFUNCTION("""COMPUTED_VALUE"""),"СМР")</f>
        <v>СМР</v>
      </c>
      <c r="I5" s="23">
        <f ca="1">IFERROR(__xludf.DUMMYFUNCTION("""COMPUTED_VALUE"""),0.11)</f>
        <v>0.11</v>
      </c>
      <c r="J5" s="20" t="str">
        <f ca="1">IFERROR(__xludf.DUMMYFUNCTION("""COMPUTED_VALUE"""),"Выполнены работы по вырубке зеленых насаждений. Работы по планировке и подготовке котлована станции водоподготовки. Выполнены работы по монтажу сетей электроснабжения, сетей водоснабжения.
Планируется выплата аванса в размере 10% Камеры видеонаблюдения у"&amp;"становлены, доступ предоставлен. ГПР предоставлен. ")</f>
        <v xml:space="preserve">Выполнены работы по вырубке зеленых насаждений. Работы по планировке и подготовке котлована станции водоподготовки. Выполнены работы по монтажу сетей электроснабжения, сетей водоснабжения.
Планируется выплата аванса в размере 10% Камеры видеонаблюдения установлены, доступ предоставлен. ГПР предоставлен. </v>
      </c>
      <c r="K5" s="20">
        <f ca="1">IFERROR(__xludf.DUMMYFUNCTION("""COMPUTED_VALUE"""),50000)</f>
        <v>50000</v>
      </c>
      <c r="L5" s="20">
        <f ca="1">IFERROR(__xludf.DUMMYFUNCTION("""COMPUTED_VALUE"""),50000)</f>
        <v>50000</v>
      </c>
      <c r="M5" s="20"/>
      <c r="N5" s="24">
        <f ca="1">IFERROR(__xludf.DUMMYFUNCTION("""COMPUTED_VALUE"""),114329.62)</f>
        <v>114329.62</v>
      </c>
      <c r="O5" s="24">
        <f ca="1">IFERROR(__xludf.DUMMYFUNCTION("""COMPUTED_VALUE"""),85747.21)</f>
        <v>85747.21</v>
      </c>
      <c r="P5" s="24">
        <f ca="1">IFERROR(__xludf.DUMMYFUNCTION("""COMPUTED_VALUE"""),28582.41)</f>
        <v>28582.41</v>
      </c>
      <c r="Q5" s="20"/>
      <c r="R5" s="20"/>
      <c r="S5" s="20"/>
      <c r="T5" s="20" t="str">
        <f ca="1">IFERROR(__xludf.DUMMYFUNCTION("""COMPUTED_VALUE"""),"Требуется корректировка проекта в части замены технологического оборудования. Протокол ислледования качетсва воды для согласования ТТХ аналогичного оборудования отсутствует.
 Получение РС до 10.12.2020")</f>
        <v>Требуется корректировка проекта в части замены технологического оборудования. Протокол ислледования качетсва воды для согласования ТТХ аналогичного оборудования отсутствует.
 Получение РС до 10.12.2020</v>
      </c>
      <c r="U5" s="24">
        <f ca="1">IFERROR(__xludf.DUMMYFUNCTION("""COMPUTED_VALUE"""),34964.1199999999)</f>
        <v>34964.119999999901</v>
      </c>
      <c r="V5" s="24">
        <f ca="1">IFERROR(__xludf.DUMMYFUNCTION("""COMPUTED_VALUE"""),25103.39)</f>
        <v>25103.39</v>
      </c>
      <c r="W5" s="24">
        <f ca="1">IFERROR(__xludf.DUMMYFUNCTION("""COMPUTED_VALUE"""),8367.78999999999)</f>
        <v>8367.78999999999</v>
      </c>
      <c r="X5" s="24">
        <f ca="1">IFERROR(__xludf.DUMMYFUNCTION("""COMPUTED_VALUE"""),0)</f>
        <v>0</v>
      </c>
      <c r="Y5" s="24">
        <f ca="1">IFERROR(__xludf.DUMMYFUNCTION("""COMPUTED_VALUE"""),1492.94)</f>
        <v>1492.94</v>
      </c>
      <c r="Z5" s="24">
        <f ca="1">IFERROR(__xludf.DUMMYFUNCTION("""COMPUTED_VALUE"""),0)</f>
        <v>0</v>
      </c>
      <c r="AA5" s="20" t="str">
        <f ca="1">IFERROR(__xludf.DUMMYFUNCTION("""COMPUTED_VALUE"""),"10 1 G552430
")</f>
        <v xml:space="preserve">10 1 G552430
</v>
      </c>
      <c r="AB5" s="20">
        <f ca="1">IFERROR(__xludf.DUMMYFUNCTION("""COMPUTED_VALUE"""),522)</f>
        <v>522</v>
      </c>
      <c r="AC5" s="20" t="str">
        <f ca="1">IFERROR(__xludf.DUMMYFUNCTION("""COMPUTED_VALUE"""),"Нет")</f>
        <v>Нет</v>
      </c>
      <c r="AD5" s="25">
        <f ca="1">IFERROR(__xludf.DUMMYFUNCTION("""COMPUTED_VALUE"""),44165)</f>
        <v>44165</v>
      </c>
      <c r="AE5" s="20" t="str">
        <f ca="1">IFERROR(__xludf.DUMMYFUNCTION("""COMPUTED_VALUE"""),"Отсутствует")</f>
        <v>Отсутствует</v>
      </c>
      <c r="AF5" s="24">
        <f ca="1">IFERROR(__xludf.DUMMYFUNCTION("""COMPUTED_VALUE"""),217632.169999999)</f>
        <v>217632.16999999899</v>
      </c>
      <c r="AG5" s="24">
        <f ca="1">IFERROR(__xludf.DUMMYFUNCTION("""COMPUTED_VALUE"""),161591.8)</f>
        <v>161591.79999999999</v>
      </c>
      <c r="AH5" s="24">
        <f ca="1">IFERROR(__xludf.DUMMYFUNCTION("""COMPUTED_VALUE"""),53864.0399999999)</f>
        <v>53864.039999999899</v>
      </c>
      <c r="AI5" s="24">
        <f ca="1">IFERROR(__xludf.DUMMYFUNCTION("""COMPUTED_VALUE"""),0)</f>
        <v>0</v>
      </c>
      <c r="AJ5" s="24">
        <f ca="1">IFERROR(__xludf.DUMMYFUNCTION("""COMPUTED_VALUE"""),2176.33)</f>
        <v>2176.33</v>
      </c>
      <c r="AK5" s="24">
        <f ca="1">IFERROR(__xludf.DUMMYFUNCTION("""COMPUTED_VALUE"""),0)</f>
        <v>0</v>
      </c>
      <c r="AL5" s="24">
        <f ca="1">IFERROR(__xludf.DUMMYFUNCTION("""COMPUTED_VALUE"""),0)</f>
        <v>0</v>
      </c>
      <c r="AM5" s="20"/>
      <c r="AN5" s="20"/>
      <c r="AO5" s="20"/>
      <c r="AP5" s="20"/>
      <c r="AQ5" s="20"/>
      <c r="AR5" s="24">
        <f ca="1">IFERROR(__xludf.DUMMYFUNCTION("""COMPUTED_VALUE"""),0)</f>
        <v>0</v>
      </c>
      <c r="AS5" s="20"/>
      <c r="AT5" s="20"/>
      <c r="AU5" s="20"/>
      <c r="AV5" s="20"/>
      <c r="AW5" s="20"/>
      <c r="AX5" s="24">
        <f ca="1">IFERROR(__xludf.DUMMYFUNCTION("""COMPUTED_VALUE"""),149293.74)</f>
        <v>149293.74</v>
      </c>
      <c r="AY5" s="24">
        <f ca="1">IFERROR(__xludf.DUMMYFUNCTION("""COMPUTED_VALUE"""),110850.6)</f>
        <v>110850.6</v>
      </c>
      <c r="AZ5" s="24">
        <f ca="1">IFERROR(__xludf.DUMMYFUNCTION("""COMPUTED_VALUE"""),36950.2)</f>
        <v>36950.199999999997</v>
      </c>
      <c r="BA5" s="20"/>
      <c r="BB5" s="24">
        <f ca="1">IFERROR(__xludf.DUMMYFUNCTION("""COMPUTED_VALUE"""),1492.94)</f>
        <v>1492.94</v>
      </c>
      <c r="BC5" s="20"/>
      <c r="BD5" s="24">
        <f ca="1">IFERROR(__xludf.DUMMYFUNCTION("""COMPUTED_VALUE"""),68338.43)</f>
        <v>68338.429999999993</v>
      </c>
      <c r="BE5" s="24">
        <f ca="1">IFERROR(__xludf.DUMMYFUNCTION("""COMPUTED_VALUE"""),50741.2)</f>
        <v>50741.2</v>
      </c>
      <c r="BF5" s="24">
        <f ca="1">IFERROR(__xludf.DUMMYFUNCTION("""COMPUTED_VALUE"""),16913.84)</f>
        <v>16913.84</v>
      </c>
      <c r="BG5" s="20"/>
      <c r="BH5" s="24">
        <f ca="1">IFERROR(__xludf.DUMMYFUNCTION("""COMPUTED_VALUE"""),683.39)</f>
        <v>683.39</v>
      </c>
      <c r="BI5" s="20"/>
      <c r="BJ5" s="24">
        <f ca="1">IFERROR(__xludf.DUMMYFUNCTION("""COMPUTED_VALUE"""),0)</f>
        <v>0</v>
      </c>
      <c r="BK5" s="24">
        <f ca="1">IFERROR(__xludf.DUMMYFUNCTION("""COMPUTED_VALUE"""),0)</f>
        <v>0</v>
      </c>
      <c r="BL5" s="24">
        <f ca="1">IFERROR(__xludf.DUMMYFUNCTION("""COMPUTED_VALUE"""),0)</f>
        <v>0</v>
      </c>
      <c r="BM5" s="20"/>
      <c r="BN5" s="24">
        <f ca="1">IFERROR(__xludf.DUMMYFUNCTION("""COMPUTED_VALUE"""),0)</f>
        <v>0</v>
      </c>
      <c r="BO5" s="20"/>
      <c r="BP5" s="24">
        <f ca="1">IFERROR(__xludf.DUMMYFUNCTION("""COMPUTED_VALUE"""),0)</f>
        <v>0</v>
      </c>
      <c r="BQ5" s="24">
        <f ca="1">IFERROR(__xludf.DUMMYFUNCTION("""COMPUTED_VALUE"""),0)</f>
        <v>0</v>
      </c>
      <c r="BR5" s="24">
        <f ca="1">IFERROR(__xludf.DUMMYFUNCTION("""COMPUTED_VALUE"""),0)</f>
        <v>0</v>
      </c>
      <c r="BS5" s="20"/>
      <c r="BT5" s="24">
        <f ca="1">IFERROR(__xludf.DUMMYFUNCTION("""COMPUTED_VALUE"""),0)</f>
        <v>0</v>
      </c>
      <c r="BU5" s="20"/>
      <c r="BV5" s="24">
        <f ca="1">IFERROR(__xludf.DUMMYFUNCTION("""COMPUTED_VALUE"""),0)</f>
        <v>0</v>
      </c>
      <c r="BW5" s="24">
        <f ca="1">IFERROR(__xludf.DUMMYFUNCTION("""COMPUTED_VALUE"""),0)</f>
        <v>0</v>
      </c>
      <c r="BX5" s="24">
        <f ca="1">IFERROR(__xludf.DUMMYFUNCTION("""COMPUTED_VALUE"""),0)</f>
        <v>0</v>
      </c>
      <c r="BY5" s="20"/>
      <c r="BZ5" s="24">
        <f ca="1">IFERROR(__xludf.DUMMYFUNCTION("""COMPUTED_VALUE"""),0)</f>
        <v>0</v>
      </c>
      <c r="CA5" s="20"/>
      <c r="CB5" s="20"/>
      <c r="CC5" s="20"/>
      <c r="CD5" s="20"/>
      <c r="CE5" s="20"/>
      <c r="CF5" s="20"/>
      <c r="CG5" s="20"/>
      <c r="CH5" s="20"/>
      <c r="CI5" s="20"/>
      <c r="CJ5" s="26">
        <f ca="1">IFERROR(__xludf.DUMMYFUNCTION("""COMPUTED_VALUE"""),43878)</f>
        <v>43878</v>
      </c>
      <c r="CK5" s="26">
        <f ca="1">IFERROR(__xludf.DUMMYFUNCTION("""COMPUTED_VALUE"""),43963)</f>
        <v>43963</v>
      </c>
      <c r="CL5" s="20" t="str">
        <f ca="1">IFERROR(__xludf.DUMMYFUNCTION("""COMPUTED_VALUE"""),"50-1-1-3-0887-20")</f>
        <v>50-1-1-3-0887-20</v>
      </c>
      <c r="CM5" s="26">
        <f ca="1">IFERROR(__xludf.DUMMYFUNCTION("""COMPUTED_VALUE"""),43992)</f>
        <v>43992</v>
      </c>
      <c r="CN5" s="20" t="str">
        <f ca="1">IFERROR(__xludf.DUMMYFUNCTION("""COMPUTED_VALUE"""),"0148200005420000190")</f>
        <v>0148200005420000190</v>
      </c>
      <c r="CO5" s="26">
        <f ca="1">IFERROR(__xludf.DUMMYFUNCTION("""COMPUTED_VALUE"""),44015)</f>
        <v>44015</v>
      </c>
      <c r="CP5" s="20" t="str">
        <f ca="1">IFERROR(__xludf.DUMMYFUNCTION("""COMPUTED_VALUE"""),"0148200005420000190")</f>
        <v>0148200005420000190</v>
      </c>
      <c r="CQ5" s="20">
        <f ca="1">IFERROR(__xludf.DUMMYFUNCTION("""COMPUTED_VALUE"""),176376586.54)</f>
        <v>176376586.53999999</v>
      </c>
      <c r="CR5" s="20" t="str">
        <f ca="1">IFERROR(__xludf.DUMMYFUNCTION("""COMPUTED_VALUE"""),"ОБЩЕСТВО С ОГРАНИЧЕННОЙ ОТВЕТСТВЕННОСТЬЮ ""РБК СТРОЙИНВЕСТ"" ")</f>
        <v xml:space="preserve">ОБЩЕСТВО С ОГРАНИЧЕННОЙ ОТВЕТСТВЕННОСТЬЮ "РБК СТРОЙИНВЕСТ" </v>
      </c>
      <c r="CS5" s="27" t="str">
        <f ca="1">IFERROR(__xludf.DUMMYFUNCTION("""COMPUTED_VALUE"""),"https://zakupki.gov.ru/epz/contract/search/results.html?searchString=&amp;orderNumber=0148200005420000190&amp;openMode=USE_DEFAULT_PARAMS&amp;fz44=on&amp;priceFrom=0&amp;priceTo=200000000000&amp;contractStageList=0%2C1%2C2%2C3&amp;budgetaryFunds=on&amp;extraBudgetaryFunds=on")</f>
        <v>https://zakupki.gov.ru/epz/contract/search/results.html?searchString=&amp;orderNumber=0148200005420000190&amp;openMode=USE_DEFAULT_PARAMS&amp;fz44=on&amp;priceFrom=0&amp;priceTo=200000000000&amp;contractStageList=0%2C1%2C2%2C3&amp;budgetaryFunds=on&amp;extraBudgetaryFunds=on</v>
      </c>
      <c r="CT5" s="1"/>
      <c r="CU5" s="1"/>
      <c r="CV5" s="1"/>
      <c r="CW5" s="1"/>
      <c r="CX5" s="1"/>
      <c r="CY5" s="1"/>
      <c r="CZ5" s="1"/>
      <c r="DA5" s="1"/>
      <c r="DB5" s="1"/>
      <c r="DC5" s="1"/>
      <c r="DD5" s="1"/>
      <c r="DE5" s="1"/>
      <c r="DF5" s="1"/>
      <c r="DG5" s="1"/>
      <c r="DH5" s="1"/>
      <c r="DI5" s="1"/>
      <c r="DJ5" s="1"/>
      <c r="DK5" s="1"/>
      <c r="DL5" s="1"/>
      <c r="DM5" s="1"/>
      <c r="DN5" s="1"/>
      <c r="DO5" s="1"/>
      <c r="DP5" s="1"/>
      <c r="DQ5" s="1"/>
      <c r="DR5" s="1"/>
      <c r="DS5" s="1"/>
    </row>
    <row r="6" spans="1:123" ht="64.5" customHeight="1" x14ac:dyDescent="0.2">
      <c r="A6" s="19"/>
      <c r="B6" s="20" t="str">
        <f ca="1">IFERROR(__xludf.DUMMYFUNCTION("""COMPUTED_VALUE"""),"г.о. Фрязино")</f>
        <v>г.о. Фрязино</v>
      </c>
      <c r="C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 s="20" t="str">
        <f ca="1">IFERROR(__xludf.DUMMYFUNCTION("""COMPUTED_VALUE"""),"МинЖКХ")</f>
        <v>МинЖКХ</v>
      </c>
      <c r="E6" s="20" t="str">
        <f ca="1">IFERROR(__xludf.DUMMYFUNCTION("""COMPUTED_VALUE"""),"Реконструкция ВЗУ №5 с установкой станции водоподготовки по адресу: Московская область, г. Фрязино, площадь Введенского, д. 1, стр. 1")</f>
        <v>Реконструкция ВЗУ №5 с установкой станции водоподготовки по адресу: Московская область, г. Фрязино, площадь Введенского, д. 1, стр. 1</v>
      </c>
      <c r="F6" s="22" t="str">
        <f ca="1">IFERROR(__xludf.DUMMYFUNCTION("""COMPUTED_VALUE"""),"ВЗУ")</f>
        <v>ВЗУ</v>
      </c>
      <c r="G6" s="20" t="str">
        <f ca="1">IFERROR(__xludf.DUMMYFUNCTION("""COMPUTED_VALUE"""),"2020-2021")</f>
        <v>2020-2021</v>
      </c>
      <c r="H6" s="20" t="str">
        <f ca="1">IFERROR(__xludf.DUMMYFUNCTION("""COMPUTED_VALUE"""),"СМР")</f>
        <v>СМР</v>
      </c>
      <c r="I6" s="23">
        <f ca="1">IFERROR(__xludf.DUMMYFUNCTION("""COMPUTED_VALUE"""),0.16)</f>
        <v>0.16</v>
      </c>
      <c r="J6" s="20" t="str">
        <f ca="1">IFERROR(__xludf.DUMMYFUNCTION("""COMPUTED_VALUE"""),"Выполнены работы по вырубке зеленых насаждений, работы по кровле, РЧВ очистка и устройство наружной гидроизоляции. Выполнены работы по бурению скважины. Завершен ремонт фасадов насосной станции второго подъема. Ведется монтаж полов, потолков внутри насосн"&amp;"ой станции, устройство фундаментов зданий водоподготовки.
Планируется выплата аванса в размере 10% Камеры видеонаблюдения установлены, доступ предоставлен. ГПР предоставлен. ")</f>
        <v xml:space="preserve">Выполнены работы по вырубке зеленых насаждений, работы по кровле, РЧВ очистка и устройство наружной гидроизоляции. Выполнены работы по бурению скважины. Завершен ремонт фасадов насосной станции второго подъема. Ведется монтаж полов, потолков внутри насосной станции, устройство фундаментов зданий водоподготовки.
Планируется выплата аванса в размере 10% Камеры видеонаблюдения установлены, доступ предоставлен. ГПР предоставлен. </v>
      </c>
      <c r="K6" s="20">
        <f ca="1">IFERROR(__xludf.DUMMYFUNCTION("""COMPUTED_VALUE"""),50000)</f>
        <v>50000</v>
      </c>
      <c r="L6" s="20">
        <f ca="1">IFERROR(__xludf.DUMMYFUNCTION("""COMPUTED_VALUE"""),50000)</f>
        <v>50000</v>
      </c>
      <c r="M6" s="20"/>
      <c r="N6" s="24">
        <f ca="1">IFERROR(__xludf.DUMMYFUNCTION("""COMPUTED_VALUE"""),40614.78)</f>
        <v>40614.78</v>
      </c>
      <c r="O6" s="24">
        <f ca="1">IFERROR(__xludf.DUMMYFUNCTION("""COMPUTED_VALUE"""),30461.08)</f>
        <v>30461.08</v>
      </c>
      <c r="P6" s="24">
        <f ca="1">IFERROR(__xludf.DUMMYFUNCTION("""COMPUTED_VALUE"""),10153.7)</f>
        <v>10153.700000000001</v>
      </c>
      <c r="Q6" s="20"/>
      <c r="R6" s="20"/>
      <c r="S6" s="20"/>
      <c r="T6" s="20" t="str">
        <f ca="1">IFERROR(__xludf.DUMMYFUNCTION("""COMPUTED_VALUE"""),"Прорабатывается вопрос увеличения авансирования под лимиты 2020 года после перераспределения части финансирования с ВЗУ-4.
 Получение РС до 10.12.2020")</f>
        <v>Прорабатывается вопрос увеличения авансирования под лимиты 2020 года после перераспределения части финансирования с ВЗУ-4.
 Получение РС до 10.12.2020</v>
      </c>
      <c r="U6" s="24">
        <f ca="1">IFERROR(__xludf.DUMMYFUNCTION("""COMPUTED_VALUE"""),12646.14)</f>
        <v>12646.14</v>
      </c>
      <c r="V6" s="24">
        <f ca="1">IFERROR(__xludf.DUMMYFUNCTION("""COMPUTED_VALUE"""),9085.11999999999)</f>
        <v>9085.1199999999899</v>
      </c>
      <c r="W6" s="24">
        <f ca="1">IFERROR(__xludf.DUMMYFUNCTION("""COMPUTED_VALUE"""),3028.37999999999)</f>
        <v>3028.3799999999901</v>
      </c>
      <c r="X6" s="24">
        <f ca="1">IFERROR(__xludf.DUMMYFUNCTION("""COMPUTED_VALUE"""),0)</f>
        <v>0</v>
      </c>
      <c r="Y6" s="24">
        <f ca="1">IFERROR(__xludf.DUMMYFUNCTION("""COMPUTED_VALUE"""),532.64)</f>
        <v>532.64</v>
      </c>
      <c r="Z6" s="24">
        <f ca="1">IFERROR(__xludf.DUMMYFUNCTION("""COMPUTED_VALUE"""),0)</f>
        <v>0</v>
      </c>
      <c r="AA6" s="20" t="str">
        <f ca="1">IFERROR(__xludf.DUMMYFUNCTION("""COMPUTED_VALUE"""),"10 1 G552430
")</f>
        <v xml:space="preserve">10 1 G552430
</v>
      </c>
      <c r="AB6" s="20">
        <f ca="1">IFERROR(__xludf.DUMMYFUNCTION("""COMPUTED_VALUE"""),522)</f>
        <v>522</v>
      </c>
      <c r="AC6" s="20" t="str">
        <f ca="1">IFERROR(__xludf.DUMMYFUNCTION("""COMPUTED_VALUE"""),"Нет")</f>
        <v>Нет</v>
      </c>
      <c r="AD6" s="25">
        <f ca="1">IFERROR(__xludf.DUMMYFUNCTION("""COMPUTED_VALUE"""),44165)</f>
        <v>44165</v>
      </c>
      <c r="AE6" s="20" t="str">
        <f ca="1">IFERROR(__xludf.DUMMYFUNCTION("""COMPUTED_VALUE"""),"Отсутствует")</f>
        <v>Отсутствует</v>
      </c>
      <c r="AF6" s="24">
        <f ca="1">IFERROR(__xludf.DUMMYFUNCTION("""COMPUTED_VALUE"""),147417.92)</f>
        <v>147417.92000000001</v>
      </c>
      <c r="AG6" s="24">
        <f ca="1">IFERROR(__xludf.DUMMYFUNCTION("""COMPUTED_VALUE"""),109457.5)</f>
        <v>109457.5</v>
      </c>
      <c r="AH6" s="24">
        <f ca="1">IFERROR(__xludf.DUMMYFUNCTION("""COMPUTED_VALUE"""),36485.91)</f>
        <v>36485.910000000003</v>
      </c>
      <c r="AI6" s="24">
        <f ca="1">IFERROR(__xludf.DUMMYFUNCTION("""COMPUTED_VALUE"""),0)</f>
        <v>0</v>
      </c>
      <c r="AJ6" s="24">
        <f ca="1">IFERROR(__xludf.DUMMYFUNCTION("""COMPUTED_VALUE"""),1474.51)</f>
        <v>1474.51</v>
      </c>
      <c r="AK6" s="24">
        <f ca="1">IFERROR(__xludf.DUMMYFUNCTION("""COMPUTED_VALUE"""),0)</f>
        <v>0</v>
      </c>
      <c r="AL6" s="24">
        <f ca="1">IFERROR(__xludf.DUMMYFUNCTION("""COMPUTED_VALUE"""),0)</f>
        <v>0</v>
      </c>
      <c r="AM6" s="20"/>
      <c r="AN6" s="20"/>
      <c r="AO6" s="20"/>
      <c r="AP6" s="20"/>
      <c r="AQ6" s="20"/>
      <c r="AR6" s="24">
        <f ca="1">IFERROR(__xludf.DUMMYFUNCTION("""COMPUTED_VALUE"""),0)</f>
        <v>0</v>
      </c>
      <c r="AS6" s="20"/>
      <c r="AT6" s="20"/>
      <c r="AU6" s="20"/>
      <c r="AV6" s="20"/>
      <c r="AW6" s="20"/>
      <c r="AX6" s="24">
        <f ca="1">IFERROR(__xludf.DUMMYFUNCTION("""COMPUTED_VALUE"""),53260.92)</f>
        <v>53260.92</v>
      </c>
      <c r="AY6" s="24">
        <f ca="1">IFERROR(__xludf.DUMMYFUNCTION("""COMPUTED_VALUE"""),39546.2)</f>
        <v>39546.199999999997</v>
      </c>
      <c r="AZ6" s="24">
        <f ca="1">IFERROR(__xludf.DUMMYFUNCTION("""COMPUTED_VALUE"""),13182.08)</f>
        <v>13182.08</v>
      </c>
      <c r="BA6" s="20"/>
      <c r="BB6" s="24">
        <f ca="1">IFERROR(__xludf.DUMMYFUNCTION("""COMPUTED_VALUE"""),532.64)</f>
        <v>532.64</v>
      </c>
      <c r="BC6" s="20"/>
      <c r="BD6" s="24">
        <f ca="1">IFERROR(__xludf.DUMMYFUNCTION("""COMPUTED_VALUE"""),94157)</f>
        <v>94157</v>
      </c>
      <c r="BE6" s="24">
        <f ca="1">IFERROR(__xludf.DUMMYFUNCTION("""COMPUTED_VALUE"""),69911.3)</f>
        <v>69911.3</v>
      </c>
      <c r="BF6" s="24">
        <f ca="1">IFERROR(__xludf.DUMMYFUNCTION("""COMPUTED_VALUE"""),23303.83)</f>
        <v>23303.83</v>
      </c>
      <c r="BG6" s="20"/>
      <c r="BH6" s="24">
        <f ca="1">IFERROR(__xludf.DUMMYFUNCTION("""COMPUTED_VALUE"""),941.87)</f>
        <v>941.87</v>
      </c>
      <c r="BI6" s="20"/>
      <c r="BJ6" s="24">
        <f ca="1">IFERROR(__xludf.DUMMYFUNCTION("""COMPUTED_VALUE"""),0)</f>
        <v>0</v>
      </c>
      <c r="BK6" s="24">
        <f ca="1">IFERROR(__xludf.DUMMYFUNCTION("""COMPUTED_VALUE"""),0)</f>
        <v>0</v>
      </c>
      <c r="BL6" s="24">
        <f ca="1">IFERROR(__xludf.DUMMYFUNCTION("""COMPUTED_VALUE"""),0)</f>
        <v>0</v>
      </c>
      <c r="BM6" s="20"/>
      <c r="BN6" s="24">
        <f ca="1">IFERROR(__xludf.DUMMYFUNCTION("""COMPUTED_VALUE"""),0)</f>
        <v>0</v>
      </c>
      <c r="BO6" s="20"/>
      <c r="BP6" s="24">
        <f ca="1">IFERROR(__xludf.DUMMYFUNCTION("""COMPUTED_VALUE"""),0)</f>
        <v>0</v>
      </c>
      <c r="BQ6" s="24">
        <f ca="1">IFERROR(__xludf.DUMMYFUNCTION("""COMPUTED_VALUE"""),0)</f>
        <v>0</v>
      </c>
      <c r="BR6" s="24">
        <f ca="1">IFERROR(__xludf.DUMMYFUNCTION("""COMPUTED_VALUE"""),0)</f>
        <v>0</v>
      </c>
      <c r="BS6" s="20"/>
      <c r="BT6" s="24">
        <f ca="1">IFERROR(__xludf.DUMMYFUNCTION("""COMPUTED_VALUE"""),0)</f>
        <v>0</v>
      </c>
      <c r="BU6" s="20"/>
      <c r="BV6" s="24">
        <f ca="1">IFERROR(__xludf.DUMMYFUNCTION("""COMPUTED_VALUE"""),0)</f>
        <v>0</v>
      </c>
      <c r="BW6" s="24">
        <f ca="1">IFERROR(__xludf.DUMMYFUNCTION("""COMPUTED_VALUE"""),0)</f>
        <v>0</v>
      </c>
      <c r="BX6" s="24">
        <f ca="1">IFERROR(__xludf.DUMMYFUNCTION("""COMPUTED_VALUE"""),0)</f>
        <v>0</v>
      </c>
      <c r="BY6" s="20"/>
      <c r="BZ6" s="24">
        <f ca="1">IFERROR(__xludf.DUMMYFUNCTION("""COMPUTED_VALUE"""),0)</f>
        <v>0</v>
      </c>
      <c r="CA6" s="20"/>
      <c r="CB6" s="20"/>
      <c r="CC6" s="20"/>
      <c r="CD6" s="20"/>
      <c r="CE6" s="20"/>
      <c r="CF6" s="20"/>
      <c r="CG6" s="20"/>
      <c r="CH6" s="20"/>
      <c r="CI6" s="20"/>
      <c r="CJ6" s="26">
        <f ca="1">IFERROR(__xludf.DUMMYFUNCTION("""COMPUTED_VALUE"""),43843)</f>
        <v>43843</v>
      </c>
      <c r="CK6" s="26">
        <f ca="1">IFERROR(__xludf.DUMMYFUNCTION("""COMPUTED_VALUE"""),43998)</f>
        <v>43998</v>
      </c>
      <c r="CL6" s="20" t="str">
        <f ca="1">IFERROR(__xludf.DUMMYFUNCTION("""COMPUTED_VALUE"""),"50-1-1-3-1033-20")</f>
        <v>50-1-1-3-1033-20</v>
      </c>
      <c r="CM6" s="26">
        <f ca="1">IFERROR(__xludf.DUMMYFUNCTION("""COMPUTED_VALUE"""),44015)</f>
        <v>44015</v>
      </c>
      <c r="CN6" s="20" t="str">
        <f ca="1">IFERROR(__xludf.DUMMYFUNCTION("""COMPUTED_VALUE"""),"0148200005420000216")</f>
        <v>0148200005420000216</v>
      </c>
      <c r="CO6" s="26">
        <f ca="1">IFERROR(__xludf.DUMMYFUNCTION("""COMPUTED_VALUE"""),44042)</f>
        <v>44042</v>
      </c>
      <c r="CP6" s="20" t="str">
        <f ca="1">IFERROR(__xludf.DUMMYFUNCTION("""COMPUTED_VALUE"""),"0148200005420000216")</f>
        <v>0148200005420000216</v>
      </c>
      <c r="CQ6" s="20">
        <f ca="1">IFERROR(__xludf.DUMMYFUNCTION("""COMPUTED_VALUE"""),124106822.23)</f>
        <v>124106822.23</v>
      </c>
      <c r="CR6" s="20" t="str">
        <f ca="1">IFERROR(__xludf.DUMMYFUNCTION("""COMPUTED_VALUE"""),"Общество с ограниченной ответственностью""Строй Групп"" (ООО ""СТРОЙ ГРУПП"")")</f>
        <v>Общество с ограниченной ответственностью"Строй Групп" (ООО "СТРОЙ ГРУПП")</v>
      </c>
      <c r="CS6" s="27" t="str">
        <f ca="1">IFERROR(__xludf.DUMMYFUNCTION("""COMPUTED_VALUE"""),"https://zakupki.gov.ru/epz/contract/contractCard/common-info.html?reestrNumber=3505200212820000041")</f>
        <v>https://zakupki.gov.ru/epz/contract/contractCard/common-info.html?reestrNumber=3505200212820000041</v>
      </c>
      <c r="CT6" s="1"/>
      <c r="CU6" s="1"/>
      <c r="CV6" s="1"/>
      <c r="CW6" s="1"/>
      <c r="CX6" s="1"/>
      <c r="CY6" s="1"/>
      <c r="CZ6" s="1"/>
      <c r="DA6" s="1"/>
      <c r="DB6" s="1"/>
      <c r="DC6" s="1"/>
      <c r="DD6" s="1"/>
      <c r="DE6" s="1"/>
      <c r="DF6" s="1"/>
      <c r="DG6" s="1"/>
      <c r="DH6" s="1"/>
      <c r="DI6" s="1"/>
      <c r="DJ6" s="1"/>
      <c r="DK6" s="1"/>
      <c r="DL6" s="1"/>
      <c r="DM6" s="1"/>
      <c r="DN6" s="1"/>
      <c r="DO6" s="1"/>
      <c r="DP6" s="1"/>
      <c r="DQ6" s="1"/>
      <c r="DR6" s="1"/>
      <c r="DS6" s="1"/>
    </row>
    <row r="7" spans="1:123" ht="64.5" hidden="1" customHeight="1" x14ac:dyDescent="0.2">
      <c r="A7" s="19"/>
      <c r="B7" s="20" t="str">
        <f ca="1">IFERROR(__xludf.DUMMYFUNCTION("""COMPUTED_VALUE""")," г.о. Воскресенск")</f>
        <v xml:space="preserve"> г.о. Воскресенск</v>
      </c>
      <c r="C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 s="20" t="str">
        <f ca="1">IFERROR(__xludf.DUMMYFUNCTION("""COMPUTED_VALUE"""),"МинЖКХ")</f>
        <v>МинЖКХ</v>
      </c>
      <c r="E7" s="20"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f>
        <v>Реконструкция ВЗУ Степанщино Воскресенский м.р., с устройством РЧВ 500 м. куб. и установкой станции обезжелезования; бурение доп. артскважин</v>
      </c>
      <c r="F7" s="22" t="str">
        <f ca="1">IFERROR(__xludf.DUMMYFUNCTION("""COMPUTED_VALUE"""),"ВЗУ")</f>
        <v>ВЗУ</v>
      </c>
      <c r="G7" s="20" t="str">
        <f ca="1">IFERROR(__xludf.DUMMYFUNCTION("""COMPUTED_VALUE"""),"2022-2023")</f>
        <v>2022-2023</v>
      </c>
      <c r="H7" s="20" t="str">
        <f ca="1">IFERROR(__xludf.DUMMYFUNCTION("""COMPUTED_VALUE"""),"СМР")</f>
        <v>СМР</v>
      </c>
      <c r="I7" s="23">
        <f ca="1">IFERROR(__xludf.DUMMYFUNCTION("""COMPUTED_VALUE"""),0)</f>
        <v>0</v>
      </c>
      <c r="J7" s="20" t="str">
        <f ca="1">IFERROR(__xludf.DUMMYFUNCTION("""COMPUTED_VALUE"""),"ПСД находится в МОГЭ в срок до 2021 года. Контрактация в 2021 году.")</f>
        <v>ПСД находится в МОГЭ в срок до 2021 года. Контрактация в 2021 году.</v>
      </c>
      <c r="K7" s="20"/>
      <c r="L7" s="20"/>
      <c r="M7" s="20"/>
      <c r="N7" s="24">
        <f ca="1">IFERROR(__xludf.DUMMYFUNCTION("""COMPUTED_VALUE"""),0)</f>
        <v>0</v>
      </c>
      <c r="O7" s="20"/>
      <c r="P7" s="20"/>
      <c r="Q7" s="20"/>
      <c r="R7" s="20"/>
      <c r="S7" s="20"/>
      <c r="T7" s="20"/>
      <c r="U7" s="24">
        <f ca="1">IFERROR(__xludf.DUMMYFUNCTION("""COMPUTED_VALUE"""),0)</f>
        <v>0</v>
      </c>
      <c r="V7" s="24">
        <f ca="1">IFERROR(__xludf.DUMMYFUNCTION("""COMPUTED_VALUE"""),0)</f>
        <v>0</v>
      </c>
      <c r="W7" s="24">
        <f ca="1">IFERROR(__xludf.DUMMYFUNCTION("""COMPUTED_VALUE"""),0)</f>
        <v>0</v>
      </c>
      <c r="X7" s="24">
        <f ca="1">IFERROR(__xludf.DUMMYFUNCTION("""COMPUTED_VALUE"""),0)</f>
        <v>0</v>
      </c>
      <c r="Y7" s="24">
        <f ca="1">IFERROR(__xludf.DUMMYFUNCTION("""COMPUTED_VALUE"""),0)</f>
        <v>0</v>
      </c>
      <c r="Z7" s="24">
        <f ca="1">IFERROR(__xludf.DUMMYFUNCTION("""COMPUTED_VALUE"""),0)</f>
        <v>0</v>
      </c>
      <c r="AA7" s="20" t="str">
        <f ca="1">IFERROR(__xludf.DUMMYFUNCTION("""COMPUTED_VALUE"""),"10 1 G552430
")</f>
        <v xml:space="preserve">10 1 G552430
</v>
      </c>
      <c r="AB7" s="20">
        <f ca="1">IFERROR(__xludf.DUMMYFUNCTION("""COMPUTED_VALUE"""),522)</f>
        <v>522</v>
      </c>
      <c r="AC7" s="20"/>
      <c r="AD7" s="20"/>
      <c r="AE7" s="20"/>
      <c r="AF7" s="24">
        <f ca="1">IFERROR(__xludf.DUMMYFUNCTION("""COMPUTED_VALUE"""),125351.73)</f>
        <v>125351.73</v>
      </c>
      <c r="AG7" s="24">
        <f ca="1">IFERROR(__xludf.DUMMYFUNCTION("""COMPUTED_VALUE"""),89313.11)</f>
        <v>89313.11</v>
      </c>
      <c r="AH7" s="24">
        <f ca="1">IFERROR(__xludf.DUMMYFUNCTION("""COMPUTED_VALUE"""),29771.03)</f>
        <v>29771.03</v>
      </c>
      <c r="AI7" s="24">
        <f ca="1">IFERROR(__xludf.DUMMYFUNCTION("""COMPUTED_VALUE"""),0)</f>
        <v>0</v>
      </c>
      <c r="AJ7" s="24">
        <f ca="1">IFERROR(__xludf.DUMMYFUNCTION("""COMPUTED_VALUE"""),6267.59)</f>
        <v>6267.59</v>
      </c>
      <c r="AK7" s="24">
        <f ca="1">IFERROR(__xludf.DUMMYFUNCTION("""COMPUTED_VALUE"""),0)</f>
        <v>0</v>
      </c>
      <c r="AL7" s="24">
        <f ca="1">IFERROR(__xludf.DUMMYFUNCTION("""COMPUTED_VALUE"""),0)</f>
        <v>0</v>
      </c>
      <c r="AM7" s="20"/>
      <c r="AN7" s="20"/>
      <c r="AO7" s="20"/>
      <c r="AP7" s="20"/>
      <c r="AQ7" s="20"/>
      <c r="AR7" s="24">
        <f ca="1">IFERROR(__xludf.DUMMYFUNCTION("""COMPUTED_VALUE"""),0)</f>
        <v>0</v>
      </c>
      <c r="AS7" s="20"/>
      <c r="AT7" s="20"/>
      <c r="AU7" s="20"/>
      <c r="AV7" s="20"/>
      <c r="AW7" s="20"/>
      <c r="AX7" s="24">
        <f ca="1">IFERROR(__xludf.DUMMYFUNCTION("""COMPUTED_VALUE"""),0)</f>
        <v>0</v>
      </c>
      <c r="AY7" s="24">
        <f ca="1">IFERROR(__xludf.DUMMYFUNCTION("""COMPUTED_VALUE"""),0)</f>
        <v>0</v>
      </c>
      <c r="AZ7" s="24">
        <f ca="1">IFERROR(__xludf.DUMMYFUNCTION("""COMPUTED_VALUE"""),0)</f>
        <v>0</v>
      </c>
      <c r="BA7" s="20"/>
      <c r="BB7" s="24">
        <f ca="1">IFERROR(__xludf.DUMMYFUNCTION("""COMPUTED_VALUE"""),0)</f>
        <v>0</v>
      </c>
      <c r="BC7" s="20"/>
      <c r="BD7" s="24">
        <f ca="1">IFERROR(__xludf.DUMMYFUNCTION("""COMPUTED_VALUE"""),0)</f>
        <v>0</v>
      </c>
      <c r="BE7" s="24">
        <f ca="1">IFERROR(__xludf.DUMMYFUNCTION("""COMPUTED_VALUE"""),0)</f>
        <v>0</v>
      </c>
      <c r="BF7" s="24">
        <f ca="1">IFERROR(__xludf.DUMMYFUNCTION("""COMPUTED_VALUE"""),0)</f>
        <v>0</v>
      </c>
      <c r="BG7" s="20"/>
      <c r="BH7" s="24">
        <f ca="1">IFERROR(__xludf.DUMMYFUNCTION("""COMPUTED_VALUE"""),0)</f>
        <v>0</v>
      </c>
      <c r="BI7" s="20"/>
      <c r="BJ7" s="24">
        <f ca="1">IFERROR(__xludf.DUMMYFUNCTION("""COMPUTED_VALUE"""),71408.48)</f>
        <v>71408.479999999996</v>
      </c>
      <c r="BK7" s="20">
        <f ca="1">IFERROR(__xludf.DUMMYFUNCTION("""COMPUTED_VALUE"""),50878.54)</f>
        <v>50878.54</v>
      </c>
      <c r="BL7" s="24">
        <f ca="1">IFERROR(__xludf.DUMMYFUNCTION("""COMPUTED_VALUE"""),16959.51)</f>
        <v>16959.509999999998</v>
      </c>
      <c r="BM7" s="20"/>
      <c r="BN7" s="24">
        <f ca="1">IFERROR(__xludf.DUMMYFUNCTION("""COMPUTED_VALUE"""),3570.43)</f>
        <v>3570.43</v>
      </c>
      <c r="BO7" s="20"/>
      <c r="BP7" s="24">
        <f ca="1">IFERROR(__xludf.DUMMYFUNCTION("""COMPUTED_VALUE"""),53943.25)</f>
        <v>53943.25</v>
      </c>
      <c r="BQ7" s="24">
        <f ca="1">IFERROR(__xludf.DUMMYFUNCTION("""COMPUTED_VALUE"""),38434.57)</f>
        <v>38434.57</v>
      </c>
      <c r="BR7" s="24">
        <f ca="1">IFERROR(__xludf.DUMMYFUNCTION("""COMPUTED_VALUE"""),12811.52)</f>
        <v>12811.52</v>
      </c>
      <c r="BS7" s="20"/>
      <c r="BT7" s="24">
        <f ca="1">IFERROR(__xludf.DUMMYFUNCTION("""COMPUTED_VALUE"""),2697.16)</f>
        <v>2697.16</v>
      </c>
      <c r="BU7" s="20"/>
      <c r="BV7" s="24">
        <f ca="1">IFERROR(__xludf.DUMMYFUNCTION("""COMPUTED_VALUE"""),0)</f>
        <v>0</v>
      </c>
      <c r="BW7" s="24">
        <f ca="1">IFERROR(__xludf.DUMMYFUNCTION("""COMPUTED_VALUE"""),0)</f>
        <v>0</v>
      </c>
      <c r="BX7" s="24">
        <f ca="1">IFERROR(__xludf.DUMMYFUNCTION("""COMPUTED_VALUE"""),0)</f>
        <v>0</v>
      </c>
      <c r="BY7" s="20"/>
      <c r="BZ7" s="24">
        <f ca="1">IFERROR(__xludf.DUMMYFUNCTION("""COMPUTED_VALUE"""),0)</f>
        <v>0</v>
      </c>
      <c r="CA7" s="20"/>
      <c r="CB7" s="20"/>
      <c r="CC7" s="20"/>
      <c r="CD7" s="20"/>
      <c r="CE7" s="20"/>
      <c r="CF7" s="20"/>
      <c r="CG7" s="20"/>
      <c r="CH7" s="20"/>
      <c r="CI7" s="20"/>
      <c r="CJ7" s="20"/>
      <c r="CK7" s="20"/>
      <c r="CL7" s="20"/>
      <c r="CM7" s="26">
        <f ca="1">IFERROR(__xludf.DUMMYFUNCTION("""COMPUTED_VALUE"""),43871)</f>
        <v>43871</v>
      </c>
      <c r="CN7" s="20" t="str">
        <f ca="1">IFERROR(__xludf.DUMMYFUNCTION("""COMPUTED_VALUE"""),"0848600006820000002")</f>
        <v>0848600006820000002</v>
      </c>
      <c r="CO7" s="26">
        <f ca="1">IFERROR(__xludf.DUMMYFUNCTION("""COMPUTED_VALUE"""),43928)</f>
        <v>43928</v>
      </c>
      <c r="CP7" s="20" t="str">
        <f ca="1">IFERROR(__xludf.DUMMYFUNCTION("""COMPUTED_VALUE"""),"ОКЭФ 1/20")</f>
        <v>ОКЭФ 1/20</v>
      </c>
      <c r="CQ7" s="20">
        <f ca="1">IFERROR(__xludf.DUMMYFUNCTION("""COMPUTED_VALUE"""),9999999.99)</f>
        <v>9999999.9900000002</v>
      </c>
      <c r="CR7" s="20" t="str">
        <f ca="1">IFERROR(__xludf.DUMMYFUNCTION("""COMPUTED_VALUE"""),"ООО ПБ ""ПРОМЭКОВОД""")</f>
        <v>ООО ПБ "ПРОМЭКОВОД"</v>
      </c>
      <c r="CS7" s="27" t="str">
        <f ca="1">IFERROR(__xludf.DUMMYFUNCTION("""COMPUTED_VALUE"""),"https://zakupki.gov.ru/epz/order/notice/rpec/common-info.html?regNumber=08486000068200000020001")</f>
        <v>https://zakupki.gov.ru/epz/order/notice/rpec/common-info.html?regNumber=08486000068200000020001</v>
      </c>
      <c r="CT7" s="1"/>
      <c r="CU7" s="1"/>
      <c r="CV7" s="1"/>
      <c r="CW7" s="1"/>
      <c r="CX7" s="1"/>
      <c r="CY7" s="1"/>
      <c r="CZ7" s="1"/>
      <c r="DA7" s="1"/>
      <c r="DB7" s="1"/>
      <c r="DC7" s="1"/>
      <c r="DD7" s="1"/>
      <c r="DE7" s="1"/>
      <c r="DF7" s="1"/>
      <c r="DG7" s="1"/>
      <c r="DH7" s="1"/>
      <c r="DI7" s="1"/>
      <c r="DJ7" s="1"/>
      <c r="DK7" s="1"/>
      <c r="DL7" s="1"/>
      <c r="DM7" s="1"/>
      <c r="DN7" s="1"/>
      <c r="DO7" s="1"/>
      <c r="DP7" s="1"/>
      <c r="DQ7" s="1"/>
      <c r="DR7" s="1"/>
      <c r="DS7" s="1"/>
    </row>
    <row r="8" spans="1:123" ht="64.5" hidden="1" customHeight="1" x14ac:dyDescent="0.2">
      <c r="A8" s="19"/>
      <c r="B8" s="20" t="str">
        <f ca="1">IFERROR(__xludf.DUMMYFUNCTION("""COMPUTED_VALUE"""),"г.о. Егорьевск ")</f>
        <v xml:space="preserve">г.о. Егорьевск </v>
      </c>
      <c r="C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 s="20" t="str">
        <f ca="1">IFERROR(__xludf.DUMMYFUNCTION("""COMPUTED_VALUE"""),"МинЖКХ")</f>
        <v>МинЖКХ</v>
      </c>
      <c r="E8" s="20" t="str">
        <f ca="1">IFERROR(__xludf.DUMMYFUNCTION("""COMPUTED_VALUE"""),"Реконструкция ВЗУ в пгт.Новый, г.о. Егорьевск")</f>
        <v>Реконструкция ВЗУ в пгт.Новый, г.о. Егорьевск</v>
      </c>
      <c r="F8" s="22" t="str">
        <f ca="1">IFERROR(__xludf.DUMMYFUNCTION("""COMPUTED_VALUE"""),"ВЗУ")</f>
        <v>ВЗУ</v>
      </c>
      <c r="G8" s="20">
        <f ca="1">IFERROR(__xludf.DUMMYFUNCTION("""COMPUTED_VALUE"""),2023)</f>
        <v>2023</v>
      </c>
      <c r="H8" s="20" t="str">
        <f ca="1">IFERROR(__xludf.DUMMYFUNCTION("""COMPUTED_VALUE"""),"СМР")</f>
        <v>СМР</v>
      </c>
      <c r="I8" s="23">
        <f ca="1">IFERROR(__xludf.DUMMYFUNCTION("""COMPUTED_VALUE"""),0)</f>
        <v>0</v>
      </c>
      <c r="J8" s="20" t="str">
        <f ca="1">IFERROR(__xludf.DUMMYFUNCTION("""COMPUTED_VALUE"""),"Закупка на ПИР находится на рабочей группе. Публикация закупки планируется в ноябре 2020 года.")</f>
        <v>Закупка на ПИР находится на рабочей группе. Публикация закупки планируется в ноябре 2020 года.</v>
      </c>
      <c r="K8" s="20"/>
      <c r="L8" s="20"/>
      <c r="M8" s="20"/>
      <c r="N8" s="24">
        <f ca="1">IFERROR(__xludf.DUMMYFUNCTION("""COMPUTED_VALUE"""),0)</f>
        <v>0</v>
      </c>
      <c r="O8" s="20"/>
      <c r="P8" s="20"/>
      <c r="Q8" s="20"/>
      <c r="R8" s="20"/>
      <c r="S8" s="20"/>
      <c r="T8" s="20"/>
      <c r="U8" s="24">
        <f ca="1">IFERROR(__xludf.DUMMYFUNCTION("""COMPUTED_VALUE"""),0)</f>
        <v>0</v>
      </c>
      <c r="V8" s="24">
        <f ca="1">IFERROR(__xludf.DUMMYFUNCTION("""COMPUTED_VALUE"""),0)</f>
        <v>0</v>
      </c>
      <c r="W8" s="24">
        <f ca="1">IFERROR(__xludf.DUMMYFUNCTION("""COMPUTED_VALUE"""),0)</f>
        <v>0</v>
      </c>
      <c r="X8" s="24">
        <f ca="1">IFERROR(__xludf.DUMMYFUNCTION("""COMPUTED_VALUE"""),0)</f>
        <v>0</v>
      </c>
      <c r="Y8" s="24">
        <f ca="1">IFERROR(__xludf.DUMMYFUNCTION("""COMPUTED_VALUE"""),0)</f>
        <v>0</v>
      </c>
      <c r="Z8" s="24">
        <f ca="1">IFERROR(__xludf.DUMMYFUNCTION("""COMPUTED_VALUE"""),0)</f>
        <v>0</v>
      </c>
      <c r="AA8" s="20" t="str">
        <f ca="1">IFERROR(__xludf.DUMMYFUNCTION("""COMPUTED_VALUE"""),"10 1 G552430
")</f>
        <v xml:space="preserve">10 1 G552430
</v>
      </c>
      <c r="AB8" s="20">
        <f ca="1">IFERROR(__xludf.DUMMYFUNCTION("""COMPUTED_VALUE"""),522)</f>
        <v>522</v>
      </c>
      <c r="AC8" s="20"/>
      <c r="AD8" s="20"/>
      <c r="AE8" s="20"/>
      <c r="AF8" s="24">
        <f ca="1">IFERROR(__xludf.DUMMYFUNCTION("""COMPUTED_VALUE"""),20000)</f>
        <v>20000</v>
      </c>
      <c r="AG8" s="24">
        <f ca="1">IFERROR(__xludf.DUMMYFUNCTION("""COMPUTED_VALUE"""),13755)</f>
        <v>13755</v>
      </c>
      <c r="AH8" s="24">
        <f ca="1">IFERROR(__xludf.DUMMYFUNCTION("""COMPUTED_VALUE"""),4585)</f>
        <v>4585</v>
      </c>
      <c r="AI8" s="24">
        <f ca="1">IFERROR(__xludf.DUMMYFUNCTION("""COMPUTED_VALUE"""),0)</f>
        <v>0</v>
      </c>
      <c r="AJ8" s="24">
        <f ca="1">IFERROR(__xludf.DUMMYFUNCTION("""COMPUTED_VALUE"""),1660)</f>
        <v>1660</v>
      </c>
      <c r="AK8" s="24">
        <f ca="1">IFERROR(__xludf.DUMMYFUNCTION("""COMPUTED_VALUE"""),0)</f>
        <v>0</v>
      </c>
      <c r="AL8" s="24">
        <f ca="1">IFERROR(__xludf.DUMMYFUNCTION("""COMPUTED_VALUE"""),0)</f>
        <v>0</v>
      </c>
      <c r="AM8" s="20"/>
      <c r="AN8" s="20"/>
      <c r="AO8" s="20"/>
      <c r="AP8" s="20"/>
      <c r="AQ8" s="20"/>
      <c r="AR8" s="24">
        <f ca="1">IFERROR(__xludf.DUMMYFUNCTION("""COMPUTED_VALUE"""),0)</f>
        <v>0</v>
      </c>
      <c r="AS8" s="20"/>
      <c r="AT8" s="20"/>
      <c r="AU8" s="20"/>
      <c r="AV8" s="20"/>
      <c r="AW8" s="20"/>
      <c r="AX8" s="24">
        <f ca="1">IFERROR(__xludf.DUMMYFUNCTION("""COMPUTED_VALUE"""),0)</f>
        <v>0</v>
      </c>
      <c r="AY8" s="24">
        <f ca="1">IFERROR(__xludf.DUMMYFUNCTION("""COMPUTED_VALUE"""),0)</f>
        <v>0</v>
      </c>
      <c r="AZ8" s="24">
        <f ca="1">IFERROR(__xludf.DUMMYFUNCTION("""COMPUTED_VALUE"""),0)</f>
        <v>0</v>
      </c>
      <c r="BA8" s="20"/>
      <c r="BB8" s="24">
        <f ca="1">IFERROR(__xludf.DUMMYFUNCTION("""COMPUTED_VALUE"""),0)</f>
        <v>0</v>
      </c>
      <c r="BC8" s="20"/>
      <c r="BD8" s="24">
        <f ca="1">IFERROR(__xludf.DUMMYFUNCTION("""COMPUTED_VALUE"""),0)</f>
        <v>0</v>
      </c>
      <c r="BE8" s="24">
        <f ca="1">IFERROR(__xludf.DUMMYFUNCTION("""COMPUTED_VALUE"""),0)</f>
        <v>0</v>
      </c>
      <c r="BF8" s="24">
        <f ca="1">IFERROR(__xludf.DUMMYFUNCTION("""COMPUTED_VALUE"""),0)</f>
        <v>0</v>
      </c>
      <c r="BG8" s="20"/>
      <c r="BH8" s="24">
        <f ca="1">IFERROR(__xludf.DUMMYFUNCTION("""COMPUTED_VALUE"""),0)</f>
        <v>0</v>
      </c>
      <c r="BI8" s="20"/>
      <c r="BJ8" s="24">
        <f ca="1">IFERROR(__xludf.DUMMYFUNCTION("""COMPUTED_VALUE"""),0)</f>
        <v>0</v>
      </c>
      <c r="BK8" s="24">
        <f ca="1">IFERROR(__xludf.DUMMYFUNCTION("""COMPUTED_VALUE"""),0)</f>
        <v>0</v>
      </c>
      <c r="BL8" s="24">
        <f ca="1">IFERROR(__xludf.DUMMYFUNCTION("""COMPUTED_VALUE"""),0)</f>
        <v>0</v>
      </c>
      <c r="BM8" s="20"/>
      <c r="BN8" s="24">
        <f ca="1">IFERROR(__xludf.DUMMYFUNCTION("""COMPUTED_VALUE"""),0)</f>
        <v>0</v>
      </c>
      <c r="BO8" s="20"/>
      <c r="BP8" s="24">
        <f ca="1">IFERROR(__xludf.DUMMYFUNCTION("""COMPUTED_VALUE"""),20000)</f>
        <v>20000</v>
      </c>
      <c r="BQ8" s="24">
        <f ca="1">IFERROR(__xludf.DUMMYFUNCTION("""COMPUTED_VALUE"""),13755)</f>
        <v>13755</v>
      </c>
      <c r="BR8" s="24">
        <f ca="1">IFERROR(__xludf.DUMMYFUNCTION("""COMPUTED_VALUE"""),4585)</f>
        <v>4585</v>
      </c>
      <c r="BS8" s="20"/>
      <c r="BT8" s="24">
        <f ca="1">IFERROR(__xludf.DUMMYFUNCTION("""COMPUTED_VALUE"""),1660)</f>
        <v>1660</v>
      </c>
      <c r="BU8" s="20"/>
      <c r="BV8" s="24">
        <f ca="1">IFERROR(__xludf.DUMMYFUNCTION("""COMPUTED_VALUE"""),0)</f>
        <v>0</v>
      </c>
      <c r="BW8" s="24">
        <f ca="1">IFERROR(__xludf.DUMMYFUNCTION("""COMPUTED_VALUE"""),0)</f>
        <v>0</v>
      </c>
      <c r="BX8" s="24">
        <f ca="1">IFERROR(__xludf.DUMMYFUNCTION("""COMPUTED_VALUE"""),0)</f>
        <v>0</v>
      </c>
      <c r="BY8" s="20"/>
      <c r="BZ8" s="24">
        <f ca="1">IFERROR(__xludf.DUMMYFUNCTION("""COMPUTED_VALUE"""),0)</f>
        <v>0</v>
      </c>
      <c r="CA8" s="20"/>
      <c r="CB8" s="20"/>
      <c r="CC8" s="20"/>
      <c r="CD8" s="20"/>
      <c r="CE8" s="20"/>
      <c r="CF8" s="20"/>
      <c r="CG8" s="20"/>
      <c r="CH8" s="20"/>
      <c r="CI8" s="20"/>
      <c r="CJ8" s="20"/>
      <c r="CK8" s="20"/>
      <c r="CL8" s="20"/>
      <c r="CM8" s="20"/>
      <c r="CN8" s="20"/>
      <c r="CO8" s="20"/>
      <c r="CP8" s="20"/>
      <c r="CQ8" s="20"/>
      <c r="CR8" s="20"/>
      <c r="CS8" s="20"/>
      <c r="CT8" s="1"/>
      <c r="CU8" s="1"/>
      <c r="CV8" s="1"/>
      <c r="CW8" s="1"/>
      <c r="CX8" s="1"/>
      <c r="CY8" s="1"/>
      <c r="CZ8" s="1"/>
      <c r="DA8" s="1"/>
      <c r="DB8" s="1"/>
      <c r="DC8" s="1"/>
      <c r="DD8" s="1"/>
      <c r="DE8" s="1"/>
      <c r="DF8" s="1"/>
      <c r="DG8" s="1"/>
      <c r="DH8" s="1"/>
      <c r="DI8" s="1"/>
      <c r="DJ8" s="1"/>
      <c r="DK8" s="1"/>
      <c r="DL8" s="1"/>
      <c r="DM8" s="1"/>
      <c r="DN8" s="1"/>
      <c r="DO8" s="1"/>
      <c r="DP8" s="1"/>
      <c r="DQ8" s="1"/>
      <c r="DR8" s="1"/>
      <c r="DS8" s="1"/>
    </row>
    <row r="9" spans="1:123" ht="64.5" hidden="1" customHeight="1" x14ac:dyDescent="0.2">
      <c r="A9" s="19"/>
      <c r="B9" s="20" t="str">
        <f ca="1">IFERROR(__xludf.DUMMYFUNCTION("""COMPUTED_VALUE"""),"г.о. Люберцы")</f>
        <v>г.о. Люберцы</v>
      </c>
      <c r="C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9" s="20" t="str">
        <f ca="1">IFERROR(__xludf.DUMMYFUNCTION("""COMPUTED_VALUE"""),"МинЖКХ")</f>
        <v>МинЖКХ</v>
      </c>
      <c r="E9" s="20" t="str">
        <f ca="1">IFERROR(__xludf.DUMMYFUNCTION("""COMPUTED_VALUE"""),"Реконструкция ВЗУ Звездочка скважина №2 д Мотяково, д. б/н г.о. Люберцы")</f>
        <v>Реконструкция ВЗУ Звездочка скважина №2 д Мотяково, д. б/н г.о. Люберцы</v>
      </c>
      <c r="F9" s="22" t="str">
        <f ca="1">IFERROR(__xludf.DUMMYFUNCTION("""COMPUTED_VALUE"""),"ВЗУ")</f>
        <v>ВЗУ</v>
      </c>
      <c r="G9" s="20">
        <f ca="1">IFERROR(__xludf.DUMMYFUNCTION("""COMPUTED_VALUE"""),2021)</f>
        <v>2021</v>
      </c>
      <c r="H9" s="20" t="str">
        <f ca="1">IFERROR(__xludf.DUMMYFUNCTION("""COMPUTED_VALUE"""),"СМР")</f>
        <v>СМР</v>
      </c>
      <c r="I9" s="20"/>
      <c r="J9" s="20" t="str">
        <f ca="1">IFERROR(__xludf.DUMMYFUNCTION("""COMPUTED_VALUE"""),"Запланирован перенос на 2023 год. Работы по разработке ПСД не ведутся.")</f>
        <v>Запланирован перенос на 2023 год. Работы по разработке ПСД не ведутся.</v>
      </c>
      <c r="K9" s="20"/>
      <c r="L9" s="20"/>
      <c r="M9" s="20"/>
      <c r="N9" s="24">
        <f ca="1">IFERROR(__xludf.DUMMYFUNCTION("""COMPUTED_VALUE"""),0)</f>
        <v>0</v>
      </c>
      <c r="O9" s="20"/>
      <c r="P9" s="20"/>
      <c r="Q9" s="20"/>
      <c r="R9" s="20"/>
      <c r="S9" s="20"/>
      <c r="T9" s="20"/>
      <c r="U9" s="24">
        <f ca="1">IFERROR(__xludf.DUMMYFUNCTION("""COMPUTED_VALUE"""),0)</f>
        <v>0</v>
      </c>
      <c r="V9" s="24">
        <f ca="1">IFERROR(__xludf.DUMMYFUNCTION("""COMPUTED_VALUE"""),0)</f>
        <v>0</v>
      </c>
      <c r="W9" s="24">
        <f ca="1">IFERROR(__xludf.DUMMYFUNCTION("""COMPUTED_VALUE"""),0)</f>
        <v>0</v>
      </c>
      <c r="X9" s="24">
        <f ca="1">IFERROR(__xludf.DUMMYFUNCTION("""COMPUTED_VALUE"""),0)</f>
        <v>0</v>
      </c>
      <c r="Y9" s="24">
        <f ca="1">IFERROR(__xludf.DUMMYFUNCTION("""COMPUTED_VALUE"""),0)</f>
        <v>0</v>
      </c>
      <c r="Z9" s="24">
        <f ca="1">IFERROR(__xludf.DUMMYFUNCTION("""COMPUTED_VALUE"""),0)</f>
        <v>0</v>
      </c>
      <c r="AA9" s="20" t="str">
        <f ca="1">IFERROR(__xludf.DUMMYFUNCTION("""COMPUTED_VALUE"""),"10 1 G552430
")</f>
        <v xml:space="preserve">10 1 G552430
</v>
      </c>
      <c r="AB9" s="20">
        <f ca="1">IFERROR(__xludf.DUMMYFUNCTION("""COMPUTED_VALUE"""),522)</f>
        <v>522</v>
      </c>
      <c r="AC9" s="20"/>
      <c r="AD9" s="20"/>
      <c r="AE9" s="20"/>
      <c r="AF9" s="24">
        <f ca="1">IFERROR(__xludf.DUMMYFUNCTION("""COMPUTED_VALUE"""),147401.5)</f>
        <v>147401.5</v>
      </c>
      <c r="AG9" s="24">
        <f ca="1">IFERROR(__xludf.DUMMYFUNCTION("""COMPUTED_VALUE"""),70973.82)</f>
        <v>70973.820000000007</v>
      </c>
      <c r="AH9" s="24">
        <f ca="1">IFERROR(__xludf.DUMMYFUNCTION("""COMPUTED_VALUE"""),23657.94)</f>
        <v>23657.94</v>
      </c>
      <c r="AI9" s="24">
        <f ca="1">IFERROR(__xludf.DUMMYFUNCTION("""COMPUTED_VALUE"""),0)</f>
        <v>0</v>
      </c>
      <c r="AJ9" s="24">
        <f ca="1">IFERROR(__xludf.DUMMYFUNCTION("""COMPUTED_VALUE"""),52769.74)</f>
        <v>52769.74</v>
      </c>
      <c r="AK9" s="24">
        <f ca="1">IFERROR(__xludf.DUMMYFUNCTION("""COMPUTED_VALUE"""),0)</f>
        <v>0</v>
      </c>
      <c r="AL9" s="24">
        <f ca="1">IFERROR(__xludf.DUMMYFUNCTION("""COMPUTED_VALUE"""),0)</f>
        <v>0</v>
      </c>
      <c r="AM9" s="20"/>
      <c r="AN9" s="20"/>
      <c r="AO9" s="20"/>
      <c r="AP9" s="20"/>
      <c r="AQ9" s="20"/>
      <c r="AR9" s="24">
        <f ca="1">IFERROR(__xludf.DUMMYFUNCTION("""COMPUTED_VALUE"""),0)</f>
        <v>0</v>
      </c>
      <c r="AS9" s="20"/>
      <c r="AT9" s="20"/>
      <c r="AU9" s="20"/>
      <c r="AV9" s="20"/>
      <c r="AW9" s="20"/>
      <c r="AX9" s="24">
        <f ca="1">IFERROR(__xludf.DUMMYFUNCTION("""COMPUTED_VALUE"""),0)</f>
        <v>0</v>
      </c>
      <c r="AY9" s="24">
        <f ca="1">IFERROR(__xludf.DUMMYFUNCTION("""COMPUTED_VALUE"""),0)</f>
        <v>0</v>
      </c>
      <c r="AZ9" s="24">
        <f ca="1">IFERROR(__xludf.DUMMYFUNCTION("""COMPUTED_VALUE"""),0)</f>
        <v>0</v>
      </c>
      <c r="BA9" s="20"/>
      <c r="BB9" s="24">
        <f ca="1">IFERROR(__xludf.DUMMYFUNCTION("""COMPUTED_VALUE"""),0)</f>
        <v>0</v>
      </c>
      <c r="BC9" s="20"/>
      <c r="BD9" s="24">
        <f ca="1">IFERROR(__xludf.DUMMYFUNCTION("""COMPUTED_VALUE"""),147401.5)</f>
        <v>147401.5</v>
      </c>
      <c r="BE9" s="24">
        <f ca="1">IFERROR(__xludf.DUMMYFUNCTION("""COMPUTED_VALUE"""),70973.82)</f>
        <v>70973.820000000007</v>
      </c>
      <c r="BF9" s="24">
        <f ca="1">IFERROR(__xludf.DUMMYFUNCTION("""COMPUTED_VALUE"""),23657.94)</f>
        <v>23657.94</v>
      </c>
      <c r="BG9" s="20"/>
      <c r="BH9" s="24">
        <f ca="1">IFERROR(__xludf.DUMMYFUNCTION("""COMPUTED_VALUE"""),52769.74)</f>
        <v>52769.74</v>
      </c>
      <c r="BI9" s="20"/>
      <c r="BJ9" s="24">
        <f ca="1">IFERROR(__xludf.DUMMYFUNCTION("""COMPUTED_VALUE"""),0)</f>
        <v>0</v>
      </c>
      <c r="BK9" s="24">
        <f ca="1">IFERROR(__xludf.DUMMYFUNCTION("""COMPUTED_VALUE"""),0)</f>
        <v>0</v>
      </c>
      <c r="BL9" s="24">
        <f ca="1">IFERROR(__xludf.DUMMYFUNCTION("""COMPUTED_VALUE"""),0)</f>
        <v>0</v>
      </c>
      <c r="BM9" s="20"/>
      <c r="BN9" s="24">
        <f ca="1">IFERROR(__xludf.DUMMYFUNCTION("""COMPUTED_VALUE"""),0)</f>
        <v>0</v>
      </c>
      <c r="BO9" s="20"/>
      <c r="BP9" s="24">
        <f ca="1">IFERROR(__xludf.DUMMYFUNCTION("""COMPUTED_VALUE"""),0)</f>
        <v>0</v>
      </c>
      <c r="BQ9" s="24">
        <f ca="1">IFERROR(__xludf.DUMMYFUNCTION("""COMPUTED_VALUE"""),0)</f>
        <v>0</v>
      </c>
      <c r="BR9" s="24">
        <f ca="1">IFERROR(__xludf.DUMMYFUNCTION("""COMPUTED_VALUE"""),0)</f>
        <v>0</v>
      </c>
      <c r="BS9" s="20"/>
      <c r="BT9" s="24">
        <f ca="1">IFERROR(__xludf.DUMMYFUNCTION("""COMPUTED_VALUE"""),0)</f>
        <v>0</v>
      </c>
      <c r="BU9" s="20"/>
      <c r="BV9" s="24">
        <f ca="1">IFERROR(__xludf.DUMMYFUNCTION("""COMPUTED_VALUE"""),0)</f>
        <v>0</v>
      </c>
      <c r="BW9" s="24">
        <f ca="1">IFERROR(__xludf.DUMMYFUNCTION("""COMPUTED_VALUE"""),0)</f>
        <v>0</v>
      </c>
      <c r="BX9" s="24">
        <f ca="1">IFERROR(__xludf.DUMMYFUNCTION("""COMPUTED_VALUE"""),0)</f>
        <v>0</v>
      </c>
      <c r="BY9" s="20"/>
      <c r="BZ9" s="24">
        <f ca="1">IFERROR(__xludf.DUMMYFUNCTION("""COMPUTED_VALUE"""),0)</f>
        <v>0</v>
      </c>
      <c r="CA9" s="20"/>
      <c r="CB9" s="20"/>
      <c r="CC9" s="20"/>
      <c r="CD9" s="20"/>
      <c r="CE9" s="20"/>
      <c r="CF9" s="20"/>
      <c r="CG9" s="20"/>
      <c r="CH9" s="20"/>
      <c r="CI9" s="20"/>
      <c r="CJ9" s="20"/>
      <c r="CK9" s="20"/>
      <c r="CL9" s="20"/>
      <c r="CM9" s="20"/>
      <c r="CN9" s="20"/>
      <c r="CO9" s="20"/>
      <c r="CP9" s="20"/>
      <c r="CQ9" s="20"/>
      <c r="CR9" s="20"/>
      <c r="CS9" s="20"/>
      <c r="CT9" s="1"/>
      <c r="CU9" s="1"/>
      <c r="CV9" s="1"/>
      <c r="CW9" s="1"/>
      <c r="CX9" s="1"/>
      <c r="CY9" s="1"/>
      <c r="CZ9" s="1"/>
      <c r="DA9" s="1"/>
      <c r="DB9" s="1"/>
      <c r="DC9" s="1"/>
      <c r="DD9" s="1"/>
      <c r="DE9" s="1"/>
      <c r="DF9" s="1"/>
      <c r="DG9" s="1"/>
      <c r="DH9" s="1"/>
      <c r="DI9" s="1"/>
      <c r="DJ9" s="1"/>
      <c r="DK9" s="1"/>
      <c r="DL9" s="1"/>
      <c r="DM9" s="1"/>
      <c r="DN9" s="1"/>
      <c r="DO9" s="1"/>
      <c r="DP9" s="1"/>
      <c r="DQ9" s="1"/>
      <c r="DR9" s="1"/>
      <c r="DS9" s="1"/>
    </row>
    <row r="10" spans="1:123" ht="64.5" hidden="1" customHeight="1" x14ac:dyDescent="0.2">
      <c r="A10" s="19"/>
      <c r="B10" s="20" t="str">
        <f ca="1">IFERROR(__xludf.DUMMYFUNCTION("""COMPUTED_VALUE"""),"г.о. Люберцы")</f>
        <v>г.о. Люберцы</v>
      </c>
      <c r="C1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0" s="20" t="str">
        <f ca="1">IFERROR(__xludf.DUMMYFUNCTION("""COMPUTED_VALUE"""),"МинЖКХ")</f>
        <v>МинЖКХ</v>
      </c>
      <c r="E10" s="20" t="str">
        <f ca="1">IFERROR(__xludf.DUMMYFUNCTION("""COMPUTED_VALUE"""),"Реконструкция ВЗУ №21 д.п. Красково г.о. Люберцы")</f>
        <v>Реконструкция ВЗУ №21 д.п. Красково г.о. Люберцы</v>
      </c>
      <c r="F10" s="22" t="str">
        <f ca="1">IFERROR(__xludf.DUMMYFUNCTION("""COMPUTED_VALUE"""),"ВЗУ")</f>
        <v>ВЗУ</v>
      </c>
      <c r="G10" s="20" t="str">
        <f ca="1">IFERROR(__xludf.DUMMYFUNCTION("""COMPUTED_VALUE"""),"2021-2023")</f>
        <v>2021-2023</v>
      </c>
      <c r="H10" s="20" t="str">
        <f ca="1">IFERROR(__xludf.DUMMYFUNCTION("""COMPUTED_VALUE"""),"СМР")</f>
        <v>СМР</v>
      </c>
      <c r="I10" s="20"/>
      <c r="J10" s="20" t="str">
        <f ca="1">IFERROR(__xludf.DUMMYFUNCTION("""COMPUTED_VALUE"""),"Планируется разработка проекта за счет средств местного бюджета. Закупка на данный момент не размещена в связи с отсутсвием определение источника финансирования.")</f>
        <v>Планируется разработка проекта за счет средств местного бюджета. Закупка на данный момент не размещена в связи с отсутсвием определение источника финансирования.</v>
      </c>
      <c r="K10" s="20"/>
      <c r="L10" s="20"/>
      <c r="M10" s="20"/>
      <c r="N10" s="24">
        <f ca="1">IFERROR(__xludf.DUMMYFUNCTION("""COMPUTED_VALUE"""),0)</f>
        <v>0</v>
      </c>
      <c r="O10" s="20"/>
      <c r="P10" s="20"/>
      <c r="Q10" s="20"/>
      <c r="R10" s="20"/>
      <c r="S10" s="20"/>
      <c r="T10" s="20"/>
      <c r="U10" s="24">
        <f ca="1">IFERROR(__xludf.DUMMYFUNCTION("""COMPUTED_VALUE"""),0)</f>
        <v>0</v>
      </c>
      <c r="V10" s="24">
        <f ca="1">IFERROR(__xludf.DUMMYFUNCTION("""COMPUTED_VALUE"""),0)</f>
        <v>0</v>
      </c>
      <c r="W10" s="24">
        <f ca="1">IFERROR(__xludf.DUMMYFUNCTION("""COMPUTED_VALUE"""),0)</f>
        <v>0</v>
      </c>
      <c r="X10" s="24">
        <f ca="1">IFERROR(__xludf.DUMMYFUNCTION("""COMPUTED_VALUE"""),0)</f>
        <v>0</v>
      </c>
      <c r="Y10" s="24">
        <f ca="1">IFERROR(__xludf.DUMMYFUNCTION("""COMPUTED_VALUE"""),0)</f>
        <v>0</v>
      </c>
      <c r="Z10" s="24">
        <f ca="1">IFERROR(__xludf.DUMMYFUNCTION("""COMPUTED_VALUE"""),0)</f>
        <v>0</v>
      </c>
      <c r="AA10" s="20" t="str">
        <f ca="1">IFERROR(__xludf.DUMMYFUNCTION("""COMPUTED_VALUE"""),"10 1 G552430
")</f>
        <v xml:space="preserve">10 1 G552430
</v>
      </c>
      <c r="AB10" s="20">
        <f ca="1">IFERROR(__xludf.DUMMYFUNCTION("""COMPUTED_VALUE"""),522)</f>
        <v>522</v>
      </c>
      <c r="AC10" s="20"/>
      <c r="AD10" s="20"/>
      <c r="AE10" s="20"/>
      <c r="AF10" s="24">
        <f ca="1">IFERROR(__xludf.DUMMYFUNCTION("""COMPUTED_VALUE"""),89892.67)</f>
        <v>89892.67</v>
      </c>
      <c r="AG10" s="24">
        <f ca="1">IFERROR(__xludf.DUMMYFUNCTION("""COMPUTED_VALUE"""),43283.2999999999)</f>
        <v>43283.299999999901</v>
      </c>
      <c r="AH10" s="24">
        <f ca="1">IFERROR(__xludf.DUMMYFUNCTION("""COMPUTED_VALUE"""),14427.81)</f>
        <v>14427.81</v>
      </c>
      <c r="AI10" s="24">
        <f ca="1">IFERROR(__xludf.DUMMYFUNCTION("""COMPUTED_VALUE"""),0)</f>
        <v>0</v>
      </c>
      <c r="AJ10" s="24">
        <f ca="1">IFERROR(__xludf.DUMMYFUNCTION("""COMPUTED_VALUE"""),32181.56)</f>
        <v>32181.56</v>
      </c>
      <c r="AK10" s="24">
        <f ca="1">IFERROR(__xludf.DUMMYFUNCTION("""COMPUTED_VALUE"""),0)</f>
        <v>0</v>
      </c>
      <c r="AL10" s="24">
        <f ca="1">IFERROR(__xludf.DUMMYFUNCTION("""COMPUTED_VALUE"""),0)</f>
        <v>0</v>
      </c>
      <c r="AM10" s="20"/>
      <c r="AN10" s="20"/>
      <c r="AO10" s="20"/>
      <c r="AP10" s="20"/>
      <c r="AQ10" s="20"/>
      <c r="AR10" s="24">
        <f ca="1">IFERROR(__xludf.DUMMYFUNCTION("""COMPUTED_VALUE"""),0)</f>
        <v>0</v>
      </c>
      <c r="AS10" s="20"/>
      <c r="AT10" s="20"/>
      <c r="AU10" s="20"/>
      <c r="AV10" s="20"/>
      <c r="AW10" s="20"/>
      <c r="AX10" s="24">
        <f ca="1">IFERROR(__xludf.DUMMYFUNCTION("""COMPUTED_VALUE"""),0)</f>
        <v>0</v>
      </c>
      <c r="AY10" s="24">
        <f ca="1">IFERROR(__xludf.DUMMYFUNCTION("""COMPUTED_VALUE"""),0)</f>
        <v>0</v>
      </c>
      <c r="AZ10" s="24">
        <f ca="1">IFERROR(__xludf.DUMMYFUNCTION("""COMPUTED_VALUE"""),0)</f>
        <v>0</v>
      </c>
      <c r="BA10" s="20"/>
      <c r="BB10" s="24">
        <f ca="1">IFERROR(__xludf.DUMMYFUNCTION("""COMPUTED_VALUE"""),0)</f>
        <v>0</v>
      </c>
      <c r="BC10" s="20"/>
      <c r="BD10" s="24">
        <f ca="1">IFERROR(__xludf.DUMMYFUNCTION("""COMPUTED_VALUE"""),39709.72)</f>
        <v>39709.72</v>
      </c>
      <c r="BE10" s="24">
        <f ca="1">IFERROR(__xludf.DUMMYFUNCTION("""COMPUTED_VALUE"""),19120.21)</f>
        <v>19120.21</v>
      </c>
      <c r="BF10" s="24">
        <f ca="1">IFERROR(__xludf.DUMMYFUNCTION("""COMPUTED_VALUE"""),6373.44)</f>
        <v>6373.44</v>
      </c>
      <c r="BG10" s="20"/>
      <c r="BH10" s="24">
        <f ca="1">IFERROR(__xludf.DUMMYFUNCTION("""COMPUTED_VALUE"""),14216.07)</f>
        <v>14216.07</v>
      </c>
      <c r="BI10" s="20"/>
      <c r="BJ10" s="24">
        <f ca="1">IFERROR(__xludf.DUMMYFUNCTION("""COMPUTED_VALUE"""),32265.67)</f>
        <v>32265.67</v>
      </c>
      <c r="BK10" s="24">
        <f ca="1">IFERROR(__xludf.DUMMYFUNCTION("""COMPUTED_VALUE"""),15535.92)</f>
        <v>15535.92</v>
      </c>
      <c r="BL10" s="24">
        <f ca="1">IFERROR(__xludf.DUMMYFUNCTION("""COMPUTED_VALUE"""),5178.64)</f>
        <v>5178.6400000000003</v>
      </c>
      <c r="BM10" s="20"/>
      <c r="BN10" s="24">
        <f ca="1">IFERROR(__xludf.DUMMYFUNCTION("""COMPUTED_VALUE"""),11551.11)</f>
        <v>11551.11</v>
      </c>
      <c r="BO10" s="20"/>
      <c r="BP10" s="24">
        <f ca="1">IFERROR(__xludf.DUMMYFUNCTION("""COMPUTED_VALUE"""),17917.28)</f>
        <v>17917.28</v>
      </c>
      <c r="BQ10" s="24">
        <f ca="1">IFERROR(__xludf.DUMMYFUNCTION("""COMPUTED_VALUE"""),8627.17)</f>
        <v>8627.17</v>
      </c>
      <c r="BR10" s="24">
        <f ca="1">IFERROR(__xludf.DUMMYFUNCTION("""COMPUTED_VALUE"""),2875.73)</f>
        <v>2875.73</v>
      </c>
      <c r="BS10" s="20"/>
      <c r="BT10" s="24">
        <f ca="1">IFERROR(__xludf.DUMMYFUNCTION("""COMPUTED_VALUE"""),6414.38)</f>
        <v>6414.38</v>
      </c>
      <c r="BU10" s="20"/>
      <c r="BV10" s="24">
        <f ca="1">IFERROR(__xludf.DUMMYFUNCTION("""COMPUTED_VALUE"""),0)</f>
        <v>0</v>
      </c>
      <c r="BW10" s="24">
        <f ca="1">IFERROR(__xludf.DUMMYFUNCTION("""COMPUTED_VALUE"""),0)</f>
        <v>0</v>
      </c>
      <c r="BX10" s="24">
        <f ca="1">IFERROR(__xludf.DUMMYFUNCTION("""COMPUTED_VALUE"""),0)</f>
        <v>0</v>
      </c>
      <c r="BY10" s="20"/>
      <c r="BZ10" s="24">
        <f ca="1">IFERROR(__xludf.DUMMYFUNCTION("""COMPUTED_VALUE"""),0)</f>
        <v>0</v>
      </c>
      <c r="CA10" s="20"/>
      <c r="CB10" s="20"/>
      <c r="CC10" s="20"/>
      <c r="CD10" s="20"/>
      <c r="CE10" s="20"/>
      <c r="CF10" s="20"/>
      <c r="CG10" s="20"/>
      <c r="CH10" s="20"/>
      <c r="CI10" s="20"/>
      <c r="CJ10" s="20"/>
      <c r="CK10" s="20"/>
      <c r="CL10" s="20"/>
      <c r="CM10" s="20"/>
      <c r="CN10" s="20"/>
      <c r="CO10" s="20"/>
      <c r="CP10" s="20"/>
      <c r="CQ10" s="20"/>
      <c r="CR10" s="20"/>
      <c r="CS10" s="20"/>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row>
    <row r="11" spans="1:123" ht="64.5" hidden="1" customHeight="1" x14ac:dyDescent="0.2">
      <c r="A11" s="19"/>
      <c r="B11" s="20" t="str">
        <f ca="1">IFERROR(__xludf.DUMMYFUNCTION("""COMPUTED_VALUE"""),"г.о. Люберцы")</f>
        <v>г.о. Люберцы</v>
      </c>
      <c r="C1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1" s="20" t="str">
        <f ca="1">IFERROR(__xludf.DUMMYFUNCTION("""COMPUTED_VALUE"""),"МинЖКХ")</f>
        <v>МинЖКХ</v>
      </c>
      <c r="E11" s="20" t="str">
        <f ca="1">IFERROR(__xludf.DUMMYFUNCTION("""COMPUTED_VALUE"""),"Реконструкция ВЗУ №11 г.п.Малаховка г.о. Люберцы")</f>
        <v>Реконструкция ВЗУ №11 г.п.Малаховка г.о. Люберцы</v>
      </c>
      <c r="F11" s="22" t="str">
        <f ca="1">IFERROR(__xludf.DUMMYFUNCTION("""COMPUTED_VALUE"""),"ВЗУ")</f>
        <v>ВЗУ</v>
      </c>
      <c r="G11" s="20" t="str">
        <f ca="1">IFERROR(__xludf.DUMMYFUNCTION("""COMPUTED_VALUE"""),"Н/Л")</f>
        <v>Н/Л</v>
      </c>
      <c r="H11" s="20"/>
      <c r="I11" s="20"/>
      <c r="J11" s="20"/>
      <c r="K11" s="20"/>
      <c r="L11" s="20"/>
      <c r="M11" s="20"/>
      <c r="N11" s="24">
        <f ca="1">IFERROR(__xludf.DUMMYFUNCTION("""COMPUTED_VALUE"""),0)</f>
        <v>0</v>
      </c>
      <c r="O11" s="20"/>
      <c r="P11" s="20"/>
      <c r="Q11" s="20"/>
      <c r="R11" s="20"/>
      <c r="S11" s="20"/>
      <c r="T11" s="20"/>
      <c r="U11" s="24">
        <f ca="1">IFERROR(__xludf.DUMMYFUNCTION("""COMPUTED_VALUE"""),0)</f>
        <v>0</v>
      </c>
      <c r="V11" s="24">
        <f ca="1">IFERROR(__xludf.DUMMYFUNCTION("""COMPUTED_VALUE"""),0)</f>
        <v>0</v>
      </c>
      <c r="W11" s="24">
        <f ca="1">IFERROR(__xludf.DUMMYFUNCTION("""COMPUTED_VALUE"""),0)</f>
        <v>0</v>
      </c>
      <c r="X11" s="24">
        <f ca="1">IFERROR(__xludf.DUMMYFUNCTION("""COMPUTED_VALUE"""),0)</f>
        <v>0</v>
      </c>
      <c r="Y11" s="24">
        <f ca="1">IFERROR(__xludf.DUMMYFUNCTION("""COMPUTED_VALUE"""),0)</f>
        <v>0</v>
      </c>
      <c r="Z11" s="24">
        <f ca="1">IFERROR(__xludf.DUMMYFUNCTION("""COMPUTED_VALUE"""),0)</f>
        <v>0</v>
      </c>
      <c r="AA11" s="20" t="str">
        <f ca="1">IFERROR(__xludf.DUMMYFUNCTION("""COMPUTED_VALUE"""),"10 1 G552430
")</f>
        <v xml:space="preserve">10 1 G552430
</v>
      </c>
      <c r="AB11" s="20">
        <f ca="1">IFERROR(__xludf.DUMMYFUNCTION("""COMPUTED_VALUE"""),522)</f>
        <v>522</v>
      </c>
      <c r="AC11" s="20"/>
      <c r="AD11" s="20"/>
      <c r="AE11" s="20"/>
      <c r="AF11" s="24">
        <f ca="1">IFERROR(__xludf.DUMMYFUNCTION("""COMPUTED_VALUE"""),0)</f>
        <v>0</v>
      </c>
      <c r="AG11" s="24">
        <f ca="1">IFERROR(__xludf.DUMMYFUNCTION("""COMPUTED_VALUE"""),0)</f>
        <v>0</v>
      </c>
      <c r="AH11" s="24">
        <f ca="1">IFERROR(__xludf.DUMMYFUNCTION("""COMPUTED_VALUE"""),0)</f>
        <v>0</v>
      </c>
      <c r="AI11" s="24">
        <f ca="1">IFERROR(__xludf.DUMMYFUNCTION("""COMPUTED_VALUE"""),0)</f>
        <v>0</v>
      </c>
      <c r="AJ11" s="24">
        <f ca="1">IFERROR(__xludf.DUMMYFUNCTION("""COMPUTED_VALUE"""),0)</f>
        <v>0</v>
      </c>
      <c r="AK11" s="24">
        <f ca="1">IFERROR(__xludf.DUMMYFUNCTION("""COMPUTED_VALUE"""),0)</f>
        <v>0</v>
      </c>
      <c r="AL11" s="24">
        <f ca="1">IFERROR(__xludf.DUMMYFUNCTION("""COMPUTED_VALUE"""),0)</f>
        <v>0</v>
      </c>
      <c r="AM11" s="20"/>
      <c r="AN11" s="20"/>
      <c r="AO11" s="20"/>
      <c r="AP11" s="20"/>
      <c r="AQ11" s="20"/>
      <c r="AR11" s="24">
        <f ca="1">IFERROR(__xludf.DUMMYFUNCTION("""COMPUTED_VALUE"""),0)</f>
        <v>0</v>
      </c>
      <c r="AS11" s="20"/>
      <c r="AT11" s="20"/>
      <c r="AU11" s="20"/>
      <c r="AV11" s="20"/>
      <c r="AW11" s="20"/>
      <c r="AX11" s="24">
        <f ca="1">IFERROR(__xludf.DUMMYFUNCTION("""COMPUTED_VALUE"""),0)</f>
        <v>0</v>
      </c>
      <c r="AY11" s="24">
        <f ca="1">IFERROR(__xludf.DUMMYFUNCTION("""COMPUTED_VALUE"""),0)</f>
        <v>0</v>
      </c>
      <c r="AZ11" s="24">
        <f ca="1">IFERROR(__xludf.DUMMYFUNCTION("""COMPUTED_VALUE"""),0)</f>
        <v>0</v>
      </c>
      <c r="BA11" s="20"/>
      <c r="BB11" s="24">
        <f ca="1">IFERROR(__xludf.DUMMYFUNCTION("""COMPUTED_VALUE"""),0)</f>
        <v>0</v>
      </c>
      <c r="BC11" s="20"/>
      <c r="BD11" s="24">
        <f ca="1">IFERROR(__xludf.DUMMYFUNCTION("""COMPUTED_VALUE"""),0)</f>
        <v>0</v>
      </c>
      <c r="BE11" s="24">
        <f ca="1">IFERROR(__xludf.DUMMYFUNCTION("""COMPUTED_VALUE"""),0)</f>
        <v>0</v>
      </c>
      <c r="BF11" s="24">
        <f ca="1">IFERROR(__xludf.DUMMYFUNCTION("""COMPUTED_VALUE"""),0)</f>
        <v>0</v>
      </c>
      <c r="BG11" s="20"/>
      <c r="BH11" s="24">
        <f ca="1">IFERROR(__xludf.DUMMYFUNCTION("""COMPUTED_VALUE"""),0)</f>
        <v>0</v>
      </c>
      <c r="BI11" s="20"/>
      <c r="BJ11" s="24">
        <f ca="1">IFERROR(__xludf.DUMMYFUNCTION("""COMPUTED_VALUE"""),0)</f>
        <v>0</v>
      </c>
      <c r="BK11" s="24">
        <f ca="1">IFERROR(__xludf.DUMMYFUNCTION("""COMPUTED_VALUE"""),0)</f>
        <v>0</v>
      </c>
      <c r="BL11" s="24">
        <f ca="1">IFERROR(__xludf.DUMMYFUNCTION("""COMPUTED_VALUE"""),0)</f>
        <v>0</v>
      </c>
      <c r="BM11" s="20"/>
      <c r="BN11" s="24">
        <f ca="1">IFERROR(__xludf.DUMMYFUNCTION("""COMPUTED_VALUE"""),0)</f>
        <v>0</v>
      </c>
      <c r="BO11" s="20"/>
      <c r="BP11" s="24">
        <f ca="1">IFERROR(__xludf.DUMMYFUNCTION("""COMPUTED_VALUE"""),0)</f>
        <v>0</v>
      </c>
      <c r="BQ11" s="24">
        <f ca="1">IFERROR(__xludf.DUMMYFUNCTION("""COMPUTED_VALUE"""),0)</f>
        <v>0</v>
      </c>
      <c r="BR11" s="24">
        <f ca="1">IFERROR(__xludf.DUMMYFUNCTION("""COMPUTED_VALUE"""),0)</f>
        <v>0</v>
      </c>
      <c r="BS11" s="20"/>
      <c r="BT11" s="24">
        <f ca="1">IFERROR(__xludf.DUMMYFUNCTION("""COMPUTED_VALUE"""),0)</f>
        <v>0</v>
      </c>
      <c r="BU11" s="20"/>
      <c r="BV11" s="24">
        <f ca="1">IFERROR(__xludf.DUMMYFUNCTION("""COMPUTED_VALUE"""),0)</f>
        <v>0</v>
      </c>
      <c r="BW11" s="24">
        <f ca="1">IFERROR(__xludf.DUMMYFUNCTION("""COMPUTED_VALUE"""),0)</f>
        <v>0</v>
      </c>
      <c r="BX11" s="24">
        <f ca="1">IFERROR(__xludf.DUMMYFUNCTION("""COMPUTED_VALUE"""),0)</f>
        <v>0</v>
      </c>
      <c r="BY11" s="20"/>
      <c r="BZ11" s="24">
        <f ca="1">IFERROR(__xludf.DUMMYFUNCTION("""COMPUTED_VALUE"""),0)</f>
        <v>0</v>
      </c>
      <c r="CA11" s="20"/>
      <c r="CB11" s="20"/>
      <c r="CC11" s="20"/>
      <c r="CD11" s="20"/>
      <c r="CE11" s="20"/>
      <c r="CF11" s="20"/>
      <c r="CG11" s="20"/>
      <c r="CH11" s="20"/>
      <c r="CI11" s="20"/>
      <c r="CJ11" s="20"/>
      <c r="CK11" s="20"/>
      <c r="CL11" s="20"/>
      <c r="CM11" s="20"/>
      <c r="CN11" s="20"/>
      <c r="CO11" s="20"/>
      <c r="CP11" s="20"/>
      <c r="CQ11" s="20"/>
      <c r="CR11" s="20"/>
      <c r="CS11" s="20"/>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row>
    <row r="12" spans="1:123" ht="64.5" hidden="1" customHeight="1" x14ac:dyDescent="0.2">
      <c r="A12" s="19"/>
      <c r="B12" s="20" t="str">
        <f ca="1">IFERROR(__xludf.DUMMYFUNCTION("""COMPUTED_VALUE"""),"г.о. Люберцы")</f>
        <v>г.о. Люберцы</v>
      </c>
      <c r="C1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2" s="20" t="str">
        <f ca="1">IFERROR(__xludf.DUMMYFUNCTION("""COMPUTED_VALUE"""),"МинЖКХ")</f>
        <v>МинЖКХ</v>
      </c>
      <c r="E12" s="20" t="str">
        <f ca="1">IFERROR(__xludf.DUMMYFUNCTION("""COMPUTED_VALUE"""),"Реконструкция ВЗУ №5  г.о. Люберцы")</f>
        <v>Реконструкция ВЗУ №5  г.о. Люберцы</v>
      </c>
      <c r="F12" s="22" t="str">
        <f ca="1">IFERROR(__xludf.DUMMYFUNCTION("""COMPUTED_VALUE"""),"ВЗУ")</f>
        <v>ВЗУ</v>
      </c>
      <c r="G12" s="20" t="str">
        <f ca="1">IFERROR(__xludf.DUMMYFUNCTION("""COMPUTED_VALUE"""),"Н/Л")</f>
        <v>Н/Л</v>
      </c>
      <c r="H12" s="20"/>
      <c r="I12" s="20"/>
      <c r="J12" s="20"/>
      <c r="K12" s="20"/>
      <c r="L12" s="20"/>
      <c r="M12" s="20"/>
      <c r="N12" s="24">
        <f ca="1">IFERROR(__xludf.DUMMYFUNCTION("""COMPUTED_VALUE"""),0)</f>
        <v>0</v>
      </c>
      <c r="O12" s="20"/>
      <c r="P12" s="20"/>
      <c r="Q12" s="20"/>
      <c r="R12" s="20"/>
      <c r="S12" s="20"/>
      <c r="T12" s="20"/>
      <c r="U12" s="24">
        <f ca="1">IFERROR(__xludf.DUMMYFUNCTION("""COMPUTED_VALUE"""),0)</f>
        <v>0</v>
      </c>
      <c r="V12" s="24">
        <f ca="1">IFERROR(__xludf.DUMMYFUNCTION("""COMPUTED_VALUE"""),0)</f>
        <v>0</v>
      </c>
      <c r="W12" s="24">
        <f ca="1">IFERROR(__xludf.DUMMYFUNCTION("""COMPUTED_VALUE"""),0)</f>
        <v>0</v>
      </c>
      <c r="X12" s="24">
        <f ca="1">IFERROR(__xludf.DUMMYFUNCTION("""COMPUTED_VALUE"""),0)</f>
        <v>0</v>
      </c>
      <c r="Y12" s="24">
        <f ca="1">IFERROR(__xludf.DUMMYFUNCTION("""COMPUTED_VALUE"""),0)</f>
        <v>0</v>
      </c>
      <c r="Z12" s="24">
        <f ca="1">IFERROR(__xludf.DUMMYFUNCTION("""COMPUTED_VALUE"""),0)</f>
        <v>0</v>
      </c>
      <c r="AA12" s="20" t="str">
        <f ca="1">IFERROR(__xludf.DUMMYFUNCTION("""COMPUTED_VALUE"""),"10 1 G552430
")</f>
        <v xml:space="preserve">10 1 G552430
</v>
      </c>
      <c r="AB12" s="20">
        <f ca="1">IFERROR(__xludf.DUMMYFUNCTION("""COMPUTED_VALUE"""),522)</f>
        <v>522</v>
      </c>
      <c r="AC12" s="20"/>
      <c r="AD12" s="20"/>
      <c r="AE12" s="20"/>
      <c r="AF12" s="24">
        <f ca="1">IFERROR(__xludf.DUMMYFUNCTION("""COMPUTED_VALUE"""),0)</f>
        <v>0</v>
      </c>
      <c r="AG12" s="24">
        <f ca="1">IFERROR(__xludf.DUMMYFUNCTION("""COMPUTED_VALUE"""),0)</f>
        <v>0</v>
      </c>
      <c r="AH12" s="24">
        <f ca="1">IFERROR(__xludf.DUMMYFUNCTION("""COMPUTED_VALUE"""),0)</f>
        <v>0</v>
      </c>
      <c r="AI12" s="24">
        <f ca="1">IFERROR(__xludf.DUMMYFUNCTION("""COMPUTED_VALUE"""),0)</f>
        <v>0</v>
      </c>
      <c r="AJ12" s="24">
        <f ca="1">IFERROR(__xludf.DUMMYFUNCTION("""COMPUTED_VALUE"""),0)</f>
        <v>0</v>
      </c>
      <c r="AK12" s="24">
        <f ca="1">IFERROR(__xludf.DUMMYFUNCTION("""COMPUTED_VALUE"""),0)</f>
        <v>0</v>
      </c>
      <c r="AL12" s="24">
        <f ca="1">IFERROR(__xludf.DUMMYFUNCTION("""COMPUTED_VALUE"""),0)</f>
        <v>0</v>
      </c>
      <c r="AM12" s="20"/>
      <c r="AN12" s="20"/>
      <c r="AO12" s="20"/>
      <c r="AP12" s="20"/>
      <c r="AQ12" s="20"/>
      <c r="AR12" s="24">
        <f ca="1">IFERROR(__xludf.DUMMYFUNCTION("""COMPUTED_VALUE"""),0)</f>
        <v>0</v>
      </c>
      <c r="AS12" s="20"/>
      <c r="AT12" s="20"/>
      <c r="AU12" s="20"/>
      <c r="AV12" s="20"/>
      <c r="AW12" s="20"/>
      <c r="AX12" s="24">
        <f ca="1">IFERROR(__xludf.DUMMYFUNCTION("""COMPUTED_VALUE"""),0)</f>
        <v>0</v>
      </c>
      <c r="AY12" s="24">
        <f ca="1">IFERROR(__xludf.DUMMYFUNCTION("""COMPUTED_VALUE"""),0)</f>
        <v>0</v>
      </c>
      <c r="AZ12" s="24">
        <f ca="1">IFERROR(__xludf.DUMMYFUNCTION("""COMPUTED_VALUE"""),0)</f>
        <v>0</v>
      </c>
      <c r="BA12" s="20"/>
      <c r="BB12" s="24">
        <f ca="1">IFERROR(__xludf.DUMMYFUNCTION("""COMPUTED_VALUE"""),0)</f>
        <v>0</v>
      </c>
      <c r="BC12" s="20"/>
      <c r="BD12" s="24">
        <f ca="1">IFERROR(__xludf.DUMMYFUNCTION("""COMPUTED_VALUE"""),0)</f>
        <v>0</v>
      </c>
      <c r="BE12" s="24">
        <f ca="1">IFERROR(__xludf.DUMMYFUNCTION("""COMPUTED_VALUE"""),0)</f>
        <v>0</v>
      </c>
      <c r="BF12" s="24">
        <f ca="1">IFERROR(__xludf.DUMMYFUNCTION("""COMPUTED_VALUE"""),0)</f>
        <v>0</v>
      </c>
      <c r="BG12" s="20"/>
      <c r="BH12" s="24">
        <f ca="1">IFERROR(__xludf.DUMMYFUNCTION("""COMPUTED_VALUE"""),0)</f>
        <v>0</v>
      </c>
      <c r="BI12" s="20"/>
      <c r="BJ12" s="24">
        <f ca="1">IFERROR(__xludf.DUMMYFUNCTION("""COMPUTED_VALUE"""),0)</f>
        <v>0</v>
      </c>
      <c r="BK12" s="24">
        <f ca="1">IFERROR(__xludf.DUMMYFUNCTION("""COMPUTED_VALUE"""),0)</f>
        <v>0</v>
      </c>
      <c r="BL12" s="24">
        <f ca="1">IFERROR(__xludf.DUMMYFUNCTION("""COMPUTED_VALUE"""),0)</f>
        <v>0</v>
      </c>
      <c r="BM12" s="20"/>
      <c r="BN12" s="24">
        <f ca="1">IFERROR(__xludf.DUMMYFUNCTION("""COMPUTED_VALUE"""),0)</f>
        <v>0</v>
      </c>
      <c r="BO12" s="20"/>
      <c r="BP12" s="24">
        <f ca="1">IFERROR(__xludf.DUMMYFUNCTION("""COMPUTED_VALUE"""),0)</f>
        <v>0</v>
      </c>
      <c r="BQ12" s="24">
        <f ca="1">IFERROR(__xludf.DUMMYFUNCTION("""COMPUTED_VALUE"""),0)</f>
        <v>0</v>
      </c>
      <c r="BR12" s="24">
        <f ca="1">IFERROR(__xludf.DUMMYFUNCTION("""COMPUTED_VALUE"""),0)</f>
        <v>0</v>
      </c>
      <c r="BS12" s="20"/>
      <c r="BT12" s="24">
        <f ca="1">IFERROR(__xludf.DUMMYFUNCTION("""COMPUTED_VALUE"""),0)</f>
        <v>0</v>
      </c>
      <c r="BU12" s="20"/>
      <c r="BV12" s="24">
        <f ca="1">IFERROR(__xludf.DUMMYFUNCTION("""COMPUTED_VALUE"""),0)</f>
        <v>0</v>
      </c>
      <c r="BW12" s="24">
        <f ca="1">IFERROR(__xludf.DUMMYFUNCTION("""COMPUTED_VALUE"""),0)</f>
        <v>0</v>
      </c>
      <c r="BX12" s="24">
        <f ca="1">IFERROR(__xludf.DUMMYFUNCTION("""COMPUTED_VALUE"""),0)</f>
        <v>0</v>
      </c>
      <c r="BY12" s="20"/>
      <c r="BZ12" s="24">
        <f ca="1">IFERROR(__xludf.DUMMYFUNCTION("""COMPUTED_VALUE"""),0)</f>
        <v>0</v>
      </c>
      <c r="CA12" s="20"/>
      <c r="CB12" s="20"/>
      <c r="CC12" s="20"/>
      <c r="CD12" s="20"/>
      <c r="CE12" s="20"/>
      <c r="CF12" s="20"/>
      <c r="CG12" s="20"/>
      <c r="CH12" s="20"/>
      <c r="CI12" s="20"/>
      <c r="CJ12" s="20"/>
      <c r="CK12" s="20"/>
      <c r="CL12" s="20"/>
      <c r="CM12" s="20"/>
      <c r="CN12" s="20"/>
      <c r="CO12" s="20"/>
      <c r="CP12" s="20"/>
      <c r="CQ12" s="20"/>
      <c r="CR12" s="20"/>
      <c r="CS12" s="20"/>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row>
    <row r="13" spans="1:123" ht="64.5" hidden="1" customHeight="1" x14ac:dyDescent="0.2">
      <c r="A13" s="19"/>
      <c r="B13" s="20" t="str">
        <f ca="1">IFERROR(__xludf.DUMMYFUNCTION("""COMPUTED_VALUE"""),"г.о. Люберцы")</f>
        <v>г.о. Люберцы</v>
      </c>
      <c r="C1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3" s="20" t="str">
        <f ca="1">IFERROR(__xludf.DUMMYFUNCTION("""COMPUTED_VALUE"""),"МинЖКХ")</f>
        <v>МинЖКХ</v>
      </c>
      <c r="E13" s="20" t="str">
        <f ca="1">IFERROR(__xludf.DUMMYFUNCTION("""COMPUTED_VALUE"""),"Реконструкция ВЗУ№20-Томилино  г.о. Люберцы")</f>
        <v>Реконструкция ВЗУ№20-Томилино  г.о. Люберцы</v>
      </c>
      <c r="F13" s="22" t="str">
        <f ca="1">IFERROR(__xludf.DUMMYFUNCTION("""COMPUTED_VALUE"""),"ВЗУ")</f>
        <v>ВЗУ</v>
      </c>
      <c r="G13" s="20">
        <f ca="1">IFERROR(__xludf.DUMMYFUNCTION("""COMPUTED_VALUE"""),2022)</f>
        <v>2022</v>
      </c>
      <c r="H13" s="20" t="str">
        <f ca="1">IFERROR(__xludf.DUMMYFUNCTION("""COMPUTED_VALUE"""),"СМР")</f>
        <v>СМР</v>
      </c>
      <c r="I13" s="20"/>
      <c r="J13" s="20"/>
      <c r="K13" s="20"/>
      <c r="L13" s="20"/>
      <c r="M13" s="20"/>
      <c r="N13" s="24">
        <f ca="1">IFERROR(__xludf.DUMMYFUNCTION("""COMPUTED_VALUE"""),0)</f>
        <v>0</v>
      </c>
      <c r="O13" s="20"/>
      <c r="P13" s="20"/>
      <c r="Q13" s="20"/>
      <c r="R13" s="20"/>
      <c r="S13" s="20"/>
      <c r="T13" s="20"/>
      <c r="U13" s="24">
        <f ca="1">IFERROR(__xludf.DUMMYFUNCTION("""COMPUTED_VALUE"""),0)</f>
        <v>0</v>
      </c>
      <c r="V13" s="24">
        <f ca="1">IFERROR(__xludf.DUMMYFUNCTION("""COMPUTED_VALUE"""),0)</f>
        <v>0</v>
      </c>
      <c r="W13" s="24">
        <f ca="1">IFERROR(__xludf.DUMMYFUNCTION("""COMPUTED_VALUE"""),0)</f>
        <v>0</v>
      </c>
      <c r="X13" s="24">
        <f ca="1">IFERROR(__xludf.DUMMYFUNCTION("""COMPUTED_VALUE"""),0)</f>
        <v>0</v>
      </c>
      <c r="Y13" s="24">
        <f ca="1">IFERROR(__xludf.DUMMYFUNCTION("""COMPUTED_VALUE"""),0)</f>
        <v>0</v>
      </c>
      <c r="Z13" s="24">
        <f ca="1">IFERROR(__xludf.DUMMYFUNCTION("""COMPUTED_VALUE"""),0)</f>
        <v>0</v>
      </c>
      <c r="AA13" s="20" t="str">
        <f ca="1">IFERROR(__xludf.DUMMYFUNCTION("""COMPUTED_VALUE"""),"10 1 G552430
")</f>
        <v xml:space="preserve">10 1 G552430
</v>
      </c>
      <c r="AB13" s="20">
        <f ca="1">IFERROR(__xludf.DUMMYFUNCTION("""COMPUTED_VALUE"""),522)</f>
        <v>522</v>
      </c>
      <c r="AC13" s="20"/>
      <c r="AD13" s="20"/>
      <c r="AE13" s="20"/>
      <c r="AF13" s="24">
        <f ca="1">IFERROR(__xludf.DUMMYFUNCTION("""COMPUTED_VALUE"""),32900)</f>
        <v>32900</v>
      </c>
      <c r="AG13" s="24">
        <f ca="1">IFERROR(__xludf.DUMMYFUNCTION("""COMPUTED_VALUE"""),15841.35)</f>
        <v>15841.35</v>
      </c>
      <c r="AH13" s="24">
        <f ca="1">IFERROR(__xludf.DUMMYFUNCTION("""COMPUTED_VALUE"""),5280.45)</f>
        <v>5280.45</v>
      </c>
      <c r="AI13" s="24">
        <f ca="1">IFERROR(__xludf.DUMMYFUNCTION("""COMPUTED_VALUE"""),0)</f>
        <v>0</v>
      </c>
      <c r="AJ13" s="24">
        <f ca="1">IFERROR(__xludf.DUMMYFUNCTION("""COMPUTED_VALUE"""),11778.2)</f>
        <v>11778.2</v>
      </c>
      <c r="AK13" s="24">
        <f ca="1">IFERROR(__xludf.DUMMYFUNCTION("""COMPUTED_VALUE"""),0)</f>
        <v>0</v>
      </c>
      <c r="AL13" s="24">
        <f ca="1">IFERROR(__xludf.DUMMYFUNCTION("""COMPUTED_VALUE"""),0)</f>
        <v>0</v>
      </c>
      <c r="AM13" s="20"/>
      <c r="AN13" s="20"/>
      <c r="AO13" s="20"/>
      <c r="AP13" s="20"/>
      <c r="AQ13" s="20"/>
      <c r="AR13" s="24">
        <f ca="1">IFERROR(__xludf.DUMMYFUNCTION("""COMPUTED_VALUE"""),0)</f>
        <v>0</v>
      </c>
      <c r="AS13" s="20"/>
      <c r="AT13" s="20"/>
      <c r="AU13" s="20"/>
      <c r="AV13" s="20"/>
      <c r="AW13" s="20"/>
      <c r="AX13" s="24">
        <f ca="1">IFERROR(__xludf.DUMMYFUNCTION("""COMPUTED_VALUE"""),0)</f>
        <v>0</v>
      </c>
      <c r="AY13" s="24">
        <f ca="1">IFERROR(__xludf.DUMMYFUNCTION("""COMPUTED_VALUE"""),0)</f>
        <v>0</v>
      </c>
      <c r="AZ13" s="24">
        <f ca="1">IFERROR(__xludf.DUMMYFUNCTION("""COMPUTED_VALUE"""),0)</f>
        <v>0</v>
      </c>
      <c r="BA13" s="20"/>
      <c r="BB13" s="24">
        <f ca="1">IFERROR(__xludf.DUMMYFUNCTION("""COMPUTED_VALUE"""),0)</f>
        <v>0</v>
      </c>
      <c r="BC13" s="20"/>
      <c r="BD13" s="24">
        <f ca="1">IFERROR(__xludf.DUMMYFUNCTION("""COMPUTED_VALUE"""),0)</f>
        <v>0</v>
      </c>
      <c r="BE13" s="24">
        <f ca="1">IFERROR(__xludf.DUMMYFUNCTION("""COMPUTED_VALUE"""),0)</f>
        <v>0</v>
      </c>
      <c r="BF13" s="24">
        <f ca="1">IFERROR(__xludf.DUMMYFUNCTION("""COMPUTED_VALUE"""),0)</f>
        <v>0</v>
      </c>
      <c r="BG13" s="20"/>
      <c r="BH13" s="24">
        <f ca="1">IFERROR(__xludf.DUMMYFUNCTION("""COMPUTED_VALUE"""),0)</f>
        <v>0</v>
      </c>
      <c r="BI13" s="20"/>
      <c r="BJ13" s="24">
        <f ca="1">IFERROR(__xludf.DUMMYFUNCTION("""COMPUTED_VALUE"""),32900)</f>
        <v>32900</v>
      </c>
      <c r="BK13" s="24">
        <f ca="1">IFERROR(__xludf.DUMMYFUNCTION("""COMPUTED_VALUE"""),15841.35)</f>
        <v>15841.35</v>
      </c>
      <c r="BL13" s="24">
        <f ca="1">IFERROR(__xludf.DUMMYFUNCTION("""COMPUTED_VALUE"""),5280.45)</f>
        <v>5280.45</v>
      </c>
      <c r="BM13" s="20"/>
      <c r="BN13" s="24">
        <f ca="1">IFERROR(__xludf.DUMMYFUNCTION("""COMPUTED_VALUE"""),11778.2)</f>
        <v>11778.2</v>
      </c>
      <c r="BO13" s="20"/>
      <c r="BP13" s="24">
        <f ca="1">IFERROR(__xludf.DUMMYFUNCTION("""COMPUTED_VALUE"""),0)</f>
        <v>0</v>
      </c>
      <c r="BQ13" s="24">
        <f ca="1">IFERROR(__xludf.DUMMYFUNCTION("""COMPUTED_VALUE"""),0)</f>
        <v>0</v>
      </c>
      <c r="BR13" s="24">
        <f ca="1">IFERROR(__xludf.DUMMYFUNCTION("""COMPUTED_VALUE"""),0)</f>
        <v>0</v>
      </c>
      <c r="BS13" s="20"/>
      <c r="BT13" s="24">
        <f ca="1">IFERROR(__xludf.DUMMYFUNCTION("""COMPUTED_VALUE"""),0)</f>
        <v>0</v>
      </c>
      <c r="BU13" s="20"/>
      <c r="BV13" s="24">
        <f ca="1">IFERROR(__xludf.DUMMYFUNCTION("""COMPUTED_VALUE"""),0)</f>
        <v>0</v>
      </c>
      <c r="BW13" s="24">
        <f ca="1">IFERROR(__xludf.DUMMYFUNCTION("""COMPUTED_VALUE"""),0)</f>
        <v>0</v>
      </c>
      <c r="BX13" s="24">
        <f ca="1">IFERROR(__xludf.DUMMYFUNCTION("""COMPUTED_VALUE"""),0)</f>
        <v>0</v>
      </c>
      <c r="BY13" s="20"/>
      <c r="BZ13" s="24">
        <f ca="1">IFERROR(__xludf.DUMMYFUNCTION("""COMPUTED_VALUE"""),0)</f>
        <v>0</v>
      </c>
      <c r="CA13" s="20"/>
      <c r="CB13" s="20"/>
      <c r="CC13" s="20"/>
      <c r="CD13" s="20"/>
      <c r="CE13" s="20"/>
      <c r="CF13" s="20"/>
      <c r="CG13" s="20"/>
      <c r="CH13" s="20"/>
      <c r="CI13" s="20"/>
      <c r="CJ13" s="20"/>
      <c r="CK13" s="20"/>
      <c r="CL13" s="20"/>
      <c r="CM13" s="20"/>
      <c r="CN13" s="20"/>
      <c r="CO13" s="20"/>
      <c r="CP13" s="20"/>
      <c r="CQ13" s="20"/>
      <c r="CR13" s="20"/>
      <c r="CS13" s="20"/>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row>
    <row r="14" spans="1:123" ht="64.5" hidden="1" customHeight="1" x14ac:dyDescent="0.2">
      <c r="A14" s="19"/>
      <c r="B14" s="20" t="str">
        <f ca="1">IFERROR(__xludf.DUMMYFUNCTION("""COMPUTED_VALUE"""),"г.о. Люберцы")</f>
        <v>г.о. Люберцы</v>
      </c>
      <c r="C1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4" s="20" t="str">
        <f ca="1">IFERROR(__xludf.DUMMYFUNCTION("""COMPUTED_VALUE"""),"МинЖКХ")</f>
        <v>МинЖКХ</v>
      </c>
      <c r="E14" s="20" t="str">
        <f ca="1">IFERROR(__xludf.DUMMYFUNCTION("""COMPUTED_VALUE"""),"Реконструкция ВЗУ-Птицефабрика  г.о. Люберцы")</f>
        <v>Реконструкция ВЗУ-Птицефабрика  г.о. Люберцы</v>
      </c>
      <c r="F14" s="22" t="str">
        <f ca="1">IFERROR(__xludf.DUMMYFUNCTION("""COMPUTED_VALUE"""),"ВЗУ")</f>
        <v>ВЗУ</v>
      </c>
      <c r="G14" s="28">
        <f ca="1">IFERROR(__xludf.DUMMYFUNCTION("""COMPUTED_VALUE"""),2022)</f>
        <v>2022</v>
      </c>
      <c r="H14" s="20" t="str">
        <f ca="1">IFERROR(__xludf.DUMMYFUNCTION("""COMPUTED_VALUE"""),"СМР")</f>
        <v>СМР</v>
      </c>
      <c r="I14" s="20"/>
      <c r="J14" s="20"/>
      <c r="K14" s="20"/>
      <c r="L14" s="20"/>
      <c r="M14" s="20"/>
      <c r="N14" s="24">
        <f ca="1">IFERROR(__xludf.DUMMYFUNCTION("""COMPUTED_VALUE"""),0)</f>
        <v>0</v>
      </c>
      <c r="O14" s="20"/>
      <c r="P14" s="20"/>
      <c r="Q14" s="20"/>
      <c r="R14" s="20"/>
      <c r="S14" s="20"/>
      <c r="T14" s="20"/>
      <c r="U14" s="24">
        <f ca="1">IFERROR(__xludf.DUMMYFUNCTION("""COMPUTED_VALUE"""),0)</f>
        <v>0</v>
      </c>
      <c r="V14" s="24">
        <f ca="1">IFERROR(__xludf.DUMMYFUNCTION("""COMPUTED_VALUE"""),0)</f>
        <v>0</v>
      </c>
      <c r="W14" s="24">
        <f ca="1">IFERROR(__xludf.DUMMYFUNCTION("""COMPUTED_VALUE"""),0)</f>
        <v>0</v>
      </c>
      <c r="X14" s="24">
        <f ca="1">IFERROR(__xludf.DUMMYFUNCTION("""COMPUTED_VALUE"""),0)</f>
        <v>0</v>
      </c>
      <c r="Y14" s="24">
        <f ca="1">IFERROR(__xludf.DUMMYFUNCTION("""COMPUTED_VALUE"""),0)</f>
        <v>0</v>
      </c>
      <c r="Z14" s="24">
        <f ca="1">IFERROR(__xludf.DUMMYFUNCTION("""COMPUTED_VALUE"""),0)</f>
        <v>0</v>
      </c>
      <c r="AA14" s="20" t="str">
        <f ca="1">IFERROR(__xludf.DUMMYFUNCTION("""COMPUTED_VALUE"""),"10 1 G552430
")</f>
        <v xml:space="preserve">10 1 G552430
</v>
      </c>
      <c r="AB14" s="20">
        <f ca="1">IFERROR(__xludf.DUMMYFUNCTION("""COMPUTED_VALUE"""),522)</f>
        <v>522</v>
      </c>
      <c r="AC14" s="20"/>
      <c r="AD14" s="20"/>
      <c r="AE14" s="20"/>
      <c r="AF14" s="24">
        <f ca="1">IFERROR(__xludf.DUMMYFUNCTION("""COMPUTED_VALUE"""),52700)</f>
        <v>52700</v>
      </c>
      <c r="AG14" s="24">
        <f ca="1">IFERROR(__xludf.DUMMYFUNCTION("""COMPUTED_VALUE"""),25375.05)</f>
        <v>25375.05</v>
      </c>
      <c r="AH14" s="24">
        <f ca="1">IFERROR(__xludf.DUMMYFUNCTION("""COMPUTED_VALUE"""),8458.35)</f>
        <v>8458.35</v>
      </c>
      <c r="AI14" s="24">
        <f ca="1">IFERROR(__xludf.DUMMYFUNCTION("""COMPUTED_VALUE"""),0)</f>
        <v>0</v>
      </c>
      <c r="AJ14" s="24">
        <f ca="1">IFERROR(__xludf.DUMMYFUNCTION("""COMPUTED_VALUE"""),18866.6)</f>
        <v>18866.599999999999</v>
      </c>
      <c r="AK14" s="24">
        <f ca="1">IFERROR(__xludf.DUMMYFUNCTION("""COMPUTED_VALUE"""),0)</f>
        <v>0</v>
      </c>
      <c r="AL14" s="24">
        <f ca="1">IFERROR(__xludf.DUMMYFUNCTION("""COMPUTED_VALUE"""),0)</f>
        <v>0</v>
      </c>
      <c r="AM14" s="20"/>
      <c r="AN14" s="20"/>
      <c r="AO14" s="20"/>
      <c r="AP14" s="20"/>
      <c r="AQ14" s="20"/>
      <c r="AR14" s="24">
        <f ca="1">IFERROR(__xludf.DUMMYFUNCTION("""COMPUTED_VALUE"""),0)</f>
        <v>0</v>
      </c>
      <c r="AS14" s="20"/>
      <c r="AT14" s="20"/>
      <c r="AU14" s="20"/>
      <c r="AV14" s="20"/>
      <c r="AW14" s="20"/>
      <c r="AX14" s="24">
        <f ca="1">IFERROR(__xludf.DUMMYFUNCTION("""COMPUTED_VALUE"""),0)</f>
        <v>0</v>
      </c>
      <c r="AY14" s="24">
        <f ca="1">IFERROR(__xludf.DUMMYFUNCTION("""COMPUTED_VALUE"""),0)</f>
        <v>0</v>
      </c>
      <c r="AZ14" s="24">
        <f ca="1">IFERROR(__xludf.DUMMYFUNCTION("""COMPUTED_VALUE"""),0)</f>
        <v>0</v>
      </c>
      <c r="BA14" s="20"/>
      <c r="BB14" s="24">
        <f ca="1">IFERROR(__xludf.DUMMYFUNCTION("""COMPUTED_VALUE"""),0)</f>
        <v>0</v>
      </c>
      <c r="BC14" s="20"/>
      <c r="BD14" s="24">
        <f ca="1">IFERROR(__xludf.DUMMYFUNCTION("""COMPUTED_VALUE"""),0)</f>
        <v>0</v>
      </c>
      <c r="BE14" s="24">
        <f ca="1">IFERROR(__xludf.DUMMYFUNCTION("""COMPUTED_VALUE"""),0)</f>
        <v>0</v>
      </c>
      <c r="BF14" s="24">
        <f ca="1">IFERROR(__xludf.DUMMYFUNCTION("""COMPUTED_VALUE"""),0)</f>
        <v>0</v>
      </c>
      <c r="BG14" s="20"/>
      <c r="BH14" s="24">
        <f ca="1">IFERROR(__xludf.DUMMYFUNCTION("""COMPUTED_VALUE"""),0)</f>
        <v>0</v>
      </c>
      <c r="BI14" s="20"/>
      <c r="BJ14" s="24">
        <f ca="1">IFERROR(__xludf.DUMMYFUNCTION("""COMPUTED_VALUE"""),52700)</f>
        <v>52700</v>
      </c>
      <c r="BK14" s="24">
        <f ca="1">IFERROR(__xludf.DUMMYFUNCTION("""COMPUTED_VALUE"""),25375.05)</f>
        <v>25375.05</v>
      </c>
      <c r="BL14" s="24">
        <f ca="1">IFERROR(__xludf.DUMMYFUNCTION("""COMPUTED_VALUE"""),8458.35)</f>
        <v>8458.35</v>
      </c>
      <c r="BM14" s="20"/>
      <c r="BN14" s="24">
        <f ca="1">IFERROR(__xludf.DUMMYFUNCTION("""COMPUTED_VALUE"""),18866.6)</f>
        <v>18866.599999999999</v>
      </c>
      <c r="BO14" s="20"/>
      <c r="BP14" s="24">
        <f ca="1">IFERROR(__xludf.DUMMYFUNCTION("""COMPUTED_VALUE"""),0)</f>
        <v>0</v>
      </c>
      <c r="BQ14" s="24">
        <f ca="1">IFERROR(__xludf.DUMMYFUNCTION("""COMPUTED_VALUE"""),0)</f>
        <v>0</v>
      </c>
      <c r="BR14" s="24">
        <f ca="1">IFERROR(__xludf.DUMMYFUNCTION("""COMPUTED_VALUE"""),0)</f>
        <v>0</v>
      </c>
      <c r="BS14" s="20"/>
      <c r="BT14" s="24">
        <f ca="1">IFERROR(__xludf.DUMMYFUNCTION("""COMPUTED_VALUE"""),0)</f>
        <v>0</v>
      </c>
      <c r="BU14" s="20"/>
      <c r="BV14" s="24">
        <f ca="1">IFERROR(__xludf.DUMMYFUNCTION("""COMPUTED_VALUE"""),0)</f>
        <v>0</v>
      </c>
      <c r="BW14" s="24">
        <f ca="1">IFERROR(__xludf.DUMMYFUNCTION("""COMPUTED_VALUE"""),0)</f>
        <v>0</v>
      </c>
      <c r="BX14" s="24">
        <f ca="1">IFERROR(__xludf.DUMMYFUNCTION("""COMPUTED_VALUE"""),0)</f>
        <v>0</v>
      </c>
      <c r="BY14" s="20"/>
      <c r="BZ14" s="24">
        <f ca="1">IFERROR(__xludf.DUMMYFUNCTION("""COMPUTED_VALUE"""),0)</f>
        <v>0</v>
      </c>
      <c r="CA14" s="20"/>
      <c r="CB14" s="20"/>
      <c r="CC14" s="20"/>
      <c r="CD14" s="20"/>
      <c r="CE14" s="20"/>
      <c r="CF14" s="20"/>
      <c r="CG14" s="20"/>
      <c r="CH14" s="20"/>
      <c r="CI14" s="20"/>
      <c r="CJ14" s="20"/>
      <c r="CK14" s="20"/>
      <c r="CL14" s="20"/>
      <c r="CM14" s="20"/>
      <c r="CN14" s="20"/>
      <c r="CO14" s="20"/>
      <c r="CP14" s="20"/>
      <c r="CQ14" s="20"/>
      <c r="CR14" s="20"/>
      <c r="CS14" s="20"/>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row>
    <row r="15" spans="1:123" ht="64.5" customHeight="1" x14ac:dyDescent="0.2">
      <c r="A15" s="19"/>
      <c r="B15" s="20" t="str">
        <f ca="1">IFERROR(__xludf.DUMMYFUNCTION("""COMPUTED_VALUE"""),"г.о. Люберцы")</f>
        <v>г.о. Люберцы</v>
      </c>
      <c r="C1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5" s="20" t="str">
        <f ca="1">IFERROR(__xludf.DUMMYFUNCTION("""COMPUTED_VALUE"""),"МинЖКХ")</f>
        <v>МинЖКХ</v>
      </c>
      <c r="E15" s="28" t="str">
        <f ca="1">IFERROR(__xludf.DUMMYFUNCTION("""COMPUTED_VALUE"""),"Строительство ПВНС г. Люберцы по адресу: г. Люберцы, ул. Московская у дома № 1 (в том числе техническое присоединение)")</f>
        <v>Строительство ПВНС г. Люберцы по адресу: г. Люберцы, ул. Московская у дома № 1 (в том числе техническое присоединение)</v>
      </c>
      <c r="F15" s="22" t="str">
        <f ca="1">IFERROR(__xludf.DUMMYFUNCTION("""COMPUTED_VALUE"""),"ПВНС")</f>
        <v>ПВНС</v>
      </c>
      <c r="G15" s="20" t="str">
        <f ca="1">IFERROR(__xludf.DUMMYFUNCTION("""COMPUTED_VALUE"""),"2020-2021")</f>
        <v>2020-2021</v>
      </c>
      <c r="H15" s="20" t="str">
        <f ca="1">IFERROR(__xludf.DUMMYFUNCTION("""COMPUTED_VALUE"""),"СМР")</f>
        <v>СМР</v>
      </c>
      <c r="I15" s="23">
        <f ca="1">IFERROR(__xludf.DUMMYFUNCTION("""COMPUTED_VALUE"""),0.01)</f>
        <v>0.01</v>
      </c>
      <c r="J15" s="20" t="str">
        <f ca="1">IFERROR(__xludf.DUMMYFUNCTION("""COMPUTED_VALUE"""),"Заказчиком передана проектная и рабочая документация. Строительная площадка передана. Закуплено ограждение для строительного объекта и стенды. Планируется устройтсво бытовок до 16.11.2020.
Оплачен аванс в размере 30%. Ведутся работы по увеличению аванса "&amp;"до 50%. Заключен договор на установку камер видеонаблюдения установка до 23.11.2020. Ведется разработка ГПР.")</f>
        <v>Заказчиком передана проектная и рабочая документация. Строительная площадка передана. Закуплено ограждение для строительного объекта и стенды. Планируется устройтсво бытовок до 16.11.2020.
Оплачен аванс в размере 30%. Ведутся работы по увеличению аванса до 50%. Заключен договор на установку камер видеонаблюдения установка до 23.11.2020. Ведется разработка ГПР.</v>
      </c>
      <c r="K15" s="20">
        <f ca="1">IFERROR(__xludf.DUMMYFUNCTION("""COMPUTED_VALUE"""),0)</f>
        <v>0</v>
      </c>
      <c r="L15" s="20">
        <f ca="1">IFERROR(__xludf.DUMMYFUNCTION("""COMPUTED_VALUE"""),22000)</f>
        <v>22000</v>
      </c>
      <c r="M15" s="20"/>
      <c r="N15" s="24">
        <f ca="1">IFERROR(__xludf.DUMMYFUNCTION("""COMPUTED_VALUE"""),19570.48)</f>
        <v>19570.48</v>
      </c>
      <c r="O15" s="24">
        <f ca="1">IFERROR(__xludf.DUMMYFUNCTION("""COMPUTED_VALUE"""),14677.86)</f>
        <v>14677.86</v>
      </c>
      <c r="P15" s="24">
        <f ca="1">IFERROR(__xludf.DUMMYFUNCTION("""COMPUTED_VALUE"""),4892.62)</f>
        <v>4892.62</v>
      </c>
      <c r="Q15" s="20"/>
      <c r="R15" s="20"/>
      <c r="S15" s="20"/>
      <c r="T15" s="20" t="str">
        <f ca="1">IFERROR(__xludf.DUMMYFUNCTION("""COMPUTED_VALUE"""),"Отсутсвует ГПР. Прорабатывается вопрос увеличения аванса до 50% после предоставления увеличенной БГ подрядчиком
Получение РС до 30.11.2020")</f>
        <v>Отсутсвует ГПР. Прорабатывается вопрос увеличения аванса до 50% после предоставления увеличенной БГ подрядчиком
Получение РС до 30.11.2020</v>
      </c>
      <c r="U15" s="24">
        <f ca="1">IFERROR(__xludf.DUMMYFUNCTION("""COMPUTED_VALUE"""),29225.43)</f>
        <v>29225.43</v>
      </c>
      <c r="V15" s="24">
        <f ca="1">IFERROR(__xludf.DUMMYFUNCTION("""COMPUTED_VALUE"""),10903.34)</f>
        <v>10903.34</v>
      </c>
      <c r="W15" s="24">
        <f ca="1">IFERROR(__xludf.DUMMYFUNCTION("""COMPUTED_VALUE"""),3634.45)</f>
        <v>3634.45</v>
      </c>
      <c r="X15" s="24">
        <f ca="1">IFERROR(__xludf.DUMMYFUNCTION("""COMPUTED_VALUE"""),0)</f>
        <v>0</v>
      </c>
      <c r="Y15" s="24">
        <f ca="1">IFERROR(__xludf.DUMMYFUNCTION("""COMPUTED_VALUE"""),14687.64)</f>
        <v>14687.64</v>
      </c>
      <c r="Z15" s="24">
        <f ca="1">IFERROR(__xludf.DUMMYFUNCTION("""COMPUTED_VALUE"""),0)</f>
        <v>0</v>
      </c>
      <c r="AA15" s="20" t="str">
        <f ca="1">IFERROR(__xludf.DUMMYFUNCTION("""COMPUTED_VALUE"""),"10 1 G552430
")</f>
        <v xml:space="preserve">10 1 G552430
</v>
      </c>
      <c r="AB15" s="20">
        <f ca="1">IFERROR(__xludf.DUMMYFUNCTION("""COMPUTED_VALUE"""),522)</f>
        <v>522</v>
      </c>
      <c r="AC15" s="20" t="str">
        <f ca="1">IFERROR(__xludf.DUMMYFUNCTION("""COMPUTED_VALUE"""),"Нет")</f>
        <v>Нет</v>
      </c>
      <c r="AD15" s="25">
        <f ca="1">IFERROR(__xludf.DUMMYFUNCTION("""COMPUTED_VALUE"""),44165)</f>
        <v>44165</v>
      </c>
      <c r="AE15" s="20" t="str">
        <f ca="1">IFERROR(__xludf.DUMMYFUNCTION("""COMPUTED_VALUE"""),"Отсутствует")</f>
        <v>Отсутствует</v>
      </c>
      <c r="AF15" s="24">
        <f ca="1">IFERROR(__xludf.DUMMYFUNCTION("""COMPUTED_VALUE"""),94445.51)</f>
        <v>94445.51</v>
      </c>
      <c r="AG15" s="24">
        <f ca="1">IFERROR(__xludf.DUMMYFUNCTION("""COMPUTED_VALUE"""),47561.4)</f>
        <v>47561.4</v>
      </c>
      <c r="AH15" s="24">
        <f ca="1">IFERROR(__xludf.DUMMYFUNCTION("""COMPUTED_VALUE"""),15853.83)</f>
        <v>15853.83</v>
      </c>
      <c r="AI15" s="24">
        <f ca="1">IFERROR(__xludf.DUMMYFUNCTION("""COMPUTED_VALUE"""),0)</f>
        <v>0</v>
      </c>
      <c r="AJ15" s="24">
        <f ca="1">IFERROR(__xludf.DUMMYFUNCTION("""COMPUTED_VALUE"""),31030.28)</f>
        <v>31030.28</v>
      </c>
      <c r="AK15" s="24">
        <f ca="1">IFERROR(__xludf.DUMMYFUNCTION("""COMPUTED_VALUE"""),0)</f>
        <v>0</v>
      </c>
      <c r="AL15" s="24">
        <f ca="1">IFERROR(__xludf.DUMMYFUNCTION("""COMPUTED_VALUE"""),0)</f>
        <v>0</v>
      </c>
      <c r="AM15" s="20"/>
      <c r="AN15" s="20"/>
      <c r="AO15" s="20"/>
      <c r="AP15" s="20"/>
      <c r="AQ15" s="20"/>
      <c r="AR15" s="24">
        <f ca="1">IFERROR(__xludf.DUMMYFUNCTION("""COMPUTED_VALUE"""),0)</f>
        <v>0</v>
      </c>
      <c r="AS15" s="20"/>
      <c r="AT15" s="20"/>
      <c r="AU15" s="20"/>
      <c r="AV15" s="20"/>
      <c r="AW15" s="20"/>
      <c r="AX15" s="24">
        <f ca="1">IFERROR(__xludf.DUMMYFUNCTION("""COMPUTED_VALUE"""),48795.91)</f>
        <v>48795.91</v>
      </c>
      <c r="AY15" s="24">
        <f ca="1">IFERROR(__xludf.DUMMYFUNCTION("""COMPUTED_VALUE"""),25581.2)</f>
        <v>25581.200000000001</v>
      </c>
      <c r="AZ15" s="24">
        <f ca="1">IFERROR(__xludf.DUMMYFUNCTION("""COMPUTED_VALUE"""),8527.07)</f>
        <v>8527.07</v>
      </c>
      <c r="BA15" s="20"/>
      <c r="BB15" s="24">
        <f ca="1">IFERROR(__xludf.DUMMYFUNCTION("""COMPUTED_VALUE"""),14687.64)</f>
        <v>14687.64</v>
      </c>
      <c r="BC15" s="20"/>
      <c r="BD15" s="24">
        <f ca="1">IFERROR(__xludf.DUMMYFUNCTION("""COMPUTED_VALUE"""),45649.6)</f>
        <v>45649.599999999999</v>
      </c>
      <c r="BE15" s="24">
        <f ca="1">IFERROR(__xludf.DUMMYFUNCTION("""COMPUTED_VALUE"""),21980.2)</f>
        <v>21980.2</v>
      </c>
      <c r="BF15" s="24">
        <f ca="1">IFERROR(__xludf.DUMMYFUNCTION("""COMPUTED_VALUE"""),7326.76)</f>
        <v>7326.76</v>
      </c>
      <c r="BG15" s="20"/>
      <c r="BH15" s="24">
        <f ca="1">IFERROR(__xludf.DUMMYFUNCTION("""COMPUTED_VALUE"""),16342.64)</f>
        <v>16342.64</v>
      </c>
      <c r="BI15" s="20"/>
      <c r="BJ15" s="24">
        <f ca="1">IFERROR(__xludf.DUMMYFUNCTION("""COMPUTED_VALUE"""),0)</f>
        <v>0</v>
      </c>
      <c r="BK15" s="24">
        <f ca="1">IFERROR(__xludf.DUMMYFUNCTION("""COMPUTED_VALUE"""),0)</f>
        <v>0</v>
      </c>
      <c r="BL15" s="24">
        <f ca="1">IFERROR(__xludf.DUMMYFUNCTION("""COMPUTED_VALUE"""),0)</f>
        <v>0</v>
      </c>
      <c r="BM15" s="20"/>
      <c r="BN15" s="24">
        <f ca="1">IFERROR(__xludf.DUMMYFUNCTION("""COMPUTED_VALUE"""),0)</f>
        <v>0</v>
      </c>
      <c r="BO15" s="20"/>
      <c r="BP15" s="24">
        <f ca="1">IFERROR(__xludf.DUMMYFUNCTION("""COMPUTED_VALUE"""),0)</f>
        <v>0</v>
      </c>
      <c r="BQ15" s="24">
        <f ca="1">IFERROR(__xludf.DUMMYFUNCTION("""COMPUTED_VALUE"""),0)</f>
        <v>0</v>
      </c>
      <c r="BR15" s="24">
        <f ca="1">IFERROR(__xludf.DUMMYFUNCTION("""COMPUTED_VALUE"""),0)</f>
        <v>0</v>
      </c>
      <c r="BS15" s="20"/>
      <c r="BT15" s="24">
        <f ca="1">IFERROR(__xludf.DUMMYFUNCTION("""COMPUTED_VALUE"""),0)</f>
        <v>0</v>
      </c>
      <c r="BU15" s="20"/>
      <c r="BV15" s="24">
        <f ca="1">IFERROR(__xludf.DUMMYFUNCTION("""COMPUTED_VALUE"""),0)</f>
        <v>0</v>
      </c>
      <c r="BW15" s="24">
        <f ca="1">IFERROR(__xludf.DUMMYFUNCTION("""COMPUTED_VALUE"""),0)</f>
        <v>0</v>
      </c>
      <c r="BX15" s="24">
        <f ca="1">IFERROR(__xludf.DUMMYFUNCTION("""COMPUTED_VALUE"""),0)</f>
        <v>0</v>
      </c>
      <c r="BY15" s="20"/>
      <c r="BZ15" s="24">
        <f ca="1">IFERROR(__xludf.DUMMYFUNCTION("""COMPUTED_VALUE"""),0)</f>
        <v>0</v>
      </c>
      <c r="CA15" s="20"/>
      <c r="CB15" s="20"/>
      <c r="CC15" s="20"/>
      <c r="CD15" s="20"/>
      <c r="CE15" s="20"/>
      <c r="CF15" s="20"/>
      <c r="CG15" s="20"/>
      <c r="CH15" s="20"/>
      <c r="CI15" s="20"/>
      <c r="CJ15" s="26">
        <f ca="1">IFERROR(__xludf.DUMMYFUNCTION("""COMPUTED_VALUE"""),43931)</f>
        <v>43931</v>
      </c>
      <c r="CK15" s="26">
        <f ca="1">IFERROR(__xludf.DUMMYFUNCTION("""COMPUTED_VALUE"""),44042)</f>
        <v>44042</v>
      </c>
      <c r="CL15" s="20" t="str">
        <f ca="1">IFERROR(__xludf.DUMMYFUNCTION("""COMPUTED_VALUE"""),"50-1-1-3-1237-20")</f>
        <v>50-1-1-3-1237-20</v>
      </c>
      <c r="CM15" s="26">
        <f ca="1">IFERROR(__xludf.DUMMYFUNCTION("""COMPUTED_VALUE"""),44077)</f>
        <v>44077</v>
      </c>
      <c r="CN15" s="20" t="str">
        <f ca="1">IFERROR(__xludf.DUMMYFUNCTION("""COMPUTED_VALUE"""),"0148200005420000294")</f>
        <v>0148200005420000294</v>
      </c>
      <c r="CO15" s="26">
        <f ca="1">IFERROR(__xludf.DUMMYFUNCTION("""COMPUTED_VALUE"""),44111)</f>
        <v>44111</v>
      </c>
      <c r="CP15" s="20" t="str">
        <f ca="1">IFERROR(__xludf.DUMMYFUNCTION("""COMPUTED_VALUE"""),"0148200005420000294")</f>
        <v>0148200005420000294</v>
      </c>
      <c r="CQ15" s="20">
        <f ca="1">IFERROR(__xludf.DUMMYFUNCTION("""COMPUTED_VALUE"""),68901125.96)</f>
        <v>68901125.959999993</v>
      </c>
      <c r="CR15" s="20" t="str">
        <f ca="1">IFERROR(__xludf.DUMMYFUNCTION("""COMPUTED_VALUE"""),"ООО ""КУБАНЬИНВЕСТСТРОЙ""")</f>
        <v>ООО "КУБАНЬИНВЕСТСТРОЙ"</v>
      </c>
      <c r="CS15" s="27" t="str">
        <f ca="1">IFERROR(__xludf.DUMMYFUNCTION("""COMPUTED_VALUE"""),"https://zakupki.gov.ru/epz/contract/contractCard/payment-info-and-target-of-order.html?reestrNumber=3502703675820000109&amp;backUrl=c2d578b2-ec3e-4f5a-8ae1-92b3c956fc5c")</f>
        <v>https://zakupki.gov.ru/epz/contract/contractCard/payment-info-and-target-of-order.html?reestrNumber=3502703675820000109&amp;backUrl=c2d578b2-ec3e-4f5a-8ae1-92b3c956fc5c</v>
      </c>
      <c r="CT15" s="1" t="str">
        <f ca="1">IFERROR(__xludf.DUMMYFUNCTION("""COMPUTED_VALUE"""),"3502703675820000125")</f>
        <v>3502703675820000125</v>
      </c>
      <c r="CU15" s="1"/>
      <c r="CV15" s="1"/>
      <c r="CW15" s="1"/>
      <c r="CX15" s="1"/>
      <c r="CY15" s="1"/>
      <c r="CZ15" s="1"/>
      <c r="DA15" s="1"/>
      <c r="DB15" s="1"/>
      <c r="DC15" s="1"/>
      <c r="DD15" s="1"/>
      <c r="DE15" s="1"/>
      <c r="DF15" s="1"/>
      <c r="DG15" s="1"/>
      <c r="DH15" s="1"/>
      <c r="DI15" s="1"/>
      <c r="DJ15" s="1"/>
      <c r="DK15" s="1"/>
      <c r="DL15" s="1"/>
      <c r="DM15" s="1"/>
      <c r="DN15" s="1"/>
      <c r="DO15" s="1"/>
      <c r="DP15" s="1"/>
      <c r="DQ15" s="1"/>
      <c r="DR15" s="1"/>
      <c r="DS15" s="1"/>
    </row>
    <row r="16" spans="1:123" ht="64.5" customHeight="1" x14ac:dyDescent="0.2">
      <c r="A16" s="19"/>
      <c r="B16" s="20" t="str">
        <f ca="1">IFERROR(__xludf.DUMMYFUNCTION("""COMPUTED_VALUE"""),"г.о. Одинцово")</f>
        <v>г.о. Одинцово</v>
      </c>
      <c r="C1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6" s="29" t="str">
        <f ca="1">IFERROR(__xludf.DUMMYFUNCTION("""COMPUTED_VALUE"""),"МинЖКХ")</f>
        <v>МинЖКХ</v>
      </c>
      <c r="E16" s="20" t="str">
        <f ca="1">IFERROR(__xludf.DUMMYFUNCTION("""COMPUTED_VALUE"""),"Реконструкция ВЗУ-1 г.п. Одинцово Одинцовский г.о.")</f>
        <v>Реконструкция ВЗУ-1 г.п. Одинцово Одинцовский г.о.</v>
      </c>
      <c r="F16" s="22" t="str">
        <f ca="1">IFERROR(__xludf.DUMMYFUNCTION("""COMPUTED_VALUE"""),"ВЗУ")</f>
        <v>ВЗУ</v>
      </c>
      <c r="G16" s="20" t="str">
        <f ca="1">IFERROR(__xludf.DUMMYFUNCTION("""COMPUTED_VALUE"""),"2020-2021")</f>
        <v>2020-2021</v>
      </c>
      <c r="H16" s="20" t="str">
        <f ca="1">IFERROR(__xludf.DUMMYFUNCTION("""COMPUTED_VALUE"""),"СМР")</f>
        <v>СМР</v>
      </c>
      <c r="I16" s="23">
        <f ca="1">IFERROR(__xludf.DUMMYFUNCTION("""COMPUTED_VALUE"""),0.15)</f>
        <v>0.15</v>
      </c>
      <c r="J16" s="20" t="str">
        <f ca="1">IFERROR(__xludf.DUMMYFUNCTION("""COMPUTED_VALUE"""),"Подготовлен котлован под здание обезжелезивания. Демонтирован 1 РЧВ. Выполнен монтаж освещения территории ВЗУ. Ведутся общестроительные работы.
Камеры видеонаблюдения установлены, доступ предоставлен.
Оплачен аванс в размере 50%.
Ведется корректировка ГП"&amp;"Р.")</f>
        <v>Подготовлен котлован под здание обезжелезивания. Демонтирован 1 РЧВ. Выполнен монтаж освещения территории ВЗУ. Ведутся общестроительные работы.
Камеры видеонаблюдения установлены, доступ предоставлен.
Оплачен аванс в размере 50%.
Ведется корректировка ГПР.</v>
      </c>
      <c r="K16" s="20">
        <f ca="1">IFERROR(__xludf.DUMMYFUNCTION("""COMPUTED_VALUE"""),18200)</f>
        <v>18200</v>
      </c>
      <c r="L16" s="20">
        <f ca="1">IFERROR(__xludf.DUMMYFUNCTION("""COMPUTED_VALUE"""),18200)</f>
        <v>18200</v>
      </c>
      <c r="M16" s="20"/>
      <c r="N16" s="24">
        <f ca="1">IFERROR(__xludf.DUMMYFUNCTION("""COMPUTED_VALUE"""),135035.08)</f>
        <v>135035.07999999999</v>
      </c>
      <c r="O16" s="24">
        <f ca="1">IFERROR(__xludf.DUMMYFUNCTION("""COMPUTED_VALUE"""),101276.31)</f>
        <v>101276.31</v>
      </c>
      <c r="P16" s="24">
        <f ca="1">IFERROR(__xludf.DUMMYFUNCTION("""COMPUTED_VALUE"""),33758.77)</f>
        <v>33758.769999999997</v>
      </c>
      <c r="Q16" s="20"/>
      <c r="R16" s="20"/>
      <c r="S16" s="20"/>
      <c r="T16" s="20" t="str">
        <f ca="1">IFERROR(__xludf.DUMMYFUNCTION("""COMPUTED_VALUE"""),"Получение РС до 10.12.2020")</f>
        <v>Получение РС до 10.12.2020</v>
      </c>
      <c r="U16" s="24">
        <f ca="1">IFERROR(__xludf.DUMMYFUNCTION("""COMPUTED_VALUE"""),96964.92)</f>
        <v>96964.92</v>
      </c>
      <c r="V16" s="24">
        <f ca="1">IFERROR(__xludf.DUMMYFUNCTION("""COMPUTED_VALUE"""),7473.69)</f>
        <v>7473.69</v>
      </c>
      <c r="W16" s="24">
        <f ca="1">IFERROR(__xludf.DUMMYFUNCTION("""COMPUTED_VALUE"""),2491.23)</f>
        <v>2491.23</v>
      </c>
      <c r="X16" s="24">
        <f ca="1">IFERROR(__xludf.DUMMYFUNCTION("""COMPUTED_VALUE"""),0)</f>
        <v>0</v>
      </c>
      <c r="Y16" s="24">
        <f ca="1">IFERROR(__xludf.DUMMYFUNCTION("""COMPUTED_VALUE"""),87000)</f>
        <v>87000</v>
      </c>
      <c r="Z16" s="24">
        <f ca="1">IFERROR(__xludf.DUMMYFUNCTION("""COMPUTED_VALUE"""),0)</f>
        <v>0</v>
      </c>
      <c r="AA16" s="20" t="str">
        <f ca="1">IFERROR(__xludf.DUMMYFUNCTION("""COMPUTED_VALUE"""),"10 1 G552430
")</f>
        <v xml:space="preserve">10 1 G552430
</v>
      </c>
      <c r="AB16" s="20">
        <f ca="1">IFERROR(__xludf.DUMMYFUNCTION("""COMPUTED_VALUE"""),522)</f>
        <v>522</v>
      </c>
      <c r="AC16" s="20" t="str">
        <f ca="1">IFERROR(__xludf.DUMMYFUNCTION("""COMPUTED_VALUE"""),"Нет")</f>
        <v>Нет</v>
      </c>
      <c r="AD16" s="25">
        <f ca="1">IFERROR(__xludf.DUMMYFUNCTION("""COMPUTED_VALUE"""),44165)</f>
        <v>44165</v>
      </c>
      <c r="AE16" s="20" t="str">
        <f ca="1">IFERROR(__xludf.DUMMYFUNCTION("""COMPUTED_VALUE"""),"Отсутствует")</f>
        <v>Отсутствует</v>
      </c>
      <c r="AF16" s="24">
        <f ca="1">IFERROR(__xludf.DUMMYFUNCTION("""COMPUTED_VALUE"""),277550.61)</f>
        <v>277550.61</v>
      </c>
      <c r="AG16" s="24">
        <f ca="1">IFERROR(__xludf.DUMMYFUNCTION("""COMPUTED_VALUE"""),130101.7)</f>
        <v>130101.7</v>
      </c>
      <c r="AH16" s="24">
        <f ca="1">IFERROR(__xludf.DUMMYFUNCTION("""COMPUTED_VALUE"""),43367.33)</f>
        <v>43367.33</v>
      </c>
      <c r="AI16" s="24">
        <f ca="1">IFERROR(__xludf.DUMMYFUNCTION("""COMPUTED_VALUE"""),0)</f>
        <v>0</v>
      </c>
      <c r="AJ16" s="24">
        <f ca="1">IFERROR(__xludf.DUMMYFUNCTION("""COMPUTED_VALUE"""),104081.58)</f>
        <v>104081.58</v>
      </c>
      <c r="AK16" s="24">
        <f ca="1">IFERROR(__xludf.DUMMYFUNCTION("""COMPUTED_VALUE"""),0)</f>
        <v>0</v>
      </c>
      <c r="AL16" s="24">
        <f ca="1">IFERROR(__xludf.DUMMYFUNCTION("""COMPUTED_VALUE"""),0)</f>
        <v>0</v>
      </c>
      <c r="AM16" s="20"/>
      <c r="AN16" s="20"/>
      <c r="AO16" s="20"/>
      <c r="AP16" s="20"/>
      <c r="AQ16" s="20"/>
      <c r="AR16" s="24">
        <f ca="1">IFERROR(__xludf.DUMMYFUNCTION("""COMPUTED_VALUE"""),0)</f>
        <v>0</v>
      </c>
      <c r="AS16" s="20"/>
      <c r="AT16" s="20"/>
      <c r="AU16" s="20"/>
      <c r="AV16" s="20"/>
      <c r="AW16" s="20"/>
      <c r="AX16" s="24">
        <f ca="1">IFERROR(__xludf.DUMMYFUNCTION("""COMPUTED_VALUE"""),232000)</f>
        <v>232000</v>
      </c>
      <c r="AY16" s="24">
        <f ca="1">IFERROR(__xludf.DUMMYFUNCTION("""COMPUTED_VALUE"""),108750)</f>
        <v>108750</v>
      </c>
      <c r="AZ16" s="24">
        <f ca="1">IFERROR(__xludf.DUMMYFUNCTION("""COMPUTED_VALUE"""),36250)</f>
        <v>36250</v>
      </c>
      <c r="BA16" s="20"/>
      <c r="BB16" s="24">
        <f ca="1">IFERROR(__xludf.DUMMYFUNCTION("""COMPUTED_VALUE"""),87000)</f>
        <v>87000</v>
      </c>
      <c r="BC16" s="20"/>
      <c r="BD16" s="24">
        <f ca="1">IFERROR(__xludf.DUMMYFUNCTION("""COMPUTED_VALUE"""),45550.61)</f>
        <v>45550.61</v>
      </c>
      <c r="BE16" s="24">
        <f ca="1">IFERROR(__xludf.DUMMYFUNCTION("""COMPUTED_VALUE"""),21351.7)</f>
        <v>21351.7</v>
      </c>
      <c r="BF16" s="24">
        <f ca="1">IFERROR(__xludf.DUMMYFUNCTION("""COMPUTED_VALUE"""),7117.33)</f>
        <v>7117.33</v>
      </c>
      <c r="BG16" s="20"/>
      <c r="BH16" s="24">
        <f ca="1">IFERROR(__xludf.DUMMYFUNCTION("""COMPUTED_VALUE"""),17081.58)</f>
        <v>17081.580000000002</v>
      </c>
      <c r="BI16" s="20"/>
      <c r="BJ16" s="24">
        <f ca="1">IFERROR(__xludf.DUMMYFUNCTION("""COMPUTED_VALUE"""),0)</f>
        <v>0</v>
      </c>
      <c r="BK16" s="24">
        <f ca="1">IFERROR(__xludf.DUMMYFUNCTION("""COMPUTED_VALUE"""),0)</f>
        <v>0</v>
      </c>
      <c r="BL16" s="24">
        <f ca="1">IFERROR(__xludf.DUMMYFUNCTION("""COMPUTED_VALUE"""),0)</f>
        <v>0</v>
      </c>
      <c r="BM16" s="20"/>
      <c r="BN16" s="24">
        <f ca="1">IFERROR(__xludf.DUMMYFUNCTION("""COMPUTED_VALUE"""),0)</f>
        <v>0</v>
      </c>
      <c r="BO16" s="20"/>
      <c r="BP16" s="24">
        <f ca="1">IFERROR(__xludf.DUMMYFUNCTION("""COMPUTED_VALUE"""),0)</f>
        <v>0</v>
      </c>
      <c r="BQ16" s="24">
        <f ca="1">IFERROR(__xludf.DUMMYFUNCTION("""COMPUTED_VALUE"""),0)</f>
        <v>0</v>
      </c>
      <c r="BR16" s="24">
        <f ca="1">IFERROR(__xludf.DUMMYFUNCTION("""COMPUTED_VALUE"""),0)</f>
        <v>0</v>
      </c>
      <c r="BS16" s="20"/>
      <c r="BT16" s="24">
        <f ca="1">IFERROR(__xludf.DUMMYFUNCTION("""COMPUTED_VALUE"""),0)</f>
        <v>0</v>
      </c>
      <c r="BU16" s="20"/>
      <c r="BV16" s="24">
        <f ca="1">IFERROR(__xludf.DUMMYFUNCTION("""COMPUTED_VALUE"""),0)</f>
        <v>0</v>
      </c>
      <c r="BW16" s="24">
        <f ca="1">IFERROR(__xludf.DUMMYFUNCTION("""COMPUTED_VALUE"""),0)</f>
        <v>0</v>
      </c>
      <c r="BX16" s="24">
        <f ca="1">IFERROR(__xludf.DUMMYFUNCTION("""COMPUTED_VALUE"""),0)</f>
        <v>0</v>
      </c>
      <c r="BY16" s="20"/>
      <c r="BZ16" s="24">
        <f ca="1">IFERROR(__xludf.DUMMYFUNCTION("""COMPUTED_VALUE"""),0)</f>
        <v>0</v>
      </c>
      <c r="CA16" s="20"/>
      <c r="CB16" s="20"/>
      <c r="CC16" s="20"/>
      <c r="CD16" s="20"/>
      <c r="CE16" s="20"/>
      <c r="CF16" s="20"/>
      <c r="CG16" s="20"/>
      <c r="CH16" s="20"/>
      <c r="CI16" s="20"/>
      <c r="CJ16" s="25">
        <f ca="1">IFERROR(__xludf.DUMMYFUNCTION("""COMPUTED_VALUE"""),43766)</f>
        <v>43766</v>
      </c>
      <c r="CK16" s="26">
        <f ca="1">IFERROR(__xludf.DUMMYFUNCTION("""COMPUTED_VALUE"""),43889)</f>
        <v>43889</v>
      </c>
      <c r="CL16" s="20" t="str">
        <f ca="1">IFERROR(__xludf.DUMMYFUNCTION("""COMPUTED_VALUE"""),"50-1-1-3-0294-20")</f>
        <v>50-1-1-3-0294-20</v>
      </c>
      <c r="CM16" s="26">
        <f ca="1">IFERROR(__xludf.DUMMYFUNCTION("""COMPUTED_VALUE"""),43966)</f>
        <v>43966</v>
      </c>
      <c r="CN16" s="20" t="str">
        <f ca="1">IFERROR(__xludf.DUMMYFUNCTION("""COMPUTED_VALUE"""),"0148200005420000156")</f>
        <v>0148200005420000156</v>
      </c>
      <c r="CO16" s="26">
        <f ca="1">IFERROR(__xludf.DUMMYFUNCTION("""COMPUTED_VALUE"""),44097)</f>
        <v>44097</v>
      </c>
      <c r="CP16" s="20">
        <f ca="1">IFERROR(__xludf.DUMMYFUNCTION("""COMPUTED_VALUE"""),110)</f>
        <v>110</v>
      </c>
      <c r="CQ16" s="20">
        <f ca="1">IFERROR(__xludf.DUMMYFUNCTION("""COMPUTED_VALUE"""),255994205.8)</f>
        <v>255994205.80000001</v>
      </c>
      <c r="CR16" s="20" t="str">
        <f ca="1">IFERROR(__xludf.DUMMYFUNCTION("""COMPUTED_VALUE"""),"ООО ""РБК СТРОЙИНВЕСТ""")</f>
        <v>ООО "РБК СТРОЙИНВЕСТ"</v>
      </c>
      <c r="CS16" s="27" t="str">
        <f ca="1">IFERROR(__xludf.DUMMYFUNCTION("""COMPUTED_VALUE"""),"https://zakupki.gov.ru/epz/contract/contractCard/common-info.html?reestrNumber=3503200422220000150&amp;backUrl=ad9f27c5-c06a-4904-a7f4-6230b383c638")</f>
        <v>https://zakupki.gov.ru/epz/contract/contractCard/common-info.html?reestrNumber=3503200422220000150&amp;backUrl=ad9f27c5-c06a-4904-a7f4-6230b383c638</v>
      </c>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row>
    <row r="17" spans="1:123" ht="64.5" hidden="1" customHeight="1" x14ac:dyDescent="0.2">
      <c r="A17" s="19"/>
      <c r="B17" s="20" t="str">
        <f ca="1">IFERROR(__xludf.DUMMYFUNCTION("""COMPUTED_VALUE"""),"г.о. Одинцово")</f>
        <v>г.о. Одинцово</v>
      </c>
      <c r="C1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7" s="20" t="str">
        <f ca="1">IFERROR(__xludf.DUMMYFUNCTION("""COMPUTED_VALUE"""),"МинЖКХ")</f>
        <v>МинЖКХ</v>
      </c>
      <c r="E17" s="20" t="str">
        <f ca="1">IFERROR(__xludf.DUMMYFUNCTION("""COMPUTED_VALUE"""),"Реконструкция ВЗУ-8 г.п. Одинцово Одинцовский г.о.")</f>
        <v>Реконструкция ВЗУ-8 г.п. Одинцово Одинцовский г.о.</v>
      </c>
      <c r="F17" s="22" t="str">
        <f ca="1">IFERROR(__xludf.DUMMYFUNCTION("""COMPUTED_VALUE"""),"ВЗУ")</f>
        <v>ВЗУ</v>
      </c>
      <c r="G17" s="20">
        <f ca="1">IFERROR(__xludf.DUMMYFUNCTION("""COMPUTED_VALUE"""),2024)</f>
        <v>2024</v>
      </c>
      <c r="H17" s="20" t="str">
        <f ca="1">IFERROR(__xludf.DUMMYFUNCTION("""COMPUTED_VALUE"""),"СМР")</f>
        <v>СМР</v>
      </c>
      <c r="I17" s="20"/>
      <c r="J17" s="20"/>
      <c r="K17" s="20"/>
      <c r="L17" s="20"/>
      <c r="M17" s="20"/>
      <c r="N17" s="24">
        <f ca="1">IFERROR(__xludf.DUMMYFUNCTION("""COMPUTED_VALUE"""),0)</f>
        <v>0</v>
      </c>
      <c r="O17" s="20"/>
      <c r="P17" s="20"/>
      <c r="Q17" s="20"/>
      <c r="R17" s="20"/>
      <c r="S17" s="20"/>
      <c r="T17" s="20"/>
      <c r="U17" s="24">
        <f ca="1">IFERROR(__xludf.DUMMYFUNCTION("""COMPUTED_VALUE"""),0)</f>
        <v>0</v>
      </c>
      <c r="V17" s="24">
        <f ca="1">IFERROR(__xludf.DUMMYFUNCTION("""COMPUTED_VALUE"""),0)</f>
        <v>0</v>
      </c>
      <c r="W17" s="24">
        <f ca="1">IFERROR(__xludf.DUMMYFUNCTION("""COMPUTED_VALUE"""),0)</f>
        <v>0</v>
      </c>
      <c r="X17" s="24">
        <f ca="1">IFERROR(__xludf.DUMMYFUNCTION("""COMPUTED_VALUE"""),0)</f>
        <v>0</v>
      </c>
      <c r="Y17" s="24">
        <f ca="1">IFERROR(__xludf.DUMMYFUNCTION("""COMPUTED_VALUE"""),0)</f>
        <v>0</v>
      </c>
      <c r="Z17" s="24">
        <f ca="1">IFERROR(__xludf.DUMMYFUNCTION("""COMPUTED_VALUE"""),0)</f>
        <v>0</v>
      </c>
      <c r="AA17" s="20" t="str">
        <f ca="1">IFERROR(__xludf.DUMMYFUNCTION("""COMPUTED_VALUE"""),"10 1 G552430
")</f>
        <v xml:space="preserve">10 1 G552430
</v>
      </c>
      <c r="AB17" s="20">
        <f ca="1">IFERROR(__xludf.DUMMYFUNCTION("""COMPUTED_VALUE"""),522)</f>
        <v>522</v>
      </c>
      <c r="AC17" s="20"/>
      <c r="AD17" s="20"/>
      <c r="AE17" s="20"/>
      <c r="AF17" s="24">
        <f ca="1">IFERROR(__xludf.DUMMYFUNCTION("""COMPUTED_VALUE"""),140000)</f>
        <v>140000</v>
      </c>
      <c r="AG17" s="24">
        <f ca="1">IFERROR(__xludf.DUMMYFUNCTION("""COMPUTED_VALUE"""),65625)</f>
        <v>65625</v>
      </c>
      <c r="AH17" s="24">
        <f ca="1">IFERROR(__xludf.DUMMYFUNCTION("""COMPUTED_VALUE"""),21875)</f>
        <v>21875</v>
      </c>
      <c r="AI17" s="24">
        <f ca="1">IFERROR(__xludf.DUMMYFUNCTION("""COMPUTED_VALUE"""),0)</f>
        <v>0</v>
      </c>
      <c r="AJ17" s="24">
        <f ca="1">IFERROR(__xludf.DUMMYFUNCTION("""COMPUTED_VALUE"""),52500)</f>
        <v>52500</v>
      </c>
      <c r="AK17" s="24">
        <f ca="1">IFERROR(__xludf.DUMMYFUNCTION("""COMPUTED_VALUE"""),0)</f>
        <v>0</v>
      </c>
      <c r="AL17" s="24">
        <f ca="1">IFERROR(__xludf.DUMMYFUNCTION("""COMPUTED_VALUE"""),0)</f>
        <v>0</v>
      </c>
      <c r="AM17" s="20"/>
      <c r="AN17" s="20"/>
      <c r="AO17" s="20"/>
      <c r="AP17" s="20"/>
      <c r="AQ17" s="20"/>
      <c r="AR17" s="24">
        <f ca="1">IFERROR(__xludf.DUMMYFUNCTION("""COMPUTED_VALUE"""),0)</f>
        <v>0</v>
      </c>
      <c r="AS17" s="20"/>
      <c r="AT17" s="20"/>
      <c r="AU17" s="20"/>
      <c r="AV17" s="20"/>
      <c r="AW17" s="20"/>
      <c r="AX17" s="24">
        <f ca="1">IFERROR(__xludf.DUMMYFUNCTION("""COMPUTED_VALUE"""),0)</f>
        <v>0</v>
      </c>
      <c r="AY17" s="24">
        <f ca="1">IFERROR(__xludf.DUMMYFUNCTION("""COMPUTED_VALUE"""),0)</f>
        <v>0</v>
      </c>
      <c r="AZ17" s="24">
        <f ca="1">IFERROR(__xludf.DUMMYFUNCTION("""COMPUTED_VALUE"""),0)</f>
        <v>0</v>
      </c>
      <c r="BA17" s="20"/>
      <c r="BB17" s="24">
        <f ca="1">IFERROR(__xludf.DUMMYFUNCTION("""COMPUTED_VALUE"""),0)</f>
        <v>0</v>
      </c>
      <c r="BC17" s="20"/>
      <c r="BD17" s="24">
        <f ca="1">IFERROR(__xludf.DUMMYFUNCTION("""COMPUTED_VALUE"""),0)</f>
        <v>0</v>
      </c>
      <c r="BE17" s="24">
        <f ca="1">IFERROR(__xludf.DUMMYFUNCTION("""COMPUTED_VALUE"""),0)</f>
        <v>0</v>
      </c>
      <c r="BF17" s="24">
        <f ca="1">IFERROR(__xludf.DUMMYFUNCTION("""COMPUTED_VALUE"""),0)</f>
        <v>0</v>
      </c>
      <c r="BG17" s="20"/>
      <c r="BH17" s="24">
        <f ca="1">IFERROR(__xludf.DUMMYFUNCTION("""COMPUTED_VALUE"""),0)</f>
        <v>0</v>
      </c>
      <c r="BI17" s="20"/>
      <c r="BJ17" s="24">
        <f ca="1">IFERROR(__xludf.DUMMYFUNCTION("""COMPUTED_VALUE"""),0)</f>
        <v>0</v>
      </c>
      <c r="BK17" s="24">
        <f ca="1">IFERROR(__xludf.DUMMYFUNCTION("""COMPUTED_VALUE"""),0)</f>
        <v>0</v>
      </c>
      <c r="BL17" s="24">
        <f ca="1">IFERROR(__xludf.DUMMYFUNCTION("""COMPUTED_VALUE"""),0)</f>
        <v>0</v>
      </c>
      <c r="BM17" s="20"/>
      <c r="BN17" s="24">
        <f ca="1">IFERROR(__xludf.DUMMYFUNCTION("""COMPUTED_VALUE"""),0)</f>
        <v>0</v>
      </c>
      <c r="BO17" s="20"/>
      <c r="BP17" s="24">
        <f ca="1">IFERROR(__xludf.DUMMYFUNCTION("""COMPUTED_VALUE"""),0)</f>
        <v>0</v>
      </c>
      <c r="BQ17" s="24">
        <f ca="1">IFERROR(__xludf.DUMMYFUNCTION("""COMPUTED_VALUE"""),0)</f>
        <v>0</v>
      </c>
      <c r="BR17" s="24">
        <f ca="1">IFERROR(__xludf.DUMMYFUNCTION("""COMPUTED_VALUE"""),0)</f>
        <v>0</v>
      </c>
      <c r="BS17" s="20"/>
      <c r="BT17" s="24">
        <f ca="1">IFERROR(__xludf.DUMMYFUNCTION("""COMPUTED_VALUE"""),0)</f>
        <v>0</v>
      </c>
      <c r="BU17" s="20"/>
      <c r="BV17" s="24">
        <f ca="1">IFERROR(__xludf.DUMMYFUNCTION("""COMPUTED_VALUE"""),140000)</f>
        <v>140000</v>
      </c>
      <c r="BW17" s="24">
        <f ca="1">IFERROR(__xludf.DUMMYFUNCTION("""COMPUTED_VALUE"""),65625)</f>
        <v>65625</v>
      </c>
      <c r="BX17" s="24">
        <f ca="1">IFERROR(__xludf.DUMMYFUNCTION("""COMPUTED_VALUE"""),21875)</f>
        <v>21875</v>
      </c>
      <c r="BY17" s="20"/>
      <c r="BZ17" s="24">
        <f ca="1">IFERROR(__xludf.DUMMYFUNCTION("""COMPUTED_VALUE"""),52500)</f>
        <v>52500</v>
      </c>
      <c r="CA17" s="20"/>
      <c r="CB17" s="20"/>
      <c r="CC17" s="20"/>
      <c r="CD17" s="20"/>
      <c r="CE17" s="20"/>
      <c r="CF17" s="20"/>
      <c r="CG17" s="20"/>
      <c r="CH17" s="20"/>
      <c r="CI17" s="20"/>
      <c r="CJ17" s="20"/>
      <c r="CK17" s="20"/>
      <c r="CL17" s="20"/>
      <c r="CM17" s="20"/>
      <c r="CN17" s="20"/>
      <c r="CO17" s="20"/>
      <c r="CP17" s="20"/>
      <c r="CQ17" s="20"/>
      <c r="CR17" s="20"/>
      <c r="CS17" s="20"/>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row>
    <row r="18" spans="1:123" ht="64.5" hidden="1" customHeight="1" x14ac:dyDescent="0.2">
      <c r="A18" s="19"/>
      <c r="B18" s="20" t="str">
        <f ca="1">IFERROR(__xludf.DUMMYFUNCTION("""COMPUTED_VALUE"""),"г.о. Одинцово")</f>
        <v>г.о. Одинцово</v>
      </c>
      <c r="C1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8" s="20" t="str">
        <f ca="1">IFERROR(__xludf.DUMMYFUNCTION("""COMPUTED_VALUE"""),"МинЖКХ")</f>
        <v>МинЖКХ</v>
      </c>
      <c r="E18" s="20" t="str">
        <f ca="1">IFERROR(__xludf.DUMMYFUNCTION("""COMPUTED_VALUE"""),"Реконструкция ВЗУ-7 г.п. Одинцово Одинцовский г.о.")</f>
        <v>Реконструкция ВЗУ-7 г.п. Одинцово Одинцовский г.о.</v>
      </c>
      <c r="F18" s="22" t="str">
        <f ca="1">IFERROR(__xludf.DUMMYFUNCTION("""COMPUTED_VALUE"""),"ВЗУ")</f>
        <v>ВЗУ</v>
      </c>
      <c r="G18" s="20">
        <f ca="1">IFERROR(__xludf.DUMMYFUNCTION("""COMPUTED_VALUE"""),2024)</f>
        <v>2024</v>
      </c>
      <c r="H18" s="20" t="str">
        <f ca="1">IFERROR(__xludf.DUMMYFUNCTION("""COMPUTED_VALUE"""),"СМР")</f>
        <v>СМР</v>
      </c>
      <c r="I18" s="20"/>
      <c r="J18" s="20"/>
      <c r="K18" s="20"/>
      <c r="L18" s="20"/>
      <c r="M18" s="20"/>
      <c r="N18" s="24">
        <f ca="1">IFERROR(__xludf.DUMMYFUNCTION("""COMPUTED_VALUE"""),0)</f>
        <v>0</v>
      </c>
      <c r="O18" s="20"/>
      <c r="P18" s="20"/>
      <c r="Q18" s="20"/>
      <c r="R18" s="20"/>
      <c r="S18" s="20"/>
      <c r="T18" s="20"/>
      <c r="U18" s="24">
        <f ca="1">IFERROR(__xludf.DUMMYFUNCTION("""COMPUTED_VALUE"""),0)</f>
        <v>0</v>
      </c>
      <c r="V18" s="24">
        <f ca="1">IFERROR(__xludf.DUMMYFUNCTION("""COMPUTED_VALUE"""),0)</f>
        <v>0</v>
      </c>
      <c r="W18" s="24">
        <f ca="1">IFERROR(__xludf.DUMMYFUNCTION("""COMPUTED_VALUE"""),0)</f>
        <v>0</v>
      </c>
      <c r="X18" s="24">
        <f ca="1">IFERROR(__xludf.DUMMYFUNCTION("""COMPUTED_VALUE"""),0)</f>
        <v>0</v>
      </c>
      <c r="Y18" s="24">
        <f ca="1">IFERROR(__xludf.DUMMYFUNCTION("""COMPUTED_VALUE"""),0)</f>
        <v>0</v>
      </c>
      <c r="Z18" s="24">
        <f ca="1">IFERROR(__xludf.DUMMYFUNCTION("""COMPUTED_VALUE"""),0)</f>
        <v>0</v>
      </c>
      <c r="AA18" s="20" t="str">
        <f ca="1">IFERROR(__xludf.DUMMYFUNCTION("""COMPUTED_VALUE"""),"10 1 G552430
")</f>
        <v xml:space="preserve">10 1 G552430
</v>
      </c>
      <c r="AB18" s="20">
        <f ca="1">IFERROR(__xludf.DUMMYFUNCTION("""COMPUTED_VALUE"""),522)</f>
        <v>522</v>
      </c>
      <c r="AC18" s="20"/>
      <c r="AD18" s="20"/>
      <c r="AE18" s="20"/>
      <c r="AF18" s="24">
        <f ca="1">IFERROR(__xludf.DUMMYFUNCTION("""COMPUTED_VALUE"""),140000)</f>
        <v>140000</v>
      </c>
      <c r="AG18" s="24">
        <f ca="1">IFERROR(__xludf.DUMMYFUNCTION("""COMPUTED_VALUE"""),65625)</f>
        <v>65625</v>
      </c>
      <c r="AH18" s="24">
        <f ca="1">IFERROR(__xludf.DUMMYFUNCTION("""COMPUTED_VALUE"""),21875)</f>
        <v>21875</v>
      </c>
      <c r="AI18" s="24">
        <f ca="1">IFERROR(__xludf.DUMMYFUNCTION("""COMPUTED_VALUE"""),0)</f>
        <v>0</v>
      </c>
      <c r="AJ18" s="24">
        <f ca="1">IFERROR(__xludf.DUMMYFUNCTION("""COMPUTED_VALUE"""),52500)</f>
        <v>52500</v>
      </c>
      <c r="AK18" s="24">
        <f ca="1">IFERROR(__xludf.DUMMYFUNCTION("""COMPUTED_VALUE"""),0)</f>
        <v>0</v>
      </c>
      <c r="AL18" s="24">
        <f ca="1">IFERROR(__xludf.DUMMYFUNCTION("""COMPUTED_VALUE"""),0)</f>
        <v>0</v>
      </c>
      <c r="AM18" s="20"/>
      <c r="AN18" s="20"/>
      <c r="AO18" s="20"/>
      <c r="AP18" s="20"/>
      <c r="AQ18" s="20"/>
      <c r="AR18" s="24">
        <f ca="1">IFERROR(__xludf.DUMMYFUNCTION("""COMPUTED_VALUE"""),0)</f>
        <v>0</v>
      </c>
      <c r="AS18" s="20"/>
      <c r="AT18" s="20"/>
      <c r="AU18" s="20"/>
      <c r="AV18" s="20"/>
      <c r="AW18" s="20"/>
      <c r="AX18" s="24">
        <f ca="1">IFERROR(__xludf.DUMMYFUNCTION("""COMPUTED_VALUE"""),0)</f>
        <v>0</v>
      </c>
      <c r="AY18" s="24">
        <f ca="1">IFERROR(__xludf.DUMMYFUNCTION("""COMPUTED_VALUE"""),0)</f>
        <v>0</v>
      </c>
      <c r="AZ18" s="24">
        <f ca="1">IFERROR(__xludf.DUMMYFUNCTION("""COMPUTED_VALUE"""),0)</f>
        <v>0</v>
      </c>
      <c r="BA18" s="20"/>
      <c r="BB18" s="24">
        <f ca="1">IFERROR(__xludf.DUMMYFUNCTION("""COMPUTED_VALUE"""),0)</f>
        <v>0</v>
      </c>
      <c r="BC18" s="20"/>
      <c r="BD18" s="24">
        <f ca="1">IFERROR(__xludf.DUMMYFUNCTION("""COMPUTED_VALUE"""),0)</f>
        <v>0</v>
      </c>
      <c r="BE18" s="24">
        <f ca="1">IFERROR(__xludf.DUMMYFUNCTION("""COMPUTED_VALUE"""),0)</f>
        <v>0</v>
      </c>
      <c r="BF18" s="24">
        <f ca="1">IFERROR(__xludf.DUMMYFUNCTION("""COMPUTED_VALUE"""),0)</f>
        <v>0</v>
      </c>
      <c r="BG18" s="20"/>
      <c r="BH18" s="24">
        <f ca="1">IFERROR(__xludf.DUMMYFUNCTION("""COMPUTED_VALUE"""),0)</f>
        <v>0</v>
      </c>
      <c r="BI18" s="20"/>
      <c r="BJ18" s="24">
        <f ca="1">IFERROR(__xludf.DUMMYFUNCTION("""COMPUTED_VALUE"""),0)</f>
        <v>0</v>
      </c>
      <c r="BK18" s="24">
        <f ca="1">IFERROR(__xludf.DUMMYFUNCTION("""COMPUTED_VALUE"""),0)</f>
        <v>0</v>
      </c>
      <c r="BL18" s="24">
        <f ca="1">IFERROR(__xludf.DUMMYFUNCTION("""COMPUTED_VALUE"""),0)</f>
        <v>0</v>
      </c>
      <c r="BM18" s="20"/>
      <c r="BN18" s="24">
        <f ca="1">IFERROR(__xludf.DUMMYFUNCTION("""COMPUTED_VALUE"""),0)</f>
        <v>0</v>
      </c>
      <c r="BO18" s="20"/>
      <c r="BP18" s="24">
        <f ca="1">IFERROR(__xludf.DUMMYFUNCTION("""COMPUTED_VALUE"""),0)</f>
        <v>0</v>
      </c>
      <c r="BQ18" s="24">
        <f ca="1">IFERROR(__xludf.DUMMYFUNCTION("""COMPUTED_VALUE"""),0)</f>
        <v>0</v>
      </c>
      <c r="BR18" s="24">
        <f ca="1">IFERROR(__xludf.DUMMYFUNCTION("""COMPUTED_VALUE"""),0)</f>
        <v>0</v>
      </c>
      <c r="BS18" s="20"/>
      <c r="BT18" s="24">
        <f ca="1">IFERROR(__xludf.DUMMYFUNCTION("""COMPUTED_VALUE"""),0)</f>
        <v>0</v>
      </c>
      <c r="BU18" s="20"/>
      <c r="BV18" s="24">
        <f ca="1">IFERROR(__xludf.DUMMYFUNCTION("""COMPUTED_VALUE"""),140000)</f>
        <v>140000</v>
      </c>
      <c r="BW18" s="24">
        <f ca="1">IFERROR(__xludf.DUMMYFUNCTION("""COMPUTED_VALUE"""),65625)</f>
        <v>65625</v>
      </c>
      <c r="BX18" s="24">
        <f ca="1">IFERROR(__xludf.DUMMYFUNCTION("""COMPUTED_VALUE"""),21875)</f>
        <v>21875</v>
      </c>
      <c r="BY18" s="20"/>
      <c r="BZ18" s="24">
        <f ca="1">IFERROR(__xludf.DUMMYFUNCTION("""COMPUTED_VALUE"""),52500)</f>
        <v>52500</v>
      </c>
      <c r="CA18" s="20"/>
      <c r="CB18" s="20"/>
      <c r="CC18" s="20"/>
      <c r="CD18" s="20"/>
      <c r="CE18" s="20"/>
      <c r="CF18" s="20"/>
      <c r="CG18" s="20"/>
      <c r="CH18" s="20"/>
      <c r="CI18" s="20"/>
      <c r="CJ18" s="20"/>
      <c r="CK18" s="20"/>
      <c r="CL18" s="20"/>
      <c r="CM18" s="20"/>
      <c r="CN18" s="20"/>
      <c r="CO18" s="20"/>
      <c r="CP18" s="20"/>
      <c r="CQ18" s="20"/>
      <c r="CR18" s="20"/>
      <c r="CS18" s="20"/>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row>
    <row r="19" spans="1:123" ht="64.5" hidden="1" customHeight="1" x14ac:dyDescent="0.2">
      <c r="A19" s="19"/>
      <c r="B19" s="20" t="str">
        <f ca="1">IFERROR(__xludf.DUMMYFUNCTION("""COMPUTED_VALUE"""),"г.о. Одинцово")</f>
        <v>г.о. Одинцово</v>
      </c>
      <c r="C1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9" s="20" t="str">
        <f ca="1">IFERROR(__xludf.DUMMYFUNCTION("""COMPUTED_VALUE"""),"МинЖКХ")</f>
        <v>МинЖКХ</v>
      </c>
      <c r="E19" s="20" t="str">
        <f ca="1">IFERROR(__xludf.DUMMYFUNCTION("""COMPUTED_VALUE"""),"Реконструкция ВЗУ-6 г.п. Одинцово Одинцовский г.о.")</f>
        <v>Реконструкция ВЗУ-6 г.п. Одинцово Одинцовский г.о.</v>
      </c>
      <c r="F19" s="22" t="str">
        <f ca="1">IFERROR(__xludf.DUMMYFUNCTION("""COMPUTED_VALUE"""),"ВЗУ")</f>
        <v>ВЗУ</v>
      </c>
      <c r="G19" s="20">
        <f ca="1">IFERROR(__xludf.DUMMYFUNCTION("""COMPUTED_VALUE"""),2024)</f>
        <v>2024</v>
      </c>
      <c r="H19" s="20" t="str">
        <f ca="1">IFERROR(__xludf.DUMMYFUNCTION("""COMPUTED_VALUE"""),"СМР")</f>
        <v>СМР</v>
      </c>
      <c r="I19" s="20"/>
      <c r="J19" s="20"/>
      <c r="K19" s="20"/>
      <c r="L19" s="20"/>
      <c r="M19" s="20"/>
      <c r="N19" s="24">
        <f ca="1">IFERROR(__xludf.DUMMYFUNCTION("""COMPUTED_VALUE"""),0)</f>
        <v>0</v>
      </c>
      <c r="O19" s="20"/>
      <c r="P19" s="20"/>
      <c r="Q19" s="20"/>
      <c r="R19" s="20"/>
      <c r="S19" s="20"/>
      <c r="T19" s="20"/>
      <c r="U19" s="24">
        <f ca="1">IFERROR(__xludf.DUMMYFUNCTION("""COMPUTED_VALUE"""),0)</f>
        <v>0</v>
      </c>
      <c r="V19" s="24">
        <f ca="1">IFERROR(__xludf.DUMMYFUNCTION("""COMPUTED_VALUE"""),0)</f>
        <v>0</v>
      </c>
      <c r="W19" s="24">
        <f ca="1">IFERROR(__xludf.DUMMYFUNCTION("""COMPUTED_VALUE"""),0)</f>
        <v>0</v>
      </c>
      <c r="X19" s="24">
        <f ca="1">IFERROR(__xludf.DUMMYFUNCTION("""COMPUTED_VALUE"""),0)</f>
        <v>0</v>
      </c>
      <c r="Y19" s="24">
        <f ca="1">IFERROR(__xludf.DUMMYFUNCTION("""COMPUTED_VALUE"""),0)</f>
        <v>0</v>
      </c>
      <c r="Z19" s="24">
        <f ca="1">IFERROR(__xludf.DUMMYFUNCTION("""COMPUTED_VALUE"""),0)</f>
        <v>0</v>
      </c>
      <c r="AA19" s="20" t="str">
        <f ca="1">IFERROR(__xludf.DUMMYFUNCTION("""COMPUTED_VALUE"""),"10 1 G552430
")</f>
        <v xml:space="preserve">10 1 G552430
</v>
      </c>
      <c r="AB19" s="20">
        <f ca="1">IFERROR(__xludf.DUMMYFUNCTION("""COMPUTED_VALUE"""),522)</f>
        <v>522</v>
      </c>
      <c r="AC19" s="20"/>
      <c r="AD19" s="20"/>
      <c r="AE19" s="20"/>
      <c r="AF19" s="24">
        <f ca="1">IFERROR(__xludf.DUMMYFUNCTION("""COMPUTED_VALUE"""),140000)</f>
        <v>140000</v>
      </c>
      <c r="AG19" s="24">
        <f ca="1">IFERROR(__xludf.DUMMYFUNCTION("""COMPUTED_VALUE"""),65625)</f>
        <v>65625</v>
      </c>
      <c r="AH19" s="24">
        <f ca="1">IFERROR(__xludf.DUMMYFUNCTION("""COMPUTED_VALUE"""),21875)</f>
        <v>21875</v>
      </c>
      <c r="AI19" s="24">
        <f ca="1">IFERROR(__xludf.DUMMYFUNCTION("""COMPUTED_VALUE"""),0)</f>
        <v>0</v>
      </c>
      <c r="AJ19" s="24">
        <f ca="1">IFERROR(__xludf.DUMMYFUNCTION("""COMPUTED_VALUE"""),52500)</f>
        <v>52500</v>
      </c>
      <c r="AK19" s="24">
        <f ca="1">IFERROR(__xludf.DUMMYFUNCTION("""COMPUTED_VALUE"""),0)</f>
        <v>0</v>
      </c>
      <c r="AL19" s="24">
        <f ca="1">IFERROR(__xludf.DUMMYFUNCTION("""COMPUTED_VALUE"""),0)</f>
        <v>0</v>
      </c>
      <c r="AM19" s="20"/>
      <c r="AN19" s="20"/>
      <c r="AO19" s="20"/>
      <c r="AP19" s="20"/>
      <c r="AQ19" s="20"/>
      <c r="AR19" s="24">
        <f ca="1">IFERROR(__xludf.DUMMYFUNCTION("""COMPUTED_VALUE"""),0)</f>
        <v>0</v>
      </c>
      <c r="AS19" s="20"/>
      <c r="AT19" s="20"/>
      <c r="AU19" s="20"/>
      <c r="AV19" s="20"/>
      <c r="AW19" s="20"/>
      <c r="AX19" s="24">
        <f ca="1">IFERROR(__xludf.DUMMYFUNCTION("""COMPUTED_VALUE"""),0)</f>
        <v>0</v>
      </c>
      <c r="AY19" s="24">
        <f ca="1">IFERROR(__xludf.DUMMYFUNCTION("""COMPUTED_VALUE"""),0)</f>
        <v>0</v>
      </c>
      <c r="AZ19" s="24">
        <f ca="1">IFERROR(__xludf.DUMMYFUNCTION("""COMPUTED_VALUE"""),0)</f>
        <v>0</v>
      </c>
      <c r="BA19" s="20"/>
      <c r="BB19" s="24">
        <f ca="1">IFERROR(__xludf.DUMMYFUNCTION("""COMPUTED_VALUE"""),0)</f>
        <v>0</v>
      </c>
      <c r="BC19" s="20"/>
      <c r="BD19" s="24">
        <f ca="1">IFERROR(__xludf.DUMMYFUNCTION("""COMPUTED_VALUE"""),0)</f>
        <v>0</v>
      </c>
      <c r="BE19" s="24">
        <f ca="1">IFERROR(__xludf.DUMMYFUNCTION("""COMPUTED_VALUE"""),0)</f>
        <v>0</v>
      </c>
      <c r="BF19" s="24">
        <f ca="1">IFERROR(__xludf.DUMMYFUNCTION("""COMPUTED_VALUE"""),0)</f>
        <v>0</v>
      </c>
      <c r="BG19" s="20"/>
      <c r="BH19" s="24">
        <f ca="1">IFERROR(__xludf.DUMMYFUNCTION("""COMPUTED_VALUE"""),0)</f>
        <v>0</v>
      </c>
      <c r="BI19" s="20"/>
      <c r="BJ19" s="24">
        <f ca="1">IFERROR(__xludf.DUMMYFUNCTION("""COMPUTED_VALUE"""),0)</f>
        <v>0</v>
      </c>
      <c r="BK19" s="24">
        <f ca="1">IFERROR(__xludf.DUMMYFUNCTION("""COMPUTED_VALUE"""),0)</f>
        <v>0</v>
      </c>
      <c r="BL19" s="24">
        <f ca="1">IFERROR(__xludf.DUMMYFUNCTION("""COMPUTED_VALUE"""),0)</f>
        <v>0</v>
      </c>
      <c r="BM19" s="20"/>
      <c r="BN19" s="24">
        <f ca="1">IFERROR(__xludf.DUMMYFUNCTION("""COMPUTED_VALUE"""),0)</f>
        <v>0</v>
      </c>
      <c r="BO19" s="20"/>
      <c r="BP19" s="24">
        <f ca="1">IFERROR(__xludf.DUMMYFUNCTION("""COMPUTED_VALUE"""),0)</f>
        <v>0</v>
      </c>
      <c r="BQ19" s="24">
        <f ca="1">IFERROR(__xludf.DUMMYFUNCTION("""COMPUTED_VALUE"""),0)</f>
        <v>0</v>
      </c>
      <c r="BR19" s="24">
        <f ca="1">IFERROR(__xludf.DUMMYFUNCTION("""COMPUTED_VALUE"""),0)</f>
        <v>0</v>
      </c>
      <c r="BS19" s="20"/>
      <c r="BT19" s="24">
        <f ca="1">IFERROR(__xludf.DUMMYFUNCTION("""COMPUTED_VALUE"""),0)</f>
        <v>0</v>
      </c>
      <c r="BU19" s="20"/>
      <c r="BV19" s="24">
        <f ca="1">IFERROR(__xludf.DUMMYFUNCTION("""COMPUTED_VALUE"""),140000)</f>
        <v>140000</v>
      </c>
      <c r="BW19" s="24">
        <f ca="1">IFERROR(__xludf.DUMMYFUNCTION("""COMPUTED_VALUE"""),65625)</f>
        <v>65625</v>
      </c>
      <c r="BX19" s="24">
        <f ca="1">IFERROR(__xludf.DUMMYFUNCTION("""COMPUTED_VALUE"""),21875)</f>
        <v>21875</v>
      </c>
      <c r="BY19" s="20"/>
      <c r="BZ19" s="24">
        <f ca="1">IFERROR(__xludf.DUMMYFUNCTION("""COMPUTED_VALUE"""),52500)</f>
        <v>52500</v>
      </c>
      <c r="CA19" s="20"/>
      <c r="CB19" s="20"/>
      <c r="CC19" s="20"/>
      <c r="CD19" s="20"/>
      <c r="CE19" s="20"/>
      <c r="CF19" s="20"/>
      <c r="CG19" s="20"/>
      <c r="CH19" s="20"/>
      <c r="CI19" s="20"/>
      <c r="CJ19" s="20"/>
      <c r="CK19" s="20"/>
      <c r="CL19" s="20"/>
      <c r="CM19" s="20"/>
      <c r="CN19" s="20"/>
      <c r="CO19" s="20"/>
      <c r="CP19" s="20"/>
      <c r="CQ19" s="20"/>
      <c r="CR19" s="20"/>
      <c r="CS19" s="20"/>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row>
    <row r="20" spans="1:123" ht="64.5" hidden="1" customHeight="1" x14ac:dyDescent="0.2">
      <c r="A20" s="19"/>
      <c r="B20" s="20" t="str">
        <f ca="1">IFERROR(__xludf.DUMMYFUNCTION("""COMPUTED_VALUE"""),"г.о. Одинцово")</f>
        <v>г.о. Одинцово</v>
      </c>
      <c r="C2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0" s="20" t="str">
        <f ca="1">IFERROR(__xludf.DUMMYFUNCTION("""COMPUTED_VALUE"""),"МинЖКХ")</f>
        <v>МинЖКХ</v>
      </c>
      <c r="E20" s="20" t="str">
        <f ca="1">IFERROR(__xludf.DUMMYFUNCTION("""COMPUTED_VALUE"""),"Реконструкция ВЗУ-10 г.п. Одинцово Одинцовский г.о.")</f>
        <v>Реконструкция ВЗУ-10 г.п. Одинцово Одинцовский г.о.</v>
      </c>
      <c r="F20" s="22" t="str">
        <f ca="1">IFERROR(__xludf.DUMMYFUNCTION("""COMPUTED_VALUE"""),"ВЗУ")</f>
        <v>ВЗУ</v>
      </c>
      <c r="G20" s="20">
        <f ca="1">IFERROR(__xludf.DUMMYFUNCTION("""COMPUTED_VALUE"""),2024)</f>
        <v>2024</v>
      </c>
      <c r="H20" s="20" t="str">
        <f ca="1">IFERROR(__xludf.DUMMYFUNCTION("""COMPUTED_VALUE"""),"СМР")</f>
        <v>СМР</v>
      </c>
      <c r="I20" s="20"/>
      <c r="J20" s="20"/>
      <c r="K20" s="20"/>
      <c r="L20" s="20"/>
      <c r="M20" s="20"/>
      <c r="N20" s="24">
        <f ca="1">IFERROR(__xludf.DUMMYFUNCTION("""COMPUTED_VALUE"""),0)</f>
        <v>0</v>
      </c>
      <c r="O20" s="20"/>
      <c r="P20" s="20"/>
      <c r="Q20" s="20"/>
      <c r="R20" s="20"/>
      <c r="S20" s="20"/>
      <c r="T20" s="20"/>
      <c r="U20" s="24">
        <f ca="1">IFERROR(__xludf.DUMMYFUNCTION("""COMPUTED_VALUE"""),0)</f>
        <v>0</v>
      </c>
      <c r="V20" s="24">
        <f ca="1">IFERROR(__xludf.DUMMYFUNCTION("""COMPUTED_VALUE"""),0)</f>
        <v>0</v>
      </c>
      <c r="W20" s="24">
        <f ca="1">IFERROR(__xludf.DUMMYFUNCTION("""COMPUTED_VALUE"""),0)</f>
        <v>0</v>
      </c>
      <c r="X20" s="24">
        <f ca="1">IFERROR(__xludf.DUMMYFUNCTION("""COMPUTED_VALUE"""),0)</f>
        <v>0</v>
      </c>
      <c r="Y20" s="24">
        <f ca="1">IFERROR(__xludf.DUMMYFUNCTION("""COMPUTED_VALUE"""),0)</f>
        <v>0</v>
      </c>
      <c r="Z20" s="24">
        <f ca="1">IFERROR(__xludf.DUMMYFUNCTION("""COMPUTED_VALUE"""),0)</f>
        <v>0</v>
      </c>
      <c r="AA20" s="20" t="str">
        <f ca="1">IFERROR(__xludf.DUMMYFUNCTION("""COMPUTED_VALUE"""),"10 1 G552430
")</f>
        <v xml:space="preserve">10 1 G552430
</v>
      </c>
      <c r="AB20" s="20">
        <f ca="1">IFERROR(__xludf.DUMMYFUNCTION("""COMPUTED_VALUE"""),522)</f>
        <v>522</v>
      </c>
      <c r="AC20" s="20"/>
      <c r="AD20" s="20"/>
      <c r="AE20" s="20"/>
      <c r="AF20" s="24">
        <f ca="1">IFERROR(__xludf.DUMMYFUNCTION("""COMPUTED_VALUE"""),286781.61)</f>
        <v>286781.61</v>
      </c>
      <c r="AG20" s="24">
        <f ca="1">IFERROR(__xludf.DUMMYFUNCTION("""COMPUTED_VALUE"""),134428.88)</f>
        <v>134428.88</v>
      </c>
      <c r="AH20" s="24">
        <f ca="1">IFERROR(__xludf.DUMMYFUNCTION("""COMPUTED_VALUE"""),44809.63)</f>
        <v>44809.63</v>
      </c>
      <c r="AI20" s="24">
        <f ca="1">IFERROR(__xludf.DUMMYFUNCTION("""COMPUTED_VALUE"""),0)</f>
        <v>0</v>
      </c>
      <c r="AJ20" s="24">
        <f ca="1">IFERROR(__xludf.DUMMYFUNCTION("""COMPUTED_VALUE"""),107543.1)</f>
        <v>107543.1</v>
      </c>
      <c r="AK20" s="24">
        <f ca="1">IFERROR(__xludf.DUMMYFUNCTION("""COMPUTED_VALUE"""),0)</f>
        <v>0</v>
      </c>
      <c r="AL20" s="24">
        <f ca="1">IFERROR(__xludf.DUMMYFUNCTION("""COMPUTED_VALUE"""),0)</f>
        <v>0</v>
      </c>
      <c r="AM20" s="20"/>
      <c r="AN20" s="20"/>
      <c r="AO20" s="20"/>
      <c r="AP20" s="20"/>
      <c r="AQ20" s="20"/>
      <c r="AR20" s="24">
        <f ca="1">IFERROR(__xludf.DUMMYFUNCTION("""COMPUTED_VALUE"""),0)</f>
        <v>0</v>
      </c>
      <c r="AS20" s="20"/>
      <c r="AT20" s="20"/>
      <c r="AU20" s="20"/>
      <c r="AV20" s="20"/>
      <c r="AW20" s="20"/>
      <c r="AX20" s="24">
        <f ca="1">IFERROR(__xludf.DUMMYFUNCTION("""COMPUTED_VALUE"""),0)</f>
        <v>0</v>
      </c>
      <c r="AY20" s="24">
        <f ca="1">IFERROR(__xludf.DUMMYFUNCTION("""COMPUTED_VALUE"""),0)</f>
        <v>0</v>
      </c>
      <c r="AZ20" s="24">
        <f ca="1">IFERROR(__xludf.DUMMYFUNCTION("""COMPUTED_VALUE"""),0)</f>
        <v>0</v>
      </c>
      <c r="BA20" s="20"/>
      <c r="BB20" s="24">
        <f ca="1">IFERROR(__xludf.DUMMYFUNCTION("""COMPUTED_VALUE"""),0)</f>
        <v>0</v>
      </c>
      <c r="BC20" s="20"/>
      <c r="BD20" s="24">
        <f ca="1">IFERROR(__xludf.DUMMYFUNCTION("""COMPUTED_VALUE"""),0)</f>
        <v>0</v>
      </c>
      <c r="BE20" s="24">
        <f ca="1">IFERROR(__xludf.DUMMYFUNCTION("""COMPUTED_VALUE"""),0)</f>
        <v>0</v>
      </c>
      <c r="BF20" s="24">
        <f ca="1">IFERROR(__xludf.DUMMYFUNCTION("""COMPUTED_VALUE"""),0)</f>
        <v>0</v>
      </c>
      <c r="BG20" s="20"/>
      <c r="BH20" s="24">
        <f ca="1">IFERROR(__xludf.DUMMYFUNCTION("""COMPUTED_VALUE"""),0)</f>
        <v>0</v>
      </c>
      <c r="BI20" s="20"/>
      <c r="BJ20" s="24">
        <f ca="1">IFERROR(__xludf.DUMMYFUNCTION("""COMPUTED_VALUE"""),0)</f>
        <v>0</v>
      </c>
      <c r="BK20" s="24">
        <f ca="1">IFERROR(__xludf.DUMMYFUNCTION("""COMPUTED_VALUE"""),0)</f>
        <v>0</v>
      </c>
      <c r="BL20" s="24">
        <f ca="1">IFERROR(__xludf.DUMMYFUNCTION("""COMPUTED_VALUE"""),0)</f>
        <v>0</v>
      </c>
      <c r="BM20" s="20"/>
      <c r="BN20" s="24">
        <f ca="1">IFERROR(__xludf.DUMMYFUNCTION("""COMPUTED_VALUE"""),0)</f>
        <v>0</v>
      </c>
      <c r="BO20" s="20"/>
      <c r="BP20" s="24">
        <f ca="1">IFERROR(__xludf.DUMMYFUNCTION("""COMPUTED_VALUE"""),0)</f>
        <v>0</v>
      </c>
      <c r="BQ20" s="24">
        <f ca="1">IFERROR(__xludf.DUMMYFUNCTION("""COMPUTED_VALUE"""),0)</f>
        <v>0</v>
      </c>
      <c r="BR20" s="24">
        <f ca="1">IFERROR(__xludf.DUMMYFUNCTION("""COMPUTED_VALUE"""),0)</f>
        <v>0</v>
      </c>
      <c r="BS20" s="20"/>
      <c r="BT20" s="24">
        <f ca="1">IFERROR(__xludf.DUMMYFUNCTION("""COMPUTED_VALUE"""),0)</f>
        <v>0</v>
      </c>
      <c r="BU20" s="20"/>
      <c r="BV20" s="24">
        <f ca="1">IFERROR(__xludf.DUMMYFUNCTION("""COMPUTED_VALUE"""),286781.61)</f>
        <v>286781.61</v>
      </c>
      <c r="BW20" s="24">
        <f ca="1">IFERROR(__xludf.DUMMYFUNCTION("""COMPUTED_VALUE"""),134428.88)</f>
        <v>134428.88</v>
      </c>
      <c r="BX20" s="24">
        <f ca="1">IFERROR(__xludf.DUMMYFUNCTION("""COMPUTED_VALUE"""),44809.63)</f>
        <v>44809.63</v>
      </c>
      <c r="BY20" s="20"/>
      <c r="BZ20" s="24">
        <f ca="1">IFERROR(__xludf.DUMMYFUNCTION("""COMPUTED_VALUE"""),107543.1)</f>
        <v>107543.1</v>
      </c>
      <c r="CA20" s="20"/>
      <c r="CB20" s="20"/>
      <c r="CC20" s="20"/>
      <c r="CD20" s="20"/>
      <c r="CE20" s="20"/>
      <c r="CF20" s="20"/>
      <c r="CG20" s="20"/>
      <c r="CH20" s="20"/>
      <c r="CI20" s="20"/>
      <c r="CJ20" s="20"/>
      <c r="CK20" s="20"/>
      <c r="CL20" s="20"/>
      <c r="CM20" s="20"/>
      <c r="CN20" s="20"/>
      <c r="CO20" s="20"/>
      <c r="CP20" s="20"/>
      <c r="CQ20" s="20"/>
      <c r="CR20" s="20"/>
      <c r="CS20" s="20"/>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row>
    <row r="21" spans="1:123" ht="64.5" hidden="1" customHeight="1" x14ac:dyDescent="0.2">
      <c r="A21" s="19"/>
      <c r="B21" s="20" t="str">
        <f ca="1">IFERROR(__xludf.DUMMYFUNCTION("""COMPUTED_VALUE"""),"г.о. Одинцово")</f>
        <v>г.о. Одинцово</v>
      </c>
      <c r="C2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1" s="20" t="str">
        <f ca="1">IFERROR(__xludf.DUMMYFUNCTION("""COMPUTED_VALUE"""),"МинЖКХ")</f>
        <v>МинЖКХ</v>
      </c>
      <c r="E21" s="20" t="str">
        <f ca="1">IFERROR(__xludf.DUMMYFUNCTION("""COMPUTED_VALUE"""),"Реконструкция ВЗУ ВНИИССОК г.п. Лесной городок Одинцовский г.о.")</f>
        <v>Реконструкция ВЗУ ВНИИССОК г.п. Лесной городок Одинцовский г.о.</v>
      </c>
      <c r="F21" s="22" t="str">
        <f ca="1">IFERROR(__xludf.DUMMYFUNCTION("""COMPUTED_VALUE"""),"ВЗУ")</f>
        <v>ВЗУ</v>
      </c>
      <c r="G21" s="20">
        <f ca="1">IFERROR(__xludf.DUMMYFUNCTION("""COMPUTED_VALUE"""),2024)</f>
        <v>2024</v>
      </c>
      <c r="H21" s="20" t="str">
        <f ca="1">IFERROR(__xludf.DUMMYFUNCTION("""COMPUTED_VALUE"""),"СМР")</f>
        <v>СМР</v>
      </c>
      <c r="I21" s="20"/>
      <c r="J21" s="20"/>
      <c r="K21" s="20"/>
      <c r="L21" s="20"/>
      <c r="M21" s="20"/>
      <c r="N21" s="24">
        <f ca="1">IFERROR(__xludf.DUMMYFUNCTION("""COMPUTED_VALUE"""),0)</f>
        <v>0</v>
      </c>
      <c r="O21" s="20"/>
      <c r="P21" s="20"/>
      <c r="Q21" s="20"/>
      <c r="R21" s="20"/>
      <c r="S21" s="20"/>
      <c r="T21" s="20"/>
      <c r="U21" s="24">
        <f ca="1">IFERROR(__xludf.DUMMYFUNCTION("""COMPUTED_VALUE"""),0)</f>
        <v>0</v>
      </c>
      <c r="V21" s="24">
        <f ca="1">IFERROR(__xludf.DUMMYFUNCTION("""COMPUTED_VALUE"""),0)</f>
        <v>0</v>
      </c>
      <c r="W21" s="24">
        <f ca="1">IFERROR(__xludf.DUMMYFUNCTION("""COMPUTED_VALUE"""),0)</f>
        <v>0</v>
      </c>
      <c r="X21" s="24">
        <f ca="1">IFERROR(__xludf.DUMMYFUNCTION("""COMPUTED_VALUE"""),0)</f>
        <v>0</v>
      </c>
      <c r="Y21" s="24">
        <f ca="1">IFERROR(__xludf.DUMMYFUNCTION("""COMPUTED_VALUE"""),0)</f>
        <v>0</v>
      </c>
      <c r="Z21" s="24">
        <f ca="1">IFERROR(__xludf.DUMMYFUNCTION("""COMPUTED_VALUE"""),0)</f>
        <v>0</v>
      </c>
      <c r="AA21" s="20" t="str">
        <f ca="1">IFERROR(__xludf.DUMMYFUNCTION("""COMPUTED_VALUE"""),"10 1 G552430
")</f>
        <v xml:space="preserve">10 1 G552430
</v>
      </c>
      <c r="AB21" s="20">
        <f ca="1">IFERROR(__xludf.DUMMYFUNCTION("""COMPUTED_VALUE"""),522)</f>
        <v>522</v>
      </c>
      <c r="AC21" s="20"/>
      <c r="AD21" s="20"/>
      <c r="AE21" s="20"/>
      <c r="AF21" s="24">
        <f ca="1">IFERROR(__xludf.DUMMYFUNCTION("""COMPUTED_VALUE"""),178500.01)</f>
        <v>178500.01</v>
      </c>
      <c r="AG21" s="24">
        <f ca="1">IFERROR(__xludf.DUMMYFUNCTION("""COMPUTED_VALUE"""),83671.88)</f>
        <v>83671.88</v>
      </c>
      <c r="AH21" s="24">
        <f ca="1">IFERROR(__xludf.DUMMYFUNCTION("""COMPUTED_VALUE"""),27890.63)</f>
        <v>27890.63</v>
      </c>
      <c r="AI21" s="24">
        <f ca="1">IFERROR(__xludf.DUMMYFUNCTION("""COMPUTED_VALUE"""),0)</f>
        <v>0</v>
      </c>
      <c r="AJ21" s="24">
        <f ca="1">IFERROR(__xludf.DUMMYFUNCTION("""COMPUTED_VALUE"""),66937.5)</f>
        <v>66937.5</v>
      </c>
      <c r="AK21" s="24">
        <f ca="1">IFERROR(__xludf.DUMMYFUNCTION("""COMPUTED_VALUE"""),0)</f>
        <v>0</v>
      </c>
      <c r="AL21" s="24">
        <f ca="1">IFERROR(__xludf.DUMMYFUNCTION("""COMPUTED_VALUE"""),0)</f>
        <v>0</v>
      </c>
      <c r="AM21" s="20"/>
      <c r="AN21" s="20"/>
      <c r="AO21" s="20"/>
      <c r="AP21" s="20"/>
      <c r="AQ21" s="20"/>
      <c r="AR21" s="24">
        <f ca="1">IFERROR(__xludf.DUMMYFUNCTION("""COMPUTED_VALUE"""),0)</f>
        <v>0</v>
      </c>
      <c r="AS21" s="20"/>
      <c r="AT21" s="20"/>
      <c r="AU21" s="20"/>
      <c r="AV21" s="20"/>
      <c r="AW21" s="20"/>
      <c r="AX21" s="24">
        <f ca="1">IFERROR(__xludf.DUMMYFUNCTION("""COMPUTED_VALUE"""),0)</f>
        <v>0</v>
      </c>
      <c r="AY21" s="24">
        <f ca="1">IFERROR(__xludf.DUMMYFUNCTION("""COMPUTED_VALUE"""),0)</f>
        <v>0</v>
      </c>
      <c r="AZ21" s="24">
        <f ca="1">IFERROR(__xludf.DUMMYFUNCTION("""COMPUTED_VALUE"""),0)</f>
        <v>0</v>
      </c>
      <c r="BA21" s="20"/>
      <c r="BB21" s="24">
        <f ca="1">IFERROR(__xludf.DUMMYFUNCTION("""COMPUTED_VALUE"""),0)</f>
        <v>0</v>
      </c>
      <c r="BC21" s="20"/>
      <c r="BD21" s="24">
        <f ca="1">IFERROR(__xludf.DUMMYFUNCTION("""COMPUTED_VALUE"""),0)</f>
        <v>0</v>
      </c>
      <c r="BE21" s="24">
        <f ca="1">IFERROR(__xludf.DUMMYFUNCTION("""COMPUTED_VALUE"""),0)</f>
        <v>0</v>
      </c>
      <c r="BF21" s="24">
        <f ca="1">IFERROR(__xludf.DUMMYFUNCTION("""COMPUTED_VALUE"""),0)</f>
        <v>0</v>
      </c>
      <c r="BG21" s="20"/>
      <c r="BH21" s="24">
        <f ca="1">IFERROR(__xludf.DUMMYFUNCTION("""COMPUTED_VALUE"""),0)</f>
        <v>0</v>
      </c>
      <c r="BI21" s="20"/>
      <c r="BJ21" s="24">
        <f ca="1">IFERROR(__xludf.DUMMYFUNCTION("""COMPUTED_VALUE"""),0)</f>
        <v>0</v>
      </c>
      <c r="BK21" s="24">
        <f ca="1">IFERROR(__xludf.DUMMYFUNCTION("""COMPUTED_VALUE"""),0)</f>
        <v>0</v>
      </c>
      <c r="BL21" s="24">
        <f ca="1">IFERROR(__xludf.DUMMYFUNCTION("""COMPUTED_VALUE"""),0)</f>
        <v>0</v>
      </c>
      <c r="BM21" s="20"/>
      <c r="BN21" s="24">
        <f ca="1">IFERROR(__xludf.DUMMYFUNCTION("""COMPUTED_VALUE"""),0)</f>
        <v>0</v>
      </c>
      <c r="BO21" s="20"/>
      <c r="BP21" s="24">
        <f ca="1">IFERROR(__xludf.DUMMYFUNCTION("""COMPUTED_VALUE"""),0)</f>
        <v>0</v>
      </c>
      <c r="BQ21" s="24">
        <f ca="1">IFERROR(__xludf.DUMMYFUNCTION("""COMPUTED_VALUE"""),0)</f>
        <v>0</v>
      </c>
      <c r="BR21" s="24">
        <f ca="1">IFERROR(__xludf.DUMMYFUNCTION("""COMPUTED_VALUE"""),0)</f>
        <v>0</v>
      </c>
      <c r="BS21" s="20"/>
      <c r="BT21" s="24">
        <f ca="1">IFERROR(__xludf.DUMMYFUNCTION("""COMPUTED_VALUE"""),0)</f>
        <v>0</v>
      </c>
      <c r="BU21" s="20"/>
      <c r="BV21" s="24">
        <f ca="1">IFERROR(__xludf.DUMMYFUNCTION("""COMPUTED_VALUE"""),178500.01)</f>
        <v>178500.01</v>
      </c>
      <c r="BW21" s="24">
        <f ca="1">IFERROR(__xludf.DUMMYFUNCTION("""COMPUTED_VALUE"""),83671.88)</f>
        <v>83671.88</v>
      </c>
      <c r="BX21" s="24">
        <f ca="1">IFERROR(__xludf.DUMMYFUNCTION("""COMPUTED_VALUE"""),27890.63)</f>
        <v>27890.63</v>
      </c>
      <c r="BY21" s="20"/>
      <c r="BZ21" s="24">
        <f ca="1">IFERROR(__xludf.DUMMYFUNCTION("""COMPUTED_VALUE"""),66937.5)</f>
        <v>66937.5</v>
      </c>
      <c r="CA21" s="20"/>
      <c r="CB21" s="20"/>
      <c r="CC21" s="20"/>
      <c r="CD21" s="20"/>
      <c r="CE21" s="20"/>
      <c r="CF21" s="20"/>
      <c r="CG21" s="20"/>
      <c r="CH21" s="20"/>
      <c r="CI21" s="20"/>
      <c r="CJ21" s="20"/>
      <c r="CK21" s="20"/>
      <c r="CL21" s="20"/>
      <c r="CM21" s="20"/>
      <c r="CN21" s="20"/>
      <c r="CO21" s="20"/>
      <c r="CP21" s="20"/>
      <c r="CQ21" s="20"/>
      <c r="CR21" s="20"/>
      <c r="CS21" s="20"/>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row>
    <row r="22" spans="1:123" ht="64.5" hidden="1" customHeight="1" x14ac:dyDescent="0.2">
      <c r="A22" s="19"/>
      <c r="B22" s="20" t="str">
        <f ca="1">IFERROR(__xludf.DUMMYFUNCTION("""COMPUTED_VALUE"""),"г.о. Одинцово")</f>
        <v>г.о. Одинцово</v>
      </c>
      <c r="C2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2" s="20" t="str">
        <f ca="1">IFERROR(__xludf.DUMMYFUNCTION("""COMPUTED_VALUE"""),"МинЖКХ")</f>
        <v>МинЖКХ</v>
      </c>
      <c r="E22" s="20" t="str">
        <f ca="1">IFERROR(__xludf.DUMMYFUNCTION("""COMPUTED_VALUE"""),"Реконструкция ВЗУ 1 г.п. Большие Вяземы Одинцовский г.о.")</f>
        <v>Реконструкция ВЗУ 1 г.п. Большие Вяземы Одинцовский г.о.</v>
      </c>
      <c r="F22" s="22" t="str">
        <f ca="1">IFERROR(__xludf.DUMMYFUNCTION("""COMPUTED_VALUE"""),"ВЗУ")</f>
        <v>ВЗУ</v>
      </c>
      <c r="G22" s="20">
        <f ca="1">IFERROR(__xludf.DUMMYFUNCTION("""COMPUTED_VALUE"""),2024)</f>
        <v>2024</v>
      </c>
      <c r="H22" s="20" t="str">
        <f ca="1">IFERROR(__xludf.DUMMYFUNCTION("""COMPUTED_VALUE"""),"СМР")</f>
        <v>СМР</v>
      </c>
      <c r="I22" s="20"/>
      <c r="J22" s="20"/>
      <c r="K22" s="20"/>
      <c r="L22" s="20"/>
      <c r="M22" s="20"/>
      <c r="N22" s="24">
        <f ca="1">IFERROR(__xludf.DUMMYFUNCTION("""COMPUTED_VALUE"""),0)</f>
        <v>0</v>
      </c>
      <c r="O22" s="20"/>
      <c r="P22" s="20"/>
      <c r="Q22" s="20"/>
      <c r="R22" s="20"/>
      <c r="S22" s="20"/>
      <c r="T22" s="20"/>
      <c r="U22" s="24">
        <f ca="1">IFERROR(__xludf.DUMMYFUNCTION("""COMPUTED_VALUE"""),0)</f>
        <v>0</v>
      </c>
      <c r="V22" s="24">
        <f ca="1">IFERROR(__xludf.DUMMYFUNCTION("""COMPUTED_VALUE"""),0)</f>
        <v>0</v>
      </c>
      <c r="W22" s="24">
        <f ca="1">IFERROR(__xludf.DUMMYFUNCTION("""COMPUTED_VALUE"""),0)</f>
        <v>0</v>
      </c>
      <c r="X22" s="24">
        <f ca="1">IFERROR(__xludf.DUMMYFUNCTION("""COMPUTED_VALUE"""),0)</f>
        <v>0</v>
      </c>
      <c r="Y22" s="24">
        <f ca="1">IFERROR(__xludf.DUMMYFUNCTION("""COMPUTED_VALUE"""),0)</f>
        <v>0</v>
      </c>
      <c r="Z22" s="24">
        <f ca="1">IFERROR(__xludf.DUMMYFUNCTION("""COMPUTED_VALUE"""),0)</f>
        <v>0</v>
      </c>
      <c r="AA22" s="20" t="str">
        <f ca="1">IFERROR(__xludf.DUMMYFUNCTION("""COMPUTED_VALUE"""),"10 1 G552430
")</f>
        <v xml:space="preserve">10 1 G552430
</v>
      </c>
      <c r="AB22" s="20">
        <f ca="1">IFERROR(__xludf.DUMMYFUNCTION("""COMPUTED_VALUE"""),522)</f>
        <v>522</v>
      </c>
      <c r="AC22" s="20"/>
      <c r="AD22" s="20"/>
      <c r="AE22" s="20"/>
      <c r="AF22" s="24">
        <f ca="1">IFERROR(__xludf.DUMMYFUNCTION("""COMPUTED_VALUE"""),155750)</f>
        <v>155750</v>
      </c>
      <c r="AG22" s="24">
        <f ca="1">IFERROR(__xludf.DUMMYFUNCTION("""COMPUTED_VALUE"""),73007.81)</f>
        <v>73007.81</v>
      </c>
      <c r="AH22" s="24">
        <f ca="1">IFERROR(__xludf.DUMMYFUNCTION("""COMPUTED_VALUE"""),24335.94)</f>
        <v>24335.94</v>
      </c>
      <c r="AI22" s="24">
        <f ca="1">IFERROR(__xludf.DUMMYFUNCTION("""COMPUTED_VALUE"""),0)</f>
        <v>0</v>
      </c>
      <c r="AJ22" s="24">
        <f ca="1">IFERROR(__xludf.DUMMYFUNCTION("""COMPUTED_VALUE"""),58406.25)</f>
        <v>58406.25</v>
      </c>
      <c r="AK22" s="24">
        <f ca="1">IFERROR(__xludf.DUMMYFUNCTION("""COMPUTED_VALUE"""),0)</f>
        <v>0</v>
      </c>
      <c r="AL22" s="24">
        <f ca="1">IFERROR(__xludf.DUMMYFUNCTION("""COMPUTED_VALUE"""),0)</f>
        <v>0</v>
      </c>
      <c r="AM22" s="20"/>
      <c r="AN22" s="20"/>
      <c r="AO22" s="20"/>
      <c r="AP22" s="20"/>
      <c r="AQ22" s="20"/>
      <c r="AR22" s="24">
        <f ca="1">IFERROR(__xludf.DUMMYFUNCTION("""COMPUTED_VALUE"""),0)</f>
        <v>0</v>
      </c>
      <c r="AS22" s="20"/>
      <c r="AT22" s="20"/>
      <c r="AU22" s="20"/>
      <c r="AV22" s="20"/>
      <c r="AW22" s="20"/>
      <c r="AX22" s="24">
        <f ca="1">IFERROR(__xludf.DUMMYFUNCTION("""COMPUTED_VALUE"""),0)</f>
        <v>0</v>
      </c>
      <c r="AY22" s="24">
        <f ca="1">IFERROR(__xludf.DUMMYFUNCTION("""COMPUTED_VALUE"""),0)</f>
        <v>0</v>
      </c>
      <c r="AZ22" s="24">
        <f ca="1">IFERROR(__xludf.DUMMYFUNCTION("""COMPUTED_VALUE"""),0)</f>
        <v>0</v>
      </c>
      <c r="BA22" s="20"/>
      <c r="BB22" s="24">
        <f ca="1">IFERROR(__xludf.DUMMYFUNCTION("""COMPUTED_VALUE"""),0)</f>
        <v>0</v>
      </c>
      <c r="BC22" s="20"/>
      <c r="BD22" s="24">
        <f ca="1">IFERROR(__xludf.DUMMYFUNCTION("""COMPUTED_VALUE"""),0)</f>
        <v>0</v>
      </c>
      <c r="BE22" s="24">
        <f ca="1">IFERROR(__xludf.DUMMYFUNCTION("""COMPUTED_VALUE"""),0)</f>
        <v>0</v>
      </c>
      <c r="BF22" s="24">
        <f ca="1">IFERROR(__xludf.DUMMYFUNCTION("""COMPUTED_VALUE"""),0)</f>
        <v>0</v>
      </c>
      <c r="BG22" s="20"/>
      <c r="BH22" s="24">
        <f ca="1">IFERROR(__xludf.DUMMYFUNCTION("""COMPUTED_VALUE"""),0)</f>
        <v>0</v>
      </c>
      <c r="BI22" s="20"/>
      <c r="BJ22" s="24">
        <f ca="1">IFERROR(__xludf.DUMMYFUNCTION("""COMPUTED_VALUE"""),0)</f>
        <v>0</v>
      </c>
      <c r="BK22" s="24">
        <f ca="1">IFERROR(__xludf.DUMMYFUNCTION("""COMPUTED_VALUE"""),0)</f>
        <v>0</v>
      </c>
      <c r="BL22" s="24">
        <f ca="1">IFERROR(__xludf.DUMMYFUNCTION("""COMPUTED_VALUE"""),0)</f>
        <v>0</v>
      </c>
      <c r="BM22" s="20"/>
      <c r="BN22" s="24">
        <f ca="1">IFERROR(__xludf.DUMMYFUNCTION("""COMPUTED_VALUE"""),0)</f>
        <v>0</v>
      </c>
      <c r="BO22" s="20"/>
      <c r="BP22" s="24">
        <f ca="1">IFERROR(__xludf.DUMMYFUNCTION("""COMPUTED_VALUE"""),0)</f>
        <v>0</v>
      </c>
      <c r="BQ22" s="24">
        <f ca="1">IFERROR(__xludf.DUMMYFUNCTION("""COMPUTED_VALUE"""),0)</f>
        <v>0</v>
      </c>
      <c r="BR22" s="24">
        <f ca="1">IFERROR(__xludf.DUMMYFUNCTION("""COMPUTED_VALUE"""),0)</f>
        <v>0</v>
      </c>
      <c r="BS22" s="20"/>
      <c r="BT22" s="24">
        <f ca="1">IFERROR(__xludf.DUMMYFUNCTION("""COMPUTED_VALUE"""),0)</f>
        <v>0</v>
      </c>
      <c r="BU22" s="20"/>
      <c r="BV22" s="24">
        <f ca="1">IFERROR(__xludf.DUMMYFUNCTION("""COMPUTED_VALUE"""),155750)</f>
        <v>155750</v>
      </c>
      <c r="BW22" s="24">
        <f ca="1">IFERROR(__xludf.DUMMYFUNCTION("""COMPUTED_VALUE"""),73007.81)</f>
        <v>73007.81</v>
      </c>
      <c r="BX22" s="24">
        <f ca="1">IFERROR(__xludf.DUMMYFUNCTION("""COMPUTED_VALUE"""),24335.94)</f>
        <v>24335.94</v>
      </c>
      <c r="BY22" s="20"/>
      <c r="BZ22" s="24">
        <f ca="1">IFERROR(__xludf.DUMMYFUNCTION("""COMPUTED_VALUE"""),58406.25)</f>
        <v>58406.25</v>
      </c>
      <c r="CA22" s="20"/>
      <c r="CB22" s="20"/>
      <c r="CC22" s="20"/>
      <c r="CD22" s="20"/>
      <c r="CE22" s="20"/>
      <c r="CF22" s="20"/>
      <c r="CG22" s="20"/>
      <c r="CH22" s="20"/>
      <c r="CI22" s="20"/>
      <c r="CJ22" s="20"/>
      <c r="CK22" s="20"/>
      <c r="CL22" s="20"/>
      <c r="CM22" s="20"/>
      <c r="CN22" s="20"/>
      <c r="CO22" s="20"/>
      <c r="CP22" s="20"/>
      <c r="CQ22" s="20"/>
      <c r="CR22" s="20"/>
      <c r="CS22" s="20"/>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row>
    <row r="23" spans="1:123" ht="64.5" hidden="1" customHeight="1" x14ac:dyDescent="0.2">
      <c r="A23" s="19"/>
      <c r="B23" s="20" t="str">
        <f ca="1">IFERROR(__xludf.DUMMYFUNCTION("""COMPUTED_VALUE"""),"г.о. Одинцово")</f>
        <v>г.о. Одинцово</v>
      </c>
      <c r="C2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3" s="20" t="str">
        <f ca="1">IFERROR(__xludf.DUMMYFUNCTION("""COMPUTED_VALUE"""),"МинЖКХ")</f>
        <v>МинЖКХ</v>
      </c>
      <c r="E23" s="20" t="str">
        <f ca="1">IFERROR(__xludf.DUMMYFUNCTION("""COMPUTED_VALUE"""),"Реконструкция ВЗУ 2 г.п. Большие Вяземы Одинцовский г.о.")</f>
        <v>Реконструкция ВЗУ 2 г.п. Большие Вяземы Одинцовский г.о.</v>
      </c>
      <c r="F23" s="22" t="str">
        <f ca="1">IFERROR(__xludf.DUMMYFUNCTION("""COMPUTED_VALUE"""),"ВЗУ")</f>
        <v>ВЗУ</v>
      </c>
      <c r="G23" s="20">
        <f ca="1">IFERROR(__xludf.DUMMYFUNCTION("""COMPUTED_VALUE"""),2024)</f>
        <v>2024</v>
      </c>
      <c r="H23" s="20" t="str">
        <f ca="1">IFERROR(__xludf.DUMMYFUNCTION("""COMPUTED_VALUE"""),"СМР")</f>
        <v>СМР</v>
      </c>
      <c r="I23" s="20"/>
      <c r="J23" s="20"/>
      <c r="K23" s="20"/>
      <c r="L23" s="20"/>
      <c r="M23" s="20"/>
      <c r="N23" s="24">
        <f ca="1">IFERROR(__xludf.DUMMYFUNCTION("""COMPUTED_VALUE"""),0)</f>
        <v>0</v>
      </c>
      <c r="O23" s="20"/>
      <c r="P23" s="20"/>
      <c r="Q23" s="20"/>
      <c r="R23" s="20"/>
      <c r="S23" s="20"/>
      <c r="T23" s="20"/>
      <c r="U23" s="24">
        <f ca="1">IFERROR(__xludf.DUMMYFUNCTION("""COMPUTED_VALUE"""),0)</f>
        <v>0</v>
      </c>
      <c r="V23" s="24">
        <f ca="1">IFERROR(__xludf.DUMMYFUNCTION("""COMPUTED_VALUE"""),0)</f>
        <v>0</v>
      </c>
      <c r="W23" s="24">
        <f ca="1">IFERROR(__xludf.DUMMYFUNCTION("""COMPUTED_VALUE"""),0)</f>
        <v>0</v>
      </c>
      <c r="X23" s="24">
        <f ca="1">IFERROR(__xludf.DUMMYFUNCTION("""COMPUTED_VALUE"""),0)</f>
        <v>0</v>
      </c>
      <c r="Y23" s="24">
        <f ca="1">IFERROR(__xludf.DUMMYFUNCTION("""COMPUTED_VALUE"""),0)</f>
        <v>0</v>
      </c>
      <c r="Z23" s="24">
        <f ca="1">IFERROR(__xludf.DUMMYFUNCTION("""COMPUTED_VALUE"""),0)</f>
        <v>0</v>
      </c>
      <c r="AA23" s="20" t="str">
        <f ca="1">IFERROR(__xludf.DUMMYFUNCTION("""COMPUTED_VALUE"""),"10 1 G552430
")</f>
        <v xml:space="preserve">10 1 G552430
</v>
      </c>
      <c r="AB23" s="20">
        <f ca="1">IFERROR(__xludf.DUMMYFUNCTION("""COMPUTED_VALUE"""),522)</f>
        <v>522</v>
      </c>
      <c r="AC23" s="20"/>
      <c r="AD23" s="20"/>
      <c r="AE23" s="20"/>
      <c r="AF23" s="24">
        <f ca="1">IFERROR(__xludf.DUMMYFUNCTION("""COMPUTED_VALUE"""),150150)</f>
        <v>150150</v>
      </c>
      <c r="AG23" s="24">
        <f ca="1">IFERROR(__xludf.DUMMYFUNCTION("""COMPUTED_VALUE"""),70382.81)</f>
        <v>70382.81</v>
      </c>
      <c r="AH23" s="24">
        <f ca="1">IFERROR(__xludf.DUMMYFUNCTION("""COMPUTED_VALUE"""),23460.94)</f>
        <v>23460.94</v>
      </c>
      <c r="AI23" s="24">
        <f ca="1">IFERROR(__xludf.DUMMYFUNCTION("""COMPUTED_VALUE"""),0)</f>
        <v>0</v>
      </c>
      <c r="AJ23" s="24">
        <f ca="1">IFERROR(__xludf.DUMMYFUNCTION("""COMPUTED_VALUE"""),56306.25)</f>
        <v>56306.25</v>
      </c>
      <c r="AK23" s="24">
        <f ca="1">IFERROR(__xludf.DUMMYFUNCTION("""COMPUTED_VALUE"""),0)</f>
        <v>0</v>
      </c>
      <c r="AL23" s="24">
        <f ca="1">IFERROR(__xludf.DUMMYFUNCTION("""COMPUTED_VALUE"""),0)</f>
        <v>0</v>
      </c>
      <c r="AM23" s="20"/>
      <c r="AN23" s="20"/>
      <c r="AO23" s="20"/>
      <c r="AP23" s="20"/>
      <c r="AQ23" s="20"/>
      <c r="AR23" s="24">
        <f ca="1">IFERROR(__xludf.DUMMYFUNCTION("""COMPUTED_VALUE"""),0)</f>
        <v>0</v>
      </c>
      <c r="AS23" s="20"/>
      <c r="AT23" s="20"/>
      <c r="AU23" s="20"/>
      <c r="AV23" s="20"/>
      <c r="AW23" s="20"/>
      <c r="AX23" s="24">
        <f ca="1">IFERROR(__xludf.DUMMYFUNCTION("""COMPUTED_VALUE"""),0)</f>
        <v>0</v>
      </c>
      <c r="AY23" s="24">
        <f ca="1">IFERROR(__xludf.DUMMYFUNCTION("""COMPUTED_VALUE"""),0)</f>
        <v>0</v>
      </c>
      <c r="AZ23" s="24">
        <f ca="1">IFERROR(__xludf.DUMMYFUNCTION("""COMPUTED_VALUE"""),0)</f>
        <v>0</v>
      </c>
      <c r="BA23" s="20"/>
      <c r="BB23" s="24">
        <f ca="1">IFERROR(__xludf.DUMMYFUNCTION("""COMPUTED_VALUE"""),0)</f>
        <v>0</v>
      </c>
      <c r="BC23" s="20"/>
      <c r="BD23" s="24">
        <f ca="1">IFERROR(__xludf.DUMMYFUNCTION("""COMPUTED_VALUE"""),0)</f>
        <v>0</v>
      </c>
      <c r="BE23" s="24">
        <f ca="1">IFERROR(__xludf.DUMMYFUNCTION("""COMPUTED_VALUE"""),0)</f>
        <v>0</v>
      </c>
      <c r="BF23" s="24">
        <f ca="1">IFERROR(__xludf.DUMMYFUNCTION("""COMPUTED_VALUE"""),0)</f>
        <v>0</v>
      </c>
      <c r="BG23" s="20"/>
      <c r="BH23" s="24">
        <f ca="1">IFERROR(__xludf.DUMMYFUNCTION("""COMPUTED_VALUE"""),0)</f>
        <v>0</v>
      </c>
      <c r="BI23" s="20"/>
      <c r="BJ23" s="24">
        <f ca="1">IFERROR(__xludf.DUMMYFUNCTION("""COMPUTED_VALUE"""),0)</f>
        <v>0</v>
      </c>
      <c r="BK23" s="24">
        <f ca="1">IFERROR(__xludf.DUMMYFUNCTION("""COMPUTED_VALUE"""),0)</f>
        <v>0</v>
      </c>
      <c r="BL23" s="24">
        <f ca="1">IFERROR(__xludf.DUMMYFUNCTION("""COMPUTED_VALUE"""),0)</f>
        <v>0</v>
      </c>
      <c r="BM23" s="20"/>
      <c r="BN23" s="24">
        <f ca="1">IFERROR(__xludf.DUMMYFUNCTION("""COMPUTED_VALUE"""),0)</f>
        <v>0</v>
      </c>
      <c r="BO23" s="20"/>
      <c r="BP23" s="24">
        <f ca="1">IFERROR(__xludf.DUMMYFUNCTION("""COMPUTED_VALUE"""),0)</f>
        <v>0</v>
      </c>
      <c r="BQ23" s="24">
        <f ca="1">IFERROR(__xludf.DUMMYFUNCTION("""COMPUTED_VALUE"""),0)</f>
        <v>0</v>
      </c>
      <c r="BR23" s="24">
        <f ca="1">IFERROR(__xludf.DUMMYFUNCTION("""COMPUTED_VALUE"""),0)</f>
        <v>0</v>
      </c>
      <c r="BS23" s="20"/>
      <c r="BT23" s="24">
        <f ca="1">IFERROR(__xludf.DUMMYFUNCTION("""COMPUTED_VALUE"""),0)</f>
        <v>0</v>
      </c>
      <c r="BU23" s="20"/>
      <c r="BV23" s="24">
        <f ca="1">IFERROR(__xludf.DUMMYFUNCTION("""COMPUTED_VALUE"""),150150)</f>
        <v>150150</v>
      </c>
      <c r="BW23" s="24">
        <f ca="1">IFERROR(__xludf.DUMMYFUNCTION("""COMPUTED_VALUE"""),70382.81)</f>
        <v>70382.81</v>
      </c>
      <c r="BX23" s="24">
        <f ca="1">IFERROR(__xludf.DUMMYFUNCTION("""COMPUTED_VALUE"""),23460.94)</f>
        <v>23460.94</v>
      </c>
      <c r="BY23" s="20"/>
      <c r="BZ23" s="24">
        <f ca="1">IFERROR(__xludf.DUMMYFUNCTION("""COMPUTED_VALUE"""),56306.25)</f>
        <v>56306.25</v>
      </c>
      <c r="CA23" s="20"/>
      <c r="CB23" s="20"/>
      <c r="CC23" s="20"/>
      <c r="CD23" s="20"/>
      <c r="CE23" s="20"/>
      <c r="CF23" s="20"/>
      <c r="CG23" s="20"/>
      <c r="CH23" s="20"/>
      <c r="CI23" s="20"/>
      <c r="CJ23" s="20"/>
      <c r="CK23" s="20"/>
      <c r="CL23" s="20"/>
      <c r="CM23" s="20"/>
      <c r="CN23" s="20"/>
      <c r="CO23" s="20"/>
      <c r="CP23" s="20"/>
      <c r="CQ23" s="20"/>
      <c r="CR23" s="20"/>
      <c r="CS23" s="20"/>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row>
    <row r="24" spans="1:123" ht="64.5" hidden="1" customHeight="1" x14ac:dyDescent="0.2">
      <c r="A24" s="19"/>
      <c r="B24" s="20" t="str">
        <f ca="1">IFERROR(__xludf.DUMMYFUNCTION("""COMPUTED_VALUE"""),"г.о. Одинцово")</f>
        <v>г.о. Одинцово</v>
      </c>
      <c r="C2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4" s="20" t="str">
        <f ca="1">IFERROR(__xludf.DUMMYFUNCTION("""COMPUTED_VALUE"""),"МинЖКХ")</f>
        <v>МинЖКХ</v>
      </c>
      <c r="E24" s="20" t="str">
        <f ca="1">IFERROR(__xludf.DUMMYFUNCTION("""COMPUTED_VALUE"""),"Реконструкция ВЗУ 9 Одинцовский г.о.")</f>
        <v>Реконструкция ВЗУ 9 Одинцовский г.о.</v>
      </c>
      <c r="F24" s="22" t="str">
        <f ca="1">IFERROR(__xludf.DUMMYFUNCTION("""COMPUTED_VALUE"""),"ВЗУ")</f>
        <v>ВЗУ</v>
      </c>
      <c r="G24" s="20">
        <f ca="1">IFERROR(__xludf.DUMMYFUNCTION("""COMPUTED_VALUE"""),2024)</f>
        <v>2024</v>
      </c>
      <c r="H24" s="20" t="str">
        <f ca="1">IFERROR(__xludf.DUMMYFUNCTION("""COMPUTED_VALUE"""),"СМР")</f>
        <v>СМР</v>
      </c>
      <c r="I24" s="20"/>
      <c r="J24" s="20"/>
      <c r="K24" s="20"/>
      <c r="L24" s="20"/>
      <c r="M24" s="20"/>
      <c r="N24" s="24">
        <f ca="1">IFERROR(__xludf.DUMMYFUNCTION("""COMPUTED_VALUE"""),0)</f>
        <v>0</v>
      </c>
      <c r="O24" s="20"/>
      <c r="P24" s="20"/>
      <c r="Q24" s="20"/>
      <c r="R24" s="20"/>
      <c r="S24" s="20"/>
      <c r="T24" s="20"/>
      <c r="U24" s="24">
        <f ca="1">IFERROR(__xludf.DUMMYFUNCTION("""COMPUTED_VALUE"""),0)</f>
        <v>0</v>
      </c>
      <c r="V24" s="24">
        <f ca="1">IFERROR(__xludf.DUMMYFUNCTION("""COMPUTED_VALUE"""),0)</f>
        <v>0</v>
      </c>
      <c r="W24" s="24">
        <f ca="1">IFERROR(__xludf.DUMMYFUNCTION("""COMPUTED_VALUE"""),0)</f>
        <v>0</v>
      </c>
      <c r="X24" s="24">
        <f ca="1">IFERROR(__xludf.DUMMYFUNCTION("""COMPUTED_VALUE"""),0)</f>
        <v>0</v>
      </c>
      <c r="Y24" s="24">
        <f ca="1">IFERROR(__xludf.DUMMYFUNCTION("""COMPUTED_VALUE"""),0)</f>
        <v>0</v>
      </c>
      <c r="Z24" s="24">
        <f ca="1">IFERROR(__xludf.DUMMYFUNCTION("""COMPUTED_VALUE"""),0)</f>
        <v>0</v>
      </c>
      <c r="AA24" s="20" t="str">
        <f ca="1">IFERROR(__xludf.DUMMYFUNCTION("""COMPUTED_VALUE"""),"10 1 G552430
")</f>
        <v xml:space="preserve">10 1 G552430
</v>
      </c>
      <c r="AB24" s="20">
        <f ca="1">IFERROR(__xludf.DUMMYFUNCTION("""COMPUTED_VALUE"""),522)</f>
        <v>522</v>
      </c>
      <c r="AC24" s="20"/>
      <c r="AD24" s="20"/>
      <c r="AE24" s="20"/>
      <c r="AF24" s="24">
        <f ca="1">IFERROR(__xludf.DUMMYFUNCTION("""COMPUTED_VALUE"""),140000)</f>
        <v>140000</v>
      </c>
      <c r="AG24" s="24">
        <f ca="1">IFERROR(__xludf.DUMMYFUNCTION("""COMPUTED_VALUE"""),65625)</f>
        <v>65625</v>
      </c>
      <c r="AH24" s="24">
        <f ca="1">IFERROR(__xludf.DUMMYFUNCTION("""COMPUTED_VALUE"""),21875)</f>
        <v>21875</v>
      </c>
      <c r="AI24" s="24">
        <f ca="1">IFERROR(__xludf.DUMMYFUNCTION("""COMPUTED_VALUE"""),0)</f>
        <v>0</v>
      </c>
      <c r="AJ24" s="24">
        <f ca="1">IFERROR(__xludf.DUMMYFUNCTION("""COMPUTED_VALUE"""),52500)</f>
        <v>52500</v>
      </c>
      <c r="AK24" s="24">
        <f ca="1">IFERROR(__xludf.DUMMYFUNCTION("""COMPUTED_VALUE"""),0)</f>
        <v>0</v>
      </c>
      <c r="AL24" s="24">
        <f ca="1">IFERROR(__xludf.DUMMYFUNCTION("""COMPUTED_VALUE"""),0)</f>
        <v>0</v>
      </c>
      <c r="AM24" s="20"/>
      <c r="AN24" s="20"/>
      <c r="AO24" s="20"/>
      <c r="AP24" s="20"/>
      <c r="AQ24" s="20"/>
      <c r="AR24" s="24">
        <f ca="1">IFERROR(__xludf.DUMMYFUNCTION("""COMPUTED_VALUE"""),0)</f>
        <v>0</v>
      </c>
      <c r="AS24" s="20"/>
      <c r="AT24" s="20"/>
      <c r="AU24" s="20"/>
      <c r="AV24" s="20"/>
      <c r="AW24" s="20"/>
      <c r="AX24" s="24">
        <f ca="1">IFERROR(__xludf.DUMMYFUNCTION("""COMPUTED_VALUE"""),0)</f>
        <v>0</v>
      </c>
      <c r="AY24" s="24">
        <f ca="1">IFERROR(__xludf.DUMMYFUNCTION("""COMPUTED_VALUE"""),0)</f>
        <v>0</v>
      </c>
      <c r="AZ24" s="24">
        <f ca="1">IFERROR(__xludf.DUMMYFUNCTION("""COMPUTED_VALUE"""),0)</f>
        <v>0</v>
      </c>
      <c r="BA24" s="20"/>
      <c r="BB24" s="24">
        <f ca="1">IFERROR(__xludf.DUMMYFUNCTION("""COMPUTED_VALUE"""),0)</f>
        <v>0</v>
      </c>
      <c r="BC24" s="20"/>
      <c r="BD24" s="24">
        <f ca="1">IFERROR(__xludf.DUMMYFUNCTION("""COMPUTED_VALUE"""),0)</f>
        <v>0</v>
      </c>
      <c r="BE24" s="24">
        <f ca="1">IFERROR(__xludf.DUMMYFUNCTION("""COMPUTED_VALUE"""),0)</f>
        <v>0</v>
      </c>
      <c r="BF24" s="24">
        <f ca="1">IFERROR(__xludf.DUMMYFUNCTION("""COMPUTED_VALUE"""),0)</f>
        <v>0</v>
      </c>
      <c r="BG24" s="20"/>
      <c r="BH24" s="24">
        <f ca="1">IFERROR(__xludf.DUMMYFUNCTION("""COMPUTED_VALUE"""),0)</f>
        <v>0</v>
      </c>
      <c r="BI24" s="20"/>
      <c r="BJ24" s="24">
        <f ca="1">IFERROR(__xludf.DUMMYFUNCTION("""COMPUTED_VALUE"""),0)</f>
        <v>0</v>
      </c>
      <c r="BK24" s="24">
        <f ca="1">IFERROR(__xludf.DUMMYFUNCTION("""COMPUTED_VALUE"""),0)</f>
        <v>0</v>
      </c>
      <c r="BL24" s="24">
        <f ca="1">IFERROR(__xludf.DUMMYFUNCTION("""COMPUTED_VALUE"""),0)</f>
        <v>0</v>
      </c>
      <c r="BM24" s="20"/>
      <c r="BN24" s="24">
        <f ca="1">IFERROR(__xludf.DUMMYFUNCTION("""COMPUTED_VALUE"""),0)</f>
        <v>0</v>
      </c>
      <c r="BO24" s="20"/>
      <c r="BP24" s="24">
        <f ca="1">IFERROR(__xludf.DUMMYFUNCTION("""COMPUTED_VALUE"""),0)</f>
        <v>0</v>
      </c>
      <c r="BQ24" s="24">
        <f ca="1">IFERROR(__xludf.DUMMYFUNCTION("""COMPUTED_VALUE"""),0)</f>
        <v>0</v>
      </c>
      <c r="BR24" s="24">
        <f ca="1">IFERROR(__xludf.DUMMYFUNCTION("""COMPUTED_VALUE"""),0)</f>
        <v>0</v>
      </c>
      <c r="BS24" s="20"/>
      <c r="BT24" s="24">
        <f ca="1">IFERROR(__xludf.DUMMYFUNCTION("""COMPUTED_VALUE"""),0)</f>
        <v>0</v>
      </c>
      <c r="BU24" s="20"/>
      <c r="BV24" s="24">
        <f ca="1">IFERROR(__xludf.DUMMYFUNCTION("""COMPUTED_VALUE"""),140000)</f>
        <v>140000</v>
      </c>
      <c r="BW24" s="24">
        <f ca="1">IFERROR(__xludf.DUMMYFUNCTION("""COMPUTED_VALUE"""),65625)</f>
        <v>65625</v>
      </c>
      <c r="BX24" s="24">
        <f ca="1">IFERROR(__xludf.DUMMYFUNCTION("""COMPUTED_VALUE"""),21875)</f>
        <v>21875</v>
      </c>
      <c r="BY24" s="20"/>
      <c r="BZ24" s="24">
        <f ca="1">IFERROR(__xludf.DUMMYFUNCTION("""COMPUTED_VALUE"""),52500)</f>
        <v>52500</v>
      </c>
      <c r="CA24" s="20"/>
      <c r="CB24" s="20"/>
      <c r="CC24" s="20"/>
      <c r="CD24" s="20"/>
      <c r="CE24" s="20"/>
      <c r="CF24" s="20"/>
      <c r="CG24" s="20"/>
      <c r="CH24" s="20"/>
      <c r="CI24" s="20"/>
      <c r="CJ24" s="20"/>
      <c r="CK24" s="20"/>
      <c r="CL24" s="20"/>
      <c r="CM24" s="20"/>
      <c r="CN24" s="20"/>
      <c r="CO24" s="20"/>
      <c r="CP24" s="20"/>
      <c r="CQ24" s="20"/>
      <c r="CR24" s="20"/>
      <c r="CS24" s="20"/>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row>
    <row r="25" spans="1:123" ht="64.5" hidden="1" customHeight="1" x14ac:dyDescent="0.2">
      <c r="A25" s="19"/>
      <c r="B25" s="20" t="str">
        <f ca="1">IFERROR(__xludf.DUMMYFUNCTION("""COMPUTED_VALUE"""),"г.о. Одинцово")</f>
        <v>г.о. Одинцово</v>
      </c>
      <c r="C2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5" s="20" t="str">
        <f ca="1">IFERROR(__xludf.DUMMYFUNCTION("""COMPUTED_VALUE"""),"МинЖКХ")</f>
        <v>МинЖКХ</v>
      </c>
      <c r="E25" s="20" t="str">
        <f ca="1">IFERROR(__xludf.DUMMYFUNCTION("""COMPUTED_VALUE"""),"Реконструкция ВЗУ В.Ромашково Одинцовский г.о.")</f>
        <v>Реконструкция ВЗУ В.Ромашково Одинцовский г.о.</v>
      </c>
      <c r="F25" s="22" t="str">
        <f ca="1">IFERROR(__xludf.DUMMYFUNCTION("""COMPUTED_VALUE"""),"ВЗУ")</f>
        <v>ВЗУ</v>
      </c>
      <c r="G25" s="20">
        <f ca="1">IFERROR(__xludf.DUMMYFUNCTION("""COMPUTED_VALUE"""),2024)</f>
        <v>2024</v>
      </c>
      <c r="H25" s="20" t="str">
        <f ca="1">IFERROR(__xludf.DUMMYFUNCTION("""COMPUTED_VALUE"""),"СМР")</f>
        <v>СМР</v>
      </c>
      <c r="I25" s="20"/>
      <c r="J25" s="20"/>
      <c r="K25" s="20"/>
      <c r="L25" s="20"/>
      <c r="M25" s="20"/>
      <c r="N25" s="24">
        <f ca="1">IFERROR(__xludf.DUMMYFUNCTION("""COMPUTED_VALUE"""),0)</f>
        <v>0</v>
      </c>
      <c r="O25" s="20"/>
      <c r="P25" s="20"/>
      <c r="Q25" s="20"/>
      <c r="R25" s="20"/>
      <c r="S25" s="20"/>
      <c r="T25" s="20"/>
      <c r="U25" s="24">
        <f ca="1">IFERROR(__xludf.DUMMYFUNCTION("""COMPUTED_VALUE"""),0)</f>
        <v>0</v>
      </c>
      <c r="V25" s="24">
        <f ca="1">IFERROR(__xludf.DUMMYFUNCTION("""COMPUTED_VALUE"""),0)</f>
        <v>0</v>
      </c>
      <c r="W25" s="24">
        <f ca="1">IFERROR(__xludf.DUMMYFUNCTION("""COMPUTED_VALUE"""),0)</f>
        <v>0</v>
      </c>
      <c r="X25" s="24">
        <f ca="1">IFERROR(__xludf.DUMMYFUNCTION("""COMPUTED_VALUE"""),0)</f>
        <v>0</v>
      </c>
      <c r="Y25" s="24">
        <f ca="1">IFERROR(__xludf.DUMMYFUNCTION("""COMPUTED_VALUE"""),0)</f>
        <v>0</v>
      </c>
      <c r="Z25" s="24">
        <f ca="1">IFERROR(__xludf.DUMMYFUNCTION("""COMPUTED_VALUE"""),0)</f>
        <v>0</v>
      </c>
      <c r="AA25" s="20" t="str">
        <f ca="1">IFERROR(__xludf.DUMMYFUNCTION("""COMPUTED_VALUE"""),"10 1 G552430
")</f>
        <v xml:space="preserve">10 1 G552430
</v>
      </c>
      <c r="AB25" s="20">
        <f ca="1">IFERROR(__xludf.DUMMYFUNCTION("""COMPUTED_VALUE"""),522)</f>
        <v>522</v>
      </c>
      <c r="AC25" s="20"/>
      <c r="AD25" s="20"/>
      <c r="AE25" s="20"/>
      <c r="AF25" s="24">
        <f ca="1">IFERROR(__xludf.DUMMYFUNCTION("""COMPUTED_VALUE"""),45500.01)</f>
        <v>45500.01</v>
      </c>
      <c r="AG25" s="24">
        <f ca="1">IFERROR(__xludf.DUMMYFUNCTION("""COMPUTED_VALUE"""),21328.13)</f>
        <v>21328.13</v>
      </c>
      <c r="AH25" s="24">
        <f ca="1">IFERROR(__xludf.DUMMYFUNCTION("""COMPUTED_VALUE"""),7109.38)</f>
        <v>7109.38</v>
      </c>
      <c r="AI25" s="24">
        <f ca="1">IFERROR(__xludf.DUMMYFUNCTION("""COMPUTED_VALUE"""),0)</f>
        <v>0</v>
      </c>
      <c r="AJ25" s="24">
        <f ca="1">IFERROR(__xludf.DUMMYFUNCTION("""COMPUTED_VALUE"""),17062.5)</f>
        <v>17062.5</v>
      </c>
      <c r="AK25" s="24">
        <f ca="1">IFERROR(__xludf.DUMMYFUNCTION("""COMPUTED_VALUE"""),0)</f>
        <v>0</v>
      </c>
      <c r="AL25" s="24">
        <f ca="1">IFERROR(__xludf.DUMMYFUNCTION("""COMPUTED_VALUE"""),0)</f>
        <v>0</v>
      </c>
      <c r="AM25" s="20"/>
      <c r="AN25" s="20"/>
      <c r="AO25" s="20"/>
      <c r="AP25" s="20"/>
      <c r="AQ25" s="20"/>
      <c r="AR25" s="24">
        <f ca="1">IFERROR(__xludf.DUMMYFUNCTION("""COMPUTED_VALUE"""),0)</f>
        <v>0</v>
      </c>
      <c r="AS25" s="20"/>
      <c r="AT25" s="20"/>
      <c r="AU25" s="20"/>
      <c r="AV25" s="20"/>
      <c r="AW25" s="20"/>
      <c r="AX25" s="24">
        <f ca="1">IFERROR(__xludf.DUMMYFUNCTION("""COMPUTED_VALUE"""),0)</f>
        <v>0</v>
      </c>
      <c r="AY25" s="24">
        <f ca="1">IFERROR(__xludf.DUMMYFUNCTION("""COMPUTED_VALUE"""),0)</f>
        <v>0</v>
      </c>
      <c r="AZ25" s="24">
        <f ca="1">IFERROR(__xludf.DUMMYFUNCTION("""COMPUTED_VALUE"""),0)</f>
        <v>0</v>
      </c>
      <c r="BA25" s="20"/>
      <c r="BB25" s="24">
        <f ca="1">IFERROR(__xludf.DUMMYFUNCTION("""COMPUTED_VALUE"""),0)</f>
        <v>0</v>
      </c>
      <c r="BC25" s="20"/>
      <c r="BD25" s="24">
        <f ca="1">IFERROR(__xludf.DUMMYFUNCTION("""COMPUTED_VALUE"""),0)</f>
        <v>0</v>
      </c>
      <c r="BE25" s="24">
        <f ca="1">IFERROR(__xludf.DUMMYFUNCTION("""COMPUTED_VALUE"""),0)</f>
        <v>0</v>
      </c>
      <c r="BF25" s="24">
        <f ca="1">IFERROR(__xludf.DUMMYFUNCTION("""COMPUTED_VALUE"""),0)</f>
        <v>0</v>
      </c>
      <c r="BG25" s="20"/>
      <c r="BH25" s="24">
        <f ca="1">IFERROR(__xludf.DUMMYFUNCTION("""COMPUTED_VALUE"""),0)</f>
        <v>0</v>
      </c>
      <c r="BI25" s="20"/>
      <c r="BJ25" s="24">
        <f ca="1">IFERROR(__xludf.DUMMYFUNCTION("""COMPUTED_VALUE"""),0)</f>
        <v>0</v>
      </c>
      <c r="BK25" s="24">
        <f ca="1">IFERROR(__xludf.DUMMYFUNCTION("""COMPUTED_VALUE"""),0)</f>
        <v>0</v>
      </c>
      <c r="BL25" s="24">
        <f ca="1">IFERROR(__xludf.DUMMYFUNCTION("""COMPUTED_VALUE"""),0)</f>
        <v>0</v>
      </c>
      <c r="BM25" s="20"/>
      <c r="BN25" s="24">
        <f ca="1">IFERROR(__xludf.DUMMYFUNCTION("""COMPUTED_VALUE"""),0)</f>
        <v>0</v>
      </c>
      <c r="BO25" s="20"/>
      <c r="BP25" s="24">
        <f ca="1">IFERROR(__xludf.DUMMYFUNCTION("""COMPUTED_VALUE"""),0)</f>
        <v>0</v>
      </c>
      <c r="BQ25" s="24">
        <f ca="1">IFERROR(__xludf.DUMMYFUNCTION("""COMPUTED_VALUE"""),0)</f>
        <v>0</v>
      </c>
      <c r="BR25" s="24">
        <f ca="1">IFERROR(__xludf.DUMMYFUNCTION("""COMPUTED_VALUE"""),0)</f>
        <v>0</v>
      </c>
      <c r="BS25" s="20"/>
      <c r="BT25" s="24">
        <f ca="1">IFERROR(__xludf.DUMMYFUNCTION("""COMPUTED_VALUE"""),0)</f>
        <v>0</v>
      </c>
      <c r="BU25" s="20"/>
      <c r="BV25" s="24">
        <f ca="1">IFERROR(__xludf.DUMMYFUNCTION("""COMPUTED_VALUE"""),45500.01)</f>
        <v>45500.01</v>
      </c>
      <c r="BW25" s="24">
        <f ca="1">IFERROR(__xludf.DUMMYFUNCTION("""COMPUTED_VALUE"""),21328.13)</f>
        <v>21328.13</v>
      </c>
      <c r="BX25" s="24">
        <f ca="1">IFERROR(__xludf.DUMMYFUNCTION("""COMPUTED_VALUE"""),7109.38)</f>
        <v>7109.38</v>
      </c>
      <c r="BY25" s="20"/>
      <c r="BZ25" s="24">
        <f ca="1">IFERROR(__xludf.DUMMYFUNCTION("""COMPUTED_VALUE"""),17062.5)</f>
        <v>17062.5</v>
      </c>
      <c r="CA25" s="20"/>
      <c r="CB25" s="20"/>
      <c r="CC25" s="20"/>
      <c r="CD25" s="20"/>
      <c r="CE25" s="20"/>
      <c r="CF25" s="20"/>
      <c r="CG25" s="20"/>
      <c r="CH25" s="20"/>
      <c r="CI25" s="20"/>
      <c r="CJ25" s="20"/>
      <c r="CK25" s="20"/>
      <c r="CL25" s="20"/>
      <c r="CM25" s="20"/>
      <c r="CN25" s="20"/>
      <c r="CO25" s="20"/>
      <c r="CP25" s="20"/>
      <c r="CQ25" s="20"/>
      <c r="CR25" s="20"/>
      <c r="CS25" s="20"/>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row>
    <row r="26" spans="1:123" ht="64.5" hidden="1" customHeight="1" x14ac:dyDescent="0.2">
      <c r="A26" s="19"/>
      <c r="B26" s="20" t="str">
        <f ca="1">IFERROR(__xludf.DUMMYFUNCTION("""COMPUTED_VALUE"""),"г.о. Одинцово")</f>
        <v>г.о. Одинцово</v>
      </c>
      <c r="C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6" s="20" t="str">
        <f ca="1">IFERROR(__xludf.DUMMYFUNCTION("""COMPUTED_VALUE"""),"МинЖКХ")</f>
        <v>МинЖКХ</v>
      </c>
      <c r="E26" s="20" t="str">
        <f ca="1">IFERROR(__xludf.DUMMYFUNCTION("""COMPUTED_VALUE"""),"Реконструкция ВЗУ Н. Ромашково Одинцовский г.о.")</f>
        <v>Реконструкция ВЗУ Н. Ромашково Одинцовский г.о.</v>
      </c>
      <c r="F26" s="22" t="str">
        <f ca="1">IFERROR(__xludf.DUMMYFUNCTION("""COMPUTED_VALUE"""),"ВЗУ")</f>
        <v>ВЗУ</v>
      </c>
      <c r="G26" s="20">
        <f ca="1">IFERROR(__xludf.DUMMYFUNCTION("""COMPUTED_VALUE"""),2024)</f>
        <v>2024</v>
      </c>
      <c r="H26" s="20" t="str">
        <f ca="1">IFERROR(__xludf.DUMMYFUNCTION("""COMPUTED_VALUE"""),"СМР")</f>
        <v>СМР</v>
      </c>
      <c r="I26" s="20"/>
      <c r="J26" s="20"/>
      <c r="K26" s="20"/>
      <c r="L26" s="20"/>
      <c r="M26" s="20"/>
      <c r="N26" s="24">
        <f ca="1">IFERROR(__xludf.DUMMYFUNCTION("""COMPUTED_VALUE"""),0)</f>
        <v>0</v>
      </c>
      <c r="O26" s="20"/>
      <c r="P26" s="20"/>
      <c r="Q26" s="20"/>
      <c r="R26" s="20"/>
      <c r="S26" s="20"/>
      <c r="T26" s="20"/>
      <c r="U26" s="24">
        <f ca="1">IFERROR(__xludf.DUMMYFUNCTION("""COMPUTED_VALUE"""),0)</f>
        <v>0</v>
      </c>
      <c r="V26" s="24">
        <f ca="1">IFERROR(__xludf.DUMMYFUNCTION("""COMPUTED_VALUE"""),0)</f>
        <v>0</v>
      </c>
      <c r="W26" s="24">
        <f ca="1">IFERROR(__xludf.DUMMYFUNCTION("""COMPUTED_VALUE"""),0)</f>
        <v>0</v>
      </c>
      <c r="X26" s="24">
        <f ca="1">IFERROR(__xludf.DUMMYFUNCTION("""COMPUTED_VALUE"""),0)</f>
        <v>0</v>
      </c>
      <c r="Y26" s="24">
        <f ca="1">IFERROR(__xludf.DUMMYFUNCTION("""COMPUTED_VALUE"""),0)</f>
        <v>0</v>
      </c>
      <c r="Z26" s="24">
        <f ca="1">IFERROR(__xludf.DUMMYFUNCTION("""COMPUTED_VALUE"""),0)</f>
        <v>0</v>
      </c>
      <c r="AA26" s="20" t="str">
        <f ca="1">IFERROR(__xludf.DUMMYFUNCTION("""COMPUTED_VALUE"""),"10 1 G552430
")</f>
        <v xml:space="preserve">10 1 G552430
</v>
      </c>
      <c r="AB26" s="20">
        <f ca="1">IFERROR(__xludf.DUMMYFUNCTION("""COMPUTED_VALUE"""),522)</f>
        <v>522</v>
      </c>
      <c r="AC26" s="20"/>
      <c r="AD26" s="20"/>
      <c r="AE26" s="20"/>
      <c r="AF26" s="24">
        <f ca="1">IFERROR(__xludf.DUMMYFUNCTION("""COMPUTED_VALUE"""),44000)</f>
        <v>44000</v>
      </c>
      <c r="AG26" s="24">
        <f ca="1">IFERROR(__xludf.DUMMYFUNCTION("""COMPUTED_VALUE"""),20625)</f>
        <v>20625</v>
      </c>
      <c r="AH26" s="24">
        <f ca="1">IFERROR(__xludf.DUMMYFUNCTION("""COMPUTED_VALUE"""),6875)</f>
        <v>6875</v>
      </c>
      <c r="AI26" s="24">
        <f ca="1">IFERROR(__xludf.DUMMYFUNCTION("""COMPUTED_VALUE"""),0)</f>
        <v>0</v>
      </c>
      <c r="AJ26" s="24">
        <f ca="1">IFERROR(__xludf.DUMMYFUNCTION("""COMPUTED_VALUE"""),16500)</f>
        <v>16500</v>
      </c>
      <c r="AK26" s="24">
        <f ca="1">IFERROR(__xludf.DUMMYFUNCTION("""COMPUTED_VALUE"""),0)</f>
        <v>0</v>
      </c>
      <c r="AL26" s="24">
        <f ca="1">IFERROR(__xludf.DUMMYFUNCTION("""COMPUTED_VALUE"""),0)</f>
        <v>0</v>
      </c>
      <c r="AM26" s="20"/>
      <c r="AN26" s="20"/>
      <c r="AO26" s="20"/>
      <c r="AP26" s="20"/>
      <c r="AQ26" s="20"/>
      <c r="AR26" s="24">
        <f ca="1">IFERROR(__xludf.DUMMYFUNCTION("""COMPUTED_VALUE"""),0)</f>
        <v>0</v>
      </c>
      <c r="AS26" s="20"/>
      <c r="AT26" s="20"/>
      <c r="AU26" s="20"/>
      <c r="AV26" s="20"/>
      <c r="AW26" s="20"/>
      <c r="AX26" s="24">
        <f ca="1">IFERROR(__xludf.DUMMYFUNCTION("""COMPUTED_VALUE"""),0)</f>
        <v>0</v>
      </c>
      <c r="AY26" s="24">
        <f ca="1">IFERROR(__xludf.DUMMYFUNCTION("""COMPUTED_VALUE"""),0)</f>
        <v>0</v>
      </c>
      <c r="AZ26" s="24">
        <f ca="1">IFERROR(__xludf.DUMMYFUNCTION("""COMPUTED_VALUE"""),0)</f>
        <v>0</v>
      </c>
      <c r="BA26" s="20"/>
      <c r="BB26" s="24">
        <f ca="1">IFERROR(__xludf.DUMMYFUNCTION("""COMPUTED_VALUE"""),0)</f>
        <v>0</v>
      </c>
      <c r="BC26" s="20"/>
      <c r="BD26" s="24">
        <f ca="1">IFERROR(__xludf.DUMMYFUNCTION("""COMPUTED_VALUE"""),0)</f>
        <v>0</v>
      </c>
      <c r="BE26" s="24">
        <f ca="1">IFERROR(__xludf.DUMMYFUNCTION("""COMPUTED_VALUE"""),0)</f>
        <v>0</v>
      </c>
      <c r="BF26" s="24">
        <f ca="1">IFERROR(__xludf.DUMMYFUNCTION("""COMPUTED_VALUE"""),0)</f>
        <v>0</v>
      </c>
      <c r="BG26" s="20"/>
      <c r="BH26" s="24">
        <f ca="1">IFERROR(__xludf.DUMMYFUNCTION("""COMPUTED_VALUE"""),0)</f>
        <v>0</v>
      </c>
      <c r="BI26" s="20"/>
      <c r="BJ26" s="24">
        <f ca="1">IFERROR(__xludf.DUMMYFUNCTION("""COMPUTED_VALUE"""),0)</f>
        <v>0</v>
      </c>
      <c r="BK26" s="24">
        <f ca="1">IFERROR(__xludf.DUMMYFUNCTION("""COMPUTED_VALUE"""),0)</f>
        <v>0</v>
      </c>
      <c r="BL26" s="24">
        <f ca="1">IFERROR(__xludf.DUMMYFUNCTION("""COMPUTED_VALUE"""),0)</f>
        <v>0</v>
      </c>
      <c r="BM26" s="20"/>
      <c r="BN26" s="24">
        <f ca="1">IFERROR(__xludf.DUMMYFUNCTION("""COMPUTED_VALUE"""),0)</f>
        <v>0</v>
      </c>
      <c r="BO26" s="20"/>
      <c r="BP26" s="24">
        <f ca="1">IFERROR(__xludf.DUMMYFUNCTION("""COMPUTED_VALUE"""),0)</f>
        <v>0</v>
      </c>
      <c r="BQ26" s="24">
        <f ca="1">IFERROR(__xludf.DUMMYFUNCTION("""COMPUTED_VALUE"""),0)</f>
        <v>0</v>
      </c>
      <c r="BR26" s="24">
        <f ca="1">IFERROR(__xludf.DUMMYFUNCTION("""COMPUTED_VALUE"""),0)</f>
        <v>0</v>
      </c>
      <c r="BS26" s="20"/>
      <c r="BT26" s="24">
        <f ca="1">IFERROR(__xludf.DUMMYFUNCTION("""COMPUTED_VALUE"""),0)</f>
        <v>0</v>
      </c>
      <c r="BU26" s="20"/>
      <c r="BV26" s="24">
        <f ca="1">IFERROR(__xludf.DUMMYFUNCTION("""COMPUTED_VALUE"""),44000)</f>
        <v>44000</v>
      </c>
      <c r="BW26" s="24">
        <f ca="1">IFERROR(__xludf.DUMMYFUNCTION("""COMPUTED_VALUE"""),20625)</f>
        <v>20625</v>
      </c>
      <c r="BX26" s="24">
        <f ca="1">IFERROR(__xludf.DUMMYFUNCTION("""COMPUTED_VALUE"""),6875)</f>
        <v>6875</v>
      </c>
      <c r="BY26" s="20"/>
      <c r="BZ26" s="24">
        <f ca="1">IFERROR(__xludf.DUMMYFUNCTION("""COMPUTED_VALUE"""),16500)</f>
        <v>16500</v>
      </c>
      <c r="CA26" s="20"/>
      <c r="CB26" s="20"/>
      <c r="CC26" s="20"/>
      <c r="CD26" s="20"/>
      <c r="CE26" s="20"/>
      <c r="CF26" s="20"/>
      <c r="CG26" s="20"/>
      <c r="CH26" s="20"/>
      <c r="CI26" s="20"/>
      <c r="CJ26" s="20"/>
      <c r="CK26" s="20"/>
      <c r="CL26" s="20"/>
      <c r="CM26" s="20"/>
      <c r="CN26" s="20"/>
      <c r="CO26" s="20"/>
      <c r="CP26" s="20"/>
      <c r="CQ26" s="20"/>
      <c r="CR26" s="20"/>
      <c r="CS26" s="20"/>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row>
    <row r="27" spans="1:123" ht="64.5" hidden="1" customHeight="1" x14ac:dyDescent="0.2">
      <c r="A27" s="19"/>
      <c r="B27" s="20" t="str">
        <f ca="1">IFERROR(__xludf.DUMMYFUNCTION("""COMPUTED_VALUE"""),"г.о. Одинцово")</f>
        <v>г.о. Одинцово</v>
      </c>
      <c r="C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7" s="20" t="str">
        <f ca="1">IFERROR(__xludf.DUMMYFUNCTION("""COMPUTED_VALUE"""),"МинЖКХ")</f>
        <v>МинЖКХ</v>
      </c>
      <c r="E27" s="20" t="str">
        <f ca="1">IFERROR(__xludf.DUMMYFUNCTION("""COMPUTED_VALUE"""),"Реконструкция ВЗУ Ликино п. Жаворонковские Одинцовский г.о.")</f>
        <v>Реконструкция ВЗУ Ликино п. Жаворонковские Одинцовский г.о.</v>
      </c>
      <c r="F27" s="22" t="str">
        <f ca="1">IFERROR(__xludf.DUMMYFUNCTION("""COMPUTED_VALUE"""),"ВЗУ")</f>
        <v>ВЗУ</v>
      </c>
      <c r="G27" s="20">
        <f ca="1">IFERROR(__xludf.DUMMYFUNCTION("""COMPUTED_VALUE"""),2024)</f>
        <v>2024</v>
      </c>
      <c r="H27" s="20" t="str">
        <f ca="1">IFERROR(__xludf.DUMMYFUNCTION("""COMPUTED_VALUE"""),"СМР")</f>
        <v>СМР</v>
      </c>
      <c r="I27" s="20"/>
      <c r="J27" s="20"/>
      <c r="K27" s="20"/>
      <c r="L27" s="20"/>
      <c r="M27" s="20"/>
      <c r="N27" s="24">
        <f ca="1">IFERROR(__xludf.DUMMYFUNCTION("""COMPUTED_VALUE"""),0)</f>
        <v>0</v>
      </c>
      <c r="O27" s="20"/>
      <c r="P27" s="20"/>
      <c r="Q27" s="20"/>
      <c r="R27" s="20"/>
      <c r="S27" s="20"/>
      <c r="T27" s="20"/>
      <c r="U27" s="24">
        <f ca="1">IFERROR(__xludf.DUMMYFUNCTION("""COMPUTED_VALUE"""),0)</f>
        <v>0</v>
      </c>
      <c r="V27" s="24">
        <f ca="1">IFERROR(__xludf.DUMMYFUNCTION("""COMPUTED_VALUE"""),0)</f>
        <v>0</v>
      </c>
      <c r="W27" s="24">
        <f ca="1">IFERROR(__xludf.DUMMYFUNCTION("""COMPUTED_VALUE"""),0)</f>
        <v>0</v>
      </c>
      <c r="X27" s="24">
        <f ca="1">IFERROR(__xludf.DUMMYFUNCTION("""COMPUTED_VALUE"""),0)</f>
        <v>0</v>
      </c>
      <c r="Y27" s="24">
        <f ca="1">IFERROR(__xludf.DUMMYFUNCTION("""COMPUTED_VALUE"""),0)</f>
        <v>0</v>
      </c>
      <c r="Z27" s="24">
        <f ca="1">IFERROR(__xludf.DUMMYFUNCTION("""COMPUTED_VALUE"""),0)</f>
        <v>0</v>
      </c>
      <c r="AA27" s="20" t="str">
        <f ca="1">IFERROR(__xludf.DUMMYFUNCTION("""COMPUTED_VALUE"""),"10 1 G552430
")</f>
        <v xml:space="preserve">10 1 G552430
</v>
      </c>
      <c r="AB27" s="20">
        <f ca="1">IFERROR(__xludf.DUMMYFUNCTION("""COMPUTED_VALUE"""),522)</f>
        <v>522</v>
      </c>
      <c r="AC27" s="20"/>
      <c r="AD27" s="20"/>
      <c r="AE27" s="20"/>
      <c r="AF27" s="24">
        <f ca="1">IFERROR(__xludf.DUMMYFUNCTION("""COMPUTED_VALUE"""),44000)</f>
        <v>44000</v>
      </c>
      <c r="AG27" s="24">
        <f ca="1">IFERROR(__xludf.DUMMYFUNCTION("""COMPUTED_VALUE"""),20625)</f>
        <v>20625</v>
      </c>
      <c r="AH27" s="24">
        <f ca="1">IFERROR(__xludf.DUMMYFUNCTION("""COMPUTED_VALUE"""),6875)</f>
        <v>6875</v>
      </c>
      <c r="AI27" s="24">
        <f ca="1">IFERROR(__xludf.DUMMYFUNCTION("""COMPUTED_VALUE"""),0)</f>
        <v>0</v>
      </c>
      <c r="AJ27" s="24">
        <f ca="1">IFERROR(__xludf.DUMMYFUNCTION("""COMPUTED_VALUE"""),16500)</f>
        <v>16500</v>
      </c>
      <c r="AK27" s="24">
        <f ca="1">IFERROR(__xludf.DUMMYFUNCTION("""COMPUTED_VALUE"""),0)</f>
        <v>0</v>
      </c>
      <c r="AL27" s="24">
        <f ca="1">IFERROR(__xludf.DUMMYFUNCTION("""COMPUTED_VALUE"""),0)</f>
        <v>0</v>
      </c>
      <c r="AM27" s="20"/>
      <c r="AN27" s="20"/>
      <c r="AO27" s="20"/>
      <c r="AP27" s="20"/>
      <c r="AQ27" s="20"/>
      <c r="AR27" s="24">
        <f ca="1">IFERROR(__xludf.DUMMYFUNCTION("""COMPUTED_VALUE"""),0)</f>
        <v>0</v>
      </c>
      <c r="AS27" s="20"/>
      <c r="AT27" s="20"/>
      <c r="AU27" s="20"/>
      <c r="AV27" s="20"/>
      <c r="AW27" s="20"/>
      <c r="AX27" s="24">
        <f ca="1">IFERROR(__xludf.DUMMYFUNCTION("""COMPUTED_VALUE"""),0)</f>
        <v>0</v>
      </c>
      <c r="AY27" s="24">
        <f ca="1">IFERROR(__xludf.DUMMYFUNCTION("""COMPUTED_VALUE"""),0)</f>
        <v>0</v>
      </c>
      <c r="AZ27" s="24">
        <f ca="1">IFERROR(__xludf.DUMMYFUNCTION("""COMPUTED_VALUE"""),0)</f>
        <v>0</v>
      </c>
      <c r="BA27" s="20"/>
      <c r="BB27" s="24">
        <f ca="1">IFERROR(__xludf.DUMMYFUNCTION("""COMPUTED_VALUE"""),0)</f>
        <v>0</v>
      </c>
      <c r="BC27" s="20"/>
      <c r="BD27" s="24">
        <f ca="1">IFERROR(__xludf.DUMMYFUNCTION("""COMPUTED_VALUE"""),0)</f>
        <v>0</v>
      </c>
      <c r="BE27" s="24">
        <f ca="1">IFERROR(__xludf.DUMMYFUNCTION("""COMPUTED_VALUE"""),0)</f>
        <v>0</v>
      </c>
      <c r="BF27" s="24">
        <f ca="1">IFERROR(__xludf.DUMMYFUNCTION("""COMPUTED_VALUE"""),0)</f>
        <v>0</v>
      </c>
      <c r="BG27" s="20"/>
      <c r="BH27" s="24">
        <f ca="1">IFERROR(__xludf.DUMMYFUNCTION("""COMPUTED_VALUE"""),0)</f>
        <v>0</v>
      </c>
      <c r="BI27" s="20"/>
      <c r="BJ27" s="24">
        <f ca="1">IFERROR(__xludf.DUMMYFUNCTION("""COMPUTED_VALUE"""),0)</f>
        <v>0</v>
      </c>
      <c r="BK27" s="24">
        <f ca="1">IFERROR(__xludf.DUMMYFUNCTION("""COMPUTED_VALUE"""),0)</f>
        <v>0</v>
      </c>
      <c r="BL27" s="24">
        <f ca="1">IFERROR(__xludf.DUMMYFUNCTION("""COMPUTED_VALUE"""),0)</f>
        <v>0</v>
      </c>
      <c r="BM27" s="20"/>
      <c r="BN27" s="24">
        <f ca="1">IFERROR(__xludf.DUMMYFUNCTION("""COMPUTED_VALUE"""),0)</f>
        <v>0</v>
      </c>
      <c r="BO27" s="20"/>
      <c r="BP27" s="24">
        <f ca="1">IFERROR(__xludf.DUMMYFUNCTION("""COMPUTED_VALUE"""),0)</f>
        <v>0</v>
      </c>
      <c r="BQ27" s="24">
        <f ca="1">IFERROR(__xludf.DUMMYFUNCTION("""COMPUTED_VALUE"""),0)</f>
        <v>0</v>
      </c>
      <c r="BR27" s="24">
        <f ca="1">IFERROR(__xludf.DUMMYFUNCTION("""COMPUTED_VALUE"""),0)</f>
        <v>0</v>
      </c>
      <c r="BS27" s="20"/>
      <c r="BT27" s="24">
        <f ca="1">IFERROR(__xludf.DUMMYFUNCTION("""COMPUTED_VALUE"""),0)</f>
        <v>0</v>
      </c>
      <c r="BU27" s="20"/>
      <c r="BV27" s="24">
        <f ca="1">IFERROR(__xludf.DUMMYFUNCTION("""COMPUTED_VALUE"""),44000)</f>
        <v>44000</v>
      </c>
      <c r="BW27" s="24">
        <f ca="1">IFERROR(__xludf.DUMMYFUNCTION("""COMPUTED_VALUE"""),20625)</f>
        <v>20625</v>
      </c>
      <c r="BX27" s="24">
        <f ca="1">IFERROR(__xludf.DUMMYFUNCTION("""COMPUTED_VALUE"""),6875)</f>
        <v>6875</v>
      </c>
      <c r="BY27" s="20"/>
      <c r="BZ27" s="24">
        <f ca="1">IFERROR(__xludf.DUMMYFUNCTION("""COMPUTED_VALUE"""),16500)</f>
        <v>16500</v>
      </c>
      <c r="CA27" s="20"/>
      <c r="CB27" s="20"/>
      <c r="CC27" s="20"/>
      <c r="CD27" s="20"/>
      <c r="CE27" s="20"/>
      <c r="CF27" s="20"/>
      <c r="CG27" s="20"/>
      <c r="CH27" s="20"/>
      <c r="CI27" s="20"/>
      <c r="CJ27" s="20"/>
      <c r="CK27" s="20"/>
      <c r="CL27" s="20"/>
      <c r="CM27" s="20"/>
      <c r="CN27" s="20"/>
      <c r="CO27" s="20"/>
      <c r="CP27" s="20"/>
      <c r="CQ27" s="20"/>
      <c r="CR27" s="20"/>
      <c r="CS27" s="20"/>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row>
    <row r="28" spans="1:123" ht="64.5" hidden="1" customHeight="1" x14ac:dyDescent="0.2">
      <c r="A28" s="19"/>
      <c r="B28" s="20" t="str">
        <f ca="1">IFERROR(__xludf.DUMMYFUNCTION("""COMPUTED_VALUE"""),"г.о. Одинцово")</f>
        <v>г.о. Одинцово</v>
      </c>
      <c r="C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8" s="20" t="str">
        <f ca="1">IFERROR(__xludf.DUMMYFUNCTION("""COMPUTED_VALUE"""),"МинЖКХ")</f>
        <v>МинЖКХ</v>
      </c>
      <c r="E28" s="20" t="str">
        <f ca="1">IFERROR(__xludf.DUMMYFUNCTION("""COMPUTED_VALUE"""),"Реконструкция ВЗУ ПМС-4 п. Часцовское Одинцовский г.о.")</f>
        <v>Реконструкция ВЗУ ПМС-4 п. Часцовское Одинцовский г.о.</v>
      </c>
      <c r="F28" s="22" t="str">
        <f ca="1">IFERROR(__xludf.DUMMYFUNCTION("""COMPUTED_VALUE"""),"ВЗУ")</f>
        <v>ВЗУ</v>
      </c>
      <c r="G28" s="20">
        <f ca="1">IFERROR(__xludf.DUMMYFUNCTION("""COMPUTED_VALUE"""),2024)</f>
        <v>2024</v>
      </c>
      <c r="H28" s="20" t="str">
        <f ca="1">IFERROR(__xludf.DUMMYFUNCTION("""COMPUTED_VALUE"""),"СМР")</f>
        <v>СМР</v>
      </c>
      <c r="I28" s="20"/>
      <c r="J28" s="20"/>
      <c r="K28" s="20"/>
      <c r="L28" s="20"/>
      <c r="M28" s="20"/>
      <c r="N28" s="24">
        <f ca="1">IFERROR(__xludf.DUMMYFUNCTION("""COMPUTED_VALUE"""),0)</f>
        <v>0</v>
      </c>
      <c r="O28" s="20"/>
      <c r="P28" s="20"/>
      <c r="Q28" s="20"/>
      <c r="R28" s="20"/>
      <c r="S28" s="20"/>
      <c r="T28" s="20"/>
      <c r="U28" s="24">
        <f ca="1">IFERROR(__xludf.DUMMYFUNCTION("""COMPUTED_VALUE"""),0)</f>
        <v>0</v>
      </c>
      <c r="V28" s="24">
        <f ca="1">IFERROR(__xludf.DUMMYFUNCTION("""COMPUTED_VALUE"""),0)</f>
        <v>0</v>
      </c>
      <c r="W28" s="24">
        <f ca="1">IFERROR(__xludf.DUMMYFUNCTION("""COMPUTED_VALUE"""),0)</f>
        <v>0</v>
      </c>
      <c r="X28" s="24">
        <f ca="1">IFERROR(__xludf.DUMMYFUNCTION("""COMPUTED_VALUE"""),0)</f>
        <v>0</v>
      </c>
      <c r="Y28" s="24">
        <f ca="1">IFERROR(__xludf.DUMMYFUNCTION("""COMPUTED_VALUE"""),0)</f>
        <v>0</v>
      </c>
      <c r="Z28" s="24">
        <f ca="1">IFERROR(__xludf.DUMMYFUNCTION("""COMPUTED_VALUE"""),0)</f>
        <v>0</v>
      </c>
      <c r="AA28" s="20" t="str">
        <f ca="1">IFERROR(__xludf.DUMMYFUNCTION("""COMPUTED_VALUE"""),"10 1 G552430
")</f>
        <v xml:space="preserve">10 1 G552430
</v>
      </c>
      <c r="AB28" s="20">
        <f ca="1">IFERROR(__xludf.DUMMYFUNCTION("""COMPUTED_VALUE"""),522)</f>
        <v>522</v>
      </c>
      <c r="AC28" s="20"/>
      <c r="AD28" s="20"/>
      <c r="AE28" s="20"/>
      <c r="AF28" s="24">
        <f ca="1">IFERROR(__xludf.DUMMYFUNCTION("""COMPUTED_VALUE"""),44000)</f>
        <v>44000</v>
      </c>
      <c r="AG28" s="24">
        <f ca="1">IFERROR(__xludf.DUMMYFUNCTION("""COMPUTED_VALUE"""),20625)</f>
        <v>20625</v>
      </c>
      <c r="AH28" s="24">
        <f ca="1">IFERROR(__xludf.DUMMYFUNCTION("""COMPUTED_VALUE"""),6875)</f>
        <v>6875</v>
      </c>
      <c r="AI28" s="24">
        <f ca="1">IFERROR(__xludf.DUMMYFUNCTION("""COMPUTED_VALUE"""),0)</f>
        <v>0</v>
      </c>
      <c r="AJ28" s="24">
        <f ca="1">IFERROR(__xludf.DUMMYFUNCTION("""COMPUTED_VALUE"""),16500)</f>
        <v>16500</v>
      </c>
      <c r="AK28" s="24">
        <f ca="1">IFERROR(__xludf.DUMMYFUNCTION("""COMPUTED_VALUE"""),0)</f>
        <v>0</v>
      </c>
      <c r="AL28" s="24">
        <f ca="1">IFERROR(__xludf.DUMMYFUNCTION("""COMPUTED_VALUE"""),0)</f>
        <v>0</v>
      </c>
      <c r="AM28" s="20"/>
      <c r="AN28" s="20"/>
      <c r="AO28" s="20"/>
      <c r="AP28" s="20"/>
      <c r="AQ28" s="20"/>
      <c r="AR28" s="24">
        <f ca="1">IFERROR(__xludf.DUMMYFUNCTION("""COMPUTED_VALUE"""),0)</f>
        <v>0</v>
      </c>
      <c r="AS28" s="20"/>
      <c r="AT28" s="20"/>
      <c r="AU28" s="20"/>
      <c r="AV28" s="20"/>
      <c r="AW28" s="20"/>
      <c r="AX28" s="24">
        <f ca="1">IFERROR(__xludf.DUMMYFUNCTION("""COMPUTED_VALUE"""),0)</f>
        <v>0</v>
      </c>
      <c r="AY28" s="24">
        <f ca="1">IFERROR(__xludf.DUMMYFUNCTION("""COMPUTED_VALUE"""),0)</f>
        <v>0</v>
      </c>
      <c r="AZ28" s="24">
        <f ca="1">IFERROR(__xludf.DUMMYFUNCTION("""COMPUTED_VALUE"""),0)</f>
        <v>0</v>
      </c>
      <c r="BA28" s="20"/>
      <c r="BB28" s="24">
        <f ca="1">IFERROR(__xludf.DUMMYFUNCTION("""COMPUTED_VALUE"""),0)</f>
        <v>0</v>
      </c>
      <c r="BC28" s="20"/>
      <c r="BD28" s="24">
        <f ca="1">IFERROR(__xludf.DUMMYFUNCTION("""COMPUTED_VALUE"""),0)</f>
        <v>0</v>
      </c>
      <c r="BE28" s="24">
        <f ca="1">IFERROR(__xludf.DUMMYFUNCTION("""COMPUTED_VALUE"""),0)</f>
        <v>0</v>
      </c>
      <c r="BF28" s="24">
        <f ca="1">IFERROR(__xludf.DUMMYFUNCTION("""COMPUTED_VALUE"""),0)</f>
        <v>0</v>
      </c>
      <c r="BG28" s="20"/>
      <c r="BH28" s="24">
        <f ca="1">IFERROR(__xludf.DUMMYFUNCTION("""COMPUTED_VALUE"""),0)</f>
        <v>0</v>
      </c>
      <c r="BI28" s="20"/>
      <c r="BJ28" s="24">
        <f ca="1">IFERROR(__xludf.DUMMYFUNCTION("""COMPUTED_VALUE"""),0)</f>
        <v>0</v>
      </c>
      <c r="BK28" s="24">
        <f ca="1">IFERROR(__xludf.DUMMYFUNCTION("""COMPUTED_VALUE"""),0)</f>
        <v>0</v>
      </c>
      <c r="BL28" s="24">
        <f ca="1">IFERROR(__xludf.DUMMYFUNCTION("""COMPUTED_VALUE"""),0)</f>
        <v>0</v>
      </c>
      <c r="BM28" s="20"/>
      <c r="BN28" s="24">
        <f ca="1">IFERROR(__xludf.DUMMYFUNCTION("""COMPUTED_VALUE"""),0)</f>
        <v>0</v>
      </c>
      <c r="BO28" s="20"/>
      <c r="BP28" s="24">
        <f ca="1">IFERROR(__xludf.DUMMYFUNCTION("""COMPUTED_VALUE"""),0)</f>
        <v>0</v>
      </c>
      <c r="BQ28" s="24">
        <f ca="1">IFERROR(__xludf.DUMMYFUNCTION("""COMPUTED_VALUE"""),0)</f>
        <v>0</v>
      </c>
      <c r="BR28" s="24">
        <f ca="1">IFERROR(__xludf.DUMMYFUNCTION("""COMPUTED_VALUE"""),0)</f>
        <v>0</v>
      </c>
      <c r="BS28" s="20"/>
      <c r="BT28" s="24">
        <f ca="1">IFERROR(__xludf.DUMMYFUNCTION("""COMPUTED_VALUE"""),0)</f>
        <v>0</v>
      </c>
      <c r="BU28" s="20"/>
      <c r="BV28" s="24">
        <f ca="1">IFERROR(__xludf.DUMMYFUNCTION("""COMPUTED_VALUE"""),44000)</f>
        <v>44000</v>
      </c>
      <c r="BW28" s="24">
        <f ca="1">IFERROR(__xludf.DUMMYFUNCTION("""COMPUTED_VALUE"""),20625)</f>
        <v>20625</v>
      </c>
      <c r="BX28" s="24">
        <f ca="1">IFERROR(__xludf.DUMMYFUNCTION("""COMPUTED_VALUE"""),6875)</f>
        <v>6875</v>
      </c>
      <c r="BY28" s="20"/>
      <c r="BZ28" s="24">
        <f ca="1">IFERROR(__xludf.DUMMYFUNCTION("""COMPUTED_VALUE"""),16500)</f>
        <v>16500</v>
      </c>
      <c r="CA28" s="20"/>
      <c r="CB28" s="20"/>
      <c r="CC28" s="20"/>
      <c r="CD28" s="20"/>
      <c r="CE28" s="20"/>
      <c r="CF28" s="20"/>
      <c r="CG28" s="20"/>
      <c r="CH28" s="20"/>
      <c r="CI28" s="20"/>
      <c r="CJ28" s="20"/>
      <c r="CK28" s="20"/>
      <c r="CL28" s="20"/>
      <c r="CM28" s="20"/>
      <c r="CN28" s="20"/>
      <c r="CO28" s="20"/>
      <c r="CP28" s="20"/>
      <c r="CQ28" s="20"/>
      <c r="CR28" s="20"/>
      <c r="CS28" s="20"/>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row>
    <row r="29" spans="1:123" ht="64.5" hidden="1" customHeight="1" x14ac:dyDescent="0.2">
      <c r="A29" s="19"/>
      <c r="B29" s="20" t="str">
        <f ca="1">IFERROR(__xludf.DUMMYFUNCTION("""COMPUTED_VALUE"""),"г.о. Одинцово")</f>
        <v>г.о. Одинцово</v>
      </c>
      <c r="C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9" s="20" t="str">
        <f ca="1">IFERROR(__xludf.DUMMYFUNCTION("""COMPUTED_VALUE"""),"МинЖКХ")</f>
        <v>МинЖКХ</v>
      </c>
      <c r="E29" s="20" t="str">
        <f ca="1">IFERROR(__xludf.DUMMYFUNCTION("""COMPUTED_VALUE"""),"Реконструкция ВЗУ Аниково г.Кубинка Одинцовский г.о.")</f>
        <v>Реконструкция ВЗУ Аниково г.Кубинка Одинцовский г.о.</v>
      </c>
      <c r="F29" s="22" t="str">
        <f ca="1">IFERROR(__xludf.DUMMYFUNCTION("""COMPUTED_VALUE"""),"ВЗУ")</f>
        <v>ВЗУ</v>
      </c>
      <c r="G29" s="20">
        <f ca="1">IFERROR(__xludf.DUMMYFUNCTION("""COMPUTED_VALUE"""),2024)</f>
        <v>2024</v>
      </c>
      <c r="H29" s="20" t="str">
        <f ca="1">IFERROR(__xludf.DUMMYFUNCTION("""COMPUTED_VALUE"""),"СМР")</f>
        <v>СМР</v>
      </c>
      <c r="I29" s="20"/>
      <c r="J29" s="20"/>
      <c r="K29" s="20"/>
      <c r="L29" s="20"/>
      <c r="M29" s="20"/>
      <c r="N29" s="24">
        <f ca="1">IFERROR(__xludf.DUMMYFUNCTION("""COMPUTED_VALUE"""),0)</f>
        <v>0</v>
      </c>
      <c r="O29" s="20"/>
      <c r="P29" s="20"/>
      <c r="Q29" s="20"/>
      <c r="R29" s="20"/>
      <c r="S29" s="20"/>
      <c r="T29" s="20"/>
      <c r="U29" s="24">
        <f ca="1">IFERROR(__xludf.DUMMYFUNCTION("""COMPUTED_VALUE"""),0)</f>
        <v>0</v>
      </c>
      <c r="V29" s="24">
        <f ca="1">IFERROR(__xludf.DUMMYFUNCTION("""COMPUTED_VALUE"""),0)</f>
        <v>0</v>
      </c>
      <c r="W29" s="24">
        <f ca="1">IFERROR(__xludf.DUMMYFUNCTION("""COMPUTED_VALUE"""),0)</f>
        <v>0</v>
      </c>
      <c r="X29" s="24">
        <f ca="1">IFERROR(__xludf.DUMMYFUNCTION("""COMPUTED_VALUE"""),0)</f>
        <v>0</v>
      </c>
      <c r="Y29" s="24">
        <f ca="1">IFERROR(__xludf.DUMMYFUNCTION("""COMPUTED_VALUE"""),0)</f>
        <v>0</v>
      </c>
      <c r="Z29" s="24">
        <f ca="1">IFERROR(__xludf.DUMMYFUNCTION("""COMPUTED_VALUE"""),0)</f>
        <v>0</v>
      </c>
      <c r="AA29" s="20" t="str">
        <f ca="1">IFERROR(__xludf.DUMMYFUNCTION("""COMPUTED_VALUE"""),"10 1 G552430
")</f>
        <v xml:space="preserve">10 1 G552430
</v>
      </c>
      <c r="AB29" s="20">
        <f ca="1">IFERROR(__xludf.DUMMYFUNCTION("""COMPUTED_VALUE"""),522)</f>
        <v>522</v>
      </c>
      <c r="AC29" s="20"/>
      <c r="AD29" s="20"/>
      <c r="AE29" s="20"/>
      <c r="AF29" s="24">
        <f ca="1">IFERROR(__xludf.DUMMYFUNCTION("""COMPUTED_VALUE"""),49103.95)</f>
        <v>49103.95</v>
      </c>
      <c r="AG29" s="24">
        <f ca="1">IFERROR(__xludf.DUMMYFUNCTION("""COMPUTED_VALUE"""),23017.49)</f>
        <v>23017.49</v>
      </c>
      <c r="AH29" s="24">
        <f ca="1">IFERROR(__xludf.DUMMYFUNCTION("""COMPUTED_VALUE"""),7672.48)</f>
        <v>7672.48</v>
      </c>
      <c r="AI29" s="24">
        <f ca="1">IFERROR(__xludf.DUMMYFUNCTION("""COMPUTED_VALUE"""),0)</f>
        <v>0</v>
      </c>
      <c r="AJ29" s="24">
        <f ca="1">IFERROR(__xludf.DUMMYFUNCTION("""COMPUTED_VALUE"""),18413.98)</f>
        <v>18413.98</v>
      </c>
      <c r="AK29" s="24">
        <f ca="1">IFERROR(__xludf.DUMMYFUNCTION("""COMPUTED_VALUE"""),0)</f>
        <v>0</v>
      </c>
      <c r="AL29" s="24">
        <f ca="1">IFERROR(__xludf.DUMMYFUNCTION("""COMPUTED_VALUE"""),0)</f>
        <v>0</v>
      </c>
      <c r="AM29" s="20"/>
      <c r="AN29" s="20"/>
      <c r="AO29" s="20"/>
      <c r="AP29" s="20"/>
      <c r="AQ29" s="20"/>
      <c r="AR29" s="24">
        <f ca="1">IFERROR(__xludf.DUMMYFUNCTION("""COMPUTED_VALUE"""),0)</f>
        <v>0</v>
      </c>
      <c r="AS29" s="20"/>
      <c r="AT29" s="20"/>
      <c r="AU29" s="20"/>
      <c r="AV29" s="20"/>
      <c r="AW29" s="20"/>
      <c r="AX29" s="24">
        <f ca="1">IFERROR(__xludf.DUMMYFUNCTION("""COMPUTED_VALUE"""),0)</f>
        <v>0</v>
      </c>
      <c r="AY29" s="24">
        <f ca="1">IFERROR(__xludf.DUMMYFUNCTION("""COMPUTED_VALUE"""),0)</f>
        <v>0</v>
      </c>
      <c r="AZ29" s="24">
        <f ca="1">IFERROR(__xludf.DUMMYFUNCTION("""COMPUTED_VALUE"""),0)</f>
        <v>0</v>
      </c>
      <c r="BA29" s="20"/>
      <c r="BB29" s="24">
        <f ca="1">IFERROR(__xludf.DUMMYFUNCTION("""COMPUTED_VALUE"""),0)</f>
        <v>0</v>
      </c>
      <c r="BC29" s="20"/>
      <c r="BD29" s="24">
        <f ca="1">IFERROR(__xludf.DUMMYFUNCTION("""COMPUTED_VALUE"""),0)</f>
        <v>0</v>
      </c>
      <c r="BE29" s="24">
        <f ca="1">IFERROR(__xludf.DUMMYFUNCTION("""COMPUTED_VALUE"""),0)</f>
        <v>0</v>
      </c>
      <c r="BF29" s="24">
        <f ca="1">IFERROR(__xludf.DUMMYFUNCTION("""COMPUTED_VALUE"""),0)</f>
        <v>0</v>
      </c>
      <c r="BG29" s="20"/>
      <c r="BH29" s="24">
        <f ca="1">IFERROR(__xludf.DUMMYFUNCTION("""COMPUTED_VALUE"""),0)</f>
        <v>0</v>
      </c>
      <c r="BI29" s="20"/>
      <c r="BJ29" s="24">
        <f ca="1">IFERROR(__xludf.DUMMYFUNCTION("""COMPUTED_VALUE"""),0)</f>
        <v>0</v>
      </c>
      <c r="BK29" s="24">
        <f ca="1">IFERROR(__xludf.DUMMYFUNCTION("""COMPUTED_VALUE"""),0)</f>
        <v>0</v>
      </c>
      <c r="BL29" s="24">
        <f ca="1">IFERROR(__xludf.DUMMYFUNCTION("""COMPUTED_VALUE"""),0)</f>
        <v>0</v>
      </c>
      <c r="BM29" s="20"/>
      <c r="BN29" s="24">
        <f ca="1">IFERROR(__xludf.DUMMYFUNCTION("""COMPUTED_VALUE"""),0)</f>
        <v>0</v>
      </c>
      <c r="BO29" s="20"/>
      <c r="BP29" s="24">
        <f ca="1">IFERROR(__xludf.DUMMYFUNCTION("""COMPUTED_VALUE"""),0)</f>
        <v>0</v>
      </c>
      <c r="BQ29" s="24">
        <f ca="1">IFERROR(__xludf.DUMMYFUNCTION("""COMPUTED_VALUE"""),0)</f>
        <v>0</v>
      </c>
      <c r="BR29" s="24">
        <f ca="1">IFERROR(__xludf.DUMMYFUNCTION("""COMPUTED_VALUE"""),0)</f>
        <v>0</v>
      </c>
      <c r="BS29" s="20"/>
      <c r="BT29" s="24">
        <f ca="1">IFERROR(__xludf.DUMMYFUNCTION("""COMPUTED_VALUE"""),0)</f>
        <v>0</v>
      </c>
      <c r="BU29" s="20"/>
      <c r="BV29" s="24">
        <f ca="1">IFERROR(__xludf.DUMMYFUNCTION("""COMPUTED_VALUE"""),49103.95)</f>
        <v>49103.95</v>
      </c>
      <c r="BW29" s="24">
        <f ca="1">IFERROR(__xludf.DUMMYFUNCTION("""COMPUTED_VALUE"""),23017.49)</f>
        <v>23017.49</v>
      </c>
      <c r="BX29" s="24">
        <f ca="1">IFERROR(__xludf.DUMMYFUNCTION("""COMPUTED_VALUE"""),7672.48)</f>
        <v>7672.48</v>
      </c>
      <c r="BY29" s="20"/>
      <c r="BZ29" s="24">
        <f ca="1">IFERROR(__xludf.DUMMYFUNCTION("""COMPUTED_VALUE"""),18413.98)</f>
        <v>18413.98</v>
      </c>
      <c r="CA29" s="20"/>
      <c r="CB29" s="20"/>
      <c r="CC29" s="20"/>
      <c r="CD29" s="20"/>
      <c r="CE29" s="20"/>
      <c r="CF29" s="20"/>
      <c r="CG29" s="20"/>
      <c r="CH29" s="20"/>
      <c r="CI29" s="20"/>
      <c r="CJ29" s="20"/>
      <c r="CK29" s="20"/>
      <c r="CL29" s="20"/>
      <c r="CM29" s="20"/>
      <c r="CN29" s="20"/>
      <c r="CO29" s="20"/>
      <c r="CP29" s="20"/>
      <c r="CQ29" s="20"/>
      <c r="CR29" s="20"/>
      <c r="CS29" s="20"/>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row>
    <row r="30" spans="1:123" ht="64.5" customHeight="1" x14ac:dyDescent="0.2">
      <c r="A30" s="19"/>
      <c r="B30" s="20" t="str">
        <f ca="1">IFERROR(__xludf.DUMMYFUNCTION("""COMPUTED_VALUE"""),"г.о. Чехов")</f>
        <v>г.о. Чехов</v>
      </c>
      <c r="C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0" s="20" t="str">
        <f ca="1">IFERROR(__xludf.DUMMYFUNCTION("""COMPUTED_VALUE"""),"МинЖКХ")</f>
        <v>МинЖКХ</v>
      </c>
      <c r="E30" s="20" t="str">
        <f ca="1">IFERROR(__xludf.DUMMYFUNCTION("""COMPUTED_VALUE"""),"Строительство станции второго подъема и станции обезжелезивания по адресу: Московская область, Чеховский район, п. Мещерское")</f>
        <v>Строительство станции второго подъема и станции обезжелезивания по адресу: Московская область, Чеховский район, п. Мещерское</v>
      </c>
      <c r="F30" s="22" t="str">
        <f ca="1">IFERROR(__xludf.DUMMYFUNCTION("""COMPUTED_VALUE"""),"ВЗУ")</f>
        <v>ВЗУ</v>
      </c>
      <c r="G30" s="20" t="str">
        <f ca="1">IFERROR(__xludf.DUMMYFUNCTION("""COMPUTED_VALUE"""),"2020-2021")</f>
        <v>2020-2021</v>
      </c>
      <c r="H30" s="20" t="str">
        <f ca="1">IFERROR(__xludf.DUMMYFUNCTION("""COMPUTED_VALUE"""),"СМР")</f>
        <v>СМР</v>
      </c>
      <c r="I30" s="23">
        <f ca="1">IFERROR(__xludf.DUMMYFUNCTION("""COMPUTED_VALUE"""),0.06)</f>
        <v>0.06</v>
      </c>
      <c r="J30" s="20" t="str">
        <f ca="1">IFERROR(__xludf.DUMMYFUNCTION("""COMPUTED_VALUE"""),"Выполнены следующие работы: вырублены зеленные насаждения, организованна подъездная дорога, завершены работы по гидроизоляции стен, устройство площадки из ж/б плит для складирования материала.
Ведутся работы: по водоотведению, подготовки траншеи для прокл"&amp;"адки труб водоснабжения, монтажу кровли.
Камеры видеонаблюдения установлены, доступ предоставлен.
Ведется корректировка ГПР.")</f>
        <v>Выполнены следующие работы: вырублены зеленные насаждения, организованна подъездная дорога, завершены работы по гидроизоляции стен, устройство площадки из ж/б плит для складирования материала.
Ведутся работы: по водоотведению, подготовки траншеи для прокладки труб водоснабжения, монтажу кровли.
Камеры видеонаблюдения установлены, доступ предоставлен.
Ведется корректировка ГПР.</v>
      </c>
      <c r="K30" s="20">
        <f ca="1">IFERROR(__xludf.DUMMYFUNCTION("""COMPUTED_VALUE"""),0)</f>
        <v>0</v>
      </c>
      <c r="L30" s="20">
        <f ca="1">IFERROR(__xludf.DUMMYFUNCTION("""COMPUTED_VALUE"""),5500)</f>
        <v>5500</v>
      </c>
      <c r="M30" s="20"/>
      <c r="N30" s="24">
        <f ca="1">IFERROR(__xludf.DUMMYFUNCTION("""COMPUTED_VALUE"""),26206.39)</f>
        <v>26206.39</v>
      </c>
      <c r="O30" s="24">
        <f ca="1">IFERROR(__xludf.DUMMYFUNCTION("""COMPUTED_VALUE"""),19654.79)</f>
        <v>19654.79</v>
      </c>
      <c r="P30" s="24">
        <f ca="1">IFERROR(__xludf.DUMMYFUNCTION("""COMPUTED_VALUE"""),6551.6)</f>
        <v>6551.6</v>
      </c>
      <c r="Q30" s="20"/>
      <c r="R30" s="20"/>
      <c r="S30" s="20"/>
      <c r="T30" s="20" t="str">
        <f ca="1">IFERROR(__xludf.DUMMYFUNCTION("""COMPUTED_VALUE"""),"В связи с тем, что проектные решения не позволяют обеспечить должное функционирование объекта требуется корректировка проекта. Получение РС до 10.12.2020")</f>
        <v>В связи с тем, что проектные решения не позволяют обеспечить должное функционирование объекта требуется корректировка проекта. Получение РС до 10.12.2020</v>
      </c>
      <c r="U30" s="24">
        <f ca="1">IFERROR(__xludf.DUMMYFUNCTION("""COMPUTED_VALUE"""),25478.65)</f>
        <v>25478.65</v>
      </c>
      <c r="V30" s="24">
        <f ca="1">IFERROR(__xludf.DUMMYFUNCTION("""COMPUTED_VALUE"""),6764.91)</f>
        <v>6764.91</v>
      </c>
      <c r="W30" s="24">
        <f ca="1">IFERROR(__xludf.DUMMYFUNCTION("""COMPUTED_VALUE"""),2254.96999999999)</f>
        <v>2254.9699999999898</v>
      </c>
      <c r="X30" s="24">
        <f ca="1">IFERROR(__xludf.DUMMYFUNCTION("""COMPUTED_VALUE"""),0)</f>
        <v>0</v>
      </c>
      <c r="Y30" s="24">
        <f ca="1">IFERROR(__xludf.DUMMYFUNCTION("""COMPUTED_VALUE"""),16458.77)</f>
        <v>16458.77</v>
      </c>
      <c r="Z30" s="24">
        <f ca="1">IFERROR(__xludf.DUMMYFUNCTION("""COMPUTED_VALUE"""),0)</f>
        <v>0</v>
      </c>
      <c r="AA30" s="20" t="str">
        <f ca="1">IFERROR(__xludf.DUMMYFUNCTION("""COMPUTED_VALUE"""),"10 1 G552430
")</f>
        <v xml:space="preserve">10 1 G552430
</v>
      </c>
      <c r="AB30" s="20">
        <f ca="1">IFERROR(__xludf.DUMMYFUNCTION("""COMPUTED_VALUE"""),522)</f>
        <v>522</v>
      </c>
      <c r="AC30" s="20" t="str">
        <f ca="1">IFERROR(__xludf.DUMMYFUNCTION("""COMPUTED_VALUE"""),"Нет")</f>
        <v>Нет</v>
      </c>
      <c r="AD30" s="25">
        <f ca="1">IFERROR(__xludf.DUMMYFUNCTION("""COMPUTED_VALUE"""),44165)</f>
        <v>44165</v>
      </c>
      <c r="AE30" s="20" t="str">
        <f ca="1">IFERROR(__xludf.DUMMYFUNCTION("""COMPUTED_VALUE"""),"Отсутствует")</f>
        <v>Отсутствует</v>
      </c>
      <c r="AF30" s="24">
        <f ca="1">IFERROR(__xludf.DUMMYFUNCTION("""COMPUTED_VALUE"""),142904.74)</f>
        <v>142904.74</v>
      </c>
      <c r="AG30" s="24">
        <f ca="1">IFERROR(__xludf.DUMMYFUNCTION("""COMPUTED_VALUE"""),74388)</f>
        <v>74388</v>
      </c>
      <c r="AH30" s="24">
        <f ca="1">IFERROR(__xludf.DUMMYFUNCTION("""COMPUTED_VALUE"""),24796.01)</f>
        <v>24796.01</v>
      </c>
      <c r="AI30" s="24">
        <f ca="1">IFERROR(__xludf.DUMMYFUNCTION("""COMPUTED_VALUE"""),0)</f>
        <v>0</v>
      </c>
      <c r="AJ30" s="24">
        <f ca="1">IFERROR(__xludf.DUMMYFUNCTION("""COMPUTED_VALUE"""),43720.7299999999)</f>
        <v>43720.729999999901</v>
      </c>
      <c r="AK30" s="24">
        <f ca="1">IFERROR(__xludf.DUMMYFUNCTION("""COMPUTED_VALUE"""),0)</f>
        <v>0</v>
      </c>
      <c r="AL30" s="24">
        <f ca="1">IFERROR(__xludf.DUMMYFUNCTION("""COMPUTED_VALUE"""),0)</f>
        <v>0</v>
      </c>
      <c r="AM30" s="20"/>
      <c r="AN30" s="20"/>
      <c r="AO30" s="20"/>
      <c r="AP30" s="20"/>
      <c r="AQ30" s="20"/>
      <c r="AR30" s="24">
        <f ca="1">IFERROR(__xludf.DUMMYFUNCTION("""COMPUTED_VALUE"""),0)</f>
        <v>0</v>
      </c>
      <c r="AS30" s="20"/>
      <c r="AT30" s="20"/>
      <c r="AU30" s="20"/>
      <c r="AV30" s="20"/>
      <c r="AW30" s="20"/>
      <c r="AX30" s="24">
        <f ca="1">IFERROR(__xludf.DUMMYFUNCTION("""COMPUTED_VALUE"""),51685.04)</f>
        <v>51685.04</v>
      </c>
      <c r="AY30" s="24">
        <f ca="1">IFERROR(__xludf.DUMMYFUNCTION("""COMPUTED_VALUE"""),26419.7)</f>
        <v>26419.7</v>
      </c>
      <c r="AZ30" s="24">
        <f ca="1">IFERROR(__xludf.DUMMYFUNCTION("""COMPUTED_VALUE"""),8806.57)</f>
        <v>8806.57</v>
      </c>
      <c r="BA30" s="20"/>
      <c r="BB30" s="24">
        <f ca="1">IFERROR(__xludf.DUMMYFUNCTION("""COMPUTED_VALUE"""),16458.77)</f>
        <v>16458.77</v>
      </c>
      <c r="BC30" s="20"/>
      <c r="BD30" s="24">
        <f ca="1">IFERROR(__xludf.DUMMYFUNCTION("""COMPUTED_VALUE"""),91219.7)</f>
        <v>91219.7</v>
      </c>
      <c r="BE30" s="24">
        <f ca="1">IFERROR(__xludf.DUMMYFUNCTION("""COMPUTED_VALUE"""),47968.3)</f>
        <v>47968.3</v>
      </c>
      <c r="BF30" s="24">
        <f ca="1">IFERROR(__xludf.DUMMYFUNCTION("""COMPUTED_VALUE"""),15989.44)</f>
        <v>15989.44</v>
      </c>
      <c r="BG30" s="20"/>
      <c r="BH30" s="24">
        <f ca="1">IFERROR(__xludf.DUMMYFUNCTION("""COMPUTED_VALUE"""),27261.96)</f>
        <v>27261.96</v>
      </c>
      <c r="BI30" s="20"/>
      <c r="BJ30" s="24">
        <f ca="1">IFERROR(__xludf.DUMMYFUNCTION("""COMPUTED_VALUE"""),0)</f>
        <v>0</v>
      </c>
      <c r="BK30" s="24">
        <f ca="1">IFERROR(__xludf.DUMMYFUNCTION("""COMPUTED_VALUE"""),0)</f>
        <v>0</v>
      </c>
      <c r="BL30" s="24">
        <f ca="1">IFERROR(__xludf.DUMMYFUNCTION("""COMPUTED_VALUE"""),0)</f>
        <v>0</v>
      </c>
      <c r="BM30" s="20"/>
      <c r="BN30" s="24">
        <f ca="1">IFERROR(__xludf.DUMMYFUNCTION("""COMPUTED_VALUE"""),0)</f>
        <v>0</v>
      </c>
      <c r="BO30" s="20"/>
      <c r="BP30" s="24">
        <f ca="1">IFERROR(__xludf.DUMMYFUNCTION("""COMPUTED_VALUE"""),0)</f>
        <v>0</v>
      </c>
      <c r="BQ30" s="24">
        <f ca="1">IFERROR(__xludf.DUMMYFUNCTION("""COMPUTED_VALUE"""),0)</f>
        <v>0</v>
      </c>
      <c r="BR30" s="24">
        <f ca="1">IFERROR(__xludf.DUMMYFUNCTION("""COMPUTED_VALUE"""),0)</f>
        <v>0</v>
      </c>
      <c r="BS30" s="20"/>
      <c r="BT30" s="24">
        <f ca="1">IFERROR(__xludf.DUMMYFUNCTION("""COMPUTED_VALUE"""),0)</f>
        <v>0</v>
      </c>
      <c r="BU30" s="20"/>
      <c r="BV30" s="24">
        <f ca="1">IFERROR(__xludf.DUMMYFUNCTION("""COMPUTED_VALUE"""),0)</f>
        <v>0</v>
      </c>
      <c r="BW30" s="24">
        <f ca="1">IFERROR(__xludf.DUMMYFUNCTION("""COMPUTED_VALUE"""),0)</f>
        <v>0</v>
      </c>
      <c r="BX30" s="24">
        <f ca="1">IFERROR(__xludf.DUMMYFUNCTION("""COMPUTED_VALUE"""),0)</f>
        <v>0</v>
      </c>
      <c r="BY30" s="20"/>
      <c r="BZ30" s="24">
        <f ca="1">IFERROR(__xludf.DUMMYFUNCTION("""COMPUTED_VALUE"""),0)</f>
        <v>0</v>
      </c>
      <c r="CA30" s="20"/>
      <c r="CB30" s="20"/>
      <c r="CC30" s="20"/>
      <c r="CD30" s="20"/>
      <c r="CE30" s="20"/>
      <c r="CF30" s="20"/>
      <c r="CG30" s="20"/>
      <c r="CH30" s="20"/>
      <c r="CI30" s="20"/>
      <c r="CJ30" s="25">
        <f ca="1">IFERROR(__xludf.DUMMYFUNCTION("""COMPUTED_VALUE"""),43433)</f>
        <v>43433</v>
      </c>
      <c r="CK30" s="26">
        <f ca="1">IFERROR(__xludf.DUMMYFUNCTION("""COMPUTED_VALUE"""),43530)</f>
        <v>43530</v>
      </c>
      <c r="CL30" s="20" t="str">
        <f ca="1">IFERROR(__xludf.DUMMYFUNCTION("""COMPUTED_VALUE"""),"550-1-1-2-0147-19")</f>
        <v>550-1-1-2-0147-19</v>
      </c>
      <c r="CM30" s="26">
        <f ca="1">IFERROR(__xludf.DUMMYFUNCTION("""COMPUTED_VALUE"""),43927)</f>
        <v>43927</v>
      </c>
      <c r="CN30" s="20" t="str">
        <f ca="1">IFERROR(__xludf.DUMMYFUNCTION("""COMPUTED_VALUE"""),"0148200005420000120")</f>
        <v>0148200005420000120</v>
      </c>
      <c r="CO30" s="26">
        <f ca="1">IFERROR(__xludf.DUMMYFUNCTION("""COMPUTED_VALUE"""),43957)</f>
        <v>43957</v>
      </c>
      <c r="CP30" s="20" t="str">
        <f ca="1">IFERROR(__xludf.DUMMYFUNCTION("""COMPUTED_VALUE"""),"0148200005420000120")</f>
        <v>0148200005420000120</v>
      </c>
      <c r="CQ30" s="20">
        <f ca="1">IFERROR(__xludf.DUMMYFUNCTION("""COMPUTED_VALUE"""),135840896.16)</f>
        <v>135840896.16</v>
      </c>
      <c r="CR30" s="20" t="str">
        <f ca="1">IFERROR(__xludf.DUMMYFUNCTION("""COMPUTED_VALUE"""),"ООО ""МКСМ""")</f>
        <v>ООО "МКСМ"</v>
      </c>
      <c r="CS30" s="27" t="str">
        <f ca="1">IFERROR(__xludf.DUMMYFUNCTION("""COMPUTED_VALUE"""),"https://zakupki.gov.ru/epz/contract/contractCard/common-info.html?reestrNumber=3504805359220000007&amp;backUrl=1a150117-ef74-4efb-bed6-a999c2b3c581")</f>
        <v>https://zakupki.gov.ru/epz/contract/contractCard/common-info.html?reestrNumber=3504805359220000007&amp;backUrl=1a150117-ef74-4efb-bed6-a999c2b3c581</v>
      </c>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row>
    <row r="31" spans="1:123" ht="64.5" hidden="1" customHeight="1" x14ac:dyDescent="0.2">
      <c r="A31" s="19"/>
      <c r="B31" s="20" t="str">
        <f ca="1">IFERROR(__xludf.DUMMYFUNCTION("""COMPUTED_VALUE"""),"г.о. Чехов")</f>
        <v>г.о. Чехов</v>
      </c>
      <c r="C3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1" s="20" t="str">
        <f ca="1">IFERROR(__xludf.DUMMYFUNCTION("""COMPUTED_VALUE"""),"МинЖКХ")</f>
        <v>МинЖКХ</v>
      </c>
      <c r="E31" s="20" t="str">
        <f ca="1">IFERROR(__xludf.DUMMYFUNCTION("""COMPUTED_VALUE"""),"Строительство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f>
        <v>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v>
      </c>
      <c r="F31" s="22" t="str">
        <f ca="1">IFERROR(__xludf.DUMMYFUNCTION("""COMPUTED_VALUE"""),"ВЗУ")</f>
        <v>ВЗУ</v>
      </c>
      <c r="G31" s="20" t="str">
        <f ca="1">IFERROR(__xludf.DUMMYFUNCTION("""COMPUTED_VALUE"""),"2021-2022")</f>
        <v>2021-2022</v>
      </c>
      <c r="H31" s="20" t="str">
        <f ca="1">IFERROR(__xludf.DUMMYFUNCTION("""COMPUTED_VALUE"""),"СМР")</f>
        <v>СМР</v>
      </c>
      <c r="I31" s="20"/>
      <c r="J31" s="20"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K31" s="20"/>
      <c r="L31" s="20"/>
      <c r="M31" s="20"/>
      <c r="N31" s="24">
        <f ca="1">IFERROR(__xludf.DUMMYFUNCTION("""COMPUTED_VALUE"""),0)</f>
        <v>0</v>
      </c>
      <c r="O31" s="20"/>
      <c r="P31" s="20"/>
      <c r="Q31" s="20"/>
      <c r="R31" s="20"/>
      <c r="S31" s="20"/>
      <c r="T31" s="20"/>
      <c r="U31" s="24">
        <f ca="1">IFERROR(__xludf.DUMMYFUNCTION("""COMPUTED_VALUE"""),0)</f>
        <v>0</v>
      </c>
      <c r="V31" s="24">
        <f ca="1">IFERROR(__xludf.DUMMYFUNCTION("""COMPUTED_VALUE"""),0)</f>
        <v>0</v>
      </c>
      <c r="W31" s="24">
        <f ca="1">IFERROR(__xludf.DUMMYFUNCTION("""COMPUTED_VALUE"""),0)</f>
        <v>0</v>
      </c>
      <c r="X31" s="24">
        <f ca="1">IFERROR(__xludf.DUMMYFUNCTION("""COMPUTED_VALUE"""),0)</f>
        <v>0</v>
      </c>
      <c r="Y31" s="24">
        <f ca="1">IFERROR(__xludf.DUMMYFUNCTION("""COMPUTED_VALUE"""),0)</f>
        <v>0</v>
      </c>
      <c r="Z31" s="24">
        <f ca="1">IFERROR(__xludf.DUMMYFUNCTION("""COMPUTED_VALUE"""),0)</f>
        <v>0</v>
      </c>
      <c r="AA31" s="20" t="str">
        <f ca="1">IFERROR(__xludf.DUMMYFUNCTION("""COMPUTED_VALUE"""),"10 1 G552430
")</f>
        <v xml:space="preserve">10 1 G552430
</v>
      </c>
      <c r="AB31" s="20">
        <f ca="1">IFERROR(__xludf.DUMMYFUNCTION("""COMPUTED_VALUE"""),522)</f>
        <v>522</v>
      </c>
      <c r="AC31" s="20"/>
      <c r="AD31" s="20"/>
      <c r="AE31" s="20"/>
      <c r="AF31" s="24">
        <f ca="1">IFERROR(__xludf.DUMMYFUNCTION("""COMPUTED_VALUE"""),142658.87)</f>
        <v>142658.87</v>
      </c>
      <c r="AG31" s="24">
        <f ca="1">IFERROR(__xludf.DUMMYFUNCTION("""COMPUTED_VALUE"""),78533.6)</f>
        <v>78533.600000000006</v>
      </c>
      <c r="AH31" s="24">
        <f ca="1">IFERROR(__xludf.DUMMYFUNCTION("""COMPUTED_VALUE"""),26177.97)</f>
        <v>26177.97</v>
      </c>
      <c r="AI31" s="24">
        <f ca="1">IFERROR(__xludf.DUMMYFUNCTION("""COMPUTED_VALUE"""),0)</f>
        <v>0</v>
      </c>
      <c r="AJ31" s="24">
        <f ca="1">IFERROR(__xludf.DUMMYFUNCTION("""COMPUTED_VALUE"""),37947.3)</f>
        <v>37947.300000000003</v>
      </c>
      <c r="AK31" s="24">
        <f ca="1">IFERROR(__xludf.DUMMYFUNCTION("""COMPUTED_VALUE"""),0)</f>
        <v>0</v>
      </c>
      <c r="AL31" s="24">
        <f ca="1">IFERROR(__xludf.DUMMYFUNCTION("""COMPUTED_VALUE"""),0)</f>
        <v>0</v>
      </c>
      <c r="AM31" s="20"/>
      <c r="AN31" s="20"/>
      <c r="AO31" s="20"/>
      <c r="AP31" s="20"/>
      <c r="AQ31" s="20"/>
      <c r="AR31" s="24">
        <f ca="1">IFERROR(__xludf.DUMMYFUNCTION("""COMPUTED_VALUE"""),0)</f>
        <v>0</v>
      </c>
      <c r="AS31" s="20"/>
      <c r="AT31" s="20"/>
      <c r="AU31" s="20"/>
      <c r="AV31" s="20"/>
      <c r="AW31" s="20"/>
      <c r="AX31" s="24">
        <f ca="1">IFERROR(__xludf.DUMMYFUNCTION("""COMPUTED_VALUE"""),0)</f>
        <v>0</v>
      </c>
      <c r="AY31" s="24">
        <f ca="1">IFERROR(__xludf.DUMMYFUNCTION("""COMPUTED_VALUE"""),0)</f>
        <v>0</v>
      </c>
      <c r="AZ31" s="24">
        <f ca="1">IFERROR(__xludf.DUMMYFUNCTION("""COMPUTED_VALUE"""),0)</f>
        <v>0</v>
      </c>
      <c r="BA31" s="20"/>
      <c r="BB31" s="24">
        <f ca="1">IFERROR(__xludf.DUMMYFUNCTION("""COMPUTED_VALUE"""),0)</f>
        <v>0</v>
      </c>
      <c r="BC31" s="20"/>
      <c r="BD31" s="24">
        <f ca="1">IFERROR(__xludf.DUMMYFUNCTION("""COMPUTED_VALUE"""),63646.42)</f>
        <v>63646.42</v>
      </c>
      <c r="BE31" s="24">
        <f ca="1">IFERROR(__xludf.DUMMYFUNCTION("""COMPUTED_VALUE"""),35037.3)</f>
        <v>35037.300000000003</v>
      </c>
      <c r="BF31" s="24">
        <f ca="1">IFERROR(__xludf.DUMMYFUNCTION("""COMPUTED_VALUE"""),11679.15)</f>
        <v>11679.15</v>
      </c>
      <c r="BG31" s="20"/>
      <c r="BH31" s="24">
        <f ca="1">IFERROR(__xludf.DUMMYFUNCTION("""COMPUTED_VALUE"""),16929.97)</f>
        <v>16929.97</v>
      </c>
      <c r="BI31" s="20"/>
      <c r="BJ31" s="24">
        <f ca="1">IFERROR(__xludf.DUMMYFUNCTION("""COMPUTED_VALUE"""),79012.45)</f>
        <v>79012.45</v>
      </c>
      <c r="BK31" s="24">
        <f ca="1">IFERROR(__xludf.DUMMYFUNCTION("""COMPUTED_VALUE"""),43496.3)</f>
        <v>43496.3</v>
      </c>
      <c r="BL31" s="24">
        <f ca="1">IFERROR(__xludf.DUMMYFUNCTION("""COMPUTED_VALUE"""),14498.82)</f>
        <v>14498.82</v>
      </c>
      <c r="BM31" s="20"/>
      <c r="BN31" s="24">
        <f ca="1">IFERROR(__xludf.DUMMYFUNCTION("""COMPUTED_VALUE"""),21017.33)</f>
        <v>21017.33</v>
      </c>
      <c r="BO31" s="20"/>
      <c r="BP31" s="24">
        <f ca="1">IFERROR(__xludf.DUMMYFUNCTION("""COMPUTED_VALUE"""),0)</f>
        <v>0</v>
      </c>
      <c r="BQ31" s="24">
        <f ca="1">IFERROR(__xludf.DUMMYFUNCTION("""COMPUTED_VALUE"""),0)</f>
        <v>0</v>
      </c>
      <c r="BR31" s="24">
        <f ca="1">IFERROR(__xludf.DUMMYFUNCTION("""COMPUTED_VALUE"""),0)</f>
        <v>0</v>
      </c>
      <c r="BS31" s="20"/>
      <c r="BT31" s="24">
        <f ca="1">IFERROR(__xludf.DUMMYFUNCTION("""COMPUTED_VALUE"""),0)</f>
        <v>0</v>
      </c>
      <c r="BU31" s="20"/>
      <c r="BV31" s="24">
        <f ca="1">IFERROR(__xludf.DUMMYFUNCTION("""COMPUTED_VALUE"""),0)</f>
        <v>0</v>
      </c>
      <c r="BW31" s="24">
        <f ca="1">IFERROR(__xludf.DUMMYFUNCTION("""COMPUTED_VALUE"""),0)</f>
        <v>0</v>
      </c>
      <c r="BX31" s="24">
        <f ca="1">IFERROR(__xludf.DUMMYFUNCTION("""COMPUTED_VALUE"""),0)</f>
        <v>0</v>
      </c>
      <c r="BY31" s="20"/>
      <c r="BZ31" s="24">
        <f ca="1">IFERROR(__xludf.DUMMYFUNCTION("""COMPUTED_VALUE"""),0)</f>
        <v>0</v>
      </c>
      <c r="CA31" s="20"/>
      <c r="CB31" s="20"/>
      <c r="CC31" s="20"/>
      <c r="CD31" s="20"/>
      <c r="CE31" s="20"/>
      <c r="CF31" s="20"/>
      <c r="CG31" s="20"/>
      <c r="CH31" s="20"/>
      <c r="CI31" s="20"/>
      <c r="CJ31" s="20"/>
      <c r="CK31" s="20"/>
      <c r="CL31" s="20"/>
      <c r="CM31" s="20"/>
      <c r="CN31" s="20"/>
      <c r="CO31" s="20"/>
      <c r="CP31" s="20"/>
      <c r="CQ31" s="20"/>
      <c r="CR31" s="20"/>
      <c r="CS31" s="20"/>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row>
    <row r="32" spans="1:123" ht="64.5" hidden="1" customHeight="1" x14ac:dyDescent="0.2">
      <c r="A32" s="19"/>
      <c r="B32" s="20" t="str">
        <f ca="1">IFERROR(__xludf.DUMMYFUNCTION("""COMPUTED_VALUE"""),"г.о. Электросталь")</f>
        <v>г.о. Электросталь</v>
      </c>
      <c r="C3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2" s="20" t="str">
        <f ca="1">IFERROR(__xludf.DUMMYFUNCTION("""COMPUTED_VALUE"""),"МинЖКХ")</f>
        <v>МинЖКХ</v>
      </c>
      <c r="E32" s="20" t="str">
        <f ca="1">IFERROR(__xludf.DUMMYFUNCTION("""COMPUTED_VALUE"""),"Строительство ВЗУ  Есино г.о. Электросталь ")</f>
        <v xml:space="preserve">Строительство ВЗУ  Есино г.о. Электросталь </v>
      </c>
      <c r="F32" s="22" t="str">
        <f ca="1">IFERROR(__xludf.DUMMYFUNCTION("""COMPUTED_VALUE"""),"ВЗУ")</f>
        <v>ВЗУ</v>
      </c>
      <c r="G32" s="20">
        <f ca="1">IFERROR(__xludf.DUMMYFUNCTION("""COMPUTED_VALUE"""),2022)</f>
        <v>2022</v>
      </c>
      <c r="H32" s="20" t="str">
        <f ca="1">IFERROR(__xludf.DUMMYFUNCTION("""COMPUTED_VALUE"""),"СМР")</f>
        <v>СМР</v>
      </c>
      <c r="I32" s="20"/>
      <c r="J32" s="20"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K32" s="20"/>
      <c r="L32" s="20"/>
      <c r="M32" s="20"/>
      <c r="N32" s="24">
        <f ca="1">IFERROR(__xludf.DUMMYFUNCTION("""COMPUTED_VALUE"""),0)</f>
        <v>0</v>
      </c>
      <c r="O32" s="20"/>
      <c r="P32" s="20"/>
      <c r="Q32" s="20"/>
      <c r="R32" s="20"/>
      <c r="S32" s="20"/>
      <c r="T32" s="20"/>
      <c r="U32" s="24">
        <f ca="1">IFERROR(__xludf.DUMMYFUNCTION("""COMPUTED_VALUE"""),0)</f>
        <v>0</v>
      </c>
      <c r="V32" s="24">
        <f ca="1">IFERROR(__xludf.DUMMYFUNCTION("""COMPUTED_VALUE"""),0)</f>
        <v>0</v>
      </c>
      <c r="W32" s="24">
        <f ca="1">IFERROR(__xludf.DUMMYFUNCTION("""COMPUTED_VALUE"""),0)</f>
        <v>0</v>
      </c>
      <c r="X32" s="24">
        <f ca="1">IFERROR(__xludf.DUMMYFUNCTION("""COMPUTED_VALUE"""),0)</f>
        <v>0</v>
      </c>
      <c r="Y32" s="24">
        <f ca="1">IFERROR(__xludf.DUMMYFUNCTION("""COMPUTED_VALUE"""),0)</f>
        <v>0</v>
      </c>
      <c r="Z32" s="24">
        <f ca="1">IFERROR(__xludf.DUMMYFUNCTION("""COMPUTED_VALUE"""),0)</f>
        <v>0</v>
      </c>
      <c r="AA32" s="20" t="str">
        <f ca="1">IFERROR(__xludf.DUMMYFUNCTION("""COMPUTED_VALUE"""),"10 1 G552430
")</f>
        <v xml:space="preserve">10 1 G552430
</v>
      </c>
      <c r="AB32" s="20">
        <f ca="1">IFERROR(__xludf.DUMMYFUNCTION("""COMPUTED_VALUE"""),522)</f>
        <v>522</v>
      </c>
      <c r="AC32" s="20"/>
      <c r="AD32" s="20"/>
      <c r="AE32" s="20"/>
      <c r="AF32" s="24">
        <f ca="1">IFERROR(__xludf.DUMMYFUNCTION("""COMPUTED_VALUE"""),70000)</f>
        <v>70000</v>
      </c>
      <c r="AG32" s="24">
        <f ca="1">IFERROR(__xludf.DUMMYFUNCTION("""COMPUTED_VALUE"""),41737.5)</f>
        <v>41737.5</v>
      </c>
      <c r="AH32" s="24">
        <f ca="1">IFERROR(__xludf.DUMMYFUNCTION("""COMPUTED_VALUE"""),13912.5)</f>
        <v>13912.5</v>
      </c>
      <c r="AI32" s="24">
        <f ca="1">IFERROR(__xludf.DUMMYFUNCTION("""COMPUTED_VALUE"""),0)</f>
        <v>0</v>
      </c>
      <c r="AJ32" s="24">
        <f ca="1">IFERROR(__xludf.DUMMYFUNCTION("""COMPUTED_VALUE"""),14350)</f>
        <v>14350</v>
      </c>
      <c r="AK32" s="24">
        <f ca="1">IFERROR(__xludf.DUMMYFUNCTION("""COMPUTED_VALUE"""),0)</f>
        <v>0</v>
      </c>
      <c r="AL32" s="24">
        <f ca="1">IFERROR(__xludf.DUMMYFUNCTION("""COMPUTED_VALUE"""),0)</f>
        <v>0</v>
      </c>
      <c r="AM32" s="20"/>
      <c r="AN32" s="20"/>
      <c r="AO32" s="20"/>
      <c r="AP32" s="20"/>
      <c r="AQ32" s="20"/>
      <c r="AR32" s="24">
        <f ca="1">IFERROR(__xludf.DUMMYFUNCTION("""COMPUTED_VALUE"""),0)</f>
        <v>0</v>
      </c>
      <c r="AS32" s="20"/>
      <c r="AT32" s="20"/>
      <c r="AU32" s="20"/>
      <c r="AV32" s="20"/>
      <c r="AW32" s="20"/>
      <c r="AX32" s="24">
        <f ca="1">IFERROR(__xludf.DUMMYFUNCTION("""COMPUTED_VALUE"""),0)</f>
        <v>0</v>
      </c>
      <c r="AY32" s="24">
        <f ca="1">IFERROR(__xludf.DUMMYFUNCTION("""COMPUTED_VALUE"""),0)</f>
        <v>0</v>
      </c>
      <c r="AZ32" s="24">
        <f ca="1">IFERROR(__xludf.DUMMYFUNCTION("""COMPUTED_VALUE"""),0)</f>
        <v>0</v>
      </c>
      <c r="BA32" s="20"/>
      <c r="BB32" s="24">
        <f ca="1">IFERROR(__xludf.DUMMYFUNCTION("""COMPUTED_VALUE"""),0)</f>
        <v>0</v>
      </c>
      <c r="BC32" s="20"/>
      <c r="BD32" s="24">
        <f ca="1">IFERROR(__xludf.DUMMYFUNCTION("""COMPUTED_VALUE"""),0)</f>
        <v>0</v>
      </c>
      <c r="BE32" s="24">
        <f ca="1">IFERROR(__xludf.DUMMYFUNCTION("""COMPUTED_VALUE"""),0)</f>
        <v>0</v>
      </c>
      <c r="BF32" s="24">
        <f ca="1">IFERROR(__xludf.DUMMYFUNCTION("""COMPUTED_VALUE"""),0)</f>
        <v>0</v>
      </c>
      <c r="BG32" s="20"/>
      <c r="BH32" s="24">
        <f ca="1">IFERROR(__xludf.DUMMYFUNCTION("""COMPUTED_VALUE"""),0)</f>
        <v>0</v>
      </c>
      <c r="BI32" s="20"/>
      <c r="BJ32" s="24">
        <f ca="1">IFERROR(__xludf.DUMMYFUNCTION("""COMPUTED_VALUE"""),70000)</f>
        <v>70000</v>
      </c>
      <c r="BK32" s="24">
        <f ca="1">IFERROR(__xludf.DUMMYFUNCTION("""COMPUTED_VALUE"""),41737.5)</f>
        <v>41737.5</v>
      </c>
      <c r="BL32" s="24">
        <f ca="1">IFERROR(__xludf.DUMMYFUNCTION("""COMPUTED_VALUE"""),13912.5)</f>
        <v>13912.5</v>
      </c>
      <c r="BM32" s="20"/>
      <c r="BN32" s="24">
        <f ca="1">IFERROR(__xludf.DUMMYFUNCTION("""COMPUTED_VALUE"""),14350)</f>
        <v>14350</v>
      </c>
      <c r="BO32" s="20"/>
      <c r="BP32" s="24">
        <f ca="1">IFERROR(__xludf.DUMMYFUNCTION("""COMPUTED_VALUE"""),0)</f>
        <v>0</v>
      </c>
      <c r="BQ32" s="24">
        <f ca="1">IFERROR(__xludf.DUMMYFUNCTION("""COMPUTED_VALUE"""),0)</f>
        <v>0</v>
      </c>
      <c r="BR32" s="24">
        <f ca="1">IFERROR(__xludf.DUMMYFUNCTION("""COMPUTED_VALUE"""),0)</f>
        <v>0</v>
      </c>
      <c r="BS32" s="20"/>
      <c r="BT32" s="24">
        <f ca="1">IFERROR(__xludf.DUMMYFUNCTION("""COMPUTED_VALUE"""),0)</f>
        <v>0</v>
      </c>
      <c r="BU32" s="20"/>
      <c r="BV32" s="24">
        <f ca="1">IFERROR(__xludf.DUMMYFUNCTION("""COMPUTED_VALUE"""),0)</f>
        <v>0</v>
      </c>
      <c r="BW32" s="24">
        <f ca="1">IFERROR(__xludf.DUMMYFUNCTION("""COMPUTED_VALUE"""),0)</f>
        <v>0</v>
      </c>
      <c r="BX32" s="24">
        <f ca="1">IFERROR(__xludf.DUMMYFUNCTION("""COMPUTED_VALUE"""),0)</f>
        <v>0</v>
      </c>
      <c r="BY32" s="20"/>
      <c r="BZ32" s="24">
        <f ca="1">IFERROR(__xludf.DUMMYFUNCTION("""COMPUTED_VALUE"""),0)</f>
        <v>0</v>
      </c>
      <c r="CA32" s="20"/>
      <c r="CB32" s="20"/>
      <c r="CC32" s="20"/>
      <c r="CD32" s="20"/>
      <c r="CE32" s="20"/>
      <c r="CF32" s="20"/>
      <c r="CG32" s="20"/>
      <c r="CH32" s="20"/>
      <c r="CI32" s="20"/>
      <c r="CJ32" s="20"/>
      <c r="CK32" s="20"/>
      <c r="CL32" s="20"/>
      <c r="CM32" s="20"/>
      <c r="CN32" s="20"/>
      <c r="CO32" s="20"/>
      <c r="CP32" s="20"/>
      <c r="CQ32" s="20"/>
      <c r="CR32" s="20"/>
      <c r="CS32" s="20"/>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row>
    <row r="33" spans="1:123" ht="64.5" hidden="1" customHeight="1" x14ac:dyDescent="0.2">
      <c r="A33" s="19"/>
      <c r="B33" s="20" t="str">
        <f ca="1">IFERROR(__xludf.DUMMYFUNCTION("""COMPUTED_VALUE"""),"г.о. Орехово-Зуево")</f>
        <v>г.о. Орехово-Зуево</v>
      </c>
      <c r="C3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3" s="20" t="str">
        <f ca="1">IFERROR(__xludf.DUMMYFUNCTION("""COMPUTED_VALUE"""),"МинЖКХ")</f>
        <v>МинЖКХ</v>
      </c>
      <c r="E33" s="20" t="str">
        <f ca="1">IFERROR(__xludf.DUMMYFUNCTION("""COMPUTED_VALUE"""),"Строительство ВЗУ ""Верея Ск №1"" п. Верея (Верейское с/п), ул. Почтовая, д. 7 Орехово-Зуевский г.о. ")</f>
        <v xml:space="preserve">Строительство ВЗУ "Верея Ск №1" п. Верея (Верейское с/п), ул. Почтовая, д. 7 Орехово-Зуевский г.о. </v>
      </c>
      <c r="F33" s="22" t="str">
        <f ca="1">IFERROR(__xludf.DUMMYFUNCTION("""COMPUTED_VALUE"""),"ВЗУ")</f>
        <v>ВЗУ</v>
      </c>
      <c r="G33" s="20">
        <f ca="1">IFERROR(__xludf.DUMMYFUNCTION("""COMPUTED_VALUE"""),2022)</f>
        <v>2022</v>
      </c>
      <c r="H33" s="20" t="str">
        <f ca="1">IFERROR(__xludf.DUMMYFUNCTION("""COMPUTED_VALUE"""),"СМР")</f>
        <v>СМР</v>
      </c>
      <c r="I33" s="20"/>
      <c r="J33" s="20"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K33" s="20"/>
      <c r="L33" s="20"/>
      <c r="M33" s="20"/>
      <c r="N33" s="24">
        <f ca="1">IFERROR(__xludf.DUMMYFUNCTION("""COMPUTED_VALUE"""),0)</f>
        <v>0</v>
      </c>
      <c r="O33" s="20"/>
      <c r="P33" s="20"/>
      <c r="Q33" s="20"/>
      <c r="R33" s="20"/>
      <c r="S33" s="20"/>
      <c r="T33" s="20"/>
      <c r="U33" s="24">
        <f ca="1">IFERROR(__xludf.DUMMYFUNCTION("""COMPUTED_VALUE"""),0)</f>
        <v>0</v>
      </c>
      <c r="V33" s="24">
        <f ca="1">IFERROR(__xludf.DUMMYFUNCTION("""COMPUTED_VALUE"""),0)</f>
        <v>0</v>
      </c>
      <c r="W33" s="24">
        <f ca="1">IFERROR(__xludf.DUMMYFUNCTION("""COMPUTED_VALUE"""),0)</f>
        <v>0</v>
      </c>
      <c r="X33" s="24">
        <f ca="1">IFERROR(__xludf.DUMMYFUNCTION("""COMPUTED_VALUE"""),0)</f>
        <v>0</v>
      </c>
      <c r="Y33" s="24">
        <f ca="1">IFERROR(__xludf.DUMMYFUNCTION("""COMPUTED_VALUE"""),0)</f>
        <v>0</v>
      </c>
      <c r="Z33" s="24">
        <f ca="1">IFERROR(__xludf.DUMMYFUNCTION("""COMPUTED_VALUE"""),0)</f>
        <v>0</v>
      </c>
      <c r="AA33" s="20" t="str">
        <f ca="1">IFERROR(__xludf.DUMMYFUNCTION("""COMPUTED_VALUE"""),"10 1 G552430
")</f>
        <v xml:space="preserve">10 1 G552430
</v>
      </c>
      <c r="AB33" s="20">
        <f ca="1">IFERROR(__xludf.DUMMYFUNCTION("""COMPUTED_VALUE"""),522)</f>
        <v>522</v>
      </c>
      <c r="AC33" s="20"/>
      <c r="AD33" s="20"/>
      <c r="AE33" s="20"/>
      <c r="AF33" s="24">
        <f ca="1">IFERROR(__xludf.DUMMYFUNCTION("""COMPUTED_VALUE"""),92921.94)</f>
        <v>92921.94</v>
      </c>
      <c r="AG33" s="24">
        <f ca="1">IFERROR(__xludf.DUMMYFUNCTION("""COMPUTED_VALUE"""),66206.88)</f>
        <v>66206.880000000005</v>
      </c>
      <c r="AH33" s="24">
        <f ca="1">IFERROR(__xludf.DUMMYFUNCTION("""COMPUTED_VALUE"""),22068.96)</f>
        <v>22068.959999999999</v>
      </c>
      <c r="AI33" s="24">
        <f ca="1">IFERROR(__xludf.DUMMYFUNCTION("""COMPUTED_VALUE"""),0)</f>
        <v>0</v>
      </c>
      <c r="AJ33" s="24">
        <f ca="1">IFERROR(__xludf.DUMMYFUNCTION("""COMPUTED_VALUE"""),4646.1)</f>
        <v>4646.1000000000004</v>
      </c>
      <c r="AK33" s="24">
        <f ca="1">IFERROR(__xludf.DUMMYFUNCTION("""COMPUTED_VALUE"""),0)</f>
        <v>0</v>
      </c>
      <c r="AL33" s="24">
        <f ca="1">IFERROR(__xludf.DUMMYFUNCTION("""COMPUTED_VALUE"""),0)</f>
        <v>0</v>
      </c>
      <c r="AM33" s="20"/>
      <c r="AN33" s="20"/>
      <c r="AO33" s="20"/>
      <c r="AP33" s="20"/>
      <c r="AQ33" s="20"/>
      <c r="AR33" s="24">
        <f ca="1">IFERROR(__xludf.DUMMYFUNCTION("""COMPUTED_VALUE"""),0)</f>
        <v>0</v>
      </c>
      <c r="AS33" s="20"/>
      <c r="AT33" s="20"/>
      <c r="AU33" s="20"/>
      <c r="AV33" s="20"/>
      <c r="AW33" s="20"/>
      <c r="AX33" s="24">
        <f ca="1">IFERROR(__xludf.DUMMYFUNCTION("""COMPUTED_VALUE"""),0)</f>
        <v>0</v>
      </c>
      <c r="AY33" s="24">
        <f ca="1">IFERROR(__xludf.DUMMYFUNCTION("""COMPUTED_VALUE"""),0)</f>
        <v>0</v>
      </c>
      <c r="AZ33" s="24">
        <f ca="1">IFERROR(__xludf.DUMMYFUNCTION("""COMPUTED_VALUE"""),0)</f>
        <v>0</v>
      </c>
      <c r="BA33" s="20"/>
      <c r="BB33" s="24">
        <f ca="1">IFERROR(__xludf.DUMMYFUNCTION("""COMPUTED_VALUE"""),0)</f>
        <v>0</v>
      </c>
      <c r="BC33" s="20"/>
      <c r="BD33" s="24">
        <f ca="1">IFERROR(__xludf.DUMMYFUNCTION("""COMPUTED_VALUE"""),0)</f>
        <v>0</v>
      </c>
      <c r="BE33" s="24">
        <f ca="1">IFERROR(__xludf.DUMMYFUNCTION("""COMPUTED_VALUE"""),0)</f>
        <v>0</v>
      </c>
      <c r="BF33" s="24">
        <f ca="1">IFERROR(__xludf.DUMMYFUNCTION("""COMPUTED_VALUE"""),0)</f>
        <v>0</v>
      </c>
      <c r="BG33" s="20"/>
      <c r="BH33" s="24">
        <f ca="1">IFERROR(__xludf.DUMMYFUNCTION("""COMPUTED_VALUE"""),0)</f>
        <v>0</v>
      </c>
      <c r="BI33" s="20"/>
      <c r="BJ33" s="24">
        <f ca="1">IFERROR(__xludf.DUMMYFUNCTION("""COMPUTED_VALUE"""),92921.94)</f>
        <v>92921.94</v>
      </c>
      <c r="BK33" s="24">
        <f ca="1">IFERROR(__xludf.DUMMYFUNCTION("""COMPUTED_VALUE"""),66206.88)</f>
        <v>66206.880000000005</v>
      </c>
      <c r="BL33" s="24">
        <f ca="1">IFERROR(__xludf.DUMMYFUNCTION("""COMPUTED_VALUE"""),22068.96)</f>
        <v>22068.959999999999</v>
      </c>
      <c r="BM33" s="20"/>
      <c r="BN33" s="24">
        <f ca="1">IFERROR(__xludf.DUMMYFUNCTION("""COMPUTED_VALUE"""),4646.1)</f>
        <v>4646.1000000000004</v>
      </c>
      <c r="BO33" s="20"/>
      <c r="BP33" s="24">
        <f ca="1">IFERROR(__xludf.DUMMYFUNCTION("""COMPUTED_VALUE"""),0)</f>
        <v>0</v>
      </c>
      <c r="BQ33" s="24">
        <f ca="1">IFERROR(__xludf.DUMMYFUNCTION("""COMPUTED_VALUE"""),0)</f>
        <v>0</v>
      </c>
      <c r="BR33" s="24">
        <f ca="1">IFERROR(__xludf.DUMMYFUNCTION("""COMPUTED_VALUE"""),0)</f>
        <v>0</v>
      </c>
      <c r="BS33" s="20"/>
      <c r="BT33" s="24">
        <f ca="1">IFERROR(__xludf.DUMMYFUNCTION("""COMPUTED_VALUE"""),0)</f>
        <v>0</v>
      </c>
      <c r="BU33" s="20"/>
      <c r="BV33" s="24">
        <f ca="1">IFERROR(__xludf.DUMMYFUNCTION("""COMPUTED_VALUE"""),0)</f>
        <v>0</v>
      </c>
      <c r="BW33" s="24">
        <f ca="1">IFERROR(__xludf.DUMMYFUNCTION("""COMPUTED_VALUE"""),0)</f>
        <v>0</v>
      </c>
      <c r="BX33" s="24">
        <f ca="1">IFERROR(__xludf.DUMMYFUNCTION("""COMPUTED_VALUE"""),0)</f>
        <v>0</v>
      </c>
      <c r="BY33" s="20"/>
      <c r="BZ33" s="24">
        <f ca="1">IFERROR(__xludf.DUMMYFUNCTION("""COMPUTED_VALUE"""),0)</f>
        <v>0</v>
      </c>
      <c r="CA33" s="20"/>
      <c r="CB33" s="20"/>
      <c r="CC33" s="20"/>
      <c r="CD33" s="20"/>
      <c r="CE33" s="20"/>
      <c r="CF33" s="20"/>
      <c r="CG33" s="20"/>
      <c r="CH33" s="20"/>
      <c r="CI33" s="20"/>
      <c r="CJ33" s="20"/>
      <c r="CK33" s="20"/>
      <c r="CL33" s="20"/>
      <c r="CM33" s="20"/>
      <c r="CN33" s="20"/>
      <c r="CO33" s="20"/>
      <c r="CP33" s="20"/>
      <c r="CQ33" s="20"/>
      <c r="CR33" s="20"/>
      <c r="CS33" s="20"/>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row>
    <row r="34" spans="1:123" ht="64.5" hidden="1" customHeight="1" x14ac:dyDescent="0.2">
      <c r="A34" s="19"/>
      <c r="B34" s="20" t="str">
        <f ca="1">IFERROR(__xludf.DUMMYFUNCTION("""COMPUTED_VALUE"""),"г.о. Орехово-Зуево")</f>
        <v>г.о. Орехово-Зуево</v>
      </c>
      <c r="C3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4" s="20" t="str">
        <f ca="1">IFERROR(__xludf.DUMMYFUNCTION("""COMPUTED_VALUE"""),"МинЖКХ")</f>
        <v>МинЖКХ</v>
      </c>
      <c r="E34" s="20" t="str">
        <f ca="1">IFERROR(__xludf.DUMMYFUNCTION("""COMPUTED_VALUE"""),"Реконструкция ВЗУ ""Кировский"" г. Орехово-Зуево, ул. Кирова,  Орехово-Зуевский г.о. ")</f>
        <v xml:space="preserve">Реконструкция ВЗУ "Кировский" г. Орехово-Зуево, ул. Кирова,  Орехово-Зуевский г.о. </v>
      </c>
      <c r="F34" s="22" t="str">
        <f ca="1">IFERROR(__xludf.DUMMYFUNCTION("""COMPUTED_VALUE"""),"ВЗУ")</f>
        <v>ВЗУ</v>
      </c>
      <c r="G34" s="20">
        <f ca="1">IFERROR(__xludf.DUMMYFUNCTION("""COMPUTED_VALUE"""),2022)</f>
        <v>2022</v>
      </c>
      <c r="H34" s="20" t="str">
        <f ca="1">IFERROR(__xludf.DUMMYFUNCTION("""COMPUTED_VALUE"""),"СМР")</f>
        <v>СМР</v>
      </c>
      <c r="I34" s="20"/>
      <c r="J34" s="20"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K34" s="20"/>
      <c r="L34" s="20"/>
      <c r="M34" s="20"/>
      <c r="N34" s="24">
        <f ca="1">IFERROR(__xludf.DUMMYFUNCTION("""COMPUTED_VALUE"""),0)</f>
        <v>0</v>
      </c>
      <c r="O34" s="20"/>
      <c r="P34" s="20"/>
      <c r="Q34" s="20"/>
      <c r="R34" s="20"/>
      <c r="S34" s="20"/>
      <c r="T34" s="20"/>
      <c r="U34" s="24">
        <f ca="1">IFERROR(__xludf.DUMMYFUNCTION("""COMPUTED_VALUE"""),0)</f>
        <v>0</v>
      </c>
      <c r="V34" s="24">
        <f ca="1">IFERROR(__xludf.DUMMYFUNCTION("""COMPUTED_VALUE"""),0)</f>
        <v>0</v>
      </c>
      <c r="W34" s="24">
        <f ca="1">IFERROR(__xludf.DUMMYFUNCTION("""COMPUTED_VALUE"""),0)</f>
        <v>0</v>
      </c>
      <c r="X34" s="24">
        <f ca="1">IFERROR(__xludf.DUMMYFUNCTION("""COMPUTED_VALUE"""),0)</f>
        <v>0</v>
      </c>
      <c r="Y34" s="24">
        <f ca="1">IFERROR(__xludf.DUMMYFUNCTION("""COMPUTED_VALUE"""),0)</f>
        <v>0</v>
      </c>
      <c r="Z34" s="24">
        <f ca="1">IFERROR(__xludf.DUMMYFUNCTION("""COMPUTED_VALUE"""),0)</f>
        <v>0</v>
      </c>
      <c r="AA34" s="20" t="str">
        <f ca="1">IFERROR(__xludf.DUMMYFUNCTION("""COMPUTED_VALUE"""),"10 1 G552430
")</f>
        <v xml:space="preserve">10 1 G552430
</v>
      </c>
      <c r="AB34" s="20">
        <f ca="1">IFERROR(__xludf.DUMMYFUNCTION("""COMPUTED_VALUE"""),522)</f>
        <v>522</v>
      </c>
      <c r="AC34" s="20"/>
      <c r="AD34" s="20"/>
      <c r="AE34" s="20"/>
      <c r="AF34" s="24">
        <f ca="1">IFERROR(__xludf.DUMMYFUNCTION("""COMPUTED_VALUE"""),225997.76)</f>
        <v>225997.76</v>
      </c>
      <c r="AG34" s="24">
        <f ca="1">IFERROR(__xludf.DUMMYFUNCTION("""COMPUTED_VALUE"""),161023.4)</f>
        <v>161023.4</v>
      </c>
      <c r="AH34" s="24">
        <f ca="1">IFERROR(__xludf.DUMMYFUNCTION("""COMPUTED_VALUE"""),53674.47)</f>
        <v>53674.47</v>
      </c>
      <c r="AI34" s="24">
        <f ca="1">IFERROR(__xludf.DUMMYFUNCTION("""COMPUTED_VALUE"""),0)</f>
        <v>0</v>
      </c>
      <c r="AJ34" s="24">
        <f ca="1">IFERROR(__xludf.DUMMYFUNCTION("""COMPUTED_VALUE"""),11299.89)</f>
        <v>11299.89</v>
      </c>
      <c r="AK34" s="24">
        <f ca="1">IFERROR(__xludf.DUMMYFUNCTION("""COMPUTED_VALUE"""),0)</f>
        <v>0</v>
      </c>
      <c r="AL34" s="24">
        <f ca="1">IFERROR(__xludf.DUMMYFUNCTION("""COMPUTED_VALUE"""),0)</f>
        <v>0</v>
      </c>
      <c r="AM34" s="20"/>
      <c r="AN34" s="20"/>
      <c r="AO34" s="20"/>
      <c r="AP34" s="20"/>
      <c r="AQ34" s="20"/>
      <c r="AR34" s="24">
        <f ca="1">IFERROR(__xludf.DUMMYFUNCTION("""COMPUTED_VALUE"""),0)</f>
        <v>0</v>
      </c>
      <c r="AS34" s="20"/>
      <c r="AT34" s="20"/>
      <c r="AU34" s="20"/>
      <c r="AV34" s="20"/>
      <c r="AW34" s="20"/>
      <c r="AX34" s="24">
        <f ca="1">IFERROR(__xludf.DUMMYFUNCTION("""COMPUTED_VALUE"""),0)</f>
        <v>0</v>
      </c>
      <c r="AY34" s="24">
        <f ca="1">IFERROR(__xludf.DUMMYFUNCTION("""COMPUTED_VALUE"""),0)</f>
        <v>0</v>
      </c>
      <c r="AZ34" s="24">
        <f ca="1">IFERROR(__xludf.DUMMYFUNCTION("""COMPUTED_VALUE"""),0)</f>
        <v>0</v>
      </c>
      <c r="BA34" s="20"/>
      <c r="BB34" s="24">
        <f ca="1">IFERROR(__xludf.DUMMYFUNCTION("""COMPUTED_VALUE"""),0)</f>
        <v>0</v>
      </c>
      <c r="BC34" s="20"/>
      <c r="BD34" s="24">
        <f ca="1">IFERROR(__xludf.DUMMYFUNCTION("""COMPUTED_VALUE"""),0)</f>
        <v>0</v>
      </c>
      <c r="BE34" s="24">
        <f ca="1">IFERROR(__xludf.DUMMYFUNCTION("""COMPUTED_VALUE"""),0)</f>
        <v>0</v>
      </c>
      <c r="BF34" s="24">
        <f ca="1">IFERROR(__xludf.DUMMYFUNCTION("""COMPUTED_VALUE"""),0)</f>
        <v>0</v>
      </c>
      <c r="BG34" s="20"/>
      <c r="BH34" s="24">
        <f ca="1">IFERROR(__xludf.DUMMYFUNCTION("""COMPUTED_VALUE"""),0)</f>
        <v>0</v>
      </c>
      <c r="BI34" s="20"/>
      <c r="BJ34" s="24">
        <f ca="1">IFERROR(__xludf.DUMMYFUNCTION("""COMPUTED_VALUE"""),225997.76)</f>
        <v>225997.76</v>
      </c>
      <c r="BK34" s="24">
        <f ca="1">IFERROR(__xludf.DUMMYFUNCTION("""COMPUTED_VALUE"""),161023.4)</f>
        <v>161023.4</v>
      </c>
      <c r="BL34" s="24">
        <f ca="1">IFERROR(__xludf.DUMMYFUNCTION("""COMPUTED_VALUE"""),53674.47)</f>
        <v>53674.47</v>
      </c>
      <c r="BM34" s="20"/>
      <c r="BN34" s="24">
        <f ca="1">IFERROR(__xludf.DUMMYFUNCTION("""COMPUTED_VALUE"""),11299.89)</f>
        <v>11299.89</v>
      </c>
      <c r="BO34" s="20"/>
      <c r="BP34" s="24">
        <f ca="1">IFERROR(__xludf.DUMMYFUNCTION("""COMPUTED_VALUE"""),0)</f>
        <v>0</v>
      </c>
      <c r="BQ34" s="24">
        <f ca="1">IFERROR(__xludf.DUMMYFUNCTION("""COMPUTED_VALUE"""),0)</f>
        <v>0</v>
      </c>
      <c r="BR34" s="24">
        <f ca="1">IFERROR(__xludf.DUMMYFUNCTION("""COMPUTED_VALUE"""),0)</f>
        <v>0</v>
      </c>
      <c r="BS34" s="20"/>
      <c r="BT34" s="24">
        <f ca="1">IFERROR(__xludf.DUMMYFUNCTION("""COMPUTED_VALUE"""),0)</f>
        <v>0</v>
      </c>
      <c r="BU34" s="20"/>
      <c r="BV34" s="24">
        <f ca="1">IFERROR(__xludf.DUMMYFUNCTION("""COMPUTED_VALUE"""),0)</f>
        <v>0</v>
      </c>
      <c r="BW34" s="24">
        <f ca="1">IFERROR(__xludf.DUMMYFUNCTION("""COMPUTED_VALUE"""),0)</f>
        <v>0</v>
      </c>
      <c r="BX34" s="24">
        <f ca="1">IFERROR(__xludf.DUMMYFUNCTION("""COMPUTED_VALUE"""),0)</f>
        <v>0</v>
      </c>
      <c r="BY34" s="20"/>
      <c r="BZ34" s="24">
        <f ca="1">IFERROR(__xludf.DUMMYFUNCTION("""COMPUTED_VALUE"""),0)</f>
        <v>0</v>
      </c>
      <c r="CA34" s="20"/>
      <c r="CB34" s="20"/>
      <c r="CC34" s="20"/>
      <c r="CD34" s="20"/>
      <c r="CE34" s="20"/>
      <c r="CF34" s="20"/>
      <c r="CG34" s="20"/>
      <c r="CH34" s="20"/>
      <c r="CI34" s="20"/>
      <c r="CJ34" s="20"/>
      <c r="CK34" s="20"/>
      <c r="CL34" s="20"/>
      <c r="CM34" s="20"/>
      <c r="CN34" s="20"/>
      <c r="CO34" s="20"/>
      <c r="CP34" s="20"/>
      <c r="CQ34" s="20"/>
      <c r="CR34" s="20"/>
      <c r="CS34" s="20"/>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row>
    <row r="35" spans="1:123" ht="64.5" hidden="1" customHeight="1" x14ac:dyDescent="0.2">
      <c r="A35" s="19"/>
      <c r="B35" s="20" t="str">
        <f ca="1">IFERROR(__xludf.DUMMYFUNCTION("""COMPUTED_VALUE"""),"г.о. Орехово-Зуево")</f>
        <v>г.о. Орехово-Зуево</v>
      </c>
      <c r="C3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5" s="20" t="str">
        <f ca="1">IFERROR(__xludf.DUMMYFUNCTION("""COMPUTED_VALUE"""),"МинЖКХ")</f>
        <v>МинЖКХ</v>
      </c>
      <c r="E35" s="20" t="str">
        <f ca="1">IFERROR(__xludf.DUMMYFUNCTION("""COMPUTED_VALUE"""),"Реконструкция ВЗУ ""Стрелки"" г. Орехово-Зуево, проезд. Сосновый, Орехово-Зуевский  г.о.")</f>
        <v>Реконструкция ВЗУ "Стрелки" г. Орехово-Зуево, проезд. Сосновый, Орехово-Зуевский  г.о.</v>
      </c>
      <c r="F35" s="22" t="str">
        <f ca="1">IFERROR(__xludf.DUMMYFUNCTION("""COMPUTED_VALUE"""),"ВЗУ")</f>
        <v>ВЗУ</v>
      </c>
      <c r="G35" s="20">
        <f ca="1">IFERROR(__xludf.DUMMYFUNCTION("""COMPUTED_VALUE"""),2022)</f>
        <v>2022</v>
      </c>
      <c r="H35" s="20" t="str">
        <f ca="1">IFERROR(__xludf.DUMMYFUNCTION("""COMPUTED_VALUE"""),"СМР")</f>
        <v>СМР</v>
      </c>
      <c r="I35" s="20"/>
      <c r="J35" s="20"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K35" s="20"/>
      <c r="L35" s="20"/>
      <c r="M35" s="20"/>
      <c r="N35" s="24">
        <f ca="1">IFERROR(__xludf.DUMMYFUNCTION("""COMPUTED_VALUE"""),0)</f>
        <v>0</v>
      </c>
      <c r="O35" s="20"/>
      <c r="P35" s="20"/>
      <c r="Q35" s="20"/>
      <c r="R35" s="20"/>
      <c r="S35" s="20"/>
      <c r="T35" s="20"/>
      <c r="U35" s="24">
        <f ca="1">IFERROR(__xludf.DUMMYFUNCTION("""COMPUTED_VALUE"""),0)</f>
        <v>0</v>
      </c>
      <c r="V35" s="24">
        <f ca="1">IFERROR(__xludf.DUMMYFUNCTION("""COMPUTED_VALUE"""),0)</f>
        <v>0</v>
      </c>
      <c r="W35" s="24">
        <f ca="1">IFERROR(__xludf.DUMMYFUNCTION("""COMPUTED_VALUE"""),0)</f>
        <v>0</v>
      </c>
      <c r="X35" s="24">
        <f ca="1">IFERROR(__xludf.DUMMYFUNCTION("""COMPUTED_VALUE"""),0)</f>
        <v>0</v>
      </c>
      <c r="Y35" s="24">
        <f ca="1">IFERROR(__xludf.DUMMYFUNCTION("""COMPUTED_VALUE"""),0)</f>
        <v>0</v>
      </c>
      <c r="Z35" s="24">
        <f ca="1">IFERROR(__xludf.DUMMYFUNCTION("""COMPUTED_VALUE"""),0)</f>
        <v>0</v>
      </c>
      <c r="AA35" s="20" t="str">
        <f ca="1">IFERROR(__xludf.DUMMYFUNCTION("""COMPUTED_VALUE"""),"10 1 G552430
")</f>
        <v xml:space="preserve">10 1 G552430
</v>
      </c>
      <c r="AB35" s="20">
        <f ca="1">IFERROR(__xludf.DUMMYFUNCTION("""COMPUTED_VALUE"""),522)</f>
        <v>522</v>
      </c>
      <c r="AC35" s="20"/>
      <c r="AD35" s="20"/>
      <c r="AE35" s="20"/>
      <c r="AF35" s="24">
        <f ca="1">IFERROR(__xludf.DUMMYFUNCTION("""COMPUTED_VALUE"""),235924.95)</f>
        <v>235924.95</v>
      </c>
      <c r="AG35" s="24">
        <f ca="1">IFERROR(__xludf.DUMMYFUNCTION("""COMPUTED_VALUE"""),168096.5)</f>
        <v>168096.5</v>
      </c>
      <c r="AH35" s="24">
        <f ca="1">IFERROR(__xludf.DUMMYFUNCTION("""COMPUTED_VALUE"""),56032.2)</f>
        <v>56032.2</v>
      </c>
      <c r="AI35" s="24">
        <f ca="1">IFERROR(__xludf.DUMMYFUNCTION("""COMPUTED_VALUE"""),0)</f>
        <v>0</v>
      </c>
      <c r="AJ35" s="24">
        <f ca="1">IFERROR(__xludf.DUMMYFUNCTION("""COMPUTED_VALUE"""),11796.25)</f>
        <v>11796.25</v>
      </c>
      <c r="AK35" s="24">
        <f ca="1">IFERROR(__xludf.DUMMYFUNCTION("""COMPUTED_VALUE"""),0)</f>
        <v>0</v>
      </c>
      <c r="AL35" s="24">
        <f ca="1">IFERROR(__xludf.DUMMYFUNCTION("""COMPUTED_VALUE"""),0)</f>
        <v>0</v>
      </c>
      <c r="AM35" s="20"/>
      <c r="AN35" s="20"/>
      <c r="AO35" s="20"/>
      <c r="AP35" s="20"/>
      <c r="AQ35" s="20"/>
      <c r="AR35" s="24">
        <f ca="1">IFERROR(__xludf.DUMMYFUNCTION("""COMPUTED_VALUE"""),0)</f>
        <v>0</v>
      </c>
      <c r="AS35" s="20"/>
      <c r="AT35" s="20"/>
      <c r="AU35" s="20"/>
      <c r="AV35" s="20"/>
      <c r="AW35" s="20"/>
      <c r="AX35" s="24">
        <f ca="1">IFERROR(__xludf.DUMMYFUNCTION("""COMPUTED_VALUE"""),0)</f>
        <v>0</v>
      </c>
      <c r="AY35" s="24">
        <f ca="1">IFERROR(__xludf.DUMMYFUNCTION("""COMPUTED_VALUE"""),0)</f>
        <v>0</v>
      </c>
      <c r="AZ35" s="24">
        <f ca="1">IFERROR(__xludf.DUMMYFUNCTION("""COMPUTED_VALUE"""),0)</f>
        <v>0</v>
      </c>
      <c r="BA35" s="20"/>
      <c r="BB35" s="24">
        <f ca="1">IFERROR(__xludf.DUMMYFUNCTION("""COMPUTED_VALUE"""),0)</f>
        <v>0</v>
      </c>
      <c r="BC35" s="20"/>
      <c r="BD35" s="24">
        <f ca="1">IFERROR(__xludf.DUMMYFUNCTION("""COMPUTED_VALUE"""),0)</f>
        <v>0</v>
      </c>
      <c r="BE35" s="24">
        <f ca="1">IFERROR(__xludf.DUMMYFUNCTION("""COMPUTED_VALUE"""),0)</f>
        <v>0</v>
      </c>
      <c r="BF35" s="24">
        <f ca="1">IFERROR(__xludf.DUMMYFUNCTION("""COMPUTED_VALUE"""),0)</f>
        <v>0</v>
      </c>
      <c r="BG35" s="20"/>
      <c r="BH35" s="24">
        <f ca="1">IFERROR(__xludf.DUMMYFUNCTION("""COMPUTED_VALUE"""),0)</f>
        <v>0</v>
      </c>
      <c r="BI35" s="20"/>
      <c r="BJ35" s="24">
        <f ca="1">IFERROR(__xludf.DUMMYFUNCTION("""COMPUTED_VALUE"""),235924.95)</f>
        <v>235924.95</v>
      </c>
      <c r="BK35" s="24">
        <f ca="1">IFERROR(__xludf.DUMMYFUNCTION("""COMPUTED_VALUE"""),168096.5)</f>
        <v>168096.5</v>
      </c>
      <c r="BL35" s="24">
        <f ca="1">IFERROR(__xludf.DUMMYFUNCTION("""COMPUTED_VALUE"""),56032.2)</f>
        <v>56032.2</v>
      </c>
      <c r="BM35" s="20"/>
      <c r="BN35" s="24">
        <f ca="1">IFERROR(__xludf.DUMMYFUNCTION("""COMPUTED_VALUE"""),11796.25)</f>
        <v>11796.25</v>
      </c>
      <c r="BO35" s="20"/>
      <c r="BP35" s="24">
        <f ca="1">IFERROR(__xludf.DUMMYFUNCTION("""COMPUTED_VALUE"""),0)</f>
        <v>0</v>
      </c>
      <c r="BQ35" s="24">
        <f ca="1">IFERROR(__xludf.DUMMYFUNCTION("""COMPUTED_VALUE"""),0)</f>
        <v>0</v>
      </c>
      <c r="BR35" s="24">
        <f ca="1">IFERROR(__xludf.DUMMYFUNCTION("""COMPUTED_VALUE"""),0)</f>
        <v>0</v>
      </c>
      <c r="BS35" s="20"/>
      <c r="BT35" s="24">
        <f ca="1">IFERROR(__xludf.DUMMYFUNCTION("""COMPUTED_VALUE"""),0)</f>
        <v>0</v>
      </c>
      <c r="BU35" s="20"/>
      <c r="BV35" s="24">
        <f ca="1">IFERROR(__xludf.DUMMYFUNCTION("""COMPUTED_VALUE"""),0)</f>
        <v>0</v>
      </c>
      <c r="BW35" s="24">
        <f ca="1">IFERROR(__xludf.DUMMYFUNCTION("""COMPUTED_VALUE"""),0)</f>
        <v>0</v>
      </c>
      <c r="BX35" s="24">
        <f ca="1">IFERROR(__xludf.DUMMYFUNCTION("""COMPUTED_VALUE"""),0)</f>
        <v>0</v>
      </c>
      <c r="BY35" s="20"/>
      <c r="BZ35" s="24">
        <f ca="1">IFERROR(__xludf.DUMMYFUNCTION("""COMPUTED_VALUE"""),0)</f>
        <v>0</v>
      </c>
      <c r="CA35" s="20"/>
      <c r="CB35" s="20"/>
      <c r="CC35" s="20"/>
      <c r="CD35" s="20"/>
      <c r="CE35" s="20"/>
      <c r="CF35" s="20"/>
      <c r="CG35" s="20"/>
      <c r="CH35" s="20"/>
      <c r="CI35" s="20"/>
      <c r="CJ35" s="20"/>
      <c r="CK35" s="20"/>
      <c r="CL35" s="20"/>
      <c r="CM35" s="20"/>
      <c r="CN35" s="20"/>
      <c r="CO35" s="20"/>
      <c r="CP35" s="20"/>
      <c r="CQ35" s="20"/>
      <c r="CR35" s="20"/>
      <c r="CS35" s="20"/>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row>
    <row r="36" spans="1:123" ht="64.5" hidden="1" customHeight="1" x14ac:dyDescent="0.2">
      <c r="A36" s="19"/>
      <c r="B36" s="20" t="str">
        <f ca="1">IFERROR(__xludf.DUMMYFUNCTION("""COMPUTED_VALUE"""),"г.о. Орехово-Зуево")</f>
        <v>г.о. Орехово-Зуево</v>
      </c>
      <c r="C3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6" s="20" t="str">
        <f ca="1">IFERROR(__xludf.DUMMYFUNCTION("""COMPUTED_VALUE"""),"МинЖКХ")</f>
        <v>МинЖКХ</v>
      </c>
      <c r="E36" s="20" t="str">
        <f ca="1">IFERROR(__xludf.DUMMYFUNCTION("""COMPUTED_VALUE"""),"Реконструкция водопровода от ВЗУ ""Новая стройка"" до городского парка с переходом по железной дорогой, L=750 м  Орехово-Зуевский г.о.  ")</f>
        <v xml:space="preserve">Реконструкция водопровода от ВЗУ "Новая стройка" до городского парка с переходом по железной дорогой, L=750 м  Орехово-Зуевский г.о.  </v>
      </c>
      <c r="F36" s="22" t="str">
        <f ca="1">IFERROR(__xludf.DUMMYFUNCTION("""COMPUTED_VALUE"""),"ВЗУ")</f>
        <v>ВЗУ</v>
      </c>
      <c r="G36" s="20">
        <f ca="1">IFERROR(__xludf.DUMMYFUNCTION("""COMPUTED_VALUE"""),2023)</f>
        <v>2023</v>
      </c>
      <c r="H36" s="20" t="str">
        <f ca="1">IFERROR(__xludf.DUMMYFUNCTION("""COMPUTED_VALUE"""),"СМР")</f>
        <v>СМР</v>
      </c>
      <c r="I36" s="20"/>
      <c r="J36" s="20"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K36" s="20"/>
      <c r="L36" s="20"/>
      <c r="M36" s="20"/>
      <c r="N36" s="24">
        <f ca="1">IFERROR(__xludf.DUMMYFUNCTION("""COMPUTED_VALUE"""),0)</f>
        <v>0</v>
      </c>
      <c r="O36" s="20"/>
      <c r="P36" s="20"/>
      <c r="Q36" s="20"/>
      <c r="R36" s="20"/>
      <c r="S36" s="20"/>
      <c r="T36" s="20"/>
      <c r="U36" s="24">
        <f ca="1">IFERROR(__xludf.DUMMYFUNCTION("""COMPUTED_VALUE"""),0)</f>
        <v>0</v>
      </c>
      <c r="V36" s="24">
        <f ca="1">IFERROR(__xludf.DUMMYFUNCTION("""COMPUTED_VALUE"""),0)</f>
        <v>0</v>
      </c>
      <c r="W36" s="24">
        <f ca="1">IFERROR(__xludf.DUMMYFUNCTION("""COMPUTED_VALUE"""),0)</f>
        <v>0</v>
      </c>
      <c r="X36" s="24">
        <f ca="1">IFERROR(__xludf.DUMMYFUNCTION("""COMPUTED_VALUE"""),0)</f>
        <v>0</v>
      </c>
      <c r="Y36" s="24">
        <f ca="1">IFERROR(__xludf.DUMMYFUNCTION("""COMPUTED_VALUE"""),0)</f>
        <v>0</v>
      </c>
      <c r="Z36" s="24">
        <f ca="1">IFERROR(__xludf.DUMMYFUNCTION("""COMPUTED_VALUE"""),0)</f>
        <v>0</v>
      </c>
      <c r="AA36" s="20" t="str">
        <f ca="1">IFERROR(__xludf.DUMMYFUNCTION("""COMPUTED_VALUE"""),"10 1 G552430
")</f>
        <v xml:space="preserve">10 1 G552430
</v>
      </c>
      <c r="AB36" s="20">
        <f ca="1">IFERROR(__xludf.DUMMYFUNCTION("""COMPUTED_VALUE"""),522)</f>
        <v>522</v>
      </c>
      <c r="AC36" s="20"/>
      <c r="AD36" s="20"/>
      <c r="AE36" s="20"/>
      <c r="AF36" s="24">
        <f ca="1">IFERROR(__xludf.DUMMYFUNCTION("""COMPUTED_VALUE"""),20000)</f>
        <v>20000</v>
      </c>
      <c r="AG36" s="24">
        <f ca="1">IFERROR(__xludf.DUMMYFUNCTION("""COMPUTED_VALUE"""),14250)</f>
        <v>14250</v>
      </c>
      <c r="AH36" s="24">
        <f ca="1">IFERROR(__xludf.DUMMYFUNCTION("""COMPUTED_VALUE"""),4750)</f>
        <v>4750</v>
      </c>
      <c r="AI36" s="24">
        <f ca="1">IFERROR(__xludf.DUMMYFUNCTION("""COMPUTED_VALUE"""),0)</f>
        <v>0</v>
      </c>
      <c r="AJ36" s="24">
        <f ca="1">IFERROR(__xludf.DUMMYFUNCTION("""COMPUTED_VALUE"""),1000)</f>
        <v>1000</v>
      </c>
      <c r="AK36" s="24">
        <f ca="1">IFERROR(__xludf.DUMMYFUNCTION("""COMPUTED_VALUE"""),0)</f>
        <v>0</v>
      </c>
      <c r="AL36" s="24">
        <f ca="1">IFERROR(__xludf.DUMMYFUNCTION("""COMPUTED_VALUE"""),0)</f>
        <v>0</v>
      </c>
      <c r="AM36" s="20"/>
      <c r="AN36" s="20"/>
      <c r="AO36" s="20"/>
      <c r="AP36" s="20"/>
      <c r="AQ36" s="20"/>
      <c r="AR36" s="24">
        <f ca="1">IFERROR(__xludf.DUMMYFUNCTION("""COMPUTED_VALUE"""),0)</f>
        <v>0</v>
      </c>
      <c r="AS36" s="20"/>
      <c r="AT36" s="20"/>
      <c r="AU36" s="20"/>
      <c r="AV36" s="20"/>
      <c r="AW36" s="20"/>
      <c r="AX36" s="24">
        <f ca="1">IFERROR(__xludf.DUMMYFUNCTION("""COMPUTED_VALUE"""),0)</f>
        <v>0</v>
      </c>
      <c r="AY36" s="24">
        <f ca="1">IFERROR(__xludf.DUMMYFUNCTION("""COMPUTED_VALUE"""),0)</f>
        <v>0</v>
      </c>
      <c r="AZ36" s="24">
        <f ca="1">IFERROR(__xludf.DUMMYFUNCTION("""COMPUTED_VALUE"""),0)</f>
        <v>0</v>
      </c>
      <c r="BA36" s="20"/>
      <c r="BB36" s="24">
        <f ca="1">IFERROR(__xludf.DUMMYFUNCTION("""COMPUTED_VALUE"""),0)</f>
        <v>0</v>
      </c>
      <c r="BC36" s="20"/>
      <c r="BD36" s="24">
        <f ca="1">IFERROR(__xludf.DUMMYFUNCTION("""COMPUTED_VALUE"""),0)</f>
        <v>0</v>
      </c>
      <c r="BE36" s="24">
        <f ca="1">IFERROR(__xludf.DUMMYFUNCTION("""COMPUTED_VALUE"""),0)</f>
        <v>0</v>
      </c>
      <c r="BF36" s="24">
        <f ca="1">IFERROR(__xludf.DUMMYFUNCTION("""COMPUTED_VALUE"""),0)</f>
        <v>0</v>
      </c>
      <c r="BG36" s="20"/>
      <c r="BH36" s="24">
        <f ca="1">IFERROR(__xludf.DUMMYFUNCTION("""COMPUTED_VALUE"""),0)</f>
        <v>0</v>
      </c>
      <c r="BI36" s="20"/>
      <c r="BJ36" s="24">
        <f ca="1">IFERROR(__xludf.DUMMYFUNCTION("""COMPUTED_VALUE"""),0)</f>
        <v>0</v>
      </c>
      <c r="BK36" s="24">
        <f ca="1">IFERROR(__xludf.DUMMYFUNCTION("""COMPUTED_VALUE"""),0)</f>
        <v>0</v>
      </c>
      <c r="BL36" s="24">
        <f ca="1">IFERROR(__xludf.DUMMYFUNCTION("""COMPUTED_VALUE"""),0)</f>
        <v>0</v>
      </c>
      <c r="BM36" s="20"/>
      <c r="BN36" s="24">
        <f ca="1">IFERROR(__xludf.DUMMYFUNCTION("""COMPUTED_VALUE"""),0)</f>
        <v>0</v>
      </c>
      <c r="BO36" s="20"/>
      <c r="BP36" s="24">
        <f ca="1">IFERROR(__xludf.DUMMYFUNCTION("""COMPUTED_VALUE"""),20000)</f>
        <v>20000</v>
      </c>
      <c r="BQ36" s="24">
        <f ca="1">IFERROR(__xludf.DUMMYFUNCTION("""COMPUTED_VALUE"""),14250)</f>
        <v>14250</v>
      </c>
      <c r="BR36" s="24">
        <f ca="1">IFERROR(__xludf.DUMMYFUNCTION("""COMPUTED_VALUE"""),4750)</f>
        <v>4750</v>
      </c>
      <c r="BS36" s="20"/>
      <c r="BT36" s="24">
        <f ca="1">IFERROR(__xludf.DUMMYFUNCTION("""COMPUTED_VALUE"""),1000)</f>
        <v>1000</v>
      </c>
      <c r="BU36" s="20"/>
      <c r="BV36" s="24">
        <f ca="1">IFERROR(__xludf.DUMMYFUNCTION("""COMPUTED_VALUE"""),0)</f>
        <v>0</v>
      </c>
      <c r="BW36" s="24">
        <f ca="1">IFERROR(__xludf.DUMMYFUNCTION("""COMPUTED_VALUE"""),0)</f>
        <v>0</v>
      </c>
      <c r="BX36" s="24">
        <f ca="1">IFERROR(__xludf.DUMMYFUNCTION("""COMPUTED_VALUE"""),0)</f>
        <v>0</v>
      </c>
      <c r="BY36" s="20"/>
      <c r="BZ36" s="24">
        <f ca="1">IFERROR(__xludf.DUMMYFUNCTION("""COMPUTED_VALUE"""),0)</f>
        <v>0</v>
      </c>
      <c r="CA36" s="20"/>
      <c r="CB36" s="20"/>
      <c r="CC36" s="20"/>
      <c r="CD36" s="20"/>
      <c r="CE36" s="20"/>
      <c r="CF36" s="20"/>
      <c r="CG36" s="20"/>
      <c r="CH36" s="20"/>
      <c r="CI36" s="20"/>
      <c r="CJ36" s="20"/>
      <c r="CK36" s="20"/>
      <c r="CL36" s="20"/>
      <c r="CM36" s="20"/>
      <c r="CN36" s="20"/>
      <c r="CO36" s="20"/>
      <c r="CP36" s="20"/>
      <c r="CQ36" s="20"/>
      <c r="CR36" s="20"/>
      <c r="CS36" s="20"/>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row>
    <row r="37" spans="1:123" ht="64.5" hidden="1" customHeight="1" x14ac:dyDescent="0.2">
      <c r="A37" s="19"/>
      <c r="B37" s="20" t="str">
        <f ca="1">IFERROR(__xludf.DUMMYFUNCTION("""COMPUTED_VALUE"""),"г.о. Орехово-Зуево")</f>
        <v>г.о. Орехово-Зуево</v>
      </c>
      <c r="C3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7" s="20" t="str">
        <f ca="1">IFERROR(__xludf.DUMMYFUNCTION("""COMPUTED_VALUE"""),"МинЖКХ")</f>
        <v>МинЖКХ</v>
      </c>
      <c r="E37" s="20" t="str">
        <f ca="1">IFERROR(__xludf.DUMMYFUNCTION("""COMPUTED_VALUE"""),"Реконструкция водопровода от Водозаборного узла ""Стрелки"" до ДСК, далее до перекрестка Малодубенское шоссе-ул. Северная,  L= 2950 м  Орехово-Зуевский г.о.")</f>
        <v>Реконструкция водопровода от Водозаборного узла "Стрелки" до ДСК, далее до перекрестка Малодубенское шоссе-ул. Северная,  L= 2950 м  Орехово-Зуевский г.о.</v>
      </c>
      <c r="F37" s="30" t="str">
        <f ca="1">IFERROR(__xludf.DUMMYFUNCTION("""COMPUTED_VALUE"""),"Сети")</f>
        <v>Сети</v>
      </c>
      <c r="G37" s="20">
        <f ca="1">IFERROR(__xludf.DUMMYFUNCTION("""COMPUTED_VALUE"""),2023)</f>
        <v>2023</v>
      </c>
      <c r="H37" s="20" t="str">
        <f ca="1">IFERROR(__xludf.DUMMYFUNCTION("""COMPUTED_VALUE"""),"СМР")</f>
        <v>СМР</v>
      </c>
      <c r="I37" s="20"/>
      <c r="J37" s="20"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K37" s="20"/>
      <c r="L37" s="20"/>
      <c r="M37" s="20"/>
      <c r="N37" s="24">
        <f ca="1">IFERROR(__xludf.DUMMYFUNCTION("""COMPUTED_VALUE"""),0)</f>
        <v>0</v>
      </c>
      <c r="O37" s="20"/>
      <c r="P37" s="20"/>
      <c r="Q37" s="20"/>
      <c r="R37" s="20"/>
      <c r="S37" s="20"/>
      <c r="T37" s="20"/>
      <c r="U37" s="24">
        <f ca="1">IFERROR(__xludf.DUMMYFUNCTION("""COMPUTED_VALUE"""),0)</f>
        <v>0</v>
      </c>
      <c r="V37" s="24">
        <f ca="1">IFERROR(__xludf.DUMMYFUNCTION("""COMPUTED_VALUE"""),0)</f>
        <v>0</v>
      </c>
      <c r="W37" s="24">
        <f ca="1">IFERROR(__xludf.DUMMYFUNCTION("""COMPUTED_VALUE"""),0)</f>
        <v>0</v>
      </c>
      <c r="X37" s="24">
        <f ca="1">IFERROR(__xludf.DUMMYFUNCTION("""COMPUTED_VALUE"""),0)</f>
        <v>0</v>
      </c>
      <c r="Y37" s="24">
        <f ca="1">IFERROR(__xludf.DUMMYFUNCTION("""COMPUTED_VALUE"""),0)</f>
        <v>0</v>
      </c>
      <c r="Z37" s="24">
        <f ca="1">IFERROR(__xludf.DUMMYFUNCTION("""COMPUTED_VALUE"""),0)</f>
        <v>0</v>
      </c>
      <c r="AA37" s="20" t="str">
        <f ca="1">IFERROR(__xludf.DUMMYFUNCTION("""COMPUTED_VALUE"""),"10 1 G552430
")</f>
        <v xml:space="preserve">10 1 G552430
</v>
      </c>
      <c r="AB37" s="20">
        <f ca="1">IFERROR(__xludf.DUMMYFUNCTION("""COMPUTED_VALUE"""),522)</f>
        <v>522</v>
      </c>
      <c r="AC37" s="20"/>
      <c r="AD37" s="20"/>
      <c r="AE37" s="20"/>
      <c r="AF37" s="24">
        <f ca="1">IFERROR(__xludf.DUMMYFUNCTION("""COMPUTED_VALUE"""),40380)</f>
        <v>40380</v>
      </c>
      <c r="AG37" s="24">
        <f ca="1">IFERROR(__xludf.DUMMYFUNCTION("""COMPUTED_VALUE"""),28770.75)</f>
        <v>28770.75</v>
      </c>
      <c r="AH37" s="24">
        <f ca="1">IFERROR(__xludf.DUMMYFUNCTION("""COMPUTED_VALUE"""),9590.25)</f>
        <v>9590.25</v>
      </c>
      <c r="AI37" s="24">
        <f ca="1">IFERROR(__xludf.DUMMYFUNCTION("""COMPUTED_VALUE"""),0)</f>
        <v>0</v>
      </c>
      <c r="AJ37" s="24">
        <f ca="1">IFERROR(__xludf.DUMMYFUNCTION("""COMPUTED_VALUE"""),2019)</f>
        <v>2019</v>
      </c>
      <c r="AK37" s="24">
        <f ca="1">IFERROR(__xludf.DUMMYFUNCTION("""COMPUTED_VALUE"""),0)</f>
        <v>0</v>
      </c>
      <c r="AL37" s="24">
        <f ca="1">IFERROR(__xludf.DUMMYFUNCTION("""COMPUTED_VALUE"""),0)</f>
        <v>0</v>
      </c>
      <c r="AM37" s="20"/>
      <c r="AN37" s="20"/>
      <c r="AO37" s="20"/>
      <c r="AP37" s="20"/>
      <c r="AQ37" s="20"/>
      <c r="AR37" s="24">
        <f ca="1">IFERROR(__xludf.DUMMYFUNCTION("""COMPUTED_VALUE"""),0)</f>
        <v>0</v>
      </c>
      <c r="AS37" s="20"/>
      <c r="AT37" s="20"/>
      <c r="AU37" s="20"/>
      <c r="AV37" s="20"/>
      <c r="AW37" s="20"/>
      <c r="AX37" s="24">
        <f ca="1">IFERROR(__xludf.DUMMYFUNCTION("""COMPUTED_VALUE"""),0)</f>
        <v>0</v>
      </c>
      <c r="AY37" s="24">
        <f ca="1">IFERROR(__xludf.DUMMYFUNCTION("""COMPUTED_VALUE"""),0)</f>
        <v>0</v>
      </c>
      <c r="AZ37" s="24">
        <f ca="1">IFERROR(__xludf.DUMMYFUNCTION("""COMPUTED_VALUE"""),0)</f>
        <v>0</v>
      </c>
      <c r="BA37" s="20"/>
      <c r="BB37" s="24">
        <f ca="1">IFERROR(__xludf.DUMMYFUNCTION("""COMPUTED_VALUE"""),0)</f>
        <v>0</v>
      </c>
      <c r="BC37" s="20"/>
      <c r="BD37" s="24">
        <f ca="1">IFERROR(__xludf.DUMMYFUNCTION("""COMPUTED_VALUE"""),0)</f>
        <v>0</v>
      </c>
      <c r="BE37" s="24">
        <f ca="1">IFERROR(__xludf.DUMMYFUNCTION("""COMPUTED_VALUE"""),0)</f>
        <v>0</v>
      </c>
      <c r="BF37" s="24">
        <f ca="1">IFERROR(__xludf.DUMMYFUNCTION("""COMPUTED_VALUE"""),0)</f>
        <v>0</v>
      </c>
      <c r="BG37" s="20"/>
      <c r="BH37" s="24">
        <f ca="1">IFERROR(__xludf.DUMMYFUNCTION("""COMPUTED_VALUE"""),0)</f>
        <v>0</v>
      </c>
      <c r="BI37" s="20"/>
      <c r="BJ37" s="24">
        <f ca="1">IFERROR(__xludf.DUMMYFUNCTION("""COMPUTED_VALUE"""),0)</f>
        <v>0</v>
      </c>
      <c r="BK37" s="24">
        <f ca="1">IFERROR(__xludf.DUMMYFUNCTION("""COMPUTED_VALUE"""),0)</f>
        <v>0</v>
      </c>
      <c r="BL37" s="24">
        <f ca="1">IFERROR(__xludf.DUMMYFUNCTION("""COMPUTED_VALUE"""),0)</f>
        <v>0</v>
      </c>
      <c r="BM37" s="20"/>
      <c r="BN37" s="24">
        <f ca="1">IFERROR(__xludf.DUMMYFUNCTION("""COMPUTED_VALUE"""),0)</f>
        <v>0</v>
      </c>
      <c r="BO37" s="20"/>
      <c r="BP37" s="24">
        <f ca="1">IFERROR(__xludf.DUMMYFUNCTION("""COMPUTED_VALUE"""),40380)</f>
        <v>40380</v>
      </c>
      <c r="BQ37" s="24">
        <f ca="1">IFERROR(__xludf.DUMMYFUNCTION("""COMPUTED_VALUE"""),28770.75)</f>
        <v>28770.75</v>
      </c>
      <c r="BR37" s="24">
        <f ca="1">IFERROR(__xludf.DUMMYFUNCTION("""COMPUTED_VALUE"""),9590.25)</f>
        <v>9590.25</v>
      </c>
      <c r="BS37" s="20"/>
      <c r="BT37" s="24">
        <f ca="1">IFERROR(__xludf.DUMMYFUNCTION("""COMPUTED_VALUE"""),2019)</f>
        <v>2019</v>
      </c>
      <c r="BU37" s="20"/>
      <c r="BV37" s="24">
        <f ca="1">IFERROR(__xludf.DUMMYFUNCTION("""COMPUTED_VALUE"""),0)</f>
        <v>0</v>
      </c>
      <c r="BW37" s="24">
        <f ca="1">IFERROR(__xludf.DUMMYFUNCTION("""COMPUTED_VALUE"""),0)</f>
        <v>0</v>
      </c>
      <c r="BX37" s="24">
        <f ca="1">IFERROR(__xludf.DUMMYFUNCTION("""COMPUTED_VALUE"""),0)</f>
        <v>0</v>
      </c>
      <c r="BY37" s="20"/>
      <c r="BZ37" s="24">
        <f ca="1">IFERROR(__xludf.DUMMYFUNCTION("""COMPUTED_VALUE"""),0)</f>
        <v>0</v>
      </c>
      <c r="CA37" s="20"/>
      <c r="CB37" s="20"/>
      <c r="CC37" s="20"/>
      <c r="CD37" s="20"/>
      <c r="CE37" s="20"/>
      <c r="CF37" s="20"/>
      <c r="CG37" s="20"/>
      <c r="CH37" s="20"/>
      <c r="CI37" s="20"/>
      <c r="CJ37" s="20"/>
      <c r="CK37" s="20"/>
      <c r="CL37" s="20"/>
      <c r="CM37" s="20"/>
      <c r="CN37" s="20"/>
      <c r="CO37" s="20"/>
      <c r="CP37" s="20"/>
      <c r="CQ37" s="20"/>
      <c r="CR37" s="20"/>
      <c r="CS37" s="20"/>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row>
    <row r="38" spans="1:123" ht="64.5" hidden="1" customHeight="1" x14ac:dyDescent="0.2">
      <c r="A38" s="19"/>
      <c r="B38" s="20" t="str">
        <f ca="1">IFERROR(__xludf.DUMMYFUNCTION("""COMPUTED_VALUE"""),"г.о. Жуковский")</f>
        <v>г.о. Жуковский</v>
      </c>
      <c r="C3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8" s="20" t="str">
        <f ca="1">IFERROR(__xludf.DUMMYFUNCTION("""COMPUTED_VALUE"""),"МинЖКХ")</f>
        <v>МинЖКХ</v>
      </c>
      <c r="E38" s="20" t="str">
        <f ca="1">IFERROR(__xludf.DUMMYFUNCTION("""COMPUTED_VALUE"""),"Реконструкция ВЗУ №4 г.о. Жуковский")</f>
        <v>Реконструкция ВЗУ №4 г.о. Жуковский</v>
      </c>
      <c r="F38" s="22" t="str">
        <f ca="1">IFERROR(__xludf.DUMMYFUNCTION("""COMPUTED_VALUE"""),"ВЗУ")</f>
        <v>ВЗУ</v>
      </c>
      <c r="G38" s="20" t="str">
        <f ca="1">IFERROR(__xludf.DUMMYFUNCTION("""COMPUTED_VALUE"""),"Н/Л")</f>
        <v>Н/Л</v>
      </c>
      <c r="H38" s="20"/>
      <c r="I38" s="20"/>
      <c r="J38" s="20"/>
      <c r="K38" s="20"/>
      <c r="L38" s="20"/>
      <c r="M38" s="20"/>
      <c r="N38" s="24">
        <f ca="1">IFERROR(__xludf.DUMMYFUNCTION("""COMPUTED_VALUE"""),0)</f>
        <v>0</v>
      </c>
      <c r="O38" s="20"/>
      <c r="P38" s="20"/>
      <c r="Q38" s="20"/>
      <c r="R38" s="20"/>
      <c r="S38" s="20"/>
      <c r="T38" s="20"/>
      <c r="U38" s="24">
        <f ca="1">IFERROR(__xludf.DUMMYFUNCTION("""COMPUTED_VALUE"""),0)</f>
        <v>0</v>
      </c>
      <c r="V38" s="24">
        <f ca="1">IFERROR(__xludf.DUMMYFUNCTION("""COMPUTED_VALUE"""),0)</f>
        <v>0</v>
      </c>
      <c r="W38" s="24">
        <f ca="1">IFERROR(__xludf.DUMMYFUNCTION("""COMPUTED_VALUE"""),0)</f>
        <v>0</v>
      </c>
      <c r="X38" s="24">
        <f ca="1">IFERROR(__xludf.DUMMYFUNCTION("""COMPUTED_VALUE"""),0)</f>
        <v>0</v>
      </c>
      <c r="Y38" s="24">
        <f ca="1">IFERROR(__xludf.DUMMYFUNCTION("""COMPUTED_VALUE"""),0)</f>
        <v>0</v>
      </c>
      <c r="Z38" s="24">
        <f ca="1">IFERROR(__xludf.DUMMYFUNCTION("""COMPUTED_VALUE"""),0)</f>
        <v>0</v>
      </c>
      <c r="AA38" s="20" t="str">
        <f ca="1">IFERROR(__xludf.DUMMYFUNCTION("""COMPUTED_VALUE"""),"10 1 G552430
")</f>
        <v xml:space="preserve">10 1 G552430
</v>
      </c>
      <c r="AB38" s="20">
        <f ca="1">IFERROR(__xludf.DUMMYFUNCTION("""COMPUTED_VALUE"""),522)</f>
        <v>522</v>
      </c>
      <c r="AC38" s="20"/>
      <c r="AD38" s="20"/>
      <c r="AE38" s="20"/>
      <c r="AF38" s="24">
        <f ca="1">IFERROR(__xludf.DUMMYFUNCTION("""COMPUTED_VALUE"""),0)</f>
        <v>0</v>
      </c>
      <c r="AG38" s="24">
        <f ca="1">IFERROR(__xludf.DUMMYFUNCTION("""COMPUTED_VALUE"""),0)</f>
        <v>0</v>
      </c>
      <c r="AH38" s="24">
        <f ca="1">IFERROR(__xludf.DUMMYFUNCTION("""COMPUTED_VALUE"""),0)</f>
        <v>0</v>
      </c>
      <c r="AI38" s="24">
        <f ca="1">IFERROR(__xludf.DUMMYFUNCTION("""COMPUTED_VALUE"""),0)</f>
        <v>0</v>
      </c>
      <c r="AJ38" s="24">
        <f ca="1">IFERROR(__xludf.DUMMYFUNCTION("""COMPUTED_VALUE"""),0)</f>
        <v>0</v>
      </c>
      <c r="AK38" s="24">
        <f ca="1">IFERROR(__xludf.DUMMYFUNCTION("""COMPUTED_VALUE"""),0)</f>
        <v>0</v>
      </c>
      <c r="AL38" s="24">
        <f ca="1">IFERROR(__xludf.DUMMYFUNCTION("""COMPUTED_VALUE"""),0)</f>
        <v>0</v>
      </c>
      <c r="AM38" s="20"/>
      <c r="AN38" s="20"/>
      <c r="AO38" s="20"/>
      <c r="AP38" s="20"/>
      <c r="AQ38" s="20"/>
      <c r="AR38" s="24">
        <f ca="1">IFERROR(__xludf.DUMMYFUNCTION("""COMPUTED_VALUE"""),0)</f>
        <v>0</v>
      </c>
      <c r="AS38" s="20"/>
      <c r="AT38" s="20"/>
      <c r="AU38" s="20"/>
      <c r="AV38" s="20"/>
      <c r="AW38" s="20"/>
      <c r="AX38" s="24">
        <f ca="1">IFERROR(__xludf.DUMMYFUNCTION("""COMPUTED_VALUE"""),0)</f>
        <v>0</v>
      </c>
      <c r="AY38" s="24">
        <f ca="1">IFERROR(__xludf.DUMMYFUNCTION("""COMPUTED_VALUE"""),0)</f>
        <v>0</v>
      </c>
      <c r="AZ38" s="24">
        <f ca="1">IFERROR(__xludf.DUMMYFUNCTION("""COMPUTED_VALUE"""),0)</f>
        <v>0</v>
      </c>
      <c r="BA38" s="20"/>
      <c r="BB38" s="24">
        <f ca="1">IFERROR(__xludf.DUMMYFUNCTION("""COMPUTED_VALUE"""),0)</f>
        <v>0</v>
      </c>
      <c r="BC38" s="20"/>
      <c r="BD38" s="24">
        <f ca="1">IFERROR(__xludf.DUMMYFUNCTION("""COMPUTED_VALUE"""),0)</f>
        <v>0</v>
      </c>
      <c r="BE38" s="24">
        <f ca="1">IFERROR(__xludf.DUMMYFUNCTION("""COMPUTED_VALUE"""),0)</f>
        <v>0</v>
      </c>
      <c r="BF38" s="24">
        <f ca="1">IFERROR(__xludf.DUMMYFUNCTION("""COMPUTED_VALUE"""),0)</f>
        <v>0</v>
      </c>
      <c r="BG38" s="20"/>
      <c r="BH38" s="24">
        <f ca="1">IFERROR(__xludf.DUMMYFUNCTION("""COMPUTED_VALUE"""),0)</f>
        <v>0</v>
      </c>
      <c r="BI38" s="20"/>
      <c r="BJ38" s="24">
        <f ca="1">IFERROR(__xludf.DUMMYFUNCTION("""COMPUTED_VALUE"""),0)</f>
        <v>0</v>
      </c>
      <c r="BK38" s="24">
        <f ca="1">IFERROR(__xludf.DUMMYFUNCTION("""COMPUTED_VALUE"""),0)</f>
        <v>0</v>
      </c>
      <c r="BL38" s="24">
        <f ca="1">IFERROR(__xludf.DUMMYFUNCTION("""COMPUTED_VALUE"""),0)</f>
        <v>0</v>
      </c>
      <c r="BM38" s="20"/>
      <c r="BN38" s="24">
        <f ca="1">IFERROR(__xludf.DUMMYFUNCTION("""COMPUTED_VALUE"""),0)</f>
        <v>0</v>
      </c>
      <c r="BO38" s="20"/>
      <c r="BP38" s="24">
        <f ca="1">IFERROR(__xludf.DUMMYFUNCTION("""COMPUTED_VALUE"""),0)</f>
        <v>0</v>
      </c>
      <c r="BQ38" s="24">
        <f ca="1">IFERROR(__xludf.DUMMYFUNCTION("""COMPUTED_VALUE"""),0)</f>
        <v>0</v>
      </c>
      <c r="BR38" s="24">
        <f ca="1">IFERROR(__xludf.DUMMYFUNCTION("""COMPUTED_VALUE"""),0)</f>
        <v>0</v>
      </c>
      <c r="BS38" s="20"/>
      <c r="BT38" s="24">
        <f ca="1">IFERROR(__xludf.DUMMYFUNCTION("""COMPUTED_VALUE"""),0)</f>
        <v>0</v>
      </c>
      <c r="BU38" s="20"/>
      <c r="BV38" s="24">
        <f ca="1">IFERROR(__xludf.DUMMYFUNCTION("""COMPUTED_VALUE"""),0)</f>
        <v>0</v>
      </c>
      <c r="BW38" s="24">
        <f ca="1">IFERROR(__xludf.DUMMYFUNCTION("""COMPUTED_VALUE"""),0)</f>
        <v>0</v>
      </c>
      <c r="BX38" s="24">
        <f ca="1">IFERROR(__xludf.DUMMYFUNCTION("""COMPUTED_VALUE"""),0)</f>
        <v>0</v>
      </c>
      <c r="BY38" s="20"/>
      <c r="BZ38" s="24">
        <f ca="1">IFERROR(__xludf.DUMMYFUNCTION("""COMPUTED_VALUE"""),0)</f>
        <v>0</v>
      </c>
      <c r="CA38" s="20"/>
      <c r="CB38" s="20"/>
      <c r="CC38" s="20"/>
      <c r="CD38" s="20"/>
      <c r="CE38" s="20"/>
      <c r="CF38" s="20"/>
      <c r="CG38" s="20"/>
      <c r="CH38" s="20"/>
      <c r="CI38" s="20"/>
      <c r="CJ38" s="20"/>
      <c r="CK38" s="20"/>
      <c r="CL38" s="20"/>
      <c r="CM38" s="20"/>
      <c r="CN38" s="20"/>
      <c r="CO38" s="20"/>
      <c r="CP38" s="20"/>
      <c r="CQ38" s="20"/>
      <c r="CR38" s="20"/>
      <c r="CS38" s="20"/>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row>
    <row r="39" spans="1:123" ht="64.5" hidden="1" customHeight="1" x14ac:dyDescent="0.2">
      <c r="A39" s="19"/>
      <c r="B39" s="20" t="str">
        <f ca="1">IFERROR(__xludf.DUMMYFUNCTION("""COMPUTED_VALUE"""),"г.о. Жуковский")</f>
        <v>г.о. Жуковский</v>
      </c>
      <c r="C3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9" s="20" t="str">
        <f ca="1">IFERROR(__xludf.DUMMYFUNCTION("""COMPUTED_VALUE"""),"МинЖКХ")</f>
        <v>МинЖКХ</v>
      </c>
      <c r="E39" s="20" t="str">
        <f ca="1">IFERROR(__xludf.DUMMYFUNCTION("""COMPUTED_VALUE"""),"Реконструкция ВЗУ №1 г.о. Жуковский")</f>
        <v>Реконструкция ВЗУ №1 г.о. Жуковский</v>
      </c>
      <c r="F39" s="22" t="str">
        <f ca="1">IFERROR(__xludf.DUMMYFUNCTION("""COMPUTED_VALUE"""),"ВЗУ")</f>
        <v>ВЗУ</v>
      </c>
      <c r="G39" s="20">
        <f ca="1">IFERROR(__xludf.DUMMYFUNCTION("""COMPUTED_VALUE"""),2022)</f>
        <v>2022</v>
      </c>
      <c r="H39" s="20" t="str">
        <f ca="1">IFERROR(__xludf.DUMMYFUNCTION("""COMPUTED_VALUE"""),"СМР")</f>
        <v>СМР</v>
      </c>
      <c r="I39" s="20"/>
      <c r="J39" s="20" t="str">
        <f ca="1">IFERROR(__xludf.DUMMYFUNCTION("""COMPUTED_VALUE"""),"Контракт на ПИР заключен. Получение ПСД в 2021 году.")</f>
        <v>Контракт на ПИР заключен. Получение ПСД в 2021 году.</v>
      </c>
      <c r="K39" s="20"/>
      <c r="L39" s="20"/>
      <c r="M39" s="20"/>
      <c r="N39" s="24">
        <f ca="1">IFERROR(__xludf.DUMMYFUNCTION("""COMPUTED_VALUE"""),0)</f>
        <v>0</v>
      </c>
      <c r="O39" s="20"/>
      <c r="P39" s="20"/>
      <c r="Q39" s="20"/>
      <c r="R39" s="20"/>
      <c r="S39" s="20"/>
      <c r="T39" s="20"/>
      <c r="U39" s="24">
        <f ca="1">IFERROR(__xludf.DUMMYFUNCTION("""COMPUTED_VALUE"""),0)</f>
        <v>0</v>
      </c>
      <c r="V39" s="24">
        <f ca="1">IFERROR(__xludf.DUMMYFUNCTION("""COMPUTED_VALUE"""),0)</f>
        <v>0</v>
      </c>
      <c r="W39" s="24">
        <f ca="1">IFERROR(__xludf.DUMMYFUNCTION("""COMPUTED_VALUE"""),0)</f>
        <v>0</v>
      </c>
      <c r="X39" s="24">
        <f ca="1">IFERROR(__xludf.DUMMYFUNCTION("""COMPUTED_VALUE"""),0)</f>
        <v>0</v>
      </c>
      <c r="Y39" s="24">
        <f ca="1">IFERROR(__xludf.DUMMYFUNCTION("""COMPUTED_VALUE"""),0)</f>
        <v>0</v>
      </c>
      <c r="Z39" s="24">
        <f ca="1">IFERROR(__xludf.DUMMYFUNCTION("""COMPUTED_VALUE"""),0)</f>
        <v>0</v>
      </c>
      <c r="AA39" s="20" t="str">
        <f ca="1">IFERROR(__xludf.DUMMYFUNCTION("""COMPUTED_VALUE"""),"10 1 G552430
")</f>
        <v xml:space="preserve">10 1 G552430
</v>
      </c>
      <c r="AB39" s="20">
        <f ca="1">IFERROR(__xludf.DUMMYFUNCTION("""COMPUTED_VALUE"""),522)</f>
        <v>522</v>
      </c>
      <c r="AC39" s="20"/>
      <c r="AD39" s="20"/>
      <c r="AE39" s="20"/>
      <c r="AF39" s="24">
        <f ca="1">IFERROR(__xludf.DUMMYFUNCTION("""COMPUTED_VALUE"""),181974.4)</f>
        <v>181974.39999999999</v>
      </c>
      <c r="AG39" s="24">
        <f ca="1">IFERROR(__xludf.DUMMYFUNCTION("""COMPUTED_VALUE"""),111231.86)</f>
        <v>111231.86</v>
      </c>
      <c r="AH39" s="24">
        <f ca="1">IFERROR(__xludf.DUMMYFUNCTION("""COMPUTED_VALUE"""),37077.27)</f>
        <v>37077.269999999997</v>
      </c>
      <c r="AI39" s="24">
        <f ca="1">IFERROR(__xludf.DUMMYFUNCTION("""COMPUTED_VALUE"""),0)</f>
        <v>0</v>
      </c>
      <c r="AJ39" s="24">
        <f ca="1">IFERROR(__xludf.DUMMYFUNCTION("""COMPUTED_VALUE"""),33665.27)</f>
        <v>33665.269999999997</v>
      </c>
      <c r="AK39" s="24">
        <f ca="1">IFERROR(__xludf.DUMMYFUNCTION("""COMPUTED_VALUE"""),0)</f>
        <v>0</v>
      </c>
      <c r="AL39" s="24">
        <f ca="1">IFERROR(__xludf.DUMMYFUNCTION("""COMPUTED_VALUE"""),0)</f>
        <v>0</v>
      </c>
      <c r="AM39" s="20"/>
      <c r="AN39" s="20"/>
      <c r="AO39" s="20"/>
      <c r="AP39" s="20"/>
      <c r="AQ39" s="20"/>
      <c r="AR39" s="24">
        <f ca="1">IFERROR(__xludf.DUMMYFUNCTION("""COMPUTED_VALUE"""),0)</f>
        <v>0</v>
      </c>
      <c r="AS39" s="20"/>
      <c r="AT39" s="20"/>
      <c r="AU39" s="20"/>
      <c r="AV39" s="20"/>
      <c r="AW39" s="20"/>
      <c r="AX39" s="24">
        <f ca="1">IFERROR(__xludf.DUMMYFUNCTION("""COMPUTED_VALUE"""),0)</f>
        <v>0</v>
      </c>
      <c r="AY39" s="24">
        <f ca="1">IFERROR(__xludf.DUMMYFUNCTION("""COMPUTED_VALUE"""),0)</f>
        <v>0</v>
      </c>
      <c r="AZ39" s="24">
        <f ca="1">IFERROR(__xludf.DUMMYFUNCTION("""COMPUTED_VALUE"""),0)</f>
        <v>0</v>
      </c>
      <c r="BA39" s="20"/>
      <c r="BB39" s="24">
        <f ca="1">IFERROR(__xludf.DUMMYFUNCTION("""COMPUTED_VALUE"""),0)</f>
        <v>0</v>
      </c>
      <c r="BC39" s="20"/>
      <c r="BD39" s="24">
        <f ca="1">IFERROR(__xludf.DUMMYFUNCTION("""COMPUTED_VALUE"""),0)</f>
        <v>0</v>
      </c>
      <c r="BE39" s="24">
        <f ca="1">IFERROR(__xludf.DUMMYFUNCTION("""COMPUTED_VALUE"""),0)</f>
        <v>0</v>
      </c>
      <c r="BF39" s="24">
        <f ca="1">IFERROR(__xludf.DUMMYFUNCTION("""COMPUTED_VALUE"""),0)</f>
        <v>0</v>
      </c>
      <c r="BG39" s="20"/>
      <c r="BH39" s="24">
        <f ca="1">IFERROR(__xludf.DUMMYFUNCTION("""COMPUTED_VALUE"""),0)</f>
        <v>0</v>
      </c>
      <c r="BI39" s="20"/>
      <c r="BJ39" s="24">
        <f ca="1">IFERROR(__xludf.DUMMYFUNCTION("""COMPUTED_VALUE"""),181974.4)</f>
        <v>181974.39999999999</v>
      </c>
      <c r="BK39" s="24">
        <f ca="1">IFERROR(__xludf.DUMMYFUNCTION("""COMPUTED_VALUE"""),111231.86)</f>
        <v>111231.86</v>
      </c>
      <c r="BL39" s="24">
        <f ca="1">IFERROR(__xludf.DUMMYFUNCTION("""COMPUTED_VALUE"""),37077.27)</f>
        <v>37077.269999999997</v>
      </c>
      <c r="BM39" s="20"/>
      <c r="BN39" s="24">
        <f ca="1">IFERROR(__xludf.DUMMYFUNCTION("""COMPUTED_VALUE"""),33665.27)</f>
        <v>33665.269999999997</v>
      </c>
      <c r="BO39" s="20"/>
      <c r="BP39" s="24">
        <f ca="1">IFERROR(__xludf.DUMMYFUNCTION("""COMPUTED_VALUE"""),0)</f>
        <v>0</v>
      </c>
      <c r="BQ39" s="24">
        <f ca="1">IFERROR(__xludf.DUMMYFUNCTION("""COMPUTED_VALUE"""),0)</f>
        <v>0</v>
      </c>
      <c r="BR39" s="24">
        <f ca="1">IFERROR(__xludf.DUMMYFUNCTION("""COMPUTED_VALUE"""),0)</f>
        <v>0</v>
      </c>
      <c r="BS39" s="20"/>
      <c r="BT39" s="24">
        <f ca="1">IFERROR(__xludf.DUMMYFUNCTION("""COMPUTED_VALUE"""),0)</f>
        <v>0</v>
      </c>
      <c r="BU39" s="20"/>
      <c r="BV39" s="24">
        <f ca="1">IFERROR(__xludf.DUMMYFUNCTION("""COMPUTED_VALUE"""),0)</f>
        <v>0</v>
      </c>
      <c r="BW39" s="24">
        <f ca="1">IFERROR(__xludf.DUMMYFUNCTION("""COMPUTED_VALUE"""),0)</f>
        <v>0</v>
      </c>
      <c r="BX39" s="24">
        <f ca="1">IFERROR(__xludf.DUMMYFUNCTION("""COMPUTED_VALUE"""),0)</f>
        <v>0</v>
      </c>
      <c r="BY39" s="20"/>
      <c r="BZ39" s="24">
        <f ca="1">IFERROR(__xludf.DUMMYFUNCTION("""COMPUTED_VALUE"""),0)</f>
        <v>0</v>
      </c>
      <c r="CA39" s="20"/>
      <c r="CB39" s="20"/>
      <c r="CC39" s="20"/>
      <c r="CD39" s="20"/>
      <c r="CE39" s="20"/>
      <c r="CF39" s="20"/>
      <c r="CG39" s="20"/>
      <c r="CH39" s="20"/>
      <c r="CI39" s="20"/>
      <c r="CJ39" s="20"/>
      <c r="CK39" s="20"/>
      <c r="CL39" s="20"/>
      <c r="CM39" s="20"/>
      <c r="CN39" s="20"/>
      <c r="CO39" s="20"/>
      <c r="CP39" s="20"/>
      <c r="CQ39" s="20"/>
      <c r="CR39" s="20"/>
      <c r="CS39" s="20"/>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row>
    <row r="40" spans="1:123" ht="64.5" hidden="1" customHeight="1" x14ac:dyDescent="0.2">
      <c r="A40" s="19"/>
      <c r="B40" s="20" t="str">
        <f ca="1">IFERROR(__xludf.DUMMYFUNCTION("""COMPUTED_VALUE"""),"г.о. Жуковский")</f>
        <v>г.о. Жуковский</v>
      </c>
      <c r="C4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0" s="20" t="str">
        <f ca="1">IFERROR(__xludf.DUMMYFUNCTION("""COMPUTED_VALUE"""),"МинЖКХ")</f>
        <v>МинЖКХ</v>
      </c>
      <c r="E40" s="20" t="str">
        <f ca="1">IFERROR(__xludf.DUMMYFUNCTION("""COMPUTED_VALUE"""),"Реконструкция ВЗУ №2 г.о. Жуковский")</f>
        <v>Реконструкция ВЗУ №2 г.о. Жуковский</v>
      </c>
      <c r="F40" s="22" t="str">
        <f ca="1">IFERROR(__xludf.DUMMYFUNCTION("""COMPUTED_VALUE"""),"ВЗУ")</f>
        <v>ВЗУ</v>
      </c>
      <c r="G40" s="20" t="str">
        <f ca="1">IFERROR(__xludf.DUMMYFUNCTION("""COMPUTED_VALUE"""),"Н/Л")</f>
        <v>Н/Л</v>
      </c>
      <c r="H40" s="20"/>
      <c r="I40" s="20"/>
      <c r="J40" s="20"/>
      <c r="K40" s="20"/>
      <c r="L40" s="20"/>
      <c r="M40" s="20"/>
      <c r="N40" s="24">
        <f ca="1">IFERROR(__xludf.DUMMYFUNCTION("""COMPUTED_VALUE"""),0)</f>
        <v>0</v>
      </c>
      <c r="O40" s="20"/>
      <c r="P40" s="20"/>
      <c r="Q40" s="20"/>
      <c r="R40" s="20"/>
      <c r="S40" s="20"/>
      <c r="T40" s="20"/>
      <c r="U40" s="24">
        <f ca="1">IFERROR(__xludf.DUMMYFUNCTION("""COMPUTED_VALUE"""),0)</f>
        <v>0</v>
      </c>
      <c r="V40" s="24">
        <f ca="1">IFERROR(__xludf.DUMMYFUNCTION("""COMPUTED_VALUE"""),0)</f>
        <v>0</v>
      </c>
      <c r="W40" s="24">
        <f ca="1">IFERROR(__xludf.DUMMYFUNCTION("""COMPUTED_VALUE"""),0)</f>
        <v>0</v>
      </c>
      <c r="X40" s="24">
        <f ca="1">IFERROR(__xludf.DUMMYFUNCTION("""COMPUTED_VALUE"""),0)</f>
        <v>0</v>
      </c>
      <c r="Y40" s="24">
        <f ca="1">IFERROR(__xludf.DUMMYFUNCTION("""COMPUTED_VALUE"""),0)</f>
        <v>0</v>
      </c>
      <c r="Z40" s="24">
        <f ca="1">IFERROR(__xludf.DUMMYFUNCTION("""COMPUTED_VALUE"""),0)</f>
        <v>0</v>
      </c>
      <c r="AA40" s="20" t="str">
        <f ca="1">IFERROR(__xludf.DUMMYFUNCTION("""COMPUTED_VALUE"""),"10 1 G552430
")</f>
        <v xml:space="preserve">10 1 G552430
</v>
      </c>
      <c r="AB40" s="20">
        <f ca="1">IFERROR(__xludf.DUMMYFUNCTION("""COMPUTED_VALUE"""),522)</f>
        <v>522</v>
      </c>
      <c r="AC40" s="20"/>
      <c r="AD40" s="20"/>
      <c r="AE40" s="20"/>
      <c r="AF40" s="24">
        <f ca="1">IFERROR(__xludf.DUMMYFUNCTION("""COMPUTED_VALUE"""),0)</f>
        <v>0</v>
      </c>
      <c r="AG40" s="24">
        <f ca="1">IFERROR(__xludf.DUMMYFUNCTION("""COMPUTED_VALUE"""),0)</f>
        <v>0</v>
      </c>
      <c r="AH40" s="24">
        <f ca="1">IFERROR(__xludf.DUMMYFUNCTION("""COMPUTED_VALUE"""),0)</f>
        <v>0</v>
      </c>
      <c r="AI40" s="24">
        <f ca="1">IFERROR(__xludf.DUMMYFUNCTION("""COMPUTED_VALUE"""),0)</f>
        <v>0</v>
      </c>
      <c r="AJ40" s="24">
        <f ca="1">IFERROR(__xludf.DUMMYFUNCTION("""COMPUTED_VALUE"""),0)</f>
        <v>0</v>
      </c>
      <c r="AK40" s="24">
        <f ca="1">IFERROR(__xludf.DUMMYFUNCTION("""COMPUTED_VALUE"""),0)</f>
        <v>0</v>
      </c>
      <c r="AL40" s="24">
        <f ca="1">IFERROR(__xludf.DUMMYFUNCTION("""COMPUTED_VALUE"""),0)</f>
        <v>0</v>
      </c>
      <c r="AM40" s="20"/>
      <c r="AN40" s="20"/>
      <c r="AO40" s="20"/>
      <c r="AP40" s="20"/>
      <c r="AQ40" s="20"/>
      <c r="AR40" s="24">
        <f ca="1">IFERROR(__xludf.DUMMYFUNCTION("""COMPUTED_VALUE"""),0)</f>
        <v>0</v>
      </c>
      <c r="AS40" s="20"/>
      <c r="AT40" s="20"/>
      <c r="AU40" s="20"/>
      <c r="AV40" s="20"/>
      <c r="AW40" s="20"/>
      <c r="AX40" s="24">
        <f ca="1">IFERROR(__xludf.DUMMYFUNCTION("""COMPUTED_VALUE"""),0)</f>
        <v>0</v>
      </c>
      <c r="AY40" s="24">
        <f ca="1">IFERROR(__xludf.DUMMYFUNCTION("""COMPUTED_VALUE"""),0)</f>
        <v>0</v>
      </c>
      <c r="AZ40" s="24">
        <f ca="1">IFERROR(__xludf.DUMMYFUNCTION("""COMPUTED_VALUE"""),0)</f>
        <v>0</v>
      </c>
      <c r="BA40" s="20"/>
      <c r="BB40" s="24">
        <f ca="1">IFERROR(__xludf.DUMMYFUNCTION("""COMPUTED_VALUE"""),0)</f>
        <v>0</v>
      </c>
      <c r="BC40" s="20"/>
      <c r="BD40" s="24">
        <f ca="1">IFERROR(__xludf.DUMMYFUNCTION("""COMPUTED_VALUE"""),0)</f>
        <v>0</v>
      </c>
      <c r="BE40" s="24">
        <f ca="1">IFERROR(__xludf.DUMMYFUNCTION("""COMPUTED_VALUE"""),0)</f>
        <v>0</v>
      </c>
      <c r="BF40" s="24">
        <f ca="1">IFERROR(__xludf.DUMMYFUNCTION("""COMPUTED_VALUE"""),0)</f>
        <v>0</v>
      </c>
      <c r="BG40" s="20"/>
      <c r="BH40" s="24">
        <f ca="1">IFERROR(__xludf.DUMMYFUNCTION("""COMPUTED_VALUE"""),0)</f>
        <v>0</v>
      </c>
      <c r="BI40" s="20"/>
      <c r="BJ40" s="24">
        <f ca="1">IFERROR(__xludf.DUMMYFUNCTION("""COMPUTED_VALUE"""),0)</f>
        <v>0</v>
      </c>
      <c r="BK40" s="24">
        <f ca="1">IFERROR(__xludf.DUMMYFUNCTION("""COMPUTED_VALUE"""),0)</f>
        <v>0</v>
      </c>
      <c r="BL40" s="24">
        <f ca="1">IFERROR(__xludf.DUMMYFUNCTION("""COMPUTED_VALUE"""),0)</f>
        <v>0</v>
      </c>
      <c r="BM40" s="20"/>
      <c r="BN40" s="24">
        <f ca="1">IFERROR(__xludf.DUMMYFUNCTION("""COMPUTED_VALUE"""),0)</f>
        <v>0</v>
      </c>
      <c r="BO40" s="20"/>
      <c r="BP40" s="24">
        <f ca="1">IFERROR(__xludf.DUMMYFUNCTION("""COMPUTED_VALUE"""),0)</f>
        <v>0</v>
      </c>
      <c r="BQ40" s="24">
        <f ca="1">IFERROR(__xludf.DUMMYFUNCTION("""COMPUTED_VALUE"""),0)</f>
        <v>0</v>
      </c>
      <c r="BR40" s="24">
        <f ca="1">IFERROR(__xludf.DUMMYFUNCTION("""COMPUTED_VALUE"""),0)</f>
        <v>0</v>
      </c>
      <c r="BS40" s="20"/>
      <c r="BT40" s="24">
        <f ca="1">IFERROR(__xludf.DUMMYFUNCTION("""COMPUTED_VALUE"""),0)</f>
        <v>0</v>
      </c>
      <c r="BU40" s="20"/>
      <c r="BV40" s="24">
        <f ca="1">IFERROR(__xludf.DUMMYFUNCTION("""COMPUTED_VALUE"""),0)</f>
        <v>0</v>
      </c>
      <c r="BW40" s="24">
        <f ca="1">IFERROR(__xludf.DUMMYFUNCTION("""COMPUTED_VALUE"""),0)</f>
        <v>0</v>
      </c>
      <c r="BX40" s="24">
        <f ca="1">IFERROR(__xludf.DUMMYFUNCTION("""COMPUTED_VALUE"""),0)</f>
        <v>0</v>
      </c>
      <c r="BY40" s="20"/>
      <c r="BZ40" s="24">
        <f ca="1">IFERROR(__xludf.DUMMYFUNCTION("""COMPUTED_VALUE"""),0)</f>
        <v>0</v>
      </c>
      <c r="CA40" s="20"/>
      <c r="CB40" s="20"/>
      <c r="CC40" s="20"/>
      <c r="CD40" s="20"/>
      <c r="CE40" s="20"/>
      <c r="CF40" s="20"/>
      <c r="CG40" s="20"/>
      <c r="CH40" s="20"/>
      <c r="CI40" s="20"/>
      <c r="CJ40" s="20"/>
      <c r="CK40" s="20"/>
      <c r="CL40" s="20"/>
      <c r="CM40" s="20"/>
      <c r="CN40" s="20"/>
      <c r="CO40" s="20"/>
      <c r="CP40" s="20"/>
      <c r="CQ40" s="20"/>
      <c r="CR40" s="20"/>
      <c r="CS40" s="20"/>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row>
    <row r="41" spans="1:123" ht="64.5" hidden="1" customHeight="1" x14ac:dyDescent="0.2">
      <c r="A41" s="19"/>
      <c r="B41" s="20" t="str">
        <f ca="1">IFERROR(__xludf.DUMMYFUNCTION("""COMPUTED_VALUE"""),"г.о. Пушкинский")</f>
        <v>г.о. Пушкинский</v>
      </c>
      <c r="C4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1" s="20" t="str">
        <f ca="1">IFERROR(__xludf.DUMMYFUNCTION("""COMPUTED_VALUE"""),"МинЖКХ")</f>
        <v>МинЖКХ</v>
      </c>
      <c r="E41" s="20" t="str">
        <f ca="1">IFERROR(__xludf.DUMMYFUNCTION("""COMPUTED_VALUE"""),"Реконструкция ВЗУ № 1 г. Пушкино Пушкинский г.о. ")</f>
        <v xml:space="preserve">Реконструкция ВЗУ № 1 г. Пушкино Пушкинский г.о. </v>
      </c>
      <c r="F41" s="22" t="str">
        <f ca="1">IFERROR(__xludf.DUMMYFUNCTION("""COMPUTED_VALUE"""),"ВЗУ")</f>
        <v>ВЗУ</v>
      </c>
      <c r="G41" s="20">
        <f ca="1">IFERROR(__xludf.DUMMYFUNCTION("""COMPUTED_VALUE"""),2023)</f>
        <v>2023</v>
      </c>
      <c r="H41" s="20" t="str">
        <f ca="1">IFERROR(__xludf.DUMMYFUNCTION("""COMPUTED_VALUE"""),"СМР")</f>
        <v>СМР</v>
      </c>
      <c r="I41" s="20"/>
      <c r="J41" s="20" t="str">
        <f ca="1">IFERROR(__xludf.DUMMYFUNCTION("""COMPUTED_VALUE"""),"Определен источник финансирования. Публикация закупки в ноябре 2020 года. Опубликовано в ПГ. Технология МИТ.")</f>
        <v>Определен источник финансирования. Публикация закупки в ноябре 2020 года. Опубликовано в ПГ. Технология МИТ.</v>
      </c>
      <c r="K41" s="20"/>
      <c r="L41" s="20"/>
      <c r="M41" s="20"/>
      <c r="N41" s="24">
        <f ca="1">IFERROR(__xludf.DUMMYFUNCTION("""COMPUTED_VALUE"""),0)</f>
        <v>0</v>
      </c>
      <c r="O41" s="20"/>
      <c r="P41" s="20"/>
      <c r="Q41" s="20"/>
      <c r="R41" s="20"/>
      <c r="S41" s="20"/>
      <c r="T41" s="20"/>
      <c r="U41" s="24">
        <f ca="1">IFERROR(__xludf.DUMMYFUNCTION("""COMPUTED_VALUE"""),0)</f>
        <v>0</v>
      </c>
      <c r="V41" s="24">
        <f ca="1">IFERROR(__xludf.DUMMYFUNCTION("""COMPUTED_VALUE"""),0)</f>
        <v>0</v>
      </c>
      <c r="W41" s="24">
        <f ca="1">IFERROR(__xludf.DUMMYFUNCTION("""COMPUTED_VALUE"""),0)</f>
        <v>0</v>
      </c>
      <c r="X41" s="24">
        <f ca="1">IFERROR(__xludf.DUMMYFUNCTION("""COMPUTED_VALUE"""),0)</f>
        <v>0</v>
      </c>
      <c r="Y41" s="24">
        <f ca="1">IFERROR(__xludf.DUMMYFUNCTION("""COMPUTED_VALUE"""),0)</f>
        <v>0</v>
      </c>
      <c r="Z41" s="24">
        <f ca="1">IFERROR(__xludf.DUMMYFUNCTION("""COMPUTED_VALUE"""),0)</f>
        <v>0</v>
      </c>
      <c r="AA41" s="20" t="str">
        <f ca="1">IFERROR(__xludf.DUMMYFUNCTION("""COMPUTED_VALUE"""),"10 1 G552430
")</f>
        <v xml:space="preserve">10 1 G552430
</v>
      </c>
      <c r="AB41" s="20">
        <f ca="1">IFERROR(__xludf.DUMMYFUNCTION("""COMPUTED_VALUE"""),522)</f>
        <v>522</v>
      </c>
      <c r="AC41" s="20"/>
      <c r="AD41" s="20"/>
      <c r="AE41" s="20"/>
      <c r="AF41" s="24">
        <f ca="1">IFERROR(__xludf.DUMMYFUNCTION("""COMPUTED_VALUE"""),110000)</f>
        <v>110000</v>
      </c>
      <c r="AG41" s="24">
        <f ca="1">IFERROR(__xludf.DUMMYFUNCTION("""COMPUTED_VALUE"""),62370)</f>
        <v>62370</v>
      </c>
      <c r="AH41" s="24">
        <f ca="1">IFERROR(__xludf.DUMMYFUNCTION("""COMPUTED_VALUE"""),20790)</f>
        <v>20790</v>
      </c>
      <c r="AI41" s="24">
        <f ca="1">IFERROR(__xludf.DUMMYFUNCTION("""COMPUTED_VALUE"""),0)</f>
        <v>0</v>
      </c>
      <c r="AJ41" s="24">
        <f ca="1">IFERROR(__xludf.DUMMYFUNCTION("""COMPUTED_VALUE"""),26840)</f>
        <v>26840</v>
      </c>
      <c r="AK41" s="24">
        <f ca="1">IFERROR(__xludf.DUMMYFUNCTION("""COMPUTED_VALUE"""),0)</f>
        <v>0</v>
      </c>
      <c r="AL41" s="24">
        <f ca="1">IFERROR(__xludf.DUMMYFUNCTION("""COMPUTED_VALUE"""),0)</f>
        <v>0</v>
      </c>
      <c r="AM41" s="20"/>
      <c r="AN41" s="20"/>
      <c r="AO41" s="20"/>
      <c r="AP41" s="20"/>
      <c r="AQ41" s="20"/>
      <c r="AR41" s="24">
        <f ca="1">IFERROR(__xludf.DUMMYFUNCTION("""COMPUTED_VALUE"""),0)</f>
        <v>0</v>
      </c>
      <c r="AS41" s="20"/>
      <c r="AT41" s="20"/>
      <c r="AU41" s="20"/>
      <c r="AV41" s="20"/>
      <c r="AW41" s="20"/>
      <c r="AX41" s="24">
        <f ca="1">IFERROR(__xludf.DUMMYFUNCTION("""COMPUTED_VALUE"""),0)</f>
        <v>0</v>
      </c>
      <c r="AY41" s="24">
        <f ca="1">IFERROR(__xludf.DUMMYFUNCTION("""COMPUTED_VALUE"""),0)</f>
        <v>0</v>
      </c>
      <c r="AZ41" s="24">
        <f ca="1">IFERROR(__xludf.DUMMYFUNCTION("""COMPUTED_VALUE"""),0)</f>
        <v>0</v>
      </c>
      <c r="BA41" s="20"/>
      <c r="BB41" s="24">
        <f ca="1">IFERROR(__xludf.DUMMYFUNCTION("""COMPUTED_VALUE"""),0)</f>
        <v>0</v>
      </c>
      <c r="BC41" s="20"/>
      <c r="BD41" s="24">
        <f ca="1">IFERROR(__xludf.DUMMYFUNCTION("""COMPUTED_VALUE"""),0)</f>
        <v>0</v>
      </c>
      <c r="BE41" s="24">
        <f ca="1">IFERROR(__xludf.DUMMYFUNCTION("""COMPUTED_VALUE"""),0)</f>
        <v>0</v>
      </c>
      <c r="BF41" s="24">
        <f ca="1">IFERROR(__xludf.DUMMYFUNCTION("""COMPUTED_VALUE"""),0)</f>
        <v>0</v>
      </c>
      <c r="BG41" s="20"/>
      <c r="BH41" s="24">
        <f ca="1">IFERROR(__xludf.DUMMYFUNCTION("""COMPUTED_VALUE"""),0)</f>
        <v>0</v>
      </c>
      <c r="BI41" s="20"/>
      <c r="BJ41" s="24">
        <f ca="1">IFERROR(__xludf.DUMMYFUNCTION("""COMPUTED_VALUE"""),110000)</f>
        <v>110000</v>
      </c>
      <c r="BK41" s="24">
        <f ca="1">IFERROR(__xludf.DUMMYFUNCTION("""COMPUTED_VALUE"""),62370)</f>
        <v>62370</v>
      </c>
      <c r="BL41" s="24">
        <f ca="1">IFERROR(__xludf.DUMMYFUNCTION("""COMPUTED_VALUE"""),20790)</f>
        <v>20790</v>
      </c>
      <c r="BM41" s="20"/>
      <c r="BN41" s="24">
        <f ca="1">IFERROR(__xludf.DUMMYFUNCTION("""COMPUTED_VALUE"""),26840)</f>
        <v>26840</v>
      </c>
      <c r="BO41" s="20"/>
      <c r="BP41" s="24">
        <f ca="1">IFERROR(__xludf.DUMMYFUNCTION("""COMPUTED_VALUE"""),0)</f>
        <v>0</v>
      </c>
      <c r="BQ41" s="24">
        <f ca="1">IFERROR(__xludf.DUMMYFUNCTION("""COMPUTED_VALUE"""),0)</f>
        <v>0</v>
      </c>
      <c r="BR41" s="24">
        <f ca="1">IFERROR(__xludf.DUMMYFUNCTION("""COMPUTED_VALUE"""),0)</f>
        <v>0</v>
      </c>
      <c r="BS41" s="20"/>
      <c r="BT41" s="24">
        <f ca="1">IFERROR(__xludf.DUMMYFUNCTION("""COMPUTED_VALUE"""),0)</f>
        <v>0</v>
      </c>
      <c r="BU41" s="20"/>
      <c r="BV41" s="24">
        <f ca="1">IFERROR(__xludf.DUMMYFUNCTION("""COMPUTED_VALUE"""),0)</f>
        <v>0</v>
      </c>
      <c r="BW41" s="24">
        <f ca="1">IFERROR(__xludf.DUMMYFUNCTION("""COMPUTED_VALUE"""),0)</f>
        <v>0</v>
      </c>
      <c r="BX41" s="24">
        <f ca="1">IFERROR(__xludf.DUMMYFUNCTION("""COMPUTED_VALUE"""),0)</f>
        <v>0</v>
      </c>
      <c r="BY41" s="20"/>
      <c r="BZ41" s="24">
        <f ca="1">IFERROR(__xludf.DUMMYFUNCTION("""COMPUTED_VALUE"""),0)</f>
        <v>0</v>
      </c>
      <c r="CA41" s="20"/>
      <c r="CB41" s="20"/>
      <c r="CC41" s="20"/>
      <c r="CD41" s="20"/>
      <c r="CE41" s="20"/>
      <c r="CF41" s="20"/>
      <c r="CG41" s="20"/>
      <c r="CH41" s="20"/>
      <c r="CI41" s="20"/>
      <c r="CJ41" s="20"/>
      <c r="CK41" s="20"/>
      <c r="CL41" s="20"/>
      <c r="CM41" s="20"/>
      <c r="CN41" s="20"/>
      <c r="CO41" s="20"/>
      <c r="CP41" s="20"/>
      <c r="CQ41" s="20"/>
      <c r="CR41" s="20"/>
      <c r="CS41" s="20"/>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row>
    <row r="42" spans="1:123" ht="64.5" hidden="1" customHeight="1" x14ac:dyDescent="0.2">
      <c r="A42" s="19"/>
      <c r="B42" s="20" t="str">
        <f ca="1">IFERROR(__xludf.DUMMYFUNCTION("""COMPUTED_VALUE"""),"г.о. Пушкинский")</f>
        <v>г.о. Пушкинский</v>
      </c>
      <c r="C4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2" s="20" t="str">
        <f ca="1">IFERROR(__xludf.DUMMYFUNCTION("""COMPUTED_VALUE"""),"МинЖКХ")</f>
        <v>МинЖКХ</v>
      </c>
      <c r="E42" s="20" t="str">
        <f ca="1">IFERROR(__xludf.DUMMYFUNCTION("""COMPUTED_VALUE"""),"Реконструкция ВЗУ № 3 г. Пушкино г.о. Пушкино")</f>
        <v>Реконструкция ВЗУ № 3 г. Пушкино г.о. Пушкино</v>
      </c>
      <c r="F42" s="22" t="str">
        <f ca="1">IFERROR(__xludf.DUMMYFUNCTION("""COMPUTED_VALUE"""),"ВЗУ")</f>
        <v>ВЗУ</v>
      </c>
      <c r="G42" s="20" t="str">
        <f ca="1">IFERROR(__xludf.DUMMYFUNCTION("""COMPUTED_VALUE"""),"Н/Л")</f>
        <v>Н/Л</v>
      </c>
      <c r="H42" s="20"/>
      <c r="I42" s="20"/>
      <c r="J42" s="20"/>
      <c r="K42" s="20"/>
      <c r="L42" s="20"/>
      <c r="M42" s="20"/>
      <c r="N42" s="24">
        <f ca="1">IFERROR(__xludf.DUMMYFUNCTION("""COMPUTED_VALUE"""),0)</f>
        <v>0</v>
      </c>
      <c r="O42" s="20"/>
      <c r="P42" s="20"/>
      <c r="Q42" s="20"/>
      <c r="R42" s="20"/>
      <c r="S42" s="20"/>
      <c r="T42" s="20"/>
      <c r="U42" s="24">
        <f ca="1">IFERROR(__xludf.DUMMYFUNCTION("""COMPUTED_VALUE"""),0)</f>
        <v>0</v>
      </c>
      <c r="V42" s="24">
        <f ca="1">IFERROR(__xludf.DUMMYFUNCTION("""COMPUTED_VALUE"""),0)</f>
        <v>0</v>
      </c>
      <c r="W42" s="24">
        <f ca="1">IFERROR(__xludf.DUMMYFUNCTION("""COMPUTED_VALUE"""),0)</f>
        <v>0</v>
      </c>
      <c r="X42" s="24">
        <f ca="1">IFERROR(__xludf.DUMMYFUNCTION("""COMPUTED_VALUE"""),0)</f>
        <v>0</v>
      </c>
      <c r="Y42" s="24">
        <f ca="1">IFERROR(__xludf.DUMMYFUNCTION("""COMPUTED_VALUE"""),0)</f>
        <v>0</v>
      </c>
      <c r="Z42" s="24">
        <f ca="1">IFERROR(__xludf.DUMMYFUNCTION("""COMPUTED_VALUE"""),0)</f>
        <v>0</v>
      </c>
      <c r="AA42" s="20" t="str">
        <f ca="1">IFERROR(__xludf.DUMMYFUNCTION("""COMPUTED_VALUE"""),"10 1 G552430
")</f>
        <v xml:space="preserve">10 1 G552430
</v>
      </c>
      <c r="AB42" s="20">
        <f ca="1">IFERROR(__xludf.DUMMYFUNCTION("""COMPUTED_VALUE"""),522)</f>
        <v>522</v>
      </c>
      <c r="AC42" s="20"/>
      <c r="AD42" s="20"/>
      <c r="AE42" s="20"/>
      <c r="AF42" s="24">
        <f ca="1">IFERROR(__xludf.DUMMYFUNCTION("""COMPUTED_VALUE"""),0)</f>
        <v>0</v>
      </c>
      <c r="AG42" s="24">
        <f ca="1">IFERROR(__xludf.DUMMYFUNCTION("""COMPUTED_VALUE"""),0)</f>
        <v>0</v>
      </c>
      <c r="AH42" s="24">
        <f ca="1">IFERROR(__xludf.DUMMYFUNCTION("""COMPUTED_VALUE"""),0)</f>
        <v>0</v>
      </c>
      <c r="AI42" s="24">
        <f ca="1">IFERROR(__xludf.DUMMYFUNCTION("""COMPUTED_VALUE"""),0)</f>
        <v>0</v>
      </c>
      <c r="AJ42" s="24">
        <f ca="1">IFERROR(__xludf.DUMMYFUNCTION("""COMPUTED_VALUE"""),0)</f>
        <v>0</v>
      </c>
      <c r="AK42" s="24">
        <f ca="1">IFERROR(__xludf.DUMMYFUNCTION("""COMPUTED_VALUE"""),0)</f>
        <v>0</v>
      </c>
      <c r="AL42" s="24">
        <f ca="1">IFERROR(__xludf.DUMMYFUNCTION("""COMPUTED_VALUE"""),0)</f>
        <v>0</v>
      </c>
      <c r="AM42" s="20"/>
      <c r="AN42" s="20"/>
      <c r="AO42" s="20"/>
      <c r="AP42" s="20"/>
      <c r="AQ42" s="20"/>
      <c r="AR42" s="24">
        <f ca="1">IFERROR(__xludf.DUMMYFUNCTION("""COMPUTED_VALUE"""),0)</f>
        <v>0</v>
      </c>
      <c r="AS42" s="20"/>
      <c r="AT42" s="20"/>
      <c r="AU42" s="20"/>
      <c r="AV42" s="20"/>
      <c r="AW42" s="20"/>
      <c r="AX42" s="24">
        <f ca="1">IFERROR(__xludf.DUMMYFUNCTION("""COMPUTED_VALUE"""),0)</f>
        <v>0</v>
      </c>
      <c r="AY42" s="24">
        <f ca="1">IFERROR(__xludf.DUMMYFUNCTION("""COMPUTED_VALUE"""),0)</f>
        <v>0</v>
      </c>
      <c r="AZ42" s="24">
        <f ca="1">IFERROR(__xludf.DUMMYFUNCTION("""COMPUTED_VALUE"""),0)</f>
        <v>0</v>
      </c>
      <c r="BA42" s="20"/>
      <c r="BB42" s="24">
        <f ca="1">IFERROR(__xludf.DUMMYFUNCTION("""COMPUTED_VALUE"""),0)</f>
        <v>0</v>
      </c>
      <c r="BC42" s="20"/>
      <c r="BD42" s="24">
        <f ca="1">IFERROR(__xludf.DUMMYFUNCTION("""COMPUTED_VALUE"""),0)</f>
        <v>0</v>
      </c>
      <c r="BE42" s="24">
        <f ca="1">IFERROR(__xludf.DUMMYFUNCTION("""COMPUTED_VALUE"""),0)</f>
        <v>0</v>
      </c>
      <c r="BF42" s="24">
        <f ca="1">IFERROR(__xludf.DUMMYFUNCTION("""COMPUTED_VALUE"""),0)</f>
        <v>0</v>
      </c>
      <c r="BG42" s="20"/>
      <c r="BH42" s="24">
        <f ca="1">IFERROR(__xludf.DUMMYFUNCTION("""COMPUTED_VALUE"""),0)</f>
        <v>0</v>
      </c>
      <c r="BI42" s="20"/>
      <c r="BJ42" s="24">
        <f ca="1">IFERROR(__xludf.DUMMYFUNCTION("""COMPUTED_VALUE"""),0)</f>
        <v>0</v>
      </c>
      <c r="BK42" s="24">
        <f ca="1">IFERROR(__xludf.DUMMYFUNCTION("""COMPUTED_VALUE"""),0)</f>
        <v>0</v>
      </c>
      <c r="BL42" s="24">
        <f ca="1">IFERROR(__xludf.DUMMYFUNCTION("""COMPUTED_VALUE"""),0)</f>
        <v>0</v>
      </c>
      <c r="BM42" s="20"/>
      <c r="BN42" s="24">
        <f ca="1">IFERROR(__xludf.DUMMYFUNCTION("""COMPUTED_VALUE"""),0)</f>
        <v>0</v>
      </c>
      <c r="BO42" s="20"/>
      <c r="BP42" s="24">
        <f ca="1">IFERROR(__xludf.DUMMYFUNCTION("""COMPUTED_VALUE"""),0)</f>
        <v>0</v>
      </c>
      <c r="BQ42" s="24">
        <f ca="1">IFERROR(__xludf.DUMMYFUNCTION("""COMPUTED_VALUE"""),0)</f>
        <v>0</v>
      </c>
      <c r="BR42" s="24">
        <f ca="1">IFERROR(__xludf.DUMMYFUNCTION("""COMPUTED_VALUE"""),0)</f>
        <v>0</v>
      </c>
      <c r="BS42" s="20"/>
      <c r="BT42" s="24">
        <f ca="1">IFERROR(__xludf.DUMMYFUNCTION("""COMPUTED_VALUE"""),0)</f>
        <v>0</v>
      </c>
      <c r="BU42" s="20"/>
      <c r="BV42" s="24">
        <f ca="1">IFERROR(__xludf.DUMMYFUNCTION("""COMPUTED_VALUE"""),0)</f>
        <v>0</v>
      </c>
      <c r="BW42" s="24">
        <f ca="1">IFERROR(__xludf.DUMMYFUNCTION("""COMPUTED_VALUE"""),0)</f>
        <v>0</v>
      </c>
      <c r="BX42" s="24">
        <f ca="1">IFERROR(__xludf.DUMMYFUNCTION("""COMPUTED_VALUE"""),0)</f>
        <v>0</v>
      </c>
      <c r="BY42" s="20"/>
      <c r="BZ42" s="24">
        <f ca="1">IFERROR(__xludf.DUMMYFUNCTION("""COMPUTED_VALUE"""),0)</f>
        <v>0</v>
      </c>
      <c r="CA42" s="20"/>
      <c r="CB42" s="20"/>
      <c r="CC42" s="20"/>
      <c r="CD42" s="20"/>
      <c r="CE42" s="20"/>
      <c r="CF42" s="20"/>
      <c r="CG42" s="20"/>
      <c r="CH42" s="20"/>
      <c r="CI42" s="20"/>
      <c r="CJ42" s="20"/>
      <c r="CK42" s="20"/>
      <c r="CL42" s="20"/>
      <c r="CM42" s="20"/>
      <c r="CN42" s="20"/>
      <c r="CO42" s="20"/>
      <c r="CP42" s="20"/>
      <c r="CQ42" s="20"/>
      <c r="CR42" s="20"/>
      <c r="CS42" s="20"/>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row>
    <row r="43" spans="1:123" ht="64.5" hidden="1" customHeight="1" x14ac:dyDescent="0.2">
      <c r="A43" s="19"/>
      <c r="B43" s="20" t="str">
        <f ca="1">IFERROR(__xludf.DUMMYFUNCTION("""COMPUTED_VALUE"""),"г.о. Пушкинский")</f>
        <v>г.о. Пушкинский</v>
      </c>
      <c r="C4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3" s="20" t="str">
        <f ca="1">IFERROR(__xludf.DUMMYFUNCTION("""COMPUTED_VALUE"""),"МинЖКХ")</f>
        <v>МинЖКХ</v>
      </c>
      <c r="E43" s="20" t="str">
        <f ca="1">IFERROR(__xludf.DUMMYFUNCTION("""COMPUTED_VALUE"""),"Реконструкция ВЗУ № 12 г. Пушкино Пушкинский г.о.")</f>
        <v>Реконструкция ВЗУ № 12 г. Пушкино Пушкинский г.о.</v>
      </c>
      <c r="F43" s="22" t="str">
        <f ca="1">IFERROR(__xludf.DUMMYFUNCTION("""COMPUTED_VALUE"""),"ВЗУ")</f>
        <v>ВЗУ</v>
      </c>
      <c r="G43" s="20">
        <f ca="1">IFERROR(__xludf.DUMMYFUNCTION("""COMPUTED_VALUE"""),2024)</f>
        <v>2024</v>
      </c>
      <c r="H43" s="20" t="str">
        <f ca="1">IFERROR(__xludf.DUMMYFUNCTION("""COMPUTED_VALUE"""),"СМР")</f>
        <v>СМР</v>
      </c>
      <c r="I43" s="20"/>
      <c r="J43" s="20"/>
      <c r="K43" s="20"/>
      <c r="L43" s="20"/>
      <c r="M43" s="20"/>
      <c r="N43" s="24">
        <f ca="1">IFERROR(__xludf.DUMMYFUNCTION("""COMPUTED_VALUE"""),0)</f>
        <v>0</v>
      </c>
      <c r="O43" s="20"/>
      <c r="P43" s="20"/>
      <c r="Q43" s="20"/>
      <c r="R43" s="20"/>
      <c r="S43" s="20"/>
      <c r="T43" s="20"/>
      <c r="U43" s="24">
        <f ca="1">IFERROR(__xludf.DUMMYFUNCTION("""COMPUTED_VALUE"""),0)</f>
        <v>0</v>
      </c>
      <c r="V43" s="24">
        <f ca="1">IFERROR(__xludf.DUMMYFUNCTION("""COMPUTED_VALUE"""),0)</f>
        <v>0</v>
      </c>
      <c r="W43" s="24">
        <f ca="1">IFERROR(__xludf.DUMMYFUNCTION("""COMPUTED_VALUE"""),0)</f>
        <v>0</v>
      </c>
      <c r="X43" s="24">
        <f ca="1">IFERROR(__xludf.DUMMYFUNCTION("""COMPUTED_VALUE"""),0)</f>
        <v>0</v>
      </c>
      <c r="Y43" s="24">
        <f ca="1">IFERROR(__xludf.DUMMYFUNCTION("""COMPUTED_VALUE"""),0)</f>
        <v>0</v>
      </c>
      <c r="Z43" s="24">
        <f ca="1">IFERROR(__xludf.DUMMYFUNCTION("""COMPUTED_VALUE"""),0)</f>
        <v>0</v>
      </c>
      <c r="AA43" s="20" t="str">
        <f ca="1">IFERROR(__xludf.DUMMYFUNCTION("""COMPUTED_VALUE"""),"10 1 G552430
")</f>
        <v xml:space="preserve">10 1 G552430
</v>
      </c>
      <c r="AB43" s="20">
        <f ca="1">IFERROR(__xludf.DUMMYFUNCTION("""COMPUTED_VALUE"""),522)</f>
        <v>522</v>
      </c>
      <c r="AC43" s="20"/>
      <c r="AD43" s="20"/>
      <c r="AE43" s="20"/>
      <c r="AF43" s="24">
        <f ca="1">IFERROR(__xludf.DUMMYFUNCTION("""COMPUTED_VALUE"""),85000)</f>
        <v>85000</v>
      </c>
      <c r="AG43" s="24">
        <f ca="1">IFERROR(__xludf.DUMMYFUNCTION("""COMPUTED_VALUE"""),48195)</f>
        <v>48195</v>
      </c>
      <c r="AH43" s="24">
        <f ca="1">IFERROR(__xludf.DUMMYFUNCTION("""COMPUTED_VALUE"""),16065)</f>
        <v>16065</v>
      </c>
      <c r="AI43" s="24">
        <f ca="1">IFERROR(__xludf.DUMMYFUNCTION("""COMPUTED_VALUE"""),0)</f>
        <v>0</v>
      </c>
      <c r="AJ43" s="24">
        <f ca="1">IFERROR(__xludf.DUMMYFUNCTION("""COMPUTED_VALUE"""),20740)</f>
        <v>20740</v>
      </c>
      <c r="AK43" s="24">
        <f ca="1">IFERROR(__xludf.DUMMYFUNCTION("""COMPUTED_VALUE"""),0)</f>
        <v>0</v>
      </c>
      <c r="AL43" s="24">
        <f ca="1">IFERROR(__xludf.DUMMYFUNCTION("""COMPUTED_VALUE"""),0)</f>
        <v>0</v>
      </c>
      <c r="AM43" s="20"/>
      <c r="AN43" s="20"/>
      <c r="AO43" s="20"/>
      <c r="AP43" s="20"/>
      <c r="AQ43" s="20"/>
      <c r="AR43" s="24">
        <f ca="1">IFERROR(__xludf.DUMMYFUNCTION("""COMPUTED_VALUE"""),0)</f>
        <v>0</v>
      </c>
      <c r="AS43" s="20"/>
      <c r="AT43" s="20"/>
      <c r="AU43" s="20"/>
      <c r="AV43" s="20"/>
      <c r="AW43" s="20"/>
      <c r="AX43" s="24">
        <f ca="1">IFERROR(__xludf.DUMMYFUNCTION("""COMPUTED_VALUE"""),0)</f>
        <v>0</v>
      </c>
      <c r="AY43" s="24">
        <f ca="1">IFERROR(__xludf.DUMMYFUNCTION("""COMPUTED_VALUE"""),0)</f>
        <v>0</v>
      </c>
      <c r="AZ43" s="24">
        <f ca="1">IFERROR(__xludf.DUMMYFUNCTION("""COMPUTED_VALUE"""),0)</f>
        <v>0</v>
      </c>
      <c r="BA43" s="20"/>
      <c r="BB43" s="24">
        <f ca="1">IFERROR(__xludf.DUMMYFUNCTION("""COMPUTED_VALUE"""),0)</f>
        <v>0</v>
      </c>
      <c r="BC43" s="20"/>
      <c r="BD43" s="24">
        <f ca="1">IFERROR(__xludf.DUMMYFUNCTION("""COMPUTED_VALUE"""),0)</f>
        <v>0</v>
      </c>
      <c r="BE43" s="24">
        <f ca="1">IFERROR(__xludf.DUMMYFUNCTION("""COMPUTED_VALUE"""),0)</f>
        <v>0</v>
      </c>
      <c r="BF43" s="24">
        <f ca="1">IFERROR(__xludf.DUMMYFUNCTION("""COMPUTED_VALUE"""),0)</f>
        <v>0</v>
      </c>
      <c r="BG43" s="20"/>
      <c r="BH43" s="24">
        <f ca="1">IFERROR(__xludf.DUMMYFUNCTION("""COMPUTED_VALUE"""),0)</f>
        <v>0</v>
      </c>
      <c r="BI43" s="20"/>
      <c r="BJ43" s="24">
        <f ca="1">IFERROR(__xludf.DUMMYFUNCTION("""COMPUTED_VALUE"""),0)</f>
        <v>0</v>
      </c>
      <c r="BK43" s="24">
        <f ca="1">IFERROR(__xludf.DUMMYFUNCTION("""COMPUTED_VALUE"""),0)</f>
        <v>0</v>
      </c>
      <c r="BL43" s="24">
        <f ca="1">IFERROR(__xludf.DUMMYFUNCTION("""COMPUTED_VALUE"""),0)</f>
        <v>0</v>
      </c>
      <c r="BM43" s="20"/>
      <c r="BN43" s="24">
        <f ca="1">IFERROR(__xludf.DUMMYFUNCTION("""COMPUTED_VALUE"""),0)</f>
        <v>0</v>
      </c>
      <c r="BO43" s="20"/>
      <c r="BP43" s="24">
        <f ca="1">IFERROR(__xludf.DUMMYFUNCTION("""COMPUTED_VALUE"""),0)</f>
        <v>0</v>
      </c>
      <c r="BQ43" s="24">
        <f ca="1">IFERROR(__xludf.DUMMYFUNCTION("""COMPUTED_VALUE"""),0)</f>
        <v>0</v>
      </c>
      <c r="BR43" s="24">
        <f ca="1">IFERROR(__xludf.DUMMYFUNCTION("""COMPUTED_VALUE"""),0)</f>
        <v>0</v>
      </c>
      <c r="BS43" s="20"/>
      <c r="BT43" s="24">
        <f ca="1">IFERROR(__xludf.DUMMYFUNCTION("""COMPUTED_VALUE"""),0)</f>
        <v>0</v>
      </c>
      <c r="BU43" s="20"/>
      <c r="BV43" s="24">
        <f ca="1">IFERROR(__xludf.DUMMYFUNCTION("""COMPUTED_VALUE"""),85000)</f>
        <v>85000</v>
      </c>
      <c r="BW43" s="24">
        <f ca="1">IFERROR(__xludf.DUMMYFUNCTION("""COMPUTED_VALUE"""),48195)</f>
        <v>48195</v>
      </c>
      <c r="BX43" s="24">
        <f ca="1">IFERROR(__xludf.DUMMYFUNCTION("""COMPUTED_VALUE"""),16065)</f>
        <v>16065</v>
      </c>
      <c r="BY43" s="20"/>
      <c r="BZ43" s="24">
        <f ca="1">IFERROR(__xludf.DUMMYFUNCTION("""COMPUTED_VALUE"""),20740)</f>
        <v>20740</v>
      </c>
      <c r="CA43" s="20"/>
      <c r="CB43" s="20"/>
      <c r="CC43" s="20"/>
      <c r="CD43" s="20"/>
      <c r="CE43" s="20"/>
      <c r="CF43" s="20"/>
      <c r="CG43" s="20"/>
      <c r="CH43" s="20"/>
      <c r="CI43" s="20"/>
      <c r="CJ43" s="20"/>
      <c r="CK43" s="20"/>
      <c r="CL43" s="20"/>
      <c r="CM43" s="20"/>
      <c r="CN43" s="20"/>
      <c r="CO43" s="20"/>
      <c r="CP43" s="20"/>
      <c r="CQ43" s="20"/>
      <c r="CR43" s="20"/>
      <c r="CS43" s="20"/>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row>
    <row r="44" spans="1:123" ht="64.5" hidden="1" customHeight="1" x14ac:dyDescent="0.2">
      <c r="A44" s="19"/>
      <c r="B44" s="20" t="str">
        <f ca="1">IFERROR(__xludf.DUMMYFUNCTION("""COMPUTED_VALUE"""),"г.о. Пушкинский")</f>
        <v>г.о. Пушкинский</v>
      </c>
      <c r="C4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4" s="20" t="str">
        <f ca="1">IFERROR(__xludf.DUMMYFUNCTION("""COMPUTED_VALUE"""),"МинЖКХ")</f>
        <v>МинЖКХ</v>
      </c>
      <c r="E44" s="20" t="str">
        <f ca="1">IFERROR(__xludf.DUMMYFUNCTION("""COMPUTED_VALUE"""),"Реконструкция ВЗУ № 14 пос. Правдинский  Пушкинский г.о.")</f>
        <v>Реконструкция ВЗУ № 14 пос. Правдинский  Пушкинский г.о.</v>
      </c>
      <c r="F44" s="22" t="str">
        <f ca="1">IFERROR(__xludf.DUMMYFUNCTION("""COMPUTED_VALUE"""),"ВЗУ")</f>
        <v>ВЗУ</v>
      </c>
      <c r="G44" s="20">
        <f ca="1">IFERROR(__xludf.DUMMYFUNCTION("""COMPUTED_VALUE"""),2024)</f>
        <v>2024</v>
      </c>
      <c r="H44" s="20" t="str">
        <f ca="1">IFERROR(__xludf.DUMMYFUNCTION("""COMPUTED_VALUE"""),"СМР")</f>
        <v>СМР</v>
      </c>
      <c r="I44" s="20"/>
      <c r="J44" s="20"/>
      <c r="K44" s="20"/>
      <c r="L44" s="20"/>
      <c r="M44" s="20"/>
      <c r="N44" s="24">
        <f ca="1">IFERROR(__xludf.DUMMYFUNCTION("""COMPUTED_VALUE"""),0)</f>
        <v>0</v>
      </c>
      <c r="O44" s="20"/>
      <c r="P44" s="20"/>
      <c r="Q44" s="20"/>
      <c r="R44" s="20"/>
      <c r="S44" s="20"/>
      <c r="T44" s="20"/>
      <c r="U44" s="24">
        <f ca="1">IFERROR(__xludf.DUMMYFUNCTION("""COMPUTED_VALUE"""),0)</f>
        <v>0</v>
      </c>
      <c r="V44" s="24">
        <f ca="1">IFERROR(__xludf.DUMMYFUNCTION("""COMPUTED_VALUE"""),0)</f>
        <v>0</v>
      </c>
      <c r="W44" s="24">
        <f ca="1">IFERROR(__xludf.DUMMYFUNCTION("""COMPUTED_VALUE"""),0)</f>
        <v>0</v>
      </c>
      <c r="X44" s="24">
        <f ca="1">IFERROR(__xludf.DUMMYFUNCTION("""COMPUTED_VALUE"""),0)</f>
        <v>0</v>
      </c>
      <c r="Y44" s="24">
        <f ca="1">IFERROR(__xludf.DUMMYFUNCTION("""COMPUTED_VALUE"""),0)</f>
        <v>0</v>
      </c>
      <c r="Z44" s="24">
        <f ca="1">IFERROR(__xludf.DUMMYFUNCTION("""COMPUTED_VALUE"""),0)</f>
        <v>0</v>
      </c>
      <c r="AA44" s="20" t="str">
        <f ca="1">IFERROR(__xludf.DUMMYFUNCTION("""COMPUTED_VALUE"""),"10 1 G552430
")</f>
        <v xml:space="preserve">10 1 G552430
</v>
      </c>
      <c r="AB44" s="20">
        <f ca="1">IFERROR(__xludf.DUMMYFUNCTION("""COMPUTED_VALUE"""),522)</f>
        <v>522</v>
      </c>
      <c r="AC44" s="20"/>
      <c r="AD44" s="20"/>
      <c r="AE44" s="20"/>
      <c r="AF44" s="24">
        <f ca="1">IFERROR(__xludf.DUMMYFUNCTION("""COMPUTED_VALUE"""),60000)</f>
        <v>60000</v>
      </c>
      <c r="AG44" s="24">
        <f ca="1">IFERROR(__xludf.DUMMYFUNCTION("""COMPUTED_VALUE"""),34020)</f>
        <v>34020</v>
      </c>
      <c r="AH44" s="24">
        <f ca="1">IFERROR(__xludf.DUMMYFUNCTION("""COMPUTED_VALUE"""),11340)</f>
        <v>11340</v>
      </c>
      <c r="AI44" s="24">
        <f ca="1">IFERROR(__xludf.DUMMYFUNCTION("""COMPUTED_VALUE"""),0)</f>
        <v>0</v>
      </c>
      <c r="AJ44" s="24">
        <f ca="1">IFERROR(__xludf.DUMMYFUNCTION("""COMPUTED_VALUE"""),14640)</f>
        <v>14640</v>
      </c>
      <c r="AK44" s="24">
        <f ca="1">IFERROR(__xludf.DUMMYFUNCTION("""COMPUTED_VALUE"""),0)</f>
        <v>0</v>
      </c>
      <c r="AL44" s="24">
        <f ca="1">IFERROR(__xludf.DUMMYFUNCTION("""COMPUTED_VALUE"""),0)</f>
        <v>0</v>
      </c>
      <c r="AM44" s="20"/>
      <c r="AN44" s="20"/>
      <c r="AO44" s="20"/>
      <c r="AP44" s="20"/>
      <c r="AQ44" s="20"/>
      <c r="AR44" s="24">
        <f ca="1">IFERROR(__xludf.DUMMYFUNCTION("""COMPUTED_VALUE"""),0)</f>
        <v>0</v>
      </c>
      <c r="AS44" s="20"/>
      <c r="AT44" s="20"/>
      <c r="AU44" s="20"/>
      <c r="AV44" s="20"/>
      <c r="AW44" s="20"/>
      <c r="AX44" s="24">
        <f ca="1">IFERROR(__xludf.DUMMYFUNCTION("""COMPUTED_VALUE"""),0)</f>
        <v>0</v>
      </c>
      <c r="AY44" s="24">
        <f ca="1">IFERROR(__xludf.DUMMYFUNCTION("""COMPUTED_VALUE"""),0)</f>
        <v>0</v>
      </c>
      <c r="AZ44" s="24">
        <f ca="1">IFERROR(__xludf.DUMMYFUNCTION("""COMPUTED_VALUE"""),0)</f>
        <v>0</v>
      </c>
      <c r="BA44" s="20"/>
      <c r="BB44" s="24">
        <f ca="1">IFERROR(__xludf.DUMMYFUNCTION("""COMPUTED_VALUE"""),0)</f>
        <v>0</v>
      </c>
      <c r="BC44" s="20"/>
      <c r="BD44" s="24">
        <f ca="1">IFERROR(__xludf.DUMMYFUNCTION("""COMPUTED_VALUE"""),0)</f>
        <v>0</v>
      </c>
      <c r="BE44" s="24">
        <f ca="1">IFERROR(__xludf.DUMMYFUNCTION("""COMPUTED_VALUE"""),0)</f>
        <v>0</v>
      </c>
      <c r="BF44" s="24">
        <f ca="1">IFERROR(__xludf.DUMMYFUNCTION("""COMPUTED_VALUE"""),0)</f>
        <v>0</v>
      </c>
      <c r="BG44" s="20"/>
      <c r="BH44" s="24">
        <f ca="1">IFERROR(__xludf.DUMMYFUNCTION("""COMPUTED_VALUE"""),0)</f>
        <v>0</v>
      </c>
      <c r="BI44" s="20"/>
      <c r="BJ44" s="24">
        <f ca="1">IFERROR(__xludf.DUMMYFUNCTION("""COMPUTED_VALUE"""),0)</f>
        <v>0</v>
      </c>
      <c r="BK44" s="24">
        <f ca="1">IFERROR(__xludf.DUMMYFUNCTION("""COMPUTED_VALUE"""),0)</f>
        <v>0</v>
      </c>
      <c r="BL44" s="24">
        <f ca="1">IFERROR(__xludf.DUMMYFUNCTION("""COMPUTED_VALUE"""),0)</f>
        <v>0</v>
      </c>
      <c r="BM44" s="20"/>
      <c r="BN44" s="24">
        <f ca="1">IFERROR(__xludf.DUMMYFUNCTION("""COMPUTED_VALUE"""),0)</f>
        <v>0</v>
      </c>
      <c r="BO44" s="20"/>
      <c r="BP44" s="24">
        <f ca="1">IFERROR(__xludf.DUMMYFUNCTION("""COMPUTED_VALUE"""),0)</f>
        <v>0</v>
      </c>
      <c r="BQ44" s="24">
        <f ca="1">IFERROR(__xludf.DUMMYFUNCTION("""COMPUTED_VALUE"""),0)</f>
        <v>0</v>
      </c>
      <c r="BR44" s="24">
        <f ca="1">IFERROR(__xludf.DUMMYFUNCTION("""COMPUTED_VALUE"""),0)</f>
        <v>0</v>
      </c>
      <c r="BS44" s="20"/>
      <c r="BT44" s="24">
        <f ca="1">IFERROR(__xludf.DUMMYFUNCTION("""COMPUTED_VALUE"""),0)</f>
        <v>0</v>
      </c>
      <c r="BU44" s="20"/>
      <c r="BV44" s="24">
        <f ca="1">IFERROR(__xludf.DUMMYFUNCTION("""COMPUTED_VALUE"""),60000)</f>
        <v>60000</v>
      </c>
      <c r="BW44" s="24">
        <f ca="1">IFERROR(__xludf.DUMMYFUNCTION("""COMPUTED_VALUE"""),34020)</f>
        <v>34020</v>
      </c>
      <c r="BX44" s="24">
        <f ca="1">IFERROR(__xludf.DUMMYFUNCTION("""COMPUTED_VALUE"""),11340)</f>
        <v>11340</v>
      </c>
      <c r="BY44" s="20"/>
      <c r="BZ44" s="24">
        <f ca="1">IFERROR(__xludf.DUMMYFUNCTION("""COMPUTED_VALUE"""),14640)</f>
        <v>14640</v>
      </c>
      <c r="CA44" s="20"/>
      <c r="CB44" s="20"/>
      <c r="CC44" s="20"/>
      <c r="CD44" s="20"/>
      <c r="CE44" s="20"/>
      <c r="CF44" s="20"/>
      <c r="CG44" s="20"/>
      <c r="CH44" s="20"/>
      <c r="CI44" s="20"/>
      <c r="CJ44" s="20"/>
      <c r="CK44" s="20"/>
      <c r="CL44" s="20"/>
      <c r="CM44" s="20"/>
      <c r="CN44" s="20"/>
      <c r="CO44" s="20"/>
      <c r="CP44" s="20"/>
      <c r="CQ44" s="20"/>
      <c r="CR44" s="20"/>
      <c r="CS44" s="20"/>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row>
    <row r="45" spans="1:123" ht="64.5" hidden="1" customHeight="1" x14ac:dyDescent="0.2">
      <c r="A45" s="19"/>
      <c r="B45" s="20" t="str">
        <f ca="1">IFERROR(__xludf.DUMMYFUNCTION("""COMPUTED_VALUE"""),"г.о. Пушкинский")</f>
        <v>г.о. Пушкинский</v>
      </c>
      <c r="C4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5" s="20" t="str">
        <f ca="1">IFERROR(__xludf.DUMMYFUNCTION("""COMPUTED_VALUE"""),"МинЖКХ")</f>
        <v>МинЖКХ</v>
      </c>
      <c r="E45" s="20" t="str">
        <f ca="1">IFERROR(__xludf.DUMMYFUNCTION("""COMPUTED_VALUE"""),"Реконструкция ВЗУ № 18 пос. Правдинский  г.о. Пушкино")</f>
        <v>Реконструкция ВЗУ № 18 пос. Правдинский  г.о. Пушкино</v>
      </c>
      <c r="F45" s="22" t="str">
        <f ca="1">IFERROR(__xludf.DUMMYFUNCTION("""COMPUTED_VALUE"""),"ВЗУ")</f>
        <v>ВЗУ</v>
      </c>
      <c r="G45" s="20" t="str">
        <f ca="1">IFERROR(__xludf.DUMMYFUNCTION("""COMPUTED_VALUE"""),"Н/Л")</f>
        <v>Н/Л</v>
      </c>
      <c r="H45" s="20"/>
      <c r="I45" s="20"/>
      <c r="J45" s="20"/>
      <c r="K45" s="20"/>
      <c r="L45" s="20"/>
      <c r="M45" s="20"/>
      <c r="N45" s="24">
        <f ca="1">IFERROR(__xludf.DUMMYFUNCTION("""COMPUTED_VALUE"""),0)</f>
        <v>0</v>
      </c>
      <c r="O45" s="20"/>
      <c r="P45" s="20"/>
      <c r="Q45" s="20"/>
      <c r="R45" s="20"/>
      <c r="S45" s="20"/>
      <c r="T45" s="20"/>
      <c r="U45" s="24">
        <f ca="1">IFERROR(__xludf.DUMMYFUNCTION("""COMPUTED_VALUE"""),0)</f>
        <v>0</v>
      </c>
      <c r="V45" s="24">
        <f ca="1">IFERROR(__xludf.DUMMYFUNCTION("""COMPUTED_VALUE"""),0)</f>
        <v>0</v>
      </c>
      <c r="W45" s="24">
        <f ca="1">IFERROR(__xludf.DUMMYFUNCTION("""COMPUTED_VALUE"""),0)</f>
        <v>0</v>
      </c>
      <c r="X45" s="24">
        <f ca="1">IFERROR(__xludf.DUMMYFUNCTION("""COMPUTED_VALUE"""),0)</f>
        <v>0</v>
      </c>
      <c r="Y45" s="24">
        <f ca="1">IFERROR(__xludf.DUMMYFUNCTION("""COMPUTED_VALUE"""),0)</f>
        <v>0</v>
      </c>
      <c r="Z45" s="24">
        <f ca="1">IFERROR(__xludf.DUMMYFUNCTION("""COMPUTED_VALUE"""),0)</f>
        <v>0</v>
      </c>
      <c r="AA45" s="20" t="str">
        <f ca="1">IFERROR(__xludf.DUMMYFUNCTION("""COMPUTED_VALUE"""),"10 1 G552430
")</f>
        <v xml:space="preserve">10 1 G552430
</v>
      </c>
      <c r="AB45" s="20">
        <f ca="1">IFERROR(__xludf.DUMMYFUNCTION("""COMPUTED_VALUE"""),522)</f>
        <v>522</v>
      </c>
      <c r="AC45" s="20"/>
      <c r="AD45" s="20"/>
      <c r="AE45" s="20"/>
      <c r="AF45" s="24">
        <f ca="1">IFERROR(__xludf.DUMMYFUNCTION("""COMPUTED_VALUE"""),0)</f>
        <v>0</v>
      </c>
      <c r="AG45" s="24">
        <f ca="1">IFERROR(__xludf.DUMMYFUNCTION("""COMPUTED_VALUE"""),0)</f>
        <v>0</v>
      </c>
      <c r="AH45" s="24">
        <f ca="1">IFERROR(__xludf.DUMMYFUNCTION("""COMPUTED_VALUE"""),0)</f>
        <v>0</v>
      </c>
      <c r="AI45" s="24">
        <f ca="1">IFERROR(__xludf.DUMMYFUNCTION("""COMPUTED_VALUE"""),0)</f>
        <v>0</v>
      </c>
      <c r="AJ45" s="24">
        <f ca="1">IFERROR(__xludf.DUMMYFUNCTION("""COMPUTED_VALUE"""),0)</f>
        <v>0</v>
      </c>
      <c r="AK45" s="24">
        <f ca="1">IFERROR(__xludf.DUMMYFUNCTION("""COMPUTED_VALUE"""),0)</f>
        <v>0</v>
      </c>
      <c r="AL45" s="24">
        <f ca="1">IFERROR(__xludf.DUMMYFUNCTION("""COMPUTED_VALUE"""),0)</f>
        <v>0</v>
      </c>
      <c r="AM45" s="20"/>
      <c r="AN45" s="20"/>
      <c r="AO45" s="20"/>
      <c r="AP45" s="20"/>
      <c r="AQ45" s="20"/>
      <c r="AR45" s="24">
        <f ca="1">IFERROR(__xludf.DUMMYFUNCTION("""COMPUTED_VALUE"""),0)</f>
        <v>0</v>
      </c>
      <c r="AS45" s="20"/>
      <c r="AT45" s="20"/>
      <c r="AU45" s="20"/>
      <c r="AV45" s="20"/>
      <c r="AW45" s="20"/>
      <c r="AX45" s="24">
        <f ca="1">IFERROR(__xludf.DUMMYFUNCTION("""COMPUTED_VALUE"""),0)</f>
        <v>0</v>
      </c>
      <c r="AY45" s="24">
        <f ca="1">IFERROR(__xludf.DUMMYFUNCTION("""COMPUTED_VALUE"""),0)</f>
        <v>0</v>
      </c>
      <c r="AZ45" s="24">
        <f ca="1">IFERROR(__xludf.DUMMYFUNCTION("""COMPUTED_VALUE"""),0)</f>
        <v>0</v>
      </c>
      <c r="BA45" s="20"/>
      <c r="BB45" s="24">
        <f ca="1">IFERROR(__xludf.DUMMYFUNCTION("""COMPUTED_VALUE"""),0)</f>
        <v>0</v>
      </c>
      <c r="BC45" s="20"/>
      <c r="BD45" s="24">
        <f ca="1">IFERROR(__xludf.DUMMYFUNCTION("""COMPUTED_VALUE"""),0)</f>
        <v>0</v>
      </c>
      <c r="BE45" s="24">
        <f ca="1">IFERROR(__xludf.DUMMYFUNCTION("""COMPUTED_VALUE"""),0)</f>
        <v>0</v>
      </c>
      <c r="BF45" s="24">
        <f ca="1">IFERROR(__xludf.DUMMYFUNCTION("""COMPUTED_VALUE"""),0)</f>
        <v>0</v>
      </c>
      <c r="BG45" s="20"/>
      <c r="BH45" s="24">
        <f ca="1">IFERROR(__xludf.DUMMYFUNCTION("""COMPUTED_VALUE"""),0)</f>
        <v>0</v>
      </c>
      <c r="BI45" s="20"/>
      <c r="BJ45" s="24">
        <f ca="1">IFERROR(__xludf.DUMMYFUNCTION("""COMPUTED_VALUE"""),0)</f>
        <v>0</v>
      </c>
      <c r="BK45" s="24">
        <f ca="1">IFERROR(__xludf.DUMMYFUNCTION("""COMPUTED_VALUE"""),0)</f>
        <v>0</v>
      </c>
      <c r="BL45" s="24">
        <f ca="1">IFERROR(__xludf.DUMMYFUNCTION("""COMPUTED_VALUE"""),0)</f>
        <v>0</v>
      </c>
      <c r="BM45" s="20"/>
      <c r="BN45" s="24">
        <f ca="1">IFERROR(__xludf.DUMMYFUNCTION("""COMPUTED_VALUE"""),0)</f>
        <v>0</v>
      </c>
      <c r="BO45" s="20"/>
      <c r="BP45" s="24">
        <f ca="1">IFERROR(__xludf.DUMMYFUNCTION("""COMPUTED_VALUE"""),0)</f>
        <v>0</v>
      </c>
      <c r="BQ45" s="24">
        <f ca="1">IFERROR(__xludf.DUMMYFUNCTION("""COMPUTED_VALUE"""),0)</f>
        <v>0</v>
      </c>
      <c r="BR45" s="24">
        <f ca="1">IFERROR(__xludf.DUMMYFUNCTION("""COMPUTED_VALUE"""),0)</f>
        <v>0</v>
      </c>
      <c r="BS45" s="20"/>
      <c r="BT45" s="24">
        <f ca="1">IFERROR(__xludf.DUMMYFUNCTION("""COMPUTED_VALUE"""),0)</f>
        <v>0</v>
      </c>
      <c r="BU45" s="20"/>
      <c r="BV45" s="24">
        <f ca="1">IFERROR(__xludf.DUMMYFUNCTION("""COMPUTED_VALUE"""),0)</f>
        <v>0</v>
      </c>
      <c r="BW45" s="24">
        <f ca="1">IFERROR(__xludf.DUMMYFUNCTION("""COMPUTED_VALUE"""),0)</f>
        <v>0</v>
      </c>
      <c r="BX45" s="24">
        <f ca="1">IFERROR(__xludf.DUMMYFUNCTION("""COMPUTED_VALUE"""),0)</f>
        <v>0</v>
      </c>
      <c r="BY45" s="20"/>
      <c r="BZ45" s="24">
        <f ca="1">IFERROR(__xludf.DUMMYFUNCTION("""COMPUTED_VALUE"""),0)</f>
        <v>0</v>
      </c>
      <c r="CA45" s="20"/>
      <c r="CB45" s="20"/>
      <c r="CC45" s="20"/>
      <c r="CD45" s="20"/>
      <c r="CE45" s="20"/>
      <c r="CF45" s="20"/>
      <c r="CG45" s="20"/>
      <c r="CH45" s="20"/>
      <c r="CI45" s="20"/>
      <c r="CJ45" s="20"/>
      <c r="CK45" s="20"/>
      <c r="CL45" s="20"/>
      <c r="CM45" s="20"/>
      <c r="CN45" s="20"/>
      <c r="CO45" s="20"/>
      <c r="CP45" s="20"/>
      <c r="CQ45" s="20"/>
      <c r="CR45" s="20"/>
      <c r="CS45" s="20"/>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row>
    <row r="46" spans="1:123" ht="64.5" hidden="1" customHeight="1" x14ac:dyDescent="0.2">
      <c r="A46" s="19"/>
      <c r="B46" s="20" t="str">
        <f ca="1">IFERROR(__xludf.DUMMYFUNCTION("""COMPUTED_VALUE"""),"г.о. Пушкинский")</f>
        <v>г.о. Пушкинский</v>
      </c>
      <c r="C4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6" s="20" t="str">
        <f ca="1">IFERROR(__xludf.DUMMYFUNCTION("""COMPUTED_VALUE"""),"МинЖКХ")</f>
        <v>МинЖКХ</v>
      </c>
      <c r="E46" s="20" t="str">
        <f ca="1">IFERROR(__xludf.DUMMYFUNCTION("""COMPUTED_VALUE"""),"Реконструкция ВЗУ № 42  пос. Царевское Пушкинский г.о.")</f>
        <v>Реконструкция ВЗУ № 42  пос. Царевское Пушкинский г.о.</v>
      </c>
      <c r="F46" s="22" t="str">
        <f ca="1">IFERROR(__xludf.DUMMYFUNCTION("""COMPUTED_VALUE"""),"ВЗУ")</f>
        <v>ВЗУ</v>
      </c>
      <c r="G46" s="20">
        <f ca="1">IFERROR(__xludf.DUMMYFUNCTION("""COMPUTED_VALUE"""),2024)</f>
        <v>2024</v>
      </c>
      <c r="H46" s="20" t="str">
        <f ca="1">IFERROR(__xludf.DUMMYFUNCTION("""COMPUTED_VALUE"""),"СМР")</f>
        <v>СМР</v>
      </c>
      <c r="I46" s="20"/>
      <c r="J46" s="20"/>
      <c r="K46" s="20"/>
      <c r="L46" s="20"/>
      <c r="M46" s="20"/>
      <c r="N46" s="24">
        <f ca="1">IFERROR(__xludf.DUMMYFUNCTION("""COMPUTED_VALUE"""),0)</f>
        <v>0</v>
      </c>
      <c r="O46" s="20"/>
      <c r="P46" s="20"/>
      <c r="Q46" s="20"/>
      <c r="R46" s="20"/>
      <c r="S46" s="20"/>
      <c r="T46" s="20"/>
      <c r="U46" s="24">
        <f ca="1">IFERROR(__xludf.DUMMYFUNCTION("""COMPUTED_VALUE"""),0)</f>
        <v>0</v>
      </c>
      <c r="V46" s="24">
        <f ca="1">IFERROR(__xludf.DUMMYFUNCTION("""COMPUTED_VALUE"""),0)</f>
        <v>0</v>
      </c>
      <c r="W46" s="24">
        <f ca="1">IFERROR(__xludf.DUMMYFUNCTION("""COMPUTED_VALUE"""),0)</f>
        <v>0</v>
      </c>
      <c r="X46" s="24">
        <f ca="1">IFERROR(__xludf.DUMMYFUNCTION("""COMPUTED_VALUE"""),0)</f>
        <v>0</v>
      </c>
      <c r="Y46" s="24">
        <f ca="1">IFERROR(__xludf.DUMMYFUNCTION("""COMPUTED_VALUE"""),0)</f>
        <v>0</v>
      </c>
      <c r="Z46" s="24">
        <f ca="1">IFERROR(__xludf.DUMMYFUNCTION("""COMPUTED_VALUE"""),0)</f>
        <v>0</v>
      </c>
      <c r="AA46" s="20" t="str">
        <f ca="1">IFERROR(__xludf.DUMMYFUNCTION("""COMPUTED_VALUE"""),"10 1 G552430
")</f>
        <v xml:space="preserve">10 1 G552430
</v>
      </c>
      <c r="AB46" s="20">
        <f ca="1">IFERROR(__xludf.DUMMYFUNCTION("""COMPUTED_VALUE"""),522)</f>
        <v>522</v>
      </c>
      <c r="AC46" s="20"/>
      <c r="AD46" s="20"/>
      <c r="AE46" s="20"/>
      <c r="AF46" s="24">
        <f ca="1">IFERROR(__xludf.DUMMYFUNCTION("""COMPUTED_VALUE"""),38000)</f>
        <v>38000</v>
      </c>
      <c r="AG46" s="24">
        <f ca="1">IFERROR(__xludf.DUMMYFUNCTION("""COMPUTED_VALUE"""),21546)</f>
        <v>21546</v>
      </c>
      <c r="AH46" s="24">
        <f ca="1">IFERROR(__xludf.DUMMYFUNCTION("""COMPUTED_VALUE"""),7182)</f>
        <v>7182</v>
      </c>
      <c r="AI46" s="24">
        <f ca="1">IFERROR(__xludf.DUMMYFUNCTION("""COMPUTED_VALUE"""),0)</f>
        <v>0</v>
      </c>
      <c r="AJ46" s="24">
        <f ca="1">IFERROR(__xludf.DUMMYFUNCTION("""COMPUTED_VALUE"""),9272)</f>
        <v>9272</v>
      </c>
      <c r="AK46" s="24">
        <f ca="1">IFERROR(__xludf.DUMMYFUNCTION("""COMPUTED_VALUE"""),0)</f>
        <v>0</v>
      </c>
      <c r="AL46" s="24">
        <f ca="1">IFERROR(__xludf.DUMMYFUNCTION("""COMPUTED_VALUE"""),0)</f>
        <v>0</v>
      </c>
      <c r="AM46" s="20"/>
      <c r="AN46" s="20"/>
      <c r="AO46" s="20"/>
      <c r="AP46" s="20"/>
      <c r="AQ46" s="20"/>
      <c r="AR46" s="24">
        <f ca="1">IFERROR(__xludf.DUMMYFUNCTION("""COMPUTED_VALUE"""),0)</f>
        <v>0</v>
      </c>
      <c r="AS46" s="20"/>
      <c r="AT46" s="20"/>
      <c r="AU46" s="20"/>
      <c r="AV46" s="20"/>
      <c r="AW46" s="20"/>
      <c r="AX46" s="24">
        <f ca="1">IFERROR(__xludf.DUMMYFUNCTION("""COMPUTED_VALUE"""),0)</f>
        <v>0</v>
      </c>
      <c r="AY46" s="24">
        <f ca="1">IFERROR(__xludf.DUMMYFUNCTION("""COMPUTED_VALUE"""),0)</f>
        <v>0</v>
      </c>
      <c r="AZ46" s="24">
        <f ca="1">IFERROR(__xludf.DUMMYFUNCTION("""COMPUTED_VALUE"""),0)</f>
        <v>0</v>
      </c>
      <c r="BA46" s="20"/>
      <c r="BB46" s="24">
        <f ca="1">IFERROR(__xludf.DUMMYFUNCTION("""COMPUTED_VALUE"""),0)</f>
        <v>0</v>
      </c>
      <c r="BC46" s="20"/>
      <c r="BD46" s="24">
        <f ca="1">IFERROR(__xludf.DUMMYFUNCTION("""COMPUTED_VALUE"""),0)</f>
        <v>0</v>
      </c>
      <c r="BE46" s="24">
        <f ca="1">IFERROR(__xludf.DUMMYFUNCTION("""COMPUTED_VALUE"""),0)</f>
        <v>0</v>
      </c>
      <c r="BF46" s="24">
        <f ca="1">IFERROR(__xludf.DUMMYFUNCTION("""COMPUTED_VALUE"""),0)</f>
        <v>0</v>
      </c>
      <c r="BG46" s="20"/>
      <c r="BH46" s="24">
        <f ca="1">IFERROR(__xludf.DUMMYFUNCTION("""COMPUTED_VALUE"""),0)</f>
        <v>0</v>
      </c>
      <c r="BI46" s="20"/>
      <c r="BJ46" s="24">
        <f ca="1">IFERROR(__xludf.DUMMYFUNCTION("""COMPUTED_VALUE"""),0)</f>
        <v>0</v>
      </c>
      <c r="BK46" s="24">
        <f ca="1">IFERROR(__xludf.DUMMYFUNCTION("""COMPUTED_VALUE"""),0)</f>
        <v>0</v>
      </c>
      <c r="BL46" s="24">
        <f ca="1">IFERROR(__xludf.DUMMYFUNCTION("""COMPUTED_VALUE"""),0)</f>
        <v>0</v>
      </c>
      <c r="BM46" s="20"/>
      <c r="BN46" s="24">
        <f ca="1">IFERROR(__xludf.DUMMYFUNCTION("""COMPUTED_VALUE"""),0)</f>
        <v>0</v>
      </c>
      <c r="BO46" s="20"/>
      <c r="BP46" s="24">
        <f ca="1">IFERROR(__xludf.DUMMYFUNCTION("""COMPUTED_VALUE"""),0)</f>
        <v>0</v>
      </c>
      <c r="BQ46" s="24">
        <f ca="1">IFERROR(__xludf.DUMMYFUNCTION("""COMPUTED_VALUE"""),0)</f>
        <v>0</v>
      </c>
      <c r="BR46" s="24">
        <f ca="1">IFERROR(__xludf.DUMMYFUNCTION("""COMPUTED_VALUE"""),0)</f>
        <v>0</v>
      </c>
      <c r="BS46" s="20"/>
      <c r="BT46" s="24">
        <f ca="1">IFERROR(__xludf.DUMMYFUNCTION("""COMPUTED_VALUE"""),0)</f>
        <v>0</v>
      </c>
      <c r="BU46" s="20"/>
      <c r="BV46" s="24">
        <f ca="1">IFERROR(__xludf.DUMMYFUNCTION("""COMPUTED_VALUE"""),38000)</f>
        <v>38000</v>
      </c>
      <c r="BW46" s="24">
        <f ca="1">IFERROR(__xludf.DUMMYFUNCTION("""COMPUTED_VALUE"""),21546)</f>
        <v>21546</v>
      </c>
      <c r="BX46" s="24">
        <f ca="1">IFERROR(__xludf.DUMMYFUNCTION("""COMPUTED_VALUE"""),7182)</f>
        <v>7182</v>
      </c>
      <c r="BY46" s="20"/>
      <c r="BZ46" s="24">
        <f ca="1">IFERROR(__xludf.DUMMYFUNCTION("""COMPUTED_VALUE"""),9272)</f>
        <v>9272</v>
      </c>
      <c r="CA46" s="20"/>
      <c r="CB46" s="20"/>
      <c r="CC46" s="20"/>
      <c r="CD46" s="20"/>
      <c r="CE46" s="20"/>
      <c r="CF46" s="20"/>
      <c r="CG46" s="20"/>
      <c r="CH46" s="20"/>
      <c r="CI46" s="20"/>
      <c r="CJ46" s="20"/>
      <c r="CK46" s="20"/>
      <c r="CL46" s="20"/>
      <c r="CM46" s="20"/>
      <c r="CN46" s="20"/>
      <c r="CO46" s="20"/>
      <c r="CP46" s="20"/>
      <c r="CQ46" s="20"/>
      <c r="CR46" s="20"/>
      <c r="CS46" s="20"/>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row>
    <row r="47" spans="1:123" ht="64.5" hidden="1" customHeight="1" x14ac:dyDescent="0.2">
      <c r="A47" s="19"/>
      <c r="B47" s="20" t="str">
        <f ca="1">IFERROR(__xludf.DUMMYFUNCTION("""COMPUTED_VALUE"""),"г.о. Пушкинский")</f>
        <v>г.о. Пушкинский</v>
      </c>
      <c r="C4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7" s="20" t="str">
        <f ca="1">IFERROR(__xludf.DUMMYFUNCTION("""COMPUTED_VALUE"""),"МинЖКХ")</f>
        <v>МинЖКХ</v>
      </c>
      <c r="E47" s="20" t="str">
        <f ca="1">IFERROR(__xludf.DUMMYFUNCTION("""COMPUTED_VALUE"""),"Реконструкция ВЗУ № 8  пос. Царевское  г.о. Пушкино")</f>
        <v>Реконструкция ВЗУ № 8  пос. Царевское  г.о. Пушкино</v>
      </c>
      <c r="F47" s="22" t="str">
        <f ca="1">IFERROR(__xludf.DUMMYFUNCTION("""COMPUTED_VALUE"""),"ВЗУ")</f>
        <v>ВЗУ</v>
      </c>
      <c r="G47" s="20">
        <f ca="1">IFERROR(__xludf.DUMMYFUNCTION("""COMPUTED_VALUE"""),2024)</f>
        <v>2024</v>
      </c>
      <c r="H47" s="20" t="str">
        <f ca="1">IFERROR(__xludf.DUMMYFUNCTION("""COMPUTED_VALUE"""),"СМР")</f>
        <v>СМР</v>
      </c>
      <c r="I47" s="20"/>
      <c r="J47" s="20"/>
      <c r="K47" s="20"/>
      <c r="L47" s="20"/>
      <c r="M47" s="20"/>
      <c r="N47" s="24">
        <f ca="1">IFERROR(__xludf.DUMMYFUNCTION("""COMPUTED_VALUE"""),0)</f>
        <v>0</v>
      </c>
      <c r="O47" s="20"/>
      <c r="P47" s="20"/>
      <c r="Q47" s="20"/>
      <c r="R47" s="20"/>
      <c r="S47" s="20"/>
      <c r="T47" s="20"/>
      <c r="U47" s="24">
        <f ca="1">IFERROR(__xludf.DUMMYFUNCTION("""COMPUTED_VALUE"""),0)</f>
        <v>0</v>
      </c>
      <c r="V47" s="24">
        <f ca="1">IFERROR(__xludf.DUMMYFUNCTION("""COMPUTED_VALUE"""),0)</f>
        <v>0</v>
      </c>
      <c r="W47" s="24">
        <f ca="1">IFERROR(__xludf.DUMMYFUNCTION("""COMPUTED_VALUE"""),0)</f>
        <v>0</v>
      </c>
      <c r="X47" s="24">
        <f ca="1">IFERROR(__xludf.DUMMYFUNCTION("""COMPUTED_VALUE"""),0)</f>
        <v>0</v>
      </c>
      <c r="Y47" s="24">
        <f ca="1">IFERROR(__xludf.DUMMYFUNCTION("""COMPUTED_VALUE"""),0)</f>
        <v>0</v>
      </c>
      <c r="Z47" s="24">
        <f ca="1">IFERROR(__xludf.DUMMYFUNCTION("""COMPUTED_VALUE"""),0)</f>
        <v>0</v>
      </c>
      <c r="AA47" s="20" t="str">
        <f ca="1">IFERROR(__xludf.DUMMYFUNCTION("""COMPUTED_VALUE"""),"10 1 G552430
")</f>
        <v xml:space="preserve">10 1 G552430
</v>
      </c>
      <c r="AB47" s="20">
        <f ca="1">IFERROR(__xludf.DUMMYFUNCTION("""COMPUTED_VALUE"""),522)</f>
        <v>522</v>
      </c>
      <c r="AC47" s="20"/>
      <c r="AD47" s="20"/>
      <c r="AE47" s="20"/>
      <c r="AF47" s="24">
        <f ca="1">IFERROR(__xludf.DUMMYFUNCTION("""COMPUTED_VALUE"""),12000)</f>
        <v>12000</v>
      </c>
      <c r="AG47" s="24">
        <f ca="1">IFERROR(__xludf.DUMMYFUNCTION("""COMPUTED_VALUE"""),6804)</f>
        <v>6804</v>
      </c>
      <c r="AH47" s="24">
        <f ca="1">IFERROR(__xludf.DUMMYFUNCTION("""COMPUTED_VALUE"""),2268)</f>
        <v>2268</v>
      </c>
      <c r="AI47" s="24">
        <f ca="1">IFERROR(__xludf.DUMMYFUNCTION("""COMPUTED_VALUE"""),0)</f>
        <v>0</v>
      </c>
      <c r="AJ47" s="24">
        <f ca="1">IFERROR(__xludf.DUMMYFUNCTION("""COMPUTED_VALUE"""),2928)</f>
        <v>2928</v>
      </c>
      <c r="AK47" s="24">
        <f ca="1">IFERROR(__xludf.DUMMYFUNCTION("""COMPUTED_VALUE"""),0)</f>
        <v>0</v>
      </c>
      <c r="AL47" s="24">
        <f ca="1">IFERROR(__xludf.DUMMYFUNCTION("""COMPUTED_VALUE"""),0)</f>
        <v>0</v>
      </c>
      <c r="AM47" s="20"/>
      <c r="AN47" s="20"/>
      <c r="AO47" s="20"/>
      <c r="AP47" s="20"/>
      <c r="AQ47" s="20"/>
      <c r="AR47" s="24">
        <f ca="1">IFERROR(__xludf.DUMMYFUNCTION("""COMPUTED_VALUE"""),0)</f>
        <v>0</v>
      </c>
      <c r="AS47" s="20"/>
      <c r="AT47" s="20"/>
      <c r="AU47" s="20"/>
      <c r="AV47" s="20"/>
      <c r="AW47" s="20"/>
      <c r="AX47" s="24">
        <f ca="1">IFERROR(__xludf.DUMMYFUNCTION("""COMPUTED_VALUE"""),0)</f>
        <v>0</v>
      </c>
      <c r="AY47" s="24">
        <f ca="1">IFERROR(__xludf.DUMMYFUNCTION("""COMPUTED_VALUE"""),0)</f>
        <v>0</v>
      </c>
      <c r="AZ47" s="24">
        <f ca="1">IFERROR(__xludf.DUMMYFUNCTION("""COMPUTED_VALUE"""),0)</f>
        <v>0</v>
      </c>
      <c r="BA47" s="20"/>
      <c r="BB47" s="24">
        <f ca="1">IFERROR(__xludf.DUMMYFUNCTION("""COMPUTED_VALUE"""),0)</f>
        <v>0</v>
      </c>
      <c r="BC47" s="20"/>
      <c r="BD47" s="24">
        <f ca="1">IFERROR(__xludf.DUMMYFUNCTION("""COMPUTED_VALUE"""),0)</f>
        <v>0</v>
      </c>
      <c r="BE47" s="24">
        <f ca="1">IFERROR(__xludf.DUMMYFUNCTION("""COMPUTED_VALUE"""),0)</f>
        <v>0</v>
      </c>
      <c r="BF47" s="24">
        <f ca="1">IFERROR(__xludf.DUMMYFUNCTION("""COMPUTED_VALUE"""),0)</f>
        <v>0</v>
      </c>
      <c r="BG47" s="20"/>
      <c r="BH47" s="24">
        <f ca="1">IFERROR(__xludf.DUMMYFUNCTION("""COMPUTED_VALUE"""),0)</f>
        <v>0</v>
      </c>
      <c r="BI47" s="20"/>
      <c r="BJ47" s="24">
        <f ca="1">IFERROR(__xludf.DUMMYFUNCTION("""COMPUTED_VALUE"""),0)</f>
        <v>0</v>
      </c>
      <c r="BK47" s="24">
        <f ca="1">IFERROR(__xludf.DUMMYFUNCTION("""COMPUTED_VALUE"""),0)</f>
        <v>0</v>
      </c>
      <c r="BL47" s="24">
        <f ca="1">IFERROR(__xludf.DUMMYFUNCTION("""COMPUTED_VALUE"""),0)</f>
        <v>0</v>
      </c>
      <c r="BM47" s="20"/>
      <c r="BN47" s="24">
        <f ca="1">IFERROR(__xludf.DUMMYFUNCTION("""COMPUTED_VALUE"""),0)</f>
        <v>0</v>
      </c>
      <c r="BO47" s="20"/>
      <c r="BP47" s="24">
        <f ca="1">IFERROR(__xludf.DUMMYFUNCTION("""COMPUTED_VALUE"""),0)</f>
        <v>0</v>
      </c>
      <c r="BQ47" s="24">
        <f ca="1">IFERROR(__xludf.DUMMYFUNCTION("""COMPUTED_VALUE"""),0)</f>
        <v>0</v>
      </c>
      <c r="BR47" s="24">
        <f ca="1">IFERROR(__xludf.DUMMYFUNCTION("""COMPUTED_VALUE"""),0)</f>
        <v>0</v>
      </c>
      <c r="BS47" s="20"/>
      <c r="BT47" s="24">
        <f ca="1">IFERROR(__xludf.DUMMYFUNCTION("""COMPUTED_VALUE"""),0)</f>
        <v>0</v>
      </c>
      <c r="BU47" s="20"/>
      <c r="BV47" s="24">
        <f ca="1">IFERROR(__xludf.DUMMYFUNCTION("""COMPUTED_VALUE"""),12000)</f>
        <v>12000</v>
      </c>
      <c r="BW47" s="24">
        <f ca="1">IFERROR(__xludf.DUMMYFUNCTION("""COMPUTED_VALUE"""),6804)</f>
        <v>6804</v>
      </c>
      <c r="BX47" s="24">
        <f ca="1">IFERROR(__xludf.DUMMYFUNCTION("""COMPUTED_VALUE"""),2268)</f>
        <v>2268</v>
      </c>
      <c r="BY47" s="20"/>
      <c r="BZ47" s="24">
        <f ca="1">IFERROR(__xludf.DUMMYFUNCTION("""COMPUTED_VALUE"""),2928)</f>
        <v>2928</v>
      </c>
      <c r="CA47" s="20"/>
      <c r="CB47" s="20"/>
      <c r="CC47" s="20"/>
      <c r="CD47" s="20"/>
      <c r="CE47" s="20"/>
      <c r="CF47" s="20"/>
      <c r="CG47" s="20"/>
      <c r="CH47" s="20"/>
      <c r="CI47" s="20"/>
      <c r="CJ47" s="20"/>
      <c r="CK47" s="20"/>
      <c r="CL47" s="20"/>
      <c r="CM47" s="20"/>
      <c r="CN47" s="20"/>
      <c r="CO47" s="20"/>
      <c r="CP47" s="20"/>
      <c r="CQ47" s="20"/>
      <c r="CR47" s="20"/>
      <c r="CS47" s="20"/>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row>
    <row r="48" spans="1:123" ht="64.5" hidden="1" customHeight="1" x14ac:dyDescent="0.2">
      <c r="A48" s="19"/>
      <c r="B48" s="20" t="str">
        <f ca="1">IFERROR(__xludf.DUMMYFUNCTION("""COMPUTED_VALUE"""),"г.о. Можайск")</f>
        <v>г.о. Можайск</v>
      </c>
      <c r="C4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8" s="20" t="str">
        <f ca="1">IFERROR(__xludf.DUMMYFUNCTION("""COMPUTED_VALUE"""),"МинЖКХ")</f>
        <v>МинЖКХ</v>
      </c>
      <c r="E48" s="20" t="str">
        <f ca="1">IFERROR(__xludf.DUMMYFUNCTION("""COMPUTED_VALUE"""),"Реконструкция ВЗУ Большие Парфенки Московская область, Можайский городской округ, с.п. Борисовское, д. Большие Парфенки")</f>
        <v>Реконструкция ВЗУ Большие Парфенки Московская область, Можайский городской округ, с.п. Борисовское, д. Большие Парфенки</v>
      </c>
      <c r="F48" s="22" t="str">
        <f ca="1">IFERROR(__xludf.DUMMYFUNCTION("""COMPUTED_VALUE"""),"ВЗУ")</f>
        <v>ВЗУ</v>
      </c>
      <c r="G48" s="20">
        <f ca="1">IFERROR(__xludf.DUMMYFUNCTION("""COMPUTED_VALUE"""),2022)</f>
        <v>2022</v>
      </c>
      <c r="H48" s="20"/>
      <c r="I48" s="20"/>
      <c r="J48" s="20"/>
      <c r="K48" s="20"/>
      <c r="L48" s="20"/>
      <c r="M48" s="20"/>
      <c r="N48" s="24">
        <f ca="1">IFERROR(__xludf.DUMMYFUNCTION("""COMPUTED_VALUE"""),0)</f>
        <v>0</v>
      </c>
      <c r="O48" s="20"/>
      <c r="P48" s="20"/>
      <c r="Q48" s="20"/>
      <c r="R48" s="20"/>
      <c r="S48" s="20"/>
      <c r="T48" s="20"/>
      <c r="U48" s="24">
        <f ca="1">IFERROR(__xludf.DUMMYFUNCTION("""COMPUTED_VALUE"""),0)</f>
        <v>0</v>
      </c>
      <c r="V48" s="24">
        <f ca="1">IFERROR(__xludf.DUMMYFUNCTION("""COMPUTED_VALUE"""),0)</f>
        <v>0</v>
      </c>
      <c r="W48" s="24">
        <f ca="1">IFERROR(__xludf.DUMMYFUNCTION("""COMPUTED_VALUE"""),0)</f>
        <v>0</v>
      </c>
      <c r="X48" s="24">
        <f ca="1">IFERROR(__xludf.DUMMYFUNCTION("""COMPUTED_VALUE"""),0)</f>
        <v>0</v>
      </c>
      <c r="Y48" s="24">
        <f ca="1">IFERROR(__xludf.DUMMYFUNCTION("""COMPUTED_VALUE"""),0)</f>
        <v>0</v>
      </c>
      <c r="Z48" s="24">
        <f ca="1">IFERROR(__xludf.DUMMYFUNCTION("""COMPUTED_VALUE"""),0)</f>
        <v>0</v>
      </c>
      <c r="AA48" s="20" t="str">
        <f ca="1">IFERROR(__xludf.DUMMYFUNCTION("""COMPUTED_VALUE"""),"10 1 G552430
")</f>
        <v xml:space="preserve">10 1 G552430
</v>
      </c>
      <c r="AB48" s="20">
        <f ca="1">IFERROR(__xludf.DUMMYFUNCTION("""COMPUTED_VALUE"""),522)</f>
        <v>522</v>
      </c>
      <c r="AC48" s="20"/>
      <c r="AD48" s="20"/>
      <c r="AE48" s="20"/>
      <c r="AF48" s="24">
        <f ca="1">IFERROR(__xludf.DUMMYFUNCTION("""COMPUTED_VALUE"""),45000)</f>
        <v>45000</v>
      </c>
      <c r="AG48" s="24">
        <f ca="1">IFERROR(__xludf.DUMMYFUNCTION("""COMPUTED_VALUE"""),26865)</f>
        <v>26865</v>
      </c>
      <c r="AH48" s="24">
        <f ca="1">IFERROR(__xludf.DUMMYFUNCTION("""COMPUTED_VALUE"""),8955)</f>
        <v>8955</v>
      </c>
      <c r="AI48" s="24">
        <f ca="1">IFERROR(__xludf.DUMMYFUNCTION("""COMPUTED_VALUE"""),0)</f>
        <v>0</v>
      </c>
      <c r="AJ48" s="24">
        <f ca="1">IFERROR(__xludf.DUMMYFUNCTION("""COMPUTED_VALUE"""),9180)</f>
        <v>9180</v>
      </c>
      <c r="AK48" s="24">
        <f ca="1">IFERROR(__xludf.DUMMYFUNCTION("""COMPUTED_VALUE"""),0)</f>
        <v>0</v>
      </c>
      <c r="AL48" s="24">
        <f ca="1">IFERROR(__xludf.DUMMYFUNCTION("""COMPUTED_VALUE"""),0)</f>
        <v>0</v>
      </c>
      <c r="AM48" s="20"/>
      <c r="AN48" s="20"/>
      <c r="AO48" s="20"/>
      <c r="AP48" s="20"/>
      <c r="AQ48" s="20"/>
      <c r="AR48" s="24">
        <f ca="1">IFERROR(__xludf.DUMMYFUNCTION("""COMPUTED_VALUE"""),0)</f>
        <v>0</v>
      </c>
      <c r="AS48" s="20"/>
      <c r="AT48" s="20"/>
      <c r="AU48" s="20"/>
      <c r="AV48" s="20"/>
      <c r="AW48" s="20"/>
      <c r="AX48" s="24">
        <f ca="1">IFERROR(__xludf.DUMMYFUNCTION("""COMPUTED_VALUE"""),0)</f>
        <v>0</v>
      </c>
      <c r="AY48" s="24">
        <f ca="1">IFERROR(__xludf.DUMMYFUNCTION("""COMPUTED_VALUE"""),0)</f>
        <v>0</v>
      </c>
      <c r="AZ48" s="24">
        <f ca="1">IFERROR(__xludf.DUMMYFUNCTION("""COMPUTED_VALUE"""),0)</f>
        <v>0</v>
      </c>
      <c r="BA48" s="20"/>
      <c r="BB48" s="24">
        <f ca="1">IFERROR(__xludf.DUMMYFUNCTION("""COMPUTED_VALUE"""),0)</f>
        <v>0</v>
      </c>
      <c r="BC48" s="20"/>
      <c r="BD48" s="24">
        <f ca="1">IFERROR(__xludf.DUMMYFUNCTION("""COMPUTED_VALUE"""),0)</f>
        <v>0</v>
      </c>
      <c r="BE48" s="24">
        <f ca="1">IFERROR(__xludf.DUMMYFUNCTION("""COMPUTED_VALUE"""),0)</f>
        <v>0</v>
      </c>
      <c r="BF48" s="24">
        <f ca="1">IFERROR(__xludf.DUMMYFUNCTION("""COMPUTED_VALUE"""),0)</f>
        <v>0</v>
      </c>
      <c r="BG48" s="20"/>
      <c r="BH48" s="24">
        <f ca="1">IFERROR(__xludf.DUMMYFUNCTION("""COMPUTED_VALUE"""),0)</f>
        <v>0</v>
      </c>
      <c r="BI48" s="20"/>
      <c r="BJ48" s="24">
        <f ca="1">IFERROR(__xludf.DUMMYFUNCTION("""COMPUTED_VALUE"""),45000)</f>
        <v>45000</v>
      </c>
      <c r="BK48" s="24">
        <f ca="1">IFERROR(__xludf.DUMMYFUNCTION("""COMPUTED_VALUE"""),26865)</f>
        <v>26865</v>
      </c>
      <c r="BL48" s="24">
        <f ca="1">IFERROR(__xludf.DUMMYFUNCTION("""COMPUTED_VALUE"""),8955)</f>
        <v>8955</v>
      </c>
      <c r="BM48" s="20"/>
      <c r="BN48" s="24">
        <f ca="1">IFERROR(__xludf.DUMMYFUNCTION("""COMPUTED_VALUE"""),9180)</f>
        <v>9180</v>
      </c>
      <c r="BO48" s="20"/>
      <c r="BP48" s="24">
        <f ca="1">IFERROR(__xludf.DUMMYFUNCTION("""COMPUTED_VALUE"""),0)</f>
        <v>0</v>
      </c>
      <c r="BQ48" s="24">
        <f ca="1">IFERROR(__xludf.DUMMYFUNCTION("""COMPUTED_VALUE"""),0)</f>
        <v>0</v>
      </c>
      <c r="BR48" s="24">
        <f ca="1">IFERROR(__xludf.DUMMYFUNCTION("""COMPUTED_VALUE"""),0)</f>
        <v>0</v>
      </c>
      <c r="BS48" s="20"/>
      <c r="BT48" s="24">
        <f ca="1">IFERROR(__xludf.DUMMYFUNCTION("""COMPUTED_VALUE"""),0)</f>
        <v>0</v>
      </c>
      <c r="BU48" s="20"/>
      <c r="BV48" s="24">
        <f ca="1">IFERROR(__xludf.DUMMYFUNCTION("""COMPUTED_VALUE"""),0)</f>
        <v>0</v>
      </c>
      <c r="BW48" s="24">
        <f ca="1">IFERROR(__xludf.DUMMYFUNCTION("""COMPUTED_VALUE"""),0)</f>
        <v>0</v>
      </c>
      <c r="BX48" s="24">
        <f ca="1">IFERROR(__xludf.DUMMYFUNCTION("""COMPUTED_VALUE"""),0)</f>
        <v>0</v>
      </c>
      <c r="BY48" s="20"/>
      <c r="BZ48" s="24">
        <f ca="1">IFERROR(__xludf.DUMMYFUNCTION("""COMPUTED_VALUE"""),0)</f>
        <v>0</v>
      </c>
      <c r="CA48" s="20"/>
      <c r="CB48" s="20"/>
      <c r="CC48" s="20"/>
      <c r="CD48" s="20"/>
      <c r="CE48" s="20"/>
      <c r="CF48" s="20"/>
      <c r="CG48" s="20"/>
      <c r="CH48" s="20"/>
      <c r="CI48" s="20"/>
      <c r="CJ48" s="20"/>
      <c r="CK48" s="20"/>
      <c r="CL48" s="20"/>
      <c r="CM48" s="20"/>
      <c r="CN48" s="20"/>
      <c r="CO48" s="20"/>
      <c r="CP48" s="20"/>
      <c r="CQ48" s="20"/>
      <c r="CR48" s="20"/>
      <c r="CS48" s="20"/>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row>
    <row r="49" spans="1:123" ht="64.5" hidden="1" customHeight="1" x14ac:dyDescent="0.2">
      <c r="A49" s="19"/>
      <c r="B49" s="20" t="str">
        <f ca="1">IFERROR(__xludf.DUMMYFUNCTION("""COMPUTED_VALUE"""),"г.о. Солнечногорск")</f>
        <v>г.о. Солнечногорск</v>
      </c>
      <c r="C4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9" s="20" t="str">
        <f ca="1">IFERROR(__xludf.DUMMYFUNCTION("""COMPUTED_VALUE"""),"МинЖКХ")</f>
        <v>МинЖКХ</v>
      </c>
      <c r="E49" s="20" t="str">
        <f ca="1">IFERROR(__xludf.DUMMYFUNCTION("""COMPUTED_VALUE"""),"Реконструкция ВЗУ № 5 ЦМИС г.о. Солнечногорск")</f>
        <v>Реконструкция ВЗУ № 5 ЦМИС г.о. Солнечногорск</v>
      </c>
      <c r="F49" s="22" t="str">
        <f ca="1">IFERROR(__xludf.DUMMYFUNCTION("""COMPUTED_VALUE"""),"ВЗУ")</f>
        <v>ВЗУ</v>
      </c>
      <c r="G49" s="20">
        <f ca="1">IFERROR(__xludf.DUMMYFUNCTION("""COMPUTED_VALUE"""),2022)</f>
        <v>2022</v>
      </c>
      <c r="H49" s="20" t="str">
        <f ca="1">IFERROR(__xludf.DUMMYFUNCTION("""COMPUTED_VALUE"""),"СМР")</f>
        <v>СМР</v>
      </c>
      <c r="I49" s="20"/>
      <c r="J49" s="20"/>
      <c r="K49" s="20"/>
      <c r="L49" s="20"/>
      <c r="M49" s="20"/>
      <c r="N49" s="24">
        <f ca="1">IFERROR(__xludf.DUMMYFUNCTION("""COMPUTED_VALUE"""),0)</f>
        <v>0</v>
      </c>
      <c r="O49" s="20"/>
      <c r="P49" s="20"/>
      <c r="Q49" s="20"/>
      <c r="R49" s="20"/>
      <c r="S49" s="20"/>
      <c r="T49" s="20"/>
      <c r="U49" s="24">
        <f ca="1">IFERROR(__xludf.DUMMYFUNCTION("""COMPUTED_VALUE"""),0)</f>
        <v>0</v>
      </c>
      <c r="V49" s="24">
        <f ca="1">IFERROR(__xludf.DUMMYFUNCTION("""COMPUTED_VALUE"""),0)</f>
        <v>0</v>
      </c>
      <c r="W49" s="24">
        <f ca="1">IFERROR(__xludf.DUMMYFUNCTION("""COMPUTED_VALUE"""),0)</f>
        <v>0</v>
      </c>
      <c r="X49" s="24">
        <f ca="1">IFERROR(__xludf.DUMMYFUNCTION("""COMPUTED_VALUE"""),0)</f>
        <v>0</v>
      </c>
      <c r="Y49" s="24">
        <f ca="1">IFERROR(__xludf.DUMMYFUNCTION("""COMPUTED_VALUE"""),0)</f>
        <v>0</v>
      </c>
      <c r="Z49" s="24">
        <f ca="1">IFERROR(__xludf.DUMMYFUNCTION("""COMPUTED_VALUE"""),0)</f>
        <v>0</v>
      </c>
      <c r="AA49" s="20" t="str">
        <f ca="1">IFERROR(__xludf.DUMMYFUNCTION("""COMPUTED_VALUE"""),"10 1 G552430
")</f>
        <v xml:space="preserve">10 1 G552430
</v>
      </c>
      <c r="AB49" s="20">
        <f ca="1">IFERROR(__xludf.DUMMYFUNCTION("""COMPUTED_VALUE"""),522)</f>
        <v>522</v>
      </c>
      <c r="AC49" s="20"/>
      <c r="AD49" s="20"/>
      <c r="AE49" s="20"/>
      <c r="AF49" s="24">
        <f ca="1">IFERROR(__xludf.DUMMYFUNCTION("""COMPUTED_VALUE"""),31441.22)</f>
        <v>31441.22</v>
      </c>
      <c r="AG49" s="24">
        <f ca="1">IFERROR(__xludf.DUMMYFUNCTION("""COMPUTED_VALUE"""),19525)</f>
        <v>19525</v>
      </c>
      <c r="AH49" s="24">
        <f ca="1">IFERROR(__xludf.DUMMYFUNCTION("""COMPUTED_VALUE"""),6508.33)</f>
        <v>6508.33</v>
      </c>
      <c r="AI49" s="24">
        <f ca="1">IFERROR(__xludf.DUMMYFUNCTION("""COMPUTED_VALUE"""),0)</f>
        <v>0</v>
      </c>
      <c r="AJ49" s="24">
        <f ca="1">IFERROR(__xludf.DUMMYFUNCTION("""COMPUTED_VALUE"""),5407.89)</f>
        <v>5407.89</v>
      </c>
      <c r="AK49" s="24">
        <f ca="1">IFERROR(__xludf.DUMMYFUNCTION("""COMPUTED_VALUE"""),0)</f>
        <v>0</v>
      </c>
      <c r="AL49" s="24">
        <f ca="1">IFERROR(__xludf.DUMMYFUNCTION("""COMPUTED_VALUE"""),0)</f>
        <v>0</v>
      </c>
      <c r="AM49" s="20"/>
      <c r="AN49" s="20"/>
      <c r="AO49" s="20"/>
      <c r="AP49" s="20"/>
      <c r="AQ49" s="20"/>
      <c r="AR49" s="24">
        <f ca="1">IFERROR(__xludf.DUMMYFUNCTION("""COMPUTED_VALUE"""),0)</f>
        <v>0</v>
      </c>
      <c r="AS49" s="20"/>
      <c r="AT49" s="20"/>
      <c r="AU49" s="20"/>
      <c r="AV49" s="20"/>
      <c r="AW49" s="20"/>
      <c r="AX49" s="24">
        <f ca="1">IFERROR(__xludf.DUMMYFUNCTION("""COMPUTED_VALUE"""),0)</f>
        <v>0</v>
      </c>
      <c r="AY49" s="24">
        <f ca="1">IFERROR(__xludf.DUMMYFUNCTION("""COMPUTED_VALUE"""),0)</f>
        <v>0</v>
      </c>
      <c r="AZ49" s="24">
        <f ca="1">IFERROR(__xludf.DUMMYFUNCTION("""COMPUTED_VALUE"""),0)</f>
        <v>0</v>
      </c>
      <c r="BA49" s="20"/>
      <c r="BB49" s="24">
        <f ca="1">IFERROR(__xludf.DUMMYFUNCTION("""COMPUTED_VALUE"""),0)</f>
        <v>0</v>
      </c>
      <c r="BC49" s="20"/>
      <c r="BD49" s="24">
        <f ca="1">IFERROR(__xludf.DUMMYFUNCTION("""COMPUTED_VALUE"""),0)</f>
        <v>0</v>
      </c>
      <c r="BE49" s="24">
        <f ca="1">IFERROR(__xludf.DUMMYFUNCTION("""COMPUTED_VALUE"""),0)</f>
        <v>0</v>
      </c>
      <c r="BF49" s="24">
        <f ca="1">IFERROR(__xludf.DUMMYFUNCTION("""COMPUTED_VALUE"""),0)</f>
        <v>0</v>
      </c>
      <c r="BG49" s="20"/>
      <c r="BH49" s="24">
        <f ca="1">IFERROR(__xludf.DUMMYFUNCTION("""COMPUTED_VALUE"""),0)</f>
        <v>0</v>
      </c>
      <c r="BI49" s="20"/>
      <c r="BJ49" s="24">
        <f ca="1">IFERROR(__xludf.DUMMYFUNCTION("""COMPUTED_VALUE"""),31441.22)</f>
        <v>31441.22</v>
      </c>
      <c r="BK49" s="24">
        <f ca="1">IFERROR(__xludf.DUMMYFUNCTION("""COMPUTED_VALUE"""),19525)</f>
        <v>19525</v>
      </c>
      <c r="BL49" s="24">
        <f ca="1">IFERROR(__xludf.DUMMYFUNCTION("""COMPUTED_VALUE"""),6508.33)</f>
        <v>6508.33</v>
      </c>
      <c r="BM49" s="20"/>
      <c r="BN49" s="24">
        <f ca="1">IFERROR(__xludf.DUMMYFUNCTION("""COMPUTED_VALUE"""),5407.89)</f>
        <v>5407.89</v>
      </c>
      <c r="BO49" s="20"/>
      <c r="BP49" s="24">
        <f ca="1">IFERROR(__xludf.DUMMYFUNCTION("""COMPUTED_VALUE"""),0)</f>
        <v>0</v>
      </c>
      <c r="BQ49" s="24">
        <f ca="1">IFERROR(__xludf.DUMMYFUNCTION("""COMPUTED_VALUE"""),0)</f>
        <v>0</v>
      </c>
      <c r="BR49" s="24">
        <f ca="1">IFERROR(__xludf.DUMMYFUNCTION("""COMPUTED_VALUE"""),0)</f>
        <v>0</v>
      </c>
      <c r="BS49" s="20"/>
      <c r="BT49" s="24">
        <f ca="1">IFERROR(__xludf.DUMMYFUNCTION("""COMPUTED_VALUE"""),0)</f>
        <v>0</v>
      </c>
      <c r="BU49" s="20"/>
      <c r="BV49" s="24">
        <f ca="1">IFERROR(__xludf.DUMMYFUNCTION("""COMPUTED_VALUE"""),0)</f>
        <v>0</v>
      </c>
      <c r="BW49" s="24">
        <f ca="1">IFERROR(__xludf.DUMMYFUNCTION("""COMPUTED_VALUE"""),0)</f>
        <v>0</v>
      </c>
      <c r="BX49" s="24">
        <f ca="1">IFERROR(__xludf.DUMMYFUNCTION("""COMPUTED_VALUE"""),0)</f>
        <v>0</v>
      </c>
      <c r="BY49" s="20"/>
      <c r="BZ49" s="24">
        <f ca="1">IFERROR(__xludf.DUMMYFUNCTION("""COMPUTED_VALUE"""),0)</f>
        <v>0</v>
      </c>
      <c r="CA49" s="20"/>
      <c r="CB49" s="20"/>
      <c r="CC49" s="20"/>
      <c r="CD49" s="20"/>
      <c r="CE49" s="20"/>
      <c r="CF49" s="20"/>
      <c r="CG49" s="20"/>
      <c r="CH49" s="20"/>
      <c r="CI49" s="20"/>
      <c r="CJ49" s="20"/>
      <c r="CK49" s="20"/>
      <c r="CL49" s="20"/>
      <c r="CM49" s="20"/>
      <c r="CN49" s="20"/>
      <c r="CO49" s="20"/>
      <c r="CP49" s="20"/>
      <c r="CQ49" s="20"/>
      <c r="CR49" s="20"/>
      <c r="CS49" s="20"/>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row>
    <row r="50" spans="1:123" ht="64.5" hidden="1" customHeight="1" x14ac:dyDescent="0.2">
      <c r="A50" s="19"/>
      <c r="B50" s="20" t="str">
        <f ca="1">IFERROR(__xludf.DUMMYFUNCTION("""COMPUTED_VALUE"""),"г.о. Солнечногорск")</f>
        <v>г.о. Солнечногорск</v>
      </c>
      <c r="C5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0" s="20" t="str">
        <f ca="1">IFERROR(__xludf.DUMMYFUNCTION("""COMPUTED_VALUE"""),"МинЖКХ")</f>
        <v>МинЖКХ</v>
      </c>
      <c r="E50" s="20" t="str">
        <f ca="1">IFERROR(__xludf.DUMMYFUNCTION("""COMPUTED_VALUE"""),"Реконструкция ВЗУ д.Брехово г.о. Солнечногорск")</f>
        <v>Реконструкция ВЗУ д.Брехово г.о. Солнечногорск</v>
      </c>
      <c r="F50" s="22" t="str">
        <f ca="1">IFERROR(__xludf.DUMMYFUNCTION("""COMPUTED_VALUE"""),"ВЗУ")</f>
        <v>ВЗУ</v>
      </c>
      <c r="G50" s="20">
        <f ca="1">IFERROR(__xludf.DUMMYFUNCTION("""COMPUTED_VALUE"""),2022)</f>
        <v>2022</v>
      </c>
      <c r="H50" s="20" t="str">
        <f ca="1">IFERROR(__xludf.DUMMYFUNCTION("""COMPUTED_VALUE"""),"СМР")</f>
        <v>СМР</v>
      </c>
      <c r="I50" s="20"/>
      <c r="J50" s="20"/>
      <c r="K50" s="20"/>
      <c r="L50" s="20"/>
      <c r="M50" s="20"/>
      <c r="N50" s="24">
        <f ca="1">IFERROR(__xludf.DUMMYFUNCTION("""COMPUTED_VALUE"""),0)</f>
        <v>0</v>
      </c>
      <c r="O50" s="20"/>
      <c r="P50" s="20"/>
      <c r="Q50" s="20"/>
      <c r="R50" s="20"/>
      <c r="S50" s="20"/>
      <c r="T50" s="20"/>
      <c r="U50" s="24">
        <f ca="1">IFERROR(__xludf.DUMMYFUNCTION("""COMPUTED_VALUE"""),0)</f>
        <v>0</v>
      </c>
      <c r="V50" s="24">
        <f ca="1">IFERROR(__xludf.DUMMYFUNCTION("""COMPUTED_VALUE"""),0)</f>
        <v>0</v>
      </c>
      <c r="W50" s="24">
        <f ca="1">IFERROR(__xludf.DUMMYFUNCTION("""COMPUTED_VALUE"""),0)</f>
        <v>0</v>
      </c>
      <c r="X50" s="24">
        <f ca="1">IFERROR(__xludf.DUMMYFUNCTION("""COMPUTED_VALUE"""),0)</f>
        <v>0</v>
      </c>
      <c r="Y50" s="24">
        <f ca="1">IFERROR(__xludf.DUMMYFUNCTION("""COMPUTED_VALUE"""),0)</f>
        <v>0</v>
      </c>
      <c r="Z50" s="24">
        <f ca="1">IFERROR(__xludf.DUMMYFUNCTION("""COMPUTED_VALUE"""),0)</f>
        <v>0</v>
      </c>
      <c r="AA50" s="20" t="str">
        <f ca="1">IFERROR(__xludf.DUMMYFUNCTION("""COMPUTED_VALUE"""),"10 1 G552430
")</f>
        <v xml:space="preserve">10 1 G552430
</v>
      </c>
      <c r="AB50" s="20">
        <f ca="1">IFERROR(__xludf.DUMMYFUNCTION("""COMPUTED_VALUE"""),522)</f>
        <v>522</v>
      </c>
      <c r="AC50" s="20"/>
      <c r="AD50" s="20"/>
      <c r="AE50" s="20"/>
      <c r="AF50" s="24">
        <f ca="1">IFERROR(__xludf.DUMMYFUNCTION("""COMPUTED_VALUE"""),21272.14)</f>
        <v>21272.14</v>
      </c>
      <c r="AG50" s="24">
        <f ca="1">IFERROR(__xludf.DUMMYFUNCTION("""COMPUTED_VALUE"""),13210)</f>
        <v>13210</v>
      </c>
      <c r="AH50" s="24">
        <f ca="1">IFERROR(__xludf.DUMMYFUNCTION("""COMPUTED_VALUE"""),4403.33)</f>
        <v>4403.33</v>
      </c>
      <c r="AI50" s="24">
        <f ca="1">IFERROR(__xludf.DUMMYFUNCTION("""COMPUTED_VALUE"""),0)</f>
        <v>0</v>
      </c>
      <c r="AJ50" s="24">
        <f ca="1">IFERROR(__xludf.DUMMYFUNCTION("""COMPUTED_VALUE"""),3658.81)</f>
        <v>3658.81</v>
      </c>
      <c r="AK50" s="24">
        <f ca="1">IFERROR(__xludf.DUMMYFUNCTION("""COMPUTED_VALUE"""),0)</f>
        <v>0</v>
      </c>
      <c r="AL50" s="24">
        <f ca="1">IFERROR(__xludf.DUMMYFUNCTION("""COMPUTED_VALUE"""),0)</f>
        <v>0</v>
      </c>
      <c r="AM50" s="20"/>
      <c r="AN50" s="20"/>
      <c r="AO50" s="20"/>
      <c r="AP50" s="20"/>
      <c r="AQ50" s="20"/>
      <c r="AR50" s="24">
        <f ca="1">IFERROR(__xludf.DUMMYFUNCTION("""COMPUTED_VALUE"""),0)</f>
        <v>0</v>
      </c>
      <c r="AS50" s="20"/>
      <c r="AT50" s="20"/>
      <c r="AU50" s="20"/>
      <c r="AV50" s="20"/>
      <c r="AW50" s="20"/>
      <c r="AX50" s="24">
        <f ca="1">IFERROR(__xludf.DUMMYFUNCTION("""COMPUTED_VALUE"""),0)</f>
        <v>0</v>
      </c>
      <c r="AY50" s="24">
        <f ca="1">IFERROR(__xludf.DUMMYFUNCTION("""COMPUTED_VALUE"""),0)</f>
        <v>0</v>
      </c>
      <c r="AZ50" s="24">
        <f ca="1">IFERROR(__xludf.DUMMYFUNCTION("""COMPUTED_VALUE"""),0)</f>
        <v>0</v>
      </c>
      <c r="BA50" s="20"/>
      <c r="BB50" s="24">
        <f ca="1">IFERROR(__xludf.DUMMYFUNCTION("""COMPUTED_VALUE"""),0)</f>
        <v>0</v>
      </c>
      <c r="BC50" s="20"/>
      <c r="BD50" s="24">
        <f ca="1">IFERROR(__xludf.DUMMYFUNCTION("""COMPUTED_VALUE"""),0)</f>
        <v>0</v>
      </c>
      <c r="BE50" s="24">
        <f ca="1">IFERROR(__xludf.DUMMYFUNCTION("""COMPUTED_VALUE"""),0)</f>
        <v>0</v>
      </c>
      <c r="BF50" s="24">
        <f ca="1">IFERROR(__xludf.DUMMYFUNCTION("""COMPUTED_VALUE"""),0)</f>
        <v>0</v>
      </c>
      <c r="BG50" s="20"/>
      <c r="BH50" s="24">
        <f ca="1">IFERROR(__xludf.DUMMYFUNCTION("""COMPUTED_VALUE"""),0)</f>
        <v>0</v>
      </c>
      <c r="BI50" s="20"/>
      <c r="BJ50" s="24">
        <f ca="1">IFERROR(__xludf.DUMMYFUNCTION("""COMPUTED_VALUE"""),21272.14)</f>
        <v>21272.14</v>
      </c>
      <c r="BK50" s="24">
        <f ca="1">IFERROR(__xludf.DUMMYFUNCTION("""COMPUTED_VALUE"""),13210)</f>
        <v>13210</v>
      </c>
      <c r="BL50" s="24">
        <f ca="1">IFERROR(__xludf.DUMMYFUNCTION("""COMPUTED_VALUE"""),4403.33)</f>
        <v>4403.33</v>
      </c>
      <c r="BM50" s="20"/>
      <c r="BN50" s="24">
        <f ca="1">IFERROR(__xludf.DUMMYFUNCTION("""COMPUTED_VALUE"""),3658.81)</f>
        <v>3658.81</v>
      </c>
      <c r="BO50" s="20"/>
      <c r="BP50" s="24">
        <f ca="1">IFERROR(__xludf.DUMMYFUNCTION("""COMPUTED_VALUE"""),0)</f>
        <v>0</v>
      </c>
      <c r="BQ50" s="24">
        <f ca="1">IFERROR(__xludf.DUMMYFUNCTION("""COMPUTED_VALUE"""),0)</f>
        <v>0</v>
      </c>
      <c r="BR50" s="24">
        <f ca="1">IFERROR(__xludf.DUMMYFUNCTION("""COMPUTED_VALUE"""),0)</f>
        <v>0</v>
      </c>
      <c r="BS50" s="20"/>
      <c r="BT50" s="24">
        <f ca="1">IFERROR(__xludf.DUMMYFUNCTION("""COMPUTED_VALUE"""),0)</f>
        <v>0</v>
      </c>
      <c r="BU50" s="20"/>
      <c r="BV50" s="24">
        <f ca="1">IFERROR(__xludf.DUMMYFUNCTION("""COMPUTED_VALUE"""),0)</f>
        <v>0</v>
      </c>
      <c r="BW50" s="24">
        <f ca="1">IFERROR(__xludf.DUMMYFUNCTION("""COMPUTED_VALUE"""),0)</f>
        <v>0</v>
      </c>
      <c r="BX50" s="24">
        <f ca="1">IFERROR(__xludf.DUMMYFUNCTION("""COMPUTED_VALUE"""),0)</f>
        <v>0</v>
      </c>
      <c r="BY50" s="20"/>
      <c r="BZ50" s="24">
        <f ca="1">IFERROR(__xludf.DUMMYFUNCTION("""COMPUTED_VALUE"""),0)</f>
        <v>0</v>
      </c>
      <c r="CA50" s="20"/>
      <c r="CB50" s="20"/>
      <c r="CC50" s="20"/>
      <c r="CD50" s="20"/>
      <c r="CE50" s="20"/>
      <c r="CF50" s="20"/>
      <c r="CG50" s="20"/>
      <c r="CH50" s="20"/>
      <c r="CI50" s="20"/>
      <c r="CJ50" s="20"/>
      <c r="CK50" s="20"/>
      <c r="CL50" s="20"/>
      <c r="CM50" s="20"/>
      <c r="CN50" s="20"/>
      <c r="CO50" s="20"/>
      <c r="CP50" s="20"/>
      <c r="CQ50" s="20"/>
      <c r="CR50" s="20"/>
      <c r="CS50" s="20"/>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row>
    <row r="51" spans="1:123" ht="64.5" hidden="1" customHeight="1" x14ac:dyDescent="0.2">
      <c r="A51" s="19"/>
      <c r="B51" s="20" t="str">
        <f ca="1">IFERROR(__xludf.DUMMYFUNCTION("""COMPUTED_VALUE"""),"г.о. Солнечногорск")</f>
        <v>г.о. Солнечногорск</v>
      </c>
      <c r="C5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1" s="20" t="str">
        <f ca="1">IFERROR(__xludf.DUMMYFUNCTION("""COMPUTED_VALUE"""),"МинЖКХ")</f>
        <v>МинЖКХ</v>
      </c>
      <c r="E51" s="20" t="str">
        <f ca="1">IFERROR(__xludf.DUMMYFUNCTION("""COMPUTED_VALUE"""),"Реконструкция ВЗУ №4 д. Кресты  г.о. Солнечногорск")</f>
        <v>Реконструкция ВЗУ №4 д. Кресты  г.о. Солнечногорск</v>
      </c>
      <c r="F51" s="22" t="str">
        <f ca="1">IFERROR(__xludf.DUMMYFUNCTION("""COMPUTED_VALUE"""),"ВЗУ")</f>
        <v>ВЗУ</v>
      </c>
      <c r="G51" s="20">
        <f ca="1">IFERROR(__xludf.DUMMYFUNCTION("""COMPUTED_VALUE"""),2022)</f>
        <v>2022</v>
      </c>
      <c r="H51" s="20" t="str">
        <f ca="1">IFERROR(__xludf.DUMMYFUNCTION("""COMPUTED_VALUE"""),"СМР")</f>
        <v>СМР</v>
      </c>
      <c r="I51" s="20"/>
      <c r="J51" s="20"/>
      <c r="K51" s="20"/>
      <c r="L51" s="20"/>
      <c r="M51" s="20"/>
      <c r="N51" s="24">
        <f ca="1">IFERROR(__xludf.DUMMYFUNCTION("""COMPUTED_VALUE"""),0)</f>
        <v>0</v>
      </c>
      <c r="O51" s="20"/>
      <c r="P51" s="20"/>
      <c r="Q51" s="20"/>
      <c r="R51" s="20"/>
      <c r="S51" s="20"/>
      <c r="T51" s="20"/>
      <c r="U51" s="24">
        <f ca="1">IFERROR(__xludf.DUMMYFUNCTION("""COMPUTED_VALUE"""),0)</f>
        <v>0</v>
      </c>
      <c r="V51" s="24">
        <f ca="1">IFERROR(__xludf.DUMMYFUNCTION("""COMPUTED_VALUE"""),0)</f>
        <v>0</v>
      </c>
      <c r="W51" s="24">
        <f ca="1">IFERROR(__xludf.DUMMYFUNCTION("""COMPUTED_VALUE"""),0)</f>
        <v>0</v>
      </c>
      <c r="X51" s="24">
        <f ca="1">IFERROR(__xludf.DUMMYFUNCTION("""COMPUTED_VALUE"""),0)</f>
        <v>0</v>
      </c>
      <c r="Y51" s="24">
        <f ca="1">IFERROR(__xludf.DUMMYFUNCTION("""COMPUTED_VALUE"""),0)</f>
        <v>0</v>
      </c>
      <c r="Z51" s="24">
        <f ca="1">IFERROR(__xludf.DUMMYFUNCTION("""COMPUTED_VALUE"""),0)</f>
        <v>0</v>
      </c>
      <c r="AA51" s="20" t="str">
        <f ca="1">IFERROR(__xludf.DUMMYFUNCTION("""COMPUTED_VALUE"""),"10 1 G552430
")</f>
        <v xml:space="preserve">10 1 G552430
</v>
      </c>
      <c r="AB51" s="20">
        <f ca="1">IFERROR(__xludf.DUMMYFUNCTION("""COMPUTED_VALUE"""),522)</f>
        <v>522</v>
      </c>
      <c r="AC51" s="20"/>
      <c r="AD51" s="20"/>
      <c r="AE51" s="20"/>
      <c r="AF51" s="24">
        <f ca="1">IFERROR(__xludf.DUMMYFUNCTION("""COMPUTED_VALUE"""),35000)</f>
        <v>35000</v>
      </c>
      <c r="AG51" s="24">
        <f ca="1">IFERROR(__xludf.DUMMYFUNCTION("""COMPUTED_VALUE"""),21735)</f>
        <v>21735</v>
      </c>
      <c r="AH51" s="24">
        <f ca="1">IFERROR(__xludf.DUMMYFUNCTION("""COMPUTED_VALUE"""),7245)</f>
        <v>7245</v>
      </c>
      <c r="AI51" s="24">
        <f ca="1">IFERROR(__xludf.DUMMYFUNCTION("""COMPUTED_VALUE"""),0)</f>
        <v>0</v>
      </c>
      <c r="AJ51" s="24">
        <f ca="1">IFERROR(__xludf.DUMMYFUNCTION("""COMPUTED_VALUE"""),6020)</f>
        <v>6020</v>
      </c>
      <c r="AK51" s="24">
        <f ca="1">IFERROR(__xludf.DUMMYFUNCTION("""COMPUTED_VALUE"""),0)</f>
        <v>0</v>
      </c>
      <c r="AL51" s="24">
        <f ca="1">IFERROR(__xludf.DUMMYFUNCTION("""COMPUTED_VALUE"""),0)</f>
        <v>0</v>
      </c>
      <c r="AM51" s="20"/>
      <c r="AN51" s="20"/>
      <c r="AO51" s="20"/>
      <c r="AP51" s="20"/>
      <c r="AQ51" s="20"/>
      <c r="AR51" s="24">
        <f ca="1">IFERROR(__xludf.DUMMYFUNCTION("""COMPUTED_VALUE"""),0)</f>
        <v>0</v>
      </c>
      <c r="AS51" s="20"/>
      <c r="AT51" s="20"/>
      <c r="AU51" s="20"/>
      <c r="AV51" s="20"/>
      <c r="AW51" s="20"/>
      <c r="AX51" s="24">
        <f ca="1">IFERROR(__xludf.DUMMYFUNCTION("""COMPUTED_VALUE"""),0)</f>
        <v>0</v>
      </c>
      <c r="AY51" s="24">
        <f ca="1">IFERROR(__xludf.DUMMYFUNCTION("""COMPUTED_VALUE"""),0)</f>
        <v>0</v>
      </c>
      <c r="AZ51" s="24">
        <f ca="1">IFERROR(__xludf.DUMMYFUNCTION("""COMPUTED_VALUE"""),0)</f>
        <v>0</v>
      </c>
      <c r="BA51" s="20"/>
      <c r="BB51" s="24">
        <f ca="1">IFERROR(__xludf.DUMMYFUNCTION("""COMPUTED_VALUE"""),0)</f>
        <v>0</v>
      </c>
      <c r="BC51" s="20"/>
      <c r="BD51" s="24">
        <f ca="1">IFERROR(__xludf.DUMMYFUNCTION("""COMPUTED_VALUE"""),0)</f>
        <v>0</v>
      </c>
      <c r="BE51" s="24">
        <f ca="1">IFERROR(__xludf.DUMMYFUNCTION("""COMPUTED_VALUE"""),0)</f>
        <v>0</v>
      </c>
      <c r="BF51" s="24">
        <f ca="1">IFERROR(__xludf.DUMMYFUNCTION("""COMPUTED_VALUE"""),0)</f>
        <v>0</v>
      </c>
      <c r="BG51" s="20"/>
      <c r="BH51" s="24">
        <f ca="1">IFERROR(__xludf.DUMMYFUNCTION("""COMPUTED_VALUE"""),0)</f>
        <v>0</v>
      </c>
      <c r="BI51" s="20"/>
      <c r="BJ51" s="24">
        <f ca="1">IFERROR(__xludf.DUMMYFUNCTION("""COMPUTED_VALUE"""),35000)</f>
        <v>35000</v>
      </c>
      <c r="BK51" s="24">
        <f ca="1">IFERROR(__xludf.DUMMYFUNCTION("""COMPUTED_VALUE"""),21735)</f>
        <v>21735</v>
      </c>
      <c r="BL51" s="24">
        <f ca="1">IFERROR(__xludf.DUMMYFUNCTION("""COMPUTED_VALUE"""),7245)</f>
        <v>7245</v>
      </c>
      <c r="BM51" s="20"/>
      <c r="BN51" s="24">
        <f ca="1">IFERROR(__xludf.DUMMYFUNCTION("""COMPUTED_VALUE"""),6020)</f>
        <v>6020</v>
      </c>
      <c r="BO51" s="20"/>
      <c r="BP51" s="24">
        <f ca="1">IFERROR(__xludf.DUMMYFUNCTION("""COMPUTED_VALUE"""),0)</f>
        <v>0</v>
      </c>
      <c r="BQ51" s="24">
        <f ca="1">IFERROR(__xludf.DUMMYFUNCTION("""COMPUTED_VALUE"""),0)</f>
        <v>0</v>
      </c>
      <c r="BR51" s="24">
        <f ca="1">IFERROR(__xludf.DUMMYFUNCTION("""COMPUTED_VALUE"""),0)</f>
        <v>0</v>
      </c>
      <c r="BS51" s="20"/>
      <c r="BT51" s="24">
        <f ca="1">IFERROR(__xludf.DUMMYFUNCTION("""COMPUTED_VALUE"""),0)</f>
        <v>0</v>
      </c>
      <c r="BU51" s="20"/>
      <c r="BV51" s="24">
        <f ca="1">IFERROR(__xludf.DUMMYFUNCTION("""COMPUTED_VALUE"""),0)</f>
        <v>0</v>
      </c>
      <c r="BW51" s="24">
        <f ca="1">IFERROR(__xludf.DUMMYFUNCTION("""COMPUTED_VALUE"""),0)</f>
        <v>0</v>
      </c>
      <c r="BX51" s="24">
        <f ca="1">IFERROR(__xludf.DUMMYFUNCTION("""COMPUTED_VALUE"""),0)</f>
        <v>0</v>
      </c>
      <c r="BY51" s="20"/>
      <c r="BZ51" s="24">
        <f ca="1">IFERROR(__xludf.DUMMYFUNCTION("""COMPUTED_VALUE"""),0)</f>
        <v>0</v>
      </c>
      <c r="CA51" s="20"/>
      <c r="CB51" s="20"/>
      <c r="CC51" s="20"/>
      <c r="CD51" s="20"/>
      <c r="CE51" s="20"/>
      <c r="CF51" s="20"/>
      <c r="CG51" s="20"/>
      <c r="CH51" s="20"/>
      <c r="CI51" s="20"/>
      <c r="CJ51" s="20"/>
      <c r="CK51" s="20"/>
      <c r="CL51" s="20"/>
      <c r="CM51" s="20"/>
      <c r="CN51" s="20"/>
      <c r="CO51" s="20"/>
      <c r="CP51" s="20"/>
      <c r="CQ51" s="20"/>
      <c r="CR51" s="20"/>
      <c r="CS51" s="20"/>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row>
    <row r="52" spans="1:123" ht="64.5" hidden="1" customHeight="1" x14ac:dyDescent="0.2">
      <c r="A52" s="19"/>
      <c r="B52" s="20" t="str">
        <f ca="1">IFERROR(__xludf.DUMMYFUNCTION("""COMPUTED_VALUE"""),"г.о. Солнечногорск")</f>
        <v>г.о. Солнечногорск</v>
      </c>
      <c r="C5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2" s="20" t="str">
        <f ca="1">IFERROR(__xludf.DUMMYFUNCTION("""COMPUTED_VALUE"""),"МинЖКХ")</f>
        <v>МинЖКХ</v>
      </c>
      <c r="E52" s="20" t="str">
        <f ca="1">IFERROR(__xludf.DUMMYFUNCTION("""COMPUTED_VALUE"""),"Реконструкция ВЗУ №8 д. Тимоново  г.о. Солнечногорск")</f>
        <v>Реконструкция ВЗУ №8 д. Тимоново  г.о. Солнечногорск</v>
      </c>
      <c r="F52" s="22" t="str">
        <f ca="1">IFERROR(__xludf.DUMMYFUNCTION("""COMPUTED_VALUE"""),"ВЗУ")</f>
        <v>ВЗУ</v>
      </c>
      <c r="G52" s="20" t="str">
        <f ca="1">IFERROR(__xludf.DUMMYFUNCTION("""COMPUTED_VALUE"""),"Н/Л")</f>
        <v>Н/Л</v>
      </c>
      <c r="H52" s="20"/>
      <c r="I52" s="20"/>
      <c r="J52" s="20"/>
      <c r="K52" s="20"/>
      <c r="L52" s="20"/>
      <c r="M52" s="20"/>
      <c r="N52" s="24">
        <f ca="1">IFERROR(__xludf.DUMMYFUNCTION("""COMPUTED_VALUE"""),0)</f>
        <v>0</v>
      </c>
      <c r="O52" s="20"/>
      <c r="P52" s="20"/>
      <c r="Q52" s="20"/>
      <c r="R52" s="20"/>
      <c r="S52" s="20"/>
      <c r="T52" s="20"/>
      <c r="U52" s="24">
        <f ca="1">IFERROR(__xludf.DUMMYFUNCTION("""COMPUTED_VALUE"""),0)</f>
        <v>0</v>
      </c>
      <c r="V52" s="24">
        <f ca="1">IFERROR(__xludf.DUMMYFUNCTION("""COMPUTED_VALUE"""),0)</f>
        <v>0</v>
      </c>
      <c r="W52" s="24">
        <f ca="1">IFERROR(__xludf.DUMMYFUNCTION("""COMPUTED_VALUE"""),0)</f>
        <v>0</v>
      </c>
      <c r="X52" s="24">
        <f ca="1">IFERROR(__xludf.DUMMYFUNCTION("""COMPUTED_VALUE"""),0)</f>
        <v>0</v>
      </c>
      <c r="Y52" s="24">
        <f ca="1">IFERROR(__xludf.DUMMYFUNCTION("""COMPUTED_VALUE"""),0)</f>
        <v>0</v>
      </c>
      <c r="Z52" s="24">
        <f ca="1">IFERROR(__xludf.DUMMYFUNCTION("""COMPUTED_VALUE"""),0)</f>
        <v>0</v>
      </c>
      <c r="AA52" s="20" t="str">
        <f ca="1">IFERROR(__xludf.DUMMYFUNCTION("""COMPUTED_VALUE"""),"10 1 G552430
")</f>
        <v xml:space="preserve">10 1 G552430
</v>
      </c>
      <c r="AB52" s="20">
        <f ca="1">IFERROR(__xludf.DUMMYFUNCTION("""COMPUTED_VALUE"""),522)</f>
        <v>522</v>
      </c>
      <c r="AC52" s="20"/>
      <c r="AD52" s="20"/>
      <c r="AE52" s="20"/>
      <c r="AF52" s="24">
        <f ca="1">IFERROR(__xludf.DUMMYFUNCTION("""COMPUTED_VALUE"""),0)</f>
        <v>0</v>
      </c>
      <c r="AG52" s="24">
        <f ca="1">IFERROR(__xludf.DUMMYFUNCTION("""COMPUTED_VALUE"""),0)</f>
        <v>0</v>
      </c>
      <c r="AH52" s="24">
        <f ca="1">IFERROR(__xludf.DUMMYFUNCTION("""COMPUTED_VALUE"""),0)</f>
        <v>0</v>
      </c>
      <c r="AI52" s="24">
        <f ca="1">IFERROR(__xludf.DUMMYFUNCTION("""COMPUTED_VALUE"""),0)</f>
        <v>0</v>
      </c>
      <c r="AJ52" s="24">
        <f ca="1">IFERROR(__xludf.DUMMYFUNCTION("""COMPUTED_VALUE"""),0)</f>
        <v>0</v>
      </c>
      <c r="AK52" s="24">
        <f ca="1">IFERROR(__xludf.DUMMYFUNCTION("""COMPUTED_VALUE"""),0)</f>
        <v>0</v>
      </c>
      <c r="AL52" s="24">
        <f ca="1">IFERROR(__xludf.DUMMYFUNCTION("""COMPUTED_VALUE"""),0)</f>
        <v>0</v>
      </c>
      <c r="AM52" s="20"/>
      <c r="AN52" s="20"/>
      <c r="AO52" s="20"/>
      <c r="AP52" s="20"/>
      <c r="AQ52" s="20"/>
      <c r="AR52" s="24">
        <f ca="1">IFERROR(__xludf.DUMMYFUNCTION("""COMPUTED_VALUE"""),0)</f>
        <v>0</v>
      </c>
      <c r="AS52" s="20"/>
      <c r="AT52" s="20"/>
      <c r="AU52" s="20"/>
      <c r="AV52" s="20"/>
      <c r="AW52" s="20"/>
      <c r="AX52" s="24">
        <f ca="1">IFERROR(__xludf.DUMMYFUNCTION("""COMPUTED_VALUE"""),0)</f>
        <v>0</v>
      </c>
      <c r="AY52" s="24">
        <f ca="1">IFERROR(__xludf.DUMMYFUNCTION("""COMPUTED_VALUE"""),0)</f>
        <v>0</v>
      </c>
      <c r="AZ52" s="24">
        <f ca="1">IFERROR(__xludf.DUMMYFUNCTION("""COMPUTED_VALUE"""),0)</f>
        <v>0</v>
      </c>
      <c r="BA52" s="20"/>
      <c r="BB52" s="24">
        <f ca="1">IFERROR(__xludf.DUMMYFUNCTION("""COMPUTED_VALUE"""),0)</f>
        <v>0</v>
      </c>
      <c r="BC52" s="20"/>
      <c r="BD52" s="24">
        <f ca="1">IFERROR(__xludf.DUMMYFUNCTION("""COMPUTED_VALUE"""),0)</f>
        <v>0</v>
      </c>
      <c r="BE52" s="24">
        <f ca="1">IFERROR(__xludf.DUMMYFUNCTION("""COMPUTED_VALUE"""),0)</f>
        <v>0</v>
      </c>
      <c r="BF52" s="24">
        <f ca="1">IFERROR(__xludf.DUMMYFUNCTION("""COMPUTED_VALUE"""),0)</f>
        <v>0</v>
      </c>
      <c r="BG52" s="20"/>
      <c r="BH52" s="24">
        <f ca="1">IFERROR(__xludf.DUMMYFUNCTION("""COMPUTED_VALUE"""),0)</f>
        <v>0</v>
      </c>
      <c r="BI52" s="20"/>
      <c r="BJ52" s="24">
        <f ca="1">IFERROR(__xludf.DUMMYFUNCTION("""COMPUTED_VALUE"""),0)</f>
        <v>0</v>
      </c>
      <c r="BK52" s="24">
        <f ca="1">IFERROR(__xludf.DUMMYFUNCTION("""COMPUTED_VALUE"""),0)</f>
        <v>0</v>
      </c>
      <c r="BL52" s="24">
        <f ca="1">IFERROR(__xludf.DUMMYFUNCTION("""COMPUTED_VALUE"""),0)</f>
        <v>0</v>
      </c>
      <c r="BM52" s="20"/>
      <c r="BN52" s="24">
        <f ca="1">IFERROR(__xludf.DUMMYFUNCTION("""COMPUTED_VALUE"""),0)</f>
        <v>0</v>
      </c>
      <c r="BO52" s="20"/>
      <c r="BP52" s="24">
        <f ca="1">IFERROR(__xludf.DUMMYFUNCTION("""COMPUTED_VALUE"""),0)</f>
        <v>0</v>
      </c>
      <c r="BQ52" s="24">
        <f ca="1">IFERROR(__xludf.DUMMYFUNCTION("""COMPUTED_VALUE"""),0)</f>
        <v>0</v>
      </c>
      <c r="BR52" s="24">
        <f ca="1">IFERROR(__xludf.DUMMYFUNCTION("""COMPUTED_VALUE"""),0)</f>
        <v>0</v>
      </c>
      <c r="BS52" s="20"/>
      <c r="BT52" s="24">
        <f ca="1">IFERROR(__xludf.DUMMYFUNCTION("""COMPUTED_VALUE"""),0)</f>
        <v>0</v>
      </c>
      <c r="BU52" s="20"/>
      <c r="BV52" s="24">
        <f ca="1">IFERROR(__xludf.DUMMYFUNCTION("""COMPUTED_VALUE"""),0)</f>
        <v>0</v>
      </c>
      <c r="BW52" s="24">
        <f ca="1">IFERROR(__xludf.DUMMYFUNCTION("""COMPUTED_VALUE"""),0)</f>
        <v>0</v>
      </c>
      <c r="BX52" s="24">
        <f ca="1">IFERROR(__xludf.DUMMYFUNCTION("""COMPUTED_VALUE"""),0)</f>
        <v>0</v>
      </c>
      <c r="BY52" s="20"/>
      <c r="BZ52" s="24">
        <f ca="1">IFERROR(__xludf.DUMMYFUNCTION("""COMPUTED_VALUE"""),0)</f>
        <v>0</v>
      </c>
      <c r="CA52" s="20"/>
      <c r="CB52" s="20"/>
      <c r="CC52" s="20"/>
      <c r="CD52" s="20"/>
      <c r="CE52" s="20"/>
      <c r="CF52" s="20"/>
      <c r="CG52" s="20"/>
      <c r="CH52" s="20"/>
      <c r="CI52" s="20"/>
      <c r="CJ52" s="20"/>
      <c r="CK52" s="20"/>
      <c r="CL52" s="20"/>
      <c r="CM52" s="20"/>
      <c r="CN52" s="20"/>
      <c r="CO52" s="20"/>
      <c r="CP52" s="20"/>
      <c r="CQ52" s="20"/>
      <c r="CR52" s="20"/>
      <c r="CS52" s="20"/>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row>
    <row r="53" spans="1:123" ht="64.5" hidden="1" customHeight="1" x14ac:dyDescent="0.2">
      <c r="A53" s="19"/>
      <c r="B53" s="20" t="str">
        <f ca="1">IFERROR(__xludf.DUMMYFUNCTION("""COMPUTED_VALUE"""),"г.о. Солнечногорск")</f>
        <v>г.о. Солнечногорск</v>
      </c>
      <c r="C5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3" s="20" t="str">
        <f ca="1">IFERROR(__xludf.DUMMYFUNCTION("""COMPUTED_VALUE"""),"МинЖКХ")</f>
        <v>МинЖКХ</v>
      </c>
      <c r="E53" s="20" t="str">
        <f ca="1">IFERROR(__xludf.DUMMYFUNCTION("""COMPUTED_VALUE"""),"Реконструкция ВЗУ №6 СЭМЗ  г.о. Солнечногорск")</f>
        <v>Реконструкция ВЗУ №6 СЭМЗ  г.о. Солнечногорск</v>
      </c>
      <c r="F53" s="22" t="str">
        <f ca="1">IFERROR(__xludf.DUMMYFUNCTION("""COMPUTED_VALUE"""),"ВЗУ")</f>
        <v>ВЗУ</v>
      </c>
      <c r="G53" s="20" t="str">
        <f ca="1">IFERROR(__xludf.DUMMYFUNCTION("""COMPUTED_VALUE"""),"Н/Л")</f>
        <v>Н/Л</v>
      </c>
      <c r="H53" s="20"/>
      <c r="I53" s="20"/>
      <c r="J53" s="20"/>
      <c r="K53" s="20"/>
      <c r="L53" s="20"/>
      <c r="M53" s="20"/>
      <c r="N53" s="24">
        <f ca="1">IFERROR(__xludf.DUMMYFUNCTION("""COMPUTED_VALUE"""),0)</f>
        <v>0</v>
      </c>
      <c r="O53" s="20"/>
      <c r="P53" s="20"/>
      <c r="Q53" s="20"/>
      <c r="R53" s="20"/>
      <c r="S53" s="20"/>
      <c r="T53" s="20"/>
      <c r="U53" s="24">
        <f ca="1">IFERROR(__xludf.DUMMYFUNCTION("""COMPUTED_VALUE"""),0)</f>
        <v>0</v>
      </c>
      <c r="V53" s="24">
        <f ca="1">IFERROR(__xludf.DUMMYFUNCTION("""COMPUTED_VALUE"""),0)</f>
        <v>0</v>
      </c>
      <c r="W53" s="24">
        <f ca="1">IFERROR(__xludf.DUMMYFUNCTION("""COMPUTED_VALUE"""),0)</f>
        <v>0</v>
      </c>
      <c r="X53" s="24">
        <f ca="1">IFERROR(__xludf.DUMMYFUNCTION("""COMPUTED_VALUE"""),0)</f>
        <v>0</v>
      </c>
      <c r="Y53" s="24">
        <f ca="1">IFERROR(__xludf.DUMMYFUNCTION("""COMPUTED_VALUE"""),0)</f>
        <v>0</v>
      </c>
      <c r="Z53" s="24">
        <f ca="1">IFERROR(__xludf.DUMMYFUNCTION("""COMPUTED_VALUE"""),0)</f>
        <v>0</v>
      </c>
      <c r="AA53" s="20" t="str">
        <f ca="1">IFERROR(__xludf.DUMMYFUNCTION("""COMPUTED_VALUE"""),"10 1 G552430
")</f>
        <v xml:space="preserve">10 1 G552430
</v>
      </c>
      <c r="AB53" s="20">
        <f ca="1">IFERROR(__xludf.DUMMYFUNCTION("""COMPUTED_VALUE"""),522)</f>
        <v>522</v>
      </c>
      <c r="AC53" s="20"/>
      <c r="AD53" s="20"/>
      <c r="AE53" s="20"/>
      <c r="AF53" s="24">
        <f ca="1">IFERROR(__xludf.DUMMYFUNCTION("""COMPUTED_VALUE"""),0)</f>
        <v>0</v>
      </c>
      <c r="AG53" s="24">
        <f ca="1">IFERROR(__xludf.DUMMYFUNCTION("""COMPUTED_VALUE"""),0)</f>
        <v>0</v>
      </c>
      <c r="AH53" s="24">
        <f ca="1">IFERROR(__xludf.DUMMYFUNCTION("""COMPUTED_VALUE"""),0)</f>
        <v>0</v>
      </c>
      <c r="AI53" s="24">
        <f ca="1">IFERROR(__xludf.DUMMYFUNCTION("""COMPUTED_VALUE"""),0)</f>
        <v>0</v>
      </c>
      <c r="AJ53" s="24">
        <f ca="1">IFERROR(__xludf.DUMMYFUNCTION("""COMPUTED_VALUE"""),0)</f>
        <v>0</v>
      </c>
      <c r="AK53" s="24">
        <f ca="1">IFERROR(__xludf.DUMMYFUNCTION("""COMPUTED_VALUE"""),0)</f>
        <v>0</v>
      </c>
      <c r="AL53" s="24">
        <f ca="1">IFERROR(__xludf.DUMMYFUNCTION("""COMPUTED_VALUE"""),0)</f>
        <v>0</v>
      </c>
      <c r="AM53" s="20"/>
      <c r="AN53" s="20"/>
      <c r="AO53" s="20"/>
      <c r="AP53" s="20"/>
      <c r="AQ53" s="20"/>
      <c r="AR53" s="24">
        <f ca="1">IFERROR(__xludf.DUMMYFUNCTION("""COMPUTED_VALUE"""),0)</f>
        <v>0</v>
      </c>
      <c r="AS53" s="20"/>
      <c r="AT53" s="20"/>
      <c r="AU53" s="20"/>
      <c r="AV53" s="20"/>
      <c r="AW53" s="20"/>
      <c r="AX53" s="24">
        <f ca="1">IFERROR(__xludf.DUMMYFUNCTION("""COMPUTED_VALUE"""),0)</f>
        <v>0</v>
      </c>
      <c r="AY53" s="24">
        <f ca="1">IFERROR(__xludf.DUMMYFUNCTION("""COMPUTED_VALUE"""),0)</f>
        <v>0</v>
      </c>
      <c r="AZ53" s="24">
        <f ca="1">IFERROR(__xludf.DUMMYFUNCTION("""COMPUTED_VALUE"""),0)</f>
        <v>0</v>
      </c>
      <c r="BA53" s="20"/>
      <c r="BB53" s="24">
        <f ca="1">IFERROR(__xludf.DUMMYFUNCTION("""COMPUTED_VALUE"""),0)</f>
        <v>0</v>
      </c>
      <c r="BC53" s="20"/>
      <c r="BD53" s="24">
        <f ca="1">IFERROR(__xludf.DUMMYFUNCTION("""COMPUTED_VALUE"""),0)</f>
        <v>0</v>
      </c>
      <c r="BE53" s="24">
        <f ca="1">IFERROR(__xludf.DUMMYFUNCTION("""COMPUTED_VALUE"""),0)</f>
        <v>0</v>
      </c>
      <c r="BF53" s="24">
        <f ca="1">IFERROR(__xludf.DUMMYFUNCTION("""COMPUTED_VALUE"""),0)</f>
        <v>0</v>
      </c>
      <c r="BG53" s="20"/>
      <c r="BH53" s="24">
        <f ca="1">IFERROR(__xludf.DUMMYFUNCTION("""COMPUTED_VALUE"""),0)</f>
        <v>0</v>
      </c>
      <c r="BI53" s="20"/>
      <c r="BJ53" s="24">
        <f ca="1">IFERROR(__xludf.DUMMYFUNCTION("""COMPUTED_VALUE"""),0)</f>
        <v>0</v>
      </c>
      <c r="BK53" s="24">
        <f ca="1">IFERROR(__xludf.DUMMYFUNCTION("""COMPUTED_VALUE"""),0)</f>
        <v>0</v>
      </c>
      <c r="BL53" s="24">
        <f ca="1">IFERROR(__xludf.DUMMYFUNCTION("""COMPUTED_VALUE"""),0)</f>
        <v>0</v>
      </c>
      <c r="BM53" s="20"/>
      <c r="BN53" s="24">
        <f ca="1">IFERROR(__xludf.DUMMYFUNCTION("""COMPUTED_VALUE"""),0)</f>
        <v>0</v>
      </c>
      <c r="BO53" s="20"/>
      <c r="BP53" s="24">
        <f ca="1">IFERROR(__xludf.DUMMYFUNCTION("""COMPUTED_VALUE"""),0)</f>
        <v>0</v>
      </c>
      <c r="BQ53" s="24">
        <f ca="1">IFERROR(__xludf.DUMMYFUNCTION("""COMPUTED_VALUE"""),0)</f>
        <v>0</v>
      </c>
      <c r="BR53" s="24">
        <f ca="1">IFERROR(__xludf.DUMMYFUNCTION("""COMPUTED_VALUE"""),0)</f>
        <v>0</v>
      </c>
      <c r="BS53" s="20"/>
      <c r="BT53" s="24">
        <f ca="1">IFERROR(__xludf.DUMMYFUNCTION("""COMPUTED_VALUE"""),0)</f>
        <v>0</v>
      </c>
      <c r="BU53" s="20"/>
      <c r="BV53" s="24">
        <f ca="1">IFERROR(__xludf.DUMMYFUNCTION("""COMPUTED_VALUE"""),0)</f>
        <v>0</v>
      </c>
      <c r="BW53" s="24">
        <f ca="1">IFERROR(__xludf.DUMMYFUNCTION("""COMPUTED_VALUE"""),0)</f>
        <v>0</v>
      </c>
      <c r="BX53" s="24">
        <f ca="1">IFERROR(__xludf.DUMMYFUNCTION("""COMPUTED_VALUE"""),0)</f>
        <v>0</v>
      </c>
      <c r="BY53" s="20"/>
      <c r="BZ53" s="24">
        <f ca="1">IFERROR(__xludf.DUMMYFUNCTION("""COMPUTED_VALUE"""),0)</f>
        <v>0</v>
      </c>
      <c r="CA53" s="20"/>
      <c r="CB53" s="20"/>
      <c r="CC53" s="20"/>
      <c r="CD53" s="20"/>
      <c r="CE53" s="20"/>
      <c r="CF53" s="20"/>
      <c r="CG53" s="20"/>
      <c r="CH53" s="20"/>
      <c r="CI53" s="20"/>
      <c r="CJ53" s="20"/>
      <c r="CK53" s="20"/>
      <c r="CL53" s="20"/>
      <c r="CM53" s="20"/>
      <c r="CN53" s="20"/>
      <c r="CO53" s="20"/>
      <c r="CP53" s="20"/>
      <c r="CQ53" s="20"/>
      <c r="CR53" s="20"/>
      <c r="CS53" s="20"/>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row>
    <row r="54" spans="1:123" ht="64.5" hidden="1" customHeight="1" x14ac:dyDescent="0.2">
      <c r="A54" s="19"/>
      <c r="B54" s="20" t="str">
        <f ca="1">IFERROR(__xludf.DUMMYFUNCTION("""COMPUTED_VALUE"""),"г.о. Солнечногорск")</f>
        <v>г.о. Солнечногорск</v>
      </c>
      <c r="C5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4" s="20" t="str">
        <f ca="1">IFERROR(__xludf.DUMMYFUNCTION("""COMPUTED_VALUE"""),"МинЖКХ")</f>
        <v>МинЖКХ</v>
      </c>
      <c r="E54" s="20" t="str">
        <f ca="1">IFERROR(__xludf.DUMMYFUNCTION("""COMPUTED_VALUE"""),"Реконструкция ВЗУ №2 ул. Рабочая  г.о. Солнечногорск")</f>
        <v>Реконструкция ВЗУ №2 ул. Рабочая  г.о. Солнечногорск</v>
      </c>
      <c r="F54" s="22" t="str">
        <f ca="1">IFERROR(__xludf.DUMMYFUNCTION("""COMPUTED_VALUE"""),"ВЗУ")</f>
        <v>ВЗУ</v>
      </c>
      <c r="G54" s="20">
        <f ca="1">IFERROR(__xludf.DUMMYFUNCTION("""COMPUTED_VALUE"""),2023)</f>
        <v>2023</v>
      </c>
      <c r="H54" s="20" t="str">
        <f ca="1">IFERROR(__xludf.DUMMYFUNCTION("""COMPUTED_VALUE"""),"СМР")</f>
        <v>СМР</v>
      </c>
      <c r="I54" s="20"/>
      <c r="J54" s="20"/>
      <c r="K54" s="20"/>
      <c r="L54" s="20"/>
      <c r="M54" s="20"/>
      <c r="N54" s="24">
        <f ca="1">IFERROR(__xludf.DUMMYFUNCTION("""COMPUTED_VALUE"""),0)</f>
        <v>0</v>
      </c>
      <c r="O54" s="20"/>
      <c r="P54" s="20"/>
      <c r="Q54" s="20"/>
      <c r="R54" s="20"/>
      <c r="S54" s="20"/>
      <c r="T54" s="20"/>
      <c r="U54" s="24">
        <f ca="1">IFERROR(__xludf.DUMMYFUNCTION("""COMPUTED_VALUE"""),0)</f>
        <v>0</v>
      </c>
      <c r="V54" s="24">
        <f ca="1">IFERROR(__xludf.DUMMYFUNCTION("""COMPUTED_VALUE"""),0)</f>
        <v>0</v>
      </c>
      <c r="W54" s="24">
        <f ca="1">IFERROR(__xludf.DUMMYFUNCTION("""COMPUTED_VALUE"""),0)</f>
        <v>0</v>
      </c>
      <c r="X54" s="24">
        <f ca="1">IFERROR(__xludf.DUMMYFUNCTION("""COMPUTED_VALUE"""),0)</f>
        <v>0</v>
      </c>
      <c r="Y54" s="24">
        <f ca="1">IFERROR(__xludf.DUMMYFUNCTION("""COMPUTED_VALUE"""),0)</f>
        <v>0</v>
      </c>
      <c r="Z54" s="24">
        <f ca="1">IFERROR(__xludf.DUMMYFUNCTION("""COMPUTED_VALUE"""),0)</f>
        <v>0</v>
      </c>
      <c r="AA54" s="20" t="str">
        <f ca="1">IFERROR(__xludf.DUMMYFUNCTION("""COMPUTED_VALUE"""),"10 1 G552430
")</f>
        <v xml:space="preserve">10 1 G552430
</v>
      </c>
      <c r="AB54" s="20">
        <f ca="1">IFERROR(__xludf.DUMMYFUNCTION("""COMPUTED_VALUE"""),522)</f>
        <v>522</v>
      </c>
      <c r="AC54" s="20"/>
      <c r="AD54" s="20"/>
      <c r="AE54" s="20"/>
      <c r="AF54" s="24">
        <f ca="1">IFERROR(__xludf.DUMMYFUNCTION("""COMPUTED_VALUE"""),20000)</f>
        <v>20000</v>
      </c>
      <c r="AG54" s="24">
        <f ca="1">IFERROR(__xludf.DUMMYFUNCTION("""COMPUTED_VALUE"""),12420)</f>
        <v>12420</v>
      </c>
      <c r="AH54" s="24">
        <f ca="1">IFERROR(__xludf.DUMMYFUNCTION("""COMPUTED_VALUE"""),4140)</f>
        <v>4140</v>
      </c>
      <c r="AI54" s="24">
        <f ca="1">IFERROR(__xludf.DUMMYFUNCTION("""COMPUTED_VALUE"""),0)</f>
        <v>0</v>
      </c>
      <c r="AJ54" s="24">
        <f ca="1">IFERROR(__xludf.DUMMYFUNCTION("""COMPUTED_VALUE"""),3440)</f>
        <v>3440</v>
      </c>
      <c r="AK54" s="24">
        <f ca="1">IFERROR(__xludf.DUMMYFUNCTION("""COMPUTED_VALUE"""),0)</f>
        <v>0</v>
      </c>
      <c r="AL54" s="24">
        <f ca="1">IFERROR(__xludf.DUMMYFUNCTION("""COMPUTED_VALUE"""),0)</f>
        <v>0</v>
      </c>
      <c r="AM54" s="20"/>
      <c r="AN54" s="20"/>
      <c r="AO54" s="20"/>
      <c r="AP54" s="20"/>
      <c r="AQ54" s="20"/>
      <c r="AR54" s="24">
        <f ca="1">IFERROR(__xludf.DUMMYFUNCTION("""COMPUTED_VALUE"""),0)</f>
        <v>0</v>
      </c>
      <c r="AS54" s="20"/>
      <c r="AT54" s="20"/>
      <c r="AU54" s="20"/>
      <c r="AV54" s="20"/>
      <c r="AW54" s="20"/>
      <c r="AX54" s="24">
        <f ca="1">IFERROR(__xludf.DUMMYFUNCTION("""COMPUTED_VALUE"""),0)</f>
        <v>0</v>
      </c>
      <c r="AY54" s="24">
        <f ca="1">IFERROR(__xludf.DUMMYFUNCTION("""COMPUTED_VALUE"""),0)</f>
        <v>0</v>
      </c>
      <c r="AZ54" s="24">
        <f ca="1">IFERROR(__xludf.DUMMYFUNCTION("""COMPUTED_VALUE"""),0)</f>
        <v>0</v>
      </c>
      <c r="BA54" s="20"/>
      <c r="BB54" s="24">
        <f ca="1">IFERROR(__xludf.DUMMYFUNCTION("""COMPUTED_VALUE"""),0)</f>
        <v>0</v>
      </c>
      <c r="BC54" s="20"/>
      <c r="BD54" s="24">
        <f ca="1">IFERROR(__xludf.DUMMYFUNCTION("""COMPUTED_VALUE"""),0)</f>
        <v>0</v>
      </c>
      <c r="BE54" s="24">
        <f ca="1">IFERROR(__xludf.DUMMYFUNCTION("""COMPUTED_VALUE"""),0)</f>
        <v>0</v>
      </c>
      <c r="BF54" s="24">
        <f ca="1">IFERROR(__xludf.DUMMYFUNCTION("""COMPUTED_VALUE"""),0)</f>
        <v>0</v>
      </c>
      <c r="BG54" s="20"/>
      <c r="BH54" s="24">
        <f ca="1">IFERROR(__xludf.DUMMYFUNCTION("""COMPUTED_VALUE"""),0)</f>
        <v>0</v>
      </c>
      <c r="BI54" s="20"/>
      <c r="BJ54" s="24">
        <f ca="1">IFERROR(__xludf.DUMMYFUNCTION("""COMPUTED_VALUE"""),0)</f>
        <v>0</v>
      </c>
      <c r="BK54" s="24">
        <f ca="1">IFERROR(__xludf.DUMMYFUNCTION("""COMPUTED_VALUE"""),0)</f>
        <v>0</v>
      </c>
      <c r="BL54" s="24">
        <f ca="1">IFERROR(__xludf.DUMMYFUNCTION("""COMPUTED_VALUE"""),0)</f>
        <v>0</v>
      </c>
      <c r="BM54" s="20"/>
      <c r="BN54" s="24">
        <f ca="1">IFERROR(__xludf.DUMMYFUNCTION("""COMPUTED_VALUE"""),0)</f>
        <v>0</v>
      </c>
      <c r="BO54" s="20"/>
      <c r="BP54" s="24">
        <f ca="1">IFERROR(__xludf.DUMMYFUNCTION("""COMPUTED_VALUE"""),20000)</f>
        <v>20000</v>
      </c>
      <c r="BQ54" s="24">
        <f ca="1">IFERROR(__xludf.DUMMYFUNCTION("""COMPUTED_VALUE"""),12420)</f>
        <v>12420</v>
      </c>
      <c r="BR54" s="24">
        <f ca="1">IFERROR(__xludf.DUMMYFUNCTION("""COMPUTED_VALUE"""),4140)</f>
        <v>4140</v>
      </c>
      <c r="BS54" s="20"/>
      <c r="BT54" s="24">
        <f ca="1">IFERROR(__xludf.DUMMYFUNCTION("""COMPUTED_VALUE"""),3440)</f>
        <v>3440</v>
      </c>
      <c r="BU54" s="20"/>
      <c r="BV54" s="24">
        <f ca="1">IFERROR(__xludf.DUMMYFUNCTION("""COMPUTED_VALUE"""),0)</f>
        <v>0</v>
      </c>
      <c r="BW54" s="24">
        <f ca="1">IFERROR(__xludf.DUMMYFUNCTION("""COMPUTED_VALUE"""),0)</f>
        <v>0</v>
      </c>
      <c r="BX54" s="24">
        <f ca="1">IFERROR(__xludf.DUMMYFUNCTION("""COMPUTED_VALUE"""),0)</f>
        <v>0</v>
      </c>
      <c r="BY54" s="20"/>
      <c r="BZ54" s="24">
        <f ca="1">IFERROR(__xludf.DUMMYFUNCTION("""COMPUTED_VALUE"""),0)</f>
        <v>0</v>
      </c>
      <c r="CA54" s="20"/>
      <c r="CB54" s="20"/>
      <c r="CC54" s="20"/>
      <c r="CD54" s="20"/>
      <c r="CE54" s="20"/>
      <c r="CF54" s="20"/>
      <c r="CG54" s="20"/>
      <c r="CH54" s="20"/>
      <c r="CI54" s="20"/>
      <c r="CJ54" s="20"/>
      <c r="CK54" s="20"/>
      <c r="CL54" s="20"/>
      <c r="CM54" s="20"/>
      <c r="CN54" s="20"/>
      <c r="CO54" s="20"/>
      <c r="CP54" s="20"/>
      <c r="CQ54" s="20"/>
      <c r="CR54" s="20"/>
      <c r="CS54" s="20"/>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row>
    <row r="55" spans="1:123" ht="64.5" hidden="1" customHeight="1" x14ac:dyDescent="0.2">
      <c r="A55" s="19"/>
      <c r="B55" s="20" t="str">
        <f ca="1">IFERROR(__xludf.DUMMYFUNCTION("""COMPUTED_VALUE"""),"г.о. Солнечногорск")</f>
        <v>г.о. Солнечногорск</v>
      </c>
      <c r="C5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5" s="20" t="str">
        <f ca="1">IFERROR(__xludf.DUMMYFUNCTION("""COMPUTED_VALUE"""),"МинЖКХ")</f>
        <v>МинЖКХ</v>
      </c>
      <c r="E55" s="20" t="str">
        <f ca="1">IFERROR(__xludf.DUMMYFUNCTION("""COMPUTED_VALUE"""),"Реконструкция ВЗУ №1Ул. Крупской  г.о. Солнечногорск")</f>
        <v>Реконструкция ВЗУ №1Ул. Крупской  г.о. Солнечногорск</v>
      </c>
      <c r="F55" s="22" t="str">
        <f ca="1">IFERROR(__xludf.DUMMYFUNCTION("""COMPUTED_VALUE"""),"ВЗУ")</f>
        <v>ВЗУ</v>
      </c>
      <c r="G55" s="20" t="str">
        <f ca="1">IFERROR(__xludf.DUMMYFUNCTION("""COMPUTED_VALUE"""),"Н/Л")</f>
        <v>Н/Л</v>
      </c>
      <c r="H55" s="20"/>
      <c r="I55" s="20"/>
      <c r="J55" s="20"/>
      <c r="K55" s="20"/>
      <c r="L55" s="20"/>
      <c r="M55" s="20"/>
      <c r="N55" s="24">
        <f ca="1">IFERROR(__xludf.DUMMYFUNCTION("""COMPUTED_VALUE"""),0)</f>
        <v>0</v>
      </c>
      <c r="O55" s="20"/>
      <c r="P55" s="20"/>
      <c r="Q55" s="20"/>
      <c r="R55" s="20"/>
      <c r="S55" s="20"/>
      <c r="T55" s="20"/>
      <c r="U55" s="24">
        <f ca="1">IFERROR(__xludf.DUMMYFUNCTION("""COMPUTED_VALUE"""),0)</f>
        <v>0</v>
      </c>
      <c r="V55" s="24">
        <f ca="1">IFERROR(__xludf.DUMMYFUNCTION("""COMPUTED_VALUE"""),0)</f>
        <v>0</v>
      </c>
      <c r="W55" s="24">
        <f ca="1">IFERROR(__xludf.DUMMYFUNCTION("""COMPUTED_VALUE"""),0)</f>
        <v>0</v>
      </c>
      <c r="X55" s="24">
        <f ca="1">IFERROR(__xludf.DUMMYFUNCTION("""COMPUTED_VALUE"""),0)</f>
        <v>0</v>
      </c>
      <c r="Y55" s="24">
        <f ca="1">IFERROR(__xludf.DUMMYFUNCTION("""COMPUTED_VALUE"""),0)</f>
        <v>0</v>
      </c>
      <c r="Z55" s="24">
        <f ca="1">IFERROR(__xludf.DUMMYFUNCTION("""COMPUTED_VALUE"""),0)</f>
        <v>0</v>
      </c>
      <c r="AA55" s="20" t="str">
        <f ca="1">IFERROR(__xludf.DUMMYFUNCTION("""COMPUTED_VALUE"""),"10 1 G552430
")</f>
        <v xml:space="preserve">10 1 G552430
</v>
      </c>
      <c r="AB55" s="20">
        <f ca="1">IFERROR(__xludf.DUMMYFUNCTION("""COMPUTED_VALUE"""),522)</f>
        <v>522</v>
      </c>
      <c r="AC55" s="20"/>
      <c r="AD55" s="20"/>
      <c r="AE55" s="20"/>
      <c r="AF55" s="24">
        <f ca="1">IFERROR(__xludf.DUMMYFUNCTION("""COMPUTED_VALUE"""),0)</f>
        <v>0</v>
      </c>
      <c r="AG55" s="24">
        <f ca="1">IFERROR(__xludf.DUMMYFUNCTION("""COMPUTED_VALUE"""),0)</f>
        <v>0</v>
      </c>
      <c r="AH55" s="24">
        <f ca="1">IFERROR(__xludf.DUMMYFUNCTION("""COMPUTED_VALUE"""),0)</f>
        <v>0</v>
      </c>
      <c r="AI55" s="24">
        <f ca="1">IFERROR(__xludf.DUMMYFUNCTION("""COMPUTED_VALUE"""),0)</f>
        <v>0</v>
      </c>
      <c r="AJ55" s="24">
        <f ca="1">IFERROR(__xludf.DUMMYFUNCTION("""COMPUTED_VALUE"""),0)</f>
        <v>0</v>
      </c>
      <c r="AK55" s="24">
        <f ca="1">IFERROR(__xludf.DUMMYFUNCTION("""COMPUTED_VALUE"""),0)</f>
        <v>0</v>
      </c>
      <c r="AL55" s="24">
        <f ca="1">IFERROR(__xludf.DUMMYFUNCTION("""COMPUTED_VALUE"""),0)</f>
        <v>0</v>
      </c>
      <c r="AM55" s="20"/>
      <c r="AN55" s="20"/>
      <c r="AO55" s="20"/>
      <c r="AP55" s="20"/>
      <c r="AQ55" s="20"/>
      <c r="AR55" s="24">
        <f ca="1">IFERROR(__xludf.DUMMYFUNCTION("""COMPUTED_VALUE"""),0)</f>
        <v>0</v>
      </c>
      <c r="AS55" s="20"/>
      <c r="AT55" s="20"/>
      <c r="AU55" s="20"/>
      <c r="AV55" s="20"/>
      <c r="AW55" s="20"/>
      <c r="AX55" s="24">
        <f ca="1">IFERROR(__xludf.DUMMYFUNCTION("""COMPUTED_VALUE"""),0)</f>
        <v>0</v>
      </c>
      <c r="AY55" s="24">
        <f ca="1">IFERROR(__xludf.DUMMYFUNCTION("""COMPUTED_VALUE"""),0)</f>
        <v>0</v>
      </c>
      <c r="AZ55" s="24">
        <f ca="1">IFERROR(__xludf.DUMMYFUNCTION("""COMPUTED_VALUE"""),0)</f>
        <v>0</v>
      </c>
      <c r="BA55" s="20"/>
      <c r="BB55" s="24">
        <f ca="1">IFERROR(__xludf.DUMMYFUNCTION("""COMPUTED_VALUE"""),0)</f>
        <v>0</v>
      </c>
      <c r="BC55" s="20"/>
      <c r="BD55" s="24">
        <f ca="1">IFERROR(__xludf.DUMMYFUNCTION("""COMPUTED_VALUE"""),0)</f>
        <v>0</v>
      </c>
      <c r="BE55" s="24">
        <f ca="1">IFERROR(__xludf.DUMMYFUNCTION("""COMPUTED_VALUE"""),0)</f>
        <v>0</v>
      </c>
      <c r="BF55" s="24">
        <f ca="1">IFERROR(__xludf.DUMMYFUNCTION("""COMPUTED_VALUE"""),0)</f>
        <v>0</v>
      </c>
      <c r="BG55" s="20"/>
      <c r="BH55" s="24">
        <f ca="1">IFERROR(__xludf.DUMMYFUNCTION("""COMPUTED_VALUE"""),0)</f>
        <v>0</v>
      </c>
      <c r="BI55" s="20"/>
      <c r="BJ55" s="24">
        <f ca="1">IFERROR(__xludf.DUMMYFUNCTION("""COMPUTED_VALUE"""),0)</f>
        <v>0</v>
      </c>
      <c r="BK55" s="24">
        <f ca="1">IFERROR(__xludf.DUMMYFUNCTION("""COMPUTED_VALUE"""),0)</f>
        <v>0</v>
      </c>
      <c r="BL55" s="24">
        <f ca="1">IFERROR(__xludf.DUMMYFUNCTION("""COMPUTED_VALUE"""),0)</f>
        <v>0</v>
      </c>
      <c r="BM55" s="20"/>
      <c r="BN55" s="24">
        <f ca="1">IFERROR(__xludf.DUMMYFUNCTION("""COMPUTED_VALUE"""),0)</f>
        <v>0</v>
      </c>
      <c r="BO55" s="20"/>
      <c r="BP55" s="24">
        <f ca="1">IFERROR(__xludf.DUMMYFUNCTION("""COMPUTED_VALUE"""),0)</f>
        <v>0</v>
      </c>
      <c r="BQ55" s="24">
        <f ca="1">IFERROR(__xludf.DUMMYFUNCTION("""COMPUTED_VALUE"""),0)</f>
        <v>0</v>
      </c>
      <c r="BR55" s="24">
        <f ca="1">IFERROR(__xludf.DUMMYFUNCTION("""COMPUTED_VALUE"""),0)</f>
        <v>0</v>
      </c>
      <c r="BS55" s="20"/>
      <c r="BT55" s="24">
        <f ca="1">IFERROR(__xludf.DUMMYFUNCTION("""COMPUTED_VALUE"""),0)</f>
        <v>0</v>
      </c>
      <c r="BU55" s="20"/>
      <c r="BV55" s="24">
        <f ca="1">IFERROR(__xludf.DUMMYFUNCTION("""COMPUTED_VALUE"""),0)</f>
        <v>0</v>
      </c>
      <c r="BW55" s="24">
        <f ca="1">IFERROR(__xludf.DUMMYFUNCTION("""COMPUTED_VALUE"""),0)</f>
        <v>0</v>
      </c>
      <c r="BX55" s="24">
        <f ca="1">IFERROR(__xludf.DUMMYFUNCTION("""COMPUTED_VALUE"""),0)</f>
        <v>0</v>
      </c>
      <c r="BY55" s="20"/>
      <c r="BZ55" s="24">
        <f ca="1">IFERROR(__xludf.DUMMYFUNCTION("""COMPUTED_VALUE"""),0)</f>
        <v>0</v>
      </c>
      <c r="CA55" s="20"/>
      <c r="CB55" s="20"/>
      <c r="CC55" s="20"/>
      <c r="CD55" s="20"/>
      <c r="CE55" s="20"/>
      <c r="CF55" s="20"/>
      <c r="CG55" s="20"/>
      <c r="CH55" s="20"/>
      <c r="CI55" s="20"/>
      <c r="CJ55" s="20"/>
      <c r="CK55" s="20"/>
      <c r="CL55" s="20"/>
      <c r="CM55" s="20"/>
      <c r="CN55" s="20"/>
      <c r="CO55" s="20"/>
      <c r="CP55" s="20"/>
      <c r="CQ55" s="20"/>
      <c r="CR55" s="20"/>
      <c r="CS55" s="20"/>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row>
    <row r="56" spans="1:123" ht="64.5" hidden="1" customHeight="1" x14ac:dyDescent="0.2">
      <c r="A56" s="19"/>
      <c r="B56" s="20" t="str">
        <f ca="1">IFERROR(__xludf.DUMMYFUNCTION("""COMPUTED_VALUE"""),"г.о. Солнечногорск")</f>
        <v>г.о. Солнечногорск</v>
      </c>
      <c r="C5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6" s="20" t="str">
        <f ca="1">IFERROR(__xludf.DUMMYFUNCTION("""COMPUTED_VALUE"""),"МинЖКХ")</f>
        <v>МинЖКХ</v>
      </c>
      <c r="E56" s="20" t="str">
        <f ca="1">IFERROR(__xludf.DUMMYFUNCTION("""COMPUTED_VALUE"""),"Реконструкция ВЗУ №3 пос. Матросова  г.о. Солнечногорск")</f>
        <v>Реконструкция ВЗУ №3 пос. Матросова  г.о. Солнечногорск</v>
      </c>
      <c r="F56" s="22" t="str">
        <f ca="1">IFERROR(__xludf.DUMMYFUNCTION("""COMPUTED_VALUE"""),"ВЗУ")</f>
        <v>ВЗУ</v>
      </c>
      <c r="G56" s="20" t="str">
        <f ca="1">IFERROR(__xludf.DUMMYFUNCTION("""COMPUTED_VALUE"""),"Н/Л")</f>
        <v>Н/Л</v>
      </c>
      <c r="H56" s="20"/>
      <c r="I56" s="20"/>
      <c r="J56" s="20"/>
      <c r="K56" s="20"/>
      <c r="L56" s="20"/>
      <c r="M56" s="20"/>
      <c r="N56" s="24">
        <f ca="1">IFERROR(__xludf.DUMMYFUNCTION("""COMPUTED_VALUE"""),0)</f>
        <v>0</v>
      </c>
      <c r="O56" s="20"/>
      <c r="P56" s="20"/>
      <c r="Q56" s="20"/>
      <c r="R56" s="20"/>
      <c r="S56" s="20"/>
      <c r="T56" s="20"/>
      <c r="U56" s="24">
        <f ca="1">IFERROR(__xludf.DUMMYFUNCTION("""COMPUTED_VALUE"""),0)</f>
        <v>0</v>
      </c>
      <c r="V56" s="24">
        <f ca="1">IFERROR(__xludf.DUMMYFUNCTION("""COMPUTED_VALUE"""),0)</f>
        <v>0</v>
      </c>
      <c r="W56" s="24">
        <f ca="1">IFERROR(__xludf.DUMMYFUNCTION("""COMPUTED_VALUE"""),0)</f>
        <v>0</v>
      </c>
      <c r="X56" s="24">
        <f ca="1">IFERROR(__xludf.DUMMYFUNCTION("""COMPUTED_VALUE"""),0)</f>
        <v>0</v>
      </c>
      <c r="Y56" s="24">
        <f ca="1">IFERROR(__xludf.DUMMYFUNCTION("""COMPUTED_VALUE"""),0)</f>
        <v>0</v>
      </c>
      <c r="Z56" s="24">
        <f ca="1">IFERROR(__xludf.DUMMYFUNCTION("""COMPUTED_VALUE"""),0)</f>
        <v>0</v>
      </c>
      <c r="AA56" s="20" t="str">
        <f ca="1">IFERROR(__xludf.DUMMYFUNCTION("""COMPUTED_VALUE"""),"10 1 G552430
")</f>
        <v xml:space="preserve">10 1 G552430
</v>
      </c>
      <c r="AB56" s="20">
        <f ca="1">IFERROR(__xludf.DUMMYFUNCTION("""COMPUTED_VALUE"""),522)</f>
        <v>522</v>
      </c>
      <c r="AC56" s="20"/>
      <c r="AD56" s="20"/>
      <c r="AE56" s="20"/>
      <c r="AF56" s="24">
        <f ca="1">IFERROR(__xludf.DUMMYFUNCTION("""COMPUTED_VALUE"""),0)</f>
        <v>0</v>
      </c>
      <c r="AG56" s="24">
        <f ca="1">IFERROR(__xludf.DUMMYFUNCTION("""COMPUTED_VALUE"""),0)</f>
        <v>0</v>
      </c>
      <c r="AH56" s="24">
        <f ca="1">IFERROR(__xludf.DUMMYFUNCTION("""COMPUTED_VALUE"""),0)</f>
        <v>0</v>
      </c>
      <c r="AI56" s="24">
        <f ca="1">IFERROR(__xludf.DUMMYFUNCTION("""COMPUTED_VALUE"""),0)</f>
        <v>0</v>
      </c>
      <c r="AJ56" s="24">
        <f ca="1">IFERROR(__xludf.DUMMYFUNCTION("""COMPUTED_VALUE"""),0)</f>
        <v>0</v>
      </c>
      <c r="AK56" s="24">
        <f ca="1">IFERROR(__xludf.DUMMYFUNCTION("""COMPUTED_VALUE"""),0)</f>
        <v>0</v>
      </c>
      <c r="AL56" s="24">
        <f ca="1">IFERROR(__xludf.DUMMYFUNCTION("""COMPUTED_VALUE"""),0)</f>
        <v>0</v>
      </c>
      <c r="AM56" s="20"/>
      <c r="AN56" s="20"/>
      <c r="AO56" s="20"/>
      <c r="AP56" s="20"/>
      <c r="AQ56" s="20"/>
      <c r="AR56" s="24">
        <f ca="1">IFERROR(__xludf.DUMMYFUNCTION("""COMPUTED_VALUE"""),0)</f>
        <v>0</v>
      </c>
      <c r="AS56" s="20"/>
      <c r="AT56" s="20"/>
      <c r="AU56" s="20"/>
      <c r="AV56" s="20"/>
      <c r="AW56" s="20"/>
      <c r="AX56" s="24">
        <f ca="1">IFERROR(__xludf.DUMMYFUNCTION("""COMPUTED_VALUE"""),0)</f>
        <v>0</v>
      </c>
      <c r="AY56" s="24">
        <f ca="1">IFERROR(__xludf.DUMMYFUNCTION("""COMPUTED_VALUE"""),0)</f>
        <v>0</v>
      </c>
      <c r="AZ56" s="24">
        <f ca="1">IFERROR(__xludf.DUMMYFUNCTION("""COMPUTED_VALUE"""),0)</f>
        <v>0</v>
      </c>
      <c r="BA56" s="20"/>
      <c r="BB56" s="24">
        <f ca="1">IFERROR(__xludf.DUMMYFUNCTION("""COMPUTED_VALUE"""),0)</f>
        <v>0</v>
      </c>
      <c r="BC56" s="20"/>
      <c r="BD56" s="24">
        <f ca="1">IFERROR(__xludf.DUMMYFUNCTION("""COMPUTED_VALUE"""),0)</f>
        <v>0</v>
      </c>
      <c r="BE56" s="24">
        <f ca="1">IFERROR(__xludf.DUMMYFUNCTION("""COMPUTED_VALUE"""),0)</f>
        <v>0</v>
      </c>
      <c r="BF56" s="24">
        <f ca="1">IFERROR(__xludf.DUMMYFUNCTION("""COMPUTED_VALUE"""),0)</f>
        <v>0</v>
      </c>
      <c r="BG56" s="20"/>
      <c r="BH56" s="24">
        <f ca="1">IFERROR(__xludf.DUMMYFUNCTION("""COMPUTED_VALUE"""),0)</f>
        <v>0</v>
      </c>
      <c r="BI56" s="20"/>
      <c r="BJ56" s="24">
        <f ca="1">IFERROR(__xludf.DUMMYFUNCTION("""COMPUTED_VALUE"""),0)</f>
        <v>0</v>
      </c>
      <c r="BK56" s="24">
        <f ca="1">IFERROR(__xludf.DUMMYFUNCTION("""COMPUTED_VALUE"""),0)</f>
        <v>0</v>
      </c>
      <c r="BL56" s="24">
        <f ca="1">IFERROR(__xludf.DUMMYFUNCTION("""COMPUTED_VALUE"""),0)</f>
        <v>0</v>
      </c>
      <c r="BM56" s="20"/>
      <c r="BN56" s="24">
        <f ca="1">IFERROR(__xludf.DUMMYFUNCTION("""COMPUTED_VALUE"""),0)</f>
        <v>0</v>
      </c>
      <c r="BO56" s="20"/>
      <c r="BP56" s="24">
        <f ca="1">IFERROR(__xludf.DUMMYFUNCTION("""COMPUTED_VALUE"""),0)</f>
        <v>0</v>
      </c>
      <c r="BQ56" s="24">
        <f ca="1">IFERROR(__xludf.DUMMYFUNCTION("""COMPUTED_VALUE"""),0)</f>
        <v>0</v>
      </c>
      <c r="BR56" s="24">
        <f ca="1">IFERROR(__xludf.DUMMYFUNCTION("""COMPUTED_VALUE"""),0)</f>
        <v>0</v>
      </c>
      <c r="BS56" s="20"/>
      <c r="BT56" s="24">
        <f ca="1">IFERROR(__xludf.DUMMYFUNCTION("""COMPUTED_VALUE"""),0)</f>
        <v>0</v>
      </c>
      <c r="BU56" s="20"/>
      <c r="BV56" s="24">
        <f ca="1">IFERROR(__xludf.DUMMYFUNCTION("""COMPUTED_VALUE"""),0)</f>
        <v>0</v>
      </c>
      <c r="BW56" s="24">
        <f ca="1">IFERROR(__xludf.DUMMYFUNCTION("""COMPUTED_VALUE"""),0)</f>
        <v>0</v>
      </c>
      <c r="BX56" s="24">
        <f ca="1">IFERROR(__xludf.DUMMYFUNCTION("""COMPUTED_VALUE"""),0)</f>
        <v>0</v>
      </c>
      <c r="BY56" s="20"/>
      <c r="BZ56" s="24">
        <f ca="1">IFERROR(__xludf.DUMMYFUNCTION("""COMPUTED_VALUE"""),0)</f>
        <v>0</v>
      </c>
      <c r="CA56" s="20"/>
      <c r="CB56" s="20"/>
      <c r="CC56" s="20"/>
      <c r="CD56" s="20"/>
      <c r="CE56" s="20"/>
      <c r="CF56" s="20"/>
      <c r="CG56" s="20"/>
      <c r="CH56" s="20"/>
      <c r="CI56" s="20"/>
      <c r="CJ56" s="20"/>
      <c r="CK56" s="20"/>
      <c r="CL56" s="20"/>
      <c r="CM56" s="20"/>
      <c r="CN56" s="20"/>
      <c r="CO56" s="20"/>
      <c r="CP56" s="20"/>
      <c r="CQ56" s="20"/>
      <c r="CR56" s="20"/>
      <c r="CS56" s="20"/>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row>
    <row r="57" spans="1:123" ht="64.5" hidden="1" customHeight="1" x14ac:dyDescent="0.2">
      <c r="A57" s="19"/>
      <c r="B57" s="20" t="str">
        <f ca="1">IFERROR(__xludf.DUMMYFUNCTION("""COMPUTED_VALUE"""),"г.о. Солнечногорск")</f>
        <v>г.о. Солнечногорск</v>
      </c>
      <c r="C5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7" s="20" t="str">
        <f ca="1">IFERROR(__xludf.DUMMYFUNCTION("""COMPUTED_VALUE"""),"МинЖКХ")</f>
        <v>МинЖКХ</v>
      </c>
      <c r="E57" s="20" t="str">
        <f ca="1">IFERROR(__xludf.DUMMYFUNCTION("""COMPUTED_VALUE"""),"Реконструкция ВЗУ №9 пос. Сан.МО  г.о. Солнечногорск")</f>
        <v>Реконструкция ВЗУ №9 пос. Сан.МО  г.о. Солнечногорск</v>
      </c>
      <c r="F57" s="22" t="str">
        <f ca="1">IFERROR(__xludf.DUMMYFUNCTION("""COMPUTED_VALUE"""),"ВЗУ")</f>
        <v>ВЗУ</v>
      </c>
      <c r="G57" s="20">
        <f ca="1">IFERROR(__xludf.DUMMYFUNCTION("""COMPUTED_VALUE"""),2022)</f>
        <v>2022</v>
      </c>
      <c r="H57" s="20" t="str">
        <f ca="1">IFERROR(__xludf.DUMMYFUNCTION("""COMPUTED_VALUE"""),"СМР")</f>
        <v>СМР</v>
      </c>
      <c r="I57" s="20"/>
      <c r="J57" s="20"/>
      <c r="K57" s="20"/>
      <c r="L57" s="20"/>
      <c r="M57" s="20"/>
      <c r="N57" s="24">
        <f ca="1">IFERROR(__xludf.DUMMYFUNCTION("""COMPUTED_VALUE"""),0)</f>
        <v>0</v>
      </c>
      <c r="O57" s="20"/>
      <c r="P57" s="20"/>
      <c r="Q57" s="20"/>
      <c r="R57" s="20"/>
      <c r="S57" s="20"/>
      <c r="T57" s="20"/>
      <c r="U57" s="24">
        <f ca="1">IFERROR(__xludf.DUMMYFUNCTION("""COMPUTED_VALUE"""),0)</f>
        <v>0</v>
      </c>
      <c r="V57" s="24">
        <f ca="1">IFERROR(__xludf.DUMMYFUNCTION("""COMPUTED_VALUE"""),0)</f>
        <v>0</v>
      </c>
      <c r="W57" s="24">
        <f ca="1">IFERROR(__xludf.DUMMYFUNCTION("""COMPUTED_VALUE"""),0)</f>
        <v>0</v>
      </c>
      <c r="X57" s="24">
        <f ca="1">IFERROR(__xludf.DUMMYFUNCTION("""COMPUTED_VALUE"""),0)</f>
        <v>0</v>
      </c>
      <c r="Y57" s="24">
        <f ca="1">IFERROR(__xludf.DUMMYFUNCTION("""COMPUTED_VALUE"""),0)</f>
        <v>0</v>
      </c>
      <c r="Z57" s="24">
        <f ca="1">IFERROR(__xludf.DUMMYFUNCTION("""COMPUTED_VALUE"""),0)</f>
        <v>0</v>
      </c>
      <c r="AA57" s="20" t="str">
        <f ca="1">IFERROR(__xludf.DUMMYFUNCTION("""COMPUTED_VALUE"""),"10 1 G552430
")</f>
        <v xml:space="preserve">10 1 G552430
</v>
      </c>
      <c r="AB57" s="20">
        <f ca="1">IFERROR(__xludf.DUMMYFUNCTION("""COMPUTED_VALUE"""),522)</f>
        <v>522</v>
      </c>
      <c r="AC57" s="20"/>
      <c r="AD57" s="20"/>
      <c r="AE57" s="20"/>
      <c r="AF57" s="24">
        <f ca="1">IFERROR(__xludf.DUMMYFUNCTION("""COMPUTED_VALUE"""),25000)</f>
        <v>25000</v>
      </c>
      <c r="AG57" s="24">
        <f ca="1">IFERROR(__xludf.DUMMYFUNCTION("""COMPUTED_VALUE"""),15525)</f>
        <v>15525</v>
      </c>
      <c r="AH57" s="24">
        <f ca="1">IFERROR(__xludf.DUMMYFUNCTION("""COMPUTED_VALUE"""),5175)</f>
        <v>5175</v>
      </c>
      <c r="AI57" s="24">
        <f ca="1">IFERROR(__xludf.DUMMYFUNCTION("""COMPUTED_VALUE"""),0)</f>
        <v>0</v>
      </c>
      <c r="AJ57" s="24">
        <f ca="1">IFERROR(__xludf.DUMMYFUNCTION("""COMPUTED_VALUE"""),4300)</f>
        <v>4300</v>
      </c>
      <c r="AK57" s="24">
        <f ca="1">IFERROR(__xludf.DUMMYFUNCTION("""COMPUTED_VALUE"""),0)</f>
        <v>0</v>
      </c>
      <c r="AL57" s="24">
        <f ca="1">IFERROR(__xludf.DUMMYFUNCTION("""COMPUTED_VALUE"""),0)</f>
        <v>0</v>
      </c>
      <c r="AM57" s="20"/>
      <c r="AN57" s="20"/>
      <c r="AO57" s="20"/>
      <c r="AP57" s="20"/>
      <c r="AQ57" s="20"/>
      <c r="AR57" s="24">
        <f ca="1">IFERROR(__xludf.DUMMYFUNCTION("""COMPUTED_VALUE"""),0)</f>
        <v>0</v>
      </c>
      <c r="AS57" s="20"/>
      <c r="AT57" s="20"/>
      <c r="AU57" s="20"/>
      <c r="AV57" s="20"/>
      <c r="AW57" s="20"/>
      <c r="AX57" s="24">
        <f ca="1">IFERROR(__xludf.DUMMYFUNCTION("""COMPUTED_VALUE"""),0)</f>
        <v>0</v>
      </c>
      <c r="AY57" s="24">
        <f ca="1">IFERROR(__xludf.DUMMYFUNCTION("""COMPUTED_VALUE"""),0)</f>
        <v>0</v>
      </c>
      <c r="AZ57" s="24">
        <f ca="1">IFERROR(__xludf.DUMMYFUNCTION("""COMPUTED_VALUE"""),0)</f>
        <v>0</v>
      </c>
      <c r="BA57" s="20"/>
      <c r="BB57" s="24">
        <f ca="1">IFERROR(__xludf.DUMMYFUNCTION("""COMPUTED_VALUE"""),0)</f>
        <v>0</v>
      </c>
      <c r="BC57" s="20"/>
      <c r="BD57" s="24">
        <f ca="1">IFERROR(__xludf.DUMMYFUNCTION("""COMPUTED_VALUE"""),0)</f>
        <v>0</v>
      </c>
      <c r="BE57" s="24">
        <f ca="1">IFERROR(__xludf.DUMMYFUNCTION("""COMPUTED_VALUE"""),0)</f>
        <v>0</v>
      </c>
      <c r="BF57" s="24">
        <f ca="1">IFERROR(__xludf.DUMMYFUNCTION("""COMPUTED_VALUE"""),0)</f>
        <v>0</v>
      </c>
      <c r="BG57" s="20"/>
      <c r="BH57" s="24">
        <f ca="1">IFERROR(__xludf.DUMMYFUNCTION("""COMPUTED_VALUE"""),0)</f>
        <v>0</v>
      </c>
      <c r="BI57" s="20"/>
      <c r="BJ57" s="24">
        <f ca="1">IFERROR(__xludf.DUMMYFUNCTION("""COMPUTED_VALUE"""),25000)</f>
        <v>25000</v>
      </c>
      <c r="BK57" s="24">
        <f ca="1">IFERROR(__xludf.DUMMYFUNCTION("""COMPUTED_VALUE"""),15525)</f>
        <v>15525</v>
      </c>
      <c r="BL57" s="24">
        <f ca="1">IFERROR(__xludf.DUMMYFUNCTION("""COMPUTED_VALUE"""),5175)</f>
        <v>5175</v>
      </c>
      <c r="BM57" s="20"/>
      <c r="BN57" s="24">
        <f ca="1">IFERROR(__xludf.DUMMYFUNCTION("""COMPUTED_VALUE"""),4300)</f>
        <v>4300</v>
      </c>
      <c r="BO57" s="20"/>
      <c r="BP57" s="24">
        <f ca="1">IFERROR(__xludf.DUMMYFUNCTION("""COMPUTED_VALUE"""),0)</f>
        <v>0</v>
      </c>
      <c r="BQ57" s="24">
        <f ca="1">IFERROR(__xludf.DUMMYFUNCTION("""COMPUTED_VALUE"""),0)</f>
        <v>0</v>
      </c>
      <c r="BR57" s="24">
        <f ca="1">IFERROR(__xludf.DUMMYFUNCTION("""COMPUTED_VALUE"""),0)</f>
        <v>0</v>
      </c>
      <c r="BS57" s="20"/>
      <c r="BT57" s="24">
        <f ca="1">IFERROR(__xludf.DUMMYFUNCTION("""COMPUTED_VALUE"""),0)</f>
        <v>0</v>
      </c>
      <c r="BU57" s="20"/>
      <c r="BV57" s="24">
        <f ca="1">IFERROR(__xludf.DUMMYFUNCTION("""COMPUTED_VALUE"""),0)</f>
        <v>0</v>
      </c>
      <c r="BW57" s="24">
        <f ca="1">IFERROR(__xludf.DUMMYFUNCTION("""COMPUTED_VALUE"""),0)</f>
        <v>0</v>
      </c>
      <c r="BX57" s="24">
        <f ca="1">IFERROR(__xludf.DUMMYFUNCTION("""COMPUTED_VALUE"""),0)</f>
        <v>0</v>
      </c>
      <c r="BY57" s="20"/>
      <c r="BZ57" s="24">
        <f ca="1">IFERROR(__xludf.DUMMYFUNCTION("""COMPUTED_VALUE"""),0)</f>
        <v>0</v>
      </c>
      <c r="CA57" s="20"/>
      <c r="CB57" s="20"/>
      <c r="CC57" s="20"/>
      <c r="CD57" s="20"/>
      <c r="CE57" s="20"/>
      <c r="CF57" s="20"/>
      <c r="CG57" s="20"/>
      <c r="CH57" s="20"/>
      <c r="CI57" s="20"/>
      <c r="CJ57" s="20"/>
      <c r="CK57" s="20"/>
      <c r="CL57" s="20"/>
      <c r="CM57" s="20"/>
      <c r="CN57" s="20"/>
      <c r="CO57" s="20"/>
      <c r="CP57" s="20"/>
      <c r="CQ57" s="20"/>
      <c r="CR57" s="20"/>
      <c r="CS57" s="20"/>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row>
    <row r="58" spans="1:123" ht="64.5" hidden="1" customHeight="1" x14ac:dyDescent="0.2">
      <c r="A58" s="19"/>
      <c r="B58" s="20" t="str">
        <f ca="1">IFERROR(__xludf.DUMMYFUNCTION("""COMPUTED_VALUE"""),"г.о. Солнечногорск")</f>
        <v>г.о. Солнечногорск</v>
      </c>
      <c r="C5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8" s="20" t="str">
        <f ca="1">IFERROR(__xludf.DUMMYFUNCTION("""COMPUTED_VALUE"""),"МинЖКХ")</f>
        <v>МинЖКХ</v>
      </c>
      <c r="E58" s="20" t="str">
        <f ca="1">IFERROR(__xludf.DUMMYFUNCTION("""COMPUTED_VALUE"""),"Реконструкция ВЗУ №14  д. Новая  городского округа Солнечногорск (доукомплектация станцией очистки воды) (в т.ч. Тех.присоединение)")</f>
        <v>Реконструкция ВЗУ №14  д. Новая  городского округа Солнечногорск (доукомплектация станцией очистки воды) (в т.ч. Тех.присоединение)</v>
      </c>
      <c r="F58" s="22" t="str">
        <f ca="1">IFERROR(__xludf.DUMMYFUNCTION("""COMPUTED_VALUE"""),"ВЗУ")</f>
        <v>ВЗУ</v>
      </c>
      <c r="G58" s="20">
        <f ca="1">IFERROR(__xludf.DUMMYFUNCTION("""COMPUTED_VALUE"""),2021)</f>
        <v>2021</v>
      </c>
      <c r="H58" s="20" t="str">
        <f ca="1">IFERROR(__xludf.DUMMYFUNCTION("""COMPUTED_VALUE"""),"СМР")</f>
        <v>СМР</v>
      </c>
      <c r="I58" s="20"/>
      <c r="J58" s="20"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K58" s="20"/>
      <c r="L58" s="20"/>
      <c r="M58" s="20"/>
      <c r="N58" s="24">
        <f ca="1">IFERROR(__xludf.DUMMYFUNCTION("""COMPUTED_VALUE"""),0)</f>
        <v>0</v>
      </c>
      <c r="O58" s="20"/>
      <c r="P58" s="20"/>
      <c r="Q58" s="20"/>
      <c r="R58" s="20"/>
      <c r="S58" s="20"/>
      <c r="T58" s="20"/>
      <c r="U58" s="24">
        <f ca="1">IFERROR(__xludf.DUMMYFUNCTION("""COMPUTED_VALUE"""),0)</f>
        <v>0</v>
      </c>
      <c r="V58" s="24">
        <f ca="1">IFERROR(__xludf.DUMMYFUNCTION("""COMPUTED_VALUE"""),0)</f>
        <v>0</v>
      </c>
      <c r="W58" s="24">
        <f ca="1">IFERROR(__xludf.DUMMYFUNCTION("""COMPUTED_VALUE"""),0)</f>
        <v>0</v>
      </c>
      <c r="X58" s="24">
        <f ca="1">IFERROR(__xludf.DUMMYFUNCTION("""COMPUTED_VALUE"""),0)</f>
        <v>0</v>
      </c>
      <c r="Y58" s="24">
        <f ca="1">IFERROR(__xludf.DUMMYFUNCTION("""COMPUTED_VALUE"""),0)</f>
        <v>0</v>
      </c>
      <c r="Z58" s="24">
        <f ca="1">IFERROR(__xludf.DUMMYFUNCTION("""COMPUTED_VALUE"""),0)</f>
        <v>0</v>
      </c>
      <c r="AA58" s="20" t="str">
        <f ca="1">IFERROR(__xludf.DUMMYFUNCTION("""COMPUTED_VALUE"""),"10 1 G552430
")</f>
        <v xml:space="preserve">10 1 G552430
</v>
      </c>
      <c r="AB58" s="20">
        <f ca="1">IFERROR(__xludf.DUMMYFUNCTION("""COMPUTED_VALUE"""),522)</f>
        <v>522</v>
      </c>
      <c r="AC58" s="20"/>
      <c r="AD58" s="20"/>
      <c r="AE58" s="20"/>
      <c r="AF58" s="24">
        <f ca="1">IFERROR(__xludf.DUMMYFUNCTION("""COMPUTED_VALUE"""),62365.75)</f>
        <v>62365.75</v>
      </c>
      <c r="AG58" s="24">
        <f ca="1">IFERROR(__xludf.DUMMYFUNCTION("""COMPUTED_VALUE"""),38729.13)</f>
        <v>38729.129999999997</v>
      </c>
      <c r="AH58" s="24">
        <f ca="1">IFERROR(__xludf.DUMMYFUNCTION("""COMPUTED_VALUE"""),12909.71)</f>
        <v>12909.71</v>
      </c>
      <c r="AI58" s="24">
        <f ca="1">IFERROR(__xludf.DUMMYFUNCTION("""COMPUTED_VALUE"""),0)</f>
        <v>0</v>
      </c>
      <c r="AJ58" s="24">
        <f ca="1">IFERROR(__xludf.DUMMYFUNCTION("""COMPUTED_VALUE"""),10726.91)</f>
        <v>10726.91</v>
      </c>
      <c r="AK58" s="24">
        <f ca="1">IFERROR(__xludf.DUMMYFUNCTION("""COMPUTED_VALUE"""),0)</f>
        <v>0</v>
      </c>
      <c r="AL58" s="24">
        <f ca="1">IFERROR(__xludf.DUMMYFUNCTION("""COMPUTED_VALUE"""),0)</f>
        <v>0</v>
      </c>
      <c r="AM58" s="20"/>
      <c r="AN58" s="20"/>
      <c r="AO58" s="20"/>
      <c r="AP58" s="20"/>
      <c r="AQ58" s="20"/>
      <c r="AR58" s="24">
        <f ca="1">IFERROR(__xludf.DUMMYFUNCTION("""COMPUTED_VALUE"""),0)</f>
        <v>0</v>
      </c>
      <c r="AS58" s="20"/>
      <c r="AT58" s="20"/>
      <c r="AU58" s="20"/>
      <c r="AV58" s="20"/>
      <c r="AW58" s="20"/>
      <c r="AX58" s="24">
        <f ca="1">IFERROR(__xludf.DUMMYFUNCTION("""COMPUTED_VALUE"""),0)</f>
        <v>0</v>
      </c>
      <c r="AY58" s="24">
        <f ca="1">IFERROR(__xludf.DUMMYFUNCTION("""COMPUTED_VALUE"""),0)</f>
        <v>0</v>
      </c>
      <c r="AZ58" s="24">
        <f ca="1">IFERROR(__xludf.DUMMYFUNCTION("""COMPUTED_VALUE"""),0)</f>
        <v>0</v>
      </c>
      <c r="BA58" s="20"/>
      <c r="BB58" s="24">
        <f ca="1">IFERROR(__xludf.DUMMYFUNCTION("""COMPUTED_VALUE"""),0)</f>
        <v>0</v>
      </c>
      <c r="BC58" s="20"/>
      <c r="BD58" s="24">
        <f ca="1">IFERROR(__xludf.DUMMYFUNCTION("""COMPUTED_VALUE"""),62365.75)</f>
        <v>62365.75</v>
      </c>
      <c r="BE58" s="24">
        <f ca="1">IFERROR(__xludf.DUMMYFUNCTION("""COMPUTED_VALUE"""),38729.13)</f>
        <v>38729.129999999997</v>
      </c>
      <c r="BF58" s="24">
        <f ca="1">IFERROR(__xludf.DUMMYFUNCTION("""COMPUTED_VALUE"""),12909.71)</f>
        <v>12909.71</v>
      </c>
      <c r="BG58" s="20"/>
      <c r="BH58" s="24">
        <f ca="1">IFERROR(__xludf.DUMMYFUNCTION("""COMPUTED_VALUE"""),10726.91)</f>
        <v>10726.91</v>
      </c>
      <c r="BI58" s="20"/>
      <c r="BJ58" s="24">
        <f ca="1">IFERROR(__xludf.DUMMYFUNCTION("""COMPUTED_VALUE"""),0)</f>
        <v>0</v>
      </c>
      <c r="BK58" s="24">
        <f ca="1">IFERROR(__xludf.DUMMYFUNCTION("""COMPUTED_VALUE"""),0)</f>
        <v>0</v>
      </c>
      <c r="BL58" s="24">
        <f ca="1">IFERROR(__xludf.DUMMYFUNCTION("""COMPUTED_VALUE"""),0)</f>
        <v>0</v>
      </c>
      <c r="BM58" s="20"/>
      <c r="BN58" s="24">
        <f ca="1">IFERROR(__xludf.DUMMYFUNCTION("""COMPUTED_VALUE"""),0)</f>
        <v>0</v>
      </c>
      <c r="BO58" s="20"/>
      <c r="BP58" s="24">
        <f ca="1">IFERROR(__xludf.DUMMYFUNCTION("""COMPUTED_VALUE"""),0)</f>
        <v>0</v>
      </c>
      <c r="BQ58" s="24">
        <f ca="1">IFERROR(__xludf.DUMMYFUNCTION("""COMPUTED_VALUE"""),0)</f>
        <v>0</v>
      </c>
      <c r="BR58" s="24">
        <f ca="1">IFERROR(__xludf.DUMMYFUNCTION("""COMPUTED_VALUE"""),0)</f>
        <v>0</v>
      </c>
      <c r="BS58" s="20"/>
      <c r="BT58" s="24">
        <f ca="1">IFERROR(__xludf.DUMMYFUNCTION("""COMPUTED_VALUE"""),0)</f>
        <v>0</v>
      </c>
      <c r="BU58" s="20"/>
      <c r="BV58" s="24">
        <f ca="1">IFERROR(__xludf.DUMMYFUNCTION("""COMPUTED_VALUE"""),0)</f>
        <v>0</v>
      </c>
      <c r="BW58" s="24">
        <f ca="1">IFERROR(__xludf.DUMMYFUNCTION("""COMPUTED_VALUE"""),0)</f>
        <v>0</v>
      </c>
      <c r="BX58" s="24">
        <f ca="1">IFERROR(__xludf.DUMMYFUNCTION("""COMPUTED_VALUE"""),0)</f>
        <v>0</v>
      </c>
      <c r="BY58" s="20"/>
      <c r="BZ58" s="24">
        <f ca="1">IFERROR(__xludf.DUMMYFUNCTION("""COMPUTED_VALUE"""),0)</f>
        <v>0</v>
      </c>
      <c r="CA58" s="20"/>
      <c r="CB58" s="20"/>
      <c r="CC58" s="20"/>
      <c r="CD58" s="20"/>
      <c r="CE58" s="20"/>
      <c r="CF58" s="20"/>
      <c r="CG58" s="20"/>
      <c r="CH58" s="20"/>
      <c r="CI58" s="20"/>
      <c r="CJ58" s="26">
        <f ca="1">IFERROR(__xludf.DUMMYFUNCTION("""COMPUTED_VALUE"""),43861)</f>
        <v>43861</v>
      </c>
      <c r="CK58" s="26">
        <f ca="1">IFERROR(__xludf.DUMMYFUNCTION("""COMPUTED_VALUE"""),43957)</f>
        <v>43957</v>
      </c>
      <c r="CL58" s="20" t="str">
        <f ca="1">IFERROR(__xludf.DUMMYFUNCTION("""COMPUTED_VALUE"""),"50-1-1-3-0873-20")</f>
        <v>50-1-1-3-0873-20</v>
      </c>
      <c r="CM58" s="20"/>
      <c r="CN58" s="20"/>
      <c r="CO58" s="20"/>
      <c r="CP58" s="20"/>
      <c r="CQ58" s="20"/>
      <c r="CR58" s="20"/>
      <c r="CS58" s="20"/>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row>
    <row r="59" spans="1:123" ht="64.5" hidden="1" customHeight="1" x14ac:dyDescent="0.2">
      <c r="A59" s="19"/>
      <c r="B59" s="20" t="str">
        <f ca="1">IFERROR(__xludf.DUMMYFUNCTION("""COMPUTED_VALUE"""),"г.о. Солнечногорск")</f>
        <v>г.о. Солнечногорск</v>
      </c>
      <c r="C5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9" s="20" t="str">
        <f ca="1">IFERROR(__xludf.DUMMYFUNCTION("""COMPUTED_VALUE"""),"МинЖКХ")</f>
        <v>МинЖКХ</v>
      </c>
      <c r="E59" s="20" t="str">
        <f ca="1">IFERROR(__xludf.DUMMYFUNCTION("""COMPUTED_VALUE"""),"Реконструкция ВЗУ №19 д. Толстяково г.о. Солнечногорск")</f>
        <v>Реконструкция ВЗУ №19 д. Толстяково г.о. Солнечногорск</v>
      </c>
      <c r="F59" s="22" t="str">
        <f ca="1">IFERROR(__xludf.DUMMYFUNCTION("""COMPUTED_VALUE"""),"ВЗУ")</f>
        <v>ВЗУ</v>
      </c>
      <c r="G59" s="20">
        <f ca="1">IFERROR(__xludf.DUMMYFUNCTION("""COMPUTED_VALUE"""),2022)</f>
        <v>2022</v>
      </c>
      <c r="H59" s="20" t="str">
        <f ca="1">IFERROR(__xludf.DUMMYFUNCTION("""COMPUTED_VALUE"""),"СМР")</f>
        <v>СМР</v>
      </c>
      <c r="I59" s="20"/>
      <c r="J59" s="20"/>
      <c r="K59" s="20"/>
      <c r="L59" s="20"/>
      <c r="M59" s="20"/>
      <c r="N59" s="24">
        <f ca="1">IFERROR(__xludf.DUMMYFUNCTION("""COMPUTED_VALUE"""),0)</f>
        <v>0</v>
      </c>
      <c r="O59" s="20"/>
      <c r="P59" s="20"/>
      <c r="Q59" s="20"/>
      <c r="R59" s="20"/>
      <c r="S59" s="20"/>
      <c r="T59" s="20"/>
      <c r="U59" s="24">
        <f ca="1">IFERROR(__xludf.DUMMYFUNCTION("""COMPUTED_VALUE"""),0)</f>
        <v>0</v>
      </c>
      <c r="V59" s="24">
        <f ca="1">IFERROR(__xludf.DUMMYFUNCTION("""COMPUTED_VALUE"""),0)</f>
        <v>0</v>
      </c>
      <c r="W59" s="24">
        <f ca="1">IFERROR(__xludf.DUMMYFUNCTION("""COMPUTED_VALUE"""),0)</f>
        <v>0</v>
      </c>
      <c r="X59" s="24">
        <f ca="1">IFERROR(__xludf.DUMMYFUNCTION("""COMPUTED_VALUE"""),0)</f>
        <v>0</v>
      </c>
      <c r="Y59" s="24">
        <f ca="1">IFERROR(__xludf.DUMMYFUNCTION("""COMPUTED_VALUE"""),0)</f>
        <v>0</v>
      </c>
      <c r="Z59" s="24">
        <f ca="1">IFERROR(__xludf.DUMMYFUNCTION("""COMPUTED_VALUE"""),0)</f>
        <v>0</v>
      </c>
      <c r="AA59" s="20" t="str">
        <f ca="1">IFERROR(__xludf.DUMMYFUNCTION("""COMPUTED_VALUE"""),"10 1 G552430
")</f>
        <v xml:space="preserve">10 1 G552430
</v>
      </c>
      <c r="AB59" s="20">
        <f ca="1">IFERROR(__xludf.DUMMYFUNCTION("""COMPUTED_VALUE"""),522)</f>
        <v>522</v>
      </c>
      <c r="AC59" s="20"/>
      <c r="AD59" s="20"/>
      <c r="AE59" s="20"/>
      <c r="AF59" s="24">
        <f ca="1">IFERROR(__xludf.DUMMYFUNCTION("""COMPUTED_VALUE"""),50000)</f>
        <v>50000</v>
      </c>
      <c r="AG59" s="24">
        <f ca="1">IFERROR(__xludf.DUMMYFUNCTION("""COMPUTED_VALUE"""),31050)</f>
        <v>31050</v>
      </c>
      <c r="AH59" s="24">
        <f ca="1">IFERROR(__xludf.DUMMYFUNCTION("""COMPUTED_VALUE"""),10350)</f>
        <v>10350</v>
      </c>
      <c r="AI59" s="24">
        <f ca="1">IFERROR(__xludf.DUMMYFUNCTION("""COMPUTED_VALUE"""),0)</f>
        <v>0</v>
      </c>
      <c r="AJ59" s="24">
        <f ca="1">IFERROR(__xludf.DUMMYFUNCTION("""COMPUTED_VALUE"""),8600)</f>
        <v>8600</v>
      </c>
      <c r="AK59" s="24">
        <f ca="1">IFERROR(__xludf.DUMMYFUNCTION("""COMPUTED_VALUE"""),0)</f>
        <v>0</v>
      </c>
      <c r="AL59" s="24">
        <f ca="1">IFERROR(__xludf.DUMMYFUNCTION("""COMPUTED_VALUE"""),0)</f>
        <v>0</v>
      </c>
      <c r="AM59" s="20"/>
      <c r="AN59" s="20"/>
      <c r="AO59" s="20"/>
      <c r="AP59" s="20"/>
      <c r="AQ59" s="20"/>
      <c r="AR59" s="24">
        <f ca="1">IFERROR(__xludf.DUMMYFUNCTION("""COMPUTED_VALUE"""),0)</f>
        <v>0</v>
      </c>
      <c r="AS59" s="20"/>
      <c r="AT59" s="20"/>
      <c r="AU59" s="20"/>
      <c r="AV59" s="20"/>
      <c r="AW59" s="20"/>
      <c r="AX59" s="24">
        <f ca="1">IFERROR(__xludf.DUMMYFUNCTION("""COMPUTED_VALUE"""),0)</f>
        <v>0</v>
      </c>
      <c r="AY59" s="24">
        <f ca="1">IFERROR(__xludf.DUMMYFUNCTION("""COMPUTED_VALUE"""),0)</f>
        <v>0</v>
      </c>
      <c r="AZ59" s="24">
        <f ca="1">IFERROR(__xludf.DUMMYFUNCTION("""COMPUTED_VALUE"""),0)</f>
        <v>0</v>
      </c>
      <c r="BA59" s="20"/>
      <c r="BB59" s="24">
        <f ca="1">IFERROR(__xludf.DUMMYFUNCTION("""COMPUTED_VALUE"""),0)</f>
        <v>0</v>
      </c>
      <c r="BC59" s="20"/>
      <c r="BD59" s="24">
        <f ca="1">IFERROR(__xludf.DUMMYFUNCTION("""COMPUTED_VALUE"""),0)</f>
        <v>0</v>
      </c>
      <c r="BE59" s="24">
        <f ca="1">IFERROR(__xludf.DUMMYFUNCTION("""COMPUTED_VALUE"""),0)</f>
        <v>0</v>
      </c>
      <c r="BF59" s="24">
        <f ca="1">IFERROR(__xludf.DUMMYFUNCTION("""COMPUTED_VALUE"""),0)</f>
        <v>0</v>
      </c>
      <c r="BG59" s="20"/>
      <c r="BH59" s="24">
        <f ca="1">IFERROR(__xludf.DUMMYFUNCTION("""COMPUTED_VALUE"""),0)</f>
        <v>0</v>
      </c>
      <c r="BI59" s="20"/>
      <c r="BJ59" s="24">
        <f ca="1">IFERROR(__xludf.DUMMYFUNCTION("""COMPUTED_VALUE"""),50000)</f>
        <v>50000</v>
      </c>
      <c r="BK59" s="24">
        <f ca="1">IFERROR(__xludf.DUMMYFUNCTION("""COMPUTED_VALUE"""),31050)</f>
        <v>31050</v>
      </c>
      <c r="BL59" s="24">
        <f ca="1">IFERROR(__xludf.DUMMYFUNCTION("""COMPUTED_VALUE"""),10350)</f>
        <v>10350</v>
      </c>
      <c r="BM59" s="20"/>
      <c r="BN59" s="24">
        <f ca="1">IFERROR(__xludf.DUMMYFUNCTION("""COMPUTED_VALUE"""),8600)</f>
        <v>8600</v>
      </c>
      <c r="BO59" s="20"/>
      <c r="BP59" s="24">
        <f ca="1">IFERROR(__xludf.DUMMYFUNCTION("""COMPUTED_VALUE"""),0)</f>
        <v>0</v>
      </c>
      <c r="BQ59" s="24">
        <f ca="1">IFERROR(__xludf.DUMMYFUNCTION("""COMPUTED_VALUE"""),0)</f>
        <v>0</v>
      </c>
      <c r="BR59" s="24">
        <f ca="1">IFERROR(__xludf.DUMMYFUNCTION("""COMPUTED_VALUE"""),0)</f>
        <v>0</v>
      </c>
      <c r="BS59" s="20"/>
      <c r="BT59" s="24">
        <f ca="1">IFERROR(__xludf.DUMMYFUNCTION("""COMPUTED_VALUE"""),0)</f>
        <v>0</v>
      </c>
      <c r="BU59" s="20"/>
      <c r="BV59" s="24">
        <f ca="1">IFERROR(__xludf.DUMMYFUNCTION("""COMPUTED_VALUE"""),0)</f>
        <v>0</v>
      </c>
      <c r="BW59" s="24">
        <f ca="1">IFERROR(__xludf.DUMMYFUNCTION("""COMPUTED_VALUE"""),0)</f>
        <v>0</v>
      </c>
      <c r="BX59" s="24">
        <f ca="1">IFERROR(__xludf.DUMMYFUNCTION("""COMPUTED_VALUE"""),0)</f>
        <v>0</v>
      </c>
      <c r="BY59" s="20"/>
      <c r="BZ59" s="24">
        <f ca="1">IFERROR(__xludf.DUMMYFUNCTION("""COMPUTED_VALUE"""),0)</f>
        <v>0</v>
      </c>
      <c r="CA59" s="20"/>
      <c r="CB59" s="20"/>
      <c r="CC59" s="20"/>
      <c r="CD59" s="20"/>
      <c r="CE59" s="20"/>
      <c r="CF59" s="20"/>
      <c r="CG59" s="20"/>
      <c r="CH59" s="20"/>
      <c r="CI59" s="20"/>
      <c r="CJ59" s="20"/>
      <c r="CK59" s="20"/>
      <c r="CL59" s="20"/>
      <c r="CM59" s="20"/>
      <c r="CN59" s="20"/>
      <c r="CO59" s="20"/>
      <c r="CP59" s="20"/>
      <c r="CQ59" s="20"/>
      <c r="CR59" s="20"/>
      <c r="CS59" s="20"/>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row>
    <row r="60" spans="1:123" ht="64.5" hidden="1" customHeight="1" x14ac:dyDescent="0.2">
      <c r="A60" s="19"/>
      <c r="B60" s="20" t="str">
        <f ca="1">IFERROR(__xludf.DUMMYFUNCTION("""COMPUTED_VALUE"""),"г.о. Солнечногорск")</f>
        <v>г.о. Солнечногорск</v>
      </c>
      <c r="C6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0" s="20" t="str">
        <f ca="1">IFERROR(__xludf.DUMMYFUNCTION("""COMPUTED_VALUE"""),"МинЖКХ")</f>
        <v>МинЖКХ</v>
      </c>
      <c r="E60" s="20" t="str">
        <f ca="1">IFERROR(__xludf.DUMMYFUNCTION("""COMPUTED_VALUE"""),"Реконструкция ВЗУ №1 д.п. Поварово мкрн. Поваровка городского округа Солнечногорск (доукомплектация станцией очистки воды)")</f>
        <v>Реконструкция ВЗУ №1 д.п. Поварово мкрн. Поваровка городского округа Солнечногорск (доукомплектация станцией очистки воды)</v>
      </c>
      <c r="F60" s="22" t="str">
        <f ca="1">IFERROR(__xludf.DUMMYFUNCTION("""COMPUTED_VALUE"""),"ВЗУ")</f>
        <v>ВЗУ</v>
      </c>
      <c r="G60" s="20" t="str">
        <f ca="1">IFERROR(__xludf.DUMMYFUNCTION("""COMPUTED_VALUE"""),"2021-2022")</f>
        <v>2021-2022</v>
      </c>
      <c r="H60" s="20" t="str">
        <f ca="1">IFERROR(__xludf.DUMMYFUNCTION("""COMPUTED_VALUE"""),"СМР")</f>
        <v>СМР</v>
      </c>
      <c r="I60" s="20"/>
      <c r="J60" s="20"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K60" s="20"/>
      <c r="L60" s="20"/>
      <c r="M60" s="20"/>
      <c r="N60" s="24">
        <f ca="1">IFERROR(__xludf.DUMMYFUNCTION("""COMPUTED_VALUE"""),0)</f>
        <v>0</v>
      </c>
      <c r="O60" s="20"/>
      <c r="P60" s="20"/>
      <c r="Q60" s="20"/>
      <c r="R60" s="20"/>
      <c r="S60" s="20"/>
      <c r="T60" s="20"/>
      <c r="U60" s="24">
        <f ca="1">IFERROR(__xludf.DUMMYFUNCTION("""COMPUTED_VALUE"""),0)</f>
        <v>0</v>
      </c>
      <c r="V60" s="24">
        <f ca="1">IFERROR(__xludf.DUMMYFUNCTION("""COMPUTED_VALUE"""),0)</f>
        <v>0</v>
      </c>
      <c r="W60" s="24">
        <f ca="1">IFERROR(__xludf.DUMMYFUNCTION("""COMPUTED_VALUE"""),0)</f>
        <v>0</v>
      </c>
      <c r="X60" s="24">
        <f ca="1">IFERROR(__xludf.DUMMYFUNCTION("""COMPUTED_VALUE"""),0)</f>
        <v>0</v>
      </c>
      <c r="Y60" s="24">
        <f ca="1">IFERROR(__xludf.DUMMYFUNCTION("""COMPUTED_VALUE"""),0)</f>
        <v>0</v>
      </c>
      <c r="Z60" s="24">
        <f ca="1">IFERROR(__xludf.DUMMYFUNCTION("""COMPUTED_VALUE"""),0)</f>
        <v>0</v>
      </c>
      <c r="AA60" s="20" t="str">
        <f ca="1">IFERROR(__xludf.DUMMYFUNCTION("""COMPUTED_VALUE"""),"10 1 G552430
")</f>
        <v xml:space="preserve">10 1 G552430
</v>
      </c>
      <c r="AB60" s="20">
        <f ca="1">IFERROR(__xludf.DUMMYFUNCTION("""COMPUTED_VALUE"""),522)</f>
        <v>522</v>
      </c>
      <c r="AC60" s="20"/>
      <c r="AD60" s="20"/>
      <c r="AE60" s="20"/>
      <c r="AF60" s="24">
        <f ca="1">IFERROR(__xludf.DUMMYFUNCTION("""COMPUTED_VALUE"""),86248.24)</f>
        <v>86248.24</v>
      </c>
      <c r="AG60" s="24">
        <f ca="1">IFERROR(__xludf.DUMMYFUNCTION("""COMPUTED_VALUE"""),53560)</f>
        <v>53560</v>
      </c>
      <c r="AH60" s="24">
        <f ca="1">IFERROR(__xludf.DUMMYFUNCTION("""COMPUTED_VALUE"""),17853.41)</f>
        <v>17853.41</v>
      </c>
      <c r="AI60" s="24">
        <f ca="1">IFERROR(__xludf.DUMMYFUNCTION("""COMPUTED_VALUE"""),0)</f>
        <v>0</v>
      </c>
      <c r="AJ60" s="24">
        <f ca="1">IFERROR(__xludf.DUMMYFUNCTION("""COMPUTED_VALUE"""),14834.83)</f>
        <v>14834.83</v>
      </c>
      <c r="AK60" s="24">
        <f ca="1">IFERROR(__xludf.DUMMYFUNCTION("""COMPUTED_VALUE"""),0)</f>
        <v>0</v>
      </c>
      <c r="AL60" s="24">
        <f ca="1">IFERROR(__xludf.DUMMYFUNCTION("""COMPUTED_VALUE"""),0)</f>
        <v>0</v>
      </c>
      <c r="AM60" s="20"/>
      <c r="AN60" s="20"/>
      <c r="AO60" s="20"/>
      <c r="AP60" s="20"/>
      <c r="AQ60" s="20"/>
      <c r="AR60" s="24">
        <f ca="1">IFERROR(__xludf.DUMMYFUNCTION("""COMPUTED_VALUE"""),0)</f>
        <v>0</v>
      </c>
      <c r="AS60" s="20"/>
      <c r="AT60" s="20"/>
      <c r="AU60" s="20"/>
      <c r="AV60" s="20"/>
      <c r="AW60" s="20"/>
      <c r="AX60" s="24">
        <f ca="1">IFERROR(__xludf.DUMMYFUNCTION("""COMPUTED_VALUE"""),0)</f>
        <v>0</v>
      </c>
      <c r="AY60" s="24">
        <f ca="1">IFERROR(__xludf.DUMMYFUNCTION("""COMPUTED_VALUE"""),0)</f>
        <v>0</v>
      </c>
      <c r="AZ60" s="24">
        <f ca="1">IFERROR(__xludf.DUMMYFUNCTION("""COMPUTED_VALUE"""),0)</f>
        <v>0</v>
      </c>
      <c r="BA60" s="20"/>
      <c r="BB60" s="24">
        <f ca="1">IFERROR(__xludf.DUMMYFUNCTION("""COMPUTED_VALUE"""),0)</f>
        <v>0</v>
      </c>
      <c r="BC60" s="20"/>
      <c r="BD60" s="24">
        <f ca="1">IFERROR(__xludf.DUMMYFUNCTION("""COMPUTED_VALUE"""),51748.95)</f>
        <v>51748.95</v>
      </c>
      <c r="BE60" s="24">
        <f ca="1">IFERROR(__xludf.DUMMYFUNCTION("""COMPUTED_VALUE"""),32136)</f>
        <v>32136</v>
      </c>
      <c r="BF60" s="24">
        <f ca="1">IFERROR(__xludf.DUMMYFUNCTION("""COMPUTED_VALUE"""),10712)</f>
        <v>10712</v>
      </c>
      <c r="BG60" s="20"/>
      <c r="BH60" s="24">
        <f ca="1">IFERROR(__xludf.DUMMYFUNCTION("""COMPUTED_VALUE"""),8900.95)</f>
        <v>8900.9500000000007</v>
      </c>
      <c r="BI60" s="20"/>
      <c r="BJ60" s="24">
        <f ca="1">IFERROR(__xludf.DUMMYFUNCTION("""COMPUTED_VALUE"""),34499.29)</f>
        <v>34499.29</v>
      </c>
      <c r="BK60" s="24">
        <f ca="1">IFERROR(__xludf.DUMMYFUNCTION("""COMPUTED_VALUE"""),21424)</f>
        <v>21424</v>
      </c>
      <c r="BL60" s="24">
        <f ca="1">IFERROR(__xludf.DUMMYFUNCTION("""COMPUTED_VALUE"""),7141.41)</f>
        <v>7141.41</v>
      </c>
      <c r="BM60" s="20"/>
      <c r="BN60" s="24">
        <f ca="1">IFERROR(__xludf.DUMMYFUNCTION("""COMPUTED_VALUE"""),5933.88)</f>
        <v>5933.88</v>
      </c>
      <c r="BO60" s="20"/>
      <c r="BP60" s="24">
        <f ca="1">IFERROR(__xludf.DUMMYFUNCTION("""COMPUTED_VALUE"""),0)</f>
        <v>0</v>
      </c>
      <c r="BQ60" s="24">
        <f ca="1">IFERROR(__xludf.DUMMYFUNCTION("""COMPUTED_VALUE"""),0)</f>
        <v>0</v>
      </c>
      <c r="BR60" s="24">
        <f ca="1">IFERROR(__xludf.DUMMYFUNCTION("""COMPUTED_VALUE"""),0)</f>
        <v>0</v>
      </c>
      <c r="BS60" s="20"/>
      <c r="BT60" s="24">
        <f ca="1">IFERROR(__xludf.DUMMYFUNCTION("""COMPUTED_VALUE"""),0)</f>
        <v>0</v>
      </c>
      <c r="BU60" s="20"/>
      <c r="BV60" s="24">
        <f ca="1">IFERROR(__xludf.DUMMYFUNCTION("""COMPUTED_VALUE"""),0)</f>
        <v>0</v>
      </c>
      <c r="BW60" s="24">
        <f ca="1">IFERROR(__xludf.DUMMYFUNCTION("""COMPUTED_VALUE"""),0)</f>
        <v>0</v>
      </c>
      <c r="BX60" s="24">
        <f ca="1">IFERROR(__xludf.DUMMYFUNCTION("""COMPUTED_VALUE"""),0)</f>
        <v>0</v>
      </c>
      <c r="BY60" s="20"/>
      <c r="BZ60" s="24">
        <f ca="1">IFERROR(__xludf.DUMMYFUNCTION("""COMPUTED_VALUE"""),0)</f>
        <v>0</v>
      </c>
      <c r="CA60" s="20"/>
      <c r="CB60" s="20"/>
      <c r="CC60" s="20"/>
      <c r="CD60" s="20"/>
      <c r="CE60" s="20"/>
      <c r="CF60" s="20"/>
      <c r="CG60" s="20"/>
      <c r="CH60" s="20"/>
      <c r="CI60" s="20"/>
      <c r="CJ60" s="20"/>
      <c r="CK60" s="20"/>
      <c r="CL60" s="20"/>
      <c r="CM60" s="20"/>
      <c r="CN60" s="20"/>
      <c r="CO60" s="20"/>
      <c r="CP60" s="20"/>
      <c r="CQ60" s="20"/>
      <c r="CR60" s="20"/>
      <c r="CS60" s="20"/>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row>
    <row r="61" spans="1:123" ht="64.5" hidden="1" customHeight="1" x14ac:dyDescent="0.2">
      <c r="A61" s="19"/>
      <c r="B61" s="20" t="str">
        <f ca="1">IFERROR(__xludf.DUMMYFUNCTION("""COMPUTED_VALUE"""),"г.о. Дмитровский")</f>
        <v>г.о. Дмитровский</v>
      </c>
      <c r="C6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1" s="20" t="str">
        <f ca="1">IFERROR(__xludf.DUMMYFUNCTION("""COMPUTED_VALUE"""),"МинЖКХ")</f>
        <v>МинЖКХ</v>
      </c>
      <c r="E61" s="20" t="str">
        <f ca="1">IFERROR(__xludf.DUMMYFUNCTION("""COMPUTED_VALUE"""),"Реконструкция ВЗУ №3 п. Деденево, ул. Набережная, г.о. Дмтровский")</f>
        <v>Реконструкция ВЗУ №3 п. Деденево, ул. Набережная, г.о. Дмтровский</v>
      </c>
      <c r="F61" s="22" t="str">
        <f ca="1">IFERROR(__xludf.DUMMYFUNCTION("""COMPUTED_VALUE"""),"ВЗУ")</f>
        <v>ВЗУ</v>
      </c>
      <c r="G61" s="20" t="str">
        <f ca="1">IFERROR(__xludf.DUMMYFUNCTION("""COMPUTED_VALUE"""),"Н/Л")</f>
        <v>Н/Л</v>
      </c>
      <c r="H61" s="20"/>
      <c r="I61" s="20"/>
      <c r="J61" s="20"/>
      <c r="K61" s="20"/>
      <c r="L61" s="20"/>
      <c r="M61" s="20"/>
      <c r="N61" s="24">
        <f ca="1">IFERROR(__xludf.DUMMYFUNCTION("""COMPUTED_VALUE"""),0)</f>
        <v>0</v>
      </c>
      <c r="O61" s="20"/>
      <c r="P61" s="20"/>
      <c r="Q61" s="20"/>
      <c r="R61" s="20"/>
      <c r="S61" s="20"/>
      <c r="T61" s="20"/>
      <c r="U61" s="24">
        <f ca="1">IFERROR(__xludf.DUMMYFUNCTION("""COMPUTED_VALUE"""),0)</f>
        <v>0</v>
      </c>
      <c r="V61" s="24">
        <f ca="1">IFERROR(__xludf.DUMMYFUNCTION("""COMPUTED_VALUE"""),0)</f>
        <v>0</v>
      </c>
      <c r="W61" s="24">
        <f ca="1">IFERROR(__xludf.DUMMYFUNCTION("""COMPUTED_VALUE"""),0)</f>
        <v>0</v>
      </c>
      <c r="X61" s="24">
        <f ca="1">IFERROR(__xludf.DUMMYFUNCTION("""COMPUTED_VALUE"""),0)</f>
        <v>0</v>
      </c>
      <c r="Y61" s="24">
        <f ca="1">IFERROR(__xludf.DUMMYFUNCTION("""COMPUTED_VALUE"""),0)</f>
        <v>0</v>
      </c>
      <c r="Z61" s="24">
        <f ca="1">IFERROR(__xludf.DUMMYFUNCTION("""COMPUTED_VALUE"""),0)</f>
        <v>0</v>
      </c>
      <c r="AA61" s="20" t="str">
        <f ca="1">IFERROR(__xludf.DUMMYFUNCTION("""COMPUTED_VALUE"""),"10 1 G552430
")</f>
        <v xml:space="preserve">10 1 G552430
</v>
      </c>
      <c r="AB61" s="20">
        <f ca="1">IFERROR(__xludf.DUMMYFUNCTION("""COMPUTED_VALUE"""),522)</f>
        <v>522</v>
      </c>
      <c r="AC61" s="20"/>
      <c r="AD61" s="20"/>
      <c r="AE61" s="20"/>
      <c r="AF61" s="24">
        <f ca="1">IFERROR(__xludf.DUMMYFUNCTION("""COMPUTED_VALUE"""),0)</f>
        <v>0</v>
      </c>
      <c r="AG61" s="24">
        <f ca="1">IFERROR(__xludf.DUMMYFUNCTION("""COMPUTED_VALUE"""),0)</f>
        <v>0</v>
      </c>
      <c r="AH61" s="24">
        <f ca="1">IFERROR(__xludf.DUMMYFUNCTION("""COMPUTED_VALUE"""),0)</f>
        <v>0</v>
      </c>
      <c r="AI61" s="24">
        <f ca="1">IFERROR(__xludf.DUMMYFUNCTION("""COMPUTED_VALUE"""),0)</f>
        <v>0</v>
      </c>
      <c r="AJ61" s="24">
        <f ca="1">IFERROR(__xludf.DUMMYFUNCTION("""COMPUTED_VALUE"""),0)</f>
        <v>0</v>
      </c>
      <c r="AK61" s="24">
        <f ca="1">IFERROR(__xludf.DUMMYFUNCTION("""COMPUTED_VALUE"""),0)</f>
        <v>0</v>
      </c>
      <c r="AL61" s="24">
        <f ca="1">IFERROR(__xludf.DUMMYFUNCTION("""COMPUTED_VALUE"""),0)</f>
        <v>0</v>
      </c>
      <c r="AM61" s="20"/>
      <c r="AN61" s="20"/>
      <c r="AO61" s="20"/>
      <c r="AP61" s="20"/>
      <c r="AQ61" s="20"/>
      <c r="AR61" s="24">
        <f ca="1">IFERROR(__xludf.DUMMYFUNCTION("""COMPUTED_VALUE"""),0)</f>
        <v>0</v>
      </c>
      <c r="AS61" s="20"/>
      <c r="AT61" s="20"/>
      <c r="AU61" s="20"/>
      <c r="AV61" s="20"/>
      <c r="AW61" s="20"/>
      <c r="AX61" s="24">
        <f ca="1">IFERROR(__xludf.DUMMYFUNCTION("""COMPUTED_VALUE"""),0)</f>
        <v>0</v>
      </c>
      <c r="AY61" s="24">
        <f ca="1">IFERROR(__xludf.DUMMYFUNCTION("""COMPUTED_VALUE"""),0)</f>
        <v>0</v>
      </c>
      <c r="AZ61" s="24">
        <f ca="1">IFERROR(__xludf.DUMMYFUNCTION("""COMPUTED_VALUE"""),0)</f>
        <v>0</v>
      </c>
      <c r="BA61" s="20"/>
      <c r="BB61" s="24">
        <f ca="1">IFERROR(__xludf.DUMMYFUNCTION("""COMPUTED_VALUE"""),0)</f>
        <v>0</v>
      </c>
      <c r="BC61" s="20"/>
      <c r="BD61" s="24">
        <f ca="1">IFERROR(__xludf.DUMMYFUNCTION("""COMPUTED_VALUE"""),0)</f>
        <v>0</v>
      </c>
      <c r="BE61" s="24">
        <f ca="1">IFERROR(__xludf.DUMMYFUNCTION("""COMPUTED_VALUE"""),0)</f>
        <v>0</v>
      </c>
      <c r="BF61" s="24">
        <f ca="1">IFERROR(__xludf.DUMMYFUNCTION("""COMPUTED_VALUE"""),0)</f>
        <v>0</v>
      </c>
      <c r="BG61" s="20"/>
      <c r="BH61" s="24">
        <f ca="1">IFERROR(__xludf.DUMMYFUNCTION("""COMPUTED_VALUE"""),0)</f>
        <v>0</v>
      </c>
      <c r="BI61" s="20"/>
      <c r="BJ61" s="24">
        <f ca="1">IFERROR(__xludf.DUMMYFUNCTION("""COMPUTED_VALUE"""),0)</f>
        <v>0</v>
      </c>
      <c r="BK61" s="24">
        <f ca="1">IFERROR(__xludf.DUMMYFUNCTION("""COMPUTED_VALUE"""),0)</f>
        <v>0</v>
      </c>
      <c r="BL61" s="24">
        <f ca="1">IFERROR(__xludf.DUMMYFUNCTION("""COMPUTED_VALUE"""),0)</f>
        <v>0</v>
      </c>
      <c r="BM61" s="20"/>
      <c r="BN61" s="24">
        <f ca="1">IFERROR(__xludf.DUMMYFUNCTION("""COMPUTED_VALUE"""),0)</f>
        <v>0</v>
      </c>
      <c r="BO61" s="20"/>
      <c r="BP61" s="24">
        <f ca="1">IFERROR(__xludf.DUMMYFUNCTION("""COMPUTED_VALUE"""),0)</f>
        <v>0</v>
      </c>
      <c r="BQ61" s="24">
        <f ca="1">IFERROR(__xludf.DUMMYFUNCTION("""COMPUTED_VALUE"""),0)</f>
        <v>0</v>
      </c>
      <c r="BR61" s="24">
        <f ca="1">IFERROR(__xludf.DUMMYFUNCTION("""COMPUTED_VALUE"""),0)</f>
        <v>0</v>
      </c>
      <c r="BS61" s="20"/>
      <c r="BT61" s="24">
        <f ca="1">IFERROR(__xludf.DUMMYFUNCTION("""COMPUTED_VALUE"""),0)</f>
        <v>0</v>
      </c>
      <c r="BU61" s="20"/>
      <c r="BV61" s="24">
        <f ca="1">IFERROR(__xludf.DUMMYFUNCTION("""COMPUTED_VALUE"""),0)</f>
        <v>0</v>
      </c>
      <c r="BW61" s="24">
        <f ca="1">IFERROR(__xludf.DUMMYFUNCTION("""COMPUTED_VALUE"""),0)</f>
        <v>0</v>
      </c>
      <c r="BX61" s="24">
        <f ca="1">IFERROR(__xludf.DUMMYFUNCTION("""COMPUTED_VALUE"""),0)</f>
        <v>0</v>
      </c>
      <c r="BY61" s="20"/>
      <c r="BZ61" s="24">
        <f ca="1">IFERROR(__xludf.DUMMYFUNCTION("""COMPUTED_VALUE"""),0)</f>
        <v>0</v>
      </c>
      <c r="CA61" s="20"/>
      <c r="CB61" s="20"/>
      <c r="CC61" s="20"/>
      <c r="CD61" s="20"/>
      <c r="CE61" s="20"/>
      <c r="CF61" s="20"/>
      <c r="CG61" s="20"/>
      <c r="CH61" s="20"/>
      <c r="CI61" s="20"/>
      <c r="CJ61" s="20"/>
      <c r="CK61" s="20"/>
      <c r="CL61" s="20"/>
      <c r="CM61" s="20"/>
      <c r="CN61" s="20"/>
      <c r="CO61" s="20"/>
      <c r="CP61" s="20"/>
      <c r="CQ61" s="20"/>
      <c r="CR61" s="20"/>
      <c r="CS61" s="20"/>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row>
    <row r="62" spans="1:123" ht="64.5" hidden="1" customHeight="1" x14ac:dyDescent="0.2">
      <c r="A62" s="19"/>
      <c r="B62" s="20" t="str">
        <f ca="1">IFERROR(__xludf.DUMMYFUNCTION("""COMPUTED_VALUE"""),"г.о. Дмитровский")</f>
        <v>г.о. Дмитровский</v>
      </c>
      <c r="C6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2" s="20" t="str">
        <f ca="1">IFERROR(__xludf.DUMMYFUNCTION("""COMPUTED_VALUE"""),"МинЖКХ")</f>
        <v>МинЖКХ</v>
      </c>
      <c r="E62" s="20" t="str">
        <f ca="1">IFERROR(__xludf.DUMMYFUNCTION("""COMPUTED_VALUE"""),"Реконструкция ВЗУ№1 г. Яхрома, ул. Рабочая; Дмитровский г.о")</f>
        <v>Реконструкция ВЗУ№1 г. Яхрома, ул. Рабочая; Дмитровский г.о</v>
      </c>
      <c r="F62" s="22" t="str">
        <f ca="1">IFERROR(__xludf.DUMMYFUNCTION("""COMPUTED_VALUE"""),"ВЗУ")</f>
        <v>ВЗУ</v>
      </c>
      <c r="G62" s="20">
        <f ca="1">IFERROR(__xludf.DUMMYFUNCTION("""COMPUTED_VALUE"""),2023)</f>
        <v>2023</v>
      </c>
      <c r="H62" s="20" t="str">
        <f ca="1">IFERROR(__xludf.DUMMYFUNCTION("""COMPUTED_VALUE"""),"СМР")</f>
        <v>СМР</v>
      </c>
      <c r="I62" s="20"/>
      <c r="J62" s="20"/>
      <c r="K62" s="20"/>
      <c r="L62" s="20"/>
      <c r="M62" s="20"/>
      <c r="N62" s="24">
        <f ca="1">IFERROR(__xludf.DUMMYFUNCTION("""COMPUTED_VALUE"""),0)</f>
        <v>0</v>
      </c>
      <c r="O62" s="20"/>
      <c r="P62" s="20"/>
      <c r="Q62" s="20"/>
      <c r="R62" s="20"/>
      <c r="S62" s="20"/>
      <c r="T62" s="20"/>
      <c r="U62" s="24">
        <f ca="1">IFERROR(__xludf.DUMMYFUNCTION("""COMPUTED_VALUE"""),0)</f>
        <v>0</v>
      </c>
      <c r="V62" s="24">
        <f ca="1">IFERROR(__xludf.DUMMYFUNCTION("""COMPUTED_VALUE"""),0)</f>
        <v>0</v>
      </c>
      <c r="W62" s="24">
        <f ca="1">IFERROR(__xludf.DUMMYFUNCTION("""COMPUTED_VALUE"""),0)</f>
        <v>0</v>
      </c>
      <c r="X62" s="24">
        <f ca="1">IFERROR(__xludf.DUMMYFUNCTION("""COMPUTED_VALUE"""),0)</f>
        <v>0</v>
      </c>
      <c r="Y62" s="24">
        <f ca="1">IFERROR(__xludf.DUMMYFUNCTION("""COMPUTED_VALUE"""),0)</f>
        <v>0</v>
      </c>
      <c r="Z62" s="24">
        <f ca="1">IFERROR(__xludf.DUMMYFUNCTION("""COMPUTED_VALUE"""),0)</f>
        <v>0</v>
      </c>
      <c r="AA62" s="20" t="str">
        <f ca="1">IFERROR(__xludf.DUMMYFUNCTION("""COMPUTED_VALUE"""),"10 1 G552430
")</f>
        <v xml:space="preserve">10 1 G552430
</v>
      </c>
      <c r="AB62" s="20">
        <f ca="1">IFERROR(__xludf.DUMMYFUNCTION("""COMPUTED_VALUE"""),522)</f>
        <v>522</v>
      </c>
      <c r="AC62" s="20"/>
      <c r="AD62" s="20"/>
      <c r="AE62" s="20"/>
      <c r="AF62" s="24">
        <f ca="1">IFERROR(__xludf.DUMMYFUNCTION("""COMPUTED_VALUE"""),16505.9)</f>
        <v>16505.900000000001</v>
      </c>
      <c r="AG62" s="24">
        <f ca="1">IFERROR(__xludf.DUMMYFUNCTION("""COMPUTED_VALUE"""),8430.39)</f>
        <v>8430.39</v>
      </c>
      <c r="AH62" s="24">
        <f ca="1">IFERROR(__xludf.DUMMYFUNCTION("""COMPUTED_VALUE"""),2810.13)</f>
        <v>2810.13</v>
      </c>
      <c r="AI62" s="24">
        <f ca="1">IFERROR(__xludf.DUMMYFUNCTION("""COMPUTED_VALUE"""),0)</f>
        <v>0</v>
      </c>
      <c r="AJ62" s="24">
        <f ca="1">IFERROR(__xludf.DUMMYFUNCTION("""COMPUTED_VALUE"""),5265.38)</f>
        <v>5265.38</v>
      </c>
      <c r="AK62" s="24">
        <f ca="1">IFERROR(__xludf.DUMMYFUNCTION("""COMPUTED_VALUE"""),0)</f>
        <v>0</v>
      </c>
      <c r="AL62" s="24">
        <f ca="1">IFERROR(__xludf.DUMMYFUNCTION("""COMPUTED_VALUE"""),0)</f>
        <v>0</v>
      </c>
      <c r="AM62" s="20"/>
      <c r="AN62" s="20"/>
      <c r="AO62" s="20"/>
      <c r="AP62" s="20"/>
      <c r="AQ62" s="20"/>
      <c r="AR62" s="24">
        <f ca="1">IFERROR(__xludf.DUMMYFUNCTION("""COMPUTED_VALUE"""),0)</f>
        <v>0</v>
      </c>
      <c r="AS62" s="20"/>
      <c r="AT62" s="20"/>
      <c r="AU62" s="20"/>
      <c r="AV62" s="20"/>
      <c r="AW62" s="20"/>
      <c r="AX62" s="24">
        <f ca="1">IFERROR(__xludf.DUMMYFUNCTION("""COMPUTED_VALUE"""),0)</f>
        <v>0</v>
      </c>
      <c r="AY62" s="24">
        <f ca="1">IFERROR(__xludf.DUMMYFUNCTION("""COMPUTED_VALUE"""),0)</f>
        <v>0</v>
      </c>
      <c r="AZ62" s="24">
        <f ca="1">IFERROR(__xludf.DUMMYFUNCTION("""COMPUTED_VALUE"""),0)</f>
        <v>0</v>
      </c>
      <c r="BA62" s="20"/>
      <c r="BB62" s="24">
        <f ca="1">IFERROR(__xludf.DUMMYFUNCTION("""COMPUTED_VALUE"""),0)</f>
        <v>0</v>
      </c>
      <c r="BC62" s="20"/>
      <c r="BD62" s="24">
        <f ca="1">IFERROR(__xludf.DUMMYFUNCTION("""COMPUTED_VALUE"""),0)</f>
        <v>0</v>
      </c>
      <c r="BE62" s="24">
        <f ca="1">IFERROR(__xludf.DUMMYFUNCTION("""COMPUTED_VALUE"""),0)</f>
        <v>0</v>
      </c>
      <c r="BF62" s="24">
        <f ca="1">IFERROR(__xludf.DUMMYFUNCTION("""COMPUTED_VALUE"""),0)</f>
        <v>0</v>
      </c>
      <c r="BG62" s="20"/>
      <c r="BH62" s="24">
        <f ca="1">IFERROR(__xludf.DUMMYFUNCTION("""COMPUTED_VALUE"""),0)</f>
        <v>0</v>
      </c>
      <c r="BI62" s="20"/>
      <c r="BJ62" s="24">
        <f ca="1">IFERROR(__xludf.DUMMYFUNCTION("""COMPUTED_VALUE"""),0)</f>
        <v>0</v>
      </c>
      <c r="BK62" s="24">
        <f ca="1">IFERROR(__xludf.DUMMYFUNCTION("""COMPUTED_VALUE"""),0)</f>
        <v>0</v>
      </c>
      <c r="BL62" s="24">
        <f ca="1">IFERROR(__xludf.DUMMYFUNCTION("""COMPUTED_VALUE"""),0)</f>
        <v>0</v>
      </c>
      <c r="BM62" s="20"/>
      <c r="BN62" s="24">
        <f ca="1">IFERROR(__xludf.DUMMYFUNCTION("""COMPUTED_VALUE"""),0)</f>
        <v>0</v>
      </c>
      <c r="BO62" s="20"/>
      <c r="BP62" s="24">
        <f ca="1">IFERROR(__xludf.DUMMYFUNCTION("""COMPUTED_VALUE"""),16505.9)</f>
        <v>16505.900000000001</v>
      </c>
      <c r="BQ62" s="24">
        <f ca="1">IFERROR(__xludf.DUMMYFUNCTION("""COMPUTED_VALUE"""),8430.39)</f>
        <v>8430.39</v>
      </c>
      <c r="BR62" s="24">
        <f ca="1">IFERROR(__xludf.DUMMYFUNCTION("""COMPUTED_VALUE"""),2810.13)</f>
        <v>2810.13</v>
      </c>
      <c r="BS62" s="20"/>
      <c r="BT62" s="24">
        <f ca="1">IFERROR(__xludf.DUMMYFUNCTION("""COMPUTED_VALUE"""),5265.38)</f>
        <v>5265.38</v>
      </c>
      <c r="BU62" s="20"/>
      <c r="BV62" s="24">
        <f ca="1">IFERROR(__xludf.DUMMYFUNCTION("""COMPUTED_VALUE"""),0)</f>
        <v>0</v>
      </c>
      <c r="BW62" s="24">
        <f ca="1">IFERROR(__xludf.DUMMYFUNCTION("""COMPUTED_VALUE"""),0)</f>
        <v>0</v>
      </c>
      <c r="BX62" s="24">
        <f ca="1">IFERROR(__xludf.DUMMYFUNCTION("""COMPUTED_VALUE"""),0)</f>
        <v>0</v>
      </c>
      <c r="BY62" s="20"/>
      <c r="BZ62" s="24">
        <f ca="1">IFERROR(__xludf.DUMMYFUNCTION("""COMPUTED_VALUE"""),0)</f>
        <v>0</v>
      </c>
      <c r="CA62" s="20"/>
      <c r="CB62" s="20"/>
      <c r="CC62" s="20"/>
      <c r="CD62" s="20"/>
      <c r="CE62" s="20"/>
      <c r="CF62" s="20"/>
      <c r="CG62" s="20"/>
      <c r="CH62" s="20"/>
      <c r="CI62" s="20"/>
      <c r="CJ62" s="20"/>
      <c r="CK62" s="20"/>
      <c r="CL62" s="20"/>
      <c r="CM62" s="20"/>
      <c r="CN62" s="20"/>
      <c r="CO62" s="20"/>
      <c r="CP62" s="20"/>
      <c r="CQ62" s="20"/>
      <c r="CR62" s="20"/>
      <c r="CS62" s="20"/>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row>
    <row r="63" spans="1:123" ht="64.5" hidden="1" customHeight="1" x14ac:dyDescent="0.2">
      <c r="A63" s="19"/>
      <c r="B63" s="20" t="str">
        <f ca="1">IFERROR(__xludf.DUMMYFUNCTION("""COMPUTED_VALUE"""),"г.о. Дмитровский")</f>
        <v>г.о. Дмитровский</v>
      </c>
      <c r="C6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3" s="20" t="str">
        <f ca="1">IFERROR(__xludf.DUMMYFUNCTION("""COMPUTED_VALUE"""),"МинЖКХ")</f>
        <v>МинЖКХ</v>
      </c>
      <c r="E63" s="20" t="str">
        <f ca="1">IFERROR(__xludf.DUMMYFUNCTION("""COMPUTED_VALUE"""),"Реконструкция ВЗУ  п. Орево   г.о.")</f>
        <v>Реконструкция ВЗУ  п. Орево   г.о.</v>
      </c>
      <c r="F63" s="22" t="str">
        <f ca="1">IFERROR(__xludf.DUMMYFUNCTION("""COMPUTED_VALUE"""),"ВЗУ")</f>
        <v>ВЗУ</v>
      </c>
      <c r="G63" s="20">
        <f ca="1">IFERROR(__xludf.DUMMYFUNCTION("""COMPUTED_VALUE"""),2023)</f>
        <v>2023</v>
      </c>
      <c r="H63" s="20" t="str">
        <f ca="1">IFERROR(__xludf.DUMMYFUNCTION("""COMPUTED_VALUE"""),"СМР")</f>
        <v>СМР</v>
      </c>
      <c r="I63" s="20"/>
      <c r="J63" s="20"/>
      <c r="K63" s="20"/>
      <c r="L63" s="20"/>
      <c r="M63" s="20"/>
      <c r="N63" s="24">
        <f ca="1">IFERROR(__xludf.DUMMYFUNCTION("""COMPUTED_VALUE"""),0)</f>
        <v>0</v>
      </c>
      <c r="O63" s="20"/>
      <c r="P63" s="20"/>
      <c r="Q63" s="20"/>
      <c r="R63" s="20"/>
      <c r="S63" s="20"/>
      <c r="T63" s="20"/>
      <c r="U63" s="24">
        <f ca="1">IFERROR(__xludf.DUMMYFUNCTION("""COMPUTED_VALUE"""),0)</f>
        <v>0</v>
      </c>
      <c r="V63" s="24">
        <f ca="1">IFERROR(__xludf.DUMMYFUNCTION("""COMPUTED_VALUE"""),0)</f>
        <v>0</v>
      </c>
      <c r="W63" s="24">
        <f ca="1">IFERROR(__xludf.DUMMYFUNCTION("""COMPUTED_VALUE"""),0)</f>
        <v>0</v>
      </c>
      <c r="X63" s="24">
        <f ca="1">IFERROR(__xludf.DUMMYFUNCTION("""COMPUTED_VALUE"""),0)</f>
        <v>0</v>
      </c>
      <c r="Y63" s="24">
        <f ca="1">IFERROR(__xludf.DUMMYFUNCTION("""COMPUTED_VALUE"""),0)</f>
        <v>0</v>
      </c>
      <c r="Z63" s="24">
        <f ca="1">IFERROR(__xludf.DUMMYFUNCTION("""COMPUTED_VALUE"""),0)</f>
        <v>0</v>
      </c>
      <c r="AA63" s="20" t="str">
        <f ca="1">IFERROR(__xludf.DUMMYFUNCTION("""COMPUTED_VALUE"""),"10 1 G552430
")</f>
        <v xml:space="preserve">10 1 G552430
</v>
      </c>
      <c r="AB63" s="20">
        <f ca="1">IFERROR(__xludf.DUMMYFUNCTION("""COMPUTED_VALUE"""),522)</f>
        <v>522</v>
      </c>
      <c r="AC63" s="20"/>
      <c r="AD63" s="20"/>
      <c r="AE63" s="20"/>
      <c r="AF63" s="24">
        <f ca="1">IFERROR(__xludf.DUMMYFUNCTION("""COMPUTED_VALUE"""),13890.57)</f>
        <v>13890.57</v>
      </c>
      <c r="AG63" s="24">
        <f ca="1">IFERROR(__xludf.DUMMYFUNCTION("""COMPUTED_VALUE"""),7094.61)</f>
        <v>7094.61</v>
      </c>
      <c r="AH63" s="24">
        <f ca="1">IFERROR(__xludf.DUMMYFUNCTION("""COMPUTED_VALUE"""),2364.87)</f>
        <v>2364.87</v>
      </c>
      <c r="AI63" s="24">
        <f ca="1">IFERROR(__xludf.DUMMYFUNCTION("""COMPUTED_VALUE"""),0)</f>
        <v>0</v>
      </c>
      <c r="AJ63" s="24">
        <f ca="1">IFERROR(__xludf.DUMMYFUNCTION("""COMPUTED_VALUE"""),4431.09)</f>
        <v>4431.09</v>
      </c>
      <c r="AK63" s="24">
        <f ca="1">IFERROR(__xludf.DUMMYFUNCTION("""COMPUTED_VALUE"""),0)</f>
        <v>0</v>
      </c>
      <c r="AL63" s="24">
        <f ca="1">IFERROR(__xludf.DUMMYFUNCTION("""COMPUTED_VALUE"""),0)</f>
        <v>0</v>
      </c>
      <c r="AM63" s="20"/>
      <c r="AN63" s="20"/>
      <c r="AO63" s="20"/>
      <c r="AP63" s="20"/>
      <c r="AQ63" s="20"/>
      <c r="AR63" s="24">
        <f ca="1">IFERROR(__xludf.DUMMYFUNCTION("""COMPUTED_VALUE"""),0)</f>
        <v>0</v>
      </c>
      <c r="AS63" s="20"/>
      <c r="AT63" s="20"/>
      <c r="AU63" s="20"/>
      <c r="AV63" s="20"/>
      <c r="AW63" s="20"/>
      <c r="AX63" s="24">
        <f ca="1">IFERROR(__xludf.DUMMYFUNCTION("""COMPUTED_VALUE"""),0)</f>
        <v>0</v>
      </c>
      <c r="AY63" s="24">
        <f ca="1">IFERROR(__xludf.DUMMYFUNCTION("""COMPUTED_VALUE"""),0)</f>
        <v>0</v>
      </c>
      <c r="AZ63" s="24">
        <f ca="1">IFERROR(__xludf.DUMMYFUNCTION("""COMPUTED_VALUE"""),0)</f>
        <v>0</v>
      </c>
      <c r="BA63" s="20"/>
      <c r="BB63" s="24">
        <f ca="1">IFERROR(__xludf.DUMMYFUNCTION("""COMPUTED_VALUE"""),0)</f>
        <v>0</v>
      </c>
      <c r="BC63" s="20"/>
      <c r="BD63" s="24">
        <f ca="1">IFERROR(__xludf.DUMMYFUNCTION("""COMPUTED_VALUE"""),0)</f>
        <v>0</v>
      </c>
      <c r="BE63" s="24">
        <f ca="1">IFERROR(__xludf.DUMMYFUNCTION("""COMPUTED_VALUE"""),0)</f>
        <v>0</v>
      </c>
      <c r="BF63" s="24">
        <f ca="1">IFERROR(__xludf.DUMMYFUNCTION("""COMPUTED_VALUE"""),0)</f>
        <v>0</v>
      </c>
      <c r="BG63" s="20"/>
      <c r="BH63" s="24">
        <f ca="1">IFERROR(__xludf.DUMMYFUNCTION("""COMPUTED_VALUE"""),0)</f>
        <v>0</v>
      </c>
      <c r="BI63" s="20"/>
      <c r="BJ63" s="24">
        <f ca="1">IFERROR(__xludf.DUMMYFUNCTION("""COMPUTED_VALUE"""),0)</f>
        <v>0</v>
      </c>
      <c r="BK63" s="24">
        <f ca="1">IFERROR(__xludf.DUMMYFUNCTION("""COMPUTED_VALUE"""),0)</f>
        <v>0</v>
      </c>
      <c r="BL63" s="24">
        <f ca="1">IFERROR(__xludf.DUMMYFUNCTION("""COMPUTED_VALUE"""),0)</f>
        <v>0</v>
      </c>
      <c r="BM63" s="20"/>
      <c r="BN63" s="24">
        <f ca="1">IFERROR(__xludf.DUMMYFUNCTION("""COMPUTED_VALUE"""),0)</f>
        <v>0</v>
      </c>
      <c r="BO63" s="20"/>
      <c r="BP63" s="24">
        <f ca="1">IFERROR(__xludf.DUMMYFUNCTION("""COMPUTED_VALUE"""),13890.57)</f>
        <v>13890.57</v>
      </c>
      <c r="BQ63" s="24">
        <f ca="1">IFERROR(__xludf.DUMMYFUNCTION("""COMPUTED_VALUE"""),7094.61)</f>
        <v>7094.61</v>
      </c>
      <c r="BR63" s="24">
        <f ca="1">IFERROR(__xludf.DUMMYFUNCTION("""COMPUTED_VALUE"""),2364.87)</f>
        <v>2364.87</v>
      </c>
      <c r="BS63" s="20"/>
      <c r="BT63" s="24">
        <f ca="1">IFERROR(__xludf.DUMMYFUNCTION("""COMPUTED_VALUE"""),4431.09)</f>
        <v>4431.09</v>
      </c>
      <c r="BU63" s="20"/>
      <c r="BV63" s="24">
        <f ca="1">IFERROR(__xludf.DUMMYFUNCTION("""COMPUTED_VALUE"""),0)</f>
        <v>0</v>
      </c>
      <c r="BW63" s="24">
        <f ca="1">IFERROR(__xludf.DUMMYFUNCTION("""COMPUTED_VALUE"""),0)</f>
        <v>0</v>
      </c>
      <c r="BX63" s="24">
        <f ca="1">IFERROR(__xludf.DUMMYFUNCTION("""COMPUTED_VALUE"""),0)</f>
        <v>0</v>
      </c>
      <c r="BY63" s="20"/>
      <c r="BZ63" s="24">
        <f ca="1">IFERROR(__xludf.DUMMYFUNCTION("""COMPUTED_VALUE"""),0)</f>
        <v>0</v>
      </c>
      <c r="CA63" s="20"/>
      <c r="CB63" s="20"/>
      <c r="CC63" s="20"/>
      <c r="CD63" s="20"/>
      <c r="CE63" s="20"/>
      <c r="CF63" s="20"/>
      <c r="CG63" s="20"/>
      <c r="CH63" s="20"/>
      <c r="CI63" s="20"/>
      <c r="CJ63" s="20"/>
      <c r="CK63" s="20"/>
      <c r="CL63" s="20"/>
      <c r="CM63" s="20"/>
      <c r="CN63" s="20"/>
      <c r="CO63" s="20"/>
      <c r="CP63" s="20"/>
      <c r="CQ63" s="20"/>
      <c r="CR63" s="20"/>
      <c r="CS63" s="20"/>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row>
    <row r="64" spans="1:123" ht="64.5" hidden="1" customHeight="1" x14ac:dyDescent="0.2">
      <c r="A64" s="19"/>
      <c r="B64" s="20" t="str">
        <f ca="1">IFERROR(__xludf.DUMMYFUNCTION("""COMPUTED_VALUE"""),"г.о. Дмитровский")</f>
        <v>г.о. Дмитровский</v>
      </c>
      <c r="C6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4" s="20" t="str">
        <f ca="1">IFERROR(__xludf.DUMMYFUNCTION("""COMPUTED_VALUE"""),"МинЖКХ")</f>
        <v>МинЖКХ</v>
      </c>
      <c r="E64" s="20" t="str">
        <f ca="1">IFERROR(__xludf.DUMMYFUNCTION("""COMPUTED_VALUE"""),"Реконструкция ВЗУп. Насадкино г.о. Дмтровский")</f>
        <v>Реконструкция ВЗУп. Насадкино г.о. Дмтровский</v>
      </c>
      <c r="F64" s="22" t="str">
        <f ca="1">IFERROR(__xludf.DUMMYFUNCTION("""COMPUTED_VALUE"""),"ВЗУ")</f>
        <v>ВЗУ</v>
      </c>
      <c r="G64" s="20" t="str">
        <f ca="1">IFERROR(__xludf.DUMMYFUNCTION("""COMPUTED_VALUE"""),"Н/Л")</f>
        <v>Н/Л</v>
      </c>
      <c r="H64" s="20"/>
      <c r="I64" s="20"/>
      <c r="J64" s="20"/>
      <c r="K64" s="20"/>
      <c r="L64" s="20"/>
      <c r="M64" s="20"/>
      <c r="N64" s="24">
        <f ca="1">IFERROR(__xludf.DUMMYFUNCTION("""COMPUTED_VALUE"""),0)</f>
        <v>0</v>
      </c>
      <c r="O64" s="20"/>
      <c r="P64" s="20"/>
      <c r="Q64" s="20"/>
      <c r="R64" s="20"/>
      <c r="S64" s="20"/>
      <c r="T64" s="20"/>
      <c r="U64" s="24">
        <f ca="1">IFERROR(__xludf.DUMMYFUNCTION("""COMPUTED_VALUE"""),0)</f>
        <v>0</v>
      </c>
      <c r="V64" s="24">
        <f ca="1">IFERROR(__xludf.DUMMYFUNCTION("""COMPUTED_VALUE"""),0)</f>
        <v>0</v>
      </c>
      <c r="W64" s="24">
        <f ca="1">IFERROR(__xludf.DUMMYFUNCTION("""COMPUTED_VALUE"""),0)</f>
        <v>0</v>
      </c>
      <c r="X64" s="24">
        <f ca="1">IFERROR(__xludf.DUMMYFUNCTION("""COMPUTED_VALUE"""),0)</f>
        <v>0</v>
      </c>
      <c r="Y64" s="24">
        <f ca="1">IFERROR(__xludf.DUMMYFUNCTION("""COMPUTED_VALUE"""),0)</f>
        <v>0</v>
      </c>
      <c r="Z64" s="24">
        <f ca="1">IFERROR(__xludf.DUMMYFUNCTION("""COMPUTED_VALUE"""),0)</f>
        <v>0</v>
      </c>
      <c r="AA64" s="20" t="str">
        <f ca="1">IFERROR(__xludf.DUMMYFUNCTION("""COMPUTED_VALUE"""),"10 1 G552430
")</f>
        <v xml:space="preserve">10 1 G552430
</v>
      </c>
      <c r="AB64" s="20">
        <f ca="1">IFERROR(__xludf.DUMMYFUNCTION("""COMPUTED_VALUE"""),522)</f>
        <v>522</v>
      </c>
      <c r="AC64" s="20"/>
      <c r="AD64" s="20"/>
      <c r="AE64" s="20"/>
      <c r="AF64" s="24">
        <f ca="1">IFERROR(__xludf.DUMMYFUNCTION("""COMPUTED_VALUE"""),0)</f>
        <v>0</v>
      </c>
      <c r="AG64" s="24">
        <f ca="1">IFERROR(__xludf.DUMMYFUNCTION("""COMPUTED_VALUE"""),0)</f>
        <v>0</v>
      </c>
      <c r="AH64" s="24">
        <f ca="1">IFERROR(__xludf.DUMMYFUNCTION("""COMPUTED_VALUE"""),0)</f>
        <v>0</v>
      </c>
      <c r="AI64" s="24">
        <f ca="1">IFERROR(__xludf.DUMMYFUNCTION("""COMPUTED_VALUE"""),0)</f>
        <v>0</v>
      </c>
      <c r="AJ64" s="24">
        <f ca="1">IFERROR(__xludf.DUMMYFUNCTION("""COMPUTED_VALUE"""),0)</f>
        <v>0</v>
      </c>
      <c r="AK64" s="24">
        <f ca="1">IFERROR(__xludf.DUMMYFUNCTION("""COMPUTED_VALUE"""),0)</f>
        <v>0</v>
      </c>
      <c r="AL64" s="24">
        <f ca="1">IFERROR(__xludf.DUMMYFUNCTION("""COMPUTED_VALUE"""),0)</f>
        <v>0</v>
      </c>
      <c r="AM64" s="20"/>
      <c r="AN64" s="20"/>
      <c r="AO64" s="20"/>
      <c r="AP64" s="20"/>
      <c r="AQ64" s="20"/>
      <c r="AR64" s="24">
        <f ca="1">IFERROR(__xludf.DUMMYFUNCTION("""COMPUTED_VALUE"""),0)</f>
        <v>0</v>
      </c>
      <c r="AS64" s="20"/>
      <c r="AT64" s="20"/>
      <c r="AU64" s="20"/>
      <c r="AV64" s="20"/>
      <c r="AW64" s="20"/>
      <c r="AX64" s="24">
        <f ca="1">IFERROR(__xludf.DUMMYFUNCTION("""COMPUTED_VALUE"""),0)</f>
        <v>0</v>
      </c>
      <c r="AY64" s="24">
        <f ca="1">IFERROR(__xludf.DUMMYFUNCTION("""COMPUTED_VALUE"""),0)</f>
        <v>0</v>
      </c>
      <c r="AZ64" s="24">
        <f ca="1">IFERROR(__xludf.DUMMYFUNCTION("""COMPUTED_VALUE"""),0)</f>
        <v>0</v>
      </c>
      <c r="BA64" s="20"/>
      <c r="BB64" s="24">
        <f ca="1">IFERROR(__xludf.DUMMYFUNCTION("""COMPUTED_VALUE"""),0)</f>
        <v>0</v>
      </c>
      <c r="BC64" s="20"/>
      <c r="BD64" s="24">
        <f ca="1">IFERROR(__xludf.DUMMYFUNCTION("""COMPUTED_VALUE"""),0)</f>
        <v>0</v>
      </c>
      <c r="BE64" s="24">
        <f ca="1">IFERROR(__xludf.DUMMYFUNCTION("""COMPUTED_VALUE"""),0)</f>
        <v>0</v>
      </c>
      <c r="BF64" s="24">
        <f ca="1">IFERROR(__xludf.DUMMYFUNCTION("""COMPUTED_VALUE"""),0)</f>
        <v>0</v>
      </c>
      <c r="BG64" s="20"/>
      <c r="BH64" s="24">
        <f ca="1">IFERROR(__xludf.DUMMYFUNCTION("""COMPUTED_VALUE"""),0)</f>
        <v>0</v>
      </c>
      <c r="BI64" s="20"/>
      <c r="BJ64" s="24">
        <f ca="1">IFERROR(__xludf.DUMMYFUNCTION("""COMPUTED_VALUE"""),0)</f>
        <v>0</v>
      </c>
      <c r="BK64" s="24">
        <f ca="1">IFERROR(__xludf.DUMMYFUNCTION("""COMPUTED_VALUE"""),0)</f>
        <v>0</v>
      </c>
      <c r="BL64" s="24">
        <f ca="1">IFERROR(__xludf.DUMMYFUNCTION("""COMPUTED_VALUE"""),0)</f>
        <v>0</v>
      </c>
      <c r="BM64" s="20"/>
      <c r="BN64" s="24">
        <f ca="1">IFERROR(__xludf.DUMMYFUNCTION("""COMPUTED_VALUE"""),0)</f>
        <v>0</v>
      </c>
      <c r="BO64" s="20"/>
      <c r="BP64" s="24">
        <f ca="1">IFERROR(__xludf.DUMMYFUNCTION("""COMPUTED_VALUE"""),0)</f>
        <v>0</v>
      </c>
      <c r="BQ64" s="24">
        <f ca="1">IFERROR(__xludf.DUMMYFUNCTION("""COMPUTED_VALUE"""),0)</f>
        <v>0</v>
      </c>
      <c r="BR64" s="24">
        <f ca="1">IFERROR(__xludf.DUMMYFUNCTION("""COMPUTED_VALUE"""),0)</f>
        <v>0</v>
      </c>
      <c r="BS64" s="20"/>
      <c r="BT64" s="24">
        <f ca="1">IFERROR(__xludf.DUMMYFUNCTION("""COMPUTED_VALUE"""),0)</f>
        <v>0</v>
      </c>
      <c r="BU64" s="20"/>
      <c r="BV64" s="24">
        <f ca="1">IFERROR(__xludf.DUMMYFUNCTION("""COMPUTED_VALUE"""),0)</f>
        <v>0</v>
      </c>
      <c r="BW64" s="24">
        <f ca="1">IFERROR(__xludf.DUMMYFUNCTION("""COMPUTED_VALUE"""),0)</f>
        <v>0</v>
      </c>
      <c r="BX64" s="24">
        <f ca="1">IFERROR(__xludf.DUMMYFUNCTION("""COMPUTED_VALUE"""),0)</f>
        <v>0</v>
      </c>
      <c r="BY64" s="20"/>
      <c r="BZ64" s="24">
        <f ca="1">IFERROR(__xludf.DUMMYFUNCTION("""COMPUTED_VALUE"""),0)</f>
        <v>0</v>
      </c>
      <c r="CA64" s="20"/>
      <c r="CB64" s="20"/>
      <c r="CC64" s="20"/>
      <c r="CD64" s="20"/>
      <c r="CE64" s="20"/>
      <c r="CF64" s="20"/>
      <c r="CG64" s="20"/>
      <c r="CH64" s="20"/>
      <c r="CI64" s="20"/>
      <c r="CJ64" s="20"/>
      <c r="CK64" s="20"/>
      <c r="CL64" s="20"/>
      <c r="CM64" s="20"/>
      <c r="CN64" s="20"/>
      <c r="CO64" s="20"/>
      <c r="CP64" s="20"/>
      <c r="CQ64" s="20"/>
      <c r="CR64" s="20"/>
      <c r="CS64" s="20"/>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row>
    <row r="65" spans="1:123" ht="64.5" hidden="1" customHeight="1" x14ac:dyDescent="0.2">
      <c r="A65" s="19"/>
      <c r="B65" s="20" t="str">
        <f ca="1">IFERROR(__xludf.DUMMYFUNCTION("""COMPUTED_VALUE"""),"г.о. Дмитровский")</f>
        <v>г.о. Дмитровский</v>
      </c>
      <c r="C6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5" s="20" t="str">
        <f ca="1">IFERROR(__xludf.DUMMYFUNCTION("""COMPUTED_VALUE"""),"МинЖКХ")</f>
        <v>МинЖКХ</v>
      </c>
      <c r="E65" s="20" t="str">
        <f ca="1">IFERROR(__xludf.DUMMYFUNCTION("""COMPUTED_VALUE"""),"Реконструкция ВЗУ д. Бунятино г.о. Дмтровский")</f>
        <v>Реконструкция ВЗУ д. Бунятино г.о. Дмтровский</v>
      </c>
      <c r="F65" s="22" t="str">
        <f ca="1">IFERROR(__xludf.DUMMYFUNCTION("""COMPUTED_VALUE"""),"ВЗУ")</f>
        <v>ВЗУ</v>
      </c>
      <c r="G65" s="20" t="str">
        <f ca="1">IFERROR(__xludf.DUMMYFUNCTION("""COMPUTED_VALUE"""),"Н/Л")</f>
        <v>Н/Л</v>
      </c>
      <c r="H65" s="20"/>
      <c r="I65" s="20"/>
      <c r="J65" s="20"/>
      <c r="K65" s="20"/>
      <c r="L65" s="20"/>
      <c r="M65" s="20"/>
      <c r="N65" s="24">
        <f ca="1">IFERROR(__xludf.DUMMYFUNCTION("""COMPUTED_VALUE"""),0)</f>
        <v>0</v>
      </c>
      <c r="O65" s="20"/>
      <c r="P65" s="20"/>
      <c r="Q65" s="20"/>
      <c r="R65" s="20"/>
      <c r="S65" s="20"/>
      <c r="T65" s="20"/>
      <c r="U65" s="24">
        <f ca="1">IFERROR(__xludf.DUMMYFUNCTION("""COMPUTED_VALUE"""),0)</f>
        <v>0</v>
      </c>
      <c r="V65" s="24">
        <f ca="1">IFERROR(__xludf.DUMMYFUNCTION("""COMPUTED_VALUE"""),0)</f>
        <v>0</v>
      </c>
      <c r="W65" s="24">
        <f ca="1">IFERROR(__xludf.DUMMYFUNCTION("""COMPUTED_VALUE"""),0)</f>
        <v>0</v>
      </c>
      <c r="X65" s="24">
        <f ca="1">IFERROR(__xludf.DUMMYFUNCTION("""COMPUTED_VALUE"""),0)</f>
        <v>0</v>
      </c>
      <c r="Y65" s="24">
        <f ca="1">IFERROR(__xludf.DUMMYFUNCTION("""COMPUTED_VALUE"""),0)</f>
        <v>0</v>
      </c>
      <c r="Z65" s="24">
        <f ca="1">IFERROR(__xludf.DUMMYFUNCTION("""COMPUTED_VALUE"""),0)</f>
        <v>0</v>
      </c>
      <c r="AA65" s="20" t="str">
        <f ca="1">IFERROR(__xludf.DUMMYFUNCTION("""COMPUTED_VALUE"""),"10 1 G552430
")</f>
        <v xml:space="preserve">10 1 G552430
</v>
      </c>
      <c r="AB65" s="20">
        <f ca="1">IFERROR(__xludf.DUMMYFUNCTION("""COMPUTED_VALUE"""),522)</f>
        <v>522</v>
      </c>
      <c r="AC65" s="20"/>
      <c r="AD65" s="20"/>
      <c r="AE65" s="20"/>
      <c r="AF65" s="24">
        <f ca="1">IFERROR(__xludf.DUMMYFUNCTION("""COMPUTED_VALUE"""),0)</f>
        <v>0</v>
      </c>
      <c r="AG65" s="24">
        <f ca="1">IFERROR(__xludf.DUMMYFUNCTION("""COMPUTED_VALUE"""),0)</f>
        <v>0</v>
      </c>
      <c r="AH65" s="24">
        <f ca="1">IFERROR(__xludf.DUMMYFUNCTION("""COMPUTED_VALUE"""),0)</f>
        <v>0</v>
      </c>
      <c r="AI65" s="24">
        <f ca="1">IFERROR(__xludf.DUMMYFUNCTION("""COMPUTED_VALUE"""),0)</f>
        <v>0</v>
      </c>
      <c r="AJ65" s="24">
        <f ca="1">IFERROR(__xludf.DUMMYFUNCTION("""COMPUTED_VALUE"""),0)</f>
        <v>0</v>
      </c>
      <c r="AK65" s="24">
        <f ca="1">IFERROR(__xludf.DUMMYFUNCTION("""COMPUTED_VALUE"""),0)</f>
        <v>0</v>
      </c>
      <c r="AL65" s="24">
        <f ca="1">IFERROR(__xludf.DUMMYFUNCTION("""COMPUTED_VALUE"""),0)</f>
        <v>0</v>
      </c>
      <c r="AM65" s="20"/>
      <c r="AN65" s="20"/>
      <c r="AO65" s="20"/>
      <c r="AP65" s="20"/>
      <c r="AQ65" s="20"/>
      <c r="AR65" s="24">
        <f ca="1">IFERROR(__xludf.DUMMYFUNCTION("""COMPUTED_VALUE"""),0)</f>
        <v>0</v>
      </c>
      <c r="AS65" s="20"/>
      <c r="AT65" s="20"/>
      <c r="AU65" s="20"/>
      <c r="AV65" s="20"/>
      <c r="AW65" s="20"/>
      <c r="AX65" s="24">
        <f ca="1">IFERROR(__xludf.DUMMYFUNCTION("""COMPUTED_VALUE"""),0)</f>
        <v>0</v>
      </c>
      <c r="AY65" s="24">
        <f ca="1">IFERROR(__xludf.DUMMYFUNCTION("""COMPUTED_VALUE"""),0)</f>
        <v>0</v>
      </c>
      <c r="AZ65" s="24">
        <f ca="1">IFERROR(__xludf.DUMMYFUNCTION("""COMPUTED_VALUE"""),0)</f>
        <v>0</v>
      </c>
      <c r="BA65" s="20"/>
      <c r="BB65" s="24">
        <f ca="1">IFERROR(__xludf.DUMMYFUNCTION("""COMPUTED_VALUE"""),0)</f>
        <v>0</v>
      </c>
      <c r="BC65" s="20"/>
      <c r="BD65" s="24">
        <f ca="1">IFERROR(__xludf.DUMMYFUNCTION("""COMPUTED_VALUE"""),0)</f>
        <v>0</v>
      </c>
      <c r="BE65" s="24">
        <f ca="1">IFERROR(__xludf.DUMMYFUNCTION("""COMPUTED_VALUE"""),0)</f>
        <v>0</v>
      </c>
      <c r="BF65" s="24">
        <f ca="1">IFERROR(__xludf.DUMMYFUNCTION("""COMPUTED_VALUE"""),0)</f>
        <v>0</v>
      </c>
      <c r="BG65" s="20"/>
      <c r="BH65" s="24">
        <f ca="1">IFERROR(__xludf.DUMMYFUNCTION("""COMPUTED_VALUE"""),0)</f>
        <v>0</v>
      </c>
      <c r="BI65" s="20"/>
      <c r="BJ65" s="24">
        <f ca="1">IFERROR(__xludf.DUMMYFUNCTION("""COMPUTED_VALUE"""),0)</f>
        <v>0</v>
      </c>
      <c r="BK65" s="24">
        <f ca="1">IFERROR(__xludf.DUMMYFUNCTION("""COMPUTED_VALUE"""),0)</f>
        <v>0</v>
      </c>
      <c r="BL65" s="24">
        <f ca="1">IFERROR(__xludf.DUMMYFUNCTION("""COMPUTED_VALUE"""),0)</f>
        <v>0</v>
      </c>
      <c r="BM65" s="20"/>
      <c r="BN65" s="24">
        <f ca="1">IFERROR(__xludf.DUMMYFUNCTION("""COMPUTED_VALUE"""),0)</f>
        <v>0</v>
      </c>
      <c r="BO65" s="20"/>
      <c r="BP65" s="24">
        <f ca="1">IFERROR(__xludf.DUMMYFUNCTION("""COMPUTED_VALUE"""),0)</f>
        <v>0</v>
      </c>
      <c r="BQ65" s="24">
        <f ca="1">IFERROR(__xludf.DUMMYFUNCTION("""COMPUTED_VALUE"""),0)</f>
        <v>0</v>
      </c>
      <c r="BR65" s="24">
        <f ca="1">IFERROR(__xludf.DUMMYFUNCTION("""COMPUTED_VALUE"""),0)</f>
        <v>0</v>
      </c>
      <c r="BS65" s="20"/>
      <c r="BT65" s="24">
        <f ca="1">IFERROR(__xludf.DUMMYFUNCTION("""COMPUTED_VALUE"""),0)</f>
        <v>0</v>
      </c>
      <c r="BU65" s="20"/>
      <c r="BV65" s="24">
        <f ca="1">IFERROR(__xludf.DUMMYFUNCTION("""COMPUTED_VALUE"""),0)</f>
        <v>0</v>
      </c>
      <c r="BW65" s="24">
        <f ca="1">IFERROR(__xludf.DUMMYFUNCTION("""COMPUTED_VALUE"""),0)</f>
        <v>0</v>
      </c>
      <c r="BX65" s="24">
        <f ca="1">IFERROR(__xludf.DUMMYFUNCTION("""COMPUTED_VALUE"""),0)</f>
        <v>0</v>
      </c>
      <c r="BY65" s="20"/>
      <c r="BZ65" s="24">
        <f ca="1">IFERROR(__xludf.DUMMYFUNCTION("""COMPUTED_VALUE"""),0)</f>
        <v>0</v>
      </c>
      <c r="CA65" s="20"/>
      <c r="CB65" s="20"/>
      <c r="CC65" s="20"/>
      <c r="CD65" s="20"/>
      <c r="CE65" s="20"/>
      <c r="CF65" s="20"/>
      <c r="CG65" s="20"/>
      <c r="CH65" s="20"/>
      <c r="CI65" s="20"/>
      <c r="CJ65" s="20"/>
      <c r="CK65" s="20"/>
      <c r="CL65" s="20"/>
      <c r="CM65" s="20"/>
      <c r="CN65" s="20"/>
      <c r="CO65" s="20"/>
      <c r="CP65" s="20"/>
      <c r="CQ65" s="20"/>
      <c r="CR65" s="20"/>
      <c r="CS65" s="20"/>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row>
    <row r="66" spans="1:123" ht="64.5" hidden="1" customHeight="1" x14ac:dyDescent="0.2">
      <c r="A66" s="19"/>
      <c r="B66" s="20" t="str">
        <f ca="1">IFERROR(__xludf.DUMMYFUNCTION("""COMPUTED_VALUE"""),"г.о. Талдомский")</f>
        <v>г.о. Талдомский</v>
      </c>
      <c r="C6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6" s="20" t="str">
        <f ca="1">IFERROR(__xludf.DUMMYFUNCTION("""COMPUTED_VALUE"""),"МинЖКХ")</f>
        <v>МинЖКХ</v>
      </c>
      <c r="E66" s="20" t="str">
        <f ca="1">IFERROR(__xludf.DUMMYFUNCTION("""COMPUTED_VALUE"""),"Реконструкция ВЗУ д. Юркино Талдомский г.о.")</f>
        <v>Реконструкция ВЗУ д. Юркино Талдомский г.о.</v>
      </c>
      <c r="F66" s="22" t="str">
        <f ca="1">IFERROR(__xludf.DUMMYFUNCTION("""COMPUTED_VALUE"""),"ВЗУ")</f>
        <v>ВЗУ</v>
      </c>
      <c r="G66" s="20">
        <f ca="1">IFERROR(__xludf.DUMMYFUNCTION("""COMPUTED_VALUE"""),2023)</f>
        <v>2023</v>
      </c>
      <c r="H66" s="20" t="str">
        <f ca="1">IFERROR(__xludf.DUMMYFUNCTION("""COMPUTED_VALUE"""),"СМР")</f>
        <v>СМР</v>
      </c>
      <c r="I66" s="20"/>
      <c r="J66" s="20"/>
      <c r="K66" s="20"/>
      <c r="L66" s="20"/>
      <c r="M66" s="20"/>
      <c r="N66" s="24">
        <f ca="1">IFERROR(__xludf.DUMMYFUNCTION("""COMPUTED_VALUE"""),0)</f>
        <v>0</v>
      </c>
      <c r="O66" s="20"/>
      <c r="P66" s="20"/>
      <c r="Q66" s="20"/>
      <c r="R66" s="20"/>
      <c r="S66" s="20"/>
      <c r="T66" s="20"/>
      <c r="U66" s="24">
        <f ca="1">IFERROR(__xludf.DUMMYFUNCTION("""COMPUTED_VALUE"""),0)</f>
        <v>0</v>
      </c>
      <c r="V66" s="24">
        <f ca="1">IFERROR(__xludf.DUMMYFUNCTION("""COMPUTED_VALUE"""),0)</f>
        <v>0</v>
      </c>
      <c r="W66" s="24">
        <f ca="1">IFERROR(__xludf.DUMMYFUNCTION("""COMPUTED_VALUE"""),0)</f>
        <v>0</v>
      </c>
      <c r="X66" s="24">
        <f ca="1">IFERROR(__xludf.DUMMYFUNCTION("""COMPUTED_VALUE"""),0)</f>
        <v>0</v>
      </c>
      <c r="Y66" s="24">
        <f ca="1">IFERROR(__xludf.DUMMYFUNCTION("""COMPUTED_VALUE"""),0)</f>
        <v>0</v>
      </c>
      <c r="Z66" s="24">
        <f ca="1">IFERROR(__xludf.DUMMYFUNCTION("""COMPUTED_VALUE"""),0)</f>
        <v>0</v>
      </c>
      <c r="AA66" s="20" t="str">
        <f ca="1">IFERROR(__xludf.DUMMYFUNCTION("""COMPUTED_VALUE"""),"10 1 G552430
")</f>
        <v xml:space="preserve">10 1 G552430
</v>
      </c>
      <c r="AB66" s="20">
        <f ca="1">IFERROR(__xludf.DUMMYFUNCTION("""COMPUTED_VALUE"""),522)</f>
        <v>522</v>
      </c>
      <c r="AC66" s="20"/>
      <c r="AD66" s="20"/>
      <c r="AE66" s="20"/>
      <c r="AF66" s="24">
        <f ca="1">IFERROR(__xludf.DUMMYFUNCTION("""COMPUTED_VALUE"""),16984.29)</f>
        <v>16984.29</v>
      </c>
      <c r="AG66" s="24">
        <f ca="1">IFERROR(__xludf.DUMMYFUNCTION("""COMPUTED_VALUE"""),11094.99)</f>
        <v>11094.99</v>
      </c>
      <c r="AH66" s="24">
        <f ca="1">IFERROR(__xludf.DUMMYFUNCTION("""COMPUTED_VALUE"""),3698.33)</f>
        <v>3698.33</v>
      </c>
      <c r="AI66" s="24">
        <f ca="1">IFERROR(__xludf.DUMMYFUNCTION("""COMPUTED_VALUE"""),0)</f>
        <v>0</v>
      </c>
      <c r="AJ66" s="24">
        <f ca="1">IFERROR(__xludf.DUMMYFUNCTION("""COMPUTED_VALUE"""),2190.97)</f>
        <v>2190.9699999999998</v>
      </c>
      <c r="AK66" s="24">
        <f ca="1">IFERROR(__xludf.DUMMYFUNCTION("""COMPUTED_VALUE"""),0)</f>
        <v>0</v>
      </c>
      <c r="AL66" s="24">
        <f ca="1">IFERROR(__xludf.DUMMYFUNCTION("""COMPUTED_VALUE"""),0)</f>
        <v>0</v>
      </c>
      <c r="AM66" s="20"/>
      <c r="AN66" s="20"/>
      <c r="AO66" s="20"/>
      <c r="AP66" s="20"/>
      <c r="AQ66" s="20"/>
      <c r="AR66" s="24">
        <f ca="1">IFERROR(__xludf.DUMMYFUNCTION("""COMPUTED_VALUE"""),0)</f>
        <v>0</v>
      </c>
      <c r="AS66" s="20"/>
      <c r="AT66" s="20"/>
      <c r="AU66" s="20"/>
      <c r="AV66" s="20"/>
      <c r="AW66" s="20"/>
      <c r="AX66" s="24">
        <f ca="1">IFERROR(__xludf.DUMMYFUNCTION("""COMPUTED_VALUE"""),0)</f>
        <v>0</v>
      </c>
      <c r="AY66" s="24">
        <f ca="1">IFERROR(__xludf.DUMMYFUNCTION("""COMPUTED_VALUE"""),0)</f>
        <v>0</v>
      </c>
      <c r="AZ66" s="24">
        <f ca="1">IFERROR(__xludf.DUMMYFUNCTION("""COMPUTED_VALUE"""),0)</f>
        <v>0</v>
      </c>
      <c r="BA66" s="20"/>
      <c r="BB66" s="24">
        <f ca="1">IFERROR(__xludf.DUMMYFUNCTION("""COMPUTED_VALUE"""),0)</f>
        <v>0</v>
      </c>
      <c r="BC66" s="20"/>
      <c r="BD66" s="24">
        <f ca="1">IFERROR(__xludf.DUMMYFUNCTION("""COMPUTED_VALUE"""),0)</f>
        <v>0</v>
      </c>
      <c r="BE66" s="24">
        <f ca="1">IFERROR(__xludf.DUMMYFUNCTION("""COMPUTED_VALUE"""),0)</f>
        <v>0</v>
      </c>
      <c r="BF66" s="24">
        <f ca="1">IFERROR(__xludf.DUMMYFUNCTION("""COMPUTED_VALUE"""),0)</f>
        <v>0</v>
      </c>
      <c r="BG66" s="20"/>
      <c r="BH66" s="24">
        <f ca="1">IFERROR(__xludf.DUMMYFUNCTION("""COMPUTED_VALUE"""),0)</f>
        <v>0</v>
      </c>
      <c r="BI66" s="20"/>
      <c r="BJ66" s="24">
        <f ca="1">IFERROR(__xludf.DUMMYFUNCTION("""COMPUTED_VALUE"""),0)</f>
        <v>0</v>
      </c>
      <c r="BK66" s="24">
        <f ca="1">IFERROR(__xludf.DUMMYFUNCTION("""COMPUTED_VALUE"""),0)</f>
        <v>0</v>
      </c>
      <c r="BL66" s="24">
        <f ca="1">IFERROR(__xludf.DUMMYFUNCTION("""COMPUTED_VALUE"""),0)</f>
        <v>0</v>
      </c>
      <c r="BM66" s="20"/>
      <c r="BN66" s="24">
        <f ca="1">IFERROR(__xludf.DUMMYFUNCTION("""COMPUTED_VALUE"""),0)</f>
        <v>0</v>
      </c>
      <c r="BO66" s="20"/>
      <c r="BP66" s="24">
        <f ca="1">IFERROR(__xludf.DUMMYFUNCTION("""COMPUTED_VALUE"""),16984.29)</f>
        <v>16984.29</v>
      </c>
      <c r="BQ66" s="24">
        <f ca="1">IFERROR(__xludf.DUMMYFUNCTION("""COMPUTED_VALUE"""),11094.99)</f>
        <v>11094.99</v>
      </c>
      <c r="BR66" s="24">
        <f ca="1">IFERROR(__xludf.DUMMYFUNCTION("""COMPUTED_VALUE"""),3698.33)</f>
        <v>3698.33</v>
      </c>
      <c r="BS66" s="20"/>
      <c r="BT66" s="24">
        <f ca="1">IFERROR(__xludf.DUMMYFUNCTION("""COMPUTED_VALUE"""),2190.97)</f>
        <v>2190.9699999999998</v>
      </c>
      <c r="BU66" s="20"/>
      <c r="BV66" s="24">
        <f ca="1">IFERROR(__xludf.DUMMYFUNCTION("""COMPUTED_VALUE"""),0)</f>
        <v>0</v>
      </c>
      <c r="BW66" s="24">
        <f ca="1">IFERROR(__xludf.DUMMYFUNCTION("""COMPUTED_VALUE"""),0)</f>
        <v>0</v>
      </c>
      <c r="BX66" s="24">
        <f ca="1">IFERROR(__xludf.DUMMYFUNCTION("""COMPUTED_VALUE"""),0)</f>
        <v>0</v>
      </c>
      <c r="BY66" s="20"/>
      <c r="BZ66" s="24">
        <f ca="1">IFERROR(__xludf.DUMMYFUNCTION("""COMPUTED_VALUE"""),0)</f>
        <v>0</v>
      </c>
      <c r="CA66" s="20"/>
      <c r="CB66" s="20"/>
      <c r="CC66" s="20"/>
      <c r="CD66" s="20"/>
      <c r="CE66" s="20"/>
      <c r="CF66" s="20"/>
      <c r="CG66" s="20"/>
      <c r="CH66" s="20"/>
      <c r="CI66" s="20"/>
      <c r="CJ66" s="20"/>
      <c r="CK66" s="20"/>
      <c r="CL66" s="20"/>
      <c r="CM66" s="20"/>
      <c r="CN66" s="20"/>
      <c r="CO66" s="20"/>
      <c r="CP66" s="20"/>
      <c r="CQ66" s="20"/>
      <c r="CR66" s="20"/>
      <c r="CS66" s="20"/>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row>
    <row r="67" spans="1:123" ht="64.5" hidden="1" customHeight="1" x14ac:dyDescent="0.2">
      <c r="A67" s="19"/>
      <c r="B67" s="20" t="str">
        <f ca="1">IFERROR(__xludf.DUMMYFUNCTION("""COMPUTED_VALUE"""),"г.о. Талдомский")</f>
        <v>г.о. Талдомский</v>
      </c>
      <c r="C6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7" s="20" t="str">
        <f ca="1">IFERROR(__xludf.DUMMYFUNCTION("""COMPUTED_VALUE"""),"МинЖКХ")</f>
        <v>МинЖКХ</v>
      </c>
      <c r="E67" s="20" t="str">
        <f ca="1">IFERROR(__xludf.DUMMYFUNCTION("""COMPUTED_VALUE"""),"Реконструкция ВЗУ Павловичи г.о. Талдомский")</f>
        <v>Реконструкция ВЗУ Павловичи г.о. Талдомский</v>
      </c>
      <c r="F67" s="22" t="str">
        <f ca="1">IFERROR(__xludf.DUMMYFUNCTION("""COMPUTED_VALUE"""),"ВЗУ")</f>
        <v>ВЗУ</v>
      </c>
      <c r="G67" s="20">
        <f ca="1">IFERROR(__xludf.DUMMYFUNCTION("""COMPUTED_VALUE"""),2022)</f>
        <v>2022</v>
      </c>
      <c r="H67" s="20" t="str">
        <f ca="1">IFERROR(__xludf.DUMMYFUNCTION("""COMPUTED_VALUE"""),"СМР")</f>
        <v>СМР</v>
      </c>
      <c r="I67" s="20"/>
      <c r="J67" s="20"/>
      <c r="K67" s="20"/>
      <c r="L67" s="20"/>
      <c r="M67" s="20"/>
      <c r="N67" s="24">
        <f ca="1">IFERROR(__xludf.DUMMYFUNCTION("""COMPUTED_VALUE"""),0)</f>
        <v>0</v>
      </c>
      <c r="O67" s="20"/>
      <c r="P67" s="20"/>
      <c r="Q67" s="20"/>
      <c r="R67" s="20"/>
      <c r="S67" s="20"/>
      <c r="T67" s="20"/>
      <c r="U67" s="24">
        <f ca="1">IFERROR(__xludf.DUMMYFUNCTION("""COMPUTED_VALUE"""),0)</f>
        <v>0</v>
      </c>
      <c r="V67" s="24">
        <f ca="1">IFERROR(__xludf.DUMMYFUNCTION("""COMPUTED_VALUE"""),0)</f>
        <v>0</v>
      </c>
      <c r="W67" s="24">
        <f ca="1">IFERROR(__xludf.DUMMYFUNCTION("""COMPUTED_VALUE"""),0)</f>
        <v>0</v>
      </c>
      <c r="X67" s="24">
        <f ca="1">IFERROR(__xludf.DUMMYFUNCTION("""COMPUTED_VALUE"""),0)</f>
        <v>0</v>
      </c>
      <c r="Y67" s="24">
        <f ca="1">IFERROR(__xludf.DUMMYFUNCTION("""COMPUTED_VALUE"""),0)</f>
        <v>0</v>
      </c>
      <c r="Z67" s="24">
        <f ca="1">IFERROR(__xludf.DUMMYFUNCTION("""COMPUTED_VALUE"""),0)</f>
        <v>0</v>
      </c>
      <c r="AA67" s="20" t="str">
        <f ca="1">IFERROR(__xludf.DUMMYFUNCTION("""COMPUTED_VALUE"""),"10 1 G552430
")</f>
        <v xml:space="preserve">10 1 G552430
</v>
      </c>
      <c r="AB67" s="20">
        <f ca="1">IFERROR(__xludf.DUMMYFUNCTION("""COMPUTED_VALUE"""),522)</f>
        <v>522</v>
      </c>
      <c r="AC67" s="20"/>
      <c r="AD67" s="20"/>
      <c r="AE67" s="20"/>
      <c r="AF67" s="24">
        <f ca="1">IFERROR(__xludf.DUMMYFUNCTION("""COMPUTED_VALUE"""),21000)</f>
        <v>21000</v>
      </c>
      <c r="AG67" s="24">
        <f ca="1">IFERROR(__xludf.DUMMYFUNCTION("""COMPUTED_VALUE"""),12663)</f>
        <v>12663</v>
      </c>
      <c r="AH67" s="24">
        <f ca="1">IFERROR(__xludf.DUMMYFUNCTION("""COMPUTED_VALUE"""),4221)</f>
        <v>4221</v>
      </c>
      <c r="AI67" s="24">
        <f ca="1">IFERROR(__xludf.DUMMYFUNCTION("""COMPUTED_VALUE"""),0)</f>
        <v>0</v>
      </c>
      <c r="AJ67" s="24">
        <f ca="1">IFERROR(__xludf.DUMMYFUNCTION("""COMPUTED_VALUE"""),4116)</f>
        <v>4116</v>
      </c>
      <c r="AK67" s="24">
        <f ca="1">IFERROR(__xludf.DUMMYFUNCTION("""COMPUTED_VALUE"""),0)</f>
        <v>0</v>
      </c>
      <c r="AL67" s="24">
        <f ca="1">IFERROR(__xludf.DUMMYFUNCTION("""COMPUTED_VALUE"""),0)</f>
        <v>0</v>
      </c>
      <c r="AM67" s="20"/>
      <c r="AN67" s="20"/>
      <c r="AO67" s="20"/>
      <c r="AP67" s="20"/>
      <c r="AQ67" s="20"/>
      <c r="AR67" s="24">
        <f ca="1">IFERROR(__xludf.DUMMYFUNCTION("""COMPUTED_VALUE"""),0)</f>
        <v>0</v>
      </c>
      <c r="AS67" s="20"/>
      <c r="AT67" s="20"/>
      <c r="AU67" s="20"/>
      <c r="AV67" s="20"/>
      <c r="AW67" s="20"/>
      <c r="AX67" s="24">
        <f ca="1">IFERROR(__xludf.DUMMYFUNCTION("""COMPUTED_VALUE"""),0)</f>
        <v>0</v>
      </c>
      <c r="AY67" s="24">
        <f ca="1">IFERROR(__xludf.DUMMYFUNCTION("""COMPUTED_VALUE"""),0)</f>
        <v>0</v>
      </c>
      <c r="AZ67" s="24">
        <f ca="1">IFERROR(__xludf.DUMMYFUNCTION("""COMPUTED_VALUE"""),0)</f>
        <v>0</v>
      </c>
      <c r="BA67" s="20"/>
      <c r="BB67" s="24">
        <f ca="1">IFERROR(__xludf.DUMMYFUNCTION("""COMPUTED_VALUE"""),0)</f>
        <v>0</v>
      </c>
      <c r="BC67" s="20"/>
      <c r="BD67" s="24">
        <f ca="1">IFERROR(__xludf.DUMMYFUNCTION("""COMPUTED_VALUE"""),0)</f>
        <v>0</v>
      </c>
      <c r="BE67" s="24">
        <f ca="1">IFERROR(__xludf.DUMMYFUNCTION("""COMPUTED_VALUE"""),0)</f>
        <v>0</v>
      </c>
      <c r="BF67" s="24">
        <f ca="1">IFERROR(__xludf.DUMMYFUNCTION("""COMPUTED_VALUE"""),0)</f>
        <v>0</v>
      </c>
      <c r="BG67" s="20"/>
      <c r="BH67" s="24">
        <f ca="1">IFERROR(__xludf.DUMMYFUNCTION("""COMPUTED_VALUE"""),0)</f>
        <v>0</v>
      </c>
      <c r="BI67" s="20"/>
      <c r="BJ67" s="24">
        <f ca="1">IFERROR(__xludf.DUMMYFUNCTION("""COMPUTED_VALUE"""),21000)</f>
        <v>21000</v>
      </c>
      <c r="BK67" s="24">
        <f ca="1">IFERROR(__xludf.DUMMYFUNCTION("""COMPUTED_VALUE"""),12663)</f>
        <v>12663</v>
      </c>
      <c r="BL67" s="24">
        <f ca="1">IFERROR(__xludf.DUMMYFUNCTION("""COMPUTED_VALUE"""),4221)</f>
        <v>4221</v>
      </c>
      <c r="BM67" s="20"/>
      <c r="BN67" s="24">
        <f ca="1">IFERROR(__xludf.DUMMYFUNCTION("""COMPUTED_VALUE"""),4116)</f>
        <v>4116</v>
      </c>
      <c r="BO67" s="20"/>
      <c r="BP67" s="24">
        <f ca="1">IFERROR(__xludf.DUMMYFUNCTION("""COMPUTED_VALUE"""),0)</f>
        <v>0</v>
      </c>
      <c r="BQ67" s="24">
        <f ca="1">IFERROR(__xludf.DUMMYFUNCTION("""COMPUTED_VALUE"""),0)</f>
        <v>0</v>
      </c>
      <c r="BR67" s="24">
        <f ca="1">IFERROR(__xludf.DUMMYFUNCTION("""COMPUTED_VALUE"""),0)</f>
        <v>0</v>
      </c>
      <c r="BS67" s="20"/>
      <c r="BT67" s="24">
        <f ca="1">IFERROR(__xludf.DUMMYFUNCTION("""COMPUTED_VALUE"""),0)</f>
        <v>0</v>
      </c>
      <c r="BU67" s="20"/>
      <c r="BV67" s="24">
        <f ca="1">IFERROR(__xludf.DUMMYFUNCTION("""COMPUTED_VALUE"""),0)</f>
        <v>0</v>
      </c>
      <c r="BW67" s="24">
        <f ca="1">IFERROR(__xludf.DUMMYFUNCTION("""COMPUTED_VALUE"""),0)</f>
        <v>0</v>
      </c>
      <c r="BX67" s="24">
        <f ca="1">IFERROR(__xludf.DUMMYFUNCTION("""COMPUTED_VALUE"""),0)</f>
        <v>0</v>
      </c>
      <c r="BY67" s="20"/>
      <c r="BZ67" s="24">
        <f ca="1">IFERROR(__xludf.DUMMYFUNCTION("""COMPUTED_VALUE"""),0)</f>
        <v>0</v>
      </c>
      <c r="CA67" s="20"/>
      <c r="CB67" s="20"/>
      <c r="CC67" s="20"/>
      <c r="CD67" s="20"/>
      <c r="CE67" s="20"/>
      <c r="CF67" s="20"/>
      <c r="CG67" s="20"/>
      <c r="CH67" s="20"/>
      <c r="CI67" s="20"/>
      <c r="CJ67" s="20"/>
      <c r="CK67" s="20"/>
      <c r="CL67" s="20"/>
      <c r="CM67" s="20"/>
      <c r="CN67" s="20"/>
      <c r="CO67" s="20"/>
      <c r="CP67" s="20"/>
      <c r="CQ67" s="20"/>
      <c r="CR67" s="20"/>
      <c r="CS67" s="20"/>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row>
    <row r="68" spans="1:123" ht="64.5" hidden="1" customHeight="1" x14ac:dyDescent="0.2">
      <c r="A68" s="19"/>
      <c r="B68" s="20" t="str">
        <f ca="1">IFERROR(__xludf.DUMMYFUNCTION("""COMPUTED_VALUE"""),"г.о. Волоколамский")</f>
        <v>г.о. Волоколамский</v>
      </c>
      <c r="C6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8" s="20" t="str">
        <f ca="1">IFERROR(__xludf.DUMMYFUNCTION("""COMPUTED_VALUE"""),"МинЖКХ")</f>
        <v>МинЖКХ</v>
      </c>
      <c r="E68" s="20" t="str">
        <f ca="1">IFERROR(__xludf.DUMMYFUNCTION("""COMPUTED_VALUE"""),"Строительство ВЗУ №8 г. Волоколамск, ул. Мелиораторов, Волоколамский г.о.")</f>
        <v>Строительство ВЗУ №8 г. Волоколамск, ул. Мелиораторов, Волоколамский г.о.</v>
      </c>
      <c r="F68" s="22" t="str">
        <f ca="1">IFERROR(__xludf.DUMMYFUNCTION("""COMPUTED_VALUE"""),"ВЗУ")</f>
        <v>ВЗУ</v>
      </c>
      <c r="G68" s="20">
        <f ca="1">IFERROR(__xludf.DUMMYFUNCTION("""COMPUTED_VALUE"""),2022)</f>
        <v>2022</v>
      </c>
      <c r="H68" s="20" t="str">
        <f ca="1">IFERROR(__xludf.DUMMYFUNCTION("""COMPUTED_VALUE"""),"СМР")</f>
        <v>СМР</v>
      </c>
      <c r="I68" s="20"/>
      <c r="J68" s="20"/>
      <c r="K68" s="20"/>
      <c r="L68" s="20"/>
      <c r="M68" s="20"/>
      <c r="N68" s="24">
        <f ca="1">IFERROR(__xludf.DUMMYFUNCTION("""COMPUTED_VALUE"""),0)</f>
        <v>0</v>
      </c>
      <c r="O68" s="20"/>
      <c r="P68" s="20"/>
      <c r="Q68" s="20"/>
      <c r="R68" s="20"/>
      <c r="S68" s="20"/>
      <c r="T68" s="20"/>
      <c r="U68" s="24">
        <f ca="1">IFERROR(__xludf.DUMMYFUNCTION("""COMPUTED_VALUE"""),0)</f>
        <v>0</v>
      </c>
      <c r="V68" s="24">
        <f ca="1">IFERROR(__xludf.DUMMYFUNCTION("""COMPUTED_VALUE"""),0)</f>
        <v>0</v>
      </c>
      <c r="W68" s="24">
        <f ca="1">IFERROR(__xludf.DUMMYFUNCTION("""COMPUTED_VALUE"""),0)</f>
        <v>0</v>
      </c>
      <c r="X68" s="24">
        <f ca="1">IFERROR(__xludf.DUMMYFUNCTION("""COMPUTED_VALUE"""),0)</f>
        <v>0</v>
      </c>
      <c r="Y68" s="24">
        <f ca="1">IFERROR(__xludf.DUMMYFUNCTION("""COMPUTED_VALUE"""),0)</f>
        <v>0</v>
      </c>
      <c r="Z68" s="24">
        <f ca="1">IFERROR(__xludf.DUMMYFUNCTION("""COMPUTED_VALUE"""),0)</f>
        <v>0</v>
      </c>
      <c r="AA68" s="20" t="str">
        <f ca="1">IFERROR(__xludf.DUMMYFUNCTION("""COMPUTED_VALUE"""),"10 1 G552430
")</f>
        <v xml:space="preserve">10 1 G552430
</v>
      </c>
      <c r="AB68" s="20">
        <f ca="1">IFERROR(__xludf.DUMMYFUNCTION("""COMPUTED_VALUE"""),522)</f>
        <v>522</v>
      </c>
      <c r="AC68" s="20"/>
      <c r="AD68" s="20"/>
      <c r="AE68" s="20"/>
      <c r="AF68" s="24">
        <f ca="1">IFERROR(__xludf.DUMMYFUNCTION("""COMPUTED_VALUE"""),86000)</f>
        <v>86000</v>
      </c>
      <c r="AG68" s="24">
        <f ca="1">IFERROR(__xludf.DUMMYFUNCTION("""COMPUTED_VALUE"""),58050)</f>
        <v>58050</v>
      </c>
      <c r="AH68" s="24">
        <f ca="1">IFERROR(__xludf.DUMMYFUNCTION("""COMPUTED_VALUE"""),19350)</f>
        <v>19350</v>
      </c>
      <c r="AI68" s="24">
        <f ca="1">IFERROR(__xludf.DUMMYFUNCTION("""COMPUTED_VALUE"""),0)</f>
        <v>0</v>
      </c>
      <c r="AJ68" s="24">
        <f ca="1">IFERROR(__xludf.DUMMYFUNCTION("""COMPUTED_VALUE"""),8600)</f>
        <v>8600</v>
      </c>
      <c r="AK68" s="24">
        <f ca="1">IFERROR(__xludf.DUMMYFUNCTION("""COMPUTED_VALUE"""),0)</f>
        <v>0</v>
      </c>
      <c r="AL68" s="24">
        <f ca="1">IFERROR(__xludf.DUMMYFUNCTION("""COMPUTED_VALUE"""),0)</f>
        <v>0</v>
      </c>
      <c r="AM68" s="20"/>
      <c r="AN68" s="20"/>
      <c r="AO68" s="20"/>
      <c r="AP68" s="20"/>
      <c r="AQ68" s="20"/>
      <c r="AR68" s="24">
        <f ca="1">IFERROR(__xludf.DUMMYFUNCTION("""COMPUTED_VALUE"""),0)</f>
        <v>0</v>
      </c>
      <c r="AS68" s="20"/>
      <c r="AT68" s="20"/>
      <c r="AU68" s="20"/>
      <c r="AV68" s="20"/>
      <c r="AW68" s="20"/>
      <c r="AX68" s="24">
        <f ca="1">IFERROR(__xludf.DUMMYFUNCTION("""COMPUTED_VALUE"""),0)</f>
        <v>0</v>
      </c>
      <c r="AY68" s="24">
        <f ca="1">IFERROR(__xludf.DUMMYFUNCTION("""COMPUTED_VALUE"""),0)</f>
        <v>0</v>
      </c>
      <c r="AZ68" s="24">
        <f ca="1">IFERROR(__xludf.DUMMYFUNCTION("""COMPUTED_VALUE"""),0)</f>
        <v>0</v>
      </c>
      <c r="BA68" s="20"/>
      <c r="BB68" s="24">
        <f ca="1">IFERROR(__xludf.DUMMYFUNCTION("""COMPUTED_VALUE"""),0)</f>
        <v>0</v>
      </c>
      <c r="BC68" s="20"/>
      <c r="BD68" s="24">
        <f ca="1">IFERROR(__xludf.DUMMYFUNCTION("""COMPUTED_VALUE"""),0)</f>
        <v>0</v>
      </c>
      <c r="BE68" s="24">
        <f ca="1">IFERROR(__xludf.DUMMYFUNCTION("""COMPUTED_VALUE"""),0)</f>
        <v>0</v>
      </c>
      <c r="BF68" s="24">
        <f ca="1">IFERROR(__xludf.DUMMYFUNCTION("""COMPUTED_VALUE"""),0)</f>
        <v>0</v>
      </c>
      <c r="BG68" s="20"/>
      <c r="BH68" s="24">
        <f ca="1">IFERROR(__xludf.DUMMYFUNCTION("""COMPUTED_VALUE"""),0)</f>
        <v>0</v>
      </c>
      <c r="BI68" s="20"/>
      <c r="BJ68" s="24">
        <f ca="1">IFERROR(__xludf.DUMMYFUNCTION("""COMPUTED_VALUE"""),86000)</f>
        <v>86000</v>
      </c>
      <c r="BK68" s="24">
        <f ca="1">IFERROR(__xludf.DUMMYFUNCTION("""COMPUTED_VALUE"""),58050)</f>
        <v>58050</v>
      </c>
      <c r="BL68" s="24">
        <f ca="1">IFERROR(__xludf.DUMMYFUNCTION("""COMPUTED_VALUE"""),19350)</f>
        <v>19350</v>
      </c>
      <c r="BM68" s="20"/>
      <c r="BN68" s="24">
        <f ca="1">IFERROR(__xludf.DUMMYFUNCTION("""COMPUTED_VALUE"""),8600)</f>
        <v>8600</v>
      </c>
      <c r="BO68" s="20"/>
      <c r="BP68" s="24">
        <f ca="1">IFERROR(__xludf.DUMMYFUNCTION("""COMPUTED_VALUE"""),0)</f>
        <v>0</v>
      </c>
      <c r="BQ68" s="24">
        <f ca="1">IFERROR(__xludf.DUMMYFUNCTION("""COMPUTED_VALUE"""),0)</f>
        <v>0</v>
      </c>
      <c r="BR68" s="24">
        <f ca="1">IFERROR(__xludf.DUMMYFUNCTION("""COMPUTED_VALUE"""),0)</f>
        <v>0</v>
      </c>
      <c r="BS68" s="20"/>
      <c r="BT68" s="24">
        <f ca="1">IFERROR(__xludf.DUMMYFUNCTION("""COMPUTED_VALUE"""),0)</f>
        <v>0</v>
      </c>
      <c r="BU68" s="20"/>
      <c r="BV68" s="24">
        <f ca="1">IFERROR(__xludf.DUMMYFUNCTION("""COMPUTED_VALUE"""),0)</f>
        <v>0</v>
      </c>
      <c r="BW68" s="24">
        <f ca="1">IFERROR(__xludf.DUMMYFUNCTION("""COMPUTED_VALUE"""),0)</f>
        <v>0</v>
      </c>
      <c r="BX68" s="24">
        <f ca="1">IFERROR(__xludf.DUMMYFUNCTION("""COMPUTED_VALUE"""),0)</f>
        <v>0</v>
      </c>
      <c r="BY68" s="20"/>
      <c r="BZ68" s="24">
        <f ca="1">IFERROR(__xludf.DUMMYFUNCTION("""COMPUTED_VALUE"""),0)</f>
        <v>0</v>
      </c>
      <c r="CA68" s="20"/>
      <c r="CB68" s="20"/>
      <c r="CC68" s="20"/>
      <c r="CD68" s="20"/>
      <c r="CE68" s="20"/>
      <c r="CF68" s="20"/>
      <c r="CG68" s="20"/>
      <c r="CH68" s="20"/>
      <c r="CI68" s="20"/>
      <c r="CJ68" s="20"/>
      <c r="CK68" s="20"/>
      <c r="CL68" s="20"/>
      <c r="CM68" s="20"/>
      <c r="CN68" s="20"/>
      <c r="CO68" s="20"/>
      <c r="CP68" s="20"/>
      <c r="CQ68" s="20"/>
      <c r="CR68" s="20"/>
      <c r="CS68" s="20"/>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row>
    <row r="69" spans="1:123" ht="64.5" hidden="1" customHeight="1" x14ac:dyDescent="0.2">
      <c r="A69" s="19"/>
      <c r="B69" s="20" t="str">
        <f ca="1">IFERROR(__xludf.DUMMYFUNCTION("""COMPUTED_VALUE"""),"г.о. Волоколамский")</f>
        <v>г.о. Волоколамский</v>
      </c>
      <c r="C6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9" s="20" t="str">
        <f ca="1">IFERROR(__xludf.DUMMYFUNCTION("""COMPUTED_VALUE"""),"МинЖКХ")</f>
        <v>МинЖКХ</v>
      </c>
      <c r="E69" s="20" t="str">
        <f ca="1">IFERROR(__xludf.DUMMYFUNCTION("""COMPUTED_VALUE"""),"Реконструкция ВЗУ №14 г. Волоколамск,  ул. Лесная, Волоколамский г.о.")</f>
        <v>Реконструкция ВЗУ №14 г. Волоколамск,  ул. Лесная, Волоколамский г.о.</v>
      </c>
      <c r="F69" s="22" t="str">
        <f ca="1">IFERROR(__xludf.DUMMYFUNCTION("""COMPUTED_VALUE"""),"ВЗУ")</f>
        <v>ВЗУ</v>
      </c>
      <c r="G69" s="20">
        <f ca="1">IFERROR(__xludf.DUMMYFUNCTION("""COMPUTED_VALUE"""),2022)</f>
        <v>2022</v>
      </c>
      <c r="H69" s="20" t="str">
        <f ca="1">IFERROR(__xludf.DUMMYFUNCTION("""COMPUTED_VALUE"""),"СМР")</f>
        <v>СМР</v>
      </c>
      <c r="I69" s="20"/>
      <c r="J69" s="20"/>
      <c r="K69" s="20"/>
      <c r="L69" s="20"/>
      <c r="M69" s="20"/>
      <c r="N69" s="24">
        <f ca="1">IFERROR(__xludf.DUMMYFUNCTION("""COMPUTED_VALUE"""),0)</f>
        <v>0</v>
      </c>
      <c r="O69" s="20"/>
      <c r="P69" s="20"/>
      <c r="Q69" s="20"/>
      <c r="R69" s="20"/>
      <c r="S69" s="20"/>
      <c r="T69" s="20"/>
      <c r="U69" s="24">
        <f ca="1">IFERROR(__xludf.DUMMYFUNCTION("""COMPUTED_VALUE"""),0)</f>
        <v>0</v>
      </c>
      <c r="V69" s="24">
        <f ca="1">IFERROR(__xludf.DUMMYFUNCTION("""COMPUTED_VALUE"""),0)</f>
        <v>0</v>
      </c>
      <c r="W69" s="24">
        <f ca="1">IFERROR(__xludf.DUMMYFUNCTION("""COMPUTED_VALUE"""),0)</f>
        <v>0</v>
      </c>
      <c r="X69" s="24">
        <f ca="1">IFERROR(__xludf.DUMMYFUNCTION("""COMPUTED_VALUE"""),0)</f>
        <v>0</v>
      </c>
      <c r="Y69" s="24">
        <f ca="1">IFERROR(__xludf.DUMMYFUNCTION("""COMPUTED_VALUE"""),0)</f>
        <v>0</v>
      </c>
      <c r="Z69" s="24">
        <f ca="1">IFERROR(__xludf.DUMMYFUNCTION("""COMPUTED_VALUE"""),0)</f>
        <v>0</v>
      </c>
      <c r="AA69" s="20" t="str">
        <f ca="1">IFERROR(__xludf.DUMMYFUNCTION("""COMPUTED_VALUE"""),"10 1 G552430
")</f>
        <v xml:space="preserve">10 1 G552430
</v>
      </c>
      <c r="AB69" s="20">
        <f ca="1">IFERROR(__xludf.DUMMYFUNCTION("""COMPUTED_VALUE"""),522)</f>
        <v>522</v>
      </c>
      <c r="AC69" s="20"/>
      <c r="AD69" s="20"/>
      <c r="AE69" s="20"/>
      <c r="AF69" s="24">
        <f ca="1">IFERROR(__xludf.DUMMYFUNCTION("""COMPUTED_VALUE"""),18000)</f>
        <v>18000</v>
      </c>
      <c r="AG69" s="24">
        <f ca="1">IFERROR(__xludf.DUMMYFUNCTION("""COMPUTED_VALUE"""),12150)</f>
        <v>12150</v>
      </c>
      <c r="AH69" s="24">
        <f ca="1">IFERROR(__xludf.DUMMYFUNCTION("""COMPUTED_VALUE"""),4050)</f>
        <v>4050</v>
      </c>
      <c r="AI69" s="24">
        <f ca="1">IFERROR(__xludf.DUMMYFUNCTION("""COMPUTED_VALUE"""),0)</f>
        <v>0</v>
      </c>
      <c r="AJ69" s="24">
        <f ca="1">IFERROR(__xludf.DUMMYFUNCTION("""COMPUTED_VALUE"""),1800)</f>
        <v>1800</v>
      </c>
      <c r="AK69" s="24">
        <f ca="1">IFERROR(__xludf.DUMMYFUNCTION("""COMPUTED_VALUE"""),0)</f>
        <v>0</v>
      </c>
      <c r="AL69" s="24">
        <f ca="1">IFERROR(__xludf.DUMMYFUNCTION("""COMPUTED_VALUE"""),0)</f>
        <v>0</v>
      </c>
      <c r="AM69" s="20"/>
      <c r="AN69" s="20"/>
      <c r="AO69" s="20"/>
      <c r="AP69" s="20"/>
      <c r="AQ69" s="20"/>
      <c r="AR69" s="24">
        <f ca="1">IFERROR(__xludf.DUMMYFUNCTION("""COMPUTED_VALUE"""),0)</f>
        <v>0</v>
      </c>
      <c r="AS69" s="20"/>
      <c r="AT69" s="20"/>
      <c r="AU69" s="20"/>
      <c r="AV69" s="20"/>
      <c r="AW69" s="20"/>
      <c r="AX69" s="24">
        <f ca="1">IFERROR(__xludf.DUMMYFUNCTION("""COMPUTED_VALUE"""),0)</f>
        <v>0</v>
      </c>
      <c r="AY69" s="24">
        <f ca="1">IFERROR(__xludf.DUMMYFUNCTION("""COMPUTED_VALUE"""),0)</f>
        <v>0</v>
      </c>
      <c r="AZ69" s="24">
        <f ca="1">IFERROR(__xludf.DUMMYFUNCTION("""COMPUTED_VALUE"""),0)</f>
        <v>0</v>
      </c>
      <c r="BA69" s="20"/>
      <c r="BB69" s="24">
        <f ca="1">IFERROR(__xludf.DUMMYFUNCTION("""COMPUTED_VALUE"""),0)</f>
        <v>0</v>
      </c>
      <c r="BC69" s="20"/>
      <c r="BD69" s="24">
        <f ca="1">IFERROR(__xludf.DUMMYFUNCTION("""COMPUTED_VALUE"""),0)</f>
        <v>0</v>
      </c>
      <c r="BE69" s="24">
        <f ca="1">IFERROR(__xludf.DUMMYFUNCTION("""COMPUTED_VALUE"""),0)</f>
        <v>0</v>
      </c>
      <c r="BF69" s="24">
        <f ca="1">IFERROR(__xludf.DUMMYFUNCTION("""COMPUTED_VALUE"""),0)</f>
        <v>0</v>
      </c>
      <c r="BG69" s="20"/>
      <c r="BH69" s="24">
        <f ca="1">IFERROR(__xludf.DUMMYFUNCTION("""COMPUTED_VALUE"""),0)</f>
        <v>0</v>
      </c>
      <c r="BI69" s="20"/>
      <c r="BJ69" s="24">
        <f ca="1">IFERROR(__xludf.DUMMYFUNCTION("""COMPUTED_VALUE"""),18000)</f>
        <v>18000</v>
      </c>
      <c r="BK69" s="24">
        <f ca="1">IFERROR(__xludf.DUMMYFUNCTION("""COMPUTED_VALUE"""),12150)</f>
        <v>12150</v>
      </c>
      <c r="BL69" s="24">
        <f ca="1">IFERROR(__xludf.DUMMYFUNCTION("""COMPUTED_VALUE"""),4050)</f>
        <v>4050</v>
      </c>
      <c r="BM69" s="20"/>
      <c r="BN69" s="24">
        <f ca="1">IFERROR(__xludf.DUMMYFUNCTION("""COMPUTED_VALUE"""),1800)</f>
        <v>1800</v>
      </c>
      <c r="BO69" s="20"/>
      <c r="BP69" s="24">
        <f ca="1">IFERROR(__xludf.DUMMYFUNCTION("""COMPUTED_VALUE"""),0)</f>
        <v>0</v>
      </c>
      <c r="BQ69" s="24">
        <f ca="1">IFERROR(__xludf.DUMMYFUNCTION("""COMPUTED_VALUE"""),0)</f>
        <v>0</v>
      </c>
      <c r="BR69" s="24">
        <f ca="1">IFERROR(__xludf.DUMMYFUNCTION("""COMPUTED_VALUE"""),0)</f>
        <v>0</v>
      </c>
      <c r="BS69" s="20"/>
      <c r="BT69" s="24">
        <f ca="1">IFERROR(__xludf.DUMMYFUNCTION("""COMPUTED_VALUE"""),0)</f>
        <v>0</v>
      </c>
      <c r="BU69" s="20"/>
      <c r="BV69" s="24">
        <f ca="1">IFERROR(__xludf.DUMMYFUNCTION("""COMPUTED_VALUE"""),0)</f>
        <v>0</v>
      </c>
      <c r="BW69" s="24">
        <f ca="1">IFERROR(__xludf.DUMMYFUNCTION("""COMPUTED_VALUE"""),0)</f>
        <v>0</v>
      </c>
      <c r="BX69" s="24">
        <f ca="1">IFERROR(__xludf.DUMMYFUNCTION("""COMPUTED_VALUE"""),0)</f>
        <v>0</v>
      </c>
      <c r="BY69" s="20"/>
      <c r="BZ69" s="24">
        <f ca="1">IFERROR(__xludf.DUMMYFUNCTION("""COMPUTED_VALUE"""),0)</f>
        <v>0</v>
      </c>
      <c r="CA69" s="20"/>
      <c r="CB69" s="20"/>
      <c r="CC69" s="20"/>
      <c r="CD69" s="20"/>
      <c r="CE69" s="20"/>
      <c r="CF69" s="20"/>
      <c r="CG69" s="20"/>
      <c r="CH69" s="20"/>
      <c r="CI69" s="20"/>
      <c r="CJ69" s="20"/>
      <c r="CK69" s="20"/>
      <c r="CL69" s="20"/>
      <c r="CM69" s="20"/>
      <c r="CN69" s="20"/>
      <c r="CO69" s="20"/>
      <c r="CP69" s="20"/>
      <c r="CQ69" s="20"/>
      <c r="CR69" s="20"/>
      <c r="CS69" s="20"/>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row>
    <row r="70" spans="1:123" ht="64.5" hidden="1" customHeight="1" x14ac:dyDescent="0.2">
      <c r="A70" s="19"/>
      <c r="B70" s="20" t="str">
        <f ca="1">IFERROR(__xludf.DUMMYFUNCTION("""COMPUTED_VALUE"""),"г.о. Наро-Фоминск")</f>
        <v>г.о. Наро-Фоминск</v>
      </c>
      <c r="C7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0" s="20" t="str">
        <f ca="1">IFERROR(__xludf.DUMMYFUNCTION("""COMPUTED_VALUE"""),"МинЖКХ")</f>
        <v>МинЖКХ</v>
      </c>
      <c r="E70" s="20" t="str">
        <f ca="1">IFERROR(__xludf.DUMMYFUNCTION("""COMPUTED_VALUE"""),"Реконструкция ВЗУ-442 г. Верея, проезд. Ленинский, Наро-Фоминский г.о.")</f>
        <v>Реконструкция ВЗУ-442 г. Верея, проезд. Ленинский, Наро-Фоминский г.о.</v>
      </c>
      <c r="F70" s="22" t="str">
        <f ca="1">IFERROR(__xludf.DUMMYFUNCTION("""COMPUTED_VALUE"""),"ВЗУ")</f>
        <v>ВЗУ</v>
      </c>
      <c r="G70" s="20" t="str">
        <f ca="1">IFERROR(__xludf.DUMMYFUNCTION("""COMPUTED_VALUE"""),"Н/Л")</f>
        <v>Н/Л</v>
      </c>
      <c r="H70" s="20"/>
      <c r="I70" s="20"/>
      <c r="J70" s="20"/>
      <c r="K70" s="20"/>
      <c r="L70" s="20"/>
      <c r="M70" s="20"/>
      <c r="N70" s="24">
        <f ca="1">IFERROR(__xludf.DUMMYFUNCTION("""COMPUTED_VALUE"""),0)</f>
        <v>0</v>
      </c>
      <c r="O70" s="20"/>
      <c r="P70" s="20"/>
      <c r="Q70" s="20"/>
      <c r="R70" s="20"/>
      <c r="S70" s="20"/>
      <c r="T70" s="20"/>
      <c r="U70" s="24">
        <f ca="1">IFERROR(__xludf.DUMMYFUNCTION("""COMPUTED_VALUE"""),0)</f>
        <v>0</v>
      </c>
      <c r="V70" s="24">
        <f ca="1">IFERROR(__xludf.DUMMYFUNCTION("""COMPUTED_VALUE"""),0)</f>
        <v>0</v>
      </c>
      <c r="W70" s="24">
        <f ca="1">IFERROR(__xludf.DUMMYFUNCTION("""COMPUTED_VALUE"""),0)</f>
        <v>0</v>
      </c>
      <c r="X70" s="24">
        <f ca="1">IFERROR(__xludf.DUMMYFUNCTION("""COMPUTED_VALUE"""),0)</f>
        <v>0</v>
      </c>
      <c r="Y70" s="24">
        <f ca="1">IFERROR(__xludf.DUMMYFUNCTION("""COMPUTED_VALUE"""),0)</f>
        <v>0</v>
      </c>
      <c r="Z70" s="24">
        <f ca="1">IFERROR(__xludf.DUMMYFUNCTION("""COMPUTED_VALUE"""),0)</f>
        <v>0</v>
      </c>
      <c r="AA70" s="20" t="str">
        <f ca="1">IFERROR(__xludf.DUMMYFUNCTION("""COMPUTED_VALUE"""),"10 1 G552430
")</f>
        <v xml:space="preserve">10 1 G552430
</v>
      </c>
      <c r="AB70" s="20">
        <f ca="1">IFERROR(__xludf.DUMMYFUNCTION("""COMPUTED_VALUE"""),522)</f>
        <v>522</v>
      </c>
      <c r="AC70" s="20"/>
      <c r="AD70" s="20"/>
      <c r="AE70" s="20"/>
      <c r="AF70" s="24">
        <f ca="1">IFERROR(__xludf.DUMMYFUNCTION("""COMPUTED_VALUE"""),0)</f>
        <v>0</v>
      </c>
      <c r="AG70" s="24">
        <f ca="1">IFERROR(__xludf.DUMMYFUNCTION("""COMPUTED_VALUE"""),0)</f>
        <v>0</v>
      </c>
      <c r="AH70" s="24">
        <f ca="1">IFERROR(__xludf.DUMMYFUNCTION("""COMPUTED_VALUE"""),0)</f>
        <v>0</v>
      </c>
      <c r="AI70" s="24">
        <f ca="1">IFERROR(__xludf.DUMMYFUNCTION("""COMPUTED_VALUE"""),0)</f>
        <v>0</v>
      </c>
      <c r="AJ70" s="24">
        <f ca="1">IFERROR(__xludf.DUMMYFUNCTION("""COMPUTED_VALUE"""),0)</f>
        <v>0</v>
      </c>
      <c r="AK70" s="24">
        <f ca="1">IFERROR(__xludf.DUMMYFUNCTION("""COMPUTED_VALUE"""),0)</f>
        <v>0</v>
      </c>
      <c r="AL70" s="24">
        <f ca="1">IFERROR(__xludf.DUMMYFUNCTION("""COMPUTED_VALUE"""),0)</f>
        <v>0</v>
      </c>
      <c r="AM70" s="20"/>
      <c r="AN70" s="20"/>
      <c r="AO70" s="20"/>
      <c r="AP70" s="20"/>
      <c r="AQ70" s="20"/>
      <c r="AR70" s="24">
        <f ca="1">IFERROR(__xludf.DUMMYFUNCTION("""COMPUTED_VALUE"""),0)</f>
        <v>0</v>
      </c>
      <c r="AS70" s="20"/>
      <c r="AT70" s="20"/>
      <c r="AU70" s="20"/>
      <c r="AV70" s="20"/>
      <c r="AW70" s="20"/>
      <c r="AX70" s="24">
        <f ca="1">IFERROR(__xludf.DUMMYFUNCTION("""COMPUTED_VALUE"""),0)</f>
        <v>0</v>
      </c>
      <c r="AY70" s="24">
        <f ca="1">IFERROR(__xludf.DUMMYFUNCTION("""COMPUTED_VALUE"""),0)</f>
        <v>0</v>
      </c>
      <c r="AZ70" s="24">
        <f ca="1">IFERROR(__xludf.DUMMYFUNCTION("""COMPUTED_VALUE"""),0)</f>
        <v>0</v>
      </c>
      <c r="BA70" s="20"/>
      <c r="BB70" s="24">
        <f ca="1">IFERROR(__xludf.DUMMYFUNCTION("""COMPUTED_VALUE"""),0)</f>
        <v>0</v>
      </c>
      <c r="BC70" s="20"/>
      <c r="BD70" s="24">
        <f ca="1">IFERROR(__xludf.DUMMYFUNCTION("""COMPUTED_VALUE"""),0)</f>
        <v>0</v>
      </c>
      <c r="BE70" s="24">
        <f ca="1">IFERROR(__xludf.DUMMYFUNCTION("""COMPUTED_VALUE"""),0)</f>
        <v>0</v>
      </c>
      <c r="BF70" s="24">
        <f ca="1">IFERROR(__xludf.DUMMYFUNCTION("""COMPUTED_VALUE"""),0)</f>
        <v>0</v>
      </c>
      <c r="BG70" s="20"/>
      <c r="BH70" s="24">
        <f ca="1">IFERROR(__xludf.DUMMYFUNCTION("""COMPUTED_VALUE"""),0)</f>
        <v>0</v>
      </c>
      <c r="BI70" s="20"/>
      <c r="BJ70" s="24">
        <f ca="1">IFERROR(__xludf.DUMMYFUNCTION("""COMPUTED_VALUE"""),0)</f>
        <v>0</v>
      </c>
      <c r="BK70" s="24">
        <f ca="1">IFERROR(__xludf.DUMMYFUNCTION("""COMPUTED_VALUE"""),0)</f>
        <v>0</v>
      </c>
      <c r="BL70" s="24">
        <f ca="1">IFERROR(__xludf.DUMMYFUNCTION("""COMPUTED_VALUE"""),0)</f>
        <v>0</v>
      </c>
      <c r="BM70" s="20"/>
      <c r="BN70" s="24">
        <f ca="1">IFERROR(__xludf.DUMMYFUNCTION("""COMPUTED_VALUE"""),0)</f>
        <v>0</v>
      </c>
      <c r="BO70" s="20"/>
      <c r="BP70" s="24">
        <f ca="1">IFERROR(__xludf.DUMMYFUNCTION("""COMPUTED_VALUE"""),0)</f>
        <v>0</v>
      </c>
      <c r="BQ70" s="24">
        <f ca="1">IFERROR(__xludf.DUMMYFUNCTION("""COMPUTED_VALUE"""),0)</f>
        <v>0</v>
      </c>
      <c r="BR70" s="24">
        <f ca="1">IFERROR(__xludf.DUMMYFUNCTION("""COMPUTED_VALUE"""),0)</f>
        <v>0</v>
      </c>
      <c r="BS70" s="20"/>
      <c r="BT70" s="24">
        <f ca="1">IFERROR(__xludf.DUMMYFUNCTION("""COMPUTED_VALUE"""),0)</f>
        <v>0</v>
      </c>
      <c r="BU70" s="20"/>
      <c r="BV70" s="24">
        <f ca="1">IFERROR(__xludf.DUMMYFUNCTION("""COMPUTED_VALUE"""),0)</f>
        <v>0</v>
      </c>
      <c r="BW70" s="24">
        <f ca="1">IFERROR(__xludf.DUMMYFUNCTION("""COMPUTED_VALUE"""),0)</f>
        <v>0</v>
      </c>
      <c r="BX70" s="24">
        <f ca="1">IFERROR(__xludf.DUMMYFUNCTION("""COMPUTED_VALUE"""),0)</f>
        <v>0</v>
      </c>
      <c r="BY70" s="20"/>
      <c r="BZ70" s="24">
        <f ca="1">IFERROR(__xludf.DUMMYFUNCTION("""COMPUTED_VALUE"""),0)</f>
        <v>0</v>
      </c>
      <c r="CA70" s="20"/>
      <c r="CB70" s="20"/>
      <c r="CC70" s="20"/>
      <c r="CD70" s="20"/>
      <c r="CE70" s="20"/>
      <c r="CF70" s="20"/>
      <c r="CG70" s="20"/>
      <c r="CH70" s="20"/>
      <c r="CI70" s="20"/>
      <c r="CJ70" s="20"/>
      <c r="CK70" s="20"/>
      <c r="CL70" s="20"/>
      <c r="CM70" s="20"/>
      <c r="CN70" s="20"/>
      <c r="CO70" s="20"/>
      <c r="CP70" s="20"/>
      <c r="CQ70" s="20"/>
      <c r="CR70" s="20"/>
      <c r="CS70" s="20"/>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row>
    <row r="71" spans="1:123" ht="64.5" hidden="1" customHeight="1" x14ac:dyDescent="0.2">
      <c r="A71" s="19"/>
      <c r="B71" s="20" t="str">
        <f ca="1">IFERROR(__xludf.DUMMYFUNCTION("""COMPUTED_VALUE"""),"г.о. Ленинский")</f>
        <v>г.о. Ленинский</v>
      </c>
      <c r="C7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1" s="20" t="str">
        <f ca="1">IFERROR(__xludf.DUMMYFUNCTION("""COMPUTED_VALUE"""),"МинЖКХ")</f>
        <v>МинЖКХ</v>
      </c>
      <c r="E71" s="20" t="str">
        <f ca="1">IFERROR(__xludf.DUMMYFUNCTION("""COMPUTED_VALUE"""),"Реконструкция ВЗУ-11пгт. Горки Ленинские, Ленинский г.о.")</f>
        <v>Реконструкция ВЗУ-11пгт. Горки Ленинские, Ленинский г.о.</v>
      </c>
      <c r="F71" s="22" t="str">
        <f ca="1">IFERROR(__xludf.DUMMYFUNCTION("""COMPUTED_VALUE"""),"ВЗУ")</f>
        <v>ВЗУ</v>
      </c>
      <c r="G71" s="20" t="str">
        <f ca="1">IFERROR(__xludf.DUMMYFUNCTION("""COMPUTED_VALUE"""),"Н/Л")</f>
        <v>Н/Л</v>
      </c>
      <c r="H71" s="20"/>
      <c r="I71" s="20"/>
      <c r="J71" s="20"/>
      <c r="K71" s="20"/>
      <c r="L71" s="20"/>
      <c r="M71" s="20"/>
      <c r="N71" s="24">
        <f ca="1">IFERROR(__xludf.DUMMYFUNCTION("""COMPUTED_VALUE"""),0)</f>
        <v>0</v>
      </c>
      <c r="O71" s="20"/>
      <c r="P71" s="20"/>
      <c r="Q71" s="20"/>
      <c r="R71" s="20"/>
      <c r="S71" s="20"/>
      <c r="T71" s="20"/>
      <c r="U71" s="24">
        <f ca="1">IFERROR(__xludf.DUMMYFUNCTION("""COMPUTED_VALUE"""),0)</f>
        <v>0</v>
      </c>
      <c r="V71" s="24">
        <f ca="1">IFERROR(__xludf.DUMMYFUNCTION("""COMPUTED_VALUE"""),0)</f>
        <v>0</v>
      </c>
      <c r="W71" s="24">
        <f ca="1">IFERROR(__xludf.DUMMYFUNCTION("""COMPUTED_VALUE"""),0)</f>
        <v>0</v>
      </c>
      <c r="X71" s="24">
        <f ca="1">IFERROR(__xludf.DUMMYFUNCTION("""COMPUTED_VALUE"""),0)</f>
        <v>0</v>
      </c>
      <c r="Y71" s="24">
        <f ca="1">IFERROR(__xludf.DUMMYFUNCTION("""COMPUTED_VALUE"""),0)</f>
        <v>0</v>
      </c>
      <c r="Z71" s="24">
        <f ca="1">IFERROR(__xludf.DUMMYFUNCTION("""COMPUTED_VALUE"""),0)</f>
        <v>0</v>
      </c>
      <c r="AA71" s="20" t="str">
        <f ca="1">IFERROR(__xludf.DUMMYFUNCTION("""COMPUTED_VALUE"""),"10 1 G552430
")</f>
        <v xml:space="preserve">10 1 G552430
</v>
      </c>
      <c r="AB71" s="20">
        <f ca="1">IFERROR(__xludf.DUMMYFUNCTION("""COMPUTED_VALUE"""),522)</f>
        <v>522</v>
      </c>
      <c r="AC71" s="20"/>
      <c r="AD71" s="20"/>
      <c r="AE71" s="20"/>
      <c r="AF71" s="24">
        <f ca="1">IFERROR(__xludf.DUMMYFUNCTION("""COMPUTED_VALUE"""),0)</f>
        <v>0</v>
      </c>
      <c r="AG71" s="24">
        <f ca="1">IFERROR(__xludf.DUMMYFUNCTION("""COMPUTED_VALUE"""),0)</f>
        <v>0</v>
      </c>
      <c r="AH71" s="24">
        <f ca="1">IFERROR(__xludf.DUMMYFUNCTION("""COMPUTED_VALUE"""),0)</f>
        <v>0</v>
      </c>
      <c r="AI71" s="24">
        <f ca="1">IFERROR(__xludf.DUMMYFUNCTION("""COMPUTED_VALUE"""),0)</f>
        <v>0</v>
      </c>
      <c r="AJ71" s="24">
        <f ca="1">IFERROR(__xludf.DUMMYFUNCTION("""COMPUTED_VALUE"""),0)</f>
        <v>0</v>
      </c>
      <c r="AK71" s="24">
        <f ca="1">IFERROR(__xludf.DUMMYFUNCTION("""COMPUTED_VALUE"""),0)</f>
        <v>0</v>
      </c>
      <c r="AL71" s="24">
        <f ca="1">IFERROR(__xludf.DUMMYFUNCTION("""COMPUTED_VALUE"""),0)</f>
        <v>0</v>
      </c>
      <c r="AM71" s="20"/>
      <c r="AN71" s="20"/>
      <c r="AO71" s="20"/>
      <c r="AP71" s="20"/>
      <c r="AQ71" s="20"/>
      <c r="AR71" s="24">
        <f ca="1">IFERROR(__xludf.DUMMYFUNCTION("""COMPUTED_VALUE"""),0)</f>
        <v>0</v>
      </c>
      <c r="AS71" s="20"/>
      <c r="AT71" s="20"/>
      <c r="AU71" s="20"/>
      <c r="AV71" s="20"/>
      <c r="AW71" s="20"/>
      <c r="AX71" s="24">
        <f ca="1">IFERROR(__xludf.DUMMYFUNCTION("""COMPUTED_VALUE"""),0)</f>
        <v>0</v>
      </c>
      <c r="AY71" s="24">
        <f ca="1">IFERROR(__xludf.DUMMYFUNCTION("""COMPUTED_VALUE"""),0)</f>
        <v>0</v>
      </c>
      <c r="AZ71" s="24">
        <f ca="1">IFERROR(__xludf.DUMMYFUNCTION("""COMPUTED_VALUE"""),0)</f>
        <v>0</v>
      </c>
      <c r="BA71" s="20"/>
      <c r="BB71" s="24">
        <f ca="1">IFERROR(__xludf.DUMMYFUNCTION("""COMPUTED_VALUE"""),0)</f>
        <v>0</v>
      </c>
      <c r="BC71" s="20"/>
      <c r="BD71" s="24">
        <f ca="1">IFERROR(__xludf.DUMMYFUNCTION("""COMPUTED_VALUE"""),0)</f>
        <v>0</v>
      </c>
      <c r="BE71" s="24">
        <f ca="1">IFERROR(__xludf.DUMMYFUNCTION("""COMPUTED_VALUE"""),0)</f>
        <v>0</v>
      </c>
      <c r="BF71" s="24">
        <f ca="1">IFERROR(__xludf.DUMMYFUNCTION("""COMPUTED_VALUE"""),0)</f>
        <v>0</v>
      </c>
      <c r="BG71" s="20"/>
      <c r="BH71" s="24">
        <f ca="1">IFERROR(__xludf.DUMMYFUNCTION("""COMPUTED_VALUE"""),0)</f>
        <v>0</v>
      </c>
      <c r="BI71" s="20"/>
      <c r="BJ71" s="24">
        <f ca="1">IFERROR(__xludf.DUMMYFUNCTION("""COMPUTED_VALUE"""),0)</f>
        <v>0</v>
      </c>
      <c r="BK71" s="24">
        <f ca="1">IFERROR(__xludf.DUMMYFUNCTION("""COMPUTED_VALUE"""),0)</f>
        <v>0</v>
      </c>
      <c r="BL71" s="24">
        <f ca="1">IFERROR(__xludf.DUMMYFUNCTION("""COMPUTED_VALUE"""),0)</f>
        <v>0</v>
      </c>
      <c r="BM71" s="20"/>
      <c r="BN71" s="24">
        <f ca="1">IFERROR(__xludf.DUMMYFUNCTION("""COMPUTED_VALUE"""),0)</f>
        <v>0</v>
      </c>
      <c r="BO71" s="20"/>
      <c r="BP71" s="24">
        <f ca="1">IFERROR(__xludf.DUMMYFUNCTION("""COMPUTED_VALUE"""),0)</f>
        <v>0</v>
      </c>
      <c r="BQ71" s="24">
        <f ca="1">IFERROR(__xludf.DUMMYFUNCTION("""COMPUTED_VALUE"""),0)</f>
        <v>0</v>
      </c>
      <c r="BR71" s="24">
        <f ca="1">IFERROR(__xludf.DUMMYFUNCTION("""COMPUTED_VALUE"""),0)</f>
        <v>0</v>
      </c>
      <c r="BS71" s="20"/>
      <c r="BT71" s="24">
        <f ca="1">IFERROR(__xludf.DUMMYFUNCTION("""COMPUTED_VALUE"""),0)</f>
        <v>0</v>
      </c>
      <c r="BU71" s="20"/>
      <c r="BV71" s="24">
        <f ca="1">IFERROR(__xludf.DUMMYFUNCTION("""COMPUTED_VALUE"""),0)</f>
        <v>0</v>
      </c>
      <c r="BW71" s="24">
        <f ca="1">IFERROR(__xludf.DUMMYFUNCTION("""COMPUTED_VALUE"""),0)</f>
        <v>0</v>
      </c>
      <c r="BX71" s="24">
        <f ca="1">IFERROR(__xludf.DUMMYFUNCTION("""COMPUTED_VALUE"""),0)</f>
        <v>0</v>
      </c>
      <c r="BY71" s="20"/>
      <c r="BZ71" s="24">
        <f ca="1">IFERROR(__xludf.DUMMYFUNCTION("""COMPUTED_VALUE"""),0)</f>
        <v>0</v>
      </c>
      <c r="CA71" s="20"/>
      <c r="CB71" s="20"/>
      <c r="CC71" s="20"/>
      <c r="CD71" s="20"/>
      <c r="CE71" s="20"/>
      <c r="CF71" s="20"/>
      <c r="CG71" s="20"/>
      <c r="CH71" s="20"/>
      <c r="CI71" s="20"/>
      <c r="CJ71" s="20"/>
      <c r="CK71" s="20"/>
      <c r="CL71" s="20"/>
      <c r="CM71" s="20"/>
      <c r="CN71" s="20"/>
      <c r="CO71" s="20"/>
      <c r="CP71" s="20"/>
      <c r="CQ71" s="20"/>
      <c r="CR71" s="20"/>
      <c r="CS71" s="20"/>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row>
    <row r="72" spans="1:123" ht="64.5" hidden="1" customHeight="1" x14ac:dyDescent="0.2">
      <c r="A72" s="19"/>
      <c r="B72" s="20" t="str">
        <f ca="1">IFERROR(__xludf.DUMMYFUNCTION("""COMPUTED_VALUE"""),"г.о. Ленинский")</f>
        <v>г.о. Ленинский</v>
      </c>
      <c r="C7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2" s="20" t="str">
        <f ca="1">IFERROR(__xludf.DUMMYFUNCTION("""COMPUTED_VALUE"""),"МинЖКХ")</f>
        <v>МинЖКХ</v>
      </c>
      <c r="E72" s="20" t="str">
        <f ca="1">IFERROR(__xludf.DUMMYFUNCTION("""COMPUTED_VALUE"""),"Реконструкция ВЗУ-18 с/п. Молоковское, с. Остров, ул. Центральная, Ленинский г.о.")</f>
        <v>Реконструкция ВЗУ-18 с/п. Молоковское, с. Остров, ул. Центральная, Ленинский г.о.</v>
      </c>
      <c r="F72" s="22" t="str">
        <f ca="1">IFERROR(__xludf.DUMMYFUNCTION("""COMPUTED_VALUE"""),"ВЗУ")</f>
        <v>ВЗУ</v>
      </c>
      <c r="G72" s="20" t="str">
        <f ca="1">IFERROR(__xludf.DUMMYFUNCTION("""COMPUTED_VALUE"""),"Н/Л")</f>
        <v>Н/Л</v>
      </c>
      <c r="H72" s="20"/>
      <c r="I72" s="20"/>
      <c r="J72" s="20"/>
      <c r="K72" s="20"/>
      <c r="L72" s="20"/>
      <c r="M72" s="20"/>
      <c r="N72" s="24">
        <f ca="1">IFERROR(__xludf.DUMMYFUNCTION("""COMPUTED_VALUE"""),0)</f>
        <v>0</v>
      </c>
      <c r="O72" s="20"/>
      <c r="P72" s="20"/>
      <c r="Q72" s="20"/>
      <c r="R72" s="20"/>
      <c r="S72" s="20"/>
      <c r="T72" s="20"/>
      <c r="U72" s="24">
        <f ca="1">IFERROR(__xludf.DUMMYFUNCTION("""COMPUTED_VALUE"""),0)</f>
        <v>0</v>
      </c>
      <c r="V72" s="24">
        <f ca="1">IFERROR(__xludf.DUMMYFUNCTION("""COMPUTED_VALUE"""),0)</f>
        <v>0</v>
      </c>
      <c r="W72" s="24">
        <f ca="1">IFERROR(__xludf.DUMMYFUNCTION("""COMPUTED_VALUE"""),0)</f>
        <v>0</v>
      </c>
      <c r="X72" s="24">
        <f ca="1">IFERROR(__xludf.DUMMYFUNCTION("""COMPUTED_VALUE"""),0)</f>
        <v>0</v>
      </c>
      <c r="Y72" s="24">
        <f ca="1">IFERROR(__xludf.DUMMYFUNCTION("""COMPUTED_VALUE"""),0)</f>
        <v>0</v>
      </c>
      <c r="Z72" s="24">
        <f ca="1">IFERROR(__xludf.DUMMYFUNCTION("""COMPUTED_VALUE"""),0)</f>
        <v>0</v>
      </c>
      <c r="AA72" s="20" t="str">
        <f ca="1">IFERROR(__xludf.DUMMYFUNCTION("""COMPUTED_VALUE"""),"10 1 G552430
")</f>
        <v xml:space="preserve">10 1 G552430
</v>
      </c>
      <c r="AB72" s="20">
        <f ca="1">IFERROR(__xludf.DUMMYFUNCTION("""COMPUTED_VALUE"""),522)</f>
        <v>522</v>
      </c>
      <c r="AC72" s="20"/>
      <c r="AD72" s="20"/>
      <c r="AE72" s="20"/>
      <c r="AF72" s="24">
        <f ca="1">IFERROR(__xludf.DUMMYFUNCTION("""COMPUTED_VALUE"""),0)</f>
        <v>0</v>
      </c>
      <c r="AG72" s="24">
        <f ca="1">IFERROR(__xludf.DUMMYFUNCTION("""COMPUTED_VALUE"""),0)</f>
        <v>0</v>
      </c>
      <c r="AH72" s="24">
        <f ca="1">IFERROR(__xludf.DUMMYFUNCTION("""COMPUTED_VALUE"""),0)</f>
        <v>0</v>
      </c>
      <c r="AI72" s="24">
        <f ca="1">IFERROR(__xludf.DUMMYFUNCTION("""COMPUTED_VALUE"""),0)</f>
        <v>0</v>
      </c>
      <c r="AJ72" s="24">
        <f ca="1">IFERROR(__xludf.DUMMYFUNCTION("""COMPUTED_VALUE"""),0)</f>
        <v>0</v>
      </c>
      <c r="AK72" s="24">
        <f ca="1">IFERROR(__xludf.DUMMYFUNCTION("""COMPUTED_VALUE"""),0)</f>
        <v>0</v>
      </c>
      <c r="AL72" s="24">
        <f ca="1">IFERROR(__xludf.DUMMYFUNCTION("""COMPUTED_VALUE"""),0)</f>
        <v>0</v>
      </c>
      <c r="AM72" s="20"/>
      <c r="AN72" s="20"/>
      <c r="AO72" s="20"/>
      <c r="AP72" s="20"/>
      <c r="AQ72" s="20"/>
      <c r="AR72" s="24">
        <f ca="1">IFERROR(__xludf.DUMMYFUNCTION("""COMPUTED_VALUE"""),0)</f>
        <v>0</v>
      </c>
      <c r="AS72" s="20"/>
      <c r="AT72" s="20"/>
      <c r="AU72" s="20"/>
      <c r="AV72" s="20"/>
      <c r="AW72" s="20"/>
      <c r="AX72" s="24">
        <f ca="1">IFERROR(__xludf.DUMMYFUNCTION("""COMPUTED_VALUE"""),0)</f>
        <v>0</v>
      </c>
      <c r="AY72" s="24">
        <f ca="1">IFERROR(__xludf.DUMMYFUNCTION("""COMPUTED_VALUE"""),0)</f>
        <v>0</v>
      </c>
      <c r="AZ72" s="24">
        <f ca="1">IFERROR(__xludf.DUMMYFUNCTION("""COMPUTED_VALUE"""),0)</f>
        <v>0</v>
      </c>
      <c r="BA72" s="20"/>
      <c r="BB72" s="24">
        <f ca="1">IFERROR(__xludf.DUMMYFUNCTION("""COMPUTED_VALUE"""),0)</f>
        <v>0</v>
      </c>
      <c r="BC72" s="20"/>
      <c r="BD72" s="24">
        <f ca="1">IFERROR(__xludf.DUMMYFUNCTION("""COMPUTED_VALUE"""),0)</f>
        <v>0</v>
      </c>
      <c r="BE72" s="24">
        <f ca="1">IFERROR(__xludf.DUMMYFUNCTION("""COMPUTED_VALUE"""),0)</f>
        <v>0</v>
      </c>
      <c r="BF72" s="24">
        <f ca="1">IFERROR(__xludf.DUMMYFUNCTION("""COMPUTED_VALUE"""),0)</f>
        <v>0</v>
      </c>
      <c r="BG72" s="20"/>
      <c r="BH72" s="24">
        <f ca="1">IFERROR(__xludf.DUMMYFUNCTION("""COMPUTED_VALUE"""),0)</f>
        <v>0</v>
      </c>
      <c r="BI72" s="20"/>
      <c r="BJ72" s="24">
        <f ca="1">IFERROR(__xludf.DUMMYFUNCTION("""COMPUTED_VALUE"""),0)</f>
        <v>0</v>
      </c>
      <c r="BK72" s="24">
        <f ca="1">IFERROR(__xludf.DUMMYFUNCTION("""COMPUTED_VALUE"""),0)</f>
        <v>0</v>
      </c>
      <c r="BL72" s="24">
        <f ca="1">IFERROR(__xludf.DUMMYFUNCTION("""COMPUTED_VALUE"""),0)</f>
        <v>0</v>
      </c>
      <c r="BM72" s="20"/>
      <c r="BN72" s="24">
        <f ca="1">IFERROR(__xludf.DUMMYFUNCTION("""COMPUTED_VALUE"""),0)</f>
        <v>0</v>
      </c>
      <c r="BO72" s="20"/>
      <c r="BP72" s="24">
        <f ca="1">IFERROR(__xludf.DUMMYFUNCTION("""COMPUTED_VALUE"""),0)</f>
        <v>0</v>
      </c>
      <c r="BQ72" s="24">
        <f ca="1">IFERROR(__xludf.DUMMYFUNCTION("""COMPUTED_VALUE"""),0)</f>
        <v>0</v>
      </c>
      <c r="BR72" s="24">
        <f ca="1">IFERROR(__xludf.DUMMYFUNCTION("""COMPUTED_VALUE"""),0)</f>
        <v>0</v>
      </c>
      <c r="BS72" s="20"/>
      <c r="BT72" s="24">
        <f ca="1">IFERROR(__xludf.DUMMYFUNCTION("""COMPUTED_VALUE"""),0)</f>
        <v>0</v>
      </c>
      <c r="BU72" s="20"/>
      <c r="BV72" s="24">
        <f ca="1">IFERROR(__xludf.DUMMYFUNCTION("""COMPUTED_VALUE"""),0)</f>
        <v>0</v>
      </c>
      <c r="BW72" s="24">
        <f ca="1">IFERROR(__xludf.DUMMYFUNCTION("""COMPUTED_VALUE"""),0)</f>
        <v>0</v>
      </c>
      <c r="BX72" s="24">
        <f ca="1">IFERROR(__xludf.DUMMYFUNCTION("""COMPUTED_VALUE"""),0)</f>
        <v>0</v>
      </c>
      <c r="BY72" s="20"/>
      <c r="BZ72" s="24">
        <f ca="1">IFERROR(__xludf.DUMMYFUNCTION("""COMPUTED_VALUE"""),0)</f>
        <v>0</v>
      </c>
      <c r="CA72" s="20"/>
      <c r="CB72" s="20"/>
      <c r="CC72" s="20"/>
      <c r="CD72" s="20"/>
      <c r="CE72" s="20"/>
      <c r="CF72" s="20"/>
      <c r="CG72" s="20"/>
      <c r="CH72" s="20"/>
      <c r="CI72" s="20"/>
      <c r="CJ72" s="20"/>
      <c r="CK72" s="20"/>
      <c r="CL72" s="20"/>
      <c r="CM72" s="20"/>
      <c r="CN72" s="20"/>
      <c r="CO72" s="20"/>
      <c r="CP72" s="20"/>
      <c r="CQ72" s="20"/>
      <c r="CR72" s="20"/>
      <c r="CS72" s="20"/>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row>
    <row r="73" spans="1:123" ht="64.5" hidden="1" customHeight="1" x14ac:dyDescent="0.2">
      <c r="A73" s="19"/>
      <c r="B73" s="20" t="str">
        <f ca="1">IFERROR(__xludf.DUMMYFUNCTION("""COMPUTED_VALUE"""),"г.о. Ленинский")</f>
        <v>г.о. Ленинский</v>
      </c>
      <c r="C7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3" s="20" t="str">
        <f ca="1">IFERROR(__xludf.DUMMYFUNCTION("""COMPUTED_VALUE"""),"МинЖКХ")</f>
        <v>МинЖКХ</v>
      </c>
      <c r="E73" s="20" t="str">
        <f ca="1">IFERROR(__xludf.DUMMYFUNCTION("""COMPUTED_VALUE"""),"Реконструкция ВЗУ-15 с/п. Молоковское,  Ленинский г.о.")</f>
        <v>Реконструкция ВЗУ-15 с/п. Молоковское,  Ленинский г.о.</v>
      </c>
      <c r="F73" s="22" t="str">
        <f ca="1">IFERROR(__xludf.DUMMYFUNCTION("""COMPUTED_VALUE"""),"ВЗУ")</f>
        <v>ВЗУ</v>
      </c>
      <c r="G73" s="20">
        <f ca="1">IFERROR(__xludf.DUMMYFUNCTION("""COMPUTED_VALUE"""),2022)</f>
        <v>2022</v>
      </c>
      <c r="H73" s="20" t="str">
        <f ca="1">IFERROR(__xludf.DUMMYFUNCTION("""COMPUTED_VALUE"""),"СМР")</f>
        <v>СМР</v>
      </c>
      <c r="I73" s="20"/>
      <c r="J73" s="20"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K73" s="20"/>
      <c r="L73" s="20"/>
      <c r="M73" s="20"/>
      <c r="N73" s="24">
        <f ca="1">IFERROR(__xludf.DUMMYFUNCTION("""COMPUTED_VALUE"""),0)</f>
        <v>0</v>
      </c>
      <c r="O73" s="20"/>
      <c r="P73" s="20"/>
      <c r="Q73" s="20"/>
      <c r="R73" s="20"/>
      <c r="S73" s="20"/>
      <c r="T73" s="20"/>
      <c r="U73" s="24">
        <f ca="1">IFERROR(__xludf.DUMMYFUNCTION("""COMPUTED_VALUE"""),0)</f>
        <v>0</v>
      </c>
      <c r="V73" s="24">
        <f ca="1">IFERROR(__xludf.DUMMYFUNCTION("""COMPUTED_VALUE"""),0)</f>
        <v>0</v>
      </c>
      <c r="W73" s="24">
        <f ca="1">IFERROR(__xludf.DUMMYFUNCTION("""COMPUTED_VALUE"""),0)</f>
        <v>0</v>
      </c>
      <c r="X73" s="24">
        <f ca="1">IFERROR(__xludf.DUMMYFUNCTION("""COMPUTED_VALUE"""),0)</f>
        <v>0</v>
      </c>
      <c r="Y73" s="24">
        <f ca="1">IFERROR(__xludf.DUMMYFUNCTION("""COMPUTED_VALUE"""),0)</f>
        <v>0</v>
      </c>
      <c r="Z73" s="24">
        <f ca="1">IFERROR(__xludf.DUMMYFUNCTION("""COMPUTED_VALUE"""),0)</f>
        <v>0</v>
      </c>
      <c r="AA73" s="20" t="str">
        <f ca="1">IFERROR(__xludf.DUMMYFUNCTION("""COMPUTED_VALUE"""),"10 1 G552430
")</f>
        <v xml:space="preserve">10 1 G552430
</v>
      </c>
      <c r="AB73" s="20">
        <f ca="1">IFERROR(__xludf.DUMMYFUNCTION("""COMPUTED_VALUE"""),522)</f>
        <v>522</v>
      </c>
      <c r="AC73" s="20"/>
      <c r="AD73" s="20"/>
      <c r="AE73" s="20"/>
      <c r="AF73" s="24">
        <f ca="1">IFERROR(__xludf.DUMMYFUNCTION("""COMPUTED_VALUE"""),18205.12)</f>
        <v>18205.12</v>
      </c>
      <c r="AG73" s="24">
        <f ca="1">IFERROR(__xludf.DUMMYFUNCTION("""COMPUTED_VALUE"""),9745)</f>
        <v>9745</v>
      </c>
      <c r="AH73" s="24">
        <f ca="1">IFERROR(__xludf.DUMMYFUNCTION("""COMPUTED_VALUE"""),3248.33)</f>
        <v>3248.33</v>
      </c>
      <c r="AI73" s="24">
        <f ca="1">IFERROR(__xludf.DUMMYFUNCTION("""COMPUTED_VALUE"""),0)</f>
        <v>0</v>
      </c>
      <c r="AJ73" s="24">
        <f ca="1">IFERROR(__xludf.DUMMYFUNCTION("""COMPUTED_VALUE"""),5211.79)</f>
        <v>5211.79</v>
      </c>
      <c r="AK73" s="24">
        <f ca="1">IFERROR(__xludf.DUMMYFUNCTION("""COMPUTED_VALUE"""),0)</f>
        <v>0</v>
      </c>
      <c r="AL73" s="24">
        <f ca="1">IFERROR(__xludf.DUMMYFUNCTION("""COMPUTED_VALUE"""),0)</f>
        <v>0</v>
      </c>
      <c r="AM73" s="20"/>
      <c r="AN73" s="20"/>
      <c r="AO73" s="20"/>
      <c r="AP73" s="20"/>
      <c r="AQ73" s="20"/>
      <c r="AR73" s="24">
        <f ca="1">IFERROR(__xludf.DUMMYFUNCTION("""COMPUTED_VALUE"""),0)</f>
        <v>0</v>
      </c>
      <c r="AS73" s="20"/>
      <c r="AT73" s="20"/>
      <c r="AU73" s="20"/>
      <c r="AV73" s="20"/>
      <c r="AW73" s="20"/>
      <c r="AX73" s="24">
        <f ca="1">IFERROR(__xludf.DUMMYFUNCTION("""COMPUTED_VALUE"""),0)</f>
        <v>0</v>
      </c>
      <c r="AY73" s="24">
        <f ca="1">IFERROR(__xludf.DUMMYFUNCTION("""COMPUTED_VALUE"""),0)</f>
        <v>0</v>
      </c>
      <c r="AZ73" s="24">
        <f ca="1">IFERROR(__xludf.DUMMYFUNCTION("""COMPUTED_VALUE"""),0)</f>
        <v>0</v>
      </c>
      <c r="BA73" s="20"/>
      <c r="BB73" s="24">
        <f ca="1">IFERROR(__xludf.DUMMYFUNCTION("""COMPUTED_VALUE"""),0)</f>
        <v>0</v>
      </c>
      <c r="BC73" s="20"/>
      <c r="BD73" s="24">
        <f ca="1">IFERROR(__xludf.DUMMYFUNCTION("""COMPUTED_VALUE"""),0)</f>
        <v>0</v>
      </c>
      <c r="BE73" s="24">
        <f ca="1">IFERROR(__xludf.DUMMYFUNCTION("""COMPUTED_VALUE"""),0)</f>
        <v>0</v>
      </c>
      <c r="BF73" s="24">
        <f ca="1">IFERROR(__xludf.DUMMYFUNCTION("""COMPUTED_VALUE"""),0)</f>
        <v>0</v>
      </c>
      <c r="BG73" s="20"/>
      <c r="BH73" s="24">
        <f ca="1">IFERROR(__xludf.DUMMYFUNCTION("""COMPUTED_VALUE"""),0)</f>
        <v>0</v>
      </c>
      <c r="BI73" s="20"/>
      <c r="BJ73" s="24">
        <f ca="1">IFERROR(__xludf.DUMMYFUNCTION("""COMPUTED_VALUE"""),18205.12)</f>
        <v>18205.12</v>
      </c>
      <c r="BK73" s="24">
        <f ca="1">IFERROR(__xludf.DUMMYFUNCTION("""COMPUTED_VALUE"""),9745)</f>
        <v>9745</v>
      </c>
      <c r="BL73" s="24">
        <f ca="1">IFERROR(__xludf.DUMMYFUNCTION("""COMPUTED_VALUE"""),3248.33)</f>
        <v>3248.33</v>
      </c>
      <c r="BM73" s="20"/>
      <c r="BN73" s="24">
        <f ca="1">IFERROR(__xludf.DUMMYFUNCTION("""COMPUTED_VALUE"""),5211.79)</f>
        <v>5211.79</v>
      </c>
      <c r="BO73" s="20"/>
      <c r="BP73" s="24">
        <f ca="1">IFERROR(__xludf.DUMMYFUNCTION("""COMPUTED_VALUE"""),0)</f>
        <v>0</v>
      </c>
      <c r="BQ73" s="24">
        <f ca="1">IFERROR(__xludf.DUMMYFUNCTION("""COMPUTED_VALUE"""),0)</f>
        <v>0</v>
      </c>
      <c r="BR73" s="24">
        <f ca="1">IFERROR(__xludf.DUMMYFUNCTION("""COMPUTED_VALUE"""),0)</f>
        <v>0</v>
      </c>
      <c r="BS73" s="20"/>
      <c r="BT73" s="24">
        <f ca="1">IFERROR(__xludf.DUMMYFUNCTION("""COMPUTED_VALUE"""),0)</f>
        <v>0</v>
      </c>
      <c r="BU73" s="20"/>
      <c r="BV73" s="24">
        <f ca="1">IFERROR(__xludf.DUMMYFUNCTION("""COMPUTED_VALUE"""),0)</f>
        <v>0</v>
      </c>
      <c r="BW73" s="24">
        <f ca="1">IFERROR(__xludf.DUMMYFUNCTION("""COMPUTED_VALUE"""),0)</f>
        <v>0</v>
      </c>
      <c r="BX73" s="24">
        <f ca="1">IFERROR(__xludf.DUMMYFUNCTION("""COMPUTED_VALUE"""),0)</f>
        <v>0</v>
      </c>
      <c r="BY73" s="20"/>
      <c r="BZ73" s="24">
        <f ca="1">IFERROR(__xludf.DUMMYFUNCTION("""COMPUTED_VALUE"""),0)</f>
        <v>0</v>
      </c>
      <c r="CA73" s="20"/>
      <c r="CB73" s="20"/>
      <c r="CC73" s="20"/>
      <c r="CD73" s="20"/>
      <c r="CE73" s="20"/>
      <c r="CF73" s="20"/>
      <c r="CG73" s="20"/>
      <c r="CH73" s="20"/>
      <c r="CI73" s="20"/>
      <c r="CJ73" s="20"/>
      <c r="CK73" s="20"/>
      <c r="CL73" s="20"/>
      <c r="CM73" s="20"/>
      <c r="CN73" s="20"/>
      <c r="CO73" s="20"/>
      <c r="CP73" s="20"/>
      <c r="CQ73" s="20"/>
      <c r="CR73" s="20"/>
      <c r="CS73" s="20"/>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row>
    <row r="74" spans="1:123" ht="64.5" customHeight="1" x14ac:dyDescent="0.2">
      <c r="A74" s="19"/>
      <c r="B74" s="20" t="str">
        <f ca="1">IFERROR(__xludf.DUMMYFUNCTION("""COMPUTED_VALUE"""),"г.о. Ленинский")</f>
        <v>г.о. Ленинский</v>
      </c>
      <c r="C7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4" s="20" t="str">
        <f ca="1">IFERROR(__xludf.DUMMYFUNCTION("""COMPUTED_VALUE"""),"МинЖКХ")</f>
        <v>МинЖКХ</v>
      </c>
      <c r="E74" s="20" t="str">
        <f ca="1">IFERROR(__xludf.DUMMYFUNCTION("""COMPUTED_VALUE"""),"Строительство водозаборного узла в д. Дроздово сельского поселения Развилковское Ленинского муниципального района Московской области")</f>
        <v>Строительство водозаборного узла в д. Дроздово сельского поселения Развилковское Ленинского муниципального района Московской области</v>
      </c>
      <c r="F74" s="22" t="str">
        <f ca="1">IFERROR(__xludf.DUMMYFUNCTION("""COMPUTED_VALUE"""),"ВЗУ")</f>
        <v>ВЗУ</v>
      </c>
      <c r="G74" s="20" t="str">
        <f ca="1">IFERROR(__xludf.DUMMYFUNCTION("""COMPUTED_VALUE"""),"2020-2021")</f>
        <v>2020-2021</v>
      </c>
      <c r="H74" s="20" t="str">
        <f ca="1">IFERROR(__xludf.DUMMYFUNCTION("""COMPUTED_VALUE"""),"СМР")</f>
        <v>СМР</v>
      </c>
      <c r="I74" s="23">
        <f ca="1">IFERROR(__xludf.DUMMYFUNCTION("""COMPUTED_VALUE"""),0.08)</f>
        <v>0.08</v>
      </c>
      <c r="J74" s="20" t="str">
        <f ca="1">IFERROR(__xludf.DUMMYFUNCTION("""COMPUTED_VALUE"""),"Пробурена артезианская скважина №1 (глубина скважины 140 м), водоносный горизонт обнаружен, ведется прокачка скважины, дебет скважины близок к проектному (50м3/час). Ведутся работы по бурению скважины №2 (пробурено 70 м).
Камеры видеонаблюдения установле"&amp;"ны, доступ предоставлен.
Ведется корректировка ГПР.
Оплачен аванс в размере 50%.")</f>
        <v>Пробурена артезианская скважина №1 (глубина скважины 140 м), водоносный горизонт обнаружен, ведется прокачка скважины, дебет скважины близок к проектному (50м3/час). Ведутся работы по бурению скважины №2 (пробурено 70 м).
Камеры видеонаблюдения установлены, доступ предоставлен.
Ведется корректировка ГПР.
Оплачен аванс в размере 50%.</v>
      </c>
      <c r="K74" s="20">
        <f ca="1">IFERROR(__xludf.DUMMYFUNCTION("""COMPUTED_VALUE"""),0)</f>
        <v>0</v>
      </c>
      <c r="L74" s="20">
        <f ca="1">IFERROR(__xludf.DUMMYFUNCTION("""COMPUTED_VALUE"""),4000)</f>
        <v>4000</v>
      </c>
      <c r="M74" s="20"/>
      <c r="N74" s="24">
        <f ca="1">IFERROR(__xludf.DUMMYFUNCTION("""COMPUTED_VALUE"""),35276.91)</f>
        <v>35276.910000000003</v>
      </c>
      <c r="O74" s="24">
        <f ca="1">IFERROR(__xludf.DUMMYFUNCTION("""COMPUTED_VALUE"""),26457.65)</f>
        <v>26457.65</v>
      </c>
      <c r="P74" s="24">
        <f ca="1">IFERROR(__xludf.DUMMYFUNCTION("""COMPUTED_VALUE"""),8819.26)</f>
        <v>8819.26</v>
      </c>
      <c r="Q74" s="20"/>
      <c r="R74" s="20"/>
      <c r="S74" s="20"/>
      <c r="T74" s="20" t="str">
        <f ca="1">IFERROR(__xludf.DUMMYFUNCTION("""COMPUTED_VALUE"""),"Риск не освоения лимитов финансирования 2020 года. В Минстрой РФ направлены документы на перераспределение части лимитов 2020 году на ВЗУ Орлово.")</f>
        <v>Риск не освоения лимитов финансирования 2020 года. В Минстрой РФ направлены документы на перераспределение части лимитов 2020 году на ВЗУ Орлово.</v>
      </c>
      <c r="U74" s="24">
        <f ca="1">IFERROR(__xludf.DUMMYFUNCTION("""COMPUTED_VALUE"""),13058.3399999999)</f>
        <v>13058.3399999999</v>
      </c>
      <c r="V74" s="24">
        <f ca="1">IFERROR(__xludf.DUMMYFUNCTION("""COMPUTED_VALUE"""),1310.94999999999)</f>
        <v>1310.94999999999</v>
      </c>
      <c r="W74" s="24">
        <f ca="1">IFERROR(__xludf.DUMMYFUNCTION("""COMPUTED_VALUE"""),436.94)</f>
        <v>436.94</v>
      </c>
      <c r="X74" s="24">
        <f ca="1">IFERROR(__xludf.DUMMYFUNCTION("""COMPUTED_VALUE"""),0)</f>
        <v>0</v>
      </c>
      <c r="Y74" s="24">
        <f ca="1">IFERROR(__xludf.DUMMYFUNCTION("""COMPUTED_VALUE"""),11310.45)</f>
        <v>11310.45</v>
      </c>
      <c r="Z74" s="24">
        <f ca="1">IFERROR(__xludf.DUMMYFUNCTION("""COMPUTED_VALUE"""),0)</f>
        <v>0</v>
      </c>
      <c r="AA74" s="20" t="str">
        <f ca="1">IFERROR(__xludf.DUMMYFUNCTION("""COMPUTED_VALUE"""),"10 1 G552430
")</f>
        <v xml:space="preserve">10 1 G552430
</v>
      </c>
      <c r="AB74" s="20">
        <f ca="1">IFERROR(__xludf.DUMMYFUNCTION("""COMPUTED_VALUE"""),522)</f>
        <v>522</v>
      </c>
      <c r="AC74" s="20" t="str">
        <f ca="1">IFERROR(__xludf.DUMMYFUNCTION("""COMPUTED_VALUE"""),"Да")</f>
        <v>Да</v>
      </c>
      <c r="AD74" s="20" t="str">
        <f ca="1">IFERROR(__xludf.DUMMYFUNCTION("""COMPUTED_VALUE"""),"Получено")</f>
        <v>Получено</v>
      </c>
      <c r="AE74" s="20" t="str">
        <f ca="1">IFERROR(__xludf.DUMMYFUNCTION("""COMPUTED_VALUE"""),"№ 50-RU50503301-543-2020 от 17.07.2020")</f>
        <v>№ 50-RU50503301-543-2020 от 17.07.2020</v>
      </c>
      <c r="AF74" s="24">
        <f ca="1">IFERROR(__xludf.DUMMYFUNCTION("""COMPUTED_VALUE"""),65940.33)</f>
        <v>65940.33</v>
      </c>
      <c r="AG74" s="24">
        <f ca="1">IFERROR(__xludf.DUMMYFUNCTION("""COMPUTED_VALUE"""),37882.7)</f>
        <v>37882.699999999997</v>
      </c>
      <c r="AH74" s="24">
        <f ca="1">IFERROR(__xludf.DUMMYFUNCTION("""COMPUTED_VALUE"""),12627.58)</f>
        <v>12627.58</v>
      </c>
      <c r="AI74" s="24">
        <f ca="1">IFERROR(__xludf.DUMMYFUNCTION("""COMPUTED_VALUE"""),0)</f>
        <v>0</v>
      </c>
      <c r="AJ74" s="24">
        <f ca="1">IFERROR(__xludf.DUMMYFUNCTION("""COMPUTED_VALUE"""),15430.05)</f>
        <v>15430.05</v>
      </c>
      <c r="AK74" s="24">
        <f ca="1">IFERROR(__xludf.DUMMYFUNCTION("""COMPUTED_VALUE"""),0)</f>
        <v>0</v>
      </c>
      <c r="AL74" s="24">
        <f ca="1">IFERROR(__xludf.DUMMYFUNCTION("""COMPUTED_VALUE"""),0)</f>
        <v>0</v>
      </c>
      <c r="AM74" s="20"/>
      <c r="AN74" s="20"/>
      <c r="AO74" s="20"/>
      <c r="AP74" s="20"/>
      <c r="AQ74" s="20"/>
      <c r="AR74" s="24">
        <f ca="1">IFERROR(__xludf.DUMMYFUNCTION("""COMPUTED_VALUE"""),0)</f>
        <v>0</v>
      </c>
      <c r="AS74" s="20"/>
      <c r="AT74" s="20"/>
      <c r="AU74" s="20"/>
      <c r="AV74" s="20"/>
      <c r="AW74" s="20"/>
      <c r="AX74" s="24">
        <f ca="1">IFERROR(__xludf.DUMMYFUNCTION("""COMPUTED_VALUE"""),48335.25)</f>
        <v>48335.25</v>
      </c>
      <c r="AY74" s="24">
        <f ca="1">IFERROR(__xludf.DUMMYFUNCTION("""COMPUTED_VALUE"""),27768.6)</f>
        <v>27768.6</v>
      </c>
      <c r="AZ74" s="24">
        <f ca="1">IFERROR(__xludf.DUMMYFUNCTION("""COMPUTED_VALUE"""),9256.2)</f>
        <v>9256.2000000000007</v>
      </c>
      <c r="BA74" s="20"/>
      <c r="BB74" s="24">
        <f ca="1">IFERROR(__xludf.DUMMYFUNCTION("""COMPUTED_VALUE"""),11310.45)</f>
        <v>11310.45</v>
      </c>
      <c r="BC74" s="20"/>
      <c r="BD74" s="24">
        <f ca="1">IFERROR(__xludf.DUMMYFUNCTION("""COMPUTED_VALUE"""),17605.08)</f>
        <v>17605.080000000002</v>
      </c>
      <c r="BE74" s="24">
        <f ca="1">IFERROR(__xludf.DUMMYFUNCTION("""COMPUTED_VALUE"""),10114.1)</f>
        <v>10114.1</v>
      </c>
      <c r="BF74" s="24">
        <f ca="1">IFERROR(__xludf.DUMMYFUNCTION("""COMPUTED_VALUE"""),3371.38)</f>
        <v>3371.38</v>
      </c>
      <c r="BG74" s="20"/>
      <c r="BH74" s="24">
        <f ca="1">IFERROR(__xludf.DUMMYFUNCTION("""COMPUTED_VALUE"""),4119.6)</f>
        <v>4119.6000000000004</v>
      </c>
      <c r="BI74" s="20"/>
      <c r="BJ74" s="24">
        <f ca="1">IFERROR(__xludf.DUMMYFUNCTION("""COMPUTED_VALUE"""),0)</f>
        <v>0</v>
      </c>
      <c r="BK74" s="24">
        <f ca="1">IFERROR(__xludf.DUMMYFUNCTION("""COMPUTED_VALUE"""),0)</f>
        <v>0</v>
      </c>
      <c r="BL74" s="24">
        <f ca="1">IFERROR(__xludf.DUMMYFUNCTION("""COMPUTED_VALUE"""),0)</f>
        <v>0</v>
      </c>
      <c r="BM74" s="20"/>
      <c r="BN74" s="24">
        <f ca="1">IFERROR(__xludf.DUMMYFUNCTION("""COMPUTED_VALUE"""),0)</f>
        <v>0</v>
      </c>
      <c r="BO74" s="20"/>
      <c r="BP74" s="24">
        <f ca="1">IFERROR(__xludf.DUMMYFUNCTION("""COMPUTED_VALUE"""),0)</f>
        <v>0</v>
      </c>
      <c r="BQ74" s="24">
        <f ca="1">IFERROR(__xludf.DUMMYFUNCTION("""COMPUTED_VALUE"""),0)</f>
        <v>0</v>
      </c>
      <c r="BR74" s="24">
        <f ca="1">IFERROR(__xludf.DUMMYFUNCTION("""COMPUTED_VALUE"""),0)</f>
        <v>0</v>
      </c>
      <c r="BS74" s="20"/>
      <c r="BT74" s="24">
        <f ca="1">IFERROR(__xludf.DUMMYFUNCTION("""COMPUTED_VALUE"""),0)</f>
        <v>0</v>
      </c>
      <c r="BU74" s="20"/>
      <c r="BV74" s="24">
        <f ca="1">IFERROR(__xludf.DUMMYFUNCTION("""COMPUTED_VALUE"""),0)</f>
        <v>0</v>
      </c>
      <c r="BW74" s="24">
        <f ca="1">IFERROR(__xludf.DUMMYFUNCTION("""COMPUTED_VALUE"""),0)</f>
        <v>0</v>
      </c>
      <c r="BX74" s="24">
        <f ca="1">IFERROR(__xludf.DUMMYFUNCTION("""COMPUTED_VALUE"""),0)</f>
        <v>0</v>
      </c>
      <c r="BY74" s="20"/>
      <c r="BZ74" s="24">
        <f ca="1">IFERROR(__xludf.DUMMYFUNCTION("""COMPUTED_VALUE"""),0)</f>
        <v>0</v>
      </c>
      <c r="CA74" s="20"/>
      <c r="CB74" s="20"/>
      <c r="CC74" s="20"/>
      <c r="CD74" s="20"/>
      <c r="CE74" s="20"/>
      <c r="CF74" s="20"/>
      <c r="CG74" s="20"/>
      <c r="CH74" s="20"/>
      <c r="CI74" s="20"/>
      <c r="CJ74" s="26">
        <f ca="1">IFERROR(__xludf.DUMMYFUNCTION("""COMPUTED_VALUE"""),43178)</f>
        <v>43178</v>
      </c>
      <c r="CK74" s="26">
        <f ca="1">IFERROR(__xludf.DUMMYFUNCTION("""COMPUTED_VALUE"""),43224)</f>
        <v>43224</v>
      </c>
      <c r="CL74" s="20" t="str">
        <f ca="1">IFERROR(__xludf.DUMMYFUNCTION("""COMPUTED_VALUE""")," 50-1-1-3-0352-18.")</f>
        <v xml:space="preserve"> 50-1-1-3-0352-18.</v>
      </c>
      <c r="CM74" s="26">
        <f ca="1">IFERROR(__xludf.DUMMYFUNCTION("""COMPUTED_VALUE"""),43916)</f>
        <v>43916</v>
      </c>
      <c r="CN74" s="20" t="str">
        <f ca="1">IFERROR(__xludf.DUMMYFUNCTION("""COMPUTED_VALUE"""),"0148200005420000108")</f>
        <v>0148200005420000108</v>
      </c>
      <c r="CO74" s="26">
        <f ca="1">IFERROR(__xludf.DUMMYFUNCTION("""COMPUTED_VALUE"""),43941)</f>
        <v>43941</v>
      </c>
      <c r="CP74" s="20" t="str">
        <f ca="1">IFERROR(__xludf.DUMMYFUNCTION("""COMPUTED_VALUE"""),"0148200005420000108")</f>
        <v>0148200005420000108</v>
      </c>
      <c r="CQ74" s="20">
        <f ca="1">IFERROR(__xludf.DUMMYFUNCTION("""COMPUTED_VALUE"""),78708196.61)</f>
        <v>78708196.609999999</v>
      </c>
      <c r="CR74" s="20" t="str">
        <f ca="1">IFERROR(__xludf.DUMMYFUNCTION("""COMPUTED_VALUE"""),"ООО ""Посейдон""")</f>
        <v>ООО "Посейдон"</v>
      </c>
      <c r="CS74" s="27" t="str">
        <f ca="1">IFERROR(__xludf.DUMMYFUNCTION("""COMPUTED_VALUE"""),"https://zakupki.gov.ru/epz/contract/contractCard/common-info.html?reestrNumber=3500313323020000003&amp;backUrl=b0c37ff8-087c-4a9b-9cc0-569e05fc242f")</f>
        <v>https://zakupki.gov.ru/epz/contract/contractCard/common-info.html?reestrNumber=3500313323020000003&amp;backUrl=b0c37ff8-087c-4a9b-9cc0-569e05fc242f</v>
      </c>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row>
    <row r="75" spans="1:123" ht="64.5" hidden="1" customHeight="1" x14ac:dyDescent="0.2">
      <c r="A75" s="19"/>
      <c r="B75" s="20" t="str">
        <f ca="1">IFERROR(__xludf.DUMMYFUNCTION("""COMPUTED_VALUE"""),"г.о. Ленинский")</f>
        <v>г.о. Ленинский</v>
      </c>
      <c r="C7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5" s="20" t="str">
        <f ca="1">IFERROR(__xludf.DUMMYFUNCTION("""COMPUTED_VALUE"""),"МинЖКХ")</f>
        <v>МинЖКХ</v>
      </c>
      <c r="E75" s="20" t="str">
        <f ca="1">IFERROR(__xludf.DUMMYFUNCTION("""COMPUTED_VALUE"""),"Строительство сети водоснабжения по адресу: Московской области, Ленинский г.о. сельское поселение Булатниковское, с. Булатниково.")</f>
        <v>Строительство сети водоснабжения по адресу: Московской области, Ленинский г.о. сельское поселение Булатниковское, с. Булатниково.</v>
      </c>
      <c r="F75" s="22" t="str">
        <f ca="1">IFERROR(__xludf.DUMMYFUNCTION("""COMPUTED_VALUE"""),"Сети")</f>
        <v>Сети</v>
      </c>
      <c r="G75" s="20">
        <f ca="1">IFERROR(__xludf.DUMMYFUNCTION("""COMPUTED_VALUE"""),2021)</f>
        <v>2021</v>
      </c>
      <c r="H75" s="20" t="str">
        <f ca="1">IFERROR(__xludf.DUMMYFUNCTION("""COMPUTED_VALUE"""),"СМР")</f>
        <v>СМР</v>
      </c>
      <c r="I75" s="20"/>
      <c r="J75" s="20"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K75" s="20"/>
      <c r="L75" s="20"/>
      <c r="M75" s="20"/>
      <c r="N75" s="24">
        <f ca="1">IFERROR(__xludf.DUMMYFUNCTION("""COMPUTED_VALUE"""),0)</f>
        <v>0</v>
      </c>
      <c r="O75" s="20"/>
      <c r="P75" s="20"/>
      <c r="Q75" s="20"/>
      <c r="R75" s="20"/>
      <c r="S75" s="20"/>
      <c r="T75" s="20"/>
      <c r="U75" s="24">
        <f ca="1">IFERROR(__xludf.DUMMYFUNCTION("""COMPUTED_VALUE"""),0)</f>
        <v>0</v>
      </c>
      <c r="V75" s="24">
        <f ca="1">IFERROR(__xludf.DUMMYFUNCTION("""COMPUTED_VALUE"""),0)</f>
        <v>0</v>
      </c>
      <c r="W75" s="24">
        <f ca="1">IFERROR(__xludf.DUMMYFUNCTION("""COMPUTED_VALUE"""),0)</f>
        <v>0</v>
      </c>
      <c r="X75" s="24">
        <f ca="1">IFERROR(__xludf.DUMMYFUNCTION("""COMPUTED_VALUE"""),0)</f>
        <v>0</v>
      </c>
      <c r="Y75" s="24">
        <f ca="1">IFERROR(__xludf.DUMMYFUNCTION("""COMPUTED_VALUE"""),0)</f>
        <v>0</v>
      </c>
      <c r="Z75" s="24">
        <f ca="1">IFERROR(__xludf.DUMMYFUNCTION("""COMPUTED_VALUE"""),0)</f>
        <v>0</v>
      </c>
      <c r="AA75" s="20" t="str">
        <f ca="1">IFERROR(__xludf.DUMMYFUNCTION("""COMPUTED_VALUE"""),"10 1 G552430
")</f>
        <v xml:space="preserve">10 1 G552430
</v>
      </c>
      <c r="AB75" s="20">
        <f ca="1">IFERROR(__xludf.DUMMYFUNCTION("""COMPUTED_VALUE"""),522)</f>
        <v>522</v>
      </c>
      <c r="AC75" s="20"/>
      <c r="AD75" s="20"/>
      <c r="AE75" s="20"/>
      <c r="AF75" s="24">
        <f ca="1">IFERROR(__xludf.DUMMYFUNCTION("""COMPUTED_VALUE"""),196335.849999999)</f>
        <v>196335.84999999899</v>
      </c>
      <c r="AG75" s="24">
        <f ca="1">IFERROR(__xludf.DUMMYFUNCTION("""COMPUTED_VALUE"""),112794.9)</f>
        <v>112794.9</v>
      </c>
      <c r="AH75" s="24">
        <f ca="1">IFERROR(__xludf.DUMMYFUNCTION("""COMPUTED_VALUE"""),37598.31)</f>
        <v>37598.31</v>
      </c>
      <c r="AI75" s="24">
        <f ca="1">IFERROR(__xludf.DUMMYFUNCTION("""COMPUTED_VALUE"""),0)</f>
        <v>0</v>
      </c>
      <c r="AJ75" s="24">
        <f ca="1">IFERROR(__xludf.DUMMYFUNCTION("""COMPUTED_VALUE"""),45942.64)</f>
        <v>45942.64</v>
      </c>
      <c r="AK75" s="24">
        <f ca="1">IFERROR(__xludf.DUMMYFUNCTION("""COMPUTED_VALUE"""),0)</f>
        <v>0</v>
      </c>
      <c r="AL75" s="24">
        <f ca="1">IFERROR(__xludf.DUMMYFUNCTION("""COMPUTED_VALUE"""),0)</f>
        <v>0</v>
      </c>
      <c r="AM75" s="20"/>
      <c r="AN75" s="20"/>
      <c r="AO75" s="20"/>
      <c r="AP75" s="20"/>
      <c r="AQ75" s="20"/>
      <c r="AR75" s="24">
        <f ca="1">IFERROR(__xludf.DUMMYFUNCTION("""COMPUTED_VALUE"""),0)</f>
        <v>0</v>
      </c>
      <c r="AS75" s="20"/>
      <c r="AT75" s="20"/>
      <c r="AU75" s="20"/>
      <c r="AV75" s="20"/>
      <c r="AW75" s="20"/>
      <c r="AX75" s="24">
        <f ca="1">IFERROR(__xludf.DUMMYFUNCTION("""COMPUTED_VALUE"""),0)</f>
        <v>0</v>
      </c>
      <c r="AY75" s="24">
        <f ca="1">IFERROR(__xludf.DUMMYFUNCTION("""COMPUTED_VALUE"""),0)</f>
        <v>0</v>
      </c>
      <c r="AZ75" s="24">
        <f ca="1">IFERROR(__xludf.DUMMYFUNCTION("""COMPUTED_VALUE"""),0)</f>
        <v>0</v>
      </c>
      <c r="BA75" s="20"/>
      <c r="BB75" s="24">
        <f ca="1">IFERROR(__xludf.DUMMYFUNCTION("""COMPUTED_VALUE"""),0)</f>
        <v>0</v>
      </c>
      <c r="BC75" s="20"/>
      <c r="BD75" s="24">
        <f ca="1">IFERROR(__xludf.DUMMYFUNCTION("""COMPUTED_VALUE"""),196335.849999999)</f>
        <v>196335.84999999899</v>
      </c>
      <c r="BE75" s="24">
        <f ca="1">IFERROR(__xludf.DUMMYFUNCTION("""COMPUTED_VALUE"""),112794.9)</f>
        <v>112794.9</v>
      </c>
      <c r="BF75" s="24">
        <f ca="1">IFERROR(__xludf.DUMMYFUNCTION("""COMPUTED_VALUE"""),37598.31)</f>
        <v>37598.31</v>
      </c>
      <c r="BG75" s="20"/>
      <c r="BH75" s="24">
        <f ca="1">IFERROR(__xludf.DUMMYFUNCTION("""COMPUTED_VALUE"""),45942.64)</f>
        <v>45942.64</v>
      </c>
      <c r="BI75" s="20"/>
      <c r="BJ75" s="24">
        <f ca="1">IFERROR(__xludf.DUMMYFUNCTION("""COMPUTED_VALUE"""),0)</f>
        <v>0</v>
      </c>
      <c r="BK75" s="24">
        <f ca="1">IFERROR(__xludf.DUMMYFUNCTION("""COMPUTED_VALUE"""),0)</f>
        <v>0</v>
      </c>
      <c r="BL75" s="24">
        <f ca="1">IFERROR(__xludf.DUMMYFUNCTION("""COMPUTED_VALUE"""),0)</f>
        <v>0</v>
      </c>
      <c r="BM75" s="20"/>
      <c r="BN75" s="24">
        <f ca="1">IFERROR(__xludf.DUMMYFUNCTION("""COMPUTED_VALUE"""),0)</f>
        <v>0</v>
      </c>
      <c r="BO75" s="20"/>
      <c r="BP75" s="24">
        <f ca="1">IFERROR(__xludf.DUMMYFUNCTION("""COMPUTED_VALUE"""),0)</f>
        <v>0</v>
      </c>
      <c r="BQ75" s="24">
        <f ca="1">IFERROR(__xludf.DUMMYFUNCTION("""COMPUTED_VALUE"""),0)</f>
        <v>0</v>
      </c>
      <c r="BR75" s="24">
        <f ca="1">IFERROR(__xludf.DUMMYFUNCTION("""COMPUTED_VALUE"""),0)</f>
        <v>0</v>
      </c>
      <c r="BS75" s="20"/>
      <c r="BT75" s="24">
        <f ca="1">IFERROR(__xludf.DUMMYFUNCTION("""COMPUTED_VALUE"""),0)</f>
        <v>0</v>
      </c>
      <c r="BU75" s="20"/>
      <c r="BV75" s="24">
        <f ca="1">IFERROR(__xludf.DUMMYFUNCTION("""COMPUTED_VALUE"""),0)</f>
        <v>0</v>
      </c>
      <c r="BW75" s="24">
        <f ca="1">IFERROR(__xludf.DUMMYFUNCTION("""COMPUTED_VALUE"""),0)</f>
        <v>0</v>
      </c>
      <c r="BX75" s="24">
        <f ca="1">IFERROR(__xludf.DUMMYFUNCTION("""COMPUTED_VALUE"""),0)</f>
        <v>0</v>
      </c>
      <c r="BY75" s="20"/>
      <c r="BZ75" s="24">
        <f ca="1">IFERROR(__xludf.DUMMYFUNCTION("""COMPUTED_VALUE"""),0)</f>
        <v>0</v>
      </c>
      <c r="CA75" s="20"/>
      <c r="CB75" s="20"/>
      <c r="CC75" s="20"/>
      <c r="CD75" s="20"/>
      <c r="CE75" s="20"/>
      <c r="CF75" s="20"/>
      <c r="CG75" s="20"/>
      <c r="CH75" s="20"/>
      <c r="CI75" s="20"/>
      <c r="CJ75" s="20"/>
      <c r="CK75" s="20"/>
      <c r="CL75" s="20"/>
      <c r="CM75" s="20"/>
      <c r="CN75" s="20"/>
      <c r="CO75" s="20"/>
      <c r="CP75" s="20"/>
      <c r="CQ75" s="20"/>
      <c r="CR75" s="20"/>
      <c r="CS75" s="20"/>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row>
    <row r="76" spans="1:123" ht="64.5" hidden="1" customHeight="1" x14ac:dyDescent="0.2">
      <c r="A76" s="19"/>
      <c r="B76" s="20" t="str">
        <f ca="1">IFERROR(__xludf.DUMMYFUNCTION("""COMPUTED_VALUE"""),"г.о. Ленинский")</f>
        <v>г.о. Ленинский</v>
      </c>
      <c r="C7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6" s="20" t="str">
        <f ca="1">IFERROR(__xludf.DUMMYFUNCTION("""COMPUTED_VALUE"""),"МинЖКХ")</f>
        <v>МинЖКХ</v>
      </c>
      <c r="E76" s="20" t="str">
        <f ca="1">IFERROR(__xludf.DUMMYFUNCTION("""COMPUTED_VALUE"""),"Реконструкция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f>
        <v>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v>
      </c>
      <c r="F76" s="22" t="str">
        <f ca="1">IFERROR(__xludf.DUMMYFUNCTION("""COMPUTED_VALUE"""),"ВЗУ")</f>
        <v>ВЗУ</v>
      </c>
      <c r="G76" s="20" t="str">
        <f ca="1">IFERROR(__xludf.DUMMYFUNCTION("""COMPUTED_VALUE"""),"2020-2022")</f>
        <v>2020-2022</v>
      </c>
      <c r="H76" s="20" t="str">
        <f ca="1">IFERROR(__xludf.DUMMYFUNCTION("""COMPUTED_VALUE"""),"СМР")</f>
        <v>СМР</v>
      </c>
      <c r="I76" s="20"/>
      <c r="J76" s="20"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K76" s="20"/>
      <c r="L76" s="20"/>
      <c r="M76" s="20"/>
      <c r="N76" s="24">
        <f ca="1">IFERROR(__xludf.DUMMYFUNCTION("""COMPUTED_VALUE"""),16587.2399999999)</f>
        <v>16587.2399999999</v>
      </c>
      <c r="O76" s="24">
        <f ca="1">IFERROR(__xludf.DUMMYFUNCTION("""COMPUTED_VALUE"""),12440.42)</f>
        <v>12440.42</v>
      </c>
      <c r="P76" s="24">
        <f ca="1">IFERROR(__xludf.DUMMYFUNCTION("""COMPUTED_VALUE"""),4146.82)</f>
        <v>4146.82</v>
      </c>
      <c r="Q76" s="20"/>
      <c r="R76" s="20"/>
      <c r="S76" s="20"/>
      <c r="T76" s="20"/>
      <c r="U76" s="24">
        <f ca="1">IFERROR(__xludf.DUMMYFUNCTION("""COMPUTED_VALUE"""),6466.94)</f>
        <v>6466.94</v>
      </c>
      <c r="V76" s="24">
        <f ca="1">IFERROR(__xludf.DUMMYFUNCTION("""COMPUTED_VALUE"""),804.18)</f>
        <v>804.18</v>
      </c>
      <c r="W76" s="24">
        <f ca="1">IFERROR(__xludf.DUMMYFUNCTION("""COMPUTED_VALUE"""),268.06)</f>
        <v>268.06</v>
      </c>
      <c r="X76" s="24">
        <f ca="1">IFERROR(__xludf.DUMMYFUNCTION("""COMPUTED_VALUE"""),0)</f>
        <v>0</v>
      </c>
      <c r="Y76" s="24">
        <f ca="1">IFERROR(__xludf.DUMMYFUNCTION("""COMPUTED_VALUE"""),5394.7)</f>
        <v>5394.7</v>
      </c>
      <c r="Z76" s="24">
        <f ca="1">IFERROR(__xludf.DUMMYFUNCTION("""COMPUTED_VALUE"""),0)</f>
        <v>0</v>
      </c>
      <c r="AA76" s="20" t="str">
        <f ca="1">IFERROR(__xludf.DUMMYFUNCTION("""COMPUTED_VALUE"""),"10 1 G552430
")</f>
        <v xml:space="preserve">10 1 G552430
</v>
      </c>
      <c r="AB76" s="20">
        <f ca="1">IFERROR(__xludf.DUMMYFUNCTION("""COMPUTED_VALUE"""),522)</f>
        <v>522</v>
      </c>
      <c r="AC76" s="20"/>
      <c r="AD76" s="20"/>
      <c r="AE76" s="20"/>
      <c r="AF76" s="24">
        <f ca="1">IFERROR(__xludf.DUMMYFUNCTION("""COMPUTED_VALUE"""),46365.56)</f>
        <v>46365.56</v>
      </c>
      <c r="AG76" s="24">
        <f ca="1">IFERROR(__xludf.DUMMYFUNCTION("""COMPUTED_VALUE"""),26636.9)</f>
        <v>26636.9</v>
      </c>
      <c r="AH76" s="24">
        <f ca="1">IFERROR(__xludf.DUMMYFUNCTION("""COMPUTED_VALUE"""),8879.04)</f>
        <v>8879.0400000000009</v>
      </c>
      <c r="AI76" s="24">
        <f ca="1">IFERROR(__xludf.DUMMYFUNCTION("""COMPUTED_VALUE"""),0)</f>
        <v>0</v>
      </c>
      <c r="AJ76" s="24">
        <f ca="1">IFERROR(__xludf.DUMMYFUNCTION("""COMPUTED_VALUE"""),10849.6199999999)</f>
        <v>10849.619999999901</v>
      </c>
      <c r="AK76" s="24">
        <f ca="1">IFERROR(__xludf.DUMMYFUNCTION("""COMPUTED_VALUE"""),0)</f>
        <v>0</v>
      </c>
      <c r="AL76" s="24">
        <f ca="1">IFERROR(__xludf.DUMMYFUNCTION("""COMPUTED_VALUE"""),0)</f>
        <v>0</v>
      </c>
      <c r="AM76" s="20"/>
      <c r="AN76" s="20"/>
      <c r="AO76" s="20"/>
      <c r="AP76" s="20"/>
      <c r="AQ76" s="20"/>
      <c r="AR76" s="24">
        <f ca="1">IFERROR(__xludf.DUMMYFUNCTION("""COMPUTED_VALUE"""),0)</f>
        <v>0</v>
      </c>
      <c r="AS76" s="20"/>
      <c r="AT76" s="20"/>
      <c r="AU76" s="20"/>
      <c r="AV76" s="20"/>
      <c r="AW76" s="20"/>
      <c r="AX76" s="24">
        <f ca="1">IFERROR(__xludf.DUMMYFUNCTION("""COMPUTED_VALUE"""),23054.18)</f>
        <v>23054.18</v>
      </c>
      <c r="AY76" s="24">
        <f ca="1">IFERROR(__xludf.DUMMYFUNCTION("""COMPUTED_VALUE"""),13244.6)</f>
        <v>13244.6</v>
      </c>
      <c r="AZ76" s="24">
        <f ca="1">IFERROR(__xludf.DUMMYFUNCTION("""COMPUTED_VALUE"""),4414.88)</f>
        <v>4414.88</v>
      </c>
      <c r="BA76" s="20"/>
      <c r="BB76" s="24">
        <f ca="1">IFERROR(__xludf.DUMMYFUNCTION("""COMPUTED_VALUE"""),5394.7)</f>
        <v>5394.7</v>
      </c>
      <c r="BC76" s="20"/>
      <c r="BD76" s="24">
        <f ca="1">IFERROR(__xludf.DUMMYFUNCTION("""COMPUTED_VALUE"""),128.54)</f>
        <v>128.54</v>
      </c>
      <c r="BE76" s="24">
        <f ca="1">IFERROR(__xludf.DUMMYFUNCTION("""COMPUTED_VALUE"""),73.8)</f>
        <v>73.8</v>
      </c>
      <c r="BF76" s="24">
        <f ca="1">IFERROR(__xludf.DUMMYFUNCTION("""COMPUTED_VALUE"""),24.6)</f>
        <v>24.6</v>
      </c>
      <c r="BG76" s="20"/>
      <c r="BH76" s="24">
        <f ca="1">IFERROR(__xludf.DUMMYFUNCTION("""COMPUTED_VALUE"""),30.14)</f>
        <v>30.14</v>
      </c>
      <c r="BI76" s="20"/>
      <c r="BJ76" s="24">
        <f ca="1">IFERROR(__xludf.DUMMYFUNCTION("""COMPUTED_VALUE"""),23182.84)</f>
        <v>23182.84</v>
      </c>
      <c r="BK76" s="24">
        <f ca="1">IFERROR(__xludf.DUMMYFUNCTION("""COMPUTED_VALUE"""),13318.5)</f>
        <v>13318.5</v>
      </c>
      <c r="BL76" s="24">
        <f ca="1">IFERROR(__xludf.DUMMYFUNCTION("""COMPUTED_VALUE"""),4439.56)</f>
        <v>4439.5600000000004</v>
      </c>
      <c r="BM76" s="20"/>
      <c r="BN76" s="24">
        <f ca="1">IFERROR(__xludf.DUMMYFUNCTION("""COMPUTED_VALUE"""),5424.78)</f>
        <v>5424.78</v>
      </c>
      <c r="BO76" s="20"/>
      <c r="BP76" s="24">
        <f ca="1">IFERROR(__xludf.DUMMYFUNCTION("""COMPUTED_VALUE"""),0)</f>
        <v>0</v>
      </c>
      <c r="BQ76" s="24">
        <f ca="1">IFERROR(__xludf.DUMMYFUNCTION("""COMPUTED_VALUE"""),0)</f>
        <v>0</v>
      </c>
      <c r="BR76" s="24">
        <f ca="1">IFERROR(__xludf.DUMMYFUNCTION("""COMPUTED_VALUE"""),0)</f>
        <v>0</v>
      </c>
      <c r="BS76" s="20"/>
      <c r="BT76" s="24">
        <f ca="1">IFERROR(__xludf.DUMMYFUNCTION("""COMPUTED_VALUE"""),0)</f>
        <v>0</v>
      </c>
      <c r="BU76" s="20"/>
      <c r="BV76" s="24">
        <f ca="1">IFERROR(__xludf.DUMMYFUNCTION("""COMPUTED_VALUE"""),0)</f>
        <v>0</v>
      </c>
      <c r="BW76" s="24">
        <f ca="1">IFERROR(__xludf.DUMMYFUNCTION("""COMPUTED_VALUE"""),0)</f>
        <v>0</v>
      </c>
      <c r="BX76" s="24">
        <f ca="1">IFERROR(__xludf.DUMMYFUNCTION("""COMPUTED_VALUE"""),0)</f>
        <v>0</v>
      </c>
      <c r="BY76" s="20"/>
      <c r="BZ76" s="24">
        <f ca="1">IFERROR(__xludf.DUMMYFUNCTION("""COMPUTED_VALUE"""),0)</f>
        <v>0</v>
      </c>
      <c r="CA76" s="20"/>
      <c r="CB76" s="20"/>
      <c r="CC76" s="20"/>
      <c r="CD76" s="20"/>
      <c r="CE76" s="20"/>
      <c r="CF76" s="20"/>
      <c r="CG76" s="20"/>
      <c r="CH76" s="20"/>
      <c r="CI76" s="20"/>
      <c r="CJ76" s="20"/>
      <c r="CK76" s="20"/>
      <c r="CL76" s="20"/>
      <c r="CM76" s="26">
        <f ca="1">IFERROR(__xludf.DUMMYFUNCTION("""COMPUTED_VALUE"""),44167)</f>
        <v>44167</v>
      </c>
      <c r="CN76" s="20" t="str">
        <f ca="1">IFERROR(__xludf.DUMMYFUNCTION("""COMPUTED_VALUE"""),"0848300048420000694")</f>
        <v>0848300048420000694</v>
      </c>
      <c r="CO76" s="25">
        <f ca="1">IFERROR(__xludf.DUMMYFUNCTION("""COMPUTED_VALUE"""),44191)</f>
        <v>44191</v>
      </c>
      <c r="CP76" s="20" t="str">
        <f ca="1">IFERROR(__xludf.DUMMYFUNCTION("""COMPUTED_VALUE"""),"0848300048420000694")</f>
        <v>0848300048420000694</v>
      </c>
      <c r="CQ76" s="20">
        <f ca="1">IFERROR(__xludf.DUMMYFUNCTION("""COMPUTED_VALUE"""),42699000)</f>
        <v>42699000</v>
      </c>
      <c r="CR76" s="20" t="str">
        <f ca="1">IFERROR(__xludf.DUMMYFUNCTION("""COMPUTED_VALUE"""),"ООО ""ЭКОСТРОЙИНВЕСТ""")</f>
        <v>ООО "ЭКОСТРОЙИНВЕСТ"</v>
      </c>
      <c r="CS76" s="27" t="str">
        <f ca="1">IFERROR(__xludf.DUMMYFUNCTION("""COMPUTED_VALUE"""),"https://zakupki.gov.ru/epz/contract/contractCard/common-info.html?reestrNumber=3500313323020000031")</f>
        <v>https://zakupki.gov.ru/epz/contract/contractCard/common-info.html?reestrNumber=3500313323020000031</v>
      </c>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row>
    <row r="77" spans="1:123" ht="64.5" hidden="1" customHeight="1" x14ac:dyDescent="0.2">
      <c r="A77" s="19"/>
      <c r="B77" s="20" t="str">
        <f ca="1">IFERROR(__xludf.DUMMYFUNCTION("""COMPUTED_VALUE"""),"г.о. Ленинский")</f>
        <v>г.о. Ленинский</v>
      </c>
      <c r="C7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7" s="20" t="str">
        <f ca="1">IFERROR(__xludf.DUMMYFUNCTION("""COMPUTED_VALUE"""),"МинЖКХ")</f>
        <v>МинЖКХ</v>
      </c>
      <c r="E77" s="20" t="str">
        <f ca="1">IFERROR(__xludf.DUMMYFUNCTION("""COMPUTED_VALUE"""),"Реконструкция водозаборного узла в п/о ""Петровское"" городского поселения Горки Ленинские Ленинского муниципального района Московской области")</f>
        <v>Реконструкция водозаборного узла в п/о "Петровское" городского поселения Горки Ленинские Ленинского муниципального района Московской области</v>
      </c>
      <c r="F77" s="22" t="str">
        <f ca="1">IFERROR(__xludf.DUMMYFUNCTION("""COMPUTED_VALUE"""),"ВЗУ")</f>
        <v>ВЗУ</v>
      </c>
      <c r="G77" s="20" t="str">
        <f ca="1">IFERROR(__xludf.DUMMYFUNCTION("""COMPUTED_VALUE"""),"2021-2022")</f>
        <v>2021-2022</v>
      </c>
      <c r="H77" s="20" t="str">
        <f ca="1">IFERROR(__xludf.DUMMYFUNCTION("""COMPUTED_VALUE"""),"СМР")</f>
        <v>СМР</v>
      </c>
      <c r="I77" s="20"/>
      <c r="J77" s="20"/>
      <c r="K77" s="20"/>
      <c r="L77" s="20"/>
      <c r="M77" s="20"/>
      <c r="N77" s="24">
        <f ca="1">IFERROR(__xludf.DUMMYFUNCTION("""COMPUTED_VALUE"""),0)</f>
        <v>0</v>
      </c>
      <c r="O77" s="20"/>
      <c r="P77" s="20"/>
      <c r="Q77" s="20"/>
      <c r="R77" s="20"/>
      <c r="S77" s="20"/>
      <c r="T77" s="20"/>
      <c r="U77" s="24">
        <f ca="1">IFERROR(__xludf.DUMMYFUNCTION("""COMPUTED_VALUE"""),0)</f>
        <v>0</v>
      </c>
      <c r="V77" s="24">
        <f ca="1">IFERROR(__xludf.DUMMYFUNCTION("""COMPUTED_VALUE"""),0)</f>
        <v>0</v>
      </c>
      <c r="W77" s="24">
        <f ca="1">IFERROR(__xludf.DUMMYFUNCTION("""COMPUTED_VALUE"""),0)</f>
        <v>0</v>
      </c>
      <c r="X77" s="24">
        <f ca="1">IFERROR(__xludf.DUMMYFUNCTION("""COMPUTED_VALUE"""),0)</f>
        <v>0</v>
      </c>
      <c r="Y77" s="24">
        <f ca="1">IFERROR(__xludf.DUMMYFUNCTION("""COMPUTED_VALUE"""),0)</f>
        <v>0</v>
      </c>
      <c r="Z77" s="24">
        <f ca="1">IFERROR(__xludf.DUMMYFUNCTION("""COMPUTED_VALUE"""),0)</f>
        <v>0</v>
      </c>
      <c r="AA77" s="20" t="str">
        <f ca="1">IFERROR(__xludf.DUMMYFUNCTION("""COMPUTED_VALUE"""),"10 1 G552430
")</f>
        <v xml:space="preserve">10 1 G552430
</v>
      </c>
      <c r="AB77" s="20">
        <f ca="1">IFERROR(__xludf.DUMMYFUNCTION("""COMPUTED_VALUE"""),522)</f>
        <v>522</v>
      </c>
      <c r="AC77" s="20"/>
      <c r="AD77" s="20"/>
      <c r="AE77" s="20"/>
      <c r="AF77" s="24">
        <f ca="1">IFERROR(__xludf.DUMMYFUNCTION("""COMPUTED_VALUE"""),82848.01)</f>
        <v>82848.009999999995</v>
      </c>
      <c r="AG77" s="24">
        <f ca="1">IFERROR(__xludf.DUMMYFUNCTION("""COMPUTED_VALUE"""),47596.1)</f>
        <v>47596.1</v>
      </c>
      <c r="AH77" s="24">
        <f ca="1">IFERROR(__xludf.DUMMYFUNCTION("""COMPUTED_VALUE"""),15865.45)</f>
        <v>15865.45</v>
      </c>
      <c r="AI77" s="24">
        <f ca="1">IFERROR(__xludf.DUMMYFUNCTION("""COMPUTED_VALUE"""),0)</f>
        <v>0</v>
      </c>
      <c r="AJ77" s="24">
        <f ca="1">IFERROR(__xludf.DUMMYFUNCTION("""COMPUTED_VALUE"""),19386.46)</f>
        <v>19386.46</v>
      </c>
      <c r="AK77" s="24">
        <f ca="1">IFERROR(__xludf.DUMMYFUNCTION("""COMPUTED_VALUE"""),0)</f>
        <v>0</v>
      </c>
      <c r="AL77" s="24">
        <f ca="1">IFERROR(__xludf.DUMMYFUNCTION("""COMPUTED_VALUE"""),0)</f>
        <v>0</v>
      </c>
      <c r="AM77" s="20"/>
      <c r="AN77" s="20"/>
      <c r="AO77" s="20"/>
      <c r="AP77" s="20"/>
      <c r="AQ77" s="20"/>
      <c r="AR77" s="24">
        <f ca="1">IFERROR(__xludf.DUMMYFUNCTION("""COMPUTED_VALUE"""),0)</f>
        <v>0</v>
      </c>
      <c r="AS77" s="20"/>
      <c r="AT77" s="20"/>
      <c r="AU77" s="20"/>
      <c r="AV77" s="20"/>
      <c r="AW77" s="20"/>
      <c r="AX77" s="24">
        <f ca="1">IFERROR(__xludf.DUMMYFUNCTION("""COMPUTED_VALUE"""),0)</f>
        <v>0</v>
      </c>
      <c r="AY77" s="24">
        <f ca="1">IFERROR(__xludf.DUMMYFUNCTION("""COMPUTED_VALUE"""),0)</f>
        <v>0</v>
      </c>
      <c r="AZ77" s="24">
        <f ca="1">IFERROR(__xludf.DUMMYFUNCTION("""COMPUTED_VALUE"""),0)</f>
        <v>0</v>
      </c>
      <c r="BA77" s="20"/>
      <c r="BB77" s="24">
        <f ca="1">IFERROR(__xludf.DUMMYFUNCTION("""COMPUTED_VALUE"""),0)</f>
        <v>0</v>
      </c>
      <c r="BC77" s="20"/>
      <c r="BD77" s="24">
        <f ca="1">IFERROR(__xludf.DUMMYFUNCTION("""COMPUTED_VALUE"""),41424.03)</f>
        <v>41424.03</v>
      </c>
      <c r="BE77" s="24">
        <f ca="1">IFERROR(__xludf.DUMMYFUNCTION("""COMPUTED_VALUE"""),23798.1)</f>
        <v>23798.1</v>
      </c>
      <c r="BF77" s="24">
        <f ca="1">IFERROR(__xludf.DUMMYFUNCTION("""COMPUTED_VALUE"""),7932.7)</f>
        <v>7932.7</v>
      </c>
      <c r="BG77" s="20"/>
      <c r="BH77" s="24">
        <f ca="1">IFERROR(__xludf.DUMMYFUNCTION("""COMPUTED_VALUE"""),9693.23)</f>
        <v>9693.23</v>
      </c>
      <c r="BI77" s="20"/>
      <c r="BJ77" s="24">
        <f ca="1">IFERROR(__xludf.DUMMYFUNCTION("""COMPUTED_VALUE"""),41423.9799999999)</f>
        <v>41423.979999999901</v>
      </c>
      <c r="BK77" s="24">
        <f ca="1">IFERROR(__xludf.DUMMYFUNCTION("""COMPUTED_VALUE"""),23798)</f>
        <v>23798</v>
      </c>
      <c r="BL77" s="24">
        <f ca="1">IFERROR(__xludf.DUMMYFUNCTION("""COMPUTED_VALUE"""),7932.75)</f>
        <v>7932.75</v>
      </c>
      <c r="BM77" s="20"/>
      <c r="BN77" s="24">
        <f ca="1">IFERROR(__xludf.DUMMYFUNCTION("""COMPUTED_VALUE"""),9693.23)</f>
        <v>9693.23</v>
      </c>
      <c r="BO77" s="20"/>
      <c r="BP77" s="24">
        <f ca="1">IFERROR(__xludf.DUMMYFUNCTION("""COMPUTED_VALUE"""),0)</f>
        <v>0</v>
      </c>
      <c r="BQ77" s="24">
        <f ca="1">IFERROR(__xludf.DUMMYFUNCTION("""COMPUTED_VALUE"""),0)</f>
        <v>0</v>
      </c>
      <c r="BR77" s="24">
        <f ca="1">IFERROR(__xludf.DUMMYFUNCTION("""COMPUTED_VALUE"""),0)</f>
        <v>0</v>
      </c>
      <c r="BS77" s="20"/>
      <c r="BT77" s="24">
        <f ca="1">IFERROR(__xludf.DUMMYFUNCTION("""COMPUTED_VALUE"""),0)</f>
        <v>0</v>
      </c>
      <c r="BU77" s="20"/>
      <c r="BV77" s="24">
        <f ca="1">IFERROR(__xludf.DUMMYFUNCTION("""COMPUTED_VALUE"""),0)</f>
        <v>0</v>
      </c>
      <c r="BW77" s="24">
        <f ca="1">IFERROR(__xludf.DUMMYFUNCTION("""COMPUTED_VALUE"""),0)</f>
        <v>0</v>
      </c>
      <c r="BX77" s="24">
        <f ca="1">IFERROR(__xludf.DUMMYFUNCTION("""COMPUTED_VALUE"""),0)</f>
        <v>0</v>
      </c>
      <c r="BY77" s="20"/>
      <c r="BZ77" s="24">
        <f ca="1">IFERROR(__xludf.DUMMYFUNCTION("""COMPUTED_VALUE"""),0)</f>
        <v>0</v>
      </c>
      <c r="CA77" s="20"/>
      <c r="CB77" s="20"/>
      <c r="CC77" s="20"/>
      <c r="CD77" s="20"/>
      <c r="CE77" s="20"/>
      <c r="CF77" s="20"/>
      <c r="CG77" s="20"/>
      <c r="CH77" s="20"/>
      <c r="CI77" s="20"/>
      <c r="CJ77" s="20"/>
      <c r="CK77" s="20"/>
      <c r="CL77" s="20"/>
      <c r="CM77" s="20"/>
      <c r="CN77" s="20"/>
      <c r="CO77" s="20"/>
      <c r="CP77" s="20"/>
      <c r="CQ77" s="20"/>
      <c r="CR77" s="20"/>
      <c r="CS77" s="20"/>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row>
    <row r="78" spans="1:123" ht="64.5" hidden="1" customHeight="1" x14ac:dyDescent="0.2">
      <c r="A78" s="19"/>
      <c r="B78" s="20" t="str">
        <f ca="1">IFERROR(__xludf.DUMMYFUNCTION("""COMPUTED_VALUE"""),"г.о. Ленинский")</f>
        <v>г.о. Ленинский</v>
      </c>
      <c r="C7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8" s="20" t="str">
        <f ca="1">IFERROR(__xludf.DUMMYFUNCTION("""COMPUTED_VALUE"""),"МинЖКХ")</f>
        <v>МинЖКХ</v>
      </c>
      <c r="E78" s="20" t="str">
        <f ca="1">IFERROR(__xludf.DUMMYFUNCTION("""COMPUTED_VALUE"""),"Реконструкция водозаборного узла № 8 в п.Горки Ленинские городского поселения Горки Ленинские Ленинского городского округа Московской области")</f>
        <v>Реконструкция водозаборного узла № 8 в п.Горки Ленинские городского поселения Горки Ленинские Ленинского городского округа Московской области</v>
      </c>
      <c r="F78" s="22" t="str">
        <f ca="1">IFERROR(__xludf.DUMMYFUNCTION("""COMPUTED_VALUE"""),"ВЗУ")</f>
        <v>ВЗУ</v>
      </c>
      <c r="G78" s="20" t="str">
        <f ca="1">IFERROR(__xludf.DUMMYFUNCTION("""COMPUTED_VALUE"""),"2021-2022")</f>
        <v>2021-2022</v>
      </c>
      <c r="H78" s="20" t="str">
        <f ca="1">IFERROR(__xludf.DUMMYFUNCTION("""COMPUTED_VALUE"""),"СМР")</f>
        <v>СМР</v>
      </c>
      <c r="I78" s="20"/>
      <c r="J78" s="20" t="str">
        <f ca="1">IFERROR(__xludf.DUMMYFUNCTION("""COMPUTED_VALUE"""),"Запрошена конкурсная документация на СМР. Публикация планируется в декабре 2020 года.
Объект согласован Минстроем России. Технология МИТ.")</f>
        <v>Запрошена конкурсная документация на СМР. Публикация планируется в декабре 2020 года.
Объект согласован Минстроем России. Технология МИТ.</v>
      </c>
      <c r="K78" s="20"/>
      <c r="L78" s="20"/>
      <c r="M78" s="20"/>
      <c r="N78" s="24">
        <f ca="1">IFERROR(__xludf.DUMMYFUNCTION("""COMPUTED_VALUE"""),0)</f>
        <v>0</v>
      </c>
      <c r="O78" s="20"/>
      <c r="P78" s="20"/>
      <c r="Q78" s="20"/>
      <c r="R78" s="20"/>
      <c r="S78" s="20"/>
      <c r="T78" s="20"/>
      <c r="U78" s="24">
        <f ca="1">IFERROR(__xludf.DUMMYFUNCTION("""COMPUTED_VALUE"""),0)</f>
        <v>0</v>
      </c>
      <c r="V78" s="24">
        <f ca="1">IFERROR(__xludf.DUMMYFUNCTION("""COMPUTED_VALUE"""),0)</f>
        <v>0</v>
      </c>
      <c r="W78" s="24">
        <f ca="1">IFERROR(__xludf.DUMMYFUNCTION("""COMPUTED_VALUE"""),0)</f>
        <v>0</v>
      </c>
      <c r="X78" s="24">
        <f ca="1">IFERROR(__xludf.DUMMYFUNCTION("""COMPUTED_VALUE"""),0)</f>
        <v>0</v>
      </c>
      <c r="Y78" s="24">
        <f ca="1">IFERROR(__xludf.DUMMYFUNCTION("""COMPUTED_VALUE"""),0)</f>
        <v>0</v>
      </c>
      <c r="Z78" s="24">
        <f ca="1">IFERROR(__xludf.DUMMYFUNCTION("""COMPUTED_VALUE"""),0)</f>
        <v>0</v>
      </c>
      <c r="AA78" s="20" t="str">
        <f ca="1">IFERROR(__xludf.DUMMYFUNCTION("""COMPUTED_VALUE"""),"10 1 G552430
")</f>
        <v xml:space="preserve">10 1 G552430
</v>
      </c>
      <c r="AB78" s="20">
        <f ca="1">IFERROR(__xludf.DUMMYFUNCTION("""COMPUTED_VALUE"""),522)</f>
        <v>522</v>
      </c>
      <c r="AC78" s="20"/>
      <c r="AD78" s="20"/>
      <c r="AE78" s="20"/>
      <c r="AF78" s="24">
        <f ca="1">IFERROR(__xludf.DUMMYFUNCTION("""COMPUTED_VALUE"""),108546.33)</f>
        <v>108546.33</v>
      </c>
      <c r="AG78" s="24">
        <f ca="1">IFERROR(__xludf.DUMMYFUNCTION("""COMPUTED_VALUE"""),62359.8)</f>
        <v>62359.8</v>
      </c>
      <c r="AH78" s="24">
        <f ca="1">IFERROR(__xludf.DUMMYFUNCTION("""COMPUTED_VALUE"""),20786.64)</f>
        <v>20786.64</v>
      </c>
      <c r="AI78" s="24">
        <f ca="1">IFERROR(__xludf.DUMMYFUNCTION("""COMPUTED_VALUE"""),0)</f>
        <v>0</v>
      </c>
      <c r="AJ78" s="24">
        <f ca="1">IFERROR(__xludf.DUMMYFUNCTION("""COMPUTED_VALUE"""),25399.89)</f>
        <v>25399.89</v>
      </c>
      <c r="AK78" s="24">
        <f ca="1">IFERROR(__xludf.DUMMYFUNCTION("""COMPUTED_VALUE"""),0)</f>
        <v>0</v>
      </c>
      <c r="AL78" s="24">
        <f ca="1">IFERROR(__xludf.DUMMYFUNCTION("""COMPUTED_VALUE"""),0)</f>
        <v>0</v>
      </c>
      <c r="AM78" s="20"/>
      <c r="AN78" s="20"/>
      <c r="AO78" s="20"/>
      <c r="AP78" s="20"/>
      <c r="AQ78" s="20"/>
      <c r="AR78" s="24">
        <f ca="1">IFERROR(__xludf.DUMMYFUNCTION("""COMPUTED_VALUE"""),0)</f>
        <v>0</v>
      </c>
      <c r="AS78" s="20"/>
      <c r="AT78" s="20"/>
      <c r="AU78" s="20"/>
      <c r="AV78" s="20"/>
      <c r="AW78" s="20"/>
      <c r="AX78" s="24">
        <f ca="1">IFERROR(__xludf.DUMMYFUNCTION("""COMPUTED_VALUE"""),0)</f>
        <v>0</v>
      </c>
      <c r="AY78" s="24">
        <f ca="1">IFERROR(__xludf.DUMMYFUNCTION("""COMPUTED_VALUE"""),0)</f>
        <v>0</v>
      </c>
      <c r="AZ78" s="24">
        <f ca="1">IFERROR(__xludf.DUMMYFUNCTION("""COMPUTED_VALUE"""),0)</f>
        <v>0</v>
      </c>
      <c r="BA78" s="20"/>
      <c r="BB78" s="24">
        <f ca="1">IFERROR(__xludf.DUMMYFUNCTION("""COMPUTED_VALUE"""),0)</f>
        <v>0</v>
      </c>
      <c r="BC78" s="20"/>
      <c r="BD78" s="24">
        <f ca="1">IFERROR(__xludf.DUMMYFUNCTION("""COMPUTED_VALUE"""),78756.34)</f>
        <v>78756.34</v>
      </c>
      <c r="BE78" s="24">
        <f ca="1">IFERROR(__xludf.DUMMYFUNCTION("""COMPUTED_VALUE"""),45245.5)</f>
        <v>45245.5</v>
      </c>
      <c r="BF78" s="24">
        <f ca="1">IFERROR(__xludf.DUMMYFUNCTION("""COMPUTED_VALUE"""),15081.84)</f>
        <v>15081.84</v>
      </c>
      <c r="BG78" s="20"/>
      <c r="BH78" s="24">
        <f ca="1">IFERROR(__xludf.DUMMYFUNCTION("""COMPUTED_VALUE"""),18429)</f>
        <v>18429</v>
      </c>
      <c r="BI78" s="20"/>
      <c r="BJ78" s="24">
        <f ca="1">IFERROR(__xludf.DUMMYFUNCTION("""COMPUTED_VALUE"""),29789.9899999999)</f>
        <v>29789.9899999999</v>
      </c>
      <c r="BK78" s="24">
        <f ca="1">IFERROR(__xludf.DUMMYFUNCTION("""COMPUTED_VALUE"""),17114.3)</f>
        <v>17114.3</v>
      </c>
      <c r="BL78" s="24">
        <f ca="1">IFERROR(__xludf.DUMMYFUNCTION("""COMPUTED_VALUE"""),5704.8)</f>
        <v>5704.8</v>
      </c>
      <c r="BM78" s="20"/>
      <c r="BN78" s="24">
        <f ca="1">IFERROR(__xludf.DUMMYFUNCTION("""COMPUTED_VALUE"""),6970.89)</f>
        <v>6970.89</v>
      </c>
      <c r="BO78" s="20"/>
      <c r="BP78" s="24">
        <f ca="1">IFERROR(__xludf.DUMMYFUNCTION("""COMPUTED_VALUE"""),0)</f>
        <v>0</v>
      </c>
      <c r="BQ78" s="24">
        <f ca="1">IFERROR(__xludf.DUMMYFUNCTION("""COMPUTED_VALUE"""),0)</f>
        <v>0</v>
      </c>
      <c r="BR78" s="24">
        <f ca="1">IFERROR(__xludf.DUMMYFUNCTION("""COMPUTED_VALUE"""),0)</f>
        <v>0</v>
      </c>
      <c r="BS78" s="20"/>
      <c r="BT78" s="24">
        <f ca="1">IFERROR(__xludf.DUMMYFUNCTION("""COMPUTED_VALUE"""),0)</f>
        <v>0</v>
      </c>
      <c r="BU78" s="20"/>
      <c r="BV78" s="24">
        <f ca="1">IFERROR(__xludf.DUMMYFUNCTION("""COMPUTED_VALUE"""),0)</f>
        <v>0</v>
      </c>
      <c r="BW78" s="24">
        <f ca="1">IFERROR(__xludf.DUMMYFUNCTION("""COMPUTED_VALUE"""),0)</f>
        <v>0</v>
      </c>
      <c r="BX78" s="24">
        <f ca="1">IFERROR(__xludf.DUMMYFUNCTION("""COMPUTED_VALUE"""),0)</f>
        <v>0</v>
      </c>
      <c r="BY78" s="20"/>
      <c r="BZ78" s="24">
        <f ca="1">IFERROR(__xludf.DUMMYFUNCTION("""COMPUTED_VALUE"""),0)</f>
        <v>0</v>
      </c>
      <c r="CA78" s="20"/>
      <c r="CB78" s="20"/>
      <c r="CC78" s="20"/>
      <c r="CD78" s="20"/>
      <c r="CE78" s="20"/>
      <c r="CF78" s="20"/>
      <c r="CG78" s="20"/>
      <c r="CH78" s="20"/>
      <c r="CI78" s="20"/>
      <c r="CJ78" s="20"/>
      <c r="CK78" s="20"/>
      <c r="CL78" s="20"/>
      <c r="CM78" s="20"/>
      <c r="CN78" s="20"/>
      <c r="CO78" s="20"/>
      <c r="CP78" s="20"/>
      <c r="CQ78" s="20"/>
      <c r="CR78" s="20"/>
      <c r="CS78" s="20"/>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row>
    <row r="79" spans="1:123" ht="64.5" hidden="1" customHeight="1" x14ac:dyDescent="0.2">
      <c r="A79" s="19"/>
      <c r="B79" s="20" t="str">
        <f ca="1">IFERROR(__xludf.DUMMYFUNCTION("""COMPUTED_VALUE"""),"г.о. Мытищи")</f>
        <v>г.о. Мытищи</v>
      </c>
      <c r="C7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9" s="20" t="str">
        <f ca="1">IFERROR(__xludf.DUMMYFUNCTION("""COMPUTED_VALUE"""),"МинЖКХ")</f>
        <v>МинЖКХ</v>
      </c>
      <c r="E79" s="20" t="str">
        <f ca="1">IFERROR(__xludf.DUMMYFUNCTION("""COMPUTED_VALUE"""),"Реконструкция ВЗУ Пироговкий г.о. Мытищи")</f>
        <v>Реконструкция ВЗУ Пироговкий г.о. Мытищи</v>
      </c>
      <c r="F79" s="22" t="str">
        <f ca="1">IFERROR(__xludf.DUMMYFUNCTION("""COMPUTED_VALUE"""),"ВЗУ")</f>
        <v>ВЗУ</v>
      </c>
      <c r="G79" s="20" t="str">
        <f ca="1">IFERROR(__xludf.DUMMYFUNCTION("""COMPUTED_VALUE"""),"2023-2024")</f>
        <v>2023-2024</v>
      </c>
      <c r="H79" s="20" t="str">
        <f ca="1">IFERROR(__xludf.DUMMYFUNCTION("""COMPUTED_VALUE"""),"СМР")</f>
        <v>СМР</v>
      </c>
      <c r="I79" s="20"/>
      <c r="J79" s="20"/>
      <c r="K79" s="20"/>
      <c r="L79" s="20"/>
      <c r="M79" s="20"/>
      <c r="N79" s="24">
        <f ca="1">IFERROR(__xludf.DUMMYFUNCTION("""COMPUTED_VALUE"""),0)</f>
        <v>0</v>
      </c>
      <c r="O79" s="20"/>
      <c r="P79" s="20"/>
      <c r="Q79" s="20"/>
      <c r="R79" s="20"/>
      <c r="S79" s="20"/>
      <c r="T79" s="20"/>
      <c r="U79" s="24">
        <f ca="1">IFERROR(__xludf.DUMMYFUNCTION("""COMPUTED_VALUE"""),0)</f>
        <v>0</v>
      </c>
      <c r="V79" s="24">
        <f ca="1">IFERROR(__xludf.DUMMYFUNCTION("""COMPUTED_VALUE"""),0)</f>
        <v>0</v>
      </c>
      <c r="W79" s="24">
        <f ca="1">IFERROR(__xludf.DUMMYFUNCTION("""COMPUTED_VALUE"""),0)</f>
        <v>0</v>
      </c>
      <c r="X79" s="24">
        <f ca="1">IFERROR(__xludf.DUMMYFUNCTION("""COMPUTED_VALUE"""),0)</f>
        <v>0</v>
      </c>
      <c r="Y79" s="24">
        <f ca="1">IFERROR(__xludf.DUMMYFUNCTION("""COMPUTED_VALUE"""),0)</f>
        <v>0</v>
      </c>
      <c r="Z79" s="24">
        <f ca="1">IFERROR(__xludf.DUMMYFUNCTION("""COMPUTED_VALUE"""),0)</f>
        <v>0</v>
      </c>
      <c r="AA79" s="20" t="str">
        <f ca="1">IFERROR(__xludf.DUMMYFUNCTION("""COMPUTED_VALUE"""),"10 1 G552430
")</f>
        <v xml:space="preserve">10 1 G552430
</v>
      </c>
      <c r="AB79" s="20">
        <f ca="1">IFERROR(__xludf.DUMMYFUNCTION("""COMPUTED_VALUE"""),522)</f>
        <v>522</v>
      </c>
      <c r="AC79" s="20"/>
      <c r="AD79" s="20"/>
      <c r="AE79" s="20"/>
      <c r="AF79" s="24">
        <f ca="1">IFERROR(__xludf.DUMMYFUNCTION("""COMPUTED_VALUE"""),237180.51)</f>
        <v>237180.51</v>
      </c>
      <c r="AG79" s="24">
        <f ca="1">IFERROR(__xludf.DUMMYFUNCTION("""COMPUTED_VALUE"""),115981.269999999)</f>
        <v>115981.269999999</v>
      </c>
      <c r="AH79" s="24">
        <f ca="1">IFERROR(__xludf.DUMMYFUNCTION("""COMPUTED_VALUE"""),38660.42)</f>
        <v>38660.42</v>
      </c>
      <c r="AI79" s="24">
        <f ca="1">IFERROR(__xludf.DUMMYFUNCTION("""COMPUTED_VALUE"""),0)</f>
        <v>0</v>
      </c>
      <c r="AJ79" s="24">
        <f ca="1">IFERROR(__xludf.DUMMYFUNCTION("""COMPUTED_VALUE"""),82538.82)</f>
        <v>82538.820000000007</v>
      </c>
      <c r="AK79" s="24">
        <f ca="1">IFERROR(__xludf.DUMMYFUNCTION("""COMPUTED_VALUE"""),0)</f>
        <v>0</v>
      </c>
      <c r="AL79" s="24">
        <f ca="1">IFERROR(__xludf.DUMMYFUNCTION("""COMPUTED_VALUE"""),0)</f>
        <v>0</v>
      </c>
      <c r="AM79" s="20"/>
      <c r="AN79" s="20"/>
      <c r="AO79" s="20"/>
      <c r="AP79" s="20"/>
      <c r="AQ79" s="20"/>
      <c r="AR79" s="24">
        <f ca="1">IFERROR(__xludf.DUMMYFUNCTION("""COMPUTED_VALUE"""),0)</f>
        <v>0</v>
      </c>
      <c r="AS79" s="20"/>
      <c r="AT79" s="20"/>
      <c r="AU79" s="20"/>
      <c r="AV79" s="20"/>
      <c r="AW79" s="20"/>
      <c r="AX79" s="24">
        <f ca="1">IFERROR(__xludf.DUMMYFUNCTION("""COMPUTED_VALUE"""),0)</f>
        <v>0</v>
      </c>
      <c r="AY79" s="24">
        <f ca="1">IFERROR(__xludf.DUMMYFUNCTION("""COMPUTED_VALUE"""),0)</f>
        <v>0</v>
      </c>
      <c r="AZ79" s="24">
        <f ca="1">IFERROR(__xludf.DUMMYFUNCTION("""COMPUTED_VALUE"""),0)</f>
        <v>0</v>
      </c>
      <c r="BA79" s="20"/>
      <c r="BB79" s="24">
        <f ca="1">IFERROR(__xludf.DUMMYFUNCTION("""COMPUTED_VALUE"""),0)</f>
        <v>0</v>
      </c>
      <c r="BC79" s="20"/>
      <c r="BD79" s="24">
        <f ca="1">IFERROR(__xludf.DUMMYFUNCTION("""COMPUTED_VALUE"""),0)</f>
        <v>0</v>
      </c>
      <c r="BE79" s="24">
        <f ca="1">IFERROR(__xludf.DUMMYFUNCTION("""COMPUTED_VALUE"""),0)</f>
        <v>0</v>
      </c>
      <c r="BF79" s="24">
        <f ca="1">IFERROR(__xludf.DUMMYFUNCTION("""COMPUTED_VALUE"""),0)</f>
        <v>0</v>
      </c>
      <c r="BG79" s="20"/>
      <c r="BH79" s="24">
        <f ca="1">IFERROR(__xludf.DUMMYFUNCTION("""COMPUTED_VALUE"""),0)</f>
        <v>0</v>
      </c>
      <c r="BI79" s="20"/>
      <c r="BJ79" s="24">
        <f ca="1">IFERROR(__xludf.DUMMYFUNCTION("""COMPUTED_VALUE"""),0)</f>
        <v>0</v>
      </c>
      <c r="BK79" s="24">
        <f ca="1">IFERROR(__xludf.DUMMYFUNCTION("""COMPUTED_VALUE"""),0)</f>
        <v>0</v>
      </c>
      <c r="BL79" s="24">
        <f ca="1">IFERROR(__xludf.DUMMYFUNCTION("""COMPUTED_VALUE"""),0)</f>
        <v>0</v>
      </c>
      <c r="BM79" s="20"/>
      <c r="BN79" s="24">
        <f ca="1">IFERROR(__xludf.DUMMYFUNCTION("""COMPUTED_VALUE"""),0)</f>
        <v>0</v>
      </c>
      <c r="BO79" s="20"/>
      <c r="BP79" s="24">
        <f ca="1">IFERROR(__xludf.DUMMYFUNCTION("""COMPUTED_VALUE"""),110794.01)</f>
        <v>110794.01</v>
      </c>
      <c r="BQ79" s="24">
        <f ca="1">IFERROR(__xludf.DUMMYFUNCTION("""COMPUTED_VALUE"""),54178.27)</f>
        <v>54178.27</v>
      </c>
      <c r="BR79" s="24">
        <f ca="1">IFERROR(__xludf.DUMMYFUNCTION("""COMPUTED_VALUE"""),18059.42)</f>
        <v>18059.419999999998</v>
      </c>
      <c r="BS79" s="20"/>
      <c r="BT79" s="24">
        <f ca="1">IFERROR(__xludf.DUMMYFUNCTION("""COMPUTED_VALUE"""),38556.32)</f>
        <v>38556.32</v>
      </c>
      <c r="BU79" s="20"/>
      <c r="BV79" s="24">
        <f ca="1">IFERROR(__xludf.DUMMYFUNCTION("""COMPUTED_VALUE"""),126386.5)</f>
        <v>126386.5</v>
      </c>
      <c r="BW79" s="24">
        <f ca="1">IFERROR(__xludf.DUMMYFUNCTION("""COMPUTED_VALUE"""),61803)</f>
        <v>61803</v>
      </c>
      <c r="BX79" s="24">
        <f ca="1">IFERROR(__xludf.DUMMYFUNCTION("""COMPUTED_VALUE"""),20601)</f>
        <v>20601</v>
      </c>
      <c r="BY79" s="20"/>
      <c r="BZ79" s="24">
        <f ca="1">IFERROR(__xludf.DUMMYFUNCTION("""COMPUTED_VALUE"""),43982.5)</f>
        <v>43982.5</v>
      </c>
      <c r="CA79" s="20"/>
      <c r="CB79" s="20"/>
      <c r="CC79" s="20"/>
      <c r="CD79" s="20"/>
      <c r="CE79" s="20"/>
      <c r="CF79" s="20"/>
      <c r="CG79" s="20"/>
      <c r="CH79" s="20"/>
      <c r="CI79" s="20"/>
      <c r="CJ79" s="20"/>
      <c r="CK79" s="20"/>
      <c r="CL79" s="20"/>
      <c r="CM79" s="20"/>
      <c r="CN79" s="20"/>
      <c r="CO79" s="20"/>
      <c r="CP79" s="20"/>
      <c r="CQ79" s="20"/>
      <c r="CR79" s="20"/>
      <c r="CS79" s="20"/>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row>
    <row r="80" spans="1:123" ht="64.5" hidden="1" customHeight="1" x14ac:dyDescent="0.2">
      <c r="A80" s="19"/>
      <c r="B80" s="20" t="str">
        <f ca="1">IFERROR(__xludf.DUMMYFUNCTION("""COMPUTED_VALUE"""),"г.о. Дзержинский")</f>
        <v>г.о. Дзержинский</v>
      </c>
      <c r="C8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0" s="20" t="str">
        <f ca="1">IFERROR(__xludf.DUMMYFUNCTION("""COMPUTED_VALUE"""),"МинЖКХ")</f>
        <v>МинЖКХ</v>
      </c>
      <c r="E80" s="20" t="str">
        <f ca="1">IFERROR(__xludf.DUMMYFUNCTION("""COMPUTED_VALUE"""),"Реконструкция ВЗУ № 1 г.о.Дзержинский с переводом в станцию второго подъема производительностью 10 тыс. м3/сут.")</f>
        <v>Реконструкция ВЗУ № 1 г.о.Дзержинский с переводом в станцию второго подъема производительностью 10 тыс. м3/сут.</v>
      </c>
      <c r="F80" s="22" t="str">
        <f ca="1">IFERROR(__xludf.DUMMYFUNCTION("""COMPUTED_VALUE"""),"ВЗУ")</f>
        <v>ВЗУ</v>
      </c>
      <c r="G80" s="20">
        <f ca="1">IFERROR(__xludf.DUMMYFUNCTION("""COMPUTED_VALUE"""),2021)</f>
        <v>2021</v>
      </c>
      <c r="H80" s="20" t="str">
        <f ca="1">IFERROR(__xludf.DUMMYFUNCTION("""COMPUTED_VALUE"""),"СМР")</f>
        <v>СМР</v>
      </c>
      <c r="I80" s="20"/>
      <c r="J80" s="20" t="str">
        <f ca="1">IFERROR(__xludf.DUMMYFUNCTION("""COMPUTED_VALUE"""),"Строительство сетей водоснабжения от точки А до ВЗУ-1. Закупка опубликована повторно 12.11.2020. Плановая дата заключение контракта 07.12.2020. ")</f>
        <v xml:space="preserve">Строительство сетей водоснабжения от точки А до ВЗУ-1. Закупка опубликована повторно 12.11.2020. Плановая дата заключение контракта 07.12.2020. </v>
      </c>
      <c r="K80" s="20"/>
      <c r="L80" s="20"/>
      <c r="M80" s="20"/>
      <c r="N80" s="24">
        <f ca="1">IFERROR(__xludf.DUMMYFUNCTION("""COMPUTED_VALUE"""),0)</f>
        <v>0</v>
      </c>
      <c r="O80" s="20"/>
      <c r="P80" s="20"/>
      <c r="Q80" s="20"/>
      <c r="R80" s="20"/>
      <c r="S80" s="20"/>
      <c r="T80" s="20"/>
      <c r="U80" s="24">
        <f ca="1">IFERROR(__xludf.DUMMYFUNCTION("""COMPUTED_VALUE"""),0)</f>
        <v>0</v>
      </c>
      <c r="V80" s="24">
        <f ca="1">IFERROR(__xludf.DUMMYFUNCTION("""COMPUTED_VALUE"""),0)</f>
        <v>0</v>
      </c>
      <c r="W80" s="24">
        <f ca="1">IFERROR(__xludf.DUMMYFUNCTION("""COMPUTED_VALUE"""),0)</f>
        <v>0</v>
      </c>
      <c r="X80" s="24">
        <f ca="1">IFERROR(__xludf.DUMMYFUNCTION("""COMPUTED_VALUE"""),0)</f>
        <v>0</v>
      </c>
      <c r="Y80" s="24">
        <f ca="1">IFERROR(__xludf.DUMMYFUNCTION("""COMPUTED_VALUE"""),0)</f>
        <v>0</v>
      </c>
      <c r="Z80" s="24">
        <f ca="1">IFERROR(__xludf.DUMMYFUNCTION("""COMPUTED_VALUE"""),0)</f>
        <v>0</v>
      </c>
      <c r="AA80" s="20" t="str">
        <f ca="1">IFERROR(__xludf.DUMMYFUNCTION("""COMPUTED_VALUE"""),"10 1 G552430
")</f>
        <v xml:space="preserve">10 1 G552430
</v>
      </c>
      <c r="AB80" s="20">
        <f ca="1">IFERROR(__xludf.DUMMYFUNCTION("""COMPUTED_VALUE"""),522)</f>
        <v>522</v>
      </c>
      <c r="AC80" s="20"/>
      <c r="AD80" s="20"/>
      <c r="AE80" s="20"/>
      <c r="AF80" s="24">
        <f ca="1">IFERROR(__xludf.DUMMYFUNCTION("""COMPUTED_VALUE"""),57698.95)</f>
        <v>57698.95</v>
      </c>
      <c r="AG80" s="24">
        <f ca="1">IFERROR(__xludf.DUMMYFUNCTION("""COMPUTED_VALUE"""),35355.03)</f>
        <v>35355.03</v>
      </c>
      <c r="AH80" s="24">
        <f ca="1">IFERROR(__xludf.DUMMYFUNCTION("""COMPUTED_VALUE"""),11785.01)</f>
        <v>11785.01</v>
      </c>
      <c r="AI80" s="24">
        <f ca="1">IFERROR(__xludf.DUMMYFUNCTION("""COMPUTED_VALUE"""),0)</f>
        <v>0</v>
      </c>
      <c r="AJ80" s="24">
        <f ca="1">IFERROR(__xludf.DUMMYFUNCTION("""COMPUTED_VALUE"""),10558.91)</f>
        <v>10558.91</v>
      </c>
      <c r="AK80" s="24">
        <f ca="1">IFERROR(__xludf.DUMMYFUNCTION("""COMPUTED_VALUE"""),0)</f>
        <v>0</v>
      </c>
      <c r="AL80" s="24">
        <f ca="1">IFERROR(__xludf.DUMMYFUNCTION("""COMPUTED_VALUE"""),0)</f>
        <v>0</v>
      </c>
      <c r="AM80" s="20"/>
      <c r="AN80" s="20"/>
      <c r="AO80" s="20"/>
      <c r="AP80" s="20"/>
      <c r="AQ80" s="20"/>
      <c r="AR80" s="24">
        <f ca="1">IFERROR(__xludf.DUMMYFUNCTION("""COMPUTED_VALUE"""),0)</f>
        <v>0</v>
      </c>
      <c r="AS80" s="20"/>
      <c r="AT80" s="20"/>
      <c r="AU80" s="20"/>
      <c r="AV80" s="20"/>
      <c r="AW80" s="20"/>
      <c r="AX80" s="24">
        <f ca="1">IFERROR(__xludf.DUMMYFUNCTION("""COMPUTED_VALUE"""),0)</f>
        <v>0</v>
      </c>
      <c r="AY80" s="24">
        <f ca="1">IFERROR(__xludf.DUMMYFUNCTION("""COMPUTED_VALUE"""),0)</f>
        <v>0</v>
      </c>
      <c r="AZ80" s="24">
        <f ca="1">IFERROR(__xludf.DUMMYFUNCTION("""COMPUTED_VALUE"""),0)</f>
        <v>0</v>
      </c>
      <c r="BA80" s="20"/>
      <c r="BB80" s="24">
        <f ca="1">IFERROR(__xludf.DUMMYFUNCTION("""COMPUTED_VALUE"""),0)</f>
        <v>0</v>
      </c>
      <c r="BC80" s="20"/>
      <c r="BD80" s="24">
        <f ca="1">IFERROR(__xludf.DUMMYFUNCTION("""COMPUTED_VALUE"""),57698.95)</f>
        <v>57698.95</v>
      </c>
      <c r="BE80" s="24">
        <f ca="1">IFERROR(__xludf.DUMMYFUNCTION("""COMPUTED_VALUE"""),35355.03)</f>
        <v>35355.03</v>
      </c>
      <c r="BF80" s="24">
        <f ca="1">IFERROR(__xludf.DUMMYFUNCTION("""COMPUTED_VALUE"""),11785.01)</f>
        <v>11785.01</v>
      </c>
      <c r="BG80" s="20"/>
      <c r="BH80" s="24">
        <f ca="1">IFERROR(__xludf.DUMMYFUNCTION("""COMPUTED_VALUE"""),10558.91)</f>
        <v>10558.91</v>
      </c>
      <c r="BI80" s="20"/>
      <c r="BJ80" s="24">
        <f ca="1">IFERROR(__xludf.DUMMYFUNCTION("""COMPUTED_VALUE"""),0)</f>
        <v>0</v>
      </c>
      <c r="BK80" s="24">
        <f ca="1">IFERROR(__xludf.DUMMYFUNCTION("""COMPUTED_VALUE"""),0)</f>
        <v>0</v>
      </c>
      <c r="BL80" s="24">
        <f ca="1">IFERROR(__xludf.DUMMYFUNCTION("""COMPUTED_VALUE"""),0)</f>
        <v>0</v>
      </c>
      <c r="BM80" s="20"/>
      <c r="BN80" s="24">
        <f ca="1">IFERROR(__xludf.DUMMYFUNCTION("""COMPUTED_VALUE"""),0)</f>
        <v>0</v>
      </c>
      <c r="BO80" s="20"/>
      <c r="BP80" s="24">
        <f ca="1">IFERROR(__xludf.DUMMYFUNCTION("""COMPUTED_VALUE"""),0)</f>
        <v>0</v>
      </c>
      <c r="BQ80" s="24">
        <f ca="1">IFERROR(__xludf.DUMMYFUNCTION("""COMPUTED_VALUE"""),0)</f>
        <v>0</v>
      </c>
      <c r="BR80" s="24">
        <f ca="1">IFERROR(__xludf.DUMMYFUNCTION("""COMPUTED_VALUE"""),0)</f>
        <v>0</v>
      </c>
      <c r="BS80" s="20"/>
      <c r="BT80" s="24">
        <f ca="1">IFERROR(__xludf.DUMMYFUNCTION("""COMPUTED_VALUE"""),0)</f>
        <v>0</v>
      </c>
      <c r="BU80" s="20"/>
      <c r="BV80" s="24">
        <f ca="1">IFERROR(__xludf.DUMMYFUNCTION("""COMPUTED_VALUE"""),0)</f>
        <v>0</v>
      </c>
      <c r="BW80" s="24">
        <f ca="1">IFERROR(__xludf.DUMMYFUNCTION("""COMPUTED_VALUE"""),0)</f>
        <v>0</v>
      </c>
      <c r="BX80" s="24">
        <f ca="1">IFERROR(__xludf.DUMMYFUNCTION("""COMPUTED_VALUE"""),0)</f>
        <v>0</v>
      </c>
      <c r="BY80" s="20"/>
      <c r="BZ80" s="24">
        <f ca="1">IFERROR(__xludf.DUMMYFUNCTION("""COMPUTED_VALUE"""),0)</f>
        <v>0</v>
      </c>
      <c r="CA80" s="20"/>
      <c r="CB80" s="20"/>
      <c r="CC80" s="20"/>
      <c r="CD80" s="20"/>
      <c r="CE80" s="20"/>
      <c r="CF80" s="20"/>
      <c r="CG80" s="20"/>
      <c r="CH80" s="20"/>
      <c r="CI80" s="20"/>
      <c r="CJ80" s="26">
        <f ca="1">IFERROR(__xludf.DUMMYFUNCTION("""COMPUTED_VALUE"""),43868)</f>
        <v>43868</v>
      </c>
      <c r="CK80" s="20"/>
      <c r="CL80" s="20"/>
      <c r="CM80" s="20"/>
      <c r="CN80" s="20"/>
      <c r="CO80" s="20"/>
      <c r="CP80" s="20"/>
      <c r="CQ80" s="20"/>
      <c r="CR80" s="20"/>
      <c r="CS80" s="20"/>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row>
    <row r="81" spans="1:123" ht="64.5" hidden="1" customHeight="1" x14ac:dyDescent="0.2">
      <c r="A81" s="19"/>
      <c r="B81" s="20" t="str">
        <f ca="1">IFERROR(__xludf.DUMMYFUNCTION("""COMPUTED_VALUE"""),"г.о. Дзержинский")</f>
        <v>г.о. Дзержинский</v>
      </c>
      <c r="C8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1" s="20" t="str">
        <f ca="1">IFERROR(__xludf.DUMMYFUNCTION("""COMPUTED_VALUE"""),"МинЖКХ")</f>
        <v>МинЖКХ</v>
      </c>
      <c r="E81" s="20" t="str">
        <f ca="1">IFERROR(__xludf.DUMMYFUNCTION("""COMPUTED_VALUE""")," Реконструкция ВЗУ № 3 г.о.Дзержинский с переводом в станцию второго подъема производительностью 10 тыс. м3/сут")</f>
        <v xml:space="preserve"> Реконструкция ВЗУ № 3 г.о.Дзержинский с переводом в станцию второго подъема производительностью 10 тыс. м3/сут</v>
      </c>
      <c r="F81" s="22" t="str">
        <f ca="1">IFERROR(__xludf.DUMMYFUNCTION("""COMPUTED_VALUE"""),"ВЗУ")</f>
        <v>ВЗУ</v>
      </c>
      <c r="G81" s="20">
        <f ca="1">IFERROR(__xludf.DUMMYFUNCTION("""COMPUTED_VALUE"""),2021)</f>
        <v>2021</v>
      </c>
      <c r="H81" s="20" t="str">
        <f ca="1">IFERROR(__xludf.DUMMYFUNCTION("""COMPUTED_VALUE"""),"СМР")</f>
        <v>СМР</v>
      </c>
      <c r="I81" s="20">
        <f ca="1">IFERROR(__xludf.DUMMYFUNCTION("""COMPUTED_VALUE"""),2)</f>
        <v>2</v>
      </c>
      <c r="J81" s="20" t="str">
        <f ca="1">IFERROR(__xludf.DUMMYFUNCTION("""COMPUTED_VALUE"""),"Строительство сетей водоснабжения от точки А до ВЗУ-3. Контракт заключен от 02.11.2020. Срок выполнения работ согласно условиям контракта - 30.03.2021. Земельный ордер получен. Ведется мобилизация.")</f>
        <v>Строительство сетей водоснабжения от точки А до ВЗУ-3. Контракт заключен от 02.11.2020. Срок выполнения работ согласно условиям контракта - 30.03.2021. Земельный ордер получен. Ведется мобилизация.</v>
      </c>
      <c r="K81" s="20"/>
      <c r="L81" s="20"/>
      <c r="M81" s="20"/>
      <c r="N81" s="24">
        <f ca="1">IFERROR(__xludf.DUMMYFUNCTION("""COMPUTED_VALUE"""),0)</f>
        <v>0</v>
      </c>
      <c r="O81" s="20"/>
      <c r="P81" s="20"/>
      <c r="Q81" s="20"/>
      <c r="R81" s="20"/>
      <c r="S81" s="20"/>
      <c r="T81" s="20"/>
      <c r="U81" s="24">
        <f ca="1">IFERROR(__xludf.DUMMYFUNCTION("""COMPUTED_VALUE"""),0)</f>
        <v>0</v>
      </c>
      <c r="V81" s="24">
        <f ca="1">IFERROR(__xludf.DUMMYFUNCTION("""COMPUTED_VALUE"""),0)</f>
        <v>0</v>
      </c>
      <c r="W81" s="24">
        <f ca="1">IFERROR(__xludf.DUMMYFUNCTION("""COMPUTED_VALUE"""),0)</f>
        <v>0</v>
      </c>
      <c r="X81" s="24">
        <f ca="1">IFERROR(__xludf.DUMMYFUNCTION("""COMPUTED_VALUE"""),0)</f>
        <v>0</v>
      </c>
      <c r="Y81" s="24">
        <f ca="1">IFERROR(__xludf.DUMMYFUNCTION("""COMPUTED_VALUE"""),0)</f>
        <v>0</v>
      </c>
      <c r="Z81" s="24">
        <f ca="1">IFERROR(__xludf.DUMMYFUNCTION("""COMPUTED_VALUE"""),0)</f>
        <v>0</v>
      </c>
      <c r="AA81" s="20" t="str">
        <f ca="1">IFERROR(__xludf.DUMMYFUNCTION("""COMPUTED_VALUE"""),"10 1 G552430
")</f>
        <v xml:space="preserve">10 1 G552430
</v>
      </c>
      <c r="AB81" s="20">
        <f ca="1">IFERROR(__xludf.DUMMYFUNCTION("""COMPUTED_VALUE"""),522)</f>
        <v>522</v>
      </c>
      <c r="AC81" s="20"/>
      <c r="AD81" s="20"/>
      <c r="AE81" s="20"/>
      <c r="AF81" s="24">
        <f ca="1">IFERROR(__xludf.DUMMYFUNCTION("""COMPUTED_VALUE"""),44923.3499999999)</f>
        <v>44923.349999999897</v>
      </c>
      <c r="AG81" s="24">
        <f ca="1">IFERROR(__xludf.DUMMYFUNCTION("""COMPUTED_VALUE"""),27526.78)</f>
        <v>27526.78</v>
      </c>
      <c r="AH81" s="24">
        <f ca="1">IFERROR(__xludf.DUMMYFUNCTION("""COMPUTED_VALUE"""),9175.59)</f>
        <v>9175.59</v>
      </c>
      <c r="AI81" s="24">
        <f ca="1">IFERROR(__xludf.DUMMYFUNCTION("""COMPUTED_VALUE"""),0)</f>
        <v>0</v>
      </c>
      <c r="AJ81" s="24">
        <f ca="1">IFERROR(__xludf.DUMMYFUNCTION("""COMPUTED_VALUE"""),8220.98)</f>
        <v>8220.98</v>
      </c>
      <c r="AK81" s="24">
        <f ca="1">IFERROR(__xludf.DUMMYFUNCTION("""COMPUTED_VALUE"""),0)</f>
        <v>0</v>
      </c>
      <c r="AL81" s="24">
        <f ca="1">IFERROR(__xludf.DUMMYFUNCTION("""COMPUTED_VALUE"""),0)</f>
        <v>0</v>
      </c>
      <c r="AM81" s="20"/>
      <c r="AN81" s="20"/>
      <c r="AO81" s="20"/>
      <c r="AP81" s="20"/>
      <c r="AQ81" s="20"/>
      <c r="AR81" s="24">
        <f ca="1">IFERROR(__xludf.DUMMYFUNCTION("""COMPUTED_VALUE"""),0)</f>
        <v>0</v>
      </c>
      <c r="AS81" s="20"/>
      <c r="AT81" s="20"/>
      <c r="AU81" s="20"/>
      <c r="AV81" s="20"/>
      <c r="AW81" s="20"/>
      <c r="AX81" s="24">
        <f ca="1">IFERROR(__xludf.DUMMYFUNCTION("""COMPUTED_VALUE"""),0)</f>
        <v>0</v>
      </c>
      <c r="AY81" s="24">
        <f ca="1">IFERROR(__xludf.DUMMYFUNCTION("""COMPUTED_VALUE"""),0)</f>
        <v>0</v>
      </c>
      <c r="AZ81" s="24">
        <f ca="1">IFERROR(__xludf.DUMMYFUNCTION("""COMPUTED_VALUE"""),0)</f>
        <v>0</v>
      </c>
      <c r="BA81" s="20"/>
      <c r="BB81" s="24">
        <f ca="1">IFERROR(__xludf.DUMMYFUNCTION("""COMPUTED_VALUE"""),0)</f>
        <v>0</v>
      </c>
      <c r="BC81" s="20"/>
      <c r="BD81" s="24">
        <f ca="1">IFERROR(__xludf.DUMMYFUNCTION("""COMPUTED_VALUE"""),44923.3499999999)</f>
        <v>44923.349999999897</v>
      </c>
      <c r="BE81" s="24">
        <f ca="1">IFERROR(__xludf.DUMMYFUNCTION("""COMPUTED_VALUE"""),27526.78)</f>
        <v>27526.78</v>
      </c>
      <c r="BF81" s="24">
        <f ca="1">IFERROR(__xludf.DUMMYFUNCTION("""COMPUTED_VALUE"""),9175.59)</f>
        <v>9175.59</v>
      </c>
      <c r="BG81" s="20"/>
      <c r="BH81" s="24">
        <f ca="1">IFERROR(__xludf.DUMMYFUNCTION("""COMPUTED_VALUE"""),8220.98)</f>
        <v>8220.98</v>
      </c>
      <c r="BI81" s="20"/>
      <c r="BJ81" s="24">
        <f ca="1">IFERROR(__xludf.DUMMYFUNCTION("""COMPUTED_VALUE"""),0)</f>
        <v>0</v>
      </c>
      <c r="BK81" s="24">
        <f ca="1">IFERROR(__xludf.DUMMYFUNCTION("""COMPUTED_VALUE"""),0)</f>
        <v>0</v>
      </c>
      <c r="BL81" s="24">
        <f ca="1">IFERROR(__xludf.DUMMYFUNCTION("""COMPUTED_VALUE"""),0)</f>
        <v>0</v>
      </c>
      <c r="BM81" s="20"/>
      <c r="BN81" s="24">
        <f ca="1">IFERROR(__xludf.DUMMYFUNCTION("""COMPUTED_VALUE"""),0)</f>
        <v>0</v>
      </c>
      <c r="BO81" s="20"/>
      <c r="BP81" s="24">
        <f ca="1">IFERROR(__xludf.DUMMYFUNCTION("""COMPUTED_VALUE"""),0)</f>
        <v>0</v>
      </c>
      <c r="BQ81" s="24">
        <f ca="1">IFERROR(__xludf.DUMMYFUNCTION("""COMPUTED_VALUE"""),0)</f>
        <v>0</v>
      </c>
      <c r="BR81" s="24">
        <f ca="1">IFERROR(__xludf.DUMMYFUNCTION("""COMPUTED_VALUE"""),0)</f>
        <v>0</v>
      </c>
      <c r="BS81" s="20"/>
      <c r="BT81" s="24">
        <f ca="1">IFERROR(__xludf.DUMMYFUNCTION("""COMPUTED_VALUE"""),0)</f>
        <v>0</v>
      </c>
      <c r="BU81" s="20"/>
      <c r="BV81" s="24">
        <f ca="1">IFERROR(__xludf.DUMMYFUNCTION("""COMPUTED_VALUE"""),0)</f>
        <v>0</v>
      </c>
      <c r="BW81" s="24">
        <f ca="1">IFERROR(__xludf.DUMMYFUNCTION("""COMPUTED_VALUE"""),0)</f>
        <v>0</v>
      </c>
      <c r="BX81" s="24">
        <f ca="1">IFERROR(__xludf.DUMMYFUNCTION("""COMPUTED_VALUE"""),0)</f>
        <v>0</v>
      </c>
      <c r="BY81" s="20"/>
      <c r="BZ81" s="24">
        <f ca="1">IFERROR(__xludf.DUMMYFUNCTION("""COMPUTED_VALUE"""),0)</f>
        <v>0</v>
      </c>
      <c r="CA81" s="20"/>
      <c r="CB81" s="20"/>
      <c r="CC81" s="20"/>
      <c r="CD81" s="20"/>
      <c r="CE81" s="20"/>
      <c r="CF81" s="20"/>
      <c r="CG81" s="20"/>
      <c r="CH81" s="20"/>
      <c r="CI81" s="20"/>
      <c r="CJ81" s="26">
        <f ca="1">IFERROR(__xludf.DUMMYFUNCTION("""COMPUTED_VALUE"""),43868)</f>
        <v>43868</v>
      </c>
      <c r="CK81" s="20"/>
      <c r="CL81" s="20"/>
      <c r="CM81" s="20"/>
      <c r="CN81" s="20"/>
      <c r="CO81" s="20"/>
      <c r="CP81" s="20"/>
      <c r="CQ81" s="20"/>
      <c r="CR81" s="20"/>
      <c r="CS81" s="20"/>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row>
    <row r="82" spans="1:123" ht="64.5" hidden="1" customHeight="1" x14ac:dyDescent="0.2">
      <c r="A82" s="19"/>
      <c r="B82" s="20" t="str">
        <f ca="1">IFERROR(__xludf.DUMMYFUNCTION("""COMPUTED_VALUE"""),"г.о. Дзержинский")</f>
        <v>г.о. Дзержинский</v>
      </c>
      <c r="C8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2" s="20" t="str">
        <f ca="1">IFERROR(__xludf.DUMMYFUNCTION("""COMPUTED_VALUE"""),"МинЖКХ")</f>
        <v>МинЖКХ</v>
      </c>
      <c r="E82" s="20" t="str">
        <f ca="1">IFERROR(__xludf.DUMMYFUNCTION("""COMPUTED_VALUE"""),"Строительство сетей водоснабжения от ВРУ до т. А, по адресу: Московская обл., г. Дзержинский, в районе поймы Москвы-реки")</f>
        <v>Строительство сетей водоснабжения от ВРУ до т. А, по адресу: Московская обл., г. Дзержинский, в районе поймы Москвы-реки</v>
      </c>
      <c r="F82" s="22" t="str">
        <f ca="1">IFERROR(__xludf.DUMMYFUNCTION("""COMPUTED_VALUE"""),"Сети")</f>
        <v>Сети</v>
      </c>
      <c r="G82" s="20">
        <f ca="1">IFERROR(__xludf.DUMMYFUNCTION("""COMPUTED_VALUE"""),2021)</f>
        <v>2021</v>
      </c>
      <c r="H82" s="20" t="str">
        <f ca="1">IFERROR(__xludf.DUMMYFUNCTION("""COMPUTED_VALUE"""),"СМР")</f>
        <v>СМР</v>
      </c>
      <c r="I82" s="20"/>
      <c r="J82" s="20" t="str">
        <f ca="1">IFERROR(__xludf.DUMMYFUNCTION("""COMPUTED_VALUE"""),"Строительство сетей водоснабжения от ВРУ до точки А. Заключение МОГЭ получено. Закупка направлена на РГ 27.10.2020. Выданные замечания отработаны и согласованы в рабочем порядке. Публикация аукциона запланирована на 16.11.2020. 
Плановая дата заключение к"&amp;"онтракта 07.12.2020. ")</f>
        <v xml:space="preserve">Строительство сетей водоснабжения от ВРУ до точки А. Заключение МОГЭ получено. Закупка направлена на РГ 27.10.2020. Выданные замечания отработаны и согласованы в рабочем порядке. Публикация аукциона запланирована на 16.11.2020. 
Плановая дата заключение контракта 07.12.2020. </v>
      </c>
      <c r="K82" s="20"/>
      <c r="L82" s="20"/>
      <c r="M82" s="20"/>
      <c r="N82" s="24">
        <f ca="1">IFERROR(__xludf.DUMMYFUNCTION("""COMPUTED_VALUE"""),0)</f>
        <v>0</v>
      </c>
      <c r="O82" s="20"/>
      <c r="P82" s="20"/>
      <c r="Q82" s="20"/>
      <c r="R82" s="20"/>
      <c r="S82" s="20"/>
      <c r="T82" s="20"/>
      <c r="U82" s="24">
        <f ca="1">IFERROR(__xludf.DUMMYFUNCTION("""COMPUTED_VALUE"""),0)</f>
        <v>0</v>
      </c>
      <c r="V82" s="24">
        <f ca="1">IFERROR(__xludf.DUMMYFUNCTION("""COMPUTED_VALUE"""),0)</f>
        <v>0</v>
      </c>
      <c r="W82" s="24">
        <f ca="1">IFERROR(__xludf.DUMMYFUNCTION("""COMPUTED_VALUE"""),0)</f>
        <v>0</v>
      </c>
      <c r="X82" s="24">
        <f ca="1">IFERROR(__xludf.DUMMYFUNCTION("""COMPUTED_VALUE"""),0)</f>
        <v>0</v>
      </c>
      <c r="Y82" s="24">
        <f ca="1">IFERROR(__xludf.DUMMYFUNCTION("""COMPUTED_VALUE"""),0)</f>
        <v>0</v>
      </c>
      <c r="Z82" s="24">
        <f ca="1">IFERROR(__xludf.DUMMYFUNCTION("""COMPUTED_VALUE"""),0)</f>
        <v>0</v>
      </c>
      <c r="AA82" s="20" t="str">
        <f ca="1">IFERROR(__xludf.DUMMYFUNCTION("""COMPUTED_VALUE"""),"10 1 G552430
")</f>
        <v xml:space="preserve">10 1 G552430
</v>
      </c>
      <c r="AB82" s="20">
        <f ca="1">IFERROR(__xludf.DUMMYFUNCTION("""COMPUTED_VALUE"""),522)</f>
        <v>522</v>
      </c>
      <c r="AC82" s="20"/>
      <c r="AD82" s="20"/>
      <c r="AE82" s="20"/>
      <c r="AF82" s="24">
        <f ca="1">IFERROR(__xludf.DUMMYFUNCTION("""COMPUTED_VALUE"""),114778.519999999)</f>
        <v>114778.519999999</v>
      </c>
      <c r="AG82" s="24">
        <f ca="1">IFERROR(__xludf.DUMMYFUNCTION("""COMPUTED_VALUE"""),70330.54)</f>
        <v>70330.539999999994</v>
      </c>
      <c r="AH82" s="24">
        <f ca="1">IFERROR(__xludf.DUMMYFUNCTION("""COMPUTED_VALUE"""),23443.51)</f>
        <v>23443.51</v>
      </c>
      <c r="AI82" s="24">
        <f ca="1">IFERROR(__xludf.DUMMYFUNCTION("""COMPUTED_VALUE"""),0)</f>
        <v>0</v>
      </c>
      <c r="AJ82" s="24">
        <f ca="1">IFERROR(__xludf.DUMMYFUNCTION("""COMPUTED_VALUE"""),21004.47)</f>
        <v>21004.47</v>
      </c>
      <c r="AK82" s="24">
        <f ca="1">IFERROR(__xludf.DUMMYFUNCTION("""COMPUTED_VALUE"""),0)</f>
        <v>0</v>
      </c>
      <c r="AL82" s="24">
        <f ca="1">IFERROR(__xludf.DUMMYFUNCTION("""COMPUTED_VALUE"""),0)</f>
        <v>0</v>
      </c>
      <c r="AM82" s="20"/>
      <c r="AN82" s="20"/>
      <c r="AO82" s="20"/>
      <c r="AP82" s="20"/>
      <c r="AQ82" s="20"/>
      <c r="AR82" s="24">
        <f ca="1">IFERROR(__xludf.DUMMYFUNCTION("""COMPUTED_VALUE"""),0)</f>
        <v>0</v>
      </c>
      <c r="AS82" s="20"/>
      <c r="AT82" s="20"/>
      <c r="AU82" s="20"/>
      <c r="AV82" s="20"/>
      <c r="AW82" s="20"/>
      <c r="AX82" s="24">
        <f ca="1">IFERROR(__xludf.DUMMYFUNCTION("""COMPUTED_VALUE"""),0)</f>
        <v>0</v>
      </c>
      <c r="AY82" s="24">
        <f ca="1">IFERROR(__xludf.DUMMYFUNCTION("""COMPUTED_VALUE"""),0)</f>
        <v>0</v>
      </c>
      <c r="AZ82" s="24">
        <f ca="1">IFERROR(__xludf.DUMMYFUNCTION("""COMPUTED_VALUE"""),0)</f>
        <v>0</v>
      </c>
      <c r="BA82" s="20"/>
      <c r="BB82" s="24">
        <f ca="1">IFERROR(__xludf.DUMMYFUNCTION("""COMPUTED_VALUE"""),0)</f>
        <v>0</v>
      </c>
      <c r="BC82" s="20"/>
      <c r="BD82" s="24">
        <f ca="1">IFERROR(__xludf.DUMMYFUNCTION("""COMPUTED_VALUE"""),114778.519999999)</f>
        <v>114778.519999999</v>
      </c>
      <c r="BE82" s="24">
        <f ca="1">IFERROR(__xludf.DUMMYFUNCTION("""COMPUTED_VALUE"""),70330.54)</f>
        <v>70330.539999999994</v>
      </c>
      <c r="BF82" s="24">
        <f ca="1">IFERROR(__xludf.DUMMYFUNCTION("""COMPUTED_VALUE"""),23443.51)</f>
        <v>23443.51</v>
      </c>
      <c r="BG82" s="20"/>
      <c r="BH82" s="24">
        <f ca="1">IFERROR(__xludf.DUMMYFUNCTION("""COMPUTED_VALUE"""),21004.47)</f>
        <v>21004.47</v>
      </c>
      <c r="BI82" s="20"/>
      <c r="BJ82" s="24">
        <f ca="1">IFERROR(__xludf.DUMMYFUNCTION("""COMPUTED_VALUE"""),0)</f>
        <v>0</v>
      </c>
      <c r="BK82" s="24">
        <f ca="1">IFERROR(__xludf.DUMMYFUNCTION("""COMPUTED_VALUE"""),0)</f>
        <v>0</v>
      </c>
      <c r="BL82" s="24">
        <f ca="1">IFERROR(__xludf.DUMMYFUNCTION("""COMPUTED_VALUE"""),0)</f>
        <v>0</v>
      </c>
      <c r="BM82" s="20"/>
      <c r="BN82" s="24">
        <f ca="1">IFERROR(__xludf.DUMMYFUNCTION("""COMPUTED_VALUE"""),0)</f>
        <v>0</v>
      </c>
      <c r="BO82" s="20"/>
      <c r="BP82" s="24">
        <f ca="1">IFERROR(__xludf.DUMMYFUNCTION("""COMPUTED_VALUE"""),0)</f>
        <v>0</v>
      </c>
      <c r="BQ82" s="24">
        <f ca="1">IFERROR(__xludf.DUMMYFUNCTION("""COMPUTED_VALUE"""),0)</f>
        <v>0</v>
      </c>
      <c r="BR82" s="24">
        <f ca="1">IFERROR(__xludf.DUMMYFUNCTION("""COMPUTED_VALUE"""),0)</f>
        <v>0</v>
      </c>
      <c r="BS82" s="20"/>
      <c r="BT82" s="24">
        <f ca="1">IFERROR(__xludf.DUMMYFUNCTION("""COMPUTED_VALUE"""),0)</f>
        <v>0</v>
      </c>
      <c r="BU82" s="20"/>
      <c r="BV82" s="24">
        <f ca="1">IFERROR(__xludf.DUMMYFUNCTION("""COMPUTED_VALUE"""),0)</f>
        <v>0</v>
      </c>
      <c r="BW82" s="24">
        <f ca="1">IFERROR(__xludf.DUMMYFUNCTION("""COMPUTED_VALUE"""),0)</f>
        <v>0</v>
      </c>
      <c r="BX82" s="24">
        <f ca="1">IFERROR(__xludf.DUMMYFUNCTION("""COMPUTED_VALUE"""),0)</f>
        <v>0</v>
      </c>
      <c r="BY82" s="20"/>
      <c r="BZ82" s="24">
        <f ca="1">IFERROR(__xludf.DUMMYFUNCTION("""COMPUTED_VALUE"""),0)</f>
        <v>0</v>
      </c>
      <c r="CA82" s="20"/>
      <c r="CB82" s="20"/>
      <c r="CC82" s="20"/>
      <c r="CD82" s="20"/>
      <c r="CE82" s="20"/>
      <c r="CF82" s="20"/>
      <c r="CG82" s="20"/>
      <c r="CH82" s="20"/>
      <c r="CI82" s="20"/>
      <c r="CJ82" s="20"/>
      <c r="CK82" s="26">
        <f ca="1">IFERROR(__xludf.DUMMYFUNCTION("""COMPUTED_VALUE"""),44106)</f>
        <v>44106</v>
      </c>
      <c r="CL82" s="20" t="str">
        <f ca="1">IFERROR(__xludf.DUMMYFUNCTION("""COMPUTED_VALUE"""),"50-1-1-3-1608-20")</f>
        <v>50-1-1-3-1608-20</v>
      </c>
      <c r="CM82" s="25">
        <f ca="1">IFERROR(__xludf.DUMMYFUNCTION("""COMPUTED_VALUE"""),44151)</f>
        <v>44151</v>
      </c>
      <c r="CN82" s="20" t="str">
        <f ca="1">IFERROR(__xludf.DUMMYFUNCTION("""COMPUTED_VALUE"""),"0148200005420000437")</f>
        <v>0148200005420000437</v>
      </c>
      <c r="CO82" s="26">
        <f ca="1">IFERROR(__xludf.DUMMYFUNCTION("""COMPUTED_VALUE"""),44172)</f>
        <v>44172</v>
      </c>
      <c r="CP82" s="20" t="str">
        <f ca="1">IFERROR(__xludf.DUMMYFUNCTION("""COMPUTED_VALUE"""),"2020.437")</f>
        <v>2020.437</v>
      </c>
      <c r="CQ82" s="20">
        <f ca="1">IFERROR(__xludf.DUMMYFUNCTION("""COMPUTED_VALUE"""),74298109.92)</f>
        <v>74298109.920000002</v>
      </c>
      <c r="CR82" s="20" t="str">
        <f ca="1">IFERROR(__xludf.DUMMYFUNCTION("""COMPUTED_VALUE"""),"ООО ""СТРОЙСИТИ""")</f>
        <v>ООО "СТРОЙСИТИ"</v>
      </c>
      <c r="CS82" s="27" t="str">
        <f ca="1">IFERROR(__xludf.DUMMYFUNCTION("""COMPUTED_VALUE"""),"https://zakupki.gov.ru/epz/contract/contractCard/document-info.html?reestrNumber=3502702397420000061")</f>
        <v>https://zakupki.gov.ru/epz/contract/contractCard/document-info.html?reestrNumber=3502702397420000061</v>
      </c>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row>
    <row r="83" spans="1:123" ht="64.5" hidden="1" customHeight="1" x14ac:dyDescent="0.2">
      <c r="A83" s="19"/>
      <c r="B83" s="20" t="str">
        <f ca="1">IFERROR(__xludf.DUMMYFUNCTION("""COMPUTED_VALUE"""),"г.о. Дзержинский")</f>
        <v>г.о. Дзержинский</v>
      </c>
      <c r="C8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3" s="20" t="str">
        <f ca="1">IFERROR(__xludf.DUMMYFUNCTION("""COMPUTED_VALUE"""),"МинЖКХ")</f>
        <v>МинЖКХ</v>
      </c>
      <c r="E83" s="20" t="str">
        <f ca="1">IFERROR(__xludf.DUMMYFUNCTION("""COMPUTED_VALUE"""),"Строительсвто сетей водоснабжения от т.А до ВЗУ-3 по адресу: Московская обл., г. Дзержинский, ул. Дзержинская")</f>
        <v>Строительсвто сетей водоснабжения от т.А до ВЗУ-3 по адресу: Московская обл., г. Дзержинский, ул. Дзержинская</v>
      </c>
      <c r="F83" s="22" t="str">
        <f ca="1">IFERROR(__xludf.DUMMYFUNCTION("""COMPUTED_VALUE"""),"Сети")</f>
        <v>Сети</v>
      </c>
      <c r="G83" s="20">
        <f ca="1">IFERROR(__xludf.DUMMYFUNCTION("""COMPUTED_VALUE"""),2021)</f>
        <v>2021</v>
      </c>
      <c r="H83" s="20" t="str">
        <f ca="1">IFERROR(__xludf.DUMMYFUNCTION("""COMPUTED_VALUE"""),"СМР")</f>
        <v>СМР</v>
      </c>
      <c r="I83" s="20"/>
      <c r="J83" s="20" t="str">
        <f ca="1">IFERROR(__xludf.DUMMYFUNCTION("""COMPUTED_VALUE""")," Ведется устранение замечаний МОГЭ. Получение заключения планируется до 11.12.2020.
В настоящее время Администрацией прорабатывается вопрос подачи воды до реконструкции ВЗУ.")</f>
        <v xml:space="preserve"> Ведется устранение замечаний МОГЭ. Получение заключения планируется до 11.12.2020.
В настоящее время Администрацией прорабатывается вопрос подачи воды до реконструкции ВЗУ.</v>
      </c>
      <c r="K83" s="20"/>
      <c r="L83" s="20"/>
      <c r="M83" s="20"/>
      <c r="N83" s="24">
        <f ca="1">IFERROR(__xludf.DUMMYFUNCTION("""COMPUTED_VALUE"""),0)</f>
        <v>0</v>
      </c>
      <c r="O83" s="20"/>
      <c r="P83" s="20"/>
      <c r="Q83" s="20"/>
      <c r="R83" s="20"/>
      <c r="S83" s="20"/>
      <c r="T83" s="20"/>
      <c r="U83" s="24">
        <f ca="1">IFERROR(__xludf.DUMMYFUNCTION("""COMPUTED_VALUE"""),0)</f>
        <v>0</v>
      </c>
      <c r="V83" s="24">
        <f ca="1">IFERROR(__xludf.DUMMYFUNCTION("""COMPUTED_VALUE"""),0)</f>
        <v>0</v>
      </c>
      <c r="W83" s="24">
        <f ca="1">IFERROR(__xludf.DUMMYFUNCTION("""COMPUTED_VALUE"""),0)</f>
        <v>0</v>
      </c>
      <c r="X83" s="24">
        <f ca="1">IFERROR(__xludf.DUMMYFUNCTION("""COMPUTED_VALUE"""),0)</f>
        <v>0</v>
      </c>
      <c r="Y83" s="24">
        <f ca="1">IFERROR(__xludf.DUMMYFUNCTION("""COMPUTED_VALUE"""),0)</f>
        <v>0</v>
      </c>
      <c r="Z83" s="24">
        <f ca="1">IFERROR(__xludf.DUMMYFUNCTION("""COMPUTED_VALUE"""),0)</f>
        <v>0</v>
      </c>
      <c r="AA83" s="20" t="str">
        <f ca="1">IFERROR(__xludf.DUMMYFUNCTION("""COMPUTED_VALUE"""),"10 1 G552430
")</f>
        <v xml:space="preserve">10 1 G552430
</v>
      </c>
      <c r="AB83" s="20">
        <f ca="1">IFERROR(__xludf.DUMMYFUNCTION("""COMPUTED_VALUE"""),522)</f>
        <v>522</v>
      </c>
      <c r="AC83" s="20"/>
      <c r="AD83" s="20"/>
      <c r="AE83" s="20"/>
      <c r="AF83" s="24">
        <f ca="1">IFERROR(__xludf.DUMMYFUNCTION("""COMPUTED_VALUE"""),9375.53)</f>
        <v>9375.5300000000007</v>
      </c>
      <c r="AG83" s="24">
        <f ca="1">IFERROR(__xludf.DUMMYFUNCTION("""COMPUTED_VALUE"""),5744.8)</f>
        <v>5744.8</v>
      </c>
      <c r="AH83" s="24">
        <f ca="1">IFERROR(__xludf.DUMMYFUNCTION("""COMPUTED_VALUE"""),1914.95)</f>
        <v>1914.95</v>
      </c>
      <c r="AI83" s="24">
        <f ca="1">IFERROR(__xludf.DUMMYFUNCTION("""COMPUTED_VALUE"""),0)</f>
        <v>0</v>
      </c>
      <c r="AJ83" s="24">
        <f ca="1">IFERROR(__xludf.DUMMYFUNCTION("""COMPUTED_VALUE"""),1715.78)</f>
        <v>1715.78</v>
      </c>
      <c r="AK83" s="24">
        <f ca="1">IFERROR(__xludf.DUMMYFUNCTION("""COMPUTED_VALUE"""),0)</f>
        <v>0</v>
      </c>
      <c r="AL83" s="24">
        <f ca="1">IFERROR(__xludf.DUMMYFUNCTION("""COMPUTED_VALUE"""),0)</f>
        <v>0</v>
      </c>
      <c r="AM83" s="20"/>
      <c r="AN83" s="20"/>
      <c r="AO83" s="20"/>
      <c r="AP83" s="20"/>
      <c r="AQ83" s="20"/>
      <c r="AR83" s="24">
        <f ca="1">IFERROR(__xludf.DUMMYFUNCTION("""COMPUTED_VALUE"""),0)</f>
        <v>0</v>
      </c>
      <c r="AS83" s="20"/>
      <c r="AT83" s="20"/>
      <c r="AU83" s="20"/>
      <c r="AV83" s="20"/>
      <c r="AW83" s="20"/>
      <c r="AX83" s="24">
        <f ca="1">IFERROR(__xludf.DUMMYFUNCTION("""COMPUTED_VALUE"""),0)</f>
        <v>0</v>
      </c>
      <c r="AY83" s="24">
        <f ca="1">IFERROR(__xludf.DUMMYFUNCTION("""COMPUTED_VALUE"""),0)</f>
        <v>0</v>
      </c>
      <c r="AZ83" s="24">
        <f ca="1">IFERROR(__xludf.DUMMYFUNCTION("""COMPUTED_VALUE"""),0)</f>
        <v>0</v>
      </c>
      <c r="BA83" s="20"/>
      <c r="BB83" s="24">
        <f ca="1">IFERROR(__xludf.DUMMYFUNCTION("""COMPUTED_VALUE"""),0)</f>
        <v>0</v>
      </c>
      <c r="BC83" s="20"/>
      <c r="BD83" s="24">
        <f ca="1">IFERROR(__xludf.DUMMYFUNCTION("""COMPUTED_VALUE"""),9375.53)</f>
        <v>9375.5300000000007</v>
      </c>
      <c r="BE83" s="24">
        <f ca="1">IFERROR(__xludf.DUMMYFUNCTION("""COMPUTED_VALUE"""),5744.8)</f>
        <v>5744.8</v>
      </c>
      <c r="BF83" s="24">
        <f ca="1">IFERROR(__xludf.DUMMYFUNCTION("""COMPUTED_VALUE"""),1914.95)</f>
        <v>1914.95</v>
      </c>
      <c r="BG83" s="20"/>
      <c r="BH83" s="24">
        <f ca="1">IFERROR(__xludf.DUMMYFUNCTION("""COMPUTED_VALUE"""),1715.78)</f>
        <v>1715.78</v>
      </c>
      <c r="BI83" s="20"/>
      <c r="BJ83" s="24">
        <f ca="1">IFERROR(__xludf.DUMMYFUNCTION("""COMPUTED_VALUE"""),0)</f>
        <v>0</v>
      </c>
      <c r="BK83" s="24">
        <f ca="1">IFERROR(__xludf.DUMMYFUNCTION("""COMPUTED_VALUE"""),0)</f>
        <v>0</v>
      </c>
      <c r="BL83" s="24">
        <f ca="1">IFERROR(__xludf.DUMMYFUNCTION("""COMPUTED_VALUE"""),0)</f>
        <v>0</v>
      </c>
      <c r="BM83" s="20"/>
      <c r="BN83" s="24">
        <f ca="1">IFERROR(__xludf.DUMMYFUNCTION("""COMPUTED_VALUE"""),0)</f>
        <v>0</v>
      </c>
      <c r="BO83" s="20"/>
      <c r="BP83" s="24">
        <f ca="1">IFERROR(__xludf.DUMMYFUNCTION("""COMPUTED_VALUE"""),0)</f>
        <v>0</v>
      </c>
      <c r="BQ83" s="24">
        <f ca="1">IFERROR(__xludf.DUMMYFUNCTION("""COMPUTED_VALUE"""),0)</f>
        <v>0</v>
      </c>
      <c r="BR83" s="24">
        <f ca="1">IFERROR(__xludf.DUMMYFUNCTION("""COMPUTED_VALUE"""),0)</f>
        <v>0</v>
      </c>
      <c r="BS83" s="20"/>
      <c r="BT83" s="24">
        <f ca="1">IFERROR(__xludf.DUMMYFUNCTION("""COMPUTED_VALUE"""),0)</f>
        <v>0</v>
      </c>
      <c r="BU83" s="20"/>
      <c r="BV83" s="24">
        <f ca="1">IFERROR(__xludf.DUMMYFUNCTION("""COMPUTED_VALUE"""),0)</f>
        <v>0</v>
      </c>
      <c r="BW83" s="24">
        <f ca="1">IFERROR(__xludf.DUMMYFUNCTION("""COMPUTED_VALUE"""),0)</f>
        <v>0</v>
      </c>
      <c r="BX83" s="24">
        <f ca="1">IFERROR(__xludf.DUMMYFUNCTION("""COMPUTED_VALUE"""),0)</f>
        <v>0</v>
      </c>
      <c r="BY83" s="20"/>
      <c r="BZ83" s="24">
        <f ca="1">IFERROR(__xludf.DUMMYFUNCTION("""COMPUTED_VALUE"""),0)</f>
        <v>0</v>
      </c>
      <c r="CA83" s="20"/>
      <c r="CB83" s="20"/>
      <c r="CC83" s="20"/>
      <c r="CD83" s="20"/>
      <c r="CE83" s="20"/>
      <c r="CF83" s="20"/>
      <c r="CG83" s="20"/>
      <c r="CH83" s="20"/>
      <c r="CI83" s="20"/>
      <c r="CJ83" s="20"/>
      <c r="CK83" s="26">
        <f ca="1">IFERROR(__xludf.DUMMYFUNCTION("""COMPUTED_VALUE"""),44054)</f>
        <v>44054</v>
      </c>
      <c r="CL83" s="20" t="str">
        <f ca="1">IFERROR(__xludf.DUMMYFUNCTION("""COMPUTED_VALUE"""),"50-1-1-3-1282-20 ")</f>
        <v xml:space="preserve">50-1-1-3-1282-20 </v>
      </c>
      <c r="CM83" s="20"/>
      <c r="CN83" s="20"/>
      <c r="CO83" s="20"/>
      <c r="CP83" s="20"/>
      <c r="CQ83" s="20"/>
      <c r="CR83" s="20"/>
      <c r="CS83" s="20"/>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row>
    <row r="84" spans="1:123" ht="64.5" hidden="1" customHeight="1" x14ac:dyDescent="0.2">
      <c r="A84" s="19"/>
      <c r="B84" s="20" t="str">
        <f ca="1">IFERROR(__xludf.DUMMYFUNCTION("""COMPUTED_VALUE"""),"г.о. Дзержинский")</f>
        <v>г.о. Дзержинский</v>
      </c>
      <c r="C8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4" s="20" t="str">
        <f ca="1">IFERROR(__xludf.DUMMYFUNCTION("""COMPUTED_VALUE"""),"МинЖКХ")</f>
        <v>МинЖКХ</v>
      </c>
      <c r="E84" s="20" t="str">
        <f ca="1">IFERROR(__xludf.DUMMYFUNCTION("""COMPUTED_VALUE"""),"Строительство сетей водоснабжения от т.А до ВЗУ-1 по адресу: Московская обл., г.Дзержинский, ул.Академика Жукова")</f>
        <v>Строительство сетей водоснабжения от т.А до ВЗУ-1 по адресу: Московская обл., г.Дзержинский, ул.Академика Жукова</v>
      </c>
      <c r="F84" s="22" t="str">
        <f ca="1">IFERROR(__xludf.DUMMYFUNCTION("""COMPUTED_VALUE"""),"Сети")</f>
        <v>Сети</v>
      </c>
      <c r="G84" s="20">
        <f ca="1">IFERROR(__xludf.DUMMYFUNCTION("""COMPUTED_VALUE"""),2021)</f>
        <v>2021</v>
      </c>
      <c r="H84" s="20" t="str">
        <f ca="1">IFERROR(__xludf.DUMMYFUNCTION("""COMPUTED_VALUE"""),"СМР")</f>
        <v>СМР</v>
      </c>
      <c r="I84" s="20"/>
      <c r="J84" s="20" t="str">
        <f ca="1">IFERROR(__xludf.DUMMYFUNCTION("""COMPUTED_VALUE""")," Ведется устранение замечаний МОГЭ. Получение заключения планируется до 11.12.2020.
В настоящее время Администрацией прорабатывается вопрос подачи воды до реконструкции ВЗУ.")</f>
        <v xml:space="preserve"> Ведется устранение замечаний МОГЭ. Получение заключения планируется до 11.12.2020.
В настоящее время Администрацией прорабатывается вопрос подачи воды до реконструкции ВЗУ.</v>
      </c>
      <c r="K84" s="20"/>
      <c r="L84" s="20"/>
      <c r="M84" s="20"/>
      <c r="N84" s="24">
        <f ca="1">IFERROR(__xludf.DUMMYFUNCTION("""COMPUTED_VALUE"""),0)</f>
        <v>0</v>
      </c>
      <c r="O84" s="20"/>
      <c r="P84" s="20"/>
      <c r="Q84" s="20"/>
      <c r="R84" s="20"/>
      <c r="S84" s="20"/>
      <c r="T84" s="20"/>
      <c r="U84" s="24">
        <f ca="1">IFERROR(__xludf.DUMMYFUNCTION("""COMPUTED_VALUE"""),0)</f>
        <v>0</v>
      </c>
      <c r="V84" s="24">
        <f ca="1">IFERROR(__xludf.DUMMYFUNCTION("""COMPUTED_VALUE"""),0)</f>
        <v>0</v>
      </c>
      <c r="W84" s="24">
        <f ca="1">IFERROR(__xludf.DUMMYFUNCTION("""COMPUTED_VALUE"""),0)</f>
        <v>0</v>
      </c>
      <c r="X84" s="24">
        <f ca="1">IFERROR(__xludf.DUMMYFUNCTION("""COMPUTED_VALUE"""),0)</f>
        <v>0</v>
      </c>
      <c r="Y84" s="24">
        <f ca="1">IFERROR(__xludf.DUMMYFUNCTION("""COMPUTED_VALUE"""),0)</f>
        <v>0</v>
      </c>
      <c r="Z84" s="24">
        <f ca="1">IFERROR(__xludf.DUMMYFUNCTION("""COMPUTED_VALUE"""),0)</f>
        <v>0</v>
      </c>
      <c r="AA84" s="20" t="str">
        <f ca="1">IFERROR(__xludf.DUMMYFUNCTION("""COMPUTED_VALUE"""),"10 1 G552430
")</f>
        <v xml:space="preserve">10 1 G552430
</v>
      </c>
      <c r="AB84" s="20">
        <f ca="1">IFERROR(__xludf.DUMMYFUNCTION("""COMPUTED_VALUE"""),522)</f>
        <v>522</v>
      </c>
      <c r="AC84" s="20"/>
      <c r="AD84" s="20"/>
      <c r="AE84" s="20"/>
      <c r="AF84" s="24">
        <f ca="1">IFERROR(__xludf.DUMMYFUNCTION("""COMPUTED_VALUE"""),75898.01)</f>
        <v>75898.009999999995</v>
      </c>
      <c r="AG84" s="24">
        <f ca="1">IFERROR(__xludf.DUMMYFUNCTION("""COMPUTED_VALUE"""),45921.6)</f>
        <v>45921.599999999999</v>
      </c>
      <c r="AH84" s="24">
        <f ca="1">IFERROR(__xludf.DUMMYFUNCTION("""COMPUTED_VALUE"""),15307.2)</f>
        <v>15307.2</v>
      </c>
      <c r="AI84" s="24">
        <f ca="1">IFERROR(__xludf.DUMMYFUNCTION("""COMPUTED_VALUE"""),0)</f>
        <v>0</v>
      </c>
      <c r="AJ84" s="24">
        <f ca="1">IFERROR(__xludf.DUMMYFUNCTION("""COMPUTED_VALUE"""),14669.21)</f>
        <v>14669.21</v>
      </c>
      <c r="AK84" s="24">
        <f ca="1">IFERROR(__xludf.DUMMYFUNCTION("""COMPUTED_VALUE"""),0)</f>
        <v>0</v>
      </c>
      <c r="AL84" s="24">
        <f ca="1">IFERROR(__xludf.DUMMYFUNCTION("""COMPUTED_VALUE"""),0)</f>
        <v>0</v>
      </c>
      <c r="AM84" s="20"/>
      <c r="AN84" s="20"/>
      <c r="AO84" s="20"/>
      <c r="AP84" s="20"/>
      <c r="AQ84" s="20"/>
      <c r="AR84" s="24">
        <f ca="1">IFERROR(__xludf.DUMMYFUNCTION("""COMPUTED_VALUE"""),0)</f>
        <v>0</v>
      </c>
      <c r="AS84" s="20"/>
      <c r="AT84" s="20"/>
      <c r="AU84" s="20"/>
      <c r="AV84" s="20"/>
      <c r="AW84" s="20"/>
      <c r="AX84" s="24">
        <f ca="1">IFERROR(__xludf.DUMMYFUNCTION("""COMPUTED_VALUE"""),0)</f>
        <v>0</v>
      </c>
      <c r="AY84" s="24">
        <f ca="1">IFERROR(__xludf.DUMMYFUNCTION("""COMPUTED_VALUE"""),0)</f>
        <v>0</v>
      </c>
      <c r="AZ84" s="24">
        <f ca="1">IFERROR(__xludf.DUMMYFUNCTION("""COMPUTED_VALUE"""),0)</f>
        <v>0</v>
      </c>
      <c r="BA84" s="20"/>
      <c r="BB84" s="24">
        <f ca="1">IFERROR(__xludf.DUMMYFUNCTION("""COMPUTED_VALUE"""),0)</f>
        <v>0</v>
      </c>
      <c r="BC84" s="20"/>
      <c r="BD84" s="24">
        <f ca="1">IFERROR(__xludf.DUMMYFUNCTION("""COMPUTED_VALUE"""),75898.01)</f>
        <v>75898.009999999995</v>
      </c>
      <c r="BE84" s="24">
        <f ca="1">IFERROR(__xludf.DUMMYFUNCTION("""COMPUTED_VALUE"""),45921.6)</f>
        <v>45921.599999999999</v>
      </c>
      <c r="BF84" s="24">
        <f ca="1">IFERROR(__xludf.DUMMYFUNCTION("""COMPUTED_VALUE"""),15307.2)</f>
        <v>15307.2</v>
      </c>
      <c r="BG84" s="20"/>
      <c r="BH84" s="24">
        <f ca="1">IFERROR(__xludf.DUMMYFUNCTION("""COMPUTED_VALUE"""),14669.21)</f>
        <v>14669.21</v>
      </c>
      <c r="BI84" s="20"/>
      <c r="BJ84" s="24">
        <f ca="1">IFERROR(__xludf.DUMMYFUNCTION("""COMPUTED_VALUE"""),0)</f>
        <v>0</v>
      </c>
      <c r="BK84" s="24">
        <f ca="1">IFERROR(__xludf.DUMMYFUNCTION("""COMPUTED_VALUE"""),0)</f>
        <v>0</v>
      </c>
      <c r="BL84" s="24">
        <f ca="1">IFERROR(__xludf.DUMMYFUNCTION("""COMPUTED_VALUE"""),0)</f>
        <v>0</v>
      </c>
      <c r="BM84" s="20"/>
      <c r="BN84" s="24">
        <f ca="1">IFERROR(__xludf.DUMMYFUNCTION("""COMPUTED_VALUE"""),0)</f>
        <v>0</v>
      </c>
      <c r="BO84" s="20"/>
      <c r="BP84" s="24">
        <f ca="1">IFERROR(__xludf.DUMMYFUNCTION("""COMPUTED_VALUE"""),0)</f>
        <v>0</v>
      </c>
      <c r="BQ84" s="24">
        <f ca="1">IFERROR(__xludf.DUMMYFUNCTION("""COMPUTED_VALUE"""),0)</f>
        <v>0</v>
      </c>
      <c r="BR84" s="24">
        <f ca="1">IFERROR(__xludf.DUMMYFUNCTION("""COMPUTED_VALUE"""),0)</f>
        <v>0</v>
      </c>
      <c r="BS84" s="20"/>
      <c r="BT84" s="24">
        <f ca="1">IFERROR(__xludf.DUMMYFUNCTION("""COMPUTED_VALUE"""),0)</f>
        <v>0</v>
      </c>
      <c r="BU84" s="20"/>
      <c r="BV84" s="24">
        <f ca="1">IFERROR(__xludf.DUMMYFUNCTION("""COMPUTED_VALUE"""),0)</f>
        <v>0</v>
      </c>
      <c r="BW84" s="24">
        <f ca="1">IFERROR(__xludf.DUMMYFUNCTION("""COMPUTED_VALUE"""),0)</f>
        <v>0</v>
      </c>
      <c r="BX84" s="24">
        <f ca="1">IFERROR(__xludf.DUMMYFUNCTION("""COMPUTED_VALUE"""),0)</f>
        <v>0</v>
      </c>
      <c r="BY84" s="20"/>
      <c r="BZ84" s="24">
        <f ca="1">IFERROR(__xludf.DUMMYFUNCTION("""COMPUTED_VALUE"""),0)</f>
        <v>0</v>
      </c>
      <c r="CA84" s="20"/>
      <c r="CB84" s="20"/>
      <c r="CC84" s="20"/>
      <c r="CD84" s="20"/>
      <c r="CE84" s="20"/>
      <c r="CF84" s="20"/>
      <c r="CG84" s="20"/>
      <c r="CH84" s="20"/>
      <c r="CI84" s="20"/>
      <c r="CJ84" s="20"/>
      <c r="CK84" s="26">
        <f ca="1">IFERROR(__xludf.DUMMYFUNCTION("""COMPUTED_VALUE"""),44063)</f>
        <v>44063</v>
      </c>
      <c r="CL84" s="20" t="str">
        <f ca="1">IFERROR(__xludf.DUMMYFUNCTION("""COMPUTED_VALUE"""),"50-1-1-3-1331-20")</f>
        <v>50-1-1-3-1331-20</v>
      </c>
      <c r="CM84" s="25">
        <f ca="1">IFERROR(__xludf.DUMMYFUNCTION("""COMPUTED_VALUE"""),44147)</f>
        <v>44147</v>
      </c>
      <c r="CN84" s="20" t="str">
        <f ca="1">IFERROR(__xludf.DUMMYFUNCTION("""COMPUTED_VALUE"""),"0148200005420000425")</f>
        <v>0148200005420000425</v>
      </c>
      <c r="CO84" s="26">
        <f ca="1">IFERROR(__xludf.DUMMYFUNCTION("""COMPUTED_VALUE"""),44174)</f>
        <v>44174</v>
      </c>
      <c r="CP84" s="20" t="str">
        <f ca="1">IFERROR(__xludf.DUMMYFUNCTION("""COMPUTED_VALUE"""),"2020.425")</f>
        <v>2020.425</v>
      </c>
      <c r="CQ84" s="20">
        <f ca="1">IFERROR(__xludf.DUMMYFUNCTION("""COMPUTED_VALUE"""),70442454.31)</f>
        <v>70442454.310000002</v>
      </c>
      <c r="CR84" s="20" t="str">
        <f ca="1">IFERROR(__xludf.DUMMYFUNCTION("""COMPUTED_VALUE"""),"ООО ""СТРОЙСИТИ""")</f>
        <v>ООО "СТРОЙСИТИ"</v>
      </c>
      <c r="CS84" s="27" t="str">
        <f ca="1">IFERROR(__xludf.DUMMYFUNCTION("""COMPUTED_VALUE"""),"https://zakupki.gov.ru/epz/contract/contractCard/document-info.html?reestrNumber=3502702397420000064")</f>
        <v>https://zakupki.gov.ru/epz/contract/contractCard/document-info.html?reestrNumber=3502702397420000064</v>
      </c>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row>
    <row r="85" spans="1:123" ht="64.5" hidden="1" customHeight="1" x14ac:dyDescent="0.2">
      <c r="A85" s="19"/>
      <c r="B85" s="20" t="str">
        <f ca="1">IFERROR(__xludf.DUMMYFUNCTION("""COMPUTED_VALUE"""),"г.о. Красногорск")</f>
        <v>г.о. Красногорск</v>
      </c>
      <c r="C8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5" s="20" t="str">
        <f ca="1">IFERROR(__xludf.DUMMYFUNCTION("""COMPUTED_VALUE"""),"МинЖКХ")</f>
        <v>МинЖКХ</v>
      </c>
      <c r="E85" s="20" t="str">
        <f ca="1">IFERROR(__xludf.DUMMYFUNCTION("""COMPUTED_VALUE"""),"Реконструкция водопроводных сетей в мкр. Опалиха, расположенных по адресу: Московская область, г/о Красногорск, мкр. Опалиха")</f>
        <v>Реконструкция водопроводных сетей в мкр. Опалиха, расположенных по адресу: Московская область, г/о Красногорск, мкр. Опалиха</v>
      </c>
      <c r="F85" s="22" t="str">
        <f ca="1">IFERROR(__xludf.DUMMYFUNCTION("""COMPUTED_VALUE"""),"Сети")</f>
        <v>Сети</v>
      </c>
      <c r="G85" s="20">
        <f ca="1">IFERROR(__xludf.DUMMYFUNCTION("""COMPUTED_VALUE"""),2022)</f>
        <v>2022</v>
      </c>
      <c r="H85" s="20" t="str">
        <f ca="1">IFERROR(__xludf.DUMMYFUNCTION("""COMPUTED_VALUE"""),"СМР")</f>
        <v>СМР</v>
      </c>
      <c r="I85" s="20"/>
      <c r="J85" s="20"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K85" s="20"/>
      <c r="L85" s="20"/>
      <c r="M85" s="20"/>
      <c r="N85" s="24">
        <f ca="1">IFERROR(__xludf.DUMMYFUNCTION("""COMPUTED_VALUE"""),0)</f>
        <v>0</v>
      </c>
      <c r="O85" s="20"/>
      <c r="P85" s="20"/>
      <c r="Q85" s="20"/>
      <c r="R85" s="20"/>
      <c r="S85" s="20"/>
      <c r="T85" s="20"/>
      <c r="U85" s="24">
        <f ca="1">IFERROR(__xludf.DUMMYFUNCTION("""COMPUTED_VALUE"""),0)</f>
        <v>0</v>
      </c>
      <c r="V85" s="24">
        <f ca="1">IFERROR(__xludf.DUMMYFUNCTION("""COMPUTED_VALUE"""),0)</f>
        <v>0</v>
      </c>
      <c r="W85" s="24">
        <f ca="1">IFERROR(__xludf.DUMMYFUNCTION("""COMPUTED_VALUE"""),0)</f>
        <v>0</v>
      </c>
      <c r="X85" s="24">
        <f ca="1">IFERROR(__xludf.DUMMYFUNCTION("""COMPUTED_VALUE"""),0)</f>
        <v>0</v>
      </c>
      <c r="Y85" s="24">
        <f ca="1">IFERROR(__xludf.DUMMYFUNCTION("""COMPUTED_VALUE"""),0)</f>
        <v>0</v>
      </c>
      <c r="Z85" s="24">
        <f ca="1">IFERROR(__xludf.DUMMYFUNCTION("""COMPUTED_VALUE"""),0)</f>
        <v>0</v>
      </c>
      <c r="AA85" s="20" t="str">
        <f ca="1">IFERROR(__xludf.DUMMYFUNCTION("""COMPUTED_VALUE"""),"10 1 G552430
")</f>
        <v xml:space="preserve">10 1 G552430
</v>
      </c>
      <c r="AB85" s="20">
        <f ca="1">IFERROR(__xludf.DUMMYFUNCTION("""COMPUTED_VALUE"""),522)</f>
        <v>522</v>
      </c>
      <c r="AC85" s="20"/>
      <c r="AD85" s="20"/>
      <c r="AE85" s="20"/>
      <c r="AF85" s="24">
        <f ca="1">IFERROR(__xludf.DUMMYFUNCTION("""COMPUTED_VALUE"""),82848.01)</f>
        <v>82848.009999999995</v>
      </c>
      <c r="AG85" s="24">
        <f ca="1">IFERROR(__xludf.DUMMYFUNCTION("""COMPUTED_VALUE"""),38337.8)</f>
        <v>38337.800000000003</v>
      </c>
      <c r="AH85" s="24">
        <f ca="1">IFERROR(__xludf.DUMMYFUNCTION("""COMPUTED_VALUE"""),12779.3499999999)</f>
        <v>12779.3499999999</v>
      </c>
      <c r="AI85" s="24">
        <f ca="1">IFERROR(__xludf.DUMMYFUNCTION("""COMPUTED_VALUE"""),0)</f>
        <v>0</v>
      </c>
      <c r="AJ85" s="24">
        <f ca="1">IFERROR(__xludf.DUMMYFUNCTION("""COMPUTED_VALUE"""),31730.86)</f>
        <v>31730.86</v>
      </c>
      <c r="AK85" s="24">
        <f ca="1">IFERROR(__xludf.DUMMYFUNCTION("""COMPUTED_VALUE"""),0)</f>
        <v>0</v>
      </c>
      <c r="AL85" s="24">
        <f ca="1">IFERROR(__xludf.DUMMYFUNCTION("""COMPUTED_VALUE"""),0)</f>
        <v>0</v>
      </c>
      <c r="AM85" s="20"/>
      <c r="AN85" s="20"/>
      <c r="AO85" s="20"/>
      <c r="AP85" s="20"/>
      <c r="AQ85" s="20"/>
      <c r="AR85" s="24">
        <f ca="1">IFERROR(__xludf.DUMMYFUNCTION("""COMPUTED_VALUE"""),0)</f>
        <v>0</v>
      </c>
      <c r="AS85" s="20"/>
      <c r="AT85" s="20"/>
      <c r="AU85" s="20"/>
      <c r="AV85" s="20"/>
      <c r="AW85" s="20"/>
      <c r="AX85" s="24">
        <f ca="1">IFERROR(__xludf.DUMMYFUNCTION("""COMPUTED_VALUE"""),0)</f>
        <v>0</v>
      </c>
      <c r="AY85" s="24">
        <f ca="1">IFERROR(__xludf.DUMMYFUNCTION("""COMPUTED_VALUE"""),0)</f>
        <v>0</v>
      </c>
      <c r="AZ85" s="24">
        <f ca="1">IFERROR(__xludf.DUMMYFUNCTION("""COMPUTED_VALUE"""),0)</f>
        <v>0</v>
      </c>
      <c r="BA85" s="20"/>
      <c r="BB85" s="24">
        <f ca="1">IFERROR(__xludf.DUMMYFUNCTION("""COMPUTED_VALUE"""),0)</f>
        <v>0</v>
      </c>
      <c r="BC85" s="20"/>
      <c r="BD85" s="24">
        <f ca="1">IFERROR(__xludf.DUMMYFUNCTION("""COMPUTED_VALUE"""),49708.81)</f>
        <v>49708.81</v>
      </c>
      <c r="BE85" s="24">
        <f ca="1">IFERROR(__xludf.DUMMYFUNCTION("""COMPUTED_VALUE"""),23002.7)</f>
        <v>23002.7</v>
      </c>
      <c r="BF85" s="24">
        <f ca="1">IFERROR(__xludf.DUMMYFUNCTION("""COMPUTED_VALUE"""),7667.57)</f>
        <v>7667.57</v>
      </c>
      <c r="BG85" s="20"/>
      <c r="BH85" s="24">
        <f ca="1">IFERROR(__xludf.DUMMYFUNCTION("""COMPUTED_VALUE"""),19038.54)</f>
        <v>19038.54</v>
      </c>
      <c r="BI85" s="20"/>
      <c r="BJ85" s="24">
        <f ca="1">IFERROR(__xludf.DUMMYFUNCTION("""COMPUTED_VALUE"""),33139.2)</f>
        <v>33139.199999999997</v>
      </c>
      <c r="BK85" s="24">
        <f ca="1">IFERROR(__xludf.DUMMYFUNCTION("""COMPUTED_VALUE"""),15335.1)</f>
        <v>15335.1</v>
      </c>
      <c r="BL85" s="24">
        <f ca="1">IFERROR(__xludf.DUMMYFUNCTION("""COMPUTED_VALUE"""),5111.78)</f>
        <v>5111.78</v>
      </c>
      <c r="BM85" s="20"/>
      <c r="BN85" s="24">
        <f ca="1">IFERROR(__xludf.DUMMYFUNCTION("""COMPUTED_VALUE"""),12692.32)</f>
        <v>12692.32</v>
      </c>
      <c r="BO85" s="20"/>
      <c r="BP85" s="24">
        <f ca="1">IFERROR(__xludf.DUMMYFUNCTION("""COMPUTED_VALUE"""),0)</f>
        <v>0</v>
      </c>
      <c r="BQ85" s="24">
        <f ca="1">IFERROR(__xludf.DUMMYFUNCTION("""COMPUTED_VALUE"""),0)</f>
        <v>0</v>
      </c>
      <c r="BR85" s="24">
        <f ca="1">IFERROR(__xludf.DUMMYFUNCTION("""COMPUTED_VALUE"""),0)</f>
        <v>0</v>
      </c>
      <c r="BS85" s="20"/>
      <c r="BT85" s="24">
        <f ca="1">IFERROR(__xludf.DUMMYFUNCTION("""COMPUTED_VALUE"""),0)</f>
        <v>0</v>
      </c>
      <c r="BU85" s="20"/>
      <c r="BV85" s="24">
        <f ca="1">IFERROR(__xludf.DUMMYFUNCTION("""COMPUTED_VALUE"""),0)</f>
        <v>0</v>
      </c>
      <c r="BW85" s="24">
        <f ca="1">IFERROR(__xludf.DUMMYFUNCTION("""COMPUTED_VALUE"""),0)</f>
        <v>0</v>
      </c>
      <c r="BX85" s="24">
        <f ca="1">IFERROR(__xludf.DUMMYFUNCTION("""COMPUTED_VALUE"""),0)</f>
        <v>0</v>
      </c>
      <c r="BY85" s="20"/>
      <c r="BZ85" s="24">
        <f ca="1">IFERROR(__xludf.DUMMYFUNCTION("""COMPUTED_VALUE"""),0)</f>
        <v>0</v>
      </c>
      <c r="CA85" s="20"/>
      <c r="CB85" s="20"/>
      <c r="CC85" s="20"/>
      <c r="CD85" s="20"/>
      <c r="CE85" s="20"/>
      <c r="CF85" s="20"/>
      <c r="CG85" s="20"/>
      <c r="CH85" s="20"/>
      <c r="CI85" s="20"/>
      <c r="CJ85" s="20"/>
      <c r="CK85" s="20"/>
      <c r="CL85" s="20"/>
      <c r="CM85" s="20"/>
      <c r="CN85" s="20"/>
      <c r="CO85" s="20"/>
      <c r="CP85" s="20"/>
      <c r="CQ85" s="20"/>
      <c r="CR85" s="20"/>
      <c r="CS85" s="20"/>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row>
    <row r="86" spans="1:123" ht="64.5" hidden="1" customHeight="1" x14ac:dyDescent="0.2">
      <c r="A86" s="19"/>
      <c r="B86" s="20" t="str">
        <f ca="1">IFERROR(__xludf.DUMMYFUNCTION("""COMPUTED_VALUE"""),"г.о. Богородский")</f>
        <v>г.о. Богородский</v>
      </c>
      <c r="C86"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6" s="20" t="str">
        <f ca="1">IFERROR(__xludf.DUMMYFUNCTION("""COMPUTED_VALUE"""),"МинЖКХ")</f>
        <v>МинЖКХ</v>
      </c>
      <c r="E86" s="20" t="str">
        <f ca="1">IFERROR(__xludf.DUMMYFUNCTION("""COMPUTED_VALUE"""),"Строительство присоединительного водовода от НС-9 в г.п. Старая Купавна к пос. Рыбхоз, к пос. Зеленый и д. Щемилово")</f>
        <v>Строительство присоединительного водовода от НС-9 в г.п. Старая Купавна к пос. Рыбхоз, к пос. Зеленый и д. Щемилово</v>
      </c>
      <c r="F86" s="30" t="str">
        <f ca="1">IFERROR(__xludf.DUMMYFUNCTION("""COMPUTED_VALUE"""),"Сети")</f>
        <v>Сети</v>
      </c>
      <c r="G86" s="20">
        <f ca="1">IFERROR(__xludf.DUMMYFUNCTION("""COMPUTED_VALUE"""),2021)</f>
        <v>2021</v>
      </c>
      <c r="H86" s="20" t="str">
        <f ca="1">IFERROR(__xludf.DUMMYFUNCTION("""COMPUTED_VALUE"""),"СМР")</f>
        <v>СМР</v>
      </c>
      <c r="I86" s="20"/>
      <c r="J86" s="20" t="str">
        <f ca="1">IFERROR(__xludf.DUMMYFUNCTION("""COMPUTED_VALUE"""),"Получено положительное заключение МОГЭ. Решается вопрос согласования крупной сделки. Заказчик КС МО.")</f>
        <v>Получено положительное заключение МОГЭ. Решается вопрос согласования крупной сделки. Заказчик КС МО.</v>
      </c>
      <c r="K86" s="20"/>
      <c r="L86" s="20"/>
      <c r="M86" s="20"/>
      <c r="N86" s="24">
        <f ca="1">IFERROR(__xludf.DUMMYFUNCTION("""COMPUTED_VALUE"""),0)</f>
        <v>0</v>
      </c>
      <c r="O86" s="20"/>
      <c r="P86" s="20"/>
      <c r="Q86" s="20"/>
      <c r="R86" s="20"/>
      <c r="S86" s="20"/>
      <c r="T86" s="20"/>
      <c r="U86" s="24">
        <f ca="1">IFERROR(__xludf.DUMMYFUNCTION("""COMPUTED_VALUE"""),0)</f>
        <v>0</v>
      </c>
      <c r="V86" s="24">
        <f ca="1">IFERROR(__xludf.DUMMYFUNCTION("""COMPUTED_VALUE"""),0)</f>
        <v>0</v>
      </c>
      <c r="W86" s="24">
        <f ca="1">IFERROR(__xludf.DUMMYFUNCTION("""COMPUTED_VALUE"""),0)</f>
        <v>0</v>
      </c>
      <c r="X86" s="24">
        <f ca="1">IFERROR(__xludf.DUMMYFUNCTION("""COMPUTED_VALUE"""),0)</f>
        <v>0</v>
      </c>
      <c r="Y86" s="24">
        <f ca="1">IFERROR(__xludf.DUMMYFUNCTION("""COMPUTED_VALUE"""),0)</f>
        <v>0</v>
      </c>
      <c r="Z86" s="24">
        <f ca="1">IFERROR(__xludf.DUMMYFUNCTION("""COMPUTED_VALUE"""),0)</f>
        <v>0</v>
      </c>
      <c r="AA86" s="20" t="str">
        <f ca="1">IFERROR(__xludf.DUMMYFUNCTION("""COMPUTED_VALUE"""),"10 1 G5 52439")</f>
        <v>10 1 G5 52439</v>
      </c>
      <c r="AB86" s="20">
        <f ca="1">IFERROR(__xludf.DUMMYFUNCTION("""COMPUTED_VALUE"""),460)</f>
        <v>460</v>
      </c>
      <c r="AC86" s="20"/>
      <c r="AD86" s="20"/>
      <c r="AE86" s="20"/>
      <c r="AF86" s="24">
        <f ca="1">IFERROR(__xludf.DUMMYFUNCTION("""COMPUTED_VALUE"""),130580)</f>
        <v>130580</v>
      </c>
      <c r="AG86" s="24">
        <f ca="1">IFERROR(__xludf.DUMMYFUNCTION("""COMPUTED_VALUE"""),0)</f>
        <v>0</v>
      </c>
      <c r="AH86" s="24">
        <f ca="1">IFERROR(__xludf.DUMMYFUNCTION("""COMPUTED_VALUE"""),130580)</f>
        <v>130580</v>
      </c>
      <c r="AI86" s="24">
        <f ca="1">IFERROR(__xludf.DUMMYFUNCTION("""COMPUTED_VALUE"""),0)</f>
        <v>0</v>
      </c>
      <c r="AJ86" s="24">
        <f ca="1">IFERROR(__xludf.DUMMYFUNCTION("""COMPUTED_VALUE"""),0)</f>
        <v>0</v>
      </c>
      <c r="AK86" s="24">
        <f ca="1">IFERROR(__xludf.DUMMYFUNCTION("""COMPUTED_VALUE"""),0)</f>
        <v>0</v>
      </c>
      <c r="AL86" s="24">
        <f ca="1">IFERROR(__xludf.DUMMYFUNCTION("""COMPUTED_VALUE"""),0)</f>
        <v>0</v>
      </c>
      <c r="AM86" s="20"/>
      <c r="AN86" s="20"/>
      <c r="AO86" s="20"/>
      <c r="AP86" s="20"/>
      <c r="AQ86" s="20"/>
      <c r="AR86" s="24">
        <f ca="1">IFERROR(__xludf.DUMMYFUNCTION("""COMPUTED_VALUE"""),0)</f>
        <v>0</v>
      </c>
      <c r="AS86" s="20"/>
      <c r="AT86" s="20"/>
      <c r="AU86" s="20"/>
      <c r="AV86" s="20"/>
      <c r="AW86" s="20"/>
      <c r="AX86" s="24">
        <f ca="1">IFERROR(__xludf.DUMMYFUNCTION("""COMPUTED_VALUE"""),0)</f>
        <v>0</v>
      </c>
      <c r="AY86" s="24">
        <f ca="1">IFERROR(__xludf.DUMMYFUNCTION("""COMPUTED_VALUE"""),0)</f>
        <v>0</v>
      </c>
      <c r="AZ86" s="24">
        <f ca="1">IFERROR(__xludf.DUMMYFUNCTION("""COMPUTED_VALUE"""),0)</f>
        <v>0</v>
      </c>
      <c r="BA86" s="20"/>
      <c r="BB86" s="24">
        <f ca="1">IFERROR(__xludf.DUMMYFUNCTION("""COMPUTED_VALUE"""),0)</f>
        <v>0</v>
      </c>
      <c r="BC86" s="20"/>
      <c r="BD86" s="24">
        <f ca="1">IFERROR(__xludf.DUMMYFUNCTION("""COMPUTED_VALUE"""),130580)</f>
        <v>130580</v>
      </c>
      <c r="BE86" s="24">
        <f ca="1">IFERROR(__xludf.DUMMYFUNCTION("""COMPUTED_VALUE"""),0)</f>
        <v>0</v>
      </c>
      <c r="BF86" s="24">
        <f ca="1">IFERROR(__xludf.DUMMYFUNCTION("""COMPUTED_VALUE"""),130580)</f>
        <v>130580</v>
      </c>
      <c r="BG86" s="20"/>
      <c r="BH86" s="24">
        <f ca="1">IFERROR(__xludf.DUMMYFUNCTION("""COMPUTED_VALUE"""),0)</f>
        <v>0</v>
      </c>
      <c r="BI86" s="20"/>
      <c r="BJ86" s="24">
        <f ca="1">IFERROR(__xludf.DUMMYFUNCTION("""COMPUTED_VALUE"""),0)</f>
        <v>0</v>
      </c>
      <c r="BK86" s="24">
        <f ca="1">IFERROR(__xludf.DUMMYFUNCTION("""COMPUTED_VALUE"""),0)</f>
        <v>0</v>
      </c>
      <c r="BL86" s="24">
        <f ca="1">IFERROR(__xludf.DUMMYFUNCTION("""COMPUTED_VALUE"""),0)</f>
        <v>0</v>
      </c>
      <c r="BM86" s="20"/>
      <c r="BN86" s="24">
        <f ca="1">IFERROR(__xludf.DUMMYFUNCTION("""COMPUTED_VALUE"""),0)</f>
        <v>0</v>
      </c>
      <c r="BO86" s="20"/>
      <c r="BP86" s="24">
        <f ca="1">IFERROR(__xludf.DUMMYFUNCTION("""COMPUTED_VALUE"""),0)</f>
        <v>0</v>
      </c>
      <c r="BQ86" s="24">
        <f ca="1">IFERROR(__xludf.DUMMYFUNCTION("""COMPUTED_VALUE"""),0)</f>
        <v>0</v>
      </c>
      <c r="BR86" s="24">
        <f ca="1">IFERROR(__xludf.DUMMYFUNCTION("""COMPUTED_VALUE"""),0)</f>
        <v>0</v>
      </c>
      <c r="BS86" s="20"/>
      <c r="BT86" s="24">
        <f ca="1">IFERROR(__xludf.DUMMYFUNCTION("""COMPUTED_VALUE"""),0)</f>
        <v>0</v>
      </c>
      <c r="BU86" s="20"/>
      <c r="BV86" s="24">
        <f ca="1">IFERROR(__xludf.DUMMYFUNCTION("""COMPUTED_VALUE"""),0)</f>
        <v>0</v>
      </c>
      <c r="BW86" s="24">
        <f ca="1">IFERROR(__xludf.DUMMYFUNCTION("""COMPUTED_VALUE"""),0)</f>
        <v>0</v>
      </c>
      <c r="BX86" s="24">
        <f ca="1">IFERROR(__xludf.DUMMYFUNCTION("""COMPUTED_VALUE"""),0)</f>
        <v>0</v>
      </c>
      <c r="BY86" s="20"/>
      <c r="BZ86" s="24">
        <f ca="1">IFERROR(__xludf.DUMMYFUNCTION("""COMPUTED_VALUE"""),0)</f>
        <v>0</v>
      </c>
      <c r="CA86" s="20"/>
      <c r="CB86" s="20"/>
      <c r="CC86" s="20"/>
      <c r="CD86" s="20"/>
      <c r="CE86" s="20"/>
      <c r="CF86" s="20"/>
      <c r="CG86" s="20"/>
      <c r="CH86" s="20"/>
      <c r="CI86" s="20"/>
      <c r="CJ86" s="20"/>
      <c r="CK86" s="20"/>
      <c r="CL86" s="20"/>
      <c r="CM86" s="20"/>
      <c r="CN86" s="20"/>
      <c r="CO86" s="20"/>
      <c r="CP86" s="20"/>
      <c r="CQ86" s="20"/>
      <c r="CR86" s="20"/>
      <c r="CS86" s="20"/>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row>
    <row r="87" spans="1:123" ht="64.5" hidden="1" customHeight="1" x14ac:dyDescent="0.2">
      <c r="A87" s="19"/>
      <c r="B87" s="20" t="str">
        <f ca="1">IFERROR(__xludf.DUMMYFUNCTION("""COMPUTED_VALUE"""),"г.о. Богородский")</f>
        <v>г.о. Богородский</v>
      </c>
      <c r="C87"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7" s="20" t="str">
        <f ca="1">IFERROR(__xludf.DUMMYFUNCTION("""COMPUTED_VALUE"""),"МинЖКХ")</f>
        <v>МинЖКХ</v>
      </c>
      <c r="E87" s="20" t="str">
        <f ca="1">IFERROR(__xludf.DUMMYFUNCTION("""COMPUTED_VALUE"""),"Строителььство ВЗУ «Заречье» и сетей водоснабжения  с врезкой в существующую сеть,  г.о. Богородский")</f>
        <v>Строителььство ВЗУ «Заречье» и сетей водоснабжения  с врезкой в существующую сеть,  г.о. Богородский</v>
      </c>
      <c r="F87" s="22" t="str">
        <f ca="1">IFERROR(__xludf.DUMMYFUNCTION("""COMPUTED_VALUE"""),"ВЗУ")</f>
        <v>ВЗУ</v>
      </c>
      <c r="G87" s="20">
        <f ca="1">IFERROR(__xludf.DUMMYFUNCTION("""COMPUTED_VALUE"""),2023)</f>
        <v>2023</v>
      </c>
      <c r="H87" s="20" t="str">
        <f ca="1">IFERROR(__xludf.DUMMYFUNCTION("""COMPUTED_VALUE"""),"СМР")</f>
        <v>СМР</v>
      </c>
      <c r="I87" s="20"/>
      <c r="J87" s="20"/>
      <c r="K87" s="20"/>
      <c r="L87" s="20"/>
      <c r="M87" s="20"/>
      <c r="N87" s="24">
        <f ca="1">IFERROR(__xludf.DUMMYFUNCTION("""COMPUTED_VALUE"""),0)</f>
        <v>0</v>
      </c>
      <c r="O87" s="20"/>
      <c r="P87" s="20"/>
      <c r="Q87" s="20"/>
      <c r="R87" s="20"/>
      <c r="S87" s="20"/>
      <c r="T87" s="20"/>
      <c r="U87" s="24">
        <f ca="1">IFERROR(__xludf.DUMMYFUNCTION("""COMPUTED_VALUE"""),0)</f>
        <v>0</v>
      </c>
      <c r="V87" s="24">
        <f ca="1">IFERROR(__xludf.DUMMYFUNCTION("""COMPUTED_VALUE"""),0)</f>
        <v>0</v>
      </c>
      <c r="W87" s="24">
        <f ca="1">IFERROR(__xludf.DUMMYFUNCTION("""COMPUTED_VALUE"""),0)</f>
        <v>0</v>
      </c>
      <c r="X87" s="24">
        <f ca="1">IFERROR(__xludf.DUMMYFUNCTION("""COMPUTED_VALUE"""),0)</f>
        <v>0</v>
      </c>
      <c r="Y87" s="24">
        <f ca="1">IFERROR(__xludf.DUMMYFUNCTION("""COMPUTED_VALUE"""),0)</f>
        <v>0</v>
      </c>
      <c r="Z87" s="24">
        <f ca="1">IFERROR(__xludf.DUMMYFUNCTION("""COMPUTED_VALUE"""),0)</f>
        <v>0</v>
      </c>
      <c r="AA87" s="20" t="str">
        <f ca="1">IFERROR(__xludf.DUMMYFUNCTION("""COMPUTED_VALUE"""),"10 1 G5 52439")</f>
        <v>10 1 G5 52439</v>
      </c>
      <c r="AB87" s="20">
        <f ca="1">IFERROR(__xludf.DUMMYFUNCTION("""COMPUTED_VALUE"""),460)</f>
        <v>460</v>
      </c>
      <c r="AC87" s="20"/>
      <c r="AD87" s="20"/>
      <c r="AE87" s="20"/>
      <c r="AF87" s="24">
        <f ca="1">IFERROR(__xludf.DUMMYFUNCTION("""COMPUTED_VALUE"""),289459.47)</f>
        <v>289459.46999999997</v>
      </c>
      <c r="AG87" s="24">
        <f ca="1">IFERROR(__xludf.DUMMYFUNCTION("""COMPUTED_VALUE"""),217094.6)</f>
        <v>217094.6</v>
      </c>
      <c r="AH87" s="24">
        <f ca="1">IFERROR(__xludf.DUMMYFUNCTION("""COMPUTED_VALUE"""),72364.87)</f>
        <v>72364.87</v>
      </c>
      <c r="AI87" s="24">
        <f ca="1">IFERROR(__xludf.DUMMYFUNCTION("""COMPUTED_VALUE"""),0)</f>
        <v>0</v>
      </c>
      <c r="AJ87" s="24">
        <f ca="1">IFERROR(__xludf.DUMMYFUNCTION("""COMPUTED_VALUE"""),0)</f>
        <v>0</v>
      </c>
      <c r="AK87" s="24">
        <f ca="1">IFERROR(__xludf.DUMMYFUNCTION("""COMPUTED_VALUE"""),0)</f>
        <v>0</v>
      </c>
      <c r="AL87" s="24">
        <f ca="1">IFERROR(__xludf.DUMMYFUNCTION("""COMPUTED_VALUE"""),0)</f>
        <v>0</v>
      </c>
      <c r="AM87" s="20"/>
      <c r="AN87" s="20"/>
      <c r="AO87" s="20"/>
      <c r="AP87" s="20"/>
      <c r="AQ87" s="20"/>
      <c r="AR87" s="24">
        <f ca="1">IFERROR(__xludf.DUMMYFUNCTION("""COMPUTED_VALUE"""),0)</f>
        <v>0</v>
      </c>
      <c r="AS87" s="20"/>
      <c r="AT87" s="20"/>
      <c r="AU87" s="20"/>
      <c r="AV87" s="20"/>
      <c r="AW87" s="20"/>
      <c r="AX87" s="24">
        <f ca="1">IFERROR(__xludf.DUMMYFUNCTION("""COMPUTED_VALUE"""),0)</f>
        <v>0</v>
      </c>
      <c r="AY87" s="24">
        <f ca="1">IFERROR(__xludf.DUMMYFUNCTION("""COMPUTED_VALUE"""),0)</f>
        <v>0</v>
      </c>
      <c r="AZ87" s="24">
        <f ca="1">IFERROR(__xludf.DUMMYFUNCTION("""COMPUTED_VALUE"""),0)</f>
        <v>0</v>
      </c>
      <c r="BA87" s="20"/>
      <c r="BB87" s="24">
        <f ca="1">IFERROR(__xludf.DUMMYFUNCTION("""COMPUTED_VALUE"""),0)</f>
        <v>0</v>
      </c>
      <c r="BC87" s="20"/>
      <c r="BD87" s="24">
        <f ca="1">IFERROR(__xludf.DUMMYFUNCTION("""COMPUTED_VALUE"""),0)</f>
        <v>0</v>
      </c>
      <c r="BE87" s="24">
        <f ca="1">IFERROR(__xludf.DUMMYFUNCTION("""COMPUTED_VALUE"""),0)</f>
        <v>0</v>
      </c>
      <c r="BF87" s="24">
        <f ca="1">IFERROR(__xludf.DUMMYFUNCTION("""COMPUTED_VALUE"""),0)</f>
        <v>0</v>
      </c>
      <c r="BG87" s="20"/>
      <c r="BH87" s="24">
        <f ca="1">IFERROR(__xludf.DUMMYFUNCTION("""COMPUTED_VALUE"""),0)</f>
        <v>0</v>
      </c>
      <c r="BI87" s="20"/>
      <c r="BJ87" s="24">
        <f ca="1">IFERROR(__xludf.DUMMYFUNCTION("""COMPUTED_VALUE"""),0)</f>
        <v>0</v>
      </c>
      <c r="BK87" s="24">
        <f ca="1">IFERROR(__xludf.DUMMYFUNCTION("""COMPUTED_VALUE"""),0)</f>
        <v>0</v>
      </c>
      <c r="BL87" s="24">
        <f ca="1">IFERROR(__xludf.DUMMYFUNCTION("""COMPUTED_VALUE"""),0)</f>
        <v>0</v>
      </c>
      <c r="BM87" s="20"/>
      <c r="BN87" s="24">
        <f ca="1">IFERROR(__xludf.DUMMYFUNCTION("""COMPUTED_VALUE"""),0)</f>
        <v>0</v>
      </c>
      <c r="BO87" s="20"/>
      <c r="BP87" s="24">
        <f ca="1">IFERROR(__xludf.DUMMYFUNCTION("""COMPUTED_VALUE"""),289459.47)</f>
        <v>289459.46999999997</v>
      </c>
      <c r="BQ87" s="24">
        <f ca="1">IFERROR(__xludf.DUMMYFUNCTION("""COMPUTED_VALUE"""),217094.6)</f>
        <v>217094.6</v>
      </c>
      <c r="BR87" s="24">
        <f ca="1">IFERROR(__xludf.DUMMYFUNCTION("""COMPUTED_VALUE"""),72364.87)</f>
        <v>72364.87</v>
      </c>
      <c r="BS87" s="20"/>
      <c r="BT87" s="24">
        <f ca="1">IFERROR(__xludf.DUMMYFUNCTION("""COMPUTED_VALUE"""),0)</f>
        <v>0</v>
      </c>
      <c r="BU87" s="20"/>
      <c r="BV87" s="24">
        <f ca="1">IFERROR(__xludf.DUMMYFUNCTION("""COMPUTED_VALUE"""),0)</f>
        <v>0</v>
      </c>
      <c r="BW87" s="24">
        <f ca="1">IFERROR(__xludf.DUMMYFUNCTION("""COMPUTED_VALUE"""),0)</f>
        <v>0</v>
      </c>
      <c r="BX87" s="24">
        <f ca="1">IFERROR(__xludf.DUMMYFUNCTION("""COMPUTED_VALUE"""),0)</f>
        <v>0</v>
      </c>
      <c r="BY87" s="20"/>
      <c r="BZ87" s="24">
        <f ca="1">IFERROR(__xludf.DUMMYFUNCTION("""COMPUTED_VALUE"""),0)</f>
        <v>0</v>
      </c>
      <c r="CA87" s="20"/>
      <c r="CB87" s="20"/>
      <c r="CC87" s="20"/>
      <c r="CD87" s="20"/>
      <c r="CE87" s="20"/>
      <c r="CF87" s="20"/>
      <c r="CG87" s="20"/>
      <c r="CH87" s="20"/>
      <c r="CI87" s="20"/>
      <c r="CJ87" s="20"/>
      <c r="CK87" s="20"/>
      <c r="CL87" s="20"/>
      <c r="CM87" s="20"/>
      <c r="CN87" s="20"/>
      <c r="CO87" s="20"/>
      <c r="CP87" s="20"/>
      <c r="CQ87" s="20"/>
      <c r="CR87" s="20"/>
      <c r="CS87" s="20"/>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row>
    <row r="88" spans="1:123" ht="64.5" hidden="1" customHeight="1" x14ac:dyDescent="0.2">
      <c r="A88" s="19"/>
      <c r="B88" s="20" t="str">
        <f ca="1">IFERROR(__xludf.DUMMYFUNCTION("""COMPUTED_VALUE"""),"г.о. Богородский")</f>
        <v>г.о. Богородский</v>
      </c>
      <c r="C88"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8" s="20" t="str">
        <f ca="1">IFERROR(__xludf.DUMMYFUNCTION("""COMPUTED_VALUE"""),"МинЖКХ")</f>
        <v>МинЖКХ</v>
      </c>
      <c r="E88" s="20" t="str">
        <f ca="1">IFERROR(__xludf.DUMMYFUNCTION("""COMPUTED_VALUE"""),"Строительство II-ой нитки присоединительного водовода Ду 500 мм от ВК-7/14 до НС-9 г.о. Богородский")</f>
        <v>Строительство II-ой нитки присоединительного водовода Ду 500 мм от ВК-7/14 до НС-9 г.о. Богородский</v>
      </c>
      <c r="F88" s="30" t="str">
        <f ca="1">IFERROR(__xludf.DUMMYFUNCTION("""COMPUTED_VALUE"""),"Сети")</f>
        <v>Сети</v>
      </c>
      <c r="G88" s="20">
        <f ca="1">IFERROR(__xludf.DUMMYFUNCTION("""COMPUTED_VALUE"""),2023)</f>
        <v>2023</v>
      </c>
      <c r="H88" s="20" t="str">
        <f ca="1">IFERROR(__xludf.DUMMYFUNCTION("""COMPUTED_VALUE"""),"СМР")</f>
        <v>СМР</v>
      </c>
      <c r="I88" s="20"/>
      <c r="J88" s="20"/>
      <c r="K88" s="20"/>
      <c r="L88" s="20"/>
      <c r="M88" s="20"/>
      <c r="N88" s="24">
        <f ca="1">IFERROR(__xludf.DUMMYFUNCTION("""COMPUTED_VALUE"""),0)</f>
        <v>0</v>
      </c>
      <c r="O88" s="20"/>
      <c r="P88" s="20"/>
      <c r="Q88" s="20"/>
      <c r="R88" s="20"/>
      <c r="S88" s="20"/>
      <c r="T88" s="20"/>
      <c r="U88" s="24">
        <f ca="1">IFERROR(__xludf.DUMMYFUNCTION("""COMPUTED_VALUE"""),0)</f>
        <v>0</v>
      </c>
      <c r="V88" s="24">
        <f ca="1">IFERROR(__xludf.DUMMYFUNCTION("""COMPUTED_VALUE"""),0)</f>
        <v>0</v>
      </c>
      <c r="W88" s="24">
        <f ca="1">IFERROR(__xludf.DUMMYFUNCTION("""COMPUTED_VALUE"""),0)</f>
        <v>0</v>
      </c>
      <c r="X88" s="24">
        <f ca="1">IFERROR(__xludf.DUMMYFUNCTION("""COMPUTED_VALUE"""),0)</f>
        <v>0</v>
      </c>
      <c r="Y88" s="24">
        <f ca="1">IFERROR(__xludf.DUMMYFUNCTION("""COMPUTED_VALUE"""),0)</f>
        <v>0</v>
      </c>
      <c r="Z88" s="24">
        <f ca="1">IFERROR(__xludf.DUMMYFUNCTION("""COMPUTED_VALUE"""),0)</f>
        <v>0</v>
      </c>
      <c r="AA88" s="20" t="str">
        <f ca="1">IFERROR(__xludf.DUMMYFUNCTION("""COMPUTED_VALUE"""),"10 1 G5 52439")</f>
        <v>10 1 G5 52439</v>
      </c>
      <c r="AB88" s="20">
        <f ca="1">IFERROR(__xludf.DUMMYFUNCTION("""COMPUTED_VALUE"""),460)</f>
        <v>460</v>
      </c>
      <c r="AC88" s="20"/>
      <c r="AD88" s="20"/>
      <c r="AE88" s="20"/>
      <c r="AF88" s="24">
        <f ca="1">IFERROR(__xludf.DUMMYFUNCTION("""COMPUTED_VALUE"""),679898.4)</f>
        <v>679898.4</v>
      </c>
      <c r="AG88" s="24">
        <f ca="1">IFERROR(__xludf.DUMMYFUNCTION("""COMPUTED_VALUE"""),509923.8)</f>
        <v>509923.8</v>
      </c>
      <c r="AH88" s="24">
        <f ca="1">IFERROR(__xludf.DUMMYFUNCTION("""COMPUTED_VALUE"""),169974.6)</f>
        <v>169974.6</v>
      </c>
      <c r="AI88" s="24">
        <f ca="1">IFERROR(__xludf.DUMMYFUNCTION("""COMPUTED_VALUE"""),0)</f>
        <v>0</v>
      </c>
      <c r="AJ88" s="24">
        <f ca="1">IFERROR(__xludf.DUMMYFUNCTION("""COMPUTED_VALUE"""),0)</f>
        <v>0</v>
      </c>
      <c r="AK88" s="24">
        <f ca="1">IFERROR(__xludf.DUMMYFUNCTION("""COMPUTED_VALUE"""),0)</f>
        <v>0</v>
      </c>
      <c r="AL88" s="24">
        <f ca="1">IFERROR(__xludf.DUMMYFUNCTION("""COMPUTED_VALUE"""),0)</f>
        <v>0</v>
      </c>
      <c r="AM88" s="20"/>
      <c r="AN88" s="20"/>
      <c r="AO88" s="20"/>
      <c r="AP88" s="20"/>
      <c r="AQ88" s="20"/>
      <c r="AR88" s="24">
        <f ca="1">IFERROR(__xludf.DUMMYFUNCTION("""COMPUTED_VALUE"""),0)</f>
        <v>0</v>
      </c>
      <c r="AS88" s="20"/>
      <c r="AT88" s="20"/>
      <c r="AU88" s="20"/>
      <c r="AV88" s="20"/>
      <c r="AW88" s="20"/>
      <c r="AX88" s="24">
        <f ca="1">IFERROR(__xludf.DUMMYFUNCTION("""COMPUTED_VALUE"""),0)</f>
        <v>0</v>
      </c>
      <c r="AY88" s="24">
        <f ca="1">IFERROR(__xludf.DUMMYFUNCTION("""COMPUTED_VALUE"""),0)</f>
        <v>0</v>
      </c>
      <c r="AZ88" s="24">
        <f ca="1">IFERROR(__xludf.DUMMYFUNCTION("""COMPUTED_VALUE"""),0)</f>
        <v>0</v>
      </c>
      <c r="BA88" s="20"/>
      <c r="BB88" s="24">
        <f ca="1">IFERROR(__xludf.DUMMYFUNCTION("""COMPUTED_VALUE"""),0)</f>
        <v>0</v>
      </c>
      <c r="BC88" s="20"/>
      <c r="BD88" s="24">
        <f ca="1">IFERROR(__xludf.DUMMYFUNCTION("""COMPUTED_VALUE"""),0)</f>
        <v>0</v>
      </c>
      <c r="BE88" s="24">
        <f ca="1">IFERROR(__xludf.DUMMYFUNCTION("""COMPUTED_VALUE"""),0)</f>
        <v>0</v>
      </c>
      <c r="BF88" s="24">
        <f ca="1">IFERROR(__xludf.DUMMYFUNCTION("""COMPUTED_VALUE"""),0)</f>
        <v>0</v>
      </c>
      <c r="BG88" s="20"/>
      <c r="BH88" s="24">
        <f ca="1">IFERROR(__xludf.DUMMYFUNCTION("""COMPUTED_VALUE"""),0)</f>
        <v>0</v>
      </c>
      <c r="BI88" s="20"/>
      <c r="BJ88" s="24">
        <f ca="1">IFERROR(__xludf.DUMMYFUNCTION("""COMPUTED_VALUE"""),0)</f>
        <v>0</v>
      </c>
      <c r="BK88" s="24">
        <f ca="1">IFERROR(__xludf.DUMMYFUNCTION("""COMPUTED_VALUE"""),0)</f>
        <v>0</v>
      </c>
      <c r="BL88" s="24">
        <f ca="1">IFERROR(__xludf.DUMMYFUNCTION("""COMPUTED_VALUE"""),0)</f>
        <v>0</v>
      </c>
      <c r="BM88" s="20"/>
      <c r="BN88" s="24">
        <f ca="1">IFERROR(__xludf.DUMMYFUNCTION("""COMPUTED_VALUE"""),0)</f>
        <v>0</v>
      </c>
      <c r="BO88" s="20"/>
      <c r="BP88" s="24">
        <f ca="1">IFERROR(__xludf.DUMMYFUNCTION("""COMPUTED_VALUE"""),679898.4)</f>
        <v>679898.4</v>
      </c>
      <c r="BQ88" s="24">
        <f ca="1">IFERROR(__xludf.DUMMYFUNCTION("""COMPUTED_VALUE"""),509923.8)</f>
        <v>509923.8</v>
      </c>
      <c r="BR88" s="24">
        <f ca="1">IFERROR(__xludf.DUMMYFUNCTION("""COMPUTED_VALUE"""),169974.6)</f>
        <v>169974.6</v>
      </c>
      <c r="BS88" s="20"/>
      <c r="BT88" s="24">
        <f ca="1">IFERROR(__xludf.DUMMYFUNCTION("""COMPUTED_VALUE"""),0)</f>
        <v>0</v>
      </c>
      <c r="BU88" s="20"/>
      <c r="BV88" s="24">
        <f ca="1">IFERROR(__xludf.DUMMYFUNCTION("""COMPUTED_VALUE"""),0)</f>
        <v>0</v>
      </c>
      <c r="BW88" s="24">
        <f ca="1">IFERROR(__xludf.DUMMYFUNCTION("""COMPUTED_VALUE"""),0)</f>
        <v>0</v>
      </c>
      <c r="BX88" s="24">
        <f ca="1">IFERROR(__xludf.DUMMYFUNCTION("""COMPUTED_VALUE"""),0)</f>
        <v>0</v>
      </c>
      <c r="BY88" s="20"/>
      <c r="BZ88" s="24">
        <f ca="1">IFERROR(__xludf.DUMMYFUNCTION("""COMPUTED_VALUE"""),0)</f>
        <v>0</v>
      </c>
      <c r="CA88" s="20"/>
      <c r="CB88" s="20"/>
      <c r="CC88" s="20"/>
      <c r="CD88" s="20"/>
      <c r="CE88" s="20"/>
      <c r="CF88" s="20"/>
      <c r="CG88" s="20"/>
      <c r="CH88" s="20"/>
      <c r="CI88" s="20"/>
      <c r="CJ88" s="20"/>
      <c r="CK88" s="20"/>
      <c r="CL88" s="20"/>
      <c r="CM88" s="20"/>
      <c r="CN88" s="20"/>
      <c r="CO88" s="20"/>
      <c r="CP88" s="20"/>
      <c r="CQ88" s="20"/>
      <c r="CR88" s="20"/>
      <c r="CS88" s="20"/>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row>
    <row r="89" spans="1:123" ht="64.5" hidden="1" customHeight="1" x14ac:dyDescent="0.2">
      <c r="A89" s="19"/>
      <c r="B89" s="20" t="str">
        <f ca="1">IFERROR(__xludf.DUMMYFUNCTION("""COMPUTED_VALUE"""),"г.о. Богородский")</f>
        <v>г.о. Богородский</v>
      </c>
      <c r="C89"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9" s="20" t="str">
        <f ca="1">IFERROR(__xludf.DUMMYFUNCTION("""COMPUTED_VALUE"""),"МинЖКХ")</f>
        <v>МинЖКХ</v>
      </c>
      <c r="E89" s="20" t="str">
        <f ca="1">IFERROR(__xludf.DUMMYFUNCTION("""COMPUTED_VALUE"""),"Строительство сетей водоснабжения в г. Старая Купавна Богородского г.о.")</f>
        <v>Строительство сетей водоснабжения в г. Старая Купавна Богородского г.о.</v>
      </c>
      <c r="F89" s="22" t="str">
        <f ca="1">IFERROR(__xludf.DUMMYFUNCTION("""COMPUTED_VALUE"""),"Сети")</f>
        <v>Сети</v>
      </c>
      <c r="G89" s="20">
        <f ca="1">IFERROR(__xludf.DUMMYFUNCTION("""COMPUTED_VALUE"""),2023)</f>
        <v>2023</v>
      </c>
      <c r="H89" s="20" t="str">
        <f ca="1">IFERROR(__xludf.DUMMYFUNCTION("""COMPUTED_VALUE"""),"СМР")</f>
        <v>СМР</v>
      </c>
      <c r="I89" s="20"/>
      <c r="J89" s="20"/>
      <c r="K89" s="20"/>
      <c r="L89" s="20"/>
      <c r="M89" s="20"/>
      <c r="N89" s="24">
        <f ca="1">IFERROR(__xludf.DUMMYFUNCTION("""COMPUTED_VALUE"""),0)</f>
        <v>0</v>
      </c>
      <c r="O89" s="20"/>
      <c r="P89" s="20"/>
      <c r="Q89" s="20"/>
      <c r="R89" s="20"/>
      <c r="S89" s="20"/>
      <c r="T89" s="20"/>
      <c r="U89" s="24">
        <f ca="1">IFERROR(__xludf.DUMMYFUNCTION("""COMPUTED_VALUE"""),0)</f>
        <v>0</v>
      </c>
      <c r="V89" s="24">
        <f ca="1">IFERROR(__xludf.DUMMYFUNCTION("""COMPUTED_VALUE"""),0)</f>
        <v>0</v>
      </c>
      <c r="W89" s="24">
        <f ca="1">IFERROR(__xludf.DUMMYFUNCTION("""COMPUTED_VALUE"""),0)</f>
        <v>0</v>
      </c>
      <c r="X89" s="24">
        <f ca="1">IFERROR(__xludf.DUMMYFUNCTION("""COMPUTED_VALUE"""),0)</f>
        <v>0</v>
      </c>
      <c r="Y89" s="24">
        <f ca="1">IFERROR(__xludf.DUMMYFUNCTION("""COMPUTED_VALUE"""),0)</f>
        <v>0</v>
      </c>
      <c r="Z89" s="24">
        <f ca="1">IFERROR(__xludf.DUMMYFUNCTION("""COMPUTED_VALUE"""),0)</f>
        <v>0</v>
      </c>
      <c r="AA89" s="20" t="str">
        <f ca="1">IFERROR(__xludf.DUMMYFUNCTION("""COMPUTED_VALUE"""),"10 1 G5 52439")</f>
        <v>10 1 G5 52439</v>
      </c>
      <c r="AB89" s="20">
        <f ca="1">IFERROR(__xludf.DUMMYFUNCTION("""COMPUTED_VALUE"""),460)</f>
        <v>460</v>
      </c>
      <c r="AC89" s="20"/>
      <c r="AD89" s="20"/>
      <c r="AE89" s="20"/>
      <c r="AF89" s="24">
        <f ca="1">IFERROR(__xludf.DUMMYFUNCTION("""COMPUTED_VALUE"""),98988)</f>
        <v>98988</v>
      </c>
      <c r="AG89" s="24">
        <f ca="1">IFERROR(__xludf.DUMMYFUNCTION("""COMPUTED_VALUE"""),74241)</f>
        <v>74241</v>
      </c>
      <c r="AH89" s="24">
        <f ca="1">IFERROR(__xludf.DUMMYFUNCTION("""COMPUTED_VALUE"""),24747)</f>
        <v>24747</v>
      </c>
      <c r="AI89" s="24">
        <f ca="1">IFERROR(__xludf.DUMMYFUNCTION("""COMPUTED_VALUE"""),0)</f>
        <v>0</v>
      </c>
      <c r="AJ89" s="24">
        <f ca="1">IFERROR(__xludf.DUMMYFUNCTION("""COMPUTED_VALUE"""),0)</f>
        <v>0</v>
      </c>
      <c r="AK89" s="24">
        <f ca="1">IFERROR(__xludf.DUMMYFUNCTION("""COMPUTED_VALUE"""),0)</f>
        <v>0</v>
      </c>
      <c r="AL89" s="24">
        <f ca="1">IFERROR(__xludf.DUMMYFUNCTION("""COMPUTED_VALUE"""),0)</f>
        <v>0</v>
      </c>
      <c r="AM89" s="20"/>
      <c r="AN89" s="20"/>
      <c r="AO89" s="20"/>
      <c r="AP89" s="20"/>
      <c r="AQ89" s="20"/>
      <c r="AR89" s="24">
        <f ca="1">IFERROR(__xludf.DUMMYFUNCTION("""COMPUTED_VALUE"""),0)</f>
        <v>0</v>
      </c>
      <c r="AS89" s="20"/>
      <c r="AT89" s="20"/>
      <c r="AU89" s="20"/>
      <c r="AV89" s="20"/>
      <c r="AW89" s="20"/>
      <c r="AX89" s="24">
        <f ca="1">IFERROR(__xludf.DUMMYFUNCTION("""COMPUTED_VALUE"""),0)</f>
        <v>0</v>
      </c>
      <c r="AY89" s="24">
        <f ca="1">IFERROR(__xludf.DUMMYFUNCTION("""COMPUTED_VALUE"""),0)</f>
        <v>0</v>
      </c>
      <c r="AZ89" s="24">
        <f ca="1">IFERROR(__xludf.DUMMYFUNCTION("""COMPUTED_VALUE"""),0)</f>
        <v>0</v>
      </c>
      <c r="BA89" s="20"/>
      <c r="BB89" s="24">
        <f ca="1">IFERROR(__xludf.DUMMYFUNCTION("""COMPUTED_VALUE"""),0)</f>
        <v>0</v>
      </c>
      <c r="BC89" s="20"/>
      <c r="BD89" s="24">
        <f ca="1">IFERROR(__xludf.DUMMYFUNCTION("""COMPUTED_VALUE"""),0)</f>
        <v>0</v>
      </c>
      <c r="BE89" s="24">
        <f ca="1">IFERROR(__xludf.DUMMYFUNCTION("""COMPUTED_VALUE"""),0)</f>
        <v>0</v>
      </c>
      <c r="BF89" s="24">
        <f ca="1">IFERROR(__xludf.DUMMYFUNCTION("""COMPUTED_VALUE"""),0)</f>
        <v>0</v>
      </c>
      <c r="BG89" s="20"/>
      <c r="BH89" s="24">
        <f ca="1">IFERROR(__xludf.DUMMYFUNCTION("""COMPUTED_VALUE"""),0)</f>
        <v>0</v>
      </c>
      <c r="BI89" s="20"/>
      <c r="BJ89" s="24">
        <f ca="1">IFERROR(__xludf.DUMMYFUNCTION("""COMPUTED_VALUE"""),0)</f>
        <v>0</v>
      </c>
      <c r="BK89" s="24">
        <f ca="1">IFERROR(__xludf.DUMMYFUNCTION("""COMPUTED_VALUE"""),0)</f>
        <v>0</v>
      </c>
      <c r="BL89" s="24">
        <f ca="1">IFERROR(__xludf.DUMMYFUNCTION("""COMPUTED_VALUE"""),0)</f>
        <v>0</v>
      </c>
      <c r="BM89" s="20"/>
      <c r="BN89" s="24">
        <f ca="1">IFERROR(__xludf.DUMMYFUNCTION("""COMPUTED_VALUE"""),0)</f>
        <v>0</v>
      </c>
      <c r="BO89" s="20"/>
      <c r="BP89" s="24">
        <f ca="1">IFERROR(__xludf.DUMMYFUNCTION("""COMPUTED_VALUE"""),98988)</f>
        <v>98988</v>
      </c>
      <c r="BQ89" s="24">
        <f ca="1">IFERROR(__xludf.DUMMYFUNCTION("""COMPUTED_VALUE"""),74241)</f>
        <v>74241</v>
      </c>
      <c r="BR89" s="24">
        <f ca="1">IFERROR(__xludf.DUMMYFUNCTION("""COMPUTED_VALUE"""),24747)</f>
        <v>24747</v>
      </c>
      <c r="BS89" s="20"/>
      <c r="BT89" s="24">
        <f ca="1">IFERROR(__xludf.DUMMYFUNCTION("""COMPUTED_VALUE"""),0)</f>
        <v>0</v>
      </c>
      <c r="BU89" s="20"/>
      <c r="BV89" s="24">
        <f ca="1">IFERROR(__xludf.DUMMYFUNCTION("""COMPUTED_VALUE"""),0)</f>
        <v>0</v>
      </c>
      <c r="BW89" s="24">
        <f ca="1">IFERROR(__xludf.DUMMYFUNCTION("""COMPUTED_VALUE"""),0)</f>
        <v>0</v>
      </c>
      <c r="BX89" s="24">
        <f ca="1">IFERROR(__xludf.DUMMYFUNCTION("""COMPUTED_VALUE"""),0)</f>
        <v>0</v>
      </c>
      <c r="BY89" s="20"/>
      <c r="BZ89" s="24">
        <f ca="1">IFERROR(__xludf.DUMMYFUNCTION("""COMPUTED_VALUE"""),0)</f>
        <v>0</v>
      </c>
      <c r="CA89" s="20"/>
      <c r="CB89" s="20"/>
      <c r="CC89" s="20"/>
      <c r="CD89" s="20"/>
      <c r="CE89" s="20"/>
      <c r="CF89" s="20"/>
      <c r="CG89" s="20"/>
      <c r="CH89" s="20"/>
      <c r="CI89" s="20"/>
      <c r="CJ89" s="20"/>
      <c r="CK89" s="20"/>
      <c r="CL89" s="20"/>
      <c r="CM89" s="20"/>
      <c r="CN89" s="20"/>
      <c r="CO89" s="20"/>
      <c r="CP89" s="20"/>
      <c r="CQ89" s="20"/>
      <c r="CR89" s="20"/>
      <c r="CS89" s="20"/>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row>
    <row r="90" spans="1:123" ht="64.5" customHeight="1" x14ac:dyDescent="0.2">
      <c r="A90" s="19"/>
      <c r="B90" s="20" t="str">
        <f ca="1">IFERROR(__xludf.DUMMYFUNCTION("""COMPUTED_VALUE"""),"КСМО")</f>
        <v>КСМО</v>
      </c>
      <c r="C90"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0" s="20" t="str">
        <f ca="1">IFERROR(__xludf.DUMMYFUNCTION("""COMPUTED_VALUE"""),"МинЖКХ")</f>
        <v>МинЖКХ</v>
      </c>
      <c r="E90" s="20" t="str">
        <f ca="1">IFERROR(__xludf.DUMMYFUNCTION("""COMPUTED_VALUE"""),"Строительство  присоеденительного водовода от Восточной системы водоснабжения Московской области к  д. Тимохово Богородский г.о. (в том числе ПИР)")</f>
        <v>Строительство  присоеденительного водовода от Восточной системы водоснабжения Московской области к  д. Тимохово Богородский г.о. (в том числе ПИР)</v>
      </c>
      <c r="F90" s="30" t="str">
        <f ca="1">IFERROR(__xludf.DUMMYFUNCTION("""COMPUTED_VALUE"""),"Сети")</f>
        <v>Сети</v>
      </c>
      <c r="G90" s="20" t="str">
        <f ca="1">IFERROR(__xludf.DUMMYFUNCTION("""COMPUTED_VALUE"""),"2020-2022")</f>
        <v>2020-2022</v>
      </c>
      <c r="H90" s="20" t="str">
        <f ca="1">IFERROR(__xludf.DUMMYFUNCTION("""COMPUTED_VALUE"""),"ПИР")</f>
        <v>ПИР</v>
      </c>
      <c r="I90" s="20">
        <f ca="1">IFERROR(__xludf.DUMMYFUNCTION("""COMPUTED_VALUE"""),0)</f>
        <v>0</v>
      </c>
      <c r="J90" s="20" t="str">
        <f ca="1">IFERROR(__xludf.DUMMYFUNCTION("""COMPUTED_VALUE"""),"Контракт на ПИР заключен. Получение положительного заключения МОГЭ планируется в декабре 2020 года.")</f>
        <v>Контракт на ПИР заключен. Получение положительного заключения МОГЭ планируется в декабре 2020 года.</v>
      </c>
      <c r="K90" s="20"/>
      <c r="L90" s="20"/>
      <c r="M90" s="20"/>
      <c r="N90" s="24">
        <f ca="1">IFERROR(__xludf.DUMMYFUNCTION("""COMPUTED_VALUE"""),15000)</f>
        <v>15000</v>
      </c>
      <c r="O90" s="20"/>
      <c r="P90" s="24">
        <f ca="1">IFERROR(__xludf.DUMMYFUNCTION("""COMPUTED_VALUE"""),15000)</f>
        <v>15000</v>
      </c>
      <c r="Q90" s="20"/>
      <c r="R90" s="20"/>
      <c r="S90" s="20"/>
      <c r="T90" s="20"/>
      <c r="U90" s="24">
        <f ca="1">IFERROR(__xludf.DUMMYFUNCTION("""COMPUTED_VALUE"""),0)</f>
        <v>0</v>
      </c>
      <c r="V90" s="24">
        <f ca="1">IFERROR(__xludf.DUMMYFUNCTION("""COMPUTED_VALUE"""),0)</f>
        <v>0</v>
      </c>
      <c r="W90" s="24">
        <f ca="1">IFERROR(__xludf.DUMMYFUNCTION("""COMPUTED_VALUE"""),0)</f>
        <v>0</v>
      </c>
      <c r="X90" s="24">
        <f ca="1">IFERROR(__xludf.DUMMYFUNCTION("""COMPUTED_VALUE"""),0)</f>
        <v>0</v>
      </c>
      <c r="Y90" s="24">
        <f ca="1">IFERROR(__xludf.DUMMYFUNCTION("""COMPUTED_VALUE"""),0)</f>
        <v>0</v>
      </c>
      <c r="Z90" s="24">
        <f ca="1">IFERROR(__xludf.DUMMYFUNCTION("""COMPUTED_VALUE"""),0)</f>
        <v>0</v>
      </c>
      <c r="AA90" s="20" t="str">
        <f ca="1">IFERROR(__xludf.DUMMYFUNCTION("""COMPUTED_VALUE"""),"10 1 G5 52439")</f>
        <v>10 1 G5 52439</v>
      </c>
      <c r="AB90" s="20">
        <f ca="1">IFERROR(__xludf.DUMMYFUNCTION("""COMPUTED_VALUE"""),460)</f>
        <v>460</v>
      </c>
      <c r="AC90" s="20"/>
      <c r="AD90" s="20"/>
      <c r="AE90" s="20"/>
      <c r="AF90" s="24">
        <f ca="1">IFERROR(__xludf.DUMMYFUNCTION("""COMPUTED_VALUE"""),165000)</f>
        <v>165000</v>
      </c>
      <c r="AG90" s="24">
        <f ca="1">IFERROR(__xludf.DUMMYFUNCTION("""COMPUTED_VALUE"""),0)</f>
        <v>0</v>
      </c>
      <c r="AH90" s="24">
        <f ca="1">IFERROR(__xludf.DUMMYFUNCTION("""COMPUTED_VALUE"""),165000)</f>
        <v>165000</v>
      </c>
      <c r="AI90" s="24">
        <f ca="1">IFERROR(__xludf.DUMMYFUNCTION("""COMPUTED_VALUE"""),0)</f>
        <v>0</v>
      </c>
      <c r="AJ90" s="24">
        <f ca="1">IFERROR(__xludf.DUMMYFUNCTION("""COMPUTED_VALUE"""),0)</f>
        <v>0</v>
      </c>
      <c r="AK90" s="24">
        <f ca="1">IFERROR(__xludf.DUMMYFUNCTION("""COMPUTED_VALUE"""),0)</f>
        <v>0</v>
      </c>
      <c r="AL90" s="24">
        <f ca="1">IFERROR(__xludf.DUMMYFUNCTION("""COMPUTED_VALUE"""),0)</f>
        <v>0</v>
      </c>
      <c r="AM90" s="20"/>
      <c r="AN90" s="20"/>
      <c r="AO90" s="20"/>
      <c r="AP90" s="20"/>
      <c r="AQ90" s="20"/>
      <c r="AR90" s="24">
        <f ca="1">IFERROR(__xludf.DUMMYFUNCTION("""COMPUTED_VALUE"""),0)</f>
        <v>0</v>
      </c>
      <c r="AS90" s="20"/>
      <c r="AT90" s="20"/>
      <c r="AU90" s="20"/>
      <c r="AV90" s="20"/>
      <c r="AW90" s="20"/>
      <c r="AX90" s="24">
        <f ca="1">IFERROR(__xludf.DUMMYFUNCTION("""COMPUTED_VALUE"""),15000)</f>
        <v>15000</v>
      </c>
      <c r="AY90" s="24">
        <f ca="1">IFERROR(__xludf.DUMMYFUNCTION("""COMPUTED_VALUE"""),0)</f>
        <v>0</v>
      </c>
      <c r="AZ90" s="24">
        <f ca="1">IFERROR(__xludf.DUMMYFUNCTION("""COMPUTED_VALUE"""),15000)</f>
        <v>15000</v>
      </c>
      <c r="BA90" s="20"/>
      <c r="BB90" s="24">
        <f ca="1">IFERROR(__xludf.DUMMYFUNCTION("""COMPUTED_VALUE"""),0)</f>
        <v>0</v>
      </c>
      <c r="BC90" s="20"/>
      <c r="BD90" s="24">
        <f ca="1">IFERROR(__xludf.DUMMYFUNCTION("""COMPUTED_VALUE"""),75000)</f>
        <v>75000</v>
      </c>
      <c r="BE90" s="24">
        <f ca="1">IFERROR(__xludf.DUMMYFUNCTION("""COMPUTED_VALUE"""),0)</f>
        <v>0</v>
      </c>
      <c r="BF90" s="24">
        <f ca="1">IFERROR(__xludf.DUMMYFUNCTION("""COMPUTED_VALUE"""),75000)</f>
        <v>75000</v>
      </c>
      <c r="BG90" s="20"/>
      <c r="BH90" s="24">
        <f ca="1">IFERROR(__xludf.DUMMYFUNCTION("""COMPUTED_VALUE"""),0)</f>
        <v>0</v>
      </c>
      <c r="BI90" s="20"/>
      <c r="BJ90" s="24">
        <f ca="1">IFERROR(__xludf.DUMMYFUNCTION("""COMPUTED_VALUE"""),75000)</f>
        <v>75000</v>
      </c>
      <c r="BK90" s="24">
        <f ca="1">IFERROR(__xludf.DUMMYFUNCTION("""COMPUTED_VALUE"""),0)</f>
        <v>0</v>
      </c>
      <c r="BL90" s="24">
        <f ca="1">IFERROR(__xludf.DUMMYFUNCTION("""COMPUTED_VALUE"""),75000)</f>
        <v>75000</v>
      </c>
      <c r="BM90" s="20"/>
      <c r="BN90" s="24">
        <f ca="1">IFERROR(__xludf.DUMMYFUNCTION("""COMPUTED_VALUE"""),0)</f>
        <v>0</v>
      </c>
      <c r="BO90" s="20"/>
      <c r="BP90" s="24">
        <f ca="1">IFERROR(__xludf.DUMMYFUNCTION("""COMPUTED_VALUE"""),0)</f>
        <v>0</v>
      </c>
      <c r="BQ90" s="24">
        <f ca="1">IFERROR(__xludf.DUMMYFUNCTION("""COMPUTED_VALUE"""),0)</f>
        <v>0</v>
      </c>
      <c r="BR90" s="24">
        <f ca="1">IFERROR(__xludf.DUMMYFUNCTION("""COMPUTED_VALUE"""),0)</f>
        <v>0</v>
      </c>
      <c r="BS90" s="20"/>
      <c r="BT90" s="24">
        <f ca="1">IFERROR(__xludf.DUMMYFUNCTION("""COMPUTED_VALUE"""),0)</f>
        <v>0</v>
      </c>
      <c r="BU90" s="20"/>
      <c r="BV90" s="24">
        <f ca="1">IFERROR(__xludf.DUMMYFUNCTION("""COMPUTED_VALUE"""),0)</f>
        <v>0</v>
      </c>
      <c r="BW90" s="24">
        <f ca="1">IFERROR(__xludf.DUMMYFUNCTION("""COMPUTED_VALUE"""),0)</f>
        <v>0</v>
      </c>
      <c r="BX90" s="24">
        <f ca="1">IFERROR(__xludf.DUMMYFUNCTION("""COMPUTED_VALUE"""),0)</f>
        <v>0</v>
      </c>
      <c r="BY90" s="20"/>
      <c r="BZ90" s="24">
        <f ca="1">IFERROR(__xludf.DUMMYFUNCTION("""COMPUTED_VALUE"""),0)</f>
        <v>0</v>
      </c>
      <c r="CA90" s="20"/>
      <c r="CB90" s="20"/>
      <c r="CC90" s="26">
        <f ca="1">IFERROR(__xludf.DUMMYFUNCTION("""COMPUTED_VALUE"""),44028)</f>
        <v>44028</v>
      </c>
      <c r="CD90" s="20" t="str">
        <f ca="1">IFERROR(__xludf.DUMMYFUNCTION("""COMPUTED_VALUE"""),"0548200001520000003")</f>
        <v>0548200001520000003</v>
      </c>
      <c r="CE90" s="26">
        <f ca="1">IFERROR(__xludf.DUMMYFUNCTION("""COMPUTED_VALUE"""),44075)</f>
        <v>44075</v>
      </c>
      <c r="CF90" s="20" t="str">
        <f ca="1">IFERROR(__xludf.DUMMYFUNCTION("""COMPUTED_VALUE"""),"2/20")</f>
        <v>2/20</v>
      </c>
      <c r="CG90" s="20">
        <f ca="1">IFERROR(__xludf.DUMMYFUNCTION("""COMPUTED_VALUE"""),10754733.52)</f>
        <v>10754733.52</v>
      </c>
      <c r="CH90" s="20" t="str">
        <f ca="1">IFERROR(__xludf.DUMMYFUNCTION("""COMPUTED_VALUE"""),"ООО ""МАГИРУС""")</f>
        <v>ООО "МАГИРУС"</v>
      </c>
      <c r="CI90" s="27" t="str">
        <f ca="1">IFERROR(__xludf.DUMMYFUNCTION("""COMPUTED_VALUE"""),"https://zakupki.gov.ru/epz/contract/contractCard/common-info.html?reestrNumber=2503406517120000004&amp;backUrl=6055b7be-0af4-466b-84f5-9198f45eb93b")</f>
        <v>https://zakupki.gov.ru/epz/contract/contractCard/common-info.html?reestrNumber=2503406517120000004&amp;backUrl=6055b7be-0af4-466b-84f5-9198f45eb93b</v>
      </c>
      <c r="CJ90" s="20"/>
      <c r="CK90" s="20"/>
      <c r="CL90" s="20"/>
      <c r="CM90" s="20"/>
      <c r="CN90" s="20"/>
      <c r="CO90" s="20"/>
      <c r="CP90" s="20"/>
      <c r="CQ90" s="20"/>
      <c r="CR90" s="20"/>
      <c r="CS90" s="20"/>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row>
    <row r="91" spans="1:123" ht="64.5" hidden="1" customHeight="1" x14ac:dyDescent="0.2">
      <c r="A91" s="19"/>
      <c r="B91" s="20" t="str">
        <f ca="1">IFERROR(__xludf.DUMMYFUNCTION("""COMPUTED_VALUE"""),"г.о. Богородский")</f>
        <v>г.о. Богородский</v>
      </c>
      <c r="C91"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1" s="20" t="str">
        <f ca="1">IFERROR(__xludf.DUMMYFUNCTION("""COMPUTED_VALUE"""),"МинЖКХ")</f>
        <v>МинЖКХ</v>
      </c>
      <c r="E91" s="20" t="str">
        <f ca="1">IFERROR(__xludf.DUMMYFUNCTION("""COMPUTED_VALUE"""),"Реконструкция НС-1 Восточнй системы водоснабжения")</f>
        <v>Реконструкция НС-1 Восточнй системы водоснабжения</v>
      </c>
      <c r="F91" s="31" t="str">
        <f ca="1">IFERROR(__xludf.DUMMYFUNCTION("""COMPUTED_VALUE"""),"ВЗУ")</f>
        <v>ВЗУ</v>
      </c>
      <c r="G91" s="20" t="str">
        <f ca="1">IFERROR(__xludf.DUMMYFUNCTION("""COMPUTED_VALUE"""),"Н/Л")</f>
        <v>Н/Л</v>
      </c>
      <c r="H91" s="20"/>
      <c r="I91" s="20"/>
      <c r="J91" s="20"/>
      <c r="K91" s="20"/>
      <c r="L91" s="20"/>
      <c r="M91" s="20"/>
      <c r="N91" s="24">
        <f ca="1">IFERROR(__xludf.DUMMYFUNCTION("""COMPUTED_VALUE"""),0)</f>
        <v>0</v>
      </c>
      <c r="O91" s="20"/>
      <c r="P91" s="20"/>
      <c r="Q91" s="20"/>
      <c r="R91" s="20"/>
      <c r="S91" s="20"/>
      <c r="T91" s="20"/>
      <c r="U91" s="24">
        <f ca="1">IFERROR(__xludf.DUMMYFUNCTION("""COMPUTED_VALUE"""),0)</f>
        <v>0</v>
      </c>
      <c r="V91" s="24">
        <f ca="1">IFERROR(__xludf.DUMMYFUNCTION("""COMPUTED_VALUE"""),0)</f>
        <v>0</v>
      </c>
      <c r="W91" s="24">
        <f ca="1">IFERROR(__xludf.DUMMYFUNCTION("""COMPUTED_VALUE"""),0)</f>
        <v>0</v>
      </c>
      <c r="X91" s="24">
        <f ca="1">IFERROR(__xludf.DUMMYFUNCTION("""COMPUTED_VALUE"""),0)</f>
        <v>0</v>
      </c>
      <c r="Y91" s="24">
        <f ca="1">IFERROR(__xludf.DUMMYFUNCTION("""COMPUTED_VALUE"""),0)</f>
        <v>0</v>
      </c>
      <c r="Z91" s="24">
        <f ca="1">IFERROR(__xludf.DUMMYFUNCTION("""COMPUTED_VALUE"""),0)</f>
        <v>0</v>
      </c>
      <c r="AA91" s="20" t="str">
        <f ca="1">IFERROR(__xludf.DUMMYFUNCTION("""COMPUTED_VALUE"""),"10 1 G5 52439")</f>
        <v>10 1 G5 52439</v>
      </c>
      <c r="AB91" s="20">
        <f ca="1">IFERROR(__xludf.DUMMYFUNCTION("""COMPUTED_VALUE"""),460)</f>
        <v>460</v>
      </c>
      <c r="AC91" s="20"/>
      <c r="AD91" s="20"/>
      <c r="AE91" s="20"/>
      <c r="AF91" s="24">
        <f ca="1">IFERROR(__xludf.DUMMYFUNCTION("""COMPUTED_VALUE"""),0)</f>
        <v>0</v>
      </c>
      <c r="AG91" s="24">
        <f ca="1">IFERROR(__xludf.DUMMYFUNCTION("""COMPUTED_VALUE"""),0)</f>
        <v>0</v>
      </c>
      <c r="AH91" s="24">
        <f ca="1">IFERROR(__xludf.DUMMYFUNCTION("""COMPUTED_VALUE"""),0)</f>
        <v>0</v>
      </c>
      <c r="AI91" s="24">
        <f ca="1">IFERROR(__xludf.DUMMYFUNCTION("""COMPUTED_VALUE"""),0)</f>
        <v>0</v>
      </c>
      <c r="AJ91" s="24">
        <f ca="1">IFERROR(__xludf.DUMMYFUNCTION("""COMPUTED_VALUE"""),0)</f>
        <v>0</v>
      </c>
      <c r="AK91" s="24">
        <f ca="1">IFERROR(__xludf.DUMMYFUNCTION("""COMPUTED_VALUE"""),0)</f>
        <v>0</v>
      </c>
      <c r="AL91" s="24">
        <f ca="1">IFERROR(__xludf.DUMMYFUNCTION("""COMPUTED_VALUE"""),0)</f>
        <v>0</v>
      </c>
      <c r="AM91" s="20"/>
      <c r="AN91" s="20"/>
      <c r="AO91" s="20"/>
      <c r="AP91" s="20"/>
      <c r="AQ91" s="20"/>
      <c r="AR91" s="24">
        <f ca="1">IFERROR(__xludf.DUMMYFUNCTION("""COMPUTED_VALUE"""),0)</f>
        <v>0</v>
      </c>
      <c r="AS91" s="20"/>
      <c r="AT91" s="20"/>
      <c r="AU91" s="20"/>
      <c r="AV91" s="20"/>
      <c r="AW91" s="20"/>
      <c r="AX91" s="24">
        <f ca="1">IFERROR(__xludf.DUMMYFUNCTION("""COMPUTED_VALUE"""),0)</f>
        <v>0</v>
      </c>
      <c r="AY91" s="24">
        <f ca="1">IFERROR(__xludf.DUMMYFUNCTION("""COMPUTED_VALUE"""),0)</f>
        <v>0</v>
      </c>
      <c r="AZ91" s="24">
        <f ca="1">IFERROR(__xludf.DUMMYFUNCTION("""COMPUTED_VALUE"""),0)</f>
        <v>0</v>
      </c>
      <c r="BA91" s="20"/>
      <c r="BB91" s="24">
        <f ca="1">IFERROR(__xludf.DUMMYFUNCTION("""COMPUTED_VALUE"""),0)</f>
        <v>0</v>
      </c>
      <c r="BC91" s="20"/>
      <c r="BD91" s="24">
        <f ca="1">IFERROR(__xludf.DUMMYFUNCTION("""COMPUTED_VALUE"""),0)</f>
        <v>0</v>
      </c>
      <c r="BE91" s="24">
        <f ca="1">IFERROR(__xludf.DUMMYFUNCTION("""COMPUTED_VALUE"""),0)</f>
        <v>0</v>
      </c>
      <c r="BF91" s="24">
        <f ca="1">IFERROR(__xludf.DUMMYFUNCTION("""COMPUTED_VALUE"""),0)</f>
        <v>0</v>
      </c>
      <c r="BG91" s="20"/>
      <c r="BH91" s="24">
        <f ca="1">IFERROR(__xludf.DUMMYFUNCTION("""COMPUTED_VALUE"""),0)</f>
        <v>0</v>
      </c>
      <c r="BI91" s="20"/>
      <c r="BJ91" s="24">
        <f ca="1">IFERROR(__xludf.DUMMYFUNCTION("""COMPUTED_VALUE"""),0)</f>
        <v>0</v>
      </c>
      <c r="BK91" s="24">
        <f ca="1">IFERROR(__xludf.DUMMYFUNCTION("""COMPUTED_VALUE"""),0)</f>
        <v>0</v>
      </c>
      <c r="BL91" s="24">
        <f ca="1">IFERROR(__xludf.DUMMYFUNCTION("""COMPUTED_VALUE"""),0)</f>
        <v>0</v>
      </c>
      <c r="BM91" s="20"/>
      <c r="BN91" s="24">
        <f ca="1">IFERROR(__xludf.DUMMYFUNCTION("""COMPUTED_VALUE"""),0)</f>
        <v>0</v>
      </c>
      <c r="BO91" s="20"/>
      <c r="BP91" s="24">
        <f ca="1">IFERROR(__xludf.DUMMYFUNCTION("""COMPUTED_VALUE"""),0)</f>
        <v>0</v>
      </c>
      <c r="BQ91" s="24">
        <f ca="1">IFERROR(__xludf.DUMMYFUNCTION("""COMPUTED_VALUE"""),0)</f>
        <v>0</v>
      </c>
      <c r="BR91" s="24">
        <f ca="1">IFERROR(__xludf.DUMMYFUNCTION("""COMPUTED_VALUE"""),0)</f>
        <v>0</v>
      </c>
      <c r="BS91" s="20"/>
      <c r="BT91" s="24">
        <f ca="1">IFERROR(__xludf.DUMMYFUNCTION("""COMPUTED_VALUE"""),0)</f>
        <v>0</v>
      </c>
      <c r="BU91" s="20"/>
      <c r="BV91" s="24">
        <f ca="1">IFERROR(__xludf.DUMMYFUNCTION("""COMPUTED_VALUE"""),0)</f>
        <v>0</v>
      </c>
      <c r="BW91" s="24">
        <f ca="1">IFERROR(__xludf.DUMMYFUNCTION("""COMPUTED_VALUE"""),0)</f>
        <v>0</v>
      </c>
      <c r="BX91" s="24">
        <f ca="1">IFERROR(__xludf.DUMMYFUNCTION("""COMPUTED_VALUE"""),0)</f>
        <v>0</v>
      </c>
      <c r="BY91" s="20"/>
      <c r="BZ91" s="24">
        <f ca="1">IFERROR(__xludf.DUMMYFUNCTION("""COMPUTED_VALUE"""),0)</f>
        <v>0</v>
      </c>
      <c r="CA91" s="20"/>
      <c r="CB91" s="20"/>
      <c r="CC91" s="20"/>
      <c r="CD91" s="20"/>
      <c r="CE91" s="20"/>
      <c r="CF91" s="20"/>
      <c r="CG91" s="20"/>
      <c r="CH91" s="20"/>
      <c r="CI91" s="20"/>
      <c r="CJ91" s="20"/>
      <c r="CK91" s="20"/>
      <c r="CL91" s="20"/>
      <c r="CM91" s="20"/>
      <c r="CN91" s="20"/>
      <c r="CO91" s="20"/>
      <c r="CP91" s="20"/>
      <c r="CQ91" s="20"/>
      <c r="CR91" s="20"/>
      <c r="CS91" s="20"/>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row>
    <row r="92" spans="1:123" ht="64.5" hidden="1" customHeight="1" x14ac:dyDescent="0.2">
      <c r="A92" s="19"/>
      <c r="B92" s="20" t="str">
        <f ca="1">IFERROR(__xludf.DUMMYFUNCTION("""COMPUTED_VALUE"""),"г.о. Можайск")</f>
        <v>г.о. Можайск</v>
      </c>
      <c r="C92"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2" s="20" t="str">
        <f ca="1">IFERROR(__xludf.DUMMYFUNCTION("""COMPUTED_VALUE"""),"МинЖКХ")</f>
        <v>МинЖКХ</v>
      </c>
      <c r="E92" s="20" t="str">
        <f ca="1">IFERROR(__xludf.DUMMYFUNCTION("""COMPUTED_VALUE"""),"Реконструкция ВЗУ Карьероуправление с.п. Дровнинское, д. Карьероуправление г.о. Можайский")</f>
        <v>Реконструкция ВЗУ Карьероуправление с.п. Дровнинское, д. Карьероуправление г.о. Можайский</v>
      </c>
      <c r="F92" s="22" t="str">
        <f ca="1">IFERROR(__xludf.DUMMYFUNCTION("""COMPUTED_VALUE"""),"ВЗУ")</f>
        <v>ВЗУ</v>
      </c>
      <c r="G92" s="20">
        <f ca="1">IFERROR(__xludf.DUMMYFUNCTION("""COMPUTED_VALUE"""),2022)</f>
        <v>2022</v>
      </c>
      <c r="H92" s="20" t="str">
        <f ca="1">IFERROR(__xludf.DUMMYFUNCTION("""COMPUTED_VALUE"""),"СМР")</f>
        <v>СМР</v>
      </c>
      <c r="I92" s="20"/>
      <c r="J92" s="20"/>
      <c r="K92" s="20"/>
      <c r="L92" s="20"/>
      <c r="M92" s="20"/>
      <c r="N92" s="24">
        <f ca="1">IFERROR(__xludf.DUMMYFUNCTION("""COMPUTED_VALUE"""),0)</f>
        <v>0</v>
      </c>
      <c r="O92" s="20"/>
      <c r="P92" s="20"/>
      <c r="Q92" s="20"/>
      <c r="R92" s="20"/>
      <c r="S92" s="20"/>
      <c r="T92" s="20"/>
      <c r="U92" s="24">
        <f ca="1">IFERROR(__xludf.DUMMYFUNCTION("""COMPUTED_VALUE"""),0)</f>
        <v>0</v>
      </c>
      <c r="V92" s="24">
        <f ca="1">IFERROR(__xludf.DUMMYFUNCTION("""COMPUTED_VALUE"""),0)</f>
        <v>0</v>
      </c>
      <c r="W92" s="24">
        <f ca="1">IFERROR(__xludf.DUMMYFUNCTION("""COMPUTED_VALUE"""),0)</f>
        <v>0</v>
      </c>
      <c r="X92" s="24">
        <f ca="1">IFERROR(__xludf.DUMMYFUNCTION("""COMPUTED_VALUE"""),0)</f>
        <v>0</v>
      </c>
      <c r="Y92" s="24">
        <f ca="1">IFERROR(__xludf.DUMMYFUNCTION("""COMPUTED_VALUE"""),0)</f>
        <v>0</v>
      </c>
      <c r="Z92" s="24">
        <f ca="1">IFERROR(__xludf.DUMMYFUNCTION("""COMPUTED_VALUE"""),0)</f>
        <v>0</v>
      </c>
      <c r="AA92" s="20" t="str">
        <f ca="1">IFERROR(__xludf.DUMMYFUNCTION("""COMPUTED_VALUE"""),"10 1 G552430")</f>
        <v>10 1 G552430</v>
      </c>
      <c r="AB92" s="20">
        <f ca="1">IFERROR(__xludf.DUMMYFUNCTION("""COMPUTED_VALUE"""),410)</f>
        <v>410</v>
      </c>
      <c r="AC92" s="20"/>
      <c r="AD92" s="20"/>
      <c r="AE92" s="20"/>
      <c r="AF92" s="24">
        <f ca="1">IFERROR(__xludf.DUMMYFUNCTION("""COMPUTED_VALUE"""),25750.67)</f>
        <v>25750.67</v>
      </c>
      <c r="AG92" s="24">
        <f ca="1">IFERROR(__xludf.DUMMYFUNCTION("""COMPUTED_VALUE"""),19313)</f>
        <v>19313</v>
      </c>
      <c r="AH92" s="24">
        <f ca="1">IFERROR(__xludf.DUMMYFUNCTION("""COMPUTED_VALUE"""),6437.67)</f>
        <v>6437.67</v>
      </c>
      <c r="AI92" s="24">
        <f ca="1">IFERROR(__xludf.DUMMYFUNCTION("""COMPUTED_VALUE"""),0)</f>
        <v>0</v>
      </c>
      <c r="AJ92" s="24">
        <f ca="1">IFERROR(__xludf.DUMMYFUNCTION("""COMPUTED_VALUE"""),0)</f>
        <v>0</v>
      </c>
      <c r="AK92" s="24">
        <f ca="1">IFERROR(__xludf.DUMMYFUNCTION("""COMPUTED_VALUE"""),0)</f>
        <v>0</v>
      </c>
      <c r="AL92" s="24">
        <f ca="1">IFERROR(__xludf.DUMMYFUNCTION("""COMPUTED_VALUE"""),0)</f>
        <v>0</v>
      </c>
      <c r="AM92" s="20"/>
      <c r="AN92" s="20"/>
      <c r="AO92" s="20"/>
      <c r="AP92" s="20"/>
      <c r="AQ92" s="20"/>
      <c r="AR92" s="24">
        <f ca="1">IFERROR(__xludf.DUMMYFUNCTION("""COMPUTED_VALUE"""),0)</f>
        <v>0</v>
      </c>
      <c r="AS92" s="20"/>
      <c r="AT92" s="20"/>
      <c r="AU92" s="20"/>
      <c r="AV92" s="20"/>
      <c r="AW92" s="20"/>
      <c r="AX92" s="24">
        <f ca="1">IFERROR(__xludf.DUMMYFUNCTION("""COMPUTED_VALUE"""),0)</f>
        <v>0</v>
      </c>
      <c r="AY92" s="24">
        <f ca="1">IFERROR(__xludf.DUMMYFUNCTION("""COMPUTED_VALUE"""),0)</f>
        <v>0</v>
      </c>
      <c r="AZ92" s="24">
        <f ca="1">IFERROR(__xludf.DUMMYFUNCTION("""COMPUTED_VALUE"""),0)</f>
        <v>0</v>
      </c>
      <c r="BA92" s="20"/>
      <c r="BB92" s="24">
        <f ca="1">IFERROR(__xludf.DUMMYFUNCTION("""COMPUTED_VALUE"""),0)</f>
        <v>0</v>
      </c>
      <c r="BC92" s="20"/>
      <c r="BD92" s="24">
        <f ca="1">IFERROR(__xludf.DUMMYFUNCTION("""COMPUTED_VALUE"""),0)</f>
        <v>0</v>
      </c>
      <c r="BE92" s="24">
        <f ca="1">IFERROR(__xludf.DUMMYFUNCTION("""COMPUTED_VALUE"""),0)</f>
        <v>0</v>
      </c>
      <c r="BF92" s="24">
        <f ca="1">IFERROR(__xludf.DUMMYFUNCTION("""COMPUTED_VALUE"""),0)</f>
        <v>0</v>
      </c>
      <c r="BG92" s="20"/>
      <c r="BH92" s="24">
        <f ca="1">IFERROR(__xludf.DUMMYFUNCTION("""COMPUTED_VALUE"""),0)</f>
        <v>0</v>
      </c>
      <c r="BI92" s="20"/>
      <c r="BJ92" s="24">
        <f ca="1">IFERROR(__xludf.DUMMYFUNCTION("""COMPUTED_VALUE"""),25750.67)</f>
        <v>25750.67</v>
      </c>
      <c r="BK92" s="24">
        <f ca="1">IFERROR(__xludf.DUMMYFUNCTION("""COMPUTED_VALUE"""),19313)</f>
        <v>19313</v>
      </c>
      <c r="BL92" s="24">
        <f ca="1">IFERROR(__xludf.DUMMYFUNCTION("""COMPUTED_VALUE"""),6437.67)</f>
        <v>6437.67</v>
      </c>
      <c r="BM92" s="20"/>
      <c r="BN92" s="24">
        <f ca="1">IFERROR(__xludf.DUMMYFUNCTION("""COMPUTED_VALUE"""),0)</f>
        <v>0</v>
      </c>
      <c r="BO92" s="20"/>
      <c r="BP92" s="24">
        <f ca="1">IFERROR(__xludf.DUMMYFUNCTION("""COMPUTED_VALUE"""),0)</f>
        <v>0</v>
      </c>
      <c r="BQ92" s="24">
        <f ca="1">IFERROR(__xludf.DUMMYFUNCTION("""COMPUTED_VALUE"""),0)</f>
        <v>0</v>
      </c>
      <c r="BR92" s="24">
        <f ca="1">IFERROR(__xludf.DUMMYFUNCTION("""COMPUTED_VALUE"""),0)</f>
        <v>0</v>
      </c>
      <c r="BS92" s="20"/>
      <c r="BT92" s="24">
        <f ca="1">IFERROR(__xludf.DUMMYFUNCTION("""COMPUTED_VALUE"""),0)</f>
        <v>0</v>
      </c>
      <c r="BU92" s="20"/>
      <c r="BV92" s="24">
        <f ca="1">IFERROR(__xludf.DUMMYFUNCTION("""COMPUTED_VALUE"""),0)</f>
        <v>0</v>
      </c>
      <c r="BW92" s="24">
        <f ca="1">IFERROR(__xludf.DUMMYFUNCTION("""COMPUTED_VALUE"""),0)</f>
        <v>0</v>
      </c>
      <c r="BX92" s="24">
        <f ca="1">IFERROR(__xludf.DUMMYFUNCTION("""COMPUTED_VALUE"""),0)</f>
        <v>0</v>
      </c>
      <c r="BY92" s="20"/>
      <c r="BZ92" s="24">
        <f ca="1">IFERROR(__xludf.DUMMYFUNCTION("""COMPUTED_VALUE"""),0)</f>
        <v>0</v>
      </c>
      <c r="CA92" s="20"/>
      <c r="CB92" s="20"/>
      <c r="CC92" s="20"/>
      <c r="CD92" s="20"/>
      <c r="CE92" s="20"/>
      <c r="CF92" s="20"/>
      <c r="CG92" s="20"/>
      <c r="CH92" s="20"/>
      <c r="CI92" s="20"/>
      <c r="CJ92" s="20"/>
      <c r="CK92" s="20"/>
      <c r="CL92" s="20"/>
      <c r="CM92" s="20"/>
      <c r="CN92" s="20"/>
      <c r="CO92" s="20"/>
      <c r="CP92" s="20"/>
      <c r="CQ92" s="20"/>
      <c r="CR92" s="20"/>
      <c r="CS92" s="20"/>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row>
    <row r="93" spans="1:123" ht="64.5" hidden="1" customHeight="1" x14ac:dyDescent="0.2">
      <c r="A93" s="19"/>
      <c r="B93" s="20" t="str">
        <f ca="1">IFERROR(__xludf.DUMMYFUNCTION("""COMPUTED_VALUE"""),"г.о. Можайск")</f>
        <v>г.о. Можайск</v>
      </c>
      <c r="C93"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3" s="20" t="str">
        <f ca="1">IFERROR(__xludf.DUMMYFUNCTION("""COMPUTED_VALUE"""),"МинЖКХ")</f>
        <v>МинЖКХ</v>
      </c>
      <c r="E93" s="20" t="str">
        <f ca="1">IFERROR(__xludf.DUMMYFUNCTION("""COMPUTED_VALUE"""),"Реконструкция ВЗУ Цветковский с.п. Дровнинское, п. Цветковский г.о. Можайский")</f>
        <v>Реконструкция ВЗУ Цветковский с.п. Дровнинское, п. Цветковский г.о. Можайский</v>
      </c>
      <c r="F93" s="22" t="str">
        <f ca="1">IFERROR(__xludf.DUMMYFUNCTION("""COMPUTED_VALUE"""),"ВЗУ")</f>
        <v>ВЗУ</v>
      </c>
      <c r="G93" s="20">
        <f ca="1">IFERROR(__xludf.DUMMYFUNCTION("""COMPUTED_VALUE"""),2022)</f>
        <v>2022</v>
      </c>
      <c r="H93" s="20" t="str">
        <f ca="1">IFERROR(__xludf.DUMMYFUNCTION("""COMPUTED_VALUE"""),"СМР")</f>
        <v>СМР</v>
      </c>
      <c r="I93" s="20"/>
      <c r="J93" s="20"/>
      <c r="K93" s="20"/>
      <c r="L93" s="20"/>
      <c r="M93" s="20"/>
      <c r="N93" s="24">
        <f ca="1">IFERROR(__xludf.DUMMYFUNCTION("""COMPUTED_VALUE"""),0)</f>
        <v>0</v>
      </c>
      <c r="O93" s="20"/>
      <c r="P93" s="20"/>
      <c r="Q93" s="20"/>
      <c r="R93" s="20"/>
      <c r="S93" s="20"/>
      <c r="T93" s="20"/>
      <c r="U93" s="24">
        <f ca="1">IFERROR(__xludf.DUMMYFUNCTION("""COMPUTED_VALUE"""),0)</f>
        <v>0</v>
      </c>
      <c r="V93" s="24">
        <f ca="1">IFERROR(__xludf.DUMMYFUNCTION("""COMPUTED_VALUE"""),0)</f>
        <v>0</v>
      </c>
      <c r="W93" s="24">
        <f ca="1">IFERROR(__xludf.DUMMYFUNCTION("""COMPUTED_VALUE"""),0)</f>
        <v>0</v>
      </c>
      <c r="X93" s="24">
        <f ca="1">IFERROR(__xludf.DUMMYFUNCTION("""COMPUTED_VALUE"""),0)</f>
        <v>0</v>
      </c>
      <c r="Y93" s="24">
        <f ca="1">IFERROR(__xludf.DUMMYFUNCTION("""COMPUTED_VALUE"""),0)</f>
        <v>0</v>
      </c>
      <c r="Z93" s="24">
        <f ca="1">IFERROR(__xludf.DUMMYFUNCTION("""COMPUTED_VALUE"""),0)</f>
        <v>0</v>
      </c>
      <c r="AA93" s="20" t="str">
        <f ca="1">IFERROR(__xludf.DUMMYFUNCTION("""COMPUTED_VALUE"""),"10 1 G552430")</f>
        <v>10 1 G552430</v>
      </c>
      <c r="AB93" s="20">
        <f ca="1">IFERROR(__xludf.DUMMYFUNCTION("""COMPUTED_VALUE"""),410)</f>
        <v>410</v>
      </c>
      <c r="AC93" s="20"/>
      <c r="AD93" s="20"/>
      <c r="AE93" s="20"/>
      <c r="AF93" s="24">
        <f ca="1">IFERROR(__xludf.DUMMYFUNCTION("""COMPUTED_VALUE"""),28417.33)</f>
        <v>28417.33</v>
      </c>
      <c r="AG93" s="24">
        <f ca="1">IFERROR(__xludf.DUMMYFUNCTION("""COMPUTED_VALUE"""),21313)</f>
        <v>21313</v>
      </c>
      <c r="AH93" s="24">
        <f ca="1">IFERROR(__xludf.DUMMYFUNCTION("""COMPUTED_VALUE"""),7104.33)</f>
        <v>7104.33</v>
      </c>
      <c r="AI93" s="24">
        <f ca="1">IFERROR(__xludf.DUMMYFUNCTION("""COMPUTED_VALUE"""),0)</f>
        <v>0</v>
      </c>
      <c r="AJ93" s="24">
        <f ca="1">IFERROR(__xludf.DUMMYFUNCTION("""COMPUTED_VALUE"""),0)</f>
        <v>0</v>
      </c>
      <c r="AK93" s="24">
        <f ca="1">IFERROR(__xludf.DUMMYFUNCTION("""COMPUTED_VALUE"""),0)</f>
        <v>0</v>
      </c>
      <c r="AL93" s="24">
        <f ca="1">IFERROR(__xludf.DUMMYFUNCTION("""COMPUTED_VALUE"""),0)</f>
        <v>0</v>
      </c>
      <c r="AM93" s="20"/>
      <c r="AN93" s="20"/>
      <c r="AO93" s="20"/>
      <c r="AP93" s="20"/>
      <c r="AQ93" s="20"/>
      <c r="AR93" s="24">
        <f ca="1">IFERROR(__xludf.DUMMYFUNCTION("""COMPUTED_VALUE"""),0)</f>
        <v>0</v>
      </c>
      <c r="AS93" s="20"/>
      <c r="AT93" s="20"/>
      <c r="AU93" s="20"/>
      <c r="AV93" s="20"/>
      <c r="AW93" s="20"/>
      <c r="AX93" s="24">
        <f ca="1">IFERROR(__xludf.DUMMYFUNCTION("""COMPUTED_VALUE"""),0)</f>
        <v>0</v>
      </c>
      <c r="AY93" s="24">
        <f ca="1">IFERROR(__xludf.DUMMYFUNCTION("""COMPUTED_VALUE"""),0)</f>
        <v>0</v>
      </c>
      <c r="AZ93" s="24">
        <f ca="1">IFERROR(__xludf.DUMMYFUNCTION("""COMPUTED_VALUE"""),0)</f>
        <v>0</v>
      </c>
      <c r="BA93" s="20"/>
      <c r="BB93" s="24">
        <f ca="1">IFERROR(__xludf.DUMMYFUNCTION("""COMPUTED_VALUE"""),0)</f>
        <v>0</v>
      </c>
      <c r="BC93" s="20"/>
      <c r="BD93" s="24">
        <f ca="1">IFERROR(__xludf.DUMMYFUNCTION("""COMPUTED_VALUE"""),0)</f>
        <v>0</v>
      </c>
      <c r="BE93" s="24">
        <f ca="1">IFERROR(__xludf.DUMMYFUNCTION("""COMPUTED_VALUE"""),0)</f>
        <v>0</v>
      </c>
      <c r="BF93" s="24">
        <f ca="1">IFERROR(__xludf.DUMMYFUNCTION("""COMPUTED_VALUE"""),0)</f>
        <v>0</v>
      </c>
      <c r="BG93" s="20"/>
      <c r="BH93" s="24">
        <f ca="1">IFERROR(__xludf.DUMMYFUNCTION("""COMPUTED_VALUE"""),0)</f>
        <v>0</v>
      </c>
      <c r="BI93" s="20"/>
      <c r="BJ93" s="24">
        <f ca="1">IFERROR(__xludf.DUMMYFUNCTION("""COMPUTED_VALUE"""),28417.33)</f>
        <v>28417.33</v>
      </c>
      <c r="BK93" s="24">
        <f ca="1">IFERROR(__xludf.DUMMYFUNCTION("""COMPUTED_VALUE"""),21313)</f>
        <v>21313</v>
      </c>
      <c r="BL93" s="24">
        <f ca="1">IFERROR(__xludf.DUMMYFUNCTION("""COMPUTED_VALUE"""),7104.33)</f>
        <v>7104.33</v>
      </c>
      <c r="BM93" s="20"/>
      <c r="BN93" s="24">
        <f ca="1">IFERROR(__xludf.DUMMYFUNCTION("""COMPUTED_VALUE"""),0)</f>
        <v>0</v>
      </c>
      <c r="BO93" s="20"/>
      <c r="BP93" s="24">
        <f ca="1">IFERROR(__xludf.DUMMYFUNCTION("""COMPUTED_VALUE"""),0)</f>
        <v>0</v>
      </c>
      <c r="BQ93" s="24">
        <f ca="1">IFERROR(__xludf.DUMMYFUNCTION("""COMPUTED_VALUE"""),0)</f>
        <v>0</v>
      </c>
      <c r="BR93" s="24">
        <f ca="1">IFERROR(__xludf.DUMMYFUNCTION("""COMPUTED_VALUE"""),0)</f>
        <v>0</v>
      </c>
      <c r="BS93" s="20"/>
      <c r="BT93" s="24">
        <f ca="1">IFERROR(__xludf.DUMMYFUNCTION("""COMPUTED_VALUE"""),0)</f>
        <v>0</v>
      </c>
      <c r="BU93" s="20"/>
      <c r="BV93" s="24">
        <f ca="1">IFERROR(__xludf.DUMMYFUNCTION("""COMPUTED_VALUE"""),0)</f>
        <v>0</v>
      </c>
      <c r="BW93" s="24">
        <f ca="1">IFERROR(__xludf.DUMMYFUNCTION("""COMPUTED_VALUE"""),0)</f>
        <v>0</v>
      </c>
      <c r="BX93" s="24">
        <f ca="1">IFERROR(__xludf.DUMMYFUNCTION("""COMPUTED_VALUE"""),0)</f>
        <v>0</v>
      </c>
      <c r="BY93" s="20"/>
      <c r="BZ93" s="24">
        <f ca="1">IFERROR(__xludf.DUMMYFUNCTION("""COMPUTED_VALUE"""),0)</f>
        <v>0</v>
      </c>
      <c r="CA93" s="20"/>
      <c r="CB93" s="20"/>
      <c r="CC93" s="20"/>
      <c r="CD93" s="20"/>
      <c r="CE93" s="20"/>
      <c r="CF93" s="20"/>
      <c r="CG93" s="20"/>
      <c r="CH93" s="20"/>
      <c r="CI93" s="20"/>
      <c r="CJ93" s="20"/>
      <c r="CK93" s="20"/>
      <c r="CL93" s="20"/>
      <c r="CM93" s="20"/>
      <c r="CN93" s="20"/>
      <c r="CO93" s="20"/>
      <c r="CP93" s="20"/>
      <c r="CQ93" s="20"/>
      <c r="CR93" s="20"/>
      <c r="CS93" s="20"/>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row>
    <row r="94" spans="1:123" ht="64.5" hidden="1" customHeight="1" x14ac:dyDescent="0.2">
      <c r="A94" s="19"/>
      <c r="B94" s="20" t="str">
        <f ca="1">IFERROR(__xludf.DUMMYFUNCTION("""COMPUTED_VALUE"""),"г.о. Можайск")</f>
        <v>г.о. Можайск</v>
      </c>
      <c r="C94"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4" s="20" t="str">
        <f ca="1">IFERROR(__xludf.DUMMYFUNCTION("""COMPUTED_VALUE"""),"МинЖКХ")</f>
        <v>МинЖКХ</v>
      </c>
      <c r="E94" s="20" t="str">
        <f ca="1">IFERROR(__xludf.DUMMYFUNCTION("""COMPUTED_VALUE"""),"Реконструкция ВЗУ Сокольниковос с.п. Юрловское, с. Сокольниково г.о. Можайский")</f>
        <v>Реконструкция ВЗУ Сокольниковос с.п. Юрловское, с. Сокольниково г.о. Можайский</v>
      </c>
      <c r="F94" s="22" t="str">
        <f ca="1">IFERROR(__xludf.DUMMYFUNCTION("""COMPUTED_VALUE"""),"ВЗУ")</f>
        <v>ВЗУ</v>
      </c>
      <c r="G94" s="20">
        <f ca="1">IFERROR(__xludf.DUMMYFUNCTION("""COMPUTED_VALUE"""),2022)</f>
        <v>2022</v>
      </c>
      <c r="H94" s="20" t="str">
        <f ca="1">IFERROR(__xludf.DUMMYFUNCTION("""COMPUTED_VALUE"""),"СМР")</f>
        <v>СМР</v>
      </c>
      <c r="I94" s="20"/>
      <c r="J94" s="20"/>
      <c r="K94" s="20"/>
      <c r="L94" s="20"/>
      <c r="M94" s="20"/>
      <c r="N94" s="24">
        <f ca="1">IFERROR(__xludf.DUMMYFUNCTION("""COMPUTED_VALUE"""),0)</f>
        <v>0</v>
      </c>
      <c r="O94" s="20"/>
      <c r="P94" s="20"/>
      <c r="Q94" s="20"/>
      <c r="R94" s="20"/>
      <c r="S94" s="20"/>
      <c r="T94" s="20"/>
      <c r="U94" s="24">
        <f ca="1">IFERROR(__xludf.DUMMYFUNCTION("""COMPUTED_VALUE"""),0)</f>
        <v>0</v>
      </c>
      <c r="V94" s="24">
        <f ca="1">IFERROR(__xludf.DUMMYFUNCTION("""COMPUTED_VALUE"""),0)</f>
        <v>0</v>
      </c>
      <c r="W94" s="24">
        <f ca="1">IFERROR(__xludf.DUMMYFUNCTION("""COMPUTED_VALUE"""),0)</f>
        <v>0</v>
      </c>
      <c r="X94" s="24">
        <f ca="1">IFERROR(__xludf.DUMMYFUNCTION("""COMPUTED_VALUE"""),0)</f>
        <v>0</v>
      </c>
      <c r="Y94" s="24">
        <f ca="1">IFERROR(__xludf.DUMMYFUNCTION("""COMPUTED_VALUE"""),0)</f>
        <v>0</v>
      </c>
      <c r="Z94" s="24">
        <f ca="1">IFERROR(__xludf.DUMMYFUNCTION("""COMPUTED_VALUE"""),0)</f>
        <v>0</v>
      </c>
      <c r="AA94" s="20" t="str">
        <f ca="1">IFERROR(__xludf.DUMMYFUNCTION("""COMPUTED_VALUE"""),"10 1 G552430")</f>
        <v>10 1 G552430</v>
      </c>
      <c r="AB94" s="20">
        <f ca="1">IFERROR(__xludf.DUMMYFUNCTION("""COMPUTED_VALUE"""),410)</f>
        <v>410</v>
      </c>
      <c r="AC94" s="20"/>
      <c r="AD94" s="20"/>
      <c r="AE94" s="20"/>
      <c r="AF94" s="24">
        <f ca="1">IFERROR(__xludf.DUMMYFUNCTION("""COMPUTED_VALUE"""),24954.67)</f>
        <v>24954.67</v>
      </c>
      <c r="AG94" s="24">
        <f ca="1">IFERROR(__xludf.DUMMYFUNCTION("""COMPUTED_VALUE"""),18716)</f>
        <v>18716</v>
      </c>
      <c r="AH94" s="24">
        <f ca="1">IFERROR(__xludf.DUMMYFUNCTION("""COMPUTED_VALUE"""),6238.67)</f>
        <v>6238.67</v>
      </c>
      <c r="AI94" s="24">
        <f ca="1">IFERROR(__xludf.DUMMYFUNCTION("""COMPUTED_VALUE"""),0)</f>
        <v>0</v>
      </c>
      <c r="AJ94" s="24">
        <f ca="1">IFERROR(__xludf.DUMMYFUNCTION("""COMPUTED_VALUE"""),0)</f>
        <v>0</v>
      </c>
      <c r="AK94" s="24">
        <f ca="1">IFERROR(__xludf.DUMMYFUNCTION("""COMPUTED_VALUE"""),0)</f>
        <v>0</v>
      </c>
      <c r="AL94" s="24">
        <f ca="1">IFERROR(__xludf.DUMMYFUNCTION("""COMPUTED_VALUE"""),0)</f>
        <v>0</v>
      </c>
      <c r="AM94" s="20"/>
      <c r="AN94" s="20"/>
      <c r="AO94" s="20"/>
      <c r="AP94" s="20"/>
      <c r="AQ94" s="20"/>
      <c r="AR94" s="24">
        <f ca="1">IFERROR(__xludf.DUMMYFUNCTION("""COMPUTED_VALUE"""),0)</f>
        <v>0</v>
      </c>
      <c r="AS94" s="20"/>
      <c r="AT94" s="20"/>
      <c r="AU94" s="20"/>
      <c r="AV94" s="20"/>
      <c r="AW94" s="20"/>
      <c r="AX94" s="24">
        <f ca="1">IFERROR(__xludf.DUMMYFUNCTION("""COMPUTED_VALUE"""),0)</f>
        <v>0</v>
      </c>
      <c r="AY94" s="24">
        <f ca="1">IFERROR(__xludf.DUMMYFUNCTION("""COMPUTED_VALUE"""),0)</f>
        <v>0</v>
      </c>
      <c r="AZ94" s="24">
        <f ca="1">IFERROR(__xludf.DUMMYFUNCTION("""COMPUTED_VALUE"""),0)</f>
        <v>0</v>
      </c>
      <c r="BA94" s="20"/>
      <c r="BB94" s="24">
        <f ca="1">IFERROR(__xludf.DUMMYFUNCTION("""COMPUTED_VALUE"""),0)</f>
        <v>0</v>
      </c>
      <c r="BC94" s="20"/>
      <c r="BD94" s="24">
        <f ca="1">IFERROR(__xludf.DUMMYFUNCTION("""COMPUTED_VALUE"""),0)</f>
        <v>0</v>
      </c>
      <c r="BE94" s="24">
        <f ca="1">IFERROR(__xludf.DUMMYFUNCTION("""COMPUTED_VALUE"""),0)</f>
        <v>0</v>
      </c>
      <c r="BF94" s="24">
        <f ca="1">IFERROR(__xludf.DUMMYFUNCTION("""COMPUTED_VALUE"""),0)</f>
        <v>0</v>
      </c>
      <c r="BG94" s="20"/>
      <c r="BH94" s="24">
        <f ca="1">IFERROR(__xludf.DUMMYFUNCTION("""COMPUTED_VALUE"""),0)</f>
        <v>0</v>
      </c>
      <c r="BI94" s="20"/>
      <c r="BJ94" s="24">
        <f ca="1">IFERROR(__xludf.DUMMYFUNCTION("""COMPUTED_VALUE"""),24954.67)</f>
        <v>24954.67</v>
      </c>
      <c r="BK94" s="24">
        <f ca="1">IFERROR(__xludf.DUMMYFUNCTION("""COMPUTED_VALUE"""),18716)</f>
        <v>18716</v>
      </c>
      <c r="BL94" s="24">
        <f ca="1">IFERROR(__xludf.DUMMYFUNCTION("""COMPUTED_VALUE"""),6238.67)</f>
        <v>6238.67</v>
      </c>
      <c r="BM94" s="20"/>
      <c r="BN94" s="24">
        <f ca="1">IFERROR(__xludf.DUMMYFUNCTION("""COMPUTED_VALUE"""),0)</f>
        <v>0</v>
      </c>
      <c r="BO94" s="20"/>
      <c r="BP94" s="24">
        <f ca="1">IFERROR(__xludf.DUMMYFUNCTION("""COMPUTED_VALUE"""),0)</f>
        <v>0</v>
      </c>
      <c r="BQ94" s="24">
        <f ca="1">IFERROR(__xludf.DUMMYFUNCTION("""COMPUTED_VALUE"""),0)</f>
        <v>0</v>
      </c>
      <c r="BR94" s="24">
        <f ca="1">IFERROR(__xludf.DUMMYFUNCTION("""COMPUTED_VALUE"""),0)</f>
        <v>0</v>
      </c>
      <c r="BS94" s="20"/>
      <c r="BT94" s="24">
        <f ca="1">IFERROR(__xludf.DUMMYFUNCTION("""COMPUTED_VALUE"""),0)</f>
        <v>0</v>
      </c>
      <c r="BU94" s="20"/>
      <c r="BV94" s="24">
        <f ca="1">IFERROR(__xludf.DUMMYFUNCTION("""COMPUTED_VALUE"""),0)</f>
        <v>0</v>
      </c>
      <c r="BW94" s="24">
        <f ca="1">IFERROR(__xludf.DUMMYFUNCTION("""COMPUTED_VALUE"""),0)</f>
        <v>0</v>
      </c>
      <c r="BX94" s="24">
        <f ca="1">IFERROR(__xludf.DUMMYFUNCTION("""COMPUTED_VALUE"""),0)</f>
        <v>0</v>
      </c>
      <c r="BY94" s="20"/>
      <c r="BZ94" s="24">
        <f ca="1">IFERROR(__xludf.DUMMYFUNCTION("""COMPUTED_VALUE"""),0)</f>
        <v>0</v>
      </c>
      <c r="CA94" s="20"/>
      <c r="CB94" s="20"/>
      <c r="CC94" s="20"/>
      <c r="CD94" s="20"/>
      <c r="CE94" s="20"/>
      <c r="CF94" s="20"/>
      <c r="CG94" s="20"/>
      <c r="CH94" s="20"/>
      <c r="CI94" s="20"/>
      <c r="CJ94" s="20"/>
      <c r="CK94" s="20"/>
      <c r="CL94" s="20"/>
      <c r="CM94" s="20"/>
      <c r="CN94" s="20"/>
      <c r="CO94" s="20"/>
      <c r="CP94" s="20"/>
      <c r="CQ94" s="20"/>
      <c r="CR94" s="20"/>
      <c r="CS94" s="20"/>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row>
    <row r="95" spans="1:123" ht="64.5" hidden="1" customHeight="1" x14ac:dyDescent="0.2">
      <c r="A95" s="19"/>
      <c r="B95" s="20" t="str">
        <f ca="1">IFERROR(__xludf.DUMMYFUNCTION("""COMPUTED_VALUE"""),"г.о. Можайск")</f>
        <v>г.о. Можайск</v>
      </c>
      <c r="C95"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5" s="20" t="str">
        <f ca="1">IFERROR(__xludf.DUMMYFUNCTION("""COMPUTED_VALUE"""),"МинЖКХ")</f>
        <v>МинЖКХ</v>
      </c>
      <c r="E95" s="20" t="str">
        <f ca="1">IFERROR(__xludf.DUMMYFUNCTION("""COMPUTED_VALUE"""),"Реконструкция ВЗУ Мокрое с.п. Замошинское, д. Мокрое г.о. Можайский")</f>
        <v>Реконструкция ВЗУ Мокрое с.п. Замошинское, д. Мокрое г.о. Можайский</v>
      </c>
      <c r="F95" s="22" t="str">
        <f ca="1">IFERROR(__xludf.DUMMYFUNCTION("""COMPUTED_VALUE"""),"ВЗУ")</f>
        <v>ВЗУ</v>
      </c>
      <c r="G95" s="20">
        <f ca="1">IFERROR(__xludf.DUMMYFUNCTION("""COMPUTED_VALUE"""),2022)</f>
        <v>2022</v>
      </c>
      <c r="H95" s="20" t="str">
        <f ca="1">IFERROR(__xludf.DUMMYFUNCTION("""COMPUTED_VALUE"""),"СМР")</f>
        <v>СМР</v>
      </c>
      <c r="I95" s="20"/>
      <c r="J95" s="20"/>
      <c r="K95" s="20"/>
      <c r="L95" s="20"/>
      <c r="M95" s="20"/>
      <c r="N95" s="24">
        <f ca="1">IFERROR(__xludf.DUMMYFUNCTION("""COMPUTED_VALUE"""),0)</f>
        <v>0</v>
      </c>
      <c r="O95" s="20"/>
      <c r="P95" s="20"/>
      <c r="Q95" s="20"/>
      <c r="R95" s="20"/>
      <c r="S95" s="20"/>
      <c r="T95" s="20"/>
      <c r="U95" s="24">
        <f ca="1">IFERROR(__xludf.DUMMYFUNCTION("""COMPUTED_VALUE"""),0)</f>
        <v>0</v>
      </c>
      <c r="V95" s="24">
        <f ca="1">IFERROR(__xludf.DUMMYFUNCTION("""COMPUTED_VALUE"""),0)</f>
        <v>0</v>
      </c>
      <c r="W95" s="24">
        <f ca="1">IFERROR(__xludf.DUMMYFUNCTION("""COMPUTED_VALUE"""),0)</f>
        <v>0</v>
      </c>
      <c r="X95" s="24">
        <f ca="1">IFERROR(__xludf.DUMMYFUNCTION("""COMPUTED_VALUE"""),0)</f>
        <v>0</v>
      </c>
      <c r="Y95" s="24">
        <f ca="1">IFERROR(__xludf.DUMMYFUNCTION("""COMPUTED_VALUE"""),0)</f>
        <v>0</v>
      </c>
      <c r="Z95" s="24">
        <f ca="1">IFERROR(__xludf.DUMMYFUNCTION("""COMPUTED_VALUE"""),0)</f>
        <v>0</v>
      </c>
      <c r="AA95" s="20" t="str">
        <f ca="1">IFERROR(__xludf.DUMMYFUNCTION("""COMPUTED_VALUE"""),"10 1 G552430")</f>
        <v>10 1 G552430</v>
      </c>
      <c r="AB95" s="20">
        <f ca="1">IFERROR(__xludf.DUMMYFUNCTION("""COMPUTED_VALUE"""),410)</f>
        <v>410</v>
      </c>
      <c r="AC95" s="20"/>
      <c r="AD95" s="20"/>
      <c r="AE95" s="20"/>
      <c r="AF95" s="24">
        <f ca="1">IFERROR(__xludf.DUMMYFUNCTION("""COMPUTED_VALUE"""),28875.87)</f>
        <v>28875.87</v>
      </c>
      <c r="AG95" s="24">
        <f ca="1">IFERROR(__xludf.DUMMYFUNCTION("""COMPUTED_VALUE"""),21656.9)</f>
        <v>21656.9</v>
      </c>
      <c r="AH95" s="24">
        <f ca="1">IFERROR(__xludf.DUMMYFUNCTION("""COMPUTED_VALUE"""),7218.97)</f>
        <v>7218.97</v>
      </c>
      <c r="AI95" s="24">
        <f ca="1">IFERROR(__xludf.DUMMYFUNCTION("""COMPUTED_VALUE"""),0)</f>
        <v>0</v>
      </c>
      <c r="AJ95" s="24">
        <f ca="1">IFERROR(__xludf.DUMMYFUNCTION("""COMPUTED_VALUE"""),0)</f>
        <v>0</v>
      </c>
      <c r="AK95" s="24">
        <f ca="1">IFERROR(__xludf.DUMMYFUNCTION("""COMPUTED_VALUE"""),0)</f>
        <v>0</v>
      </c>
      <c r="AL95" s="24">
        <f ca="1">IFERROR(__xludf.DUMMYFUNCTION("""COMPUTED_VALUE"""),0)</f>
        <v>0</v>
      </c>
      <c r="AM95" s="20"/>
      <c r="AN95" s="20"/>
      <c r="AO95" s="20"/>
      <c r="AP95" s="20"/>
      <c r="AQ95" s="20"/>
      <c r="AR95" s="24">
        <f ca="1">IFERROR(__xludf.DUMMYFUNCTION("""COMPUTED_VALUE"""),0)</f>
        <v>0</v>
      </c>
      <c r="AS95" s="20"/>
      <c r="AT95" s="20"/>
      <c r="AU95" s="20"/>
      <c r="AV95" s="20"/>
      <c r="AW95" s="20"/>
      <c r="AX95" s="24">
        <f ca="1">IFERROR(__xludf.DUMMYFUNCTION("""COMPUTED_VALUE"""),0)</f>
        <v>0</v>
      </c>
      <c r="AY95" s="24">
        <f ca="1">IFERROR(__xludf.DUMMYFUNCTION("""COMPUTED_VALUE"""),0)</f>
        <v>0</v>
      </c>
      <c r="AZ95" s="24">
        <f ca="1">IFERROR(__xludf.DUMMYFUNCTION("""COMPUTED_VALUE"""),0)</f>
        <v>0</v>
      </c>
      <c r="BA95" s="20"/>
      <c r="BB95" s="24">
        <f ca="1">IFERROR(__xludf.DUMMYFUNCTION("""COMPUTED_VALUE"""),0)</f>
        <v>0</v>
      </c>
      <c r="BC95" s="20"/>
      <c r="BD95" s="24">
        <f ca="1">IFERROR(__xludf.DUMMYFUNCTION("""COMPUTED_VALUE"""),0)</f>
        <v>0</v>
      </c>
      <c r="BE95" s="24">
        <f ca="1">IFERROR(__xludf.DUMMYFUNCTION("""COMPUTED_VALUE"""),0)</f>
        <v>0</v>
      </c>
      <c r="BF95" s="24">
        <f ca="1">IFERROR(__xludf.DUMMYFUNCTION("""COMPUTED_VALUE"""),0)</f>
        <v>0</v>
      </c>
      <c r="BG95" s="20"/>
      <c r="BH95" s="24">
        <f ca="1">IFERROR(__xludf.DUMMYFUNCTION("""COMPUTED_VALUE"""),0)</f>
        <v>0</v>
      </c>
      <c r="BI95" s="20"/>
      <c r="BJ95" s="24">
        <f ca="1">IFERROR(__xludf.DUMMYFUNCTION("""COMPUTED_VALUE"""),28875.87)</f>
        <v>28875.87</v>
      </c>
      <c r="BK95" s="24">
        <f ca="1">IFERROR(__xludf.DUMMYFUNCTION("""COMPUTED_VALUE"""),21656.9)</f>
        <v>21656.9</v>
      </c>
      <c r="BL95" s="24">
        <f ca="1">IFERROR(__xludf.DUMMYFUNCTION("""COMPUTED_VALUE"""),7218.97)</f>
        <v>7218.97</v>
      </c>
      <c r="BM95" s="20"/>
      <c r="BN95" s="24">
        <f ca="1">IFERROR(__xludf.DUMMYFUNCTION("""COMPUTED_VALUE"""),0)</f>
        <v>0</v>
      </c>
      <c r="BO95" s="20"/>
      <c r="BP95" s="24">
        <f ca="1">IFERROR(__xludf.DUMMYFUNCTION("""COMPUTED_VALUE"""),0)</f>
        <v>0</v>
      </c>
      <c r="BQ95" s="24">
        <f ca="1">IFERROR(__xludf.DUMMYFUNCTION("""COMPUTED_VALUE"""),0)</f>
        <v>0</v>
      </c>
      <c r="BR95" s="24">
        <f ca="1">IFERROR(__xludf.DUMMYFUNCTION("""COMPUTED_VALUE"""),0)</f>
        <v>0</v>
      </c>
      <c r="BS95" s="20"/>
      <c r="BT95" s="24">
        <f ca="1">IFERROR(__xludf.DUMMYFUNCTION("""COMPUTED_VALUE"""),0)</f>
        <v>0</v>
      </c>
      <c r="BU95" s="20"/>
      <c r="BV95" s="24">
        <f ca="1">IFERROR(__xludf.DUMMYFUNCTION("""COMPUTED_VALUE"""),0)</f>
        <v>0</v>
      </c>
      <c r="BW95" s="24">
        <f ca="1">IFERROR(__xludf.DUMMYFUNCTION("""COMPUTED_VALUE"""),0)</f>
        <v>0</v>
      </c>
      <c r="BX95" s="24">
        <f ca="1">IFERROR(__xludf.DUMMYFUNCTION("""COMPUTED_VALUE"""),0)</f>
        <v>0</v>
      </c>
      <c r="BY95" s="20"/>
      <c r="BZ95" s="24">
        <f ca="1">IFERROR(__xludf.DUMMYFUNCTION("""COMPUTED_VALUE"""),0)</f>
        <v>0</v>
      </c>
      <c r="CA95" s="20"/>
      <c r="CB95" s="20"/>
      <c r="CC95" s="20"/>
      <c r="CD95" s="20"/>
      <c r="CE95" s="20"/>
      <c r="CF95" s="20"/>
      <c r="CG95" s="20"/>
      <c r="CH95" s="20"/>
      <c r="CI95" s="20"/>
      <c r="CJ95" s="20"/>
      <c r="CK95" s="20"/>
      <c r="CL95" s="20"/>
      <c r="CM95" s="20"/>
      <c r="CN95" s="20"/>
      <c r="CO95" s="20"/>
      <c r="CP95" s="20"/>
      <c r="CQ95" s="20"/>
      <c r="CR95" s="20"/>
      <c r="CS95" s="20"/>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row>
    <row r="96" spans="1:123" ht="64.5" hidden="1" customHeight="1" x14ac:dyDescent="0.2">
      <c r="A96" s="19"/>
      <c r="B96" s="20" t="str">
        <f ca="1">IFERROR(__xludf.DUMMYFUNCTION("""COMPUTED_VALUE"""),"г.о. Можайск")</f>
        <v>г.о. Можайск</v>
      </c>
      <c r="C96"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6" s="20" t="str">
        <f ca="1">IFERROR(__xludf.DUMMYFUNCTION("""COMPUTED_VALUE"""),"МинЖКХ")</f>
        <v>МинЖКХ</v>
      </c>
      <c r="E96" s="20" t="str">
        <f ca="1">IFERROR(__xludf.DUMMYFUNCTION("""COMPUTED_VALUE"""),"Реконструкция ВЗУ Ивакино с.п. Юрловское, д. Ивакино г.о. Можайский")</f>
        <v>Реконструкция ВЗУ Ивакино с.п. Юрловское, д. Ивакино г.о. Можайский</v>
      </c>
      <c r="F96" s="22" t="str">
        <f ca="1">IFERROR(__xludf.DUMMYFUNCTION("""COMPUTED_VALUE"""),"ВЗУ")</f>
        <v>ВЗУ</v>
      </c>
      <c r="G96" s="20">
        <f ca="1">IFERROR(__xludf.DUMMYFUNCTION("""COMPUTED_VALUE"""),2022)</f>
        <v>2022</v>
      </c>
      <c r="H96" s="20" t="str">
        <f ca="1">IFERROR(__xludf.DUMMYFUNCTION("""COMPUTED_VALUE"""),"СМР")</f>
        <v>СМР</v>
      </c>
      <c r="I96" s="20"/>
      <c r="J96" s="20"/>
      <c r="K96" s="20"/>
      <c r="L96" s="20"/>
      <c r="M96" s="20"/>
      <c r="N96" s="24">
        <f ca="1">IFERROR(__xludf.DUMMYFUNCTION("""COMPUTED_VALUE"""),0)</f>
        <v>0</v>
      </c>
      <c r="O96" s="20"/>
      <c r="P96" s="20"/>
      <c r="Q96" s="20"/>
      <c r="R96" s="20"/>
      <c r="S96" s="20"/>
      <c r="T96" s="20"/>
      <c r="U96" s="24">
        <f ca="1">IFERROR(__xludf.DUMMYFUNCTION("""COMPUTED_VALUE"""),0)</f>
        <v>0</v>
      </c>
      <c r="V96" s="24">
        <f ca="1">IFERROR(__xludf.DUMMYFUNCTION("""COMPUTED_VALUE"""),0)</f>
        <v>0</v>
      </c>
      <c r="W96" s="24">
        <f ca="1">IFERROR(__xludf.DUMMYFUNCTION("""COMPUTED_VALUE"""),0)</f>
        <v>0</v>
      </c>
      <c r="X96" s="24">
        <f ca="1">IFERROR(__xludf.DUMMYFUNCTION("""COMPUTED_VALUE"""),0)</f>
        <v>0</v>
      </c>
      <c r="Y96" s="24">
        <f ca="1">IFERROR(__xludf.DUMMYFUNCTION("""COMPUTED_VALUE"""),0)</f>
        <v>0</v>
      </c>
      <c r="Z96" s="24">
        <f ca="1">IFERROR(__xludf.DUMMYFUNCTION("""COMPUTED_VALUE"""),0)</f>
        <v>0</v>
      </c>
      <c r="AA96" s="20" t="str">
        <f ca="1">IFERROR(__xludf.DUMMYFUNCTION("""COMPUTED_VALUE"""),"10 1 G552430")</f>
        <v>10 1 G552430</v>
      </c>
      <c r="AB96" s="20">
        <f ca="1">IFERROR(__xludf.DUMMYFUNCTION("""COMPUTED_VALUE"""),410)</f>
        <v>410</v>
      </c>
      <c r="AC96" s="20"/>
      <c r="AD96" s="20"/>
      <c r="AE96" s="20"/>
      <c r="AF96" s="24">
        <f ca="1">IFERROR(__xludf.DUMMYFUNCTION("""COMPUTED_VALUE"""),23084)</f>
        <v>23084</v>
      </c>
      <c r="AG96" s="24">
        <f ca="1">IFERROR(__xludf.DUMMYFUNCTION("""COMPUTED_VALUE"""),17313)</f>
        <v>17313</v>
      </c>
      <c r="AH96" s="24">
        <f ca="1">IFERROR(__xludf.DUMMYFUNCTION("""COMPUTED_VALUE"""),5771)</f>
        <v>5771</v>
      </c>
      <c r="AI96" s="24">
        <f ca="1">IFERROR(__xludf.DUMMYFUNCTION("""COMPUTED_VALUE"""),0)</f>
        <v>0</v>
      </c>
      <c r="AJ96" s="24">
        <f ca="1">IFERROR(__xludf.DUMMYFUNCTION("""COMPUTED_VALUE"""),0)</f>
        <v>0</v>
      </c>
      <c r="AK96" s="24">
        <f ca="1">IFERROR(__xludf.DUMMYFUNCTION("""COMPUTED_VALUE"""),0)</f>
        <v>0</v>
      </c>
      <c r="AL96" s="24">
        <f ca="1">IFERROR(__xludf.DUMMYFUNCTION("""COMPUTED_VALUE"""),0)</f>
        <v>0</v>
      </c>
      <c r="AM96" s="20"/>
      <c r="AN96" s="20"/>
      <c r="AO96" s="20"/>
      <c r="AP96" s="20"/>
      <c r="AQ96" s="20"/>
      <c r="AR96" s="24">
        <f ca="1">IFERROR(__xludf.DUMMYFUNCTION("""COMPUTED_VALUE"""),0)</f>
        <v>0</v>
      </c>
      <c r="AS96" s="20"/>
      <c r="AT96" s="20"/>
      <c r="AU96" s="20"/>
      <c r="AV96" s="20"/>
      <c r="AW96" s="20"/>
      <c r="AX96" s="24">
        <f ca="1">IFERROR(__xludf.DUMMYFUNCTION("""COMPUTED_VALUE"""),0)</f>
        <v>0</v>
      </c>
      <c r="AY96" s="24">
        <f ca="1">IFERROR(__xludf.DUMMYFUNCTION("""COMPUTED_VALUE"""),0)</f>
        <v>0</v>
      </c>
      <c r="AZ96" s="24">
        <f ca="1">IFERROR(__xludf.DUMMYFUNCTION("""COMPUTED_VALUE"""),0)</f>
        <v>0</v>
      </c>
      <c r="BA96" s="20"/>
      <c r="BB96" s="24">
        <f ca="1">IFERROR(__xludf.DUMMYFUNCTION("""COMPUTED_VALUE"""),0)</f>
        <v>0</v>
      </c>
      <c r="BC96" s="20"/>
      <c r="BD96" s="24">
        <f ca="1">IFERROR(__xludf.DUMMYFUNCTION("""COMPUTED_VALUE"""),0)</f>
        <v>0</v>
      </c>
      <c r="BE96" s="24">
        <f ca="1">IFERROR(__xludf.DUMMYFUNCTION("""COMPUTED_VALUE"""),0)</f>
        <v>0</v>
      </c>
      <c r="BF96" s="24">
        <f ca="1">IFERROR(__xludf.DUMMYFUNCTION("""COMPUTED_VALUE"""),0)</f>
        <v>0</v>
      </c>
      <c r="BG96" s="20"/>
      <c r="BH96" s="24">
        <f ca="1">IFERROR(__xludf.DUMMYFUNCTION("""COMPUTED_VALUE"""),0)</f>
        <v>0</v>
      </c>
      <c r="BI96" s="20"/>
      <c r="BJ96" s="24">
        <f ca="1">IFERROR(__xludf.DUMMYFUNCTION("""COMPUTED_VALUE"""),23084)</f>
        <v>23084</v>
      </c>
      <c r="BK96" s="24">
        <f ca="1">IFERROR(__xludf.DUMMYFUNCTION("""COMPUTED_VALUE"""),17313)</f>
        <v>17313</v>
      </c>
      <c r="BL96" s="24">
        <f ca="1">IFERROR(__xludf.DUMMYFUNCTION("""COMPUTED_VALUE"""),5771)</f>
        <v>5771</v>
      </c>
      <c r="BM96" s="20"/>
      <c r="BN96" s="24">
        <f ca="1">IFERROR(__xludf.DUMMYFUNCTION("""COMPUTED_VALUE"""),0)</f>
        <v>0</v>
      </c>
      <c r="BO96" s="20"/>
      <c r="BP96" s="24">
        <f ca="1">IFERROR(__xludf.DUMMYFUNCTION("""COMPUTED_VALUE"""),0)</f>
        <v>0</v>
      </c>
      <c r="BQ96" s="24">
        <f ca="1">IFERROR(__xludf.DUMMYFUNCTION("""COMPUTED_VALUE"""),0)</f>
        <v>0</v>
      </c>
      <c r="BR96" s="24">
        <f ca="1">IFERROR(__xludf.DUMMYFUNCTION("""COMPUTED_VALUE"""),0)</f>
        <v>0</v>
      </c>
      <c r="BS96" s="20"/>
      <c r="BT96" s="24">
        <f ca="1">IFERROR(__xludf.DUMMYFUNCTION("""COMPUTED_VALUE"""),0)</f>
        <v>0</v>
      </c>
      <c r="BU96" s="20"/>
      <c r="BV96" s="24">
        <f ca="1">IFERROR(__xludf.DUMMYFUNCTION("""COMPUTED_VALUE"""),0)</f>
        <v>0</v>
      </c>
      <c r="BW96" s="24">
        <f ca="1">IFERROR(__xludf.DUMMYFUNCTION("""COMPUTED_VALUE"""),0)</f>
        <v>0</v>
      </c>
      <c r="BX96" s="24">
        <f ca="1">IFERROR(__xludf.DUMMYFUNCTION("""COMPUTED_VALUE"""),0)</f>
        <v>0</v>
      </c>
      <c r="BY96" s="20"/>
      <c r="BZ96" s="24">
        <f ca="1">IFERROR(__xludf.DUMMYFUNCTION("""COMPUTED_VALUE"""),0)</f>
        <v>0</v>
      </c>
      <c r="CA96" s="20"/>
      <c r="CB96" s="20"/>
      <c r="CC96" s="20"/>
      <c r="CD96" s="20"/>
      <c r="CE96" s="20"/>
      <c r="CF96" s="20"/>
      <c r="CG96" s="20"/>
      <c r="CH96" s="20"/>
      <c r="CI96" s="20"/>
      <c r="CJ96" s="20"/>
      <c r="CK96" s="20"/>
      <c r="CL96" s="20"/>
      <c r="CM96" s="20"/>
      <c r="CN96" s="20"/>
      <c r="CO96" s="20"/>
      <c r="CP96" s="20"/>
      <c r="CQ96" s="20"/>
      <c r="CR96" s="20"/>
      <c r="CS96" s="20"/>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row>
    <row r="97" spans="1:123" ht="64.5" hidden="1" customHeight="1" x14ac:dyDescent="0.2">
      <c r="A97" s="19"/>
      <c r="B97" s="20" t="str">
        <f ca="1">IFERROR(__xludf.DUMMYFUNCTION("""COMPUTED_VALUE"""),"г.о. Можайск")</f>
        <v>г.о. Можайск</v>
      </c>
      <c r="C97"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7" s="20" t="str">
        <f ca="1">IFERROR(__xludf.DUMMYFUNCTION("""COMPUTED_VALUE"""),"МинЖКХ")</f>
        <v>МинЖКХ</v>
      </c>
      <c r="E97" s="20" t="str">
        <f ca="1">IFERROR(__xludf.DUMMYFUNCTION("""COMPUTED_VALUE"""),"Реконструкция ВЗУ Семеновское Московская область, Можайский городской округ, с.п. Замошинское, д. Семеновское")</f>
        <v>Реконструкция ВЗУ Семеновское Московская область, Можайский городской округ, с.п. Замошинское, д. Семеновское</v>
      </c>
      <c r="F97" s="22" t="str">
        <f ca="1">IFERROR(__xludf.DUMMYFUNCTION("""COMPUTED_VALUE"""),"ВЗУ")</f>
        <v>ВЗУ</v>
      </c>
      <c r="G97" s="20">
        <f ca="1">IFERROR(__xludf.DUMMYFUNCTION("""COMPUTED_VALUE"""),2023)</f>
        <v>2023</v>
      </c>
      <c r="H97" s="20" t="str">
        <f ca="1">IFERROR(__xludf.DUMMYFUNCTION("""COMPUTED_VALUE"""),"СМР")</f>
        <v>СМР</v>
      </c>
      <c r="I97" s="20"/>
      <c r="J97" s="20"/>
      <c r="K97" s="20"/>
      <c r="L97" s="20"/>
      <c r="M97" s="20"/>
      <c r="N97" s="24">
        <f ca="1">IFERROR(__xludf.DUMMYFUNCTION("""COMPUTED_VALUE"""),0)</f>
        <v>0</v>
      </c>
      <c r="O97" s="20"/>
      <c r="P97" s="20"/>
      <c r="Q97" s="20"/>
      <c r="R97" s="20"/>
      <c r="S97" s="20"/>
      <c r="T97" s="20"/>
      <c r="U97" s="24">
        <f ca="1">IFERROR(__xludf.DUMMYFUNCTION("""COMPUTED_VALUE"""),0)</f>
        <v>0</v>
      </c>
      <c r="V97" s="24">
        <f ca="1">IFERROR(__xludf.DUMMYFUNCTION("""COMPUTED_VALUE"""),0)</f>
        <v>0</v>
      </c>
      <c r="W97" s="24">
        <f ca="1">IFERROR(__xludf.DUMMYFUNCTION("""COMPUTED_VALUE"""),0)</f>
        <v>0</v>
      </c>
      <c r="X97" s="24">
        <f ca="1">IFERROR(__xludf.DUMMYFUNCTION("""COMPUTED_VALUE"""),0)</f>
        <v>0</v>
      </c>
      <c r="Y97" s="24">
        <f ca="1">IFERROR(__xludf.DUMMYFUNCTION("""COMPUTED_VALUE"""),0)</f>
        <v>0</v>
      </c>
      <c r="Z97" s="24">
        <f ca="1">IFERROR(__xludf.DUMMYFUNCTION("""COMPUTED_VALUE"""),0)</f>
        <v>0</v>
      </c>
      <c r="AA97" s="20" t="str">
        <f ca="1">IFERROR(__xludf.DUMMYFUNCTION("""COMPUTED_VALUE"""),"10 1 G552430")</f>
        <v>10 1 G552430</v>
      </c>
      <c r="AB97" s="20">
        <f ca="1">IFERROR(__xludf.DUMMYFUNCTION("""COMPUTED_VALUE"""),410)</f>
        <v>410</v>
      </c>
      <c r="AC97" s="20"/>
      <c r="AD97" s="20"/>
      <c r="AE97" s="20"/>
      <c r="AF97" s="24">
        <f ca="1">IFERROR(__xludf.DUMMYFUNCTION("""COMPUTED_VALUE"""),44580)</f>
        <v>44580</v>
      </c>
      <c r="AG97" s="24">
        <f ca="1">IFERROR(__xludf.DUMMYFUNCTION("""COMPUTED_VALUE"""),33435)</f>
        <v>33435</v>
      </c>
      <c r="AH97" s="24">
        <f ca="1">IFERROR(__xludf.DUMMYFUNCTION("""COMPUTED_VALUE"""),11145)</f>
        <v>11145</v>
      </c>
      <c r="AI97" s="24">
        <f ca="1">IFERROR(__xludf.DUMMYFUNCTION("""COMPUTED_VALUE"""),0)</f>
        <v>0</v>
      </c>
      <c r="AJ97" s="24">
        <f ca="1">IFERROR(__xludf.DUMMYFUNCTION("""COMPUTED_VALUE"""),0)</f>
        <v>0</v>
      </c>
      <c r="AK97" s="24">
        <f ca="1">IFERROR(__xludf.DUMMYFUNCTION("""COMPUTED_VALUE"""),0)</f>
        <v>0</v>
      </c>
      <c r="AL97" s="24">
        <f ca="1">IFERROR(__xludf.DUMMYFUNCTION("""COMPUTED_VALUE"""),0)</f>
        <v>0</v>
      </c>
      <c r="AM97" s="20"/>
      <c r="AN97" s="20"/>
      <c r="AO97" s="20"/>
      <c r="AP97" s="20"/>
      <c r="AQ97" s="20"/>
      <c r="AR97" s="24">
        <f ca="1">IFERROR(__xludf.DUMMYFUNCTION("""COMPUTED_VALUE"""),0)</f>
        <v>0</v>
      </c>
      <c r="AS97" s="20"/>
      <c r="AT97" s="20"/>
      <c r="AU97" s="20"/>
      <c r="AV97" s="20"/>
      <c r="AW97" s="20"/>
      <c r="AX97" s="24">
        <f ca="1">IFERROR(__xludf.DUMMYFUNCTION("""COMPUTED_VALUE"""),0)</f>
        <v>0</v>
      </c>
      <c r="AY97" s="24">
        <f ca="1">IFERROR(__xludf.DUMMYFUNCTION("""COMPUTED_VALUE"""),0)</f>
        <v>0</v>
      </c>
      <c r="AZ97" s="24">
        <f ca="1">IFERROR(__xludf.DUMMYFUNCTION("""COMPUTED_VALUE"""),0)</f>
        <v>0</v>
      </c>
      <c r="BA97" s="20"/>
      <c r="BB97" s="24">
        <f ca="1">IFERROR(__xludf.DUMMYFUNCTION("""COMPUTED_VALUE"""),0)</f>
        <v>0</v>
      </c>
      <c r="BC97" s="20"/>
      <c r="BD97" s="24">
        <f ca="1">IFERROR(__xludf.DUMMYFUNCTION("""COMPUTED_VALUE"""),0)</f>
        <v>0</v>
      </c>
      <c r="BE97" s="24">
        <f ca="1">IFERROR(__xludf.DUMMYFUNCTION("""COMPUTED_VALUE"""),0)</f>
        <v>0</v>
      </c>
      <c r="BF97" s="24">
        <f ca="1">IFERROR(__xludf.DUMMYFUNCTION("""COMPUTED_VALUE"""),0)</f>
        <v>0</v>
      </c>
      <c r="BG97" s="20"/>
      <c r="BH97" s="24">
        <f ca="1">IFERROR(__xludf.DUMMYFUNCTION("""COMPUTED_VALUE"""),0)</f>
        <v>0</v>
      </c>
      <c r="BI97" s="20"/>
      <c r="BJ97" s="24">
        <f ca="1">IFERROR(__xludf.DUMMYFUNCTION("""COMPUTED_VALUE"""),0)</f>
        <v>0</v>
      </c>
      <c r="BK97" s="24">
        <f ca="1">IFERROR(__xludf.DUMMYFUNCTION("""COMPUTED_VALUE"""),0)</f>
        <v>0</v>
      </c>
      <c r="BL97" s="24">
        <f ca="1">IFERROR(__xludf.DUMMYFUNCTION("""COMPUTED_VALUE"""),0)</f>
        <v>0</v>
      </c>
      <c r="BM97" s="20"/>
      <c r="BN97" s="24">
        <f ca="1">IFERROR(__xludf.DUMMYFUNCTION("""COMPUTED_VALUE"""),0)</f>
        <v>0</v>
      </c>
      <c r="BO97" s="20"/>
      <c r="BP97" s="24">
        <f ca="1">IFERROR(__xludf.DUMMYFUNCTION("""COMPUTED_VALUE"""),44580)</f>
        <v>44580</v>
      </c>
      <c r="BQ97" s="24">
        <f ca="1">IFERROR(__xludf.DUMMYFUNCTION("""COMPUTED_VALUE"""),33435)</f>
        <v>33435</v>
      </c>
      <c r="BR97" s="24">
        <f ca="1">IFERROR(__xludf.DUMMYFUNCTION("""COMPUTED_VALUE"""),11145)</f>
        <v>11145</v>
      </c>
      <c r="BS97" s="20"/>
      <c r="BT97" s="24">
        <f ca="1">IFERROR(__xludf.DUMMYFUNCTION("""COMPUTED_VALUE"""),0)</f>
        <v>0</v>
      </c>
      <c r="BU97" s="20"/>
      <c r="BV97" s="24">
        <f ca="1">IFERROR(__xludf.DUMMYFUNCTION("""COMPUTED_VALUE"""),0)</f>
        <v>0</v>
      </c>
      <c r="BW97" s="24">
        <f ca="1">IFERROR(__xludf.DUMMYFUNCTION("""COMPUTED_VALUE"""),0)</f>
        <v>0</v>
      </c>
      <c r="BX97" s="24">
        <f ca="1">IFERROR(__xludf.DUMMYFUNCTION("""COMPUTED_VALUE"""),0)</f>
        <v>0</v>
      </c>
      <c r="BY97" s="20"/>
      <c r="BZ97" s="24">
        <f ca="1">IFERROR(__xludf.DUMMYFUNCTION("""COMPUTED_VALUE"""),0)</f>
        <v>0</v>
      </c>
      <c r="CA97" s="20"/>
      <c r="CB97" s="20"/>
      <c r="CC97" s="20"/>
      <c r="CD97" s="20"/>
      <c r="CE97" s="20"/>
      <c r="CF97" s="20"/>
      <c r="CG97" s="20"/>
      <c r="CH97" s="20"/>
      <c r="CI97" s="20"/>
      <c r="CJ97" s="20"/>
      <c r="CK97" s="20"/>
      <c r="CL97" s="20"/>
      <c r="CM97" s="20"/>
      <c r="CN97" s="20"/>
      <c r="CO97" s="20"/>
      <c r="CP97" s="20"/>
      <c r="CQ97" s="20"/>
      <c r="CR97" s="20"/>
      <c r="CS97" s="20"/>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row>
    <row r="98" spans="1:123" ht="64.5" hidden="1" customHeight="1" x14ac:dyDescent="0.2">
      <c r="A98" s="19"/>
      <c r="B98" s="20" t="str">
        <f ca="1">IFERROR(__xludf.DUMMYFUNCTION("""COMPUTED_VALUE"""),"г.о. Можайск")</f>
        <v>г.о. Можайск</v>
      </c>
      <c r="C98"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8" s="20" t="str">
        <f ca="1">IFERROR(__xludf.DUMMYFUNCTION("""COMPUTED_VALUE"""),"МинЖКХ")</f>
        <v>МинЖКХ</v>
      </c>
      <c r="E98" s="20" t="str">
        <f ca="1">IFERROR(__xludf.DUMMYFUNCTION("""COMPUTED_VALUE"""),"Реконструкция ВЗУ №1 и №2 Павлищево Московская область, Можайский городской округ, с.п. Клементьевское, д. Павлищево")</f>
        <v>Реконструкция ВЗУ №1 и №2 Павлищево Московская область, Можайский городской округ, с.п. Клементьевское, д. Павлищево</v>
      </c>
      <c r="F98" s="22" t="str">
        <f ca="1">IFERROR(__xludf.DUMMYFUNCTION("""COMPUTED_VALUE"""),"ВЗУ")</f>
        <v>ВЗУ</v>
      </c>
      <c r="G98" s="20">
        <f ca="1">IFERROR(__xludf.DUMMYFUNCTION("""COMPUTED_VALUE"""),2023)</f>
        <v>2023</v>
      </c>
      <c r="H98" s="20" t="str">
        <f ca="1">IFERROR(__xludf.DUMMYFUNCTION("""COMPUTED_VALUE"""),"СМР")</f>
        <v>СМР</v>
      </c>
      <c r="I98" s="20"/>
      <c r="J98" s="20"/>
      <c r="K98" s="20"/>
      <c r="L98" s="20"/>
      <c r="M98" s="20"/>
      <c r="N98" s="24">
        <f ca="1">IFERROR(__xludf.DUMMYFUNCTION("""COMPUTED_VALUE"""),0)</f>
        <v>0</v>
      </c>
      <c r="O98" s="20"/>
      <c r="P98" s="20"/>
      <c r="Q98" s="20"/>
      <c r="R98" s="20"/>
      <c r="S98" s="20"/>
      <c r="T98" s="20"/>
      <c r="U98" s="24">
        <f ca="1">IFERROR(__xludf.DUMMYFUNCTION("""COMPUTED_VALUE"""),0)</f>
        <v>0</v>
      </c>
      <c r="V98" s="24">
        <f ca="1">IFERROR(__xludf.DUMMYFUNCTION("""COMPUTED_VALUE"""),0)</f>
        <v>0</v>
      </c>
      <c r="W98" s="24">
        <f ca="1">IFERROR(__xludf.DUMMYFUNCTION("""COMPUTED_VALUE"""),0)</f>
        <v>0</v>
      </c>
      <c r="X98" s="24">
        <f ca="1">IFERROR(__xludf.DUMMYFUNCTION("""COMPUTED_VALUE"""),0)</f>
        <v>0</v>
      </c>
      <c r="Y98" s="24">
        <f ca="1">IFERROR(__xludf.DUMMYFUNCTION("""COMPUTED_VALUE"""),0)</f>
        <v>0</v>
      </c>
      <c r="Z98" s="24">
        <f ca="1">IFERROR(__xludf.DUMMYFUNCTION("""COMPUTED_VALUE"""),0)</f>
        <v>0</v>
      </c>
      <c r="AA98" s="20" t="str">
        <f ca="1">IFERROR(__xludf.DUMMYFUNCTION("""COMPUTED_VALUE"""),"10 1 G552430")</f>
        <v>10 1 G552430</v>
      </c>
      <c r="AB98" s="20">
        <f ca="1">IFERROR(__xludf.DUMMYFUNCTION("""COMPUTED_VALUE"""),410)</f>
        <v>410</v>
      </c>
      <c r="AC98" s="20"/>
      <c r="AD98" s="20"/>
      <c r="AE98" s="20"/>
      <c r="AF98" s="24">
        <f ca="1">IFERROR(__xludf.DUMMYFUNCTION("""COMPUTED_VALUE"""),46809)</f>
        <v>46809</v>
      </c>
      <c r="AG98" s="24">
        <f ca="1">IFERROR(__xludf.DUMMYFUNCTION("""COMPUTED_VALUE"""),35106.75)</f>
        <v>35106.75</v>
      </c>
      <c r="AH98" s="24">
        <f ca="1">IFERROR(__xludf.DUMMYFUNCTION("""COMPUTED_VALUE"""),11702.25)</f>
        <v>11702.25</v>
      </c>
      <c r="AI98" s="24">
        <f ca="1">IFERROR(__xludf.DUMMYFUNCTION("""COMPUTED_VALUE"""),0)</f>
        <v>0</v>
      </c>
      <c r="AJ98" s="24">
        <f ca="1">IFERROR(__xludf.DUMMYFUNCTION("""COMPUTED_VALUE"""),0)</f>
        <v>0</v>
      </c>
      <c r="AK98" s="24">
        <f ca="1">IFERROR(__xludf.DUMMYFUNCTION("""COMPUTED_VALUE"""),0)</f>
        <v>0</v>
      </c>
      <c r="AL98" s="24">
        <f ca="1">IFERROR(__xludf.DUMMYFUNCTION("""COMPUTED_VALUE"""),0)</f>
        <v>0</v>
      </c>
      <c r="AM98" s="20"/>
      <c r="AN98" s="20"/>
      <c r="AO98" s="20"/>
      <c r="AP98" s="20"/>
      <c r="AQ98" s="20"/>
      <c r="AR98" s="24">
        <f ca="1">IFERROR(__xludf.DUMMYFUNCTION("""COMPUTED_VALUE"""),0)</f>
        <v>0</v>
      </c>
      <c r="AS98" s="20"/>
      <c r="AT98" s="20"/>
      <c r="AU98" s="20"/>
      <c r="AV98" s="20"/>
      <c r="AW98" s="20"/>
      <c r="AX98" s="24">
        <f ca="1">IFERROR(__xludf.DUMMYFUNCTION("""COMPUTED_VALUE"""),0)</f>
        <v>0</v>
      </c>
      <c r="AY98" s="24">
        <f ca="1">IFERROR(__xludf.DUMMYFUNCTION("""COMPUTED_VALUE"""),0)</f>
        <v>0</v>
      </c>
      <c r="AZ98" s="24">
        <f ca="1">IFERROR(__xludf.DUMMYFUNCTION("""COMPUTED_VALUE"""),0)</f>
        <v>0</v>
      </c>
      <c r="BA98" s="20"/>
      <c r="BB98" s="24">
        <f ca="1">IFERROR(__xludf.DUMMYFUNCTION("""COMPUTED_VALUE"""),0)</f>
        <v>0</v>
      </c>
      <c r="BC98" s="20"/>
      <c r="BD98" s="24">
        <f ca="1">IFERROR(__xludf.DUMMYFUNCTION("""COMPUTED_VALUE"""),0)</f>
        <v>0</v>
      </c>
      <c r="BE98" s="24">
        <f ca="1">IFERROR(__xludf.DUMMYFUNCTION("""COMPUTED_VALUE"""),0)</f>
        <v>0</v>
      </c>
      <c r="BF98" s="24">
        <f ca="1">IFERROR(__xludf.DUMMYFUNCTION("""COMPUTED_VALUE"""),0)</f>
        <v>0</v>
      </c>
      <c r="BG98" s="20"/>
      <c r="BH98" s="24">
        <f ca="1">IFERROR(__xludf.DUMMYFUNCTION("""COMPUTED_VALUE"""),0)</f>
        <v>0</v>
      </c>
      <c r="BI98" s="20"/>
      <c r="BJ98" s="24">
        <f ca="1">IFERROR(__xludf.DUMMYFUNCTION("""COMPUTED_VALUE"""),0)</f>
        <v>0</v>
      </c>
      <c r="BK98" s="24">
        <f ca="1">IFERROR(__xludf.DUMMYFUNCTION("""COMPUTED_VALUE"""),0)</f>
        <v>0</v>
      </c>
      <c r="BL98" s="24">
        <f ca="1">IFERROR(__xludf.DUMMYFUNCTION("""COMPUTED_VALUE"""),0)</f>
        <v>0</v>
      </c>
      <c r="BM98" s="20"/>
      <c r="BN98" s="24">
        <f ca="1">IFERROR(__xludf.DUMMYFUNCTION("""COMPUTED_VALUE"""),0)</f>
        <v>0</v>
      </c>
      <c r="BO98" s="20"/>
      <c r="BP98" s="24">
        <f ca="1">IFERROR(__xludf.DUMMYFUNCTION("""COMPUTED_VALUE"""),46809)</f>
        <v>46809</v>
      </c>
      <c r="BQ98" s="24">
        <f ca="1">IFERROR(__xludf.DUMMYFUNCTION("""COMPUTED_VALUE"""),35106.75)</f>
        <v>35106.75</v>
      </c>
      <c r="BR98" s="24">
        <f ca="1">IFERROR(__xludf.DUMMYFUNCTION("""COMPUTED_VALUE"""),11702.25)</f>
        <v>11702.25</v>
      </c>
      <c r="BS98" s="20"/>
      <c r="BT98" s="24">
        <f ca="1">IFERROR(__xludf.DUMMYFUNCTION("""COMPUTED_VALUE"""),0)</f>
        <v>0</v>
      </c>
      <c r="BU98" s="20"/>
      <c r="BV98" s="24">
        <f ca="1">IFERROR(__xludf.DUMMYFUNCTION("""COMPUTED_VALUE"""),0)</f>
        <v>0</v>
      </c>
      <c r="BW98" s="24">
        <f ca="1">IFERROR(__xludf.DUMMYFUNCTION("""COMPUTED_VALUE"""),0)</f>
        <v>0</v>
      </c>
      <c r="BX98" s="24">
        <f ca="1">IFERROR(__xludf.DUMMYFUNCTION("""COMPUTED_VALUE"""),0)</f>
        <v>0</v>
      </c>
      <c r="BY98" s="20"/>
      <c r="BZ98" s="24">
        <f ca="1">IFERROR(__xludf.DUMMYFUNCTION("""COMPUTED_VALUE"""),0)</f>
        <v>0</v>
      </c>
      <c r="CA98" s="20"/>
      <c r="CB98" s="20"/>
      <c r="CC98" s="20"/>
      <c r="CD98" s="20"/>
      <c r="CE98" s="20"/>
      <c r="CF98" s="20"/>
      <c r="CG98" s="20"/>
      <c r="CH98" s="20"/>
      <c r="CI98" s="20"/>
      <c r="CJ98" s="20"/>
      <c r="CK98" s="20"/>
      <c r="CL98" s="20"/>
      <c r="CM98" s="20"/>
      <c r="CN98" s="20"/>
      <c r="CO98" s="20"/>
      <c r="CP98" s="20"/>
      <c r="CQ98" s="20"/>
      <c r="CR98" s="20"/>
      <c r="CS98" s="20"/>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row>
    <row r="99" spans="1:123" ht="64.5" hidden="1" customHeight="1" x14ac:dyDescent="0.2">
      <c r="A99" s="19"/>
      <c r="B99" s="20" t="str">
        <f ca="1">IFERROR(__xludf.DUMMYFUNCTION("""COMPUTED_VALUE"""),"г.о. Можайск")</f>
        <v>г.о. Можайск</v>
      </c>
      <c r="C99"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9" s="20" t="str">
        <f ca="1">IFERROR(__xludf.DUMMYFUNCTION("""COMPUTED_VALUE"""),"МинЖКХ")</f>
        <v>МинЖКХ</v>
      </c>
      <c r="E99" s="20" t="str">
        <f ca="1">IFERROR(__xludf.DUMMYFUNCTION("""COMPUTED_VALUE"""),"Реконструкция ВЗУ Новая Московская область, Можайский городской округ, г.п. Можайск, д. Новая")</f>
        <v>Реконструкция ВЗУ Новая Московская область, Можайский городской округ, г.п. Можайск, д. Новая</v>
      </c>
      <c r="F99" s="22" t="str">
        <f ca="1">IFERROR(__xludf.DUMMYFUNCTION("""COMPUTED_VALUE"""),"ВЗУ")</f>
        <v>ВЗУ</v>
      </c>
      <c r="G99" s="20">
        <f ca="1">IFERROR(__xludf.DUMMYFUNCTION("""COMPUTED_VALUE"""),2023)</f>
        <v>2023</v>
      </c>
      <c r="H99" s="20" t="str">
        <f ca="1">IFERROR(__xludf.DUMMYFUNCTION("""COMPUTED_VALUE"""),"СМР")</f>
        <v>СМР</v>
      </c>
      <c r="I99" s="20"/>
      <c r="J99" s="20"/>
      <c r="K99" s="20"/>
      <c r="L99" s="20"/>
      <c r="M99" s="20"/>
      <c r="N99" s="24">
        <f ca="1">IFERROR(__xludf.DUMMYFUNCTION("""COMPUTED_VALUE"""),0)</f>
        <v>0</v>
      </c>
      <c r="O99" s="20"/>
      <c r="P99" s="20"/>
      <c r="Q99" s="20"/>
      <c r="R99" s="20"/>
      <c r="S99" s="20"/>
      <c r="T99" s="20"/>
      <c r="U99" s="24">
        <f ca="1">IFERROR(__xludf.DUMMYFUNCTION("""COMPUTED_VALUE"""),0)</f>
        <v>0</v>
      </c>
      <c r="V99" s="24">
        <f ca="1">IFERROR(__xludf.DUMMYFUNCTION("""COMPUTED_VALUE"""),0)</f>
        <v>0</v>
      </c>
      <c r="W99" s="24">
        <f ca="1">IFERROR(__xludf.DUMMYFUNCTION("""COMPUTED_VALUE"""),0)</f>
        <v>0</v>
      </c>
      <c r="X99" s="24">
        <f ca="1">IFERROR(__xludf.DUMMYFUNCTION("""COMPUTED_VALUE"""),0)</f>
        <v>0</v>
      </c>
      <c r="Y99" s="24">
        <f ca="1">IFERROR(__xludf.DUMMYFUNCTION("""COMPUTED_VALUE"""),0)</f>
        <v>0</v>
      </c>
      <c r="Z99" s="24">
        <f ca="1">IFERROR(__xludf.DUMMYFUNCTION("""COMPUTED_VALUE"""),0)</f>
        <v>0</v>
      </c>
      <c r="AA99" s="20" t="str">
        <f ca="1">IFERROR(__xludf.DUMMYFUNCTION("""COMPUTED_VALUE"""),"10 1 G552430")</f>
        <v>10 1 G552430</v>
      </c>
      <c r="AB99" s="20">
        <f ca="1">IFERROR(__xludf.DUMMYFUNCTION("""COMPUTED_VALUE"""),410)</f>
        <v>410</v>
      </c>
      <c r="AC99" s="20"/>
      <c r="AD99" s="20"/>
      <c r="AE99" s="20"/>
      <c r="AF99" s="24">
        <f ca="1">IFERROR(__xludf.DUMMYFUNCTION("""COMPUTED_VALUE"""),29645.71)</f>
        <v>29645.71</v>
      </c>
      <c r="AG99" s="24">
        <f ca="1">IFERROR(__xludf.DUMMYFUNCTION("""COMPUTED_VALUE"""),22234.28)</f>
        <v>22234.28</v>
      </c>
      <c r="AH99" s="24">
        <f ca="1">IFERROR(__xludf.DUMMYFUNCTION("""COMPUTED_VALUE"""),7411.43)</f>
        <v>7411.43</v>
      </c>
      <c r="AI99" s="24">
        <f ca="1">IFERROR(__xludf.DUMMYFUNCTION("""COMPUTED_VALUE"""),0)</f>
        <v>0</v>
      </c>
      <c r="AJ99" s="24">
        <f ca="1">IFERROR(__xludf.DUMMYFUNCTION("""COMPUTED_VALUE"""),0)</f>
        <v>0</v>
      </c>
      <c r="AK99" s="24">
        <f ca="1">IFERROR(__xludf.DUMMYFUNCTION("""COMPUTED_VALUE"""),0)</f>
        <v>0</v>
      </c>
      <c r="AL99" s="24">
        <f ca="1">IFERROR(__xludf.DUMMYFUNCTION("""COMPUTED_VALUE"""),0)</f>
        <v>0</v>
      </c>
      <c r="AM99" s="20"/>
      <c r="AN99" s="20"/>
      <c r="AO99" s="20"/>
      <c r="AP99" s="20"/>
      <c r="AQ99" s="20"/>
      <c r="AR99" s="24">
        <f ca="1">IFERROR(__xludf.DUMMYFUNCTION("""COMPUTED_VALUE"""),0)</f>
        <v>0</v>
      </c>
      <c r="AS99" s="20"/>
      <c r="AT99" s="20"/>
      <c r="AU99" s="20"/>
      <c r="AV99" s="20"/>
      <c r="AW99" s="20"/>
      <c r="AX99" s="24">
        <f ca="1">IFERROR(__xludf.DUMMYFUNCTION("""COMPUTED_VALUE"""),0)</f>
        <v>0</v>
      </c>
      <c r="AY99" s="24">
        <f ca="1">IFERROR(__xludf.DUMMYFUNCTION("""COMPUTED_VALUE"""),0)</f>
        <v>0</v>
      </c>
      <c r="AZ99" s="24">
        <f ca="1">IFERROR(__xludf.DUMMYFUNCTION("""COMPUTED_VALUE"""),0)</f>
        <v>0</v>
      </c>
      <c r="BA99" s="20"/>
      <c r="BB99" s="24">
        <f ca="1">IFERROR(__xludf.DUMMYFUNCTION("""COMPUTED_VALUE"""),0)</f>
        <v>0</v>
      </c>
      <c r="BC99" s="20"/>
      <c r="BD99" s="24">
        <f ca="1">IFERROR(__xludf.DUMMYFUNCTION("""COMPUTED_VALUE"""),0)</f>
        <v>0</v>
      </c>
      <c r="BE99" s="24">
        <f ca="1">IFERROR(__xludf.DUMMYFUNCTION("""COMPUTED_VALUE"""),0)</f>
        <v>0</v>
      </c>
      <c r="BF99" s="24">
        <f ca="1">IFERROR(__xludf.DUMMYFUNCTION("""COMPUTED_VALUE"""),0)</f>
        <v>0</v>
      </c>
      <c r="BG99" s="20"/>
      <c r="BH99" s="24">
        <f ca="1">IFERROR(__xludf.DUMMYFUNCTION("""COMPUTED_VALUE"""),0)</f>
        <v>0</v>
      </c>
      <c r="BI99" s="20"/>
      <c r="BJ99" s="24">
        <f ca="1">IFERROR(__xludf.DUMMYFUNCTION("""COMPUTED_VALUE"""),0)</f>
        <v>0</v>
      </c>
      <c r="BK99" s="24">
        <f ca="1">IFERROR(__xludf.DUMMYFUNCTION("""COMPUTED_VALUE"""),0)</f>
        <v>0</v>
      </c>
      <c r="BL99" s="24">
        <f ca="1">IFERROR(__xludf.DUMMYFUNCTION("""COMPUTED_VALUE"""),0)</f>
        <v>0</v>
      </c>
      <c r="BM99" s="20"/>
      <c r="BN99" s="24">
        <f ca="1">IFERROR(__xludf.DUMMYFUNCTION("""COMPUTED_VALUE"""),0)</f>
        <v>0</v>
      </c>
      <c r="BO99" s="20"/>
      <c r="BP99" s="24">
        <f ca="1">IFERROR(__xludf.DUMMYFUNCTION("""COMPUTED_VALUE"""),29645.71)</f>
        <v>29645.71</v>
      </c>
      <c r="BQ99" s="24">
        <f ca="1">IFERROR(__xludf.DUMMYFUNCTION("""COMPUTED_VALUE"""),22234.28)</f>
        <v>22234.28</v>
      </c>
      <c r="BR99" s="24">
        <f ca="1">IFERROR(__xludf.DUMMYFUNCTION("""COMPUTED_VALUE"""),7411.43)</f>
        <v>7411.43</v>
      </c>
      <c r="BS99" s="20"/>
      <c r="BT99" s="24">
        <f ca="1">IFERROR(__xludf.DUMMYFUNCTION("""COMPUTED_VALUE"""),0)</f>
        <v>0</v>
      </c>
      <c r="BU99" s="20"/>
      <c r="BV99" s="24">
        <f ca="1">IFERROR(__xludf.DUMMYFUNCTION("""COMPUTED_VALUE"""),0)</f>
        <v>0</v>
      </c>
      <c r="BW99" s="24">
        <f ca="1">IFERROR(__xludf.DUMMYFUNCTION("""COMPUTED_VALUE"""),0)</f>
        <v>0</v>
      </c>
      <c r="BX99" s="24">
        <f ca="1">IFERROR(__xludf.DUMMYFUNCTION("""COMPUTED_VALUE"""),0)</f>
        <v>0</v>
      </c>
      <c r="BY99" s="20"/>
      <c r="BZ99" s="24">
        <f ca="1">IFERROR(__xludf.DUMMYFUNCTION("""COMPUTED_VALUE"""),0)</f>
        <v>0</v>
      </c>
      <c r="CA99" s="20"/>
      <c r="CB99" s="20"/>
      <c r="CC99" s="20"/>
      <c r="CD99" s="20"/>
      <c r="CE99" s="20"/>
      <c r="CF99" s="20"/>
      <c r="CG99" s="20"/>
      <c r="CH99" s="20"/>
      <c r="CI99" s="20"/>
      <c r="CJ99" s="20"/>
      <c r="CK99" s="20"/>
      <c r="CL99" s="20"/>
      <c r="CM99" s="20"/>
      <c r="CN99" s="20"/>
      <c r="CO99" s="20"/>
      <c r="CP99" s="20"/>
      <c r="CQ99" s="20"/>
      <c r="CR99" s="20"/>
      <c r="CS99" s="20"/>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row>
    <row r="100" spans="1:123" ht="64.5" hidden="1" customHeight="1" x14ac:dyDescent="0.2">
      <c r="A100" s="19"/>
      <c r="B100" s="20" t="str">
        <f ca="1">IFERROR(__xludf.DUMMYFUNCTION("""COMPUTED_VALUE"""),"г.о. Можайск")</f>
        <v>г.о. Можайск</v>
      </c>
      <c r="C100"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0" s="20" t="str">
        <f ca="1">IFERROR(__xludf.DUMMYFUNCTION("""COMPUTED_VALUE"""),"МинЖКХ")</f>
        <v>МинЖКХ</v>
      </c>
      <c r="E100" s="20"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F100" s="22" t="str">
        <f ca="1">IFERROR(__xludf.DUMMYFUNCTION("""COMPUTED_VALUE"""),"ВЗУ")</f>
        <v>ВЗУ</v>
      </c>
      <c r="G100" s="20" t="str">
        <f ca="1">IFERROR(__xludf.DUMMYFUNCTION("""COMPUTED_VALUE"""),"Н/Л")</f>
        <v>Н/Л</v>
      </c>
      <c r="H100" s="20"/>
      <c r="I100" s="20"/>
      <c r="J100" s="20"/>
      <c r="K100" s="20"/>
      <c r="L100" s="20"/>
      <c r="M100" s="20"/>
      <c r="N100" s="24">
        <f ca="1">IFERROR(__xludf.DUMMYFUNCTION("""COMPUTED_VALUE"""),0)</f>
        <v>0</v>
      </c>
      <c r="O100" s="20"/>
      <c r="P100" s="20"/>
      <c r="Q100" s="20"/>
      <c r="R100" s="20"/>
      <c r="S100" s="20"/>
      <c r="T100" s="20"/>
      <c r="U100" s="24">
        <f ca="1">IFERROR(__xludf.DUMMYFUNCTION("""COMPUTED_VALUE"""),0)</f>
        <v>0</v>
      </c>
      <c r="V100" s="24">
        <f ca="1">IFERROR(__xludf.DUMMYFUNCTION("""COMPUTED_VALUE"""),0)</f>
        <v>0</v>
      </c>
      <c r="W100" s="24">
        <f ca="1">IFERROR(__xludf.DUMMYFUNCTION("""COMPUTED_VALUE"""),0)</f>
        <v>0</v>
      </c>
      <c r="X100" s="24">
        <f ca="1">IFERROR(__xludf.DUMMYFUNCTION("""COMPUTED_VALUE"""),0)</f>
        <v>0</v>
      </c>
      <c r="Y100" s="24">
        <f ca="1">IFERROR(__xludf.DUMMYFUNCTION("""COMPUTED_VALUE"""),0)</f>
        <v>0</v>
      </c>
      <c r="Z100" s="24">
        <f ca="1">IFERROR(__xludf.DUMMYFUNCTION("""COMPUTED_VALUE"""),0)</f>
        <v>0</v>
      </c>
      <c r="AA100" s="20" t="str">
        <f ca="1">IFERROR(__xludf.DUMMYFUNCTION("""COMPUTED_VALUE"""),"10 1 G552430")</f>
        <v>10 1 G552430</v>
      </c>
      <c r="AB100" s="20">
        <f ca="1">IFERROR(__xludf.DUMMYFUNCTION("""COMPUTED_VALUE"""),410)</f>
        <v>410</v>
      </c>
      <c r="AC100" s="20"/>
      <c r="AD100" s="20"/>
      <c r="AE100" s="20"/>
      <c r="AF100" s="24">
        <f ca="1">IFERROR(__xludf.DUMMYFUNCTION("""COMPUTED_VALUE"""),0)</f>
        <v>0</v>
      </c>
      <c r="AG100" s="24">
        <f ca="1">IFERROR(__xludf.DUMMYFUNCTION("""COMPUTED_VALUE"""),0)</f>
        <v>0</v>
      </c>
      <c r="AH100" s="24">
        <f ca="1">IFERROR(__xludf.DUMMYFUNCTION("""COMPUTED_VALUE"""),0)</f>
        <v>0</v>
      </c>
      <c r="AI100" s="24">
        <f ca="1">IFERROR(__xludf.DUMMYFUNCTION("""COMPUTED_VALUE"""),0)</f>
        <v>0</v>
      </c>
      <c r="AJ100" s="24">
        <f ca="1">IFERROR(__xludf.DUMMYFUNCTION("""COMPUTED_VALUE"""),0)</f>
        <v>0</v>
      </c>
      <c r="AK100" s="24">
        <f ca="1">IFERROR(__xludf.DUMMYFUNCTION("""COMPUTED_VALUE"""),0)</f>
        <v>0</v>
      </c>
      <c r="AL100" s="24">
        <f ca="1">IFERROR(__xludf.DUMMYFUNCTION("""COMPUTED_VALUE"""),0)</f>
        <v>0</v>
      </c>
      <c r="AM100" s="20"/>
      <c r="AN100" s="20"/>
      <c r="AO100" s="20"/>
      <c r="AP100" s="20"/>
      <c r="AQ100" s="20"/>
      <c r="AR100" s="24">
        <f ca="1">IFERROR(__xludf.DUMMYFUNCTION("""COMPUTED_VALUE"""),0)</f>
        <v>0</v>
      </c>
      <c r="AS100" s="20"/>
      <c r="AT100" s="20"/>
      <c r="AU100" s="20"/>
      <c r="AV100" s="20"/>
      <c r="AW100" s="20"/>
      <c r="AX100" s="24">
        <f ca="1">IFERROR(__xludf.DUMMYFUNCTION("""COMPUTED_VALUE"""),0)</f>
        <v>0</v>
      </c>
      <c r="AY100" s="24">
        <f ca="1">IFERROR(__xludf.DUMMYFUNCTION("""COMPUTED_VALUE"""),0)</f>
        <v>0</v>
      </c>
      <c r="AZ100" s="24">
        <f ca="1">IFERROR(__xludf.DUMMYFUNCTION("""COMPUTED_VALUE"""),0)</f>
        <v>0</v>
      </c>
      <c r="BA100" s="20"/>
      <c r="BB100" s="24">
        <f ca="1">IFERROR(__xludf.DUMMYFUNCTION("""COMPUTED_VALUE"""),0)</f>
        <v>0</v>
      </c>
      <c r="BC100" s="20"/>
      <c r="BD100" s="24">
        <f ca="1">IFERROR(__xludf.DUMMYFUNCTION("""COMPUTED_VALUE"""),0)</f>
        <v>0</v>
      </c>
      <c r="BE100" s="24">
        <f ca="1">IFERROR(__xludf.DUMMYFUNCTION("""COMPUTED_VALUE"""),0)</f>
        <v>0</v>
      </c>
      <c r="BF100" s="24">
        <f ca="1">IFERROR(__xludf.DUMMYFUNCTION("""COMPUTED_VALUE"""),0)</f>
        <v>0</v>
      </c>
      <c r="BG100" s="20"/>
      <c r="BH100" s="24">
        <f ca="1">IFERROR(__xludf.DUMMYFUNCTION("""COMPUTED_VALUE"""),0)</f>
        <v>0</v>
      </c>
      <c r="BI100" s="20"/>
      <c r="BJ100" s="24">
        <f ca="1">IFERROR(__xludf.DUMMYFUNCTION("""COMPUTED_VALUE"""),0)</f>
        <v>0</v>
      </c>
      <c r="BK100" s="24">
        <f ca="1">IFERROR(__xludf.DUMMYFUNCTION("""COMPUTED_VALUE"""),0)</f>
        <v>0</v>
      </c>
      <c r="BL100" s="24">
        <f ca="1">IFERROR(__xludf.DUMMYFUNCTION("""COMPUTED_VALUE"""),0)</f>
        <v>0</v>
      </c>
      <c r="BM100" s="20"/>
      <c r="BN100" s="24">
        <f ca="1">IFERROR(__xludf.DUMMYFUNCTION("""COMPUTED_VALUE"""),0)</f>
        <v>0</v>
      </c>
      <c r="BO100" s="20"/>
      <c r="BP100" s="24">
        <f ca="1">IFERROR(__xludf.DUMMYFUNCTION("""COMPUTED_VALUE"""),0)</f>
        <v>0</v>
      </c>
      <c r="BQ100" s="24">
        <f ca="1">IFERROR(__xludf.DUMMYFUNCTION("""COMPUTED_VALUE"""),0)</f>
        <v>0</v>
      </c>
      <c r="BR100" s="24">
        <f ca="1">IFERROR(__xludf.DUMMYFUNCTION("""COMPUTED_VALUE"""),0)</f>
        <v>0</v>
      </c>
      <c r="BS100" s="20"/>
      <c r="BT100" s="24">
        <f ca="1">IFERROR(__xludf.DUMMYFUNCTION("""COMPUTED_VALUE"""),0)</f>
        <v>0</v>
      </c>
      <c r="BU100" s="20"/>
      <c r="BV100" s="24">
        <f ca="1">IFERROR(__xludf.DUMMYFUNCTION("""COMPUTED_VALUE"""),0)</f>
        <v>0</v>
      </c>
      <c r="BW100" s="24">
        <f ca="1">IFERROR(__xludf.DUMMYFUNCTION("""COMPUTED_VALUE"""),0)</f>
        <v>0</v>
      </c>
      <c r="BX100" s="24">
        <f ca="1">IFERROR(__xludf.DUMMYFUNCTION("""COMPUTED_VALUE"""),0)</f>
        <v>0</v>
      </c>
      <c r="BY100" s="20"/>
      <c r="BZ100" s="24">
        <f ca="1">IFERROR(__xludf.DUMMYFUNCTION("""COMPUTED_VALUE"""),0)</f>
        <v>0</v>
      </c>
      <c r="CA100" s="20"/>
      <c r="CB100" s="20"/>
      <c r="CC100" s="20"/>
      <c r="CD100" s="20"/>
      <c r="CE100" s="20"/>
      <c r="CF100" s="20"/>
      <c r="CG100" s="20"/>
      <c r="CH100" s="20"/>
      <c r="CI100" s="20"/>
      <c r="CJ100" s="20"/>
      <c r="CK100" s="20"/>
      <c r="CL100" s="20"/>
      <c r="CM100" s="20"/>
      <c r="CN100" s="20"/>
      <c r="CO100" s="20"/>
      <c r="CP100" s="20"/>
      <c r="CQ100" s="20"/>
      <c r="CR100" s="20"/>
      <c r="CS100" s="20"/>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row>
    <row r="101" spans="1:123" ht="64.5" hidden="1" customHeight="1" x14ac:dyDescent="0.2">
      <c r="A101" s="19"/>
      <c r="B101" s="20" t="str">
        <f ca="1">IFERROR(__xludf.DUMMYFUNCTION("""COMPUTED_VALUE"""),"г.о. Можайск")</f>
        <v>г.о. Можайск</v>
      </c>
      <c r="C101"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1" s="20" t="str">
        <f ca="1">IFERROR(__xludf.DUMMYFUNCTION("""COMPUTED_VALUE"""),"МинЖКХ")</f>
        <v>МинЖКХ</v>
      </c>
      <c r="E101" s="20" t="str">
        <f ca="1">IFERROR(__xludf.DUMMYFUNCTION("""COMPUTED_VALUE"""),"Реконструкция ВЗУ Сокольниково ул. Верхнее Сокольниково Московская область, Можайский городской округ, с.п. Юрловское")</f>
        <v>Реконструкция ВЗУ Сокольниково ул. Верхнее Сокольниково Московская область, Можайский городской округ, с.п. Юрловское</v>
      </c>
      <c r="F101" s="22" t="str">
        <f ca="1">IFERROR(__xludf.DUMMYFUNCTION("""COMPUTED_VALUE"""),"ВЗУ")</f>
        <v>ВЗУ</v>
      </c>
      <c r="G101" s="20">
        <f ca="1">IFERROR(__xludf.DUMMYFUNCTION("""COMPUTED_VALUE"""),2023)</f>
        <v>2023</v>
      </c>
      <c r="H101" s="20" t="str">
        <f ca="1">IFERROR(__xludf.DUMMYFUNCTION("""COMPUTED_VALUE"""),"СМР")</f>
        <v>СМР</v>
      </c>
      <c r="I101" s="20"/>
      <c r="J101" s="20"/>
      <c r="K101" s="20"/>
      <c r="L101" s="20"/>
      <c r="M101" s="20"/>
      <c r="N101" s="24">
        <f ca="1">IFERROR(__xludf.DUMMYFUNCTION("""COMPUTED_VALUE"""),0)</f>
        <v>0</v>
      </c>
      <c r="O101" s="20"/>
      <c r="P101" s="20"/>
      <c r="Q101" s="20"/>
      <c r="R101" s="20"/>
      <c r="S101" s="20"/>
      <c r="T101" s="20"/>
      <c r="U101" s="24">
        <f ca="1">IFERROR(__xludf.DUMMYFUNCTION("""COMPUTED_VALUE"""),0)</f>
        <v>0</v>
      </c>
      <c r="V101" s="24">
        <f ca="1">IFERROR(__xludf.DUMMYFUNCTION("""COMPUTED_VALUE"""),0)</f>
        <v>0</v>
      </c>
      <c r="W101" s="24">
        <f ca="1">IFERROR(__xludf.DUMMYFUNCTION("""COMPUTED_VALUE"""),0)</f>
        <v>0</v>
      </c>
      <c r="X101" s="24">
        <f ca="1">IFERROR(__xludf.DUMMYFUNCTION("""COMPUTED_VALUE"""),0)</f>
        <v>0</v>
      </c>
      <c r="Y101" s="24">
        <f ca="1">IFERROR(__xludf.DUMMYFUNCTION("""COMPUTED_VALUE"""),0)</f>
        <v>0</v>
      </c>
      <c r="Z101" s="24">
        <f ca="1">IFERROR(__xludf.DUMMYFUNCTION("""COMPUTED_VALUE"""),0)</f>
        <v>0</v>
      </c>
      <c r="AA101" s="20" t="str">
        <f ca="1">IFERROR(__xludf.DUMMYFUNCTION("""COMPUTED_VALUE"""),"10 1 G552430")</f>
        <v>10 1 G552430</v>
      </c>
      <c r="AB101" s="20">
        <f ca="1">IFERROR(__xludf.DUMMYFUNCTION("""COMPUTED_VALUE"""),410)</f>
        <v>410</v>
      </c>
      <c r="AC101" s="20"/>
      <c r="AD101" s="20"/>
      <c r="AE101" s="20"/>
      <c r="AF101" s="24">
        <f ca="1">IFERROR(__xludf.DUMMYFUNCTION("""COMPUTED_VALUE"""),44580)</f>
        <v>44580</v>
      </c>
      <c r="AG101" s="24">
        <f ca="1">IFERROR(__xludf.DUMMYFUNCTION("""COMPUTED_VALUE"""),33435)</f>
        <v>33435</v>
      </c>
      <c r="AH101" s="24">
        <f ca="1">IFERROR(__xludf.DUMMYFUNCTION("""COMPUTED_VALUE"""),11145)</f>
        <v>11145</v>
      </c>
      <c r="AI101" s="24">
        <f ca="1">IFERROR(__xludf.DUMMYFUNCTION("""COMPUTED_VALUE"""),0)</f>
        <v>0</v>
      </c>
      <c r="AJ101" s="24">
        <f ca="1">IFERROR(__xludf.DUMMYFUNCTION("""COMPUTED_VALUE"""),0)</f>
        <v>0</v>
      </c>
      <c r="AK101" s="24">
        <f ca="1">IFERROR(__xludf.DUMMYFUNCTION("""COMPUTED_VALUE"""),0)</f>
        <v>0</v>
      </c>
      <c r="AL101" s="24">
        <f ca="1">IFERROR(__xludf.DUMMYFUNCTION("""COMPUTED_VALUE"""),0)</f>
        <v>0</v>
      </c>
      <c r="AM101" s="20"/>
      <c r="AN101" s="20"/>
      <c r="AO101" s="20"/>
      <c r="AP101" s="20"/>
      <c r="AQ101" s="20"/>
      <c r="AR101" s="24">
        <f ca="1">IFERROR(__xludf.DUMMYFUNCTION("""COMPUTED_VALUE"""),0)</f>
        <v>0</v>
      </c>
      <c r="AS101" s="20"/>
      <c r="AT101" s="20"/>
      <c r="AU101" s="20"/>
      <c r="AV101" s="20"/>
      <c r="AW101" s="20"/>
      <c r="AX101" s="24">
        <f ca="1">IFERROR(__xludf.DUMMYFUNCTION("""COMPUTED_VALUE"""),0)</f>
        <v>0</v>
      </c>
      <c r="AY101" s="24">
        <f ca="1">IFERROR(__xludf.DUMMYFUNCTION("""COMPUTED_VALUE"""),0)</f>
        <v>0</v>
      </c>
      <c r="AZ101" s="24">
        <f ca="1">IFERROR(__xludf.DUMMYFUNCTION("""COMPUTED_VALUE"""),0)</f>
        <v>0</v>
      </c>
      <c r="BA101" s="20"/>
      <c r="BB101" s="24">
        <f ca="1">IFERROR(__xludf.DUMMYFUNCTION("""COMPUTED_VALUE"""),0)</f>
        <v>0</v>
      </c>
      <c r="BC101" s="20"/>
      <c r="BD101" s="24">
        <f ca="1">IFERROR(__xludf.DUMMYFUNCTION("""COMPUTED_VALUE"""),0)</f>
        <v>0</v>
      </c>
      <c r="BE101" s="24">
        <f ca="1">IFERROR(__xludf.DUMMYFUNCTION("""COMPUTED_VALUE"""),0)</f>
        <v>0</v>
      </c>
      <c r="BF101" s="24">
        <f ca="1">IFERROR(__xludf.DUMMYFUNCTION("""COMPUTED_VALUE"""),0)</f>
        <v>0</v>
      </c>
      <c r="BG101" s="20"/>
      <c r="BH101" s="24">
        <f ca="1">IFERROR(__xludf.DUMMYFUNCTION("""COMPUTED_VALUE"""),0)</f>
        <v>0</v>
      </c>
      <c r="BI101" s="20"/>
      <c r="BJ101" s="24">
        <f ca="1">IFERROR(__xludf.DUMMYFUNCTION("""COMPUTED_VALUE"""),0)</f>
        <v>0</v>
      </c>
      <c r="BK101" s="24">
        <f ca="1">IFERROR(__xludf.DUMMYFUNCTION("""COMPUTED_VALUE"""),0)</f>
        <v>0</v>
      </c>
      <c r="BL101" s="24">
        <f ca="1">IFERROR(__xludf.DUMMYFUNCTION("""COMPUTED_VALUE"""),0)</f>
        <v>0</v>
      </c>
      <c r="BM101" s="20"/>
      <c r="BN101" s="24">
        <f ca="1">IFERROR(__xludf.DUMMYFUNCTION("""COMPUTED_VALUE"""),0)</f>
        <v>0</v>
      </c>
      <c r="BO101" s="20"/>
      <c r="BP101" s="24">
        <f ca="1">IFERROR(__xludf.DUMMYFUNCTION("""COMPUTED_VALUE"""),44580)</f>
        <v>44580</v>
      </c>
      <c r="BQ101" s="24">
        <f ca="1">IFERROR(__xludf.DUMMYFUNCTION("""COMPUTED_VALUE"""),33435)</f>
        <v>33435</v>
      </c>
      <c r="BR101" s="24">
        <f ca="1">IFERROR(__xludf.DUMMYFUNCTION("""COMPUTED_VALUE"""),11145)</f>
        <v>11145</v>
      </c>
      <c r="BS101" s="20"/>
      <c r="BT101" s="24">
        <f ca="1">IFERROR(__xludf.DUMMYFUNCTION("""COMPUTED_VALUE"""),0)</f>
        <v>0</v>
      </c>
      <c r="BU101" s="20"/>
      <c r="BV101" s="24">
        <f ca="1">IFERROR(__xludf.DUMMYFUNCTION("""COMPUTED_VALUE"""),0)</f>
        <v>0</v>
      </c>
      <c r="BW101" s="24">
        <f ca="1">IFERROR(__xludf.DUMMYFUNCTION("""COMPUTED_VALUE"""),0)</f>
        <v>0</v>
      </c>
      <c r="BX101" s="24">
        <f ca="1">IFERROR(__xludf.DUMMYFUNCTION("""COMPUTED_VALUE"""),0)</f>
        <v>0</v>
      </c>
      <c r="BY101" s="20"/>
      <c r="BZ101" s="24">
        <f ca="1">IFERROR(__xludf.DUMMYFUNCTION("""COMPUTED_VALUE"""),0)</f>
        <v>0</v>
      </c>
      <c r="CA101" s="20"/>
      <c r="CB101" s="20"/>
      <c r="CC101" s="20"/>
      <c r="CD101" s="20"/>
      <c r="CE101" s="20"/>
      <c r="CF101" s="20"/>
      <c r="CG101" s="20"/>
      <c r="CH101" s="20"/>
      <c r="CI101" s="20"/>
      <c r="CJ101" s="20"/>
      <c r="CK101" s="20"/>
      <c r="CL101" s="20"/>
      <c r="CM101" s="20"/>
      <c r="CN101" s="20"/>
      <c r="CO101" s="20"/>
      <c r="CP101" s="20"/>
      <c r="CQ101" s="20"/>
      <c r="CR101" s="20"/>
      <c r="CS101" s="20"/>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row>
    <row r="102" spans="1:123" ht="64.5" hidden="1" customHeight="1" x14ac:dyDescent="0.2">
      <c r="A102" s="19"/>
      <c r="B102" s="20" t="str">
        <f ca="1">IFERROR(__xludf.DUMMYFUNCTION("""COMPUTED_VALUE"""),"г.о. Можайск")</f>
        <v>г.о. Можайск</v>
      </c>
      <c r="C102"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2" s="20" t="str">
        <f ca="1">IFERROR(__xludf.DUMMYFUNCTION("""COMPUTED_VALUE"""),"МинЖКХ")</f>
        <v>МинЖКХ</v>
      </c>
      <c r="E102" s="20" t="str">
        <f ca="1">IFERROR(__xludf.DUMMYFUNCTION("""COMPUTED_VALUE"""),"Реконструкция ВЗУ Преснецово Московская область, Можайский городской округ, с.п. Юрловское, д. Преснецово")</f>
        <v>Реконструкция ВЗУ Преснецово Московская область, Можайский городской округ, с.п. Юрловское, д. Преснецово</v>
      </c>
      <c r="F102" s="22" t="str">
        <f ca="1">IFERROR(__xludf.DUMMYFUNCTION("""COMPUTED_VALUE"""),"ВЗУ")</f>
        <v>ВЗУ</v>
      </c>
      <c r="G102" s="20">
        <f ca="1">IFERROR(__xludf.DUMMYFUNCTION("""COMPUTED_VALUE"""),2023)</f>
        <v>2023</v>
      </c>
      <c r="H102" s="20" t="str">
        <f ca="1">IFERROR(__xludf.DUMMYFUNCTION("""COMPUTED_VALUE"""),"СМР")</f>
        <v>СМР</v>
      </c>
      <c r="I102" s="20"/>
      <c r="J102" s="20"/>
      <c r="K102" s="20"/>
      <c r="L102" s="20"/>
      <c r="M102" s="20"/>
      <c r="N102" s="24">
        <f ca="1">IFERROR(__xludf.DUMMYFUNCTION("""COMPUTED_VALUE"""),0)</f>
        <v>0</v>
      </c>
      <c r="O102" s="20"/>
      <c r="P102" s="20"/>
      <c r="Q102" s="20"/>
      <c r="R102" s="20"/>
      <c r="S102" s="20"/>
      <c r="T102" s="20"/>
      <c r="U102" s="24">
        <f ca="1">IFERROR(__xludf.DUMMYFUNCTION("""COMPUTED_VALUE"""),0)</f>
        <v>0</v>
      </c>
      <c r="V102" s="24">
        <f ca="1">IFERROR(__xludf.DUMMYFUNCTION("""COMPUTED_VALUE"""),0)</f>
        <v>0</v>
      </c>
      <c r="W102" s="24">
        <f ca="1">IFERROR(__xludf.DUMMYFUNCTION("""COMPUTED_VALUE"""),0)</f>
        <v>0</v>
      </c>
      <c r="X102" s="24">
        <f ca="1">IFERROR(__xludf.DUMMYFUNCTION("""COMPUTED_VALUE"""),0)</f>
        <v>0</v>
      </c>
      <c r="Y102" s="24">
        <f ca="1">IFERROR(__xludf.DUMMYFUNCTION("""COMPUTED_VALUE"""),0)</f>
        <v>0</v>
      </c>
      <c r="Z102" s="24">
        <f ca="1">IFERROR(__xludf.DUMMYFUNCTION("""COMPUTED_VALUE"""),0)</f>
        <v>0</v>
      </c>
      <c r="AA102" s="20" t="str">
        <f ca="1">IFERROR(__xludf.DUMMYFUNCTION("""COMPUTED_VALUE"""),"10 1 G552430")</f>
        <v>10 1 G552430</v>
      </c>
      <c r="AB102" s="20">
        <f ca="1">IFERROR(__xludf.DUMMYFUNCTION("""COMPUTED_VALUE"""),410)</f>
        <v>410</v>
      </c>
      <c r="AC102" s="20"/>
      <c r="AD102" s="20"/>
      <c r="AE102" s="20"/>
      <c r="AF102" s="24">
        <f ca="1">IFERROR(__xludf.DUMMYFUNCTION("""COMPUTED_VALUE"""),46809)</f>
        <v>46809</v>
      </c>
      <c r="AG102" s="24">
        <f ca="1">IFERROR(__xludf.DUMMYFUNCTION("""COMPUTED_VALUE"""),35106.75)</f>
        <v>35106.75</v>
      </c>
      <c r="AH102" s="24">
        <f ca="1">IFERROR(__xludf.DUMMYFUNCTION("""COMPUTED_VALUE"""),11702.25)</f>
        <v>11702.25</v>
      </c>
      <c r="AI102" s="24">
        <f ca="1">IFERROR(__xludf.DUMMYFUNCTION("""COMPUTED_VALUE"""),0)</f>
        <v>0</v>
      </c>
      <c r="AJ102" s="24">
        <f ca="1">IFERROR(__xludf.DUMMYFUNCTION("""COMPUTED_VALUE"""),0)</f>
        <v>0</v>
      </c>
      <c r="AK102" s="24">
        <f ca="1">IFERROR(__xludf.DUMMYFUNCTION("""COMPUTED_VALUE"""),0)</f>
        <v>0</v>
      </c>
      <c r="AL102" s="24">
        <f ca="1">IFERROR(__xludf.DUMMYFUNCTION("""COMPUTED_VALUE"""),0)</f>
        <v>0</v>
      </c>
      <c r="AM102" s="20"/>
      <c r="AN102" s="20"/>
      <c r="AO102" s="20"/>
      <c r="AP102" s="20"/>
      <c r="AQ102" s="20"/>
      <c r="AR102" s="24">
        <f ca="1">IFERROR(__xludf.DUMMYFUNCTION("""COMPUTED_VALUE"""),0)</f>
        <v>0</v>
      </c>
      <c r="AS102" s="20"/>
      <c r="AT102" s="20"/>
      <c r="AU102" s="20"/>
      <c r="AV102" s="20"/>
      <c r="AW102" s="20"/>
      <c r="AX102" s="24">
        <f ca="1">IFERROR(__xludf.DUMMYFUNCTION("""COMPUTED_VALUE"""),0)</f>
        <v>0</v>
      </c>
      <c r="AY102" s="24">
        <f ca="1">IFERROR(__xludf.DUMMYFUNCTION("""COMPUTED_VALUE"""),0)</f>
        <v>0</v>
      </c>
      <c r="AZ102" s="24">
        <f ca="1">IFERROR(__xludf.DUMMYFUNCTION("""COMPUTED_VALUE"""),0)</f>
        <v>0</v>
      </c>
      <c r="BA102" s="20"/>
      <c r="BB102" s="24">
        <f ca="1">IFERROR(__xludf.DUMMYFUNCTION("""COMPUTED_VALUE"""),0)</f>
        <v>0</v>
      </c>
      <c r="BC102" s="20"/>
      <c r="BD102" s="24">
        <f ca="1">IFERROR(__xludf.DUMMYFUNCTION("""COMPUTED_VALUE"""),0)</f>
        <v>0</v>
      </c>
      <c r="BE102" s="24">
        <f ca="1">IFERROR(__xludf.DUMMYFUNCTION("""COMPUTED_VALUE"""),0)</f>
        <v>0</v>
      </c>
      <c r="BF102" s="24">
        <f ca="1">IFERROR(__xludf.DUMMYFUNCTION("""COMPUTED_VALUE"""),0)</f>
        <v>0</v>
      </c>
      <c r="BG102" s="20"/>
      <c r="BH102" s="24">
        <f ca="1">IFERROR(__xludf.DUMMYFUNCTION("""COMPUTED_VALUE"""),0)</f>
        <v>0</v>
      </c>
      <c r="BI102" s="20"/>
      <c r="BJ102" s="24">
        <f ca="1">IFERROR(__xludf.DUMMYFUNCTION("""COMPUTED_VALUE"""),0)</f>
        <v>0</v>
      </c>
      <c r="BK102" s="24">
        <f ca="1">IFERROR(__xludf.DUMMYFUNCTION("""COMPUTED_VALUE"""),0)</f>
        <v>0</v>
      </c>
      <c r="BL102" s="24">
        <f ca="1">IFERROR(__xludf.DUMMYFUNCTION("""COMPUTED_VALUE"""),0)</f>
        <v>0</v>
      </c>
      <c r="BM102" s="20"/>
      <c r="BN102" s="24">
        <f ca="1">IFERROR(__xludf.DUMMYFUNCTION("""COMPUTED_VALUE"""),0)</f>
        <v>0</v>
      </c>
      <c r="BO102" s="20"/>
      <c r="BP102" s="24">
        <f ca="1">IFERROR(__xludf.DUMMYFUNCTION("""COMPUTED_VALUE"""),46809)</f>
        <v>46809</v>
      </c>
      <c r="BQ102" s="24">
        <f ca="1">IFERROR(__xludf.DUMMYFUNCTION("""COMPUTED_VALUE"""),35106.75)</f>
        <v>35106.75</v>
      </c>
      <c r="BR102" s="24">
        <f ca="1">IFERROR(__xludf.DUMMYFUNCTION("""COMPUTED_VALUE"""),11702.25)</f>
        <v>11702.25</v>
      </c>
      <c r="BS102" s="20"/>
      <c r="BT102" s="24">
        <f ca="1">IFERROR(__xludf.DUMMYFUNCTION("""COMPUTED_VALUE"""),0)</f>
        <v>0</v>
      </c>
      <c r="BU102" s="20"/>
      <c r="BV102" s="24">
        <f ca="1">IFERROR(__xludf.DUMMYFUNCTION("""COMPUTED_VALUE"""),0)</f>
        <v>0</v>
      </c>
      <c r="BW102" s="24">
        <f ca="1">IFERROR(__xludf.DUMMYFUNCTION("""COMPUTED_VALUE"""),0)</f>
        <v>0</v>
      </c>
      <c r="BX102" s="24">
        <f ca="1">IFERROR(__xludf.DUMMYFUNCTION("""COMPUTED_VALUE"""),0)</f>
        <v>0</v>
      </c>
      <c r="BY102" s="20"/>
      <c r="BZ102" s="24">
        <f ca="1">IFERROR(__xludf.DUMMYFUNCTION("""COMPUTED_VALUE"""),0)</f>
        <v>0</v>
      </c>
      <c r="CA102" s="20"/>
      <c r="CB102" s="20"/>
      <c r="CC102" s="20"/>
      <c r="CD102" s="20"/>
      <c r="CE102" s="20"/>
      <c r="CF102" s="20"/>
      <c r="CG102" s="20"/>
      <c r="CH102" s="20"/>
      <c r="CI102" s="20"/>
      <c r="CJ102" s="20"/>
      <c r="CK102" s="20"/>
      <c r="CL102" s="20"/>
      <c r="CM102" s="20"/>
      <c r="CN102" s="20"/>
      <c r="CO102" s="20"/>
      <c r="CP102" s="20"/>
      <c r="CQ102" s="20"/>
      <c r="CR102" s="20"/>
      <c r="CS102" s="20"/>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row>
    <row r="103" spans="1:123" ht="64.5" hidden="1" customHeight="1" x14ac:dyDescent="0.2">
      <c r="A103" s="19"/>
      <c r="B103" s="20" t="str">
        <f ca="1">IFERROR(__xludf.DUMMYFUNCTION("""COMPUTED_VALUE"""),"г.о. Можайск")</f>
        <v>г.о. Можайск</v>
      </c>
      <c r="C103"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3" s="20" t="str">
        <f ca="1">IFERROR(__xludf.DUMMYFUNCTION("""COMPUTED_VALUE"""),"МинЖКХ")</f>
        <v>МинЖКХ</v>
      </c>
      <c r="E103" s="20" t="str">
        <f ca="1">IFERROR(__xludf.DUMMYFUNCTION("""COMPUTED_VALUE"""),"Реконструкция ВЗУ Марфин Брод Московская область, Можайский городской округ, г.п. Можайск, д. Марфин Брод")</f>
        <v>Реконструкция ВЗУ Марфин Брод Московская область, Можайский городской округ, г.п. Можайск, д. Марфин Брод</v>
      </c>
      <c r="F103" s="22" t="str">
        <f ca="1">IFERROR(__xludf.DUMMYFUNCTION("""COMPUTED_VALUE"""),"ВЗУ")</f>
        <v>ВЗУ</v>
      </c>
      <c r="G103" s="20">
        <f ca="1">IFERROR(__xludf.DUMMYFUNCTION("""COMPUTED_VALUE"""),2023)</f>
        <v>2023</v>
      </c>
      <c r="H103" s="20" t="str">
        <f ca="1">IFERROR(__xludf.DUMMYFUNCTION("""COMPUTED_VALUE"""),"СМР")</f>
        <v>СМР</v>
      </c>
      <c r="I103" s="20"/>
      <c r="J103" s="20"/>
      <c r="K103" s="20"/>
      <c r="L103" s="20"/>
      <c r="M103" s="20"/>
      <c r="N103" s="24">
        <f ca="1">IFERROR(__xludf.DUMMYFUNCTION("""COMPUTED_VALUE"""),0)</f>
        <v>0</v>
      </c>
      <c r="O103" s="20"/>
      <c r="P103" s="20"/>
      <c r="Q103" s="20"/>
      <c r="R103" s="20"/>
      <c r="S103" s="20"/>
      <c r="T103" s="20"/>
      <c r="U103" s="24">
        <f ca="1">IFERROR(__xludf.DUMMYFUNCTION("""COMPUTED_VALUE"""),0)</f>
        <v>0</v>
      </c>
      <c r="V103" s="24">
        <f ca="1">IFERROR(__xludf.DUMMYFUNCTION("""COMPUTED_VALUE"""),0)</f>
        <v>0</v>
      </c>
      <c r="W103" s="24">
        <f ca="1">IFERROR(__xludf.DUMMYFUNCTION("""COMPUTED_VALUE"""),0)</f>
        <v>0</v>
      </c>
      <c r="X103" s="24">
        <f ca="1">IFERROR(__xludf.DUMMYFUNCTION("""COMPUTED_VALUE"""),0)</f>
        <v>0</v>
      </c>
      <c r="Y103" s="24">
        <f ca="1">IFERROR(__xludf.DUMMYFUNCTION("""COMPUTED_VALUE"""),0)</f>
        <v>0</v>
      </c>
      <c r="Z103" s="24">
        <f ca="1">IFERROR(__xludf.DUMMYFUNCTION("""COMPUTED_VALUE"""),0)</f>
        <v>0</v>
      </c>
      <c r="AA103" s="20" t="str">
        <f ca="1">IFERROR(__xludf.DUMMYFUNCTION("""COMPUTED_VALUE"""),"10 1 G552430")</f>
        <v>10 1 G552430</v>
      </c>
      <c r="AB103" s="20">
        <f ca="1">IFERROR(__xludf.DUMMYFUNCTION("""COMPUTED_VALUE"""),410)</f>
        <v>410</v>
      </c>
      <c r="AC103" s="20"/>
      <c r="AD103" s="20"/>
      <c r="AE103" s="20"/>
      <c r="AF103" s="24">
        <f ca="1">IFERROR(__xludf.DUMMYFUNCTION("""COMPUTED_VALUE"""),49038)</f>
        <v>49038</v>
      </c>
      <c r="AG103" s="24">
        <f ca="1">IFERROR(__xludf.DUMMYFUNCTION("""COMPUTED_VALUE"""),36778.5)</f>
        <v>36778.5</v>
      </c>
      <c r="AH103" s="24">
        <f ca="1">IFERROR(__xludf.DUMMYFUNCTION("""COMPUTED_VALUE"""),12259.5)</f>
        <v>12259.5</v>
      </c>
      <c r="AI103" s="24">
        <f ca="1">IFERROR(__xludf.DUMMYFUNCTION("""COMPUTED_VALUE"""),0)</f>
        <v>0</v>
      </c>
      <c r="AJ103" s="24">
        <f ca="1">IFERROR(__xludf.DUMMYFUNCTION("""COMPUTED_VALUE"""),0)</f>
        <v>0</v>
      </c>
      <c r="AK103" s="24">
        <f ca="1">IFERROR(__xludf.DUMMYFUNCTION("""COMPUTED_VALUE"""),0)</f>
        <v>0</v>
      </c>
      <c r="AL103" s="24">
        <f ca="1">IFERROR(__xludf.DUMMYFUNCTION("""COMPUTED_VALUE"""),0)</f>
        <v>0</v>
      </c>
      <c r="AM103" s="20"/>
      <c r="AN103" s="20"/>
      <c r="AO103" s="20"/>
      <c r="AP103" s="20"/>
      <c r="AQ103" s="20"/>
      <c r="AR103" s="24">
        <f ca="1">IFERROR(__xludf.DUMMYFUNCTION("""COMPUTED_VALUE"""),0)</f>
        <v>0</v>
      </c>
      <c r="AS103" s="20"/>
      <c r="AT103" s="20"/>
      <c r="AU103" s="20"/>
      <c r="AV103" s="20"/>
      <c r="AW103" s="20"/>
      <c r="AX103" s="24">
        <f ca="1">IFERROR(__xludf.DUMMYFUNCTION("""COMPUTED_VALUE"""),0)</f>
        <v>0</v>
      </c>
      <c r="AY103" s="24">
        <f ca="1">IFERROR(__xludf.DUMMYFUNCTION("""COMPUTED_VALUE"""),0)</f>
        <v>0</v>
      </c>
      <c r="AZ103" s="24">
        <f ca="1">IFERROR(__xludf.DUMMYFUNCTION("""COMPUTED_VALUE"""),0)</f>
        <v>0</v>
      </c>
      <c r="BA103" s="20"/>
      <c r="BB103" s="24">
        <f ca="1">IFERROR(__xludf.DUMMYFUNCTION("""COMPUTED_VALUE"""),0)</f>
        <v>0</v>
      </c>
      <c r="BC103" s="20"/>
      <c r="BD103" s="24">
        <f ca="1">IFERROR(__xludf.DUMMYFUNCTION("""COMPUTED_VALUE"""),0)</f>
        <v>0</v>
      </c>
      <c r="BE103" s="24">
        <f ca="1">IFERROR(__xludf.DUMMYFUNCTION("""COMPUTED_VALUE"""),0)</f>
        <v>0</v>
      </c>
      <c r="BF103" s="24">
        <f ca="1">IFERROR(__xludf.DUMMYFUNCTION("""COMPUTED_VALUE"""),0)</f>
        <v>0</v>
      </c>
      <c r="BG103" s="20"/>
      <c r="BH103" s="24">
        <f ca="1">IFERROR(__xludf.DUMMYFUNCTION("""COMPUTED_VALUE"""),0)</f>
        <v>0</v>
      </c>
      <c r="BI103" s="20"/>
      <c r="BJ103" s="24">
        <f ca="1">IFERROR(__xludf.DUMMYFUNCTION("""COMPUTED_VALUE"""),0)</f>
        <v>0</v>
      </c>
      <c r="BK103" s="24">
        <f ca="1">IFERROR(__xludf.DUMMYFUNCTION("""COMPUTED_VALUE"""),0)</f>
        <v>0</v>
      </c>
      <c r="BL103" s="24">
        <f ca="1">IFERROR(__xludf.DUMMYFUNCTION("""COMPUTED_VALUE"""),0)</f>
        <v>0</v>
      </c>
      <c r="BM103" s="20"/>
      <c r="BN103" s="24">
        <f ca="1">IFERROR(__xludf.DUMMYFUNCTION("""COMPUTED_VALUE"""),0)</f>
        <v>0</v>
      </c>
      <c r="BO103" s="20"/>
      <c r="BP103" s="24">
        <f ca="1">IFERROR(__xludf.DUMMYFUNCTION("""COMPUTED_VALUE"""),49038)</f>
        <v>49038</v>
      </c>
      <c r="BQ103" s="24">
        <f ca="1">IFERROR(__xludf.DUMMYFUNCTION("""COMPUTED_VALUE"""),36778.5)</f>
        <v>36778.5</v>
      </c>
      <c r="BR103" s="24">
        <f ca="1">IFERROR(__xludf.DUMMYFUNCTION("""COMPUTED_VALUE"""),12259.5)</f>
        <v>12259.5</v>
      </c>
      <c r="BS103" s="20"/>
      <c r="BT103" s="24">
        <f ca="1">IFERROR(__xludf.DUMMYFUNCTION("""COMPUTED_VALUE"""),0)</f>
        <v>0</v>
      </c>
      <c r="BU103" s="20"/>
      <c r="BV103" s="24">
        <f ca="1">IFERROR(__xludf.DUMMYFUNCTION("""COMPUTED_VALUE"""),0)</f>
        <v>0</v>
      </c>
      <c r="BW103" s="24">
        <f ca="1">IFERROR(__xludf.DUMMYFUNCTION("""COMPUTED_VALUE"""),0)</f>
        <v>0</v>
      </c>
      <c r="BX103" s="24">
        <f ca="1">IFERROR(__xludf.DUMMYFUNCTION("""COMPUTED_VALUE"""),0)</f>
        <v>0</v>
      </c>
      <c r="BY103" s="20"/>
      <c r="BZ103" s="24">
        <f ca="1">IFERROR(__xludf.DUMMYFUNCTION("""COMPUTED_VALUE"""),0)</f>
        <v>0</v>
      </c>
      <c r="CA103" s="20"/>
      <c r="CB103" s="20"/>
      <c r="CC103" s="20"/>
      <c r="CD103" s="20"/>
      <c r="CE103" s="20"/>
      <c r="CF103" s="20"/>
      <c r="CG103" s="20"/>
      <c r="CH103" s="20"/>
      <c r="CI103" s="20"/>
      <c r="CJ103" s="20"/>
      <c r="CK103" s="20"/>
      <c r="CL103" s="20"/>
      <c r="CM103" s="20"/>
      <c r="CN103" s="20"/>
      <c r="CO103" s="20"/>
      <c r="CP103" s="20"/>
      <c r="CQ103" s="20"/>
      <c r="CR103" s="20"/>
      <c r="CS103" s="20"/>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row>
    <row r="104" spans="1:123" ht="64.5" hidden="1" customHeight="1" x14ac:dyDescent="0.2">
      <c r="A104" s="19"/>
      <c r="B104" s="20" t="str">
        <f ca="1">IFERROR(__xludf.DUMMYFUNCTION("""COMPUTED_VALUE"""),"г.о. Можайск")</f>
        <v>г.о. Можайск</v>
      </c>
      <c r="C104"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4" s="20" t="str">
        <f ca="1">IFERROR(__xludf.DUMMYFUNCTION("""COMPUTED_VALUE"""),"МинЖКХ")</f>
        <v>МинЖКХ</v>
      </c>
      <c r="E104" s="20" t="str">
        <f ca="1">IFERROR(__xludf.DUMMYFUNCTION("""COMPUTED_VALUE"""),"Реконструкция ВЗУ Троица Московская область, Можайский городской округ, с.п. Бородинское, д. Троица")</f>
        <v>Реконструкция ВЗУ Троица Московская область, Можайский городской округ, с.п. Бородинское, д. Троица</v>
      </c>
      <c r="F104" s="22" t="str">
        <f ca="1">IFERROR(__xludf.DUMMYFUNCTION("""COMPUTED_VALUE"""),"ВЗУ")</f>
        <v>ВЗУ</v>
      </c>
      <c r="G104" s="20">
        <f ca="1">IFERROR(__xludf.DUMMYFUNCTION("""COMPUTED_VALUE"""),2023)</f>
        <v>2023</v>
      </c>
      <c r="H104" s="20" t="str">
        <f ca="1">IFERROR(__xludf.DUMMYFUNCTION("""COMPUTED_VALUE"""),"СМР")</f>
        <v>СМР</v>
      </c>
      <c r="I104" s="20"/>
      <c r="J104" s="20"/>
      <c r="K104" s="20"/>
      <c r="L104" s="20"/>
      <c r="M104" s="20"/>
      <c r="N104" s="24">
        <f ca="1">IFERROR(__xludf.DUMMYFUNCTION("""COMPUTED_VALUE"""),0)</f>
        <v>0</v>
      </c>
      <c r="O104" s="20"/>
      <c r="P104" s="20"/>
      <c r="Q104" s="20"/>
      <c r="R104" s="20"/>
      <c r="S104" s="20"/>
      <c r="T104" s="20"/>
      <c r="U104" s="24">
        <f ca="1">IFERROR(__xludf.DUMMYFUNCTION("""COMPUTED_VALUE"""),0)</f>
        <v>0</v>
      </c>
      <c r="V104" s="24">
        <f ca="1">IFERROR(__xludf.DUMMYFUNCTION("""COMPUTED_VALUE"""),0)</f>
        <v>0</v>
      </c>
      <c r="W104" s="24">
        <f ca="1">IFERROR(__xludf.DUMMYFUNCTION("""COMPUTED_VALUE"""),0)</f>
        <v>0</v>
      </c>
      <c r="X104" s="24">
        <f ca="1">IFERROR(__xludf.DUMMYFUNCTION("""COMPUTED_VALUE"""),0)</f>
        <v>0</v>
      </c>
      <c r="Y104" s="24">
        <f ca="1">IFERROR(__xludf.DUMMYFUNCTION("""COMPUTED_VALUE"""),0)</f>
        <v>0</v>
      </c>
      <c r="Z104" s="24">
        <f ca="1">IFERROR(__xludf.DUMMYFUNCTION("""COMPUTED_VALUE"""),0)</f>
        <v>0</v>
      </c>
      <c r="AA104" s="20" t="str">
        <f ca="1">IFERROR(__xludf.DUMMYFUNCTION("""COMPUTED_VALUE"""),"10 1 G552430")</f>
        <v>10 1 G552430</v>
      </c>
      <c r="AB104" s="20">
        <f ca="1">IFERROR(__xludf.DUMMYFUNCTION("""COMPUTED_VALUE"""),410)</f>
        <v>410</v>
      </c>
      <c r="AC104" s="20"/>
      <c r="AD104" s="20"/>
      <c r="AE104" s="20"/>
      <c r="AF104" s="24">
        <f ca="1">IFERROR(__xludf.DUMMYFUNCTION("""COMPUTED_VALUE"""),40865)</f>
        <v>40865</v>
      </c>
      <c r="AG104" s="24">
        <f ca="1">IFERROR(__xludf.DUMMYFUNCTION("""COMPUTED_VALUE"""),30648.75)</f>
        <v>30648.75</v>
      </c>
      <c r="AH104" s="24">
        <f ca="1">IFERROR(__xludf.DUMMYFUNCTION("""COMPUTED_VALUE"""),10216.25)</f>
        <v>10216.25</v>
      </c>
      <c r="AI104" s="24">
        <f ca="1">IFERROR(__xludf.DUMMYFUNCTION("""COMPUTED_VALUE"""),0)</f>
        <v>0</v>
      </c>
      <c r="AJ104" s="24">
        <f ca="1">IFERROR(__xludf.DUMMYFUNCTION("""COMPUTED_VALUE"""),0)</f>
        <v>0</v>
      </c>
      <c r="AK104" s="24">
        <f ca="1">IFERROR(__xludf.DUMMYFUNCTION("""COMPUTED_VALUE"""),0)</f>
        <v>0</v>
      </c>
      <c r="AL104" s="24">
        <f ca="1">IFERROR(__xludf.DUMMYFUNCTION("""COMPUTED_VALUE"""),0)</f>
        <v>0</v>
      </c>
      <c r="AM104" s="20"/>
      <c r="AN104" s="20"/>
      <c r="AO104" s="20"/>
      <c r="AP104" s="20"/>
      <c r="AQ104" s="20"/>
      <c r="AR104" s="24">
        <f ca="1">IFERROR(__xludf.DUMMYFUNCTION("""COMPUTED_VALUE"""),0)</f>
        <v>0</v>
      </c>
      <c r="AS104" s="20"/>
      <c r="AT104" s="20"/>
      <c r="AU104" s="20"/>
      <c r="AV104" s="20"/>
      <c r="AW104" s="20"/>
      <c r="AX104" s="24">
        <f ca="1">IFERROR(__xludf.DUMMYFUNCTION("""COMPUTED_VALUE"""),0)</f>
        <v>0</v>
      </c>
      <c r="AY104" s="24">
        <f ca="1">IFERROR(__xludf.DUMMYFUNCTION("""COMPUTED_VALUE"""),0)</f>
        <v>0</v>
      </c>
      <c r="AZ104" s="24">
        <f ca="1">IFERROR(__xludf.DUMMYFUNCTION("""COMPUTED_VALUE"""),0)</f>
        <v>0</v>
      </c>
      <c r="BA104" s="20"/>
      <c r="BB104" s="24">
        <f ca="1">IFERROR(__xludf.DUMMYFUNCTION("""COMPUTED_VALUE"""),0)</f>
        <v>0</v>
      </c>
      <c r="BC104" s="20"/>
      <c r="BD104" s="24">
        <f ca="1">IFERROR(__xludf.DUMMYFUNCTION("""COMPUTED_VALUE"""),0)</f>
        <v>0</v>
      </c>
      <c r="BE104" s="24">
        <f ca="1">IFERROR(__xludf.DUMMYFUNCTION("""COMPUTED_VALUE"""),0)</f>
        <v>0</v>
      </c>
      <c r="BF104" s="24">
        <f ca="1">IFERROR(__xludf.DUMMYFUNCTION("""COMPUTED_VALUE"""),0)</f>
        <v>0</v>
      </c>
      <c r="BG104" s="20"/>
      <c r="BH104" s="24">
        <f ca="1">IFERROR(__xludf.DUMMYFUNCTION("""COMPUTED_VALUE"""),0)</f>
        <v>0</v>
      </c>
      <c r="BI104" s="20"/>
      <c r="BJ104" s="24">
        <f ca="1">IFERROR(__xludf.DUMMYFUNCTION("""COMPUTED_VALUE"""),0)</f>
        <v>0</v>
      </c>
      <c r="BK104" s="24">
        <f ca="1">IFERROR(__xludf.DUMMYFUNCTION("""COMPUTED_VALUE"""),0)</f>
        <v>0</v>
      </c>
      <c r="BL104" s="24">
        <f ca="1">IFERROR(__xludf.DUMMYFUNCTION("""COMPUTED_VALUE"""),0)</f>
        <v>0</v>
      </c>
      <c r="BM104" s="20"/>
      <c r="BN104" s="24">
        <f ca="1">IFERROR(__xludf.DUMMYFUNCTION("""COMPUTED_VALUE"""),0)</f>
        <v>0</v>
      </c>
      <c r="BO104" s="20"/>
      <c r="BP104" s="24">
        <f ca="1">IFERROR(__xludf.DUMMYFUNCTION("""COMPUTED_VALUE"""),40865)</f>
        <v>40865</v>
      </c>
      <c r="BQ104" s="24">
        <f ca="1">IFERROR(__xludf.DUMMYFUNCTION("""COMPUTED_VALUE"""),30648.75)</f>
        <v>30648.75</v>
      </c>
      <c r="BR104" s="24">
        <f ca="1">IFERROR(__xludf.DUMMYFUNCTION("""COMPUTED_VALUE"""),10216.25)</f>
        <v>10216.25</v>
      </c>
      <c r="BS104" s="20"/>
      <c r="BT104" s="24">
        <f ca="1">IFERROR(__xludf.DUMMYFUNCTION("""COMPUTED_VALUE"""),0)</f>
        <v>0</v>
      </c>
      <c r="BU104" s="20"/>
      <c r="BV104" s="24">
        <f ca="1">IFERROR(__xludf.DUMMYFUNCTION("""COMPUTED_VALUE"""),0)</f>
        <v>0</v>
      </c>
      <c r="BW104" s="24">
        <f ca="1">IFERROR(__xludf.DUMMYFUNCTION("""COMPUTED_VALUE"""),0)</f>
        <v>0</v>
      </c>
      <c r="BX104" s="24">
        <f ca="1">IFERROR(__xludf.DUMMYFUNCTION("""COMPUTED_VALUE"""),0)</f>
        <v>0</v>
      </c>
      <c r="BY104" s="20"/>
      <c r="BZ104" s="24">
        <f ca="1">IFERROR(__xludf.DUMMYFUNCTION("""COMPUTED_VALUE"""),0)</f>
        <v>0</v>
      </c>
      <c r="CA104" s="20"/>
      <c r="CB104" s="20"/>
      <c r="CC104" s="20"/>
      <c r="CD104" s="20"/>
      <c r="CE104" s="20"/>
      <c r="CF104" s="20"/>
      <c r="CG104" s="20"/>
      <c r="CH104" s="20"/>
      <c r="CI104" s="20"/>
      <c r="CJ104" s="20"/>
      <c r="CK104" s="20"/>
      <c r="CL104" s="20"/>
      <c r="CM104" s="20"/>
      <c r="CN104" s="20"/>
      <c r="CO104" s="20"/>
      <c r="CP104" s="20"/>
      <c r="CQ104" s="20"/>
      <c r="CR104" s="20"/>
      <c r="CS104" s="20"/>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row>
    <row r="105" spans="1:123" ht="64.5" hidden="1" customHeight="1" x14ac:dyDescent="0.2">
      <c r="A105" s="19"/>
      <c r="B105" s="20" t="str">
        <f ca="1">IFERROR(__xludf.DUMMYFUNCTION("""COMPUTED_VALUE"""),"г.о. Можайск")</f>
        <v>г.о. Можайск</v>
      </c>
      <c r="C105"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5" s="20" t="str">
        <f ca="1">IFERROR(__xludf.DUMMYFUNCTION("""COMPUTED_VALUE"""),"МинЖКХ")</f>
        <v>МинЖКХ</v>
      </c>
      <c r="E105" s="20" t="str">
        <f ca="1">IFERROR(__xludf.DUMMYFUNCTION("""COMPUTED_VALUE"""),"Реконструкция ВЗУ Клементьево с.п. Клементьевское, д. Клементьево г.о. Можайский")</f>
        <v>Реконструкция ВЗУ Клементьево с.п. Клементьевское, д. Клементьево г.о. Можайский</v>
      </c>
      <c r="F105" s="22" t="str">
        <f ca="1">IFERROR(__xludf.DUMMYFUNCTION("""COMPUTED_VALUE"""),"ВЗУ")</f>
        <v>ВЗУ</v>
      </c>
      <c r="G105" s="20">
        <f ca="1">IFERROR(__xludf.DUMMYFUNCTION("""COMPUTED_VALUE"""),2023)</f>
        <v>2023</v>
      </c>
      <c r="H105" s="20" t="str">
        <f ca="1">IFERROR(__xludf.DUMMYFUNCTION("""COMPUTED_VALUE"""),"СМР")</f>
        <v>СМР</v>
      </c>
      <c r="I105" s="20"/>
      <c r="J105" s="20"/>
      <c r="K105" s="20"/>
      <c r="L105" s="20"/>
      <c r="M105" s="20"/>
      <c r="N105" s="24">
        <f ca="1">IFERROR(__xludf.DUMMYFUNCTION("""COMPUTED_VALUE"""),0)</f>
        <v>0</v>
      </c>
      <c r="O105" s="20"/>
      <c r="P105" s="20"/>
      <c r="Q105" s="20"/>
      <c r="R105" s="20"/>
      <c r="S105" s="20"/>
      <c r="T105" s="20"/>
      <c r="U105" s="24">
        <f ca="1">IFERROR(__xludf.DUMMYFUNCTION("""COMPUTED_VALUE"""),0)</f>
        <v>0</v>
      </c>
      <c r="V105" s="24">
        <f ca="1">IFERROR(__xludf.DUMMYFUNCTION("""COMPUTED_VALUE"""),0)</f>
        <v>0</v>
      </c>
      <c r="W105" s="24">
        <f ca="1">IFERROR(__xludf.DUMMYFUNCTION("""COMPUTED_VALUE"""),0)</f>
        <v>0</v>
      </c>
      <c r="X105" s="24">
        <f ca="1">IFERROR(__xludf.DUMMYFUNCTION("""COMPUTED_VALUE"""),0)</f>
        <v>0</v>
      </c>
      <c r="Y105" s="24">
        <f ca="1">IFERROR(__xludf.DUMMYFUNCTION("""COMPUTED_VALUE"""),0)</f>
        <v>0</v>
      </c>
      <c r="Z105" s="24">
        <f ca="1">IFERROR(__xludf.DUMMYFUNCTION("""COMPUTED_VALUE"""),0)</f>
        <v>0</v>
      </c>
      <c r="AA105" s="20" t="str">
        <f ca="1">IFERROR(__xludf.DUMMYFUNCTION("""COMPUTED_VALUE"""),"10 1 G552430")</f>
        <v>10 1 G552430</v>
      </c>
      <c r="AB105" s="20">
        <f ca="1">IFERROR(__xludf.DUMMYFUNCTION("""COMPUTED_VALUE"""),410)</f>
        <v>410</v>
      </c>
      <c r="AC105" s="20"/>
      <c r="AD105" s="20"/>
      <c r="AE105" s="20"/>
      <c r="AF105" s="24">
        <f ca="1">IFERROR(__xludf.DUMMYFUNCTION("""COMPUTED_VALUE"""),37407.97)</f>
        <v>37407.97</v>
      </c>
      <c r="AG105" s="24">
        <f ca="1">IFERROR(__xludf.DUMMYFUNCTION("""COMPUTED_VALUE"""),27980.98)</f>
        <v>27980.98</v>
      </c>
      <c r="AH105" s="24">
        <f ca="1">IFERROR(__xludf.DUMMYFUNCTION("""COMPUTED_VALUE"""),9426.99)</f>
        <v>9426.99</v>
      </c>
      <c r="AI105" s="24">
        <f ca="1">IFERROR(__xludf.DUMMYFUNCTION("""COMPUTED_VALUE"""),0)</f>
        <v>0</v>
      </c>
      <c r="AJ105" s="24">
        <f ca="1">IFERROR(__xludf.DUMMYFUNCTION("""COMPUTED_VALUE"""),0)</f>
        <v>0</v>
      </c>
      <c r="AK105" s="24">
        <f ca="1">IFERROR(__xludf.DUMMYFUNCTION("""COMPUTED_VALUE"""),0)</f>
        <v>0</v>
      </c>
      <c r="AL105" s="24">
        <f ca="1">IFERROR(__xludf.DUMMYFUNCTION("""COMPUTED_VALUE"""),0)</f>
        <v>0</v>
      </c>
      <c r="AM105" s="20"/>
      <c r="AN105" s="20"/>
      <c r="AO105" s="20"/>
      <c r="AP105" s="20"/>
      <c r="AQ105" s="20"/>
      <c r="AR105" s="24">
        <f ca="1">IFERROR(__xludf.DUMMYFUNCTION("""COMPUTED_VALUE"""),0)</f>
        <v>0</v>
      </c>
      <c r="AS105" s="20"/>
      <c r="AT105" s="20"/>
      <c r="AU105" s="20"/>
      <c r="AV105" s="20"/>
      <c r="AW105" s="20"/>
      <c r="AX105" s="24">
        <f ca="1">IFERROR(__xludf.DUMMYFUNCTION("""COMPUTED_VALUE"""),0)</f>
        <v>0</v>
      </c>
      <c r="AY105" s="24">
        <f ca="1">IFERROR(__xludf.DUMMYFUNCTION("""COMPUTED_VALUE"""),0)</f>
        <v>0</v>
      </c>
      <c r="AZ105" s="24">
        <f ca="1">IFERROR(__xludf.DUMMYFUNCTION("""COMPUTED_VALUE"""),0)</f>
        <v>0</v>
      </c>
      <c r="BA105" s="20"/>
      <c r="BB105" s="24">
        <f ca="1">IFERROR(__xludf.DUMMYFUNCTION("""COMPUTED_VALUE"""),0)</f>
        <v>0</v>
      </c>
      <c r="BC105" s="20"/>
      <c r="BD105" s="24">
        <f ca="1">IFERROR(__xludf.DUMMYFUNCTION("""COMPUTED_VALUE"""),0)</f>
        <v>0</v>
      </c>
      <c r="BE105" s="24">
        <f ca="1">IFERROR(__xludf.DUMMYFUNCTION("""COMPUTED_VALUE"""),0)</f>
        <v>0</v>
      </c>
      <c r="BF105" s="24">
        <f ca="1">IFERROR(__xludf.DUMMYFUNCTION("""COMPUTED_VALUE"""),0)</f>
        <v>0</v>
      </c>
      <c r="BG105" s="20"/>
      <c r="BH105" s="24">
        <f ca="1">IFERROR(__xludf.DUMMYFUNCTION("""COMPUTED_VALUE"""),0)</f>
        <v>0</v>
      </c>
      <c r="BI105" s="20"/>
      <c r="BJ105" s="24">
        <f ca="1">IFERROR(__xludf.DUMMYFUNCTION("""COMPUTED_VALUE"""),0)</f>
        <v>0</v>
      </c>
      <c r="BK105" s="24">
        <f ca="1">IFERROR(__xludf.DUMMYFUNCTION("""COMPUTED_VALUE"""),0)</f>
        <v>0</v>
      </c>
      <c r="BL105" s="24">
        <f ca="1">IFERROR(__xludf.DUMMYFUNCTION("""COMPUTED_VALUE"""),0)</f>
        <v>0</v>
      </c>
      <c r="BM105" s="20"/>
      <c r="BN105" s="24">
        <f ca="1">IFERROR(__xludf.DUMMYFUNCTION("""COMPUTED_VALUE"""),0)</f>
        <v>0</v>
      </c>
      <c r="BO105" s="20"/>
      <c r="BP105" s="24">
        <f ca="1">IFERROR(__xludf.DUMMYFUNCTION("""COMPUTED_VALUE"""),37407.97)</f>
        <v>37407.97</v>
      </c>
      <c r="BQ105" s="24">
        <f ca="1">IFERROR(__xludf.DUMMYFUNCTION("""COMPUTED_VALUE"""),27980.98)</f>
        <v>27980.98</v>
      </c>
      <c r="BR105" s="24">
        <f ca="1">IFERROR(__xludf.DUMMYFUNCTION("""COMPUTED_VALUE"""),9426.99)</f>
        <v>9426.99</v>
      </c>
      <c r="BS105" s="20"/>
      <c r="BT105" s="24">
        <f ca="1">IFERROR(__xludf.DUMMYFUNCTION("""COMPUTED_VALUE"""),0)</f>
        <v>0</v>
      </c>
      <c r="BU105" s="20"/>
      <c r="BV105" s="24">
        <f ca="1">IFERROR(__xludf.DUMMYFUNCTION("""COMPUTED_VALUE"""),0)</f>
        <v>0</v>
      </c>
      <c r="BW105" s="24">
        <f ca="1">IFERROR(__xludf.DUMMYFUNCTION("""COMPUTED_VALUE"""),0)</f>
        <v>0</v>
      </c>
      <c r="BX105" s="24">
        <f ca="1">IFERROR(__xludf.DUMMYFUNCTION("""COMPUTED_VALUE"""),0)</f>
        <v>0</v>
      </c>
      <c r="BY105" s="20"/>
      <c r="BZ105" s="24">
        <f ca="1">IFERROR(__xludf.DUMMYFUNCTION("""COMPUTED_VALUE"""),0)</f>
        <v>0</v>
      </c>
      <c r="CA105" s="20"/>
      <c r="CB105" s="20"/>
      <c r="CC105" s="20"/>
      <c r="CD105" s="20"/>
      <c r="CE105" s="20"/>
      <c r="CF105" s="20"/>
      <c r="CG105" s="20"/>
      <c r="CH105" s="20"/>
      <c r="CI105" s="20"/>
      <c r="CJ105" s="20"/>
      <c r="CK105" s="20"/>
      <c r="CL105" s="20"/>
      <c r="CM105" s="20"/>
      <c r="CN105" s="20"/>
      <c r="CO105" s="20"/>
      <c r="CP105" s="20"/>
      <c r="CQ105" s="20"/>
      <c r="CR105" s="20"/>
      <c r="CS105" s="20"/>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row>
    <row r="106" spans="1:123" ht="64.5" hidden="1" customHeight="1" x14ac:dyDescent="0.2">
      <c r="A106" s="19"/>
      <c r="B106" s="20" t="str">
        <f ca="1">IFERROR(__xludf.DUMMYFUNCTION("""COMPUTED_VALUE"""),"г.о. Можайск")</f>
        <v>г.о. Можайск</v>
      </c>
      <c r="C106"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6" s="20" t="str">
        <f ca="1">IFERROR(__xludf.DUMMYFUNCTION("""COMPUTED_VALUE"""),"МинЖКХ")</f>
        <v>МинЖКХ</v>
      </c>
      <c r="E106" s="20" t="str">
        <f ca="1">IFERROR(__xludf.DUMMYFUNCTION("""COMPUTED_VALUE"""),"Реконструкция ВЗУ Александрово Московская область, Можайский городской округ, с.п. Бородинское, п. учхоза Александрово")</f>
        <v>Реконструкция ВЗУ Александрово Московская область, Можайский городской округ, с.п. Бородинское, п. учхоза Александрово</v>
      </c>
      <c r="F106" s="22" t="str">
        <f ca="1">IFERROR(__xludf.DUMMYFUNCTION("""COMPUTED_VALUE"""),"ВЗУ")</f>
        <v>ВЗУ</v>
      </c>
      <c r="G106" s="20">
        <f ca="1">IFERROR(__xludf.DUMMYFUNCTION("""COMPUTED_VALUE"""),2023)</f>
        <v>2023</v>
      </c>
      <c r="H106" s="20" t="str">
        <f ca="1">IFERROR(__xludf.DUMMYFUNCTION("""COMPUTED_VALUE"""),"СМР")</f>
        <v>СМР</v>
      </c>
      <c r="I106" s="20"/>
      <c r="J106" s="20"/>
      <c r="K106" s="20"/>
      <c r="L106" s="20"/>
      <c r="M106" s="20"/>
      <c r="N106" s="24">
        <f ca="1">IFERROR(__xludf.DUMMYFUNCTION("""COMPUTED_VALUE"""),0)</f>
        <v>0</v>
      </c>
      <c r="O106" s="20"/>
      <c r="P106" s="20"/>
      <c r="Q106" s="20"/>
      <c r="R106" s="20"/>
      <c r="S106" s="20"/>
      <c r="T106" s="20"/>
      <c r="U106" s="24">
        <f ca="1">IFERROR(__xludf.DUMMYFUNCTION("""COMPUTED_VALUE"""),0)</f>
        <v>0</v>
      </c>
      <c r="V106" s="24">
        <f ca="1">IFERROR(__xludf.DUMMYFUNCTION("""COMPUTED_VALUE"""),0)</f>
        <v>0</v>
      </c>
      <c r="W106" s="24">
        <f ca="1">IFERROR(__xludf.DUMMYFUNCTION("""COMPUTED_VALUE"""),0)</f>
        <v>0</v>
      </c>
      <c r="X106" s="24">
        <f ca="1">IFERROR(__xludf.DUMMYFUNCTION("""COMPUTED_VALUE"""),0)</f>
        <v>0</v>
      </c>
      <c r="Y106" s="24">
        <f ca="1">IFERROR(__xludf.DUMMYFUNCTION("""COMPUTED_VALUE"""),0)</f>
        <v>0</v>
      </c>
      <c r="Z106" s="24">
        <f ca="1">IFERROR(__xludf.DUMMYFUNCTION("""COMPUTED_VALUE"""),0)</f>
        <v>0</v>
      </c>
      <c r="AA106" s="20" t="str">
        <f ca="1">IFERROR(__xludf.DUMMYFUNCTION("""COMPUTED_VALUE"""),"10 1 G552430")</f>
        <v>10 1 G552430</v>
      </c>
      <c r="AB106" s="20">
        <f ca="1">IFERROR(__xludf.DUMMYFUNCTION("""COMPUTED_VALUE"""),414)</f>
        <v>414</v>
      </c>
      <c r="AC106" s="20"/>
      <c r="AD106" s="20"/>
      <c r="AE106" s="20"/>
      <c r="AF106" s="24">
        <f ca="1">IFERROR(__xludf.DUMMYFUNCTION("""COMPUTED_VALUE"""),31206)</f>
        <v>31206</v>
      </c>
      <c r="AG106" s="24">
        <f ca="1">IFERROR(__xludf.DUMMYFUNCTION("""COMPUTED_VALUE"""),23404.5)</f>
        <v>23404.5</v>
      </c>
      <c r="AH106" s="24">
        <f ca="1">IFERROR(__xludf.DUMMYFUNCTION("""COMPUTED_VALUE"""),7801.5)</f>
        <v>7801.5</v>
      </c>
      <c r="AI106" s="24">
        <f ca="1">IFERROR(__xludf.DUMMYFUNCTION("""COMPUTED_VALUE"""),0)</f>
        <v>0</v>
      </c>
      <c r="AJ106" s="24">
        <f ca="1">IFERROR(__xludf.DUMMYFUNCTION("""COMPUTED_VALUE"""),0)</f>
        <v>0</v>
      </c>
      <c r="AK106" s="24">
        <f ca="1">IFERROR(__xludf.DUMMYFUNCTION("""COMPUTED_VALUE"""),0)</f>
        <v>0</v>
      </c>
      <c r="AL106" s="24">
        <f ca="1">IFERROR(__xludf.DUMMYFUNCTION("""COMPUTED_VALUE"""),0)</f>
        <v>0</v>
      </c>
      <c r="AM106" s="20"/>
      <c r="AN106" s="20"/>
      <c r="AO106" s="20"/>
      <c r="AP106" s="20"/>
      <c r="AQ106" s="20"/>
      <c r="AR106" s="24">
        <f ca="1">IFERROR(__xludf.DUMMYFUNCTION("""COMPUTED_VALUE"""),0)</f>
        <v>0</v>
      </c>
      <c r="AS106" s="20"/>
      <c r="AT106" s="20"/>
      <c r="AU106" s="20"/>
      <c r="AV106" s="20"/>
      <c r="AW106" s="20"/>
      <c r="AX106" s="24">
        <f ca="1">IFERROR(__xludf.DUMMYFUNCTION("""COMPUTED_VALUE"""),0)</f>
        <v>0</v>
      </c>
      <c r="AY106" s="24">
        <f ca="1">IFERROR(__xludf.DUMMYFUNCTION("""COMPUTED_VALUE"""),0)</f>
        <v>0</v>
      </c>
      <c r="AZ106" s="24">
        <f ca="1">IFERROR(__xludf.DUMMYFUNCTION("""COMPUTED_VALUE"""),0)</f>
        <v>0</v>
      </c>
      <c r="BA106" s="20"/>
      <c r="BB106" s="24">
        <f ca="1">IFERROR(__xludf.DUMMYFUNCTION("""COMPUTED_VALUE"""),0)</f>
        <v>0</v>
      </c>
      <c r="BC106" s="20"/>
      <c r="BD106" s="24">
        <f ca="1">IFERROR(__xludf.DUMMYFUNCTION("""COMPUTED_VALUE"""),0)</f>
        <v>0</v>
      </c>
      <c r="BE106" s="24">
        <f ca="1">IFERROR(__xludf.DUMMYFUNCTION("""COMPUTED_VALUE"""),0)</f>
        <v>0</v>
      </c>
      <c r="BF106" s="24">
        <f ca="1">IFERROR(__xludf.DUMMYFUNCTION("""COMPUTED_VALUE"""),0)</f>
        <v>0</v>
      </c>
      <c r="BG106" s="20"/>
      <c r="BH106" s="24">
        <f ca="1">IFERROR(__xludf.DUMMYFUNCTION("""COMPUTED_VALUE"""),0)</f>
        <v>0</v>
      </c>
      <c r="BI106" s="20"/>
      <c r="BJ106" s="24">
        <f ca="1">IFERROR(__xludf.DUMMYFUNCTION("""COMPUTED_VALUE"""),0)</f>
        <v>0</v>
      </c>
      <c r="BK106" s="24">
        <f ca="1">IFERROR(__xludf.DUMMYFUNCTION("""COMPUTED_VALUE"""),0)</f>
        <v>0</v>
      </c>
      <c r="BL106" s="24">
        <f ca="1">IFERROR(__xludf.DUMMYFUNCTION("""COMPUTED_VALUE"""),0)</f>
        <v>0</v>
      </c>
      <c r="BM106" s="20"/>
      <c r="BN106" s="24">
        <f ca="1">IFERROR(__xludf.DUMMYFUNCTION("""COMPUTED_VALUE"""),0)</f>
        <v>0</v>
      </c>
      <c r="BO106" s="20"/>
      <c r="BP106" s="24">
        <f ca="1">IFERROR(__xludf.DUMMYFUNCTION("""COMPUTED_VALUE"""),31206)</f>
        <v>31206</v>
      </c>
      <c r="BQ106" s="24">
        <f ca="1">IFERROR(__xludf.DUMMYFUNCTION("""COMPUTED_VALUE"""),23404.5)</f>
        <v>23404.5</v>
      </c>
      <c r="BR106" s="24">
        <f ca="1">IFERROR(__xludf.DUMMYFUNCTION("""COMPUTED_VALUE"""),7801.5)</f>
        <v>7801.5</v>
      </c>
      <c r="BS106" s="20"/>
      <c r="BT106" s="24">
        <f ca="1">IFERROR(__xludf.DUMMYFUNCTION("""COMPUTED_VALUE"""),0)</f>
        <v>0</v>
      </c>
      <c r="BU106" s="20"/>
      <c r="BV106" s="24">
        <f ca="1">IFERROR(__xludf.DUMMYFUNCTION("""COMPUTED_VALUE"""),0)</f>
        <v>0</v>
      </c>
      <c r="BW106" s="24">
        <f ca="1">IFERROR(__xludf.DUMMYFUNCTION("""COMPUTED_VALUE"""),0)</f>
        <v>0</v>
      </c>
      <c r="BX106" s="24">
        <f ca="1">IFERROR(__xludf.DUMMYFUNCTION("""COMPUTED_VALUE"""),0)</f>
        <v>0</v>
      </c>
      <c r="BY106" s="20"/>
      <c r="BZ106" s="24">
        <f ca="1">IFERROR(__xludf.DUMMYFUNCTION("""COMPUTED_VALUE"""),0)</f>
        <v>0</v>
      </c>
      <c r="CA106" s="20"/>
      <c r="CB106" s="20"/>
      <c r="CC106" s="20"/>
      <c r="CD106" s="20"/>
      <c r="CE106" s="20"/>
      <c r="CF106" s="20"/>
      <c r="CG106" s="20"/>
      <c r="CH106" s="20"/>
      <c r="CI106" s="20"/>
      <c r="CJ106" s="20"/>
      <c r="CK106" s="20"/>
      <c r="CL106" s="20"/>
      <c r="CM106" s="20"/>
      <c r="CN106" s="20"/>
      <c r="CO106" s="20"/>
      <c r="CP106" s="20"/>
      <c r="CQ106" s="20"/>
      <c r="CR106" s="20"/>
      <c r="CS106" s="20"/>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row>
    <row r="107" spans="1:123" ht="64.5" hidden="1" customHeight="1" x14ac:dyDescent="0.2">
      <c r="A107" s="19"/>
      <c r="B107" s="20" t="str">
        <f ca="1">IFERROR(__xludf.DUMMYFUNCTION("""COMPUTED_VALUE"""),"г.о. Можайск")</f>
        <v>г.о. Можайск</v>
      </c>
      <c r="C107"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7" s="20" t="str">
        <f ca="1">IFERROR(__xludf.DUMMYFUNCTION("""COMPUTED_VALUE"""),"МинЖКХ")</f>
        <v>МинЖКХ</v>
      </c>
      <c r="E107" s="20" t="str">
        <f ca="1">IFERROR(__xludf.DUMMYFUNCTION("""COMPUTED_VALUE"""),"Реконструкция ВЗУ Язево  Московская область, Можайский городской округ, с.п. Борисовское, д. Язево")</f>
        <v>Реконструкция ВЗУ Язево  Московская область, Можайский городской округ, с.п. Борисовское, д. Язево</v>
      </c>
      <c r="F107" s="22" t="str">
        <f ca="1">IFERROR(__xludf.DUMMYFUNCTION("""COMPUTED_VALUE"""),"ВЗУ")</f>
        <v>ВЗУ</v>
      </c>
      <c r="G107" s="20">
        <f ca="1">IFERROR(__xludf.DUMMYFUNCTION("""COMPUTED_VALUE"""),2023)</f>
        <v>2023</v>
      </c>
      <c r="H107" s="20" t="str">
        <f ca="1">IFERROR(__xludf.DUMMYFUNCTION("""COMPUTED_VALUE"""),"СМР")</f>
        <v>СМР</v>
      </c>
      <c r="I107" s="20"/>
      <c r="J107" s="20"/>
      <c r="K107" s="20"/>
      <c r="L107" s="20"/>
      <c r="M107" s="20"/>
      <c r="N107" s="24">
        <f ca="1">IFERROR(__xludf.DUMMYFUNCTION("""COMPUTED_VALUE"""),0)</f>
        <v>0</v>
      </c>
      <c r="O107" s="20"/>
      <c r="P107" s="20"/>
      <c r="Q107" s="20"/>
      <c r="R107" s="20"/>
      <c r="S107" s="20"/>
      <c r="T107" s="20"/>
      <c r="U107" s="24">
        <f ca="1">IFERROR(__xludf.DUMMYFUNCTION("""COMPUTED_VALUE"""),0)</f>
        <v>0</v>
      </c>
      <c r="V107" s="24">
        <f ca="1">IFERROR(__xludf.DUMMYFUNCTION("""COMPUTED_VALUE"""),0)</f>
        <v>0</v>
      </c>
      <c r="W107" s="24">
        <f ca="1">IFERROR(__xludf.DUMMYFUNCTION("""COMPUTED_VALUE"""),0)</f>
        <v>0</v>
      </c>
      <c r="X107" s="24">
        <f ca="1">IFERROR(__xludf.DUMMYFUNCTION("""COMPUTED_VALUE"""),0)</f>
        <v>0</v>
      </c>
      <c r="Y107" s="24">
        <f ca="1">IFERROR(__xludf.DUMMYFUNCTION("""COMPUTED_VALUE"""),0)</f>
        <v>0</v>
      </c>
      <c r="Z107" s="24">
        <f ca="1">IFERROR(__xludf.DUMMYFUNCTION("""COMPUTED_VALUE"""),0)</f>
        <v>0</v>
      </c>
      <c r="AA107" s="20" t="str">
        <f ca="1">IFERROR(__xludf.DUMMYFUNCTION("""COMPUTED_VALUE"""),"10 1 G552430")</f>
        <v>10 1 G552430</v>
      </c>
      <c r="AB107" s="20">
        <f ca="1">IFERROR(__xludf.DUMMYFUNCTION("""COMPUTED_VALUE"""),414)</f>
        <v>414</v>
      </c>
      <c r="AC107" s="20"/>
      <c r="AD107" s="20"/>
      <c r="AE107" s="20"/>
      <c r="AF107" s="24">
        <f ca="1">IFERROR(__xludf.DUMMYFUNCTION("""COMPUTED_VALUE"""),49038)</f>
        <v>49038</v>
      </c>
      <c r="AG107" s="24">
        <f ca="1">IFERROR(__xludf.DUMMYFUNCTION("""COMPUTED_VALUE"""),36778.5)</f>
        <v>36778.5</v>
      </c>
      <c r="AH107" s="24">
        <f ca="1">IFERROR(__xludf.DUMMYFUNCTION("""COMPUTED_VALUE"""),12259.5)</f>
        <v>12259.5</v>
      </c>
      <c r="AI107" s="24">
        <f ca="1">IFERROR(__xludf.DUMMYFUNCTION("""COMPUTED_VALUE"""),0)</f>
        <v>0</v>
      </c>
      <c r="AJ107" s="24">
        <f ca="1">IFERROR(__xludf.DUMMYFUNCTION("""COMPUTED_VALUE"""),0)</f>
        <v>0</v>
      </c>
      <c r="AK107" s="24">
        <f ca="1">IFERROR(__xludf.DUMMYFUNCTION("""COMPUTED_VALUE"""),0)</f>
        <v>0</v>
      </c>
      <c r="AL107" s="24">
        <f ca="1">IFERROR(__xludf.DUMMYFUNCTION("""COMPUTED_VALUE"""),0)</f>
        <v>0</v>
      </c>
      <c r="AM107" s="20"/>
      <c r="AN107" s="20"/>
      <c r="AO107" s="20"/>
      <c r="AP107" s="20"/>
      <c r="AQ107" s="20"/>
      <c r="AR107" s="24">
        <f ca="1">IFERROR(__xludf.DUMMYFUNCTION("""COMPUTED_VALUE"""),0)</f>
        <v>0</v>
      </c>
      <c r="AS107" s="20"/>
      <c r="AT107" s="20"/>
      <c r="AU107" s="20"/>
      <c r="AV107" s="20"/>
      <c r="AW107" s="20"/>
      <c r="AX107" s="24">
        <f ca="1">IFERROR(__xludf.DUMMYFUNCTION("""COMPUTED_VALUE"""),0)</f>
        <v>0</v>
      </c>
      <c r="AY107" s="24">
        <f ca="1">IFERROR(__xludf.DUMMYFUNCTION("""COMPUTED_VALUE"""),0)</f>
        <v>0</v>
      </c>
      <c r="AZ107" s="24">
        <f ca="1">IFERROR(__xludf.DUMMYFUNCTION("""COMPUTED_VALUE"""),0)</f>
        <v>0</v>
      </c>
      <c r="BA107" s="20"/>
      <c r="BB107" s="24">
        <f ca="1">IFERROR(__xludf.DUMMYFUNCTION("""COMPUTED_VALUE"""),0)</f>
        <v>0</v>
      </c>
      <c r="BC107" s="20"/>
      <c r="BD107" s="24">
        <f ca="1">IFERROR(__xludf.DUMMYFUNCTION("""COMPUTED_VALUE"""),0)</f>
        <v>0</v>
      </c>
      <c r="BE107" s="24">
        <f ca="1">IFERROR(__xludf.DUMMYFUNCTION("""COMPUTED_VALUE"""),0)</f>
        <v>0</v>
      </c>
      <c r="BF107" s="24">
        <f ca="1">IFERROR(__xludf.DUMMYFUNCTION("""COMPUTED_VALUE"""),0)</f>
        <v>0</v>
      </c>
      <c r="BG107" s="20"/>
      <c r="BH107" s="24">
        <f ca="1">IFERROR(__xludf.DUMMYFUNCTION("""COMPUTED_VALUE"""),0)</f>
        <v>0</v>
      </c>
      <c r="BI107" s="20"/>
      <c r="BJ107" s="24">
        <f ca="1">IFERROR(__xludf.DUMMYFUNCTION("""COMPUTED_VALUE"""),0)</f>
        <v>0</v>
      </c>
      <c r="BK107" s="24">
        <f ca="1">IFERROR(__xludf.DUMMYFUNCTION("""COMPUTED_VALUE"""),0)</f>
        <v>0</v>
      </c>
      <c r="BL107" s="24">
        <f ca="1">IFERROR(__xludf.DUMMYFUNCTION("""COMPUTED_VALUE"""),0)</f>
        <v>0</v>
      </c>
      <c r="BM107" s="20"/>
      <c r="BN107" s="24">
        <f ca="1">IFERROR(__xludf.DUMMYFUNCTION("""COMPUTED_VALUE"""),0)</f>
        <v>0</v>
      </c>
      <c r="BO107" s="20"/>
      <c r="BP107" s="24">
        <f ca="1">IFERROR(__xludf.DUMMYFUNCTION("""COMPUTED_VALUE"""),49038)</f>
        <v>49038</v>
      </c>
      <c r="BQ107" s="24">
        <f ca="1">IFERROR(__xludf.DUMMYFUNCTION("""COMPUTED_VALUE"""),36778.5)</f>
        <v>36778.5</v>
      </c>
      <c r="BR107" s="24">
        <f ca="1">IFERROR(__xludf.DUMMYFUNCTION("""COMPUTED_VALUE"""),12259.5)</f>
        <v>12259.5</v>
      </c>
      <c r="BS107" s="20"/>
      <c r="BT107" s="24">
        <f ca="1">IFERROR(__xludf.DUMMYFUNCTION("""COMPUTED_VALUE"""),0)</f>
        <v>0</v>
      </c>
      <c r="BU107" s="20"/>
      <c r="BV107" s="24">
        <f ca="1">IFERROR(__xludf.DUMMYFUNCTION("""COMPUTED_VALUE"""),0)</f>
        <v>0</v>
      </c>
      <c r="BW107" s="24">
        <f ca="1">IFERROR(__xludf.DUMMYFUNCTION("""COMPUTED_VALUE"""),0)</f>
        <v>0</v>
      </c>
      <c r="BX107" s="24">
        <f ca="1">IFERROR(__xludf.DUMMYFUNCTION("""COMPUTED_VALUE"""),0)</f>
        <v>0</v>
      </c>
      <c r="BY107" s="20"/>
      <c r="BZ107" s="24">
        <f ca="1">IFERROR(__xludf.DUMMYFUNCTION("""COMPUTED_VALUE"""),0)</f>
        <v>0</v>
      </c>
      <c r="CA107" s="20"/>
      <c r="CB107" s="20"/>
      <c r="CC107" s="20"/>
      <c r="CD107" s="20"/>
      <c r="CE107" s="20"/>
      <c r="CF107" s="20"/>
      <c r="CG107" s="20"/>
      <c r="CH107" s="20"/>
      <c r="CI107" s="20"/>
      <c r="CJ107" s="20"/>
      <c r="CK107" s="20"/>
      <c r="CL107" s="20"/>
      <c r="CM107" s="20"/>
      <c r="CN107" s="20"/>
      <c r="CO107" s="20"/>
      <c r="CP107" s="20"/>
      <c r="CQ107" s="20"/>
      <c r="CR107" s="20"/>
      <c r="CS107" s="20"/>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row>
    <row r="108" spans="1:123" ht="64.5" hidden="1" customHeight="1" x14ac:dyDescent="0.2">
      <c r="A108" s="19"/>
      <c r="B108" s="20" t="str">
        <f ca="1">IFERROR(__xludf.DUMMYFUNCTION("""COMPUTED_VALUE"""),"г.о. Можайск")</f>
        <v>г.о. Можайск</v>
      </c>
      <c r="C108"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8" s="20" t="str">
        <f ca="1">IFERROR(__xludf.DUMMYFUNCTION("""COMPUTED_VALUE"""),"МинЖКХ")</f>
        <v>МинЖКХ</v>
      </c>
      <c r="E108" s="20"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F108" s="22" t="str">
        <f ca="1">IFERROR(__xludf.DUMMYFUNCTION("""COMPUTED_VALUE"""),"ВЗУ")</f>
        <v>ВЗУ</v>
      </c>
      <c r="G108" s="20">
        <f ca="1">IFERROR(__xludf.DUMMYFUNCTION("""COMPUTED_VALUE"""),2023)</f>
        <v>2023</v>
      </c>
      <c r="H108" s="20" t="str">
        <f ca="1">IFERROR(__xludf.DUMMYFUNCTION("""COMPUTED_VALUE"""),"СМР")</f>
        <v>СМР</v>
      </c>
      <c r="I108" s="20"/>
      <c r="J108" s="20"/>
      <c r="K108" s="20"/>
      <c r="L108" s="20"/>
      <c r="M108" s="20"/>
      <c r="N108" s="24">
        <f ca="1">IFERROR(__xludf.DUMMYFUNCTION("""COMPUTED_VALUE"""),0)</f>
        <v>0</v>
      </c>
      <c r="O108" s="20"/>
      <c r="P108" s="20"/>
      <c r="Q108" s="20"/>
      <c r="R108" s="20"/>
      <c r="S108" s="20"/>
      <c r="T108" s="20"/>
      <c r="U108" s="24">
        <f ca="1">IFERROR(__xludf.DUMMYFUNCTION("""COMPUTED_VALUE"""),0)</f>
        <v>0</v>
      </c>
      <c r="V108" s="24">
        <f ca="1">IFERROR(__xludf.DUMMYFUNCTION("""COMPUTED_VALUE"""),0)</f>
        <v>0</v>
      </c>
      <c r="W108" s="24">
        <f ca="1">IFERROR(__xludf.DUMMYFUNCTION("""COMPUTED_VALUE"""),0)</f>
        <v>0</v>
      </c>
      <c r="X108" s="24">
        <f ca="1">IFERROR(__xludf.DUMMYFUNCTION("""COMPUTED_VALUE"""),0)</f>
        <v>0</v>
      </c>
      <c r="Y108" s="24">
        <f ca="1">IFERROR(__xludf.DUMMYFUNCTION("""COMPUTED_VALUE"""),0)</f>
        <v>0</v>
      </c>
      <c r="Z108" s="24">
        <f ca="1">IFERROR(__xludf.DUMMYFUNCTION("""COMPUTED_VALUE"""),0)</f>
        <v>0</v>
      </c>
      <c r="AA108" s="20" t="str">
        <f ca="1">IFERROR(__xludf.DUMMYFUNCTION("""COMPUTED_VALUE"""),"10 1 G552430")</f>
        <v>10 1 G552430</v>
      </c>
      <c r="AB108" s="20">
        <f ca="1">IFERROR(__xludf.DUMMYFUNCTION("""COMPUTED_VALUE"""),414)</f>
        <v>414</v>
      </c>
      <c r="AC108" s="20"/>
      <c r="AD108" s="20"/>
      <c r="AE108" s="20"/>
      <c r="AF108" s="24">
        <f ca="1">IFERROR(__xludf.DUMMYFUNCTION("""COMPUTED_VALUE"""),44580)</f>
        <v>44580</v>
      </c>
      <c r="AG108" s="24">
        <f ca="1">IFERROR(__xludf.DUMMYFUNCTION("""COMPUTED_VALUE"""),33435)</f>
        <v>33435</v>
      </c>
      <c r="AH108" s="24">
        <f ca="1">IFERROR(__xludf.DUMMYFUNCTION("""COMPUTED_VALUE"""),11145)</f>
        <v>11145</v>
      </c>
      <c r="AI108" s="24">
        <f ca="1">IFERROR(__xludf.DUMMYFUNCTION("""COMPUTED_VALUE"""),0)</f>
        <v>0</v>
      </c>
      <c r="AJ108" s="24">
        <f ca="1">IFERROR(__xludf.DUMMYFUNCTION("""COMPUTED_VALUE"""),0)</f>
        <v>0</v>
      </c>
      <c r="AK108" s="24">
        <f ca="1">IFERROR(__xludf.DUMMYFUNCTION("""COMPUTED_VALUE"""),0)</f>
        <v>0</v>
      </c>
      <c r="AL108" s="24">
        <f ca="1">IFERROR(__xludf.DUMMYFUNCTION("""COMPUTED_VALUE"""),0)</f>
        <v>0</v>
      </c>
      <c r="AM108" s="20"/>
      <c r="AN108" s="20"/>
      <c r="AO108" s="20"/>
      <c r="AP108" s="20"/>
      <c r="AQ108" s="20"/>
      <c r="AR108" s="24">
        <f ca="1">IFERROR(__xludf.DUMMYFUNCTION("""COMPUTED_VALUE"""),0)</f>
        <v>0</v>
      </c>
      <c r="AS108" s="20"/>
      <c r="AT108" s="20"/>
      <c r="AU108" s="20"/>
      <c r="AV108" s="20"/>
      <c r="AW108" s="20"/>
      <c r="AX108" s="24">
        <f ca="1">IFERROR(__xludf.DUMMYFUNCTION("""COMPUTED_VALUE"""),0)</f>
        <v>0</v>
      </c>
      <c r="AY108" s="24">
        <f ca="1">IFERROR(__xludf.DUMMYFUNCTION("""COMPUTED_VALUE"""),0)</f>
        <v>0</v>
      </c>
      <c r="AZ108" s="24">
        <f ca="1">IFERROR(__xludf.DUMMYFUNCTION("""COMPUTED_VALUE"""),0)</f>
        <v>0</v>
      </c>
      <c r="BA108" s="20"/>
      <c r="BB108" s="24">
        <f ca="1">IFERROR(__xludf.DUMMYFUNCTION("""COMPUTED_VALUE"""),0)</f>
        <v>0</v>
      </c>
      <c r="BC108" s="20"/>
      <c r="BD108" s="24">
        <f ca="1">IFERROR(__xludf.DUMMYFUNCTION("""COMPUTED_VALUE"""),0)</f>
        <v>0</v>
      </c>
      <c r="BE108" s="24">
        <f ca="1">IFERROR(__xludf.DUMMYFUNCTION("""COMPUTED_VALUE"""),0)</f>
        <v>0</v>
      </c>
      <c r="BF108" s="24">
        <f ca="1">IFERROR(__xludf.DUMMYFUNCTION("""COMPUTED_VALUE"""),0)</f>
        <v>0</v>
      </c>
      <c r="BG108" s="20"/>
      <c r="BH108" s="24">
        <f ca="1">IFERROR(__xludf.DUMMYFUNCTION("""COMPUTED_VALUE"""),0)</f>
        <v>0</v>
      </c>
      <c r="BI108" s="20"/>
      <c r="BJ108" s="24">
        <f ca="1">IFERROR(__xludf.DUMMYFUNCTION("""COMPUTED_VALUE"""),0)</f>
        <v>0</v>
      </c>
      <c r="BK108" s="24">
        <f ca="1">IFERROR(__xludf.DUMMYFUNCTION("""COMPUTED_VALUE"""),0)</f>
        <v>0</v>
      </c>
      <c r="BL108" s="24">
        <f ca="1">IFERROR(__xludf.DUMMYFUNCTION("""COMPUTED_VALUE"""),0)</f>
        <v>0</v>
      </c>
      <c r="BM108" s="20"/>
      <c r="BN108" s="24">
        <f ca="1">IFERROR(__xludf.DUMMYFUNCTION("""COMPUTED_VALUE"""),0)</f>
        <v>0</v>
      </c>
      <c r="BO108" s="20"/>
      <c r="BP108" s="24">
        <f ca="1">IFERROR(__xludf.DUMMYFUNCTION("""COMPUTED_VALUE"""),44580)</f>
        <v>44580</v>
      </c>
      <c r="BQ108" s="24">
        <f ca="1">IFERROR(__xludf.DUMMYFUNCTION("""COMPUTED_VALUE"""),33435)</f>
        <v>33435</v>
      </c>
      <c r="BR108" s="24">
        <f ca="1">IFERROR(__xludf.DUMMYFUNCTION("""COMPUTED_VALUE"""),11145)</f>
        <v>11145</v>
      </c>
      <c r="BS108" s="20"/>
      <c r="BT108" s="24">
        <f ca="1">IFERROR(__xludf.DUMMYFUNCTION("""COMPUTED_VALUE"""),0)</f>
        <v>0</v>
      </c>
      <c r="BU108" s="20"/>
      <c r="BV108" s="24">
        <f ca="1">IFERROR(__xludf.DUMMYFUNCTION("""COMPUTED_VALUE"""),0)</f>
        <v>0</v>
      </c>
      <c r="BW108" s="24">
        <f ca="1">IFERROR(__xludf.DUMMYFUNCTION("""COMPUTED_VALUE"""),0)</f>
        <v>0</v>
      </c>
      <c r="BX108" s="24">
        <f ca="1">IFERROR(__xludf.DUMMYFUNCTION("""COMPUTED_VALUE"""),0)</f>
        <v>0</v>
      </c>
      <c r="BY108" s="20"/>
      <c r="BZ108" s="24">
        <f ca="1">IFERROR(__xludf.DUMMYFUNCTION("""COMPUTED_VALUE"""),0)</f>
        <v>0</v>
      </c>
      <c r="CA108" s="20"/>
      <c r="CB108" s="20"/>
      <c r="CC108" s="20"/>
      <c r="CD108" s="20"/>
      <c r="CE108" s="20"/>
      <c r="CF108" s="20"/>
      <c r="CG108" s="20"/>
      <c r="CH108" s="20"/>
      <c r="CI108" s="20"/>
      <c r="CJ108" s="20"/>
      <c r="CK108" s="20"/>
      <c r="CL108" s="20"/>
      <c r="CM108" s="20"/>
      <c r="CN108" s="20"/>
      <c r="CO108" s="20"/>
      <c r="CP108" s="20"/>
      <c r="CQ108" s="20"/>
      <c r="CR108" s="20"/>
      <c r="CS108" s="20"/>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row>
    <row r="109" spans="1:123" ht="64.5" customHeight="1" x14ac:dyDescent="0.2">
      <c r="A109" s="19"/>
      <c r="B109" s="20" t="str">
        <f ca="1">IFERROR(__xludf.DUMMYFUNCTION("IMPORTRANGE(""https://docs.google.com/spreadsheets/d/1ZpB0joDVH_P6wgS1qdxv2Cg30eSt21FXcCJZMPEFRM4/edit#gid=2034320257&amp;range=B5:CS115"", ""'ПП1 ЧВ'!B5:CS115"")"),"г.о. Волоколамский")</f>
        <v>г.о. Волоколамский</v>
      </c>
      <c r="C10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09" s="20" t="str">
        <f ca="1">IFERROR(__xludf.DUMMYFUNCTION("""COMPUTED_VALUE"""),"МинЖКХ")</f>
        <v>МинЖКХ</v>
      </c>
      <c r="E109" s="20" t="str">
        <f ca="1">IFERROR(__xludf.DUMMYFUNCTION("""COMPUTED_VALUE"""),"Строительство ВЗУ по адресу: г. Волоколамск, ул. Пороховская (в том числе корректировка проекта) (в том числе кредиторская задолженность)")</f>
        <v>Строительство ВЗУ по адресу: г. Волоколамск, ул. Пороховская (в том числе корректировка проекта) (в том числе кредиторская задолженность)</v>
      </c>
      <c r="F109" s="32" t="str">
        <f ca="1">IFERROR(__xludf.DUMMYFUNCTION("""COMPUTED_VALUE"""),"ВЗУ")</f>
        <v>ВЗУ</v>
      </c>
      <c r="G109" s="20" t="str">
        <f ca="1">IFERROR(__xludf.DUMMYFUNCTION("""COMPUTED_VALUE"""),"2020-2022")</f>
        <v>2020-2022</v>
      </c>
      <c r="H109" s="20" t="str">
        <f ca="1">IFERROR(__xludf.DUMMYFUNCTION("""COMPUTED_VALUE"""),"СМР")</f>
        <v>СМР</v>
      </c>
      <c r="I109" s="23">
        <f ca="1">IFERROR(__xludf.DUMMYFUNCTION("""COMPUTED_VALUE"""),0.41)</f>
        <v>0.41</v>
      </c>
      <c r="J109" s="20" t="str">
        <f ca="1">IFERROR(__xludf.DUMMYFUNCTION("""COMPUTED_VALUE"""),"До получения РС работы со стороны АО «Группа Компаний «ЕКС» приостановлены. Работы выполнены на 41 %.
Для получения РС требуется корректировка проекта")</f>
        <v>До получения РС работы со стороны АО «Группа Компаний «ЕКС» приостановлены. Работы выполнены на 41 %.
Для получения РС требуется корректировка проекта</v>
      </c>
      <c r="K109" s="20">
        <f ca="1">IFERROR(__xludf.DUMMYFUNCTION("""COMPUTED_VALUE"""),0)</f>
        <v>0</v>
      </c>
      <c r="L109" s="20">
        <f ca="1">IFERROR(__xludf.DUMMYFUNCTION("""COMPUTED_VALUE"""),12500)</f>
        <v>12500</v>
      </c>
      <c r="M109" s="20"/>
      <c r="N109" s="24">
        <f ca="1">IFERROR(__xludf.DUMMYFUNCTION("""COMPUTED_VALUE"""),7097.8)</f>
        <v>7097.8</v>
      </c>
      <c r="O109" s="20"/>
      <c r="P109" s="24">
        <f ca="1">IFERROR(__xludf.DUMMYFUNCTION("""COMPUTED_VALUE"""),7092)</f>
        <v>7092</v>
      </c>
      <c r="Q109" s="20"/>
      <c r="R109" s="24">
        <f ca="1">IFERROR(__xludf.DUMMYFUNCTION("""COMPUTED_VALUE"""),5.8)</f>
        <v>5.8</v>
      </c>
      <c r="S109" s="20"/>
      <c r="T109" s="20"/>
      <c r="U109" s="24">
        <f ca="1">IFERROR(__xludf.DUMMYFUNCTION("""COMPUTED_VALUE"""),0)</f>
        <v>0</v>
      </c>
      <c r="V109" s="24">
        <f ca="1">IFERROR(__xludf.DUMMYFUNCTION("""COMPUTED_VALUE"""),0)</f>
        <v>0</v>
      </c>
      <c r="W109" s="24">
        <f ca="1">IFERROR(__xludf.DUMMYFUNCTION("""COMPUTED_VALUE"""),0)</f>
        <v>0</v>
      </c>
      <c r="X109" s="24">
        <f ca="1">IFERROR(__xludf.DUMMYFUNCTION("""COMPUTED_VALUE"""),0)</f>
        <v>0</v>
      </c>
      <c r="Y109" s="24">
        <f ca="1">IFERROR(__xludf.DUMMYFUNCTION("""COMPUTED_VALUE"""),0)</f>
        <v>0</v>
      </c>
      <c r="Z109" s="24">
        <f ca="1">IFERROR(__xludf.DUMMYFUNCTION("""COMPUTED_VALUE"""),0)</f>
        <v>0</v>
      </c>
      <c r="AA109" s="20" t="str">
        <f ca="1">IFERROR(__xludf.DUMMYFUNCTION("""COMPUTED_VALUE"""),"10 1 02 64090")</f>
        <v>10 1 02 64090</v>
      </c>
      <c r="AB109" s="20">
        <f ca="1">IFERROR(__xludf.DUMMYFUNCTION("""COMPUTED_VALUE"""),522)</f>
        <v>522</v>
      </c>
      <c r="AC109" s="20" t="str">
        <f ca="1">IFERROR(__xludf.DUMMYFUNCTION("""COMPUTED_VALUE"""),"Нет")</f>
        <v>Нет</v>
      </c>
      <c r="AD109" s="25">
        <f ca="1">IFERROR(__xludf.DUMMYFUNCTION("""COMPUTED_VALUE"""),44180)</f>
        <v>44180</v>
      </c>
      <c r="AE109" s="20" t="str">
        <f ca="1">IFERROR(__xludf.DUMMYFUNCTION("""COMPUTED_VALUE"""),"Отсутствует")</f>
        <v>Отсутствует</v>
      </c>
      <c r="AF109" s="24">
        <f ca="1">IFERROR(__xludf.DUMMYFUNCTION("""COMPUTED_VALUE"""),117684.459999999)</f>
        <v>117684.459999999</v>
      </c>
      <c r="AG109" s="24">
        <f ca="1">IFERROR(__xludf.DUMMYFUNCTION("""COMPUTED_VALUE"""),0)</f>
        <v>0</v>
      </c>
      <c r="AH109" s="24">
        <f ca="1">IFERROR(__xludf.DUMMYFUNCTION("""COMPUTED_VALUE"""),106620)</f>
        <v>106620</v>
      </c>
      <c r="AI109" s="24">
        <f ca="1">IFERROR(__xludf.DUMMYFUNCTION("""COMPUTED_VALUE"""),0)</f>
        <v>0</v>
      </c>
      <c r="AJ109" s="24">
        <f ca="1">IFERROR(__xludf.DUMMYFUNCTION("""COMPUTED_VALUE"""),11064.46)</f>
        <v>11064.46</v>
      </c>
      <c r="AK109" s="24">
        <f ca="1">IFERROR(__xludf.DUMMYFUNCTION("""COMPUTED_VALUE"""),0)</f>
        <v>0</v>
      </c>
      <c r="AL109" s="24">
        <f ca="1">IFERROR(__xludf.DUMMYFUNCTION("""COMPUTED_VALUE"""),0)</f>
        <v>0</v>
      </c>
      <c r="AM109" s="20"/>
      <c r="AN109" s="20"/>
      <c r="AO109" s="20"/>
      <c r="AP109" s="20"/>
      <c r="AQ109" s="20"/>
      <c r="AR109" s="24">
        <f ca="1">IFERROR(__xludf.DUMMYFUNCTION("""COMPUTED_VALUE"""),0)</f>
        <v>0</v>
      </c>
      <c r="AS109" s="20"/>
      <c r="AT109" s="20"/>
      <c r="AU109" s="20"/>
      <c r="AV109" s="20"/>
      <c r="AW109" s="20"/>
      <c r="AX109" s="24">
        <f ca="1">IFERROR(__xludf.DUMMYFUNCTION("""COMPUTED_VALUE"""),7097.8)</f>
        <v>7097.8</v>
      </c>
      <c r="AY109" s="24">
        <f ca="1">IFERROR(__xludf.DUMMYFUNCTION("""COMPUTED_VALUE"""),0)</f>
        <v>0</v>
      </c>
      <c r="AZ109" s="24">
        <f ca="1">IFERROR(__xludf.DUMMYFUNCTION("""COMPUTED_VALUE"""),7092)</f>
        <v>7092</v>
      </c>
      <c r="BA109" s="24">
        <f ca="1">IFERROR(__xludf.DUMMYFUNCTION("""COMPUTED_VALUE"""),0)</f>
        <v>0</v>
      </c>
      <c r="BB109" s="24">
        <f ca="1">IFERROR(__xludf.DUMMYFUNCTION("""COMPUTED_VALUE"""),5.8)</f>
        <v>5.8</v>
      </c>
      <c r="BC109" s="20"/>
      <c r="BD109" s="24">
        <f ca="1">IFERROR(__xludf.DUMMYFUNCTION("""COMPUTED_VALUE"""),69522.22)</f>
        <v>69522.22</v>
      </c>
      <c r="BE109" s="24">
        <f ca="1">IFERROR(__xludf.DUMMYFUNCTION("""COMPUTED_VALUE"""),0)</f>
        <v>0</v>
      </c>
      <c r="BF109" s="24">
        <f ca="1">IFERROR(__xludf.DUMMYFUNCTION("""COMPUTED_VALUE"""),62570)</f>
        <v>62570</v>
      </c>
      <c r="BG109" s="24">
        <f ca="1">IFERROR(__xludf.DUMMYFUNCTION("""COMPUTED_VALUE"""),0)</f>
        <v>0</v>
      </c>
      <c r="BH109" s="24">
        <f ca="1">IFERROR(__xludf.DUMMYFUNCTION("""COMPUTED_VALUE"""),6952.22)</f>
        <v>6952.22</v>
      </c>
      <c r="BI109" s="20"/>
      <c r="BJ109" s="24">
        <f ca="1">IFERROR(__xludf.DUMMYFUNCTION("""COMPUTED_VALUE"""),41064.44)</f>
        <v>41064.44</v>
      </c>
      <c r="BK109" s="24">
        <f ca="1">IFERROR(__xludf.DUMMYFUNCTION("""COMPUTED_VALUE"""),0)</f>
        <v>0</v>
      </c>
      <c r="BL109" s="24">
        <f ca="1">IFERROR(__xludf.DUMMYFUNCTION("""COMPUTED_VALUE"""),36958)</f>
        <v>36958</v>
      </c>
      <c r="BM109" s="24">
        <f ca="1">IFERROR(__xludf.DUMMYFUNCTION("""COMPUTED_VALUE"""),0)</f>
        <v>0</v>
      </c>
      <c r="BN109" s="24">
        <f ca="1">IFERROR(__xludf.DUMMYFUNCTION("""COMPUTED_VALUE"""),4106.44)</f>
        <v>4106.4399999999996</v>
      </c>
      <c r="BO109" s="20"/>
      <c r="BP109" s="24">
        <f ca="1">IFERROR(__xludf.DUMMYFUNCTION("""COMPUTED_VALUE"""),0)</f>
        <v>0</v>
      </c>
      <c r="BQ109" s="24">
        <f ca="1">IFERROR(__xludf.DUMMYFUNCTION("""COMPUTED_VALUE"""),0)</f>
        <v>0</v>
      </c>
      <c r="BR109" s="24">
        <f ca="1">IFERROR(__xludf.DUMMYFUNCTION("""COMPUTED_VALUE"""),0)</f>
        <v>0</v>
      </c>
      <c r="BS109" s="24">
        <f ca="1">IFERROR(__xludf.DUMMYFUNCTION("""COMPUTED_VALUE"""),0)</f>
        <v>0</v>
      </c>
      <c r="BT109" s="24">
        <f ca="1">IFERROR(__xludf.DUMMYFUNCTION("""COMPUTED_VALUE"""),0)</f>
        <v>0</v>
      </c>
      <c r="BU109" s="20"/>
      <c r="BV109" s="24">
        <f ca="1">IFERROR(__xludf.DUMMYFUNCTION("""COMPUTED_VALUE"""),0)</f>
        <v>0</v>
      </c>
      <c r="BW109" s="24">
        <f ca="1">IFERROR(__xludf.DUMMYFUNCTION("""COMPUTED_VALUE"""),0)</f>
        <v>0</v>
      </c>
      <c r="BX109" s="24">
        <f ca="1">IFERROR(__xludf.DUMMYFUNCTION("""COMPUTED_VALUE"""),0)</f>
        <v>0</v>
      </c>
      <c r="BY109" s="24">
        <f ca="1">IFERROR(__xludf.DUMMYFUNCTION("""COMPUTED_VALUE"""),0)</f>
        <v>0</v>
      </c>
      <c r="BZ109" s="24">
        <f ca="1">IFERROR(__xludf.DUMMYFUNCTION("""COMPUTED_VALUE"""),0)</f>
        <v>0</v>
      </c>
      <c r="CA109" s="20"/>
      <c r="CB109" s="20"/>
      <c r="CC109" s="20"/>
      <c r="CD109" s="20"/>
      <c r="CE109" s="20"/>
      <c r="CF109" s="20"/>
      <c r="CG109" s="20"/>
      <c r="CH109" s="20"/>
      <c r="CI109" s="20"/>
      <c r="CJ109" s="25">
        <f ca="1">IFERROR(__xludf.DUMMYFUNCTION("""COMPUTED_VALUE"""),42323)</f>
        <v>42323</v>
      </c>
      <c r="CK109" s="25">
        <f ca="1">IFERROR(__xludf.DUMMYFUNCTION("""COMPUTED_VALUE"""),42356)</f>
        <v>42356</v>
      </c>
      <c r="CL109" s="20" t="str">
        <f ca="1">IFERROR(__xludf.DUMMYFUNCTION("""COMPUTED_VALUE"""),"50-1-5-0956-15")</f>
        <v>50-1-5-0956-15</v>
      </c>
      <c r="CM109" s="26">
        <f ca="1">IFERROR(__xludf.DUMMYFUNCTION("""COMPUTED_VALUE"""),43642)</f>
        <v>43642</v>
      </c>
      <c r="CN109" s="20" t="str">
        <f ca="1">IFERROR(__xludf.DUMMYFUNCTION("""COMPUTED_VALUE"""),"0148200005419000304")</f>
        <v>0148200005419000304</v>
      </c>
      <c r="CO109" s="26">
        <f ca="1">IFERROR(__xludf.DUMMYFUNCTION("""COMPUTED_VALUE"""),44055)</f>
        <v>44055</v>
      </c>
      <c r="CP109" s="20">
        <f ca="1">IFERROR(__xludf.DUMMYFUNCTION("""COMPUTED_VALUE"""),304)</f>
        <v>304</v>
      </c>
      <c r="CQ109" s="20">
        <f ca="1">IFERROR(__xludf.DUMMYFUNCTION("""COMPUTED_VALUE"""),101842970)</f>
        <v>101842970</v>
      </c>
      <c r="CR109" s="20" t="str">
        <f ca="1">IFERROR(__xludf.DUMMYFUNCTION("""COMPUTED_VALUE"""),"АО ГК ""ЕКС""")</f>
        <v>АО ГК "ЕКС"</v>
      </c>
      <c r="CS109" s="27" t="str">
        <f ca="1">IFERROR(__xludf.DUMMYFUNCTION("""COMPUTED_VALUE"""),"https://zakupki.gov.ru/epz/contract/contractCard/common-info.html?reestrNumber=3500400389019000065&amp;backUrl=a5d1d95a-b789-442f-ad04-448142ee8b45")</f>
        <v>https://zakupki.gov.ru/epz/contract/contractCard/common-info.html?reestrNumber=3500400389019000065&amp;backUrl=a5d1d95a-b789-442f-ad04-448142ee8b45</v>
      </c>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row>
    <row r="110" spans="1:123" ht="64.5" customHeight="1" x14ac:dyDescent="0.2">
      <c r="A110" s="19"/>
      <c r="B110" s="20" t="str">
        <f ca="1">IFERROR(__xludf.DUMMYFUNCTION("""COMPUTED_VALUE"""),"г.о. Луховицы")</f>
        <v>г.о. Луховицы</v>
      </c>
      <c r="C11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0" s="20" t="str">
        <f ca="1">IFERROR(__xludf.DUMMYFUNCTION("""COMPUTED_VALUE"""),"МинЖКХ")</f>
        <v>МинЖКХ</v>
      </c>
      <c r="E110" s="20" t="str">
        <f ca="1">IFERROR(__xludf.DUMMYFUNCTION("""COMPUTED_VALUE"""),"Строительство ВЗУ с установкой станции обезжелезивания по адресу: городской округ Луховицы,  д. Круглово (в т.ч. ПИР)")</f>
        <v>Строительство ВЗУ с установкой станции обезжелезивания по адресу: городской округ Луховицы,  д. Круглово (в т.ч. ПИР)</v>
      </c>
      <c r="F110" s="32" t="str">
        <f ca="1">IFERROR(__xludf.DUMMYFUNCTION("""COMPUTED_VALUE"""),"ВЗУ")</f>
        <v>ВЗУ</v>
      </c>
      <c r="G110" s="20">
        <f ca="1">IFERROR(__xludf.DUMMYFUNCTION("""COMPUTED_VALUE"""),2020)</f>
        <v>2020</v>
      </c>
      <c r="H110" s="20" t="str">
        <f ca="1">IFERROR(__xludf.DUMMYFUNCTION("""COMPUTED_VALUE"""),"СМР")</f>
        <v>СМР</v>
      </c>
      <c r="I110" s="23">
        <f ca="1">IFERROR(__xludf.DUMMYFUNCTION("""COMPUTED_VALUE"""),0.35)</f>
        <v>0.35</v>
      </c>
      <c r="J110" s="20" t="str">
        <f ca="1">IFERROR(__xludf.DUMMYFUNCTION("""COMPUTED_VALUE"""),"Завершена вертикальная планировка, обустройство городка строителей, землянные работы. Осуществлено бурение скважины и тампонаж недействующей скважины. Завершены работы по устройству монолитной плиты под резервуар и скважину. Ведутся работы по устройству н"&amp;"адземной части здания скважины.")</f>
        <v>Завершена вертикальная планировка, обустройство городка строителей, землянные работы. Осуществлено бурение скважины и тампонаж недействующей скважины. Завершены работы по устройству монолитной плиты под резервуар и скважину. Ведутся работы по устройству надземной части здания скважины.</v>
      </c>
      <c r="K110" s="20">
        <f ca="1">IFERROR(__xludf.DUMMYFUNCTION("""COMPUTED_VALUE"""),0)</f>
        <v>0</v>
      </c>
      <c r="L110" s="20">
        <f ca="1">IFERROR(__xludf.DUMMYFUNCTION("""COMPUTED_VALUE"""),140)</f>
        <v>140</v>
      </c>
      <c r="M110" s="20"/>
      <c r="N110" s="24">
        <f ca="1">IFERROR(__xludf.DUMMYFUNCTION("""COMPUTED_VALUE"""),22025.66)</f>
        <v>22025.66</v>
      </c>
      <c r="O110" s="20"/>
      <c r="P110" s="24">
        <f ca="1">IFERROR(__xludf.DUMMYFUNCTION("""COMPUTED_VALUE"""),22025.66)</f>
        <v>22025.66</v>
      </c>
      <c r="Q110" s="20"/>
      <c r="R110" s="20"/>
      <c r="S110" s="20"/>
      <c r="T110" s="20" t="str">
        <f ca="1">IFERROR(__xludf.DUMMYFUNCTION("""COMPUTED_VALUE"""),"РС получено. Необходимо запросить график оплат до конца 2020 года. Лимиты в бюджетной заявке исключены.")</f>
        <v>РС получено. Необходимо запросить график оплат до конца 2020 года. Лимиты в бюджетной заявке исключены.</v>
      </c>
      <c r="U110" s="24">
        <f ca="1">IFERROR(__xludf.DUMMYFUNCTION("""COMPUTED_VALUE"""),3210.09)</f>
        <v>3210.09</v>
      </c>
      <c r="V110" s="24">
        <f ca="1">IFERROR(__xludf.DUMMYFUNCTION("""COMPUTED_VALUE"""),0)</f>
        <v>0</v>
      </c>
      <c r="W110" s="24">
        <f ca="1">IFERROR(__xludf.DUMMYFUNCTION("""COMPUTED_VALUE"""),560.34)</f>
        <v>560.34</v>
      </c>
      <c r="X110" s="24">
        <f ca="1">IFERROR(__xludf.DUMMYFUNCTION("""COMPUTED_VALUE"""),0)</f>
        <v>0</v>
      </c>
      <c r="Y110" s="24">
        <f ca="1">IFERROR(__xludf.DUMMYFUNCTION("""COMPUTED_VALUE"""),2649.75)</f>
        <v>2649.75</v>
      </c>
      <c r="Z110" s="24">
        <f ca="1">IFERROR(__xludf.DUMMYFUNCTION("""COMPUTED_VALUE"""),0)</f>
        <v>0</v>
      </c>
      <c r="AA110" s="20" t="str">
        <f ca="1">IFERROR(__xludf.DUMMYFUNCTION("""COMPUTED_VALUE"""),"10 1 02 64090")</f>
        <v>10 1 02 64090</v>
      </c>
      <c r="AB110" s="20">
        <f ca="1">IFERROR(__xludf.DUMMYFUNCTION("""COMPUTED_VALUE"""),522)</f>
        <v>522</v>
      </c>
      <c r="AC110" s="20" t="str">
        <f ca="1">IFERROR(__xludf.DUMMYFUNCTION("""COMPUTED_VALUE"""),"Да")</f>
        <v>Да</v>
      </c>
      <c r="AD110" s="20" t="str">
        <f ca="1">IFERROR(__xludf.DUMMYFUNCTION("""COMPUTED_VALUE"""),"Получено")</f>
        <v>Получено</v>
      </c>
      <c r="AE110" s="20" t="str">
        <f ca="1">IFERROR(__xludf.DUMMYFUNCTION("""COMPUTED_VALUE"""),"RU50-35-16450-2020 от 31.08.2020")</f>
        <v>RU50-35-16450-2020 от 31.08.2020</v>
      </c>
      <c r="AF110" s="24">
        <f ca="1">IFERROR(__xludf.DUMMYFUNCTION("""COMPUTED_VALUE"""),26675.27)</f>
        <v>26675.27</v>
      </c>
      <c r="AG110" s="24">
        <f ca="1">IFERROR(__xludf.DUMMYFUNCTION("""COMPUTED_VALUE"""),0)</f>
        <v>0</v>
      </c>
      <c r="AH110" s="24">
        <f ca="1">IFERROR(__xludf.DUMMYFUNCTION("""COMPUTED_VALUE"""),23874)</f>
        <v>23874</v>
      </c>
      <c r="AI110" s="24">
        <f ca="1">IFERROR(__xludf.DUMMYFUNCTION("""COMPUTED_VALUE"""),0)</f>
        <v>0</v>
      </c>
      <c r="AJ110" s="24">
        <f ca="1">IFERROR(__xludf.DUMMYFUNCTION("""COMPUTED_VALUE"""),2801.27)</f>
        <v>2801.27</v>
      </c>
      <c r="AK110" s="24">
        <f ca="1">IFERROR(__xludf.DUMMYFUNCTION("""COMPUTED_VALUE"""),0)</f>
        <v>0</v>
      </c>
      <c r="AL110" s="24">
        <f ca="1">IFERROR(__xludf.DUMMYFUNCTION("""COMPUTED_VALUE"""),0)</f>
        <v>0</v>
      </c>
      <c r="AM110" s="20"/>
      <c r="AN110" s="20"/>
      <c r="AO110" s="20"/>
      <c r="AP110" s="20"/>
      <c r="AQ110" s="20"/>
      <c r="AR110" s="24">
        <f ca="1">IFERROR(__xludf.DUMMYFUNCTION("""COMPUTED_VALUE"""),1439.52)</f>
        <v>1439.52</v>
      </c>
      <c r="AS110" s="24">
        <f ca="1">IFERROR(__xludf.DUMMYFUNCTION("""COMPUTED_VALUE"""),0)</f>
        <v>0</v>
      </c>
      <c r="AT110" s="24">
        <f ca="1">IFERROR(__xludf.DUMMYFUNCTION("""COMPUTED_VALUE"""),1288)</f>
        <v>1288</v>
      </c>
      <c r="AU110" s="24">
        <f ca="1">IFERROR(__xludf.DUMMYFUNCTION("""COMPUTED_VALUE"""),0)</f>
        <v>0</v>
      </c>
      <c r="AV110" s="24">
        <f ca="1">IFERROR(__xludf.DUMMYFUNCTION("""COMPUTED_VALUE"""),151.52)</f>
        <v>151.52000000000001</v>
      </c>
      <c r="AW110" s="24">
        <f ca="1">IFERROR(__xludf.DUMMYFUNCTION("""COMPUTED_VALUE"""),0)</f>
        <v>0</v>
      </c>
      <c r="AX110" s="24">
        <f ca="1">IFERROR(__xludf.DUMMYFUNCTION("""COMPUTED_VALUE"""),25235.75)</f>
        <v>25235.75</v>
      </c>
      <c r="AY110" s="24">
        <f ca="1">IFERROR(__xludf.DUMMYFUNCTION("""COMPUTED_VALUE"""),0)</f>
        <v>0</v>
      </c>
      <c r="AZ110" s="24">
        <f ca="1">IFERROR(__xludf.DUMMYFUNCTION("""COMPUTED_VALUE"""),22586)</f>
        <v>22586</v>
      </c>
      <c r="BA110" s="24">
        <f ca="1">IFERROR(__xludf.DUMMYFUNCTION("""COMPUTED_VALUE"""),0)</f>
        <v>0</v>
      </c>
      <c r="BB110" s="24">
        <f ca="1">IFERROR(__xludf.DUMMYFUNCTION("""COMPUTED_VALUE"""),2649.75)</f>
        <v>2649.75</v>
      </c>
      <c r="BC110" s="20"/>
      <c r="BD110" s="24">
        <f ca="1">IFERROR(__xludf.DUMMYFUNCTION("""COMPUTED_VALUE"""),0)</f>
        <v>0</v>
      </c>
      <c r="BE110" s="24">
        <f ca="1">IFERROR(__xludf.DUMMYFUNCTION("""COMPUTED_VALUE"""),0)</f>
        <v>0</v>
      </c>
      <c r="BF110" s="24">
        <f ca="1">IFERROR(__xludf.DUMMYFUNCTION("""COMPUTED_VALUE"""),0)</f>
        <v>0</v>
      </c>
      <c r="BG110" s="24">
        <f ca="1">IFERROR(__xludf.DUMMYFUNCTION("""COMPUTED_VALUE"""),0)</f>
        <v>0</v>
      </c>
      <c r="BH110" s="24">
        <f ca="1">IFERROR(__xludf.DUMMYFUNCTION("""COMPUTED_VALUE"""),0)</f>
        <v>0</v>
      </c>
      <c r="BI110" s="20"/>
      <c r="BJ110" s="24">
        <f ca="1">IFERROR(__xludf.DUMMYFUNCTION("""COMPUTED_VALUE"""),0)</f>
        <v>0</v>
      </c>
      <c r="BK110" s="24">
        <f ca="1">IFERROR(__xludf.DUMMYFUNCTION("""COMPUTED_VALUE"""),0)</f>
        <v>0</v>
      </c>
      <c r="BL110" s="24">
        <f ca="1">IFERROR(__xludf.DUMMYFUNCTION("""COMPUTED_VALUE"""),0)</f>
        <v>0</v>
      </c>
      <c r="BM110" s="24">
        <f ca="1">IFERROR(__xludf.DUMMYFUNCTION("""COMPUTED_VALUE"""),0)</f>
        <v>0</v>
      </c>
      <c r="BN110" s="24">
        <f ca="1">IFERROR(__xludf.DUMMYFUNCTION("""COMPUTED_VALUE"""),0)</f>
        <v>0</v>
      </c>
      <c r="BO110" s="20"/>
      <c r="BP110" s="24">
        <f ca="1">IFERROR(__xludf.DUMMYFUNCTION("""COMPUTED_VALUE"""),0)</f>
        <v>0</v>
      </c>
      <c r="BQ110" s="24">
        <f ca="1">IFERROR(__xludf.DUMMYFUNCTION("""COMPUTED_VALUE"""),0)</f>
        <v>0</v>
      </c>
      <c r="BR110" s="24">
        <f ca="1">IFERROR(__xludf.DUMMYFUNCTION("""COMPUTED_VALUE"""),0)</f>
        <v>0</v>
      </c>
      <c r="BS110" s="24">
        <f ca="1">IFERROR(__xludf.DUMMYFUNCTION("""COMPUTED_VALUE"""),0)</f>
        <v>0</v>
      </c>
      <c r="BT110" s="24">
        <f ca="1">IFERROR(__xludf.DUMMYFUNCTION("""COMPUTED_VALUE"""),0)</f>
        <v>0</v>
      </c>
      <c r="BU110" s="20"/>
      <c r="BV110" s="24">
        <f ca="1">IFERROR(__xludf.DUMMYFUNCTION("""COMPUTED_VALUE"""),0)</f>
        <v>0</v>
      </c>
      <c r="BW110" s="24">
        <f ca="1">IFERROR(__xludf.DUMMYFUNCTION("""COMPUTED_VALUE"""),0)</f>
        <v>0</v>
      </c>
      <c r="BX110" s="24">
        <f ca="1">IFERROR(__xludf.DUMMYFUNCTION("""COMPUTED_VALUE"""),0)</f>
        <v>0</v>
      </c>
      <c r="BY110" s="24">
        <f ca="1">IFERROR(__xludf.DUMMYFUNCTION("""COMPUTED_VALUE"""),0)</f>
        <v>0</v>
      </c>
      <c r="BZ110" s="24">
        <f ca="1">IFERROR(__xludf.DUMMYFUNCTION("""COMPUTED_VALUE"""),0)</f>
        <v>0</v>
      </c>
      <c r="CA110" s="20"/>
      <c r="CB110" s="20"/>
      <c r="CC110" s="20"/>
      <c r="CD110" s="20"/>
      <c r="CE110" s="20"/>
      <c r="CF110" s="20"/>
      <c r="CG110" s="20"/>
      <c r="CH110" s="20"/>
      <c r="CI110" s="20"/>
      <c r="CJ110" s="25">
        <f ca="1">IFERROR(__xludf.DUMMYFUNCTION("""COMPUTED_VALUE"""),43459)</f>
        <v>43459</v>
      </c>
      <c r="CK110" s="26">
        <f ca="1">IFERROR(__xludf.DUMMYFUNCTION("""COMPUTED_VALUE"""),43571)</f>
        <v>43571</v>
      </c>
      <c r="CL110" s="20" t="str">
        <f ca="1">IFERROR(__xludf.DUMMYFUNCTION("""COMPUTED_VALUE"""),"50-1-1-3-0298-19")</f>
        <v>50-1-1-3-0298-19</v>
      </c>
      <c r="CM110" s="26">
        <f ca="1">IFERROR(__xludf.DUMMYFUNCTION("""COMPUTED_VALUE"""),43986)</f>
        <v>43986</v>
      </c>
      <c r="CN110" s="20" t="str">
        <f ca="1">IFERROR(__xludf.DUMMYFUNCTION("""COMPUTED_VALUE"""),"0848300048320000060")</f>
        <v>0848300048320000060</v>
      </c>
      <c r="CO110" s="26">
        <f ca="1">IFERROR(__xludf.DUMMYFUNCTION("""COMPUTED_VALUE"""),44022)</f>
        <v>44022</v>
      </c>
      <c r="CP110" s="20" t="str">
        <f ca="1">IFERROR(__xludf.DUMMYFUNCTION("""COMPUTED_VALUE"""),"08483000483200000600001")</f>
        <v>08483000483200000600001</v>
      </c>
      <c r="CQ110" s="20">
        <f ca="1">IFERROR(__xludf.DUMMYFUNCTION("""COMPUTED_VALUE"""),24875579.18)</f>
        <v>24875579.18</v>
      </c>
      <c r="CR110" s="20" t="str">
        <f ca="1">IFERROR(__xludf.DUMMYFUNCTION("""COMPUTED_VALUE"""),"ООО ""БУРВОДСТРОЙ""")</f>
        <v>ООО "БУРВОДСТРОЙ"</v>
      </c>
      <c r="CS110" s="27" t="str">
        <f ca="1">IFERROR(__xludf.DUMMYFUNCTION("""COMPUTED_VALUE"""),"https://zakupki.gov.ru/epz/contract/contractCard/common-info.html?reestrNumber=3507272297420000060&amp;backUrl=cec6ef65-c734-4a1e-b446-9db4b150f345")</f>
        <v>https://zakupki.gov.ru/epz/contract/contractCard/common-info.html?reestrNumber=3507272297420000060&amp;backUrl=cec6ef65-c734-4a1e-b446-9db4b150f345</v>
      </c>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row>
    <row r="111" spans="1:123" ht="64.5" customHeight="1" x14ac:dyDescent="0.2">
      <c r="A111" s="19"/>
      <c r="B111" s="20" t="str">
        <f ca="1">IFERROR(__xludf.DUMMYFUNCTION("""COMPUTED_VALUE"""),"г.о. Можайск")</f>
        <v>г.о. Можайск</v>
      </c>
      <c r="C11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1" s="20" t="str">
        <f ca="1">IFERROR(__xludf.DUMMYFUNCTION("""COMPUTED_VALUE"""),"МинЖКХ")</f>
        <v>МинЖКХ</v>
      </c>
      <c r="E111" s="20" t="str">
        <f ca="1">IFERROR(__xludf.DUMMYFUNCTION("""COMPUTED_VALUE"""),"Реконструкция ВЗУ, расположенного по адресу: Московская область, Можайский район, п. Спутник  (в том числе ПИР)")</f>
        <v>Реконструкция ВЗУ, расположенного по адресу: Московская область, Можайский район, п. Спутник  (в том числе ПИР)</v>
      </c>
      <c r="F111" s="32" t="str">
        <f ca="1">IFERROR(__xludf.DUMMYFUNCTION("""COMPUTED_VALUE"""),"ВЗУ")</f>
        <v>ВЗУ</v>
      </c>
      <c r="G111" s="20">
        <f ca="1">IFERROR(__xludf.DUMMYFUNCTION("""COMPUTED_VALUE"""),2020)</f>
        <v>2020</v>
      </c>
      <c r="H111" s="20" t="str">
        <f ca="1">IFERROR(__xludf.DUMMYFUNCTION("""COMPUTED_VALUE"""),"СМР")</f>
        <v>СМР</v>
      </c>
      <c r="I111" s="23">
        <f ca="1">IFERROR(__xludf.DUMMYFUNCTION("""COMPUTED_VALUE"""),0.7)</f>
        <v>0.7</v>
      </c>
      <c r="J111" s="20" t="str">
        <f ca="1">IFERROR(__xludf.DUMMYFUNCTION("""COMPUTED_VALUE"""),"Работы ведутся (75%), 
10.12 окончание,
получение  РС до 01.12, работы ведутся параллельно, причина длительного получения РС - Корректировка лицензии (Лицензия была, но при сдаче в ЦентрНедра на получение РС выяснилось, что скважины не бьются с Кадастровы"&amp;"м планом на 100 метров.
В связи с этим - сейчас все документы на обновление сданы в ЦН и ЦН направили необходимые запросы в сопряженные организации для обновления лицензии, часть ответов для обновления получены, часть находится на подготовке)")</f>
        <v>Работы ведутся (75%), 
10.12 окончание,
получение  РС до 01.12, работы ведутся параллельно, причина длительного получения РС - Корректировка лицензии (Лицензия была, но при сдаче в ЦентрНедра на получение РС выяснилось, что скважины не бьются с Кадастровым планом на 100 метров.
В связи с этим - сейчас все документы на обновление сданы в ЦН и ЦН направили необходимые запросы в сопряженные организации для обновления лицензии, часть ответов для обновления получены, часть находится на подготовке)</v>
      </c>
      <c r="K111" s="20"/>
      <c r="L111" s="20"/>
      <c r="M111" s="20"/>
      <c r="N111" s="24">
        <f ca="1">IFERROR(__xludf.DUMMYFUNCTION("""COMPUTED_VALUE"""),30176.4)</f>
        <v>30176.400000000001</v>
      </c>
      <c r="O111" s="20"/>
      <c r="P111" s="24">
        <f ca="1">IFERROR(__xludf.DUMMYFUNCTION("""COMPUTED_VALUE"""),30176.4)</f>
        <v>30176.400000000001</v>
      </c>
      <c r="Q111" s="20"/>
      <c r="R111" s="20"/>
      <c r="S111" s="20"/>
      <c r="T111" s="20" t="str">
        <f ca="1">IFERROR(__xludf.DUMMYFUNCTION("""COMPUTED_VALUE"""),"Отсутствует РС. Не представлена дорожная карта по получению РС.")</f>
        <v>Отсутствует РС. Не представлена дорожная карта по получению РС.</v>
      </c>
      <c r="U111" s="24">
        <f ca="1">IFERROR(__xludf.DUMMYFUNCTION("""COMPUTED_VALUE"""),8537.47999999999)</f>
        <v>8537.4799999999905</v>
      </c>
      <c r="V111" s="24">
        <f ca="1">IFERROR(__xludf.DUMMYFUNCTION("""COMPUTED_VALUE"""),0)</f>
        <v>0</v>
      </c>
      <c r="W111" s="24">
        <f ca="1">IFERROR(__xludf.DUMMYFUNCTION("""COMPUTED_VALUE"""),639.599999999998)</f>
        <v>639.59999999999798</v>
      </c>
      <c r="X111" s="24">
        <f ca="1">IFERROR(__xludf.DUMMYFUNCTION("""COMPUTED_VALUE"""),0)</f>
        <v>0</v>
      </c>
      <c r="Y111" s="24">
        <f ca="1">IFERROR(__xludf.DUMMYFUNCTION("""COMPUTED_VALUE"""),7897.88)</f>
        <v>7897.88</v>
      </c>
      <c r="Z111" s="24">
        <f ca="1">IFERROR(__xludf.DUMMYFUNCTION("""COMPUTED_VALUE"""),0)</f>
        <v>0</v>
      </c>
      <c r="AA111" s="20" t="str">
        <f ca="1">IFERROR(__xludf.DUMMYFUNCTION("""COMPUTED_VALUE"""),"10 1 02 64090")</f>
        <v>10 1 02 64090</v>
      </c>
      <c r="AB111" s="20">
        <f ca="1">IFERROR(__xludf.DUMMYFUNCTION("""COMPUTED_VALUE"""),522)</f>
        <v>522</v>
      </c>
      <c r="AC111" s="20" t="str">
        <f ca="1">IFERROR(__xludf.DUMMYFUNCTION("""COMPUTED_VALUE"""),"Нет")</f>
        <v>Нет</v>
      </c>
      <c r="AD111" s="25">
        <f ca="1">IFERROR(__xludf.DUMMYFUNCTION("""COMPUTED_VALUE"""),44175)</f>
        <v>44175</v>
      </c>
      <c r="AE111" s="20" t="str">
        <f ca="1">IFERROR(__xludf.DUMMYFUNCTION("""COMPUTED_VALUE"""),"Отсутствует")</f>
        <v>Отсутствует</v>
      </c>
      <c r="AF111" s="24">
        <f ca="1">IFERROR(__xludf.DUMMYFUNCTION("""COMPUTED_VALUE"""),38713.88)</f>
        <v>38713.879999999997</v>
      </c>
      <c r="AG111" s="24">
        <f ca="1">IFERROR(__xludf.DUMMYFUNCTION("""COMPUTED_VALUE"""),0)</f>
        <v>0</v>
      </c>
      <c r="AH111" s="24">
        <f ca="1">IFERROR(__xludf.DUMMYFUNCTION("""COMPUTED_VALUE"""),30816)</f>
        <v>30816</v>
      </c>
      <c r="AI111" s="24">
        <f ca="1">IFERROR(__xludf.DUMMYFUNCTION("""COMPUTED_VALUE"""),0)</f>
        <v>0</v>
      </c>
      <c r="AJ111" s="24">
        <f ca="1">IFERROR(__xludf.DUMMYFUNCTION("""COMPUTED_VALUE"""),7897.88)</f>
        <v>7897.88</v>
      </c>
      <c r="AK111" s="24">
        <f ca="1">IFERROR(__xludf.DUMMYFUNCTION("""COMPUTED_VALUE"""),0)</f>
        <v>0</v>
      </c>
      <c r="AL111" s="24">
        <f ca="1">IFERROR(__xludf.DUMMYFUNCTION("""COMPUTED_VALUE"""),0)</f>
        <v>0</v>
      </c>
      <c r="AM111" s="20"/>
      <c r="AN111" s="20"/>
      <c r="AO111" s="20"/>
      <c r="AP111" s="20"/>
      <c r="AQ111" s="20"/>
      <c r="AR111" s="24">
        <f ca="1">IFERROR(__xludf.DUMMYFUNCTION("""COMPUTED_VALUE"""),0)</f>
        <v>0</v>
      </c>
      <c r="AS111" s="20"/>
      <c r="AT111" s="20"/>
      <c r="AU111" s="20"/>
      <c r="AV111" s="20"/>
      <c r="AW111" s="20"/>
      <c r="AX111" s="24">
        <f ca="1">IFERROR(__xludf.DUMMYFUNCTION("""COMPUTED_VALUE"""),38713.88)</f>
        <v>38713.879999999997</v>
      </c>
      <c r="AY111" s="24">
        <f ca="1">IFERROR(__xludf.DUMMYFUNCTION("""COMPUTED_VALUE"""),0)</f>
        <v>0</v>
      </c>
      <c r="AZ111" s="24">
        <f ca="1">IFERROR(__xludf.DUMMYFUNCTION("""COMPUTED_VALUE"""),30816)</f>
        <v>30816</v>
      </c>
      <c r="BA111" s="24">
        <f ca="1">IFERROR(__xludf.DUMMYFUNCTION("""COMPUTED_VALUE"""),0)</f>
        <v>0</v>
      </c>
      <c r="BB111" s="24">
        <f ca="1">IFERROR(__xludf.DUMMYFUNCTION("""COMPUTED_VALUE"""),7897.88)</f>
        <v>7897.88</v>
      </c>
      <c r="BC111" s="20"/>
      <c r="BD111" s="24">
        <f ca="1">IFERROR(__xludf.DUMMYFUNCTION("""COMPUTED_VALUE"""),0)</f>
        <v>0</v>
      </c>
      <c r="BE111" s="24">
        <f ca="1">IFERROR(__xludf.DUMMYFUNCTION("""COMPUTED_VALUE"""),0)</f>
        <v>0</v>
      </c>
      <c r="BF111" s="24">
        <f ca="1">IFERROR(__xludf.DUMMYFUNCTION("""COMPUTED_VALUE"""),0)</f>
        <v>0</v>
      </c>
      <c r="BG111" s="24">
        <f ca="1">IFERROR(__xludf.DUMMYFUNCTION("""COMPUTED_VALUE"""),0)</f>
        <v>0</v>
      </c>
      <c r="BH111" s="24">
        <f ca="1">IFERROR(__xludf.DUMMYFUNCTION("""COMPUTED_VALUE"""),0)</f>
        <v>0</v>
      </c>
      <c r="BI111" s="20"/>
      <c r="BJ111" s="24">
        <f ca="1">IFERROR(__xludf.DUMMYFUNCTION("""COMPUTED_VALUE"""),0)</f>
        <v>0</v>
      </c>
      <c r="BK111" s="24">
        <f ca="1">IFERROR(__xludf.DUMMYFUNCTION("""COMPUTED_VALUE"""),0)</f>
        <v>0</v>
      </c>
      <c r="BL111" s="24">
        <f ca="1">IFERROR(__xludf.DUMMYFUNCTION("""COMPUTED_VALUE"""),0)</f>
        <v>0</v>
      </c>
      <c r="BM111" s="24">
        <f ca="1">IFERROR(__xludf.DUMMYFUNCTION("""COMPUTED_VALUE"""),0)</f>
        <v>0</v>
      </c>
      <c r="BN111" s="24">
        <f ca="1">IFERROR(__xludf.DUMMYFUNCTION("""COMPUTED_VALUE"""),0)</f>
        <v>0</v>
      </c>
      <c r="BO111" s="20"/>
      <c r="BP111" s="24">
        <f ca="1">IFERROR(__xludf.DUMMYFUNCTION("""COMPUTED_VALUE"""),0)</f>
        <v>0</v>
      </c>
      <c r="BQ111" s="24">
        <f ca="1">IFERROR(__xludf.DUMMYFUNCTION("""COMPUTED_VALUE"""),0)</f>
        <v>0</v>
      </c>
      <c r="BR111" s="24">
        <f ca="1">IFERROR(__xludf.DUMMYFUNCTION("""COMPUTED_VALUE"""),0)</f>
        <v>0</v>
      </c>
      <c r="BS111" s="24">
        <f ca="1">IFERROR(__xludf.DUMMYFUNCTION("""COMPUTED_VALUE"""),0)</f>
        <v>0</v>
      </c>
      <c r="BT111" s="24">
        <f ca="1">IFERROR(__xludf.DUMMYFUNCTION("""COMPUTED_VALUE"""),0)</f>
        <v>0</v>
      </c>
      <c r="BU111" s="20"/>
      <c r="BV111" s="24">
        <f ca="1">IFERROR(__xludf.DUMMYFUNCTION("""COMPUTED_VALUE"""),0)</f>
        <v>0</v>
      </c>
      <c r="BW111" s="24">
        <f ca="1">IFERROR(__xludf.DUMMYFUNCTION("""COMPUTED_VALUE"""),0)</f>
        <v>0</v>
      </c>
      <c r="BX111" s="24">
        <f ca="1">IFERROR(__xludf.DUMMYFUNCTION("""COMPUTED_VALUE"""),0)</f>
        <v>0</v>
      </c>
      <c r="BY111" s="24">
        <f ca="1">IFERROR(__xludf.DUMMYFUNCTION("""COMPUTED_VALUE"""),0)</f>
        <v>0</v>
      </c>
      <c r="BZ111" s="24">
        <f ca="1">IFERROR(__xludf.DUMMYFUNCTION("""COMPUTED_VALUE"""),0)</f>
        <v>0</v>
      </c>
      <c r="CA111" s="20"/>
      <c r="CB111" s="20"/>
      <c r="CC111" s="20"/>
      <c r="CD111" s="20"/>
      <c r="CE111" s="20"/>
      <c r="CF111" s="20"/>
      <c r="CG111" s="20"/>
      <c r="CH111" s="20"/>
      <c r="CI111" s="20"/>
      <c r="CJ111" s="20"/>
      <c r="CK111" s="20"/>
      <c r="CL111" s="20"/>
      <c r="CM111" s="26">
        <f ca="1">IFERROR(__xludf.DUMMYFUNCTION("""COMPUTED_VALUE"""),43889)</f>
        <v>43889</v>
      </c>
      <c r="CN111" s="20" t="str">
        <f ca="1">IFERROR(__xludf.DUMMYFUNCTION("""COMPUTED_VALUE"""),"0848300046120000056")</f>
        <v>0848300046120000056</v>
      </c>
      <c r="CO111" s="26">
        <f ca="1">IFERROR(__xludf.DUMMYFUNCTION("""COMPUTED_VALUE"""),43913)</f>
        <v>43913</v>
      </c>
      <c r="CP111" s="20" t="str">
        <f ca="1">IFERROR(__xludf.DUMMYFUNCTION("""COMPUTED_VALUE"""),"0848300046120000056")</f>
        <v>0848300046120000056</v>
      </c>
      <c r="CQ111" s="20">
        <f ca="1">IFERROR(__xludf.DUMMYFUNCTION("""COMPUTED_VALUE"""),37910378)</f>
        <v>37910378</v>
      </c>
      <c r="CR111" s="20" t="str">
        <f ca="1">IFERROR(__xludf.DUMMYFUNCTION("""COMPUTED_VALUE"""),"АО ФПЛК")</f>
        <v>АО ФПЛК</v>
      </c>
      <c r="CS111" s="27" t="str">
        <f ca="1">IFERROR(__xludf.DUMMYFUNCTION("""COMPUTED_VALUE"""),"https://zakupki.gov.ru/epz/contract/contractCard/common-info.html?reestrNumber=3502800396320000031&amp;backUrl=6e133243-3c55-4050-a0a6-733aed174db5")</f>
        <v>https://zakupki.gov.ru/epz/contract/contractCard/common-info.html?reestrNumber=3502800396320000031&amp;backUrl=6e133243-3c55-4050-a0a6-733aed174db5</v>
      </c>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row>
    <row r="112" spans="1:123" ht="64.5" customHeight="1" x14ac:dyDescent="0.2">
      <c r="A112" s="19"/>
      <c r="B112" s="20" t="str">
        <f ca="1">IFERROR(__xludf.DUMMYFUNCTION("""COMPUTED_VALUE"""),"г.о. Воскресенск")</f>
        <v>г.о. Воскресенск</v>
      </c>
      <c r="C11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2" s="20" t="str">
        <f ca="1">IFERROR(__xludf.DUMMYFUNCTION("""COMPUTED_VALUE"""),"МинЖКХ")</f>
        <v>МинЖКХ</v>
      </c>
      <c r="E112" s="20"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 (в том числе ПИР)")</f>
        <v>Реконструкция ВЗУ Степанщино Воскресенский м.р., с устройством РЧВ 500 м. куб. и установкой станции обезжелезования; бурение доп. артскважин (в том числе ПИР)</v>
      </c>
      <c r="F112" s="32" t="str">
        <f ca="1">IFERROR(__xludf.DUMMYFUNCTION("""COMPUTED_VALUE"""),"ВЗУ")</f>
        <v>ВЗУ</v>
      </c>
      <c r="G112" s="20">
        <f ca="1">IFERROR(__xludf.DUMMYFUNCTION("""COMPUTED_VALUE"""),2020)</f>
        <v>2020</v>
      </c>
      <c r="H112" s="20" t="str">
        <f ca="1">IFERROR(__xludf.DUMMYFUNCTION("""COMPUTED_VALUE"""),"СМР")</f>
        <v>СМР</v>
      </c>
      <c r="I112" s="23">
        <f ca="1">IFERROR(__xludf.DUMMYFUNCTION("""COMPUTED_VALUE"""),0.8)</f>
        <v>0.8</v>
      </c>
      <c r="J112" s="20" t="str">
        <f ca="1">IFERROR(__xludf.DUMMYFUNCTION("""COMPUTED_VALUE"""),"Земельный поставлен на кадастровый учет.
Документация находится в МОГЭ. Выход из МОГЭ в 2021 году.")</f>
        <v>Земельный поставлен на кадастровый учет.
Документация находится в МОГЭ. Выход из МОГЭ в 2021 году.</v>
      </c>
      <c r="K112" s="20">
        <f ca="1">IFERROR(__xludf.DUMMYFUNCTION("""COMPUTED_VALUE"""),587)</f>
        <v>587</v>
      </c>
      <c r="L112" s="20">
        <f ca="1">IFERROR(__xludf.DUMMYFUNCTION("""COMPUTED_VALUE"""),587)</f>
        <v>587</v>
      </c>
      <c r="M112" s="20"/>
      <c r="N112" s="24">
        <f ca="1">IFERROR(__xludf.DUMMYFUNCTION("""COMPUTED_VALUE"""),0)</f>
        <v>0</v>
      </c>
      <c r="O112" s="20"/>
      <c r="P112" s="20"/>
      <c r="Q112" s="20"/>
      <c r="R112" s="20"/>
      <c r="S112" s="20"/>
      <c r="T112" s="20" t="str">
        <f ca="1">IFERROR(__xludf.DUMMYFUNCTION("""COMPUTED_VALUE"""),"Нарушен срок получения положительного заключения государственной экспертизы.")</f>
        <v>Нарушен срок получения положительного заключения государственной экспертизы.</v>
      </c>
      <c r="U112" s="24">
        <f ca="1">IFERROR(__xludf.DUMMYFUNCTION("""COMPUTED_VALUE"""),10226.45)</f>
        <v>10226.450000000001</v>
      </c>
      <c r="V112" s="24">
        <f ca="1">IFERROR(__xludf.DUMMYFUNCTION("""COMPUTED_VALUE"""),0)</f>
        <v>0</v>
      </c>
      <c r="W112" s="24">
        <f ca="1">IFERROR(__xludf.DUMMYFUNCTION("""COMPUTED_VALUE"""),9715)</f>
        <v>9715</v>
      </c>
      <c r="X112" s="24">
        <f ca="1">IFERROR(__xludf.DUMMYFUNCTION("""COMPUTED_VALUE"""),0)</f>
        <v>0</v>
      </c>
      <c r="Y112" s="24">
        <f ca="1">IFERROR(__xludf.DUMMYFUNCTION("""COMPUTED_VALUE"""),511.45)</f>
        <v>511.45</v>
      </c>
      <c r="Z112" s="24">
        <f ca="1">IFERROR(__xludf.DUMMYFUNCTION("""COMPUTED_VALUE"""),0)</f>
        <v>0</v>
      </c>
      <c r="AA112" s="20" t="str">
        <f ca="1">IFERROR(__xludf.DUMMYFUNCTION("""COMPUTED_VALUE"""),"10 1 02 64090")</f>
        <v>10 1 02 64090</v>
      </c>
      <c r="AB112" s="20">
        <f ca="1">IFERROR(__xludf.DUMMYFUNCTION("""COMPUTED_VALUE"""),522)</f>
        <v>522</v>
      </c>
      <c r="AC112" s="20" t="str">
        <f ca="1">IFERROR(__xludf.DUMMYFUNCTION("""COMPUTED_VALUE"""),"Не требуется")</f>
        <v>Не требуется</v>
      </c>
      <c r="AD112" s="20" t="str">
        <f ca="1">IFERROR(__xludf.DUMMYFUNCTION("""COMPUTED_VALUE"""),"-")</f>
        <v>-</v>
      </c>
      <c r="AE112" s="20" t="str">
        <f ca="1">IFERROR(__xludf.DUMMYFUNCTION("""COMPUTED_VALUE"""),"-")</f>
        <v>-</v>
      </c>
      <c r="AF112" s="24">
        <f ca="1">IFERROR(__xludf.DUMMYFUNCTION("""COMPUTED_VALUE"""),135578.18)</f>
        <v>135578.18</v>
      </c>
      <c r="AG112" s="24">
        <f ca="1">IFERROR(__xludf.DUMMYFUNCTION("""COMPUTED_VALUE"""),89313.11)</f>
        <v>89313.11</v>
      </c>
      <c r="AH112" s="24">
        <f ca="1">IFERROR(__xludf.DUMMYFUNCTION("""COMPUTED_VALUE"""),39486.03)</f>
        <v>39486.03</v>
      </c>
      <c r="AI112" s="24">
        <f ca="1">IFERROR(__xludf.DUMMYFUNCTION("""COMPUTED_VALUE"""),0)</f>
        <v>0</v>
      </c>
      <c r="AJ112" s="24">
        <f ca="1">IFERROR(__xludf.DUMMYFUNCTION("""COMPUTED_VALUE"""),6779.03999999999)</f>
        <v>6779.03999999999</v>
      </c>
      <c r="AK112" s="24">
        <f ca="1">IFERROR(__xludf.DUMMYFUNCTION("""COMPUTED_VALUE"""),0)</f>
        <v>0</v>
      </c>
      <c r="AL112" s="24">
        <f ca="1">IFERROR(__xludf.DUMMYFUNCTION("""COMPUTED_VALUE"""),0)</f>
        <v>0</v>
      </c>
      <c r="AM112" s="20"/>
      <c r="AN112" s="20"/>
      <c r="AO112" s="20"/>
      <c r="AP112" s="20"/>
      <c r="AQ112" s="20"/>
      <c r="AR112" s="24">
        <f ca="1">IFERROR(__xludf.DUMMYFUNCTION("""COMPUTED_VALUE"""),0)</f>
        <v>0</v>
      </c>
      <c r="AS112" s="20"/>
      <c r="AT112" s="20"/>
      <c r="AU112" s="20"/>
      <c r="AV112" s="20"/>
      <c r="AW112" s="20"/>
      <c r="AX112" s="24">
        <f ca="1">IFERROR(__xludf.DUMMYFUNCTION("""COMPUTED_VALUE"""),10226.45)</f>
        <v>10226.450000000001</v>
      </c>
      <c r="AY112" s="24">
        <f ca="1">IFERROR(__xludf.DUMMYFUNCTION("""COMPUTED_VALUE"""),0)</f>
        <v>0</v>
      </c>
      <c r="AZ112" s="24">
        <f ca="1">IFERROR(__xludf.DUMMYFUNCTION("""COMPUTED_VALUE"""),9715)</f>
        <v>9715</v>
      </c>
      <c r="BA112" s="24">
        <f ca="1">IFERROR(__xludf.DUMMYFUNCTION("""COMPUTED_VALUE"""),0)</f>
        <v>0</v>
      </c>
      <c r="BB112" s="24">
        <f ca="1">IFERROR(__xludf.DUMMYFUNCTION("""COMPUTED_VALUE"""),511.45)</f>
        <v>511.45</v>
      </c>
      <c r="BC112" s="20"/>
      <c r="BD112" s="24">
        <f ca="1">IFERROR(__xludf.DUMMYFUNCTION("""COMPUTED_VALUE"""),0)</f>
        <v>0</v>
      </c>
      <c r="BE112" s="24">
        <f ca="1">IFERROR(__xludf.DUMMYFUNCTION("""COMPUTED_VALUE"""),0)</f>
        <v>0</v>
      </c>
      <c r="BF112" s="24">
        <f ca="1">IFERROR(__xludf.DUMMYFUNCTION("""COMPUTED_VALUE"""),0)</f>
        <v>0</v>
      </c>
      <c r="BG112" s="24">
        <f ca="1">IFERROR(__xludf.DUMMYFUNCTION("""COMPUTED_VALUE"""),0)</f>
        <v>0</v>
      </c>
      <c r="BH112" s="24">
        <f ca="1">IFERROR(__xludf.DUMMYFUNCTION("""COMPUTED_VALUE"""),0)</f>
        <v>0</v>
      </c>
      <c r="BI112" s="20"/>
      <c r="BJ112" s="24">
        <f ca="1">IFERROR(__xludf.DUMMYFUNCTION("""COMPUTED_VALUE"""),71408.48)</f>
        <v>71408.479999999996</v>
      </c>
      <c r="BK112" s="24">
        <f ca="1">IFERROR(__xludf.DUMMYFUNCTION("""COMPUTED_VALUE"""),50878.54)</f>
        <v>50878.54</v>
      </c>
      <c r="BL112" s="24">
        <f ca="1">IFERROR(__xludf.DUMMYFUNCTION("""COMPUTED_VALUE"""),16959.51)</f>
        <v>16959.509999999998</v>
      </c>
      <c r="BM112" s="24">
        <f ca="1">IFERROR(__xludf.DUMMYFUNCTION("""COMPUTED_VALUE"""),0)</f>
        <v>0</v>
      </c>
      <c r="BN112" s="24">
        <f ca="1">IFERROR(__xludf.DUMMYFUNCTION("""COMPUTED_VALUE"""),3570.43)</f>
        <v>3570.43</v>
      </c>
      <c r="BO112" s="20"/>
      <c r="BP112" s="24">
        <f ca="1">IFERROR(__xludf.DUMMYFUNCTION("""COMPUTED_VALUE"""),53943.25)</f>
        <v>53943.25</v>
      </c>
      <c r="BQ112" s="24">
        <f ca="1">IFERROR(__xludf.DUMMYFUNCTION("""COMPUTED_VALUE"""),38434.57)</f>
        <v>38434.57</v>
      </c>
      <c r="BR112" s="24">
        <f ca="1">IFERROR(__xludf.DUMMYFUNCTION("""COMPUTED_VALUE"""),12811.52)</f>
        <v>12811.52</v>
      </c>
      <c r="BS112" s="24">
        <f ca="1">IFERROR(__xludf.DUMMYFUNCTION("""COMPUTED_VALUE"""),0)</f>
        <v>0</v>
      </c>
      <c r="BT112" s="24">
        <f ca="1">IFERROR(__xludf.DUMMYFUNCTION("""COMPUTED_VALUE"""),2697.16)</f>
        <v>2697.16</v>
      </c>
      <c r="BU112" s="20"/>
      <c r="BV112" s="24">
        <f ca="1">IFERROR(__xludf.DUMMYFUNCTION("""COMPUTED_VALUE"""),0)</f>
        <v>0</v>
      </c>
      <c r="BW112" s="24">
        <f ca="1">IFERROR(__xludf.DUMMYFUNCTION("""COMPUTED_VALUE"""),0)</f>
        <v>0</v>
      </c>
      <c r="BX112" s="24">
        <f ca="1">IFERROR(__xludf.DUMMYFUNCTION("""COMPUTED_VALUE"""),0)</f>
        <v>0</v>
      </c>
      <c r="BY112" s="24">
        <f ca="1">IFERROR(__xludf.DUMMYFUNCTION("""COMPUTED_VALUE"""),0)</f>
        <v>0</v>
      </c>
      <c r="BZ112" s="24">
        <f ca="1">IFERROR(__xludf.DUMMYFUNCTION("""COMPUTED_VALUE"""),0)</f>
        <v>0</v>
      </c>
      <c r="CA112" s="20"/>
      <c r="CB112" s="20"/>
      <c r="CC112" s="20"/>
      <c r="CD112" s="20"/>
      <c r="CE112" s="20"/>
      <c r="CF112" s="20"/>
      <c r="CG112" s="20"/>
      <c r="CH112" s="20"/>
      <c r="CI112" s="20"/>
      <c r="CJ112" s="20"/>
      <c r="CK112" s="20"/>
      <c r="CL112" s="20"/>
      <c r="CM112" s="26">
        <f ca="1">IFERROR(__xludf.DUMMYFUNCTION("""COMPUTED_VALUE"""),43944)</f>
        <v>43944</v>
      </c>
      <c r="CN112" s="20" t="str">
        <f ca="1">IFERROR(__xludf.DUMMYFUNCTION("""COMPUTED_VALUE"""),"0848600006820000122")</f>
        <v>0848600006820000122</v>
      </c>
      <c r="CO112" s="26">
        <f ca="1">IFERROR(__xludf.DUMMYFUNCTION("""COMPUTED_VALUE"""),44047)</f>
        <v>44047</v>
      </c>
      <c r="CP112" s="20" t="str">
        <f ca="1">IFERROR(__xludf.DUMMYFUNCTION("""COMPUTED_VALUE"""),"Ф.2020.122")</f>
        <v>Ф.2020.122</v>
      </c>
      <c r="CQ112" s="20">
        <f ca="1">IFERROR(__xludf.DUMMYFUNCTION("""COMPUTED_VALUE"""),8500000)</f>
        <v>8500000</v>
      </c>
      <c r="CR112" s="20" t="str">
        <f ca="1">IFERROR(__xludf.DUMMYFUNCTION("""COMPUTED_VALUE"""),"ОБЩЕСТВО С ОГРАНИЧЕННОЙ ОТВЕТСТВЕННОСТЬЮ ""БЕРЕГ""")</f>
        <v>ОБЩЕСТВО С ОГРАНИЧЕННОЙ ОТВЕТСТВЕННОСТЬЮ "БЕРЕГ"</v>
      </c>
      <c r="CS112" s="27" t="str">
        <f ca="1">IFERROR(__xludf.DUMMYFUNCTION("""COMPUTED_VALUE"""),"https://zakupki.gov.ru/epz/contract/contractCard/common-info.html?reestrNumber=3500505657420000016&amp;backUrl=785cd4b9-a016-491a-91db-9d55bcf9721f")</f>
        <v>https://zakupki.gov.ru/epz/contract/contractCard/common-info.html?reestrNumber=3500505657420000016&amp;backUrl=785cd4b9-a016-491a-91db-9d55bcf9721f</v>
      </c>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row>
    <row r="113" spans="1:123" ht="64.5" hidden="1" customHeight="1" x14ac:dyDescent="0.2">
      <c r="A113" s="19"/>
      <c r="B113" s="20" t="str">
        <f ca="1">IFERROR(__xludf.DUMMYFUNCTION("""COMPUTED_VALUE"""),"г.о. Серпухов")</f>
        <v>г.о. Серпухов</v>
      </c>
      <c r="C11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3" s="20" t="str">
        <f ca="1">IFERROR(__xludf.DUMMYFUNCTION("""COMPUTED_VALUE"""),"МинЖКХ")</f>
        <v>МинЖКХ</v>
      </c>
      <c r="E113" s="20" t="str">
        <f ca="1">IFERROR(__xludf.DUMMYFUNCTION("""COMPUTED_VALUE"""),"Строительство ВЗУ в  д. Глазово, Серпуховский м.р. (в том числе ПИР)")</f>
        <v>Строительство ВЗУ в  д. Глазово, Серпуховский м.р. (в том числе ПИР)</v>
      </c>
      <c r="F113" s="32" t="str">
        <f ca="1">IFERROR(__xludf.DUMMYFUNCTION("""COMPUTED_VALUE"""),"ВЗУ")</f>
        <v>ВЗУ</v>
      </c>
      <c r="G113" s="20">
        <f ca="1">IFERROR(__xludf.DUMMYFUNCTION("""COMPUTED_VALUE"""),2022)</f>
        <v>2022</v>
      </c>
      <c r="H113" s="20" t="str">
        <f ca="1">IFERROR(__xludf.DUMMYFUNCTION("""COMPUTED_VALUE"""),"СМР")</f>
        <v>СМР</v>
      </c>
      <c r="I113" s="23">
        <f ca="1">IFERROR(__xludf.DUMMYFUNCTION("""COMPUTED_VALUE"""),0)</f>
        <v>0</v>
      </c>
      <c r="J113" s="20" t="str">
        <f ca="1">IFERROR(__xludf.DUMMYFUNCTION("""COMPUTED_VALUE"""),"Контракт на ПИР не заключен.")</f>
        <v>Контракт на ПИР не заключен.</v>
      </c>
      <c r="K113" s="20"/>
      <c r="L113" s="20"/>
      <c r="M113" s="20"/>
      <c r="N113" s="24">
        <f ca="1">IFERROR(__xludf.DUMMYFUNCTION("""COMPUTED_VALUE"""),0)</f>
        <v>0</v>
      </c>
      <c r="O113" s="20"/>
      <c r="P113" s="20"/>
      <c r="Q113" s="20"/>
      <c r="R113" s="20"/>
      <c r="S113" s="20"/>
      <c r="T113" s="20"/>
      <c r="U113" s="24">
        <f ca="1">IFERROR(__xludf.DUMMYFUNCTION("""COMPUTED_VALUE"""),0)</f>
        <v>0</v>
      </c>
      <c r="V113" s="24">
        <f ca="1">IFERROR(__xludf.DUMMYFUNCTION("""COMPUTED_VALUE"""),0)</f>
        <v>0</v>
      </c>
      <c r="W113" s="24">
        <f ca="1">IFERROR(__xludf.DUMMYFUNCTION("""COMPUTED_VALUE"""),0)</f>
        <v>0</v>
      </c>
      <c r="X113" s="24">
        <f ca="1">IFERROR(__xludf.DUMMYFUNCTION("""COMPUTED_VALUE"""),0)</f>
        <v>0</v>
      </c>
      <c r="Y113" s="24">
        <f ca="1">IFERROR(__xludf.DUMMYFUNCTION("""COMPUTED_VALUE"""),0)</f>
        <v>0</v>
      </c>
      <c r="Z113" s="24">
        <f ca="1">IFERROR(__xludf.DUMMYFUNCTION("""COMPUTED_VALUE"""),0)</f>
        <v>0</v>
      </c>
      <c r="AA113" s="20" t="str">
        <f ca="1">IFERROR(__xludf.DUMMYFUNCTION("""COMPUTED_VALUE"""),"10 1 02 64090")</f>
        <v>10 1 02 64090</v>
      </c>
      <c r="AB113" s="20">
        <f ca="1">IFERROR(__xludf.DUMMYFUNCTION("""COMPUTED_VALUE"""),522)</f>
        <v>522</v>
      </c>
      <c r="AC113" s="20" t="str">
        <f ca="1">IFERROR(__xludf.DUMMYFUNCTION("""COMPUTED_VALUE"""),"Нет")</f>
        <v>Нет</v>
      </c>
      <c r="AD113" s="20" t="str">
        <f ca="1">IFERROR(__xludf.DUMMYFUNCTION("""COMPUTED_VALUE"""),"После заключения контракта на СМР")</f>
        <v>После заключения контракта на СМР</v>
      </c>
      <c r="AE113" s="20" t="str">
        <f ca="1">IFERROR(__xludf.DUMMYFUNCTION("""COMPUTED_VALUE"""),"Отсутствует")</f>
        <v>Отсутствует</v>
      </c>
      <c r="AF113" s="24">
        <f ca="1">IFERROR(__xludf.DUMMYFUNCTION("""COMPUTED_VALUE"""),14534.24)</f>
        <v>14534.24</v>
      </c>
      <c r="AG113" s="24">
        <f ca="1">IFERROR(__xludf.DUMMYFUNCTION("""COMPUTED_VALUE"""),0)</f>
        <v>0</v>
      </c>
      <c r="AH113" s="24">
        <f ca="1">IFERROR(__xludf.DUMMYFUNCTION("""COMPUTED_VALUE"""),12122)</f>
        <v>12122</v>
      </c>
      <c r="AI113" s="24">
        <f ca="1">IFERROR(__xludf.DUMMYFUNCTION("""COMPUTED_VALUE"""),0)</f>
        <v>0</v>
      </c>
      <c r="AJ113" s="24">
        <f ca="1">IFERROR(__xludf.DUMMYFUNCTION("""COMPUTED_VALUE"""),2412.24)</f>
        <v>2412.2399999999998</v>
      </c>
      <c r="AK113" s="24">
        <f ca="1">IFERROR(__xludf.DUMMYFUNCTION("""COMPUTED_VALUE"""),0)</f>
        <v>0</v>
      </c>
      <c r="AL113" s="24">
        <f ca="1">IFERROR(__xludf.DUMMYFUNCTION("""COMPUTED_VALUE"""),0)</f>
        <v>0</v>
      </c>
      <c r="AM113" s="20"/>
      <c r="AN113" s="20"/>
      <c r="AO113" s="20"/>
      <c r="AP113" s="20"/>
      <c r="AQ113" s="20"/>
      <c r="AR113" s="24">
        <f ca="1">IFERROR(__xludf.DUMMYFUNCTION("""COMPUTED_VALUE"""),0)</f>
        <v>0</v>
      </c>
      <c r="AS113" s="20"/>
      <c r="AT113" s="20"/>
      <c r="AU113" s="20"/>
      <c r="AV113" s="20"/>
      <c r="AW113" s="20"/>
      <c r="AX113" s="24">
        <f ca="1">IFERROR(__xludf.DUMMYFUNCTION("""COMPUTED_VALUE"""),0)</f>
        <v>0</v>
      </c>
      <c r="AY113" s="24">
        <f ca="1">IFERROR(__xludf.DUMMYFUNCTION("""COMPUTED_VALUE"""),0)</f>
        <v>0</v>
      </c>
      <c r="AZ113" s="24">
        <f ca="1">IFERROR(__xludf.DUMMYFUNCTION("""COMPUTED_VALUE"""),0)</f>
        <v>0</v>
      </c>
      <c r="BA113" s="24">
        <f ca="1">IFERROR(__xludf.DUMMYFUNCTION("""COMPUTED_VALUE"""),0)</f>
        <v>0</v>
      </c>
      <c r="BB113" s="24">
        <f ca="1">IFERROR(__xludf.DUMMYFUNCTION("""COMPUTED_VALUE"""),0)</f>
        <v>0</v>
      </c>
      <c r="BC113" s="20"/>
      <c r="BD113" s="24">
        <f ca="1">IFERROR(__xludf.DUMMYFUNCTION("""COMPUTED_VALUE"""),0)</f>
        <v>0</v>
      </c>
      <c r="BE113" s="24">
        <f ca="1">IFERROR(__xludf.DUMMYFUNCTION("""COMPUTED_VALUE"""),0)</f>
        <v>0</v>
      </c>
      <c r="BF113" s="24">
        <f ca="1">IFERROR(__xludf.DUMMYFUNCTION("""COMPUTED_VALUE"""),0)</f>
        <v>0</v>
      </c>
      <c r="BG113" s="24">
        <f ca="1">IFERROR(__xludf.DUMMYFUNCTION("""COMPUTED_VALUE"""),0)</f>
        <v>0</v>
      </c>
      <c r="BH113" s="24">
        <f ca="1">IFERROR(__xludf.DUMMYFUNCTION("""COMPUTED_VALUE"""),0)</f>
        <v>0</v>
      </c>
      <c r="BI113" s="20"/>
      <c r="BJ113" s="24">
        <f ca="1">IFERROR(__xludf.DUMMYFUNCTION("""COMPUTED_VALUE"""),14534.24)</f>
        <v>14534.24</v>
      </c>
      <c r="BK113" s="24">
        <f ca="1">IFERROR(__xludf.DUMMYFUNCTION("""COMPUTED_VALUE"""),0)</f>
        <v>0</v>
      </c>
      <c r="BL113" s="24">
        <f ca="1">IFERROR(__xludf.DUMMYFUNCTION("""COMPUTED_VALUE"""),12122)</f>
        <v>12122</v>
      </c>
      <c r="BM113" s="24">
        <f ca="1">IFERROR(__xludf.DUMMYFUNCTION("""COMPUTED_VALUE"""),0)</f>
        <v>0</v>
      </c>
      <c r="BN113" s="24">
        <f ca="1">IFERROR(__xludf.DUMMYFUNCTION("""COMPUTED_VALUE"""),2412.24)</f>
        <v>2412.2399999999998</v>
      </c>
      <c r="BO113" s="20"/>
      <c r="BP113" s="24">
        <f ca="1">IFERROR(__xludf.DUMMYFUNCTION("""COMPUTED_VALUE"""),0)</f>
        <v>0</v>
      </c>
      <c r="BQ113" s="24">
        <f ca="1">IFERROR(__xludf.DUMMYFUNCTION("""COMPUTED_VALUE"""),0)</f>
        <v>0</v>
      </c>
      <c r="BR113" s="24">
        <f ca="1">IFERROR(__xludf.DUMMYFUNCTION("""COMPUTED_VALUE"""),0)</f>
        <v>0</v>
      </c>
      <c r="BS113" s="24">
        <f ca="1">IFERROR(__xludf.DUMMYFUNCTION("""COMPUTED_VALUE"""),0)</f>
        <v>0</v>
      </c>
      <c r="BT113" s="24">
        <f ca="1">IFERROR(__xludf.DUMMYFUNCTION("""COMPUTED_VALUE"""),0)</f>
        <v>0</v>
      </c>
      <c r="BU113" s="20"/>
      <c r="BV113" s="24">
        <f ca="1">IFERROR(__xludf.DUMMYFUNCTION("""COMPUTED_VALUE"""),0)</f>
        <v>0</v>
      </c>
      <c r="BW113" s="24">
        <f ca="1">IFERROR(__xludf.DUMMYFUNCTION("""COMPUTED_VALUE"""),0)</f>
        <v>0</v>
      </c>
      <c r="BX113" s="24">
        <f ca="1">IFERROR(__xludf.DUMMYFUNCTION("""COMPUTED_VALUE"""),0)</f>
        <v>0</v>
      </c>
      <c r="BY113" s="24">
        <f ca="1">IFERROR(__xludf.DUMMYFUNCTION("""COMPUTED_VALUE"""),0)</f>
        <v>0</v>
      </c>
      <c r="BZ113" s="24">
        <f ca="1">IFERROR(__xludf.DUMMYFUNCTION("""COMPUTED_VALUE"""),0)</f>
        <v>0</v>
      </c>
      <c r="CA113" s="20"/>
      <c r="CB113" s="20"/>
      <c r="CC113" s="20"/>
      <c r="CD113" s="20"/>
      <c r="CE113" s="20"/>
      <c r="CF113" s="20"/>
      <c r="CG113" s="20"/>
      <c r="CH113" s="20"/>
      <c r="CI113" s="20"/>
      <c r="CJ113" s="20"/>
      <c r="CK113" s="20"/>
      <c r="CL113" s="20"/>
      <c r="CM113" s="20"/>
      <c r="CN113" s="20"/>
      <c r="CO113" s="20"/>
      <c r="CP113" s="20"/>
      <c r="CQ113" s="20"/>
      <c r="CR113" s="20"/>
      <c r="CS113" s="20"/>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row>
    <row r="114" spans="1:123" ht="64.5" hidden="1" customHeight="1" x14ac:dyDescent="0.2">
      <c r="A114" s="19"/>
      <c r="B114" s="20" t="str">
        <f ca="1">IFERROR(__xludf.DUMMYFUNCTION("""COMPUTED_VALUE"""),"г.о. Серпухов")</f>
        <v>г.о. Серпухов</v>
      </c>
      <c r="C11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4" s="20" t="str">
        <f ca="1">IFERROR(__xludf.DUMMYFUNCTION("""COMPUTED_VALUE"""),"МинЖКХ")</f>
        <v>МинЖКХ</v>
      </c>
      <c r="E114" s="20" t="str">
        <f ca="1">IFERROR(__xludf.DUMMYFUNCTION("""COMPUTED_VALUE"""),"Строительство ВЗУ в д. Селино, д. Вечери, Серпуховский м.р. (в том числе ПИР)")</f>
        <v>Строительство ВЗУ в д. Селино, д. Вечери, Серпуховский м.р. (в том числе ПИР)</v>
      </c>
      <c r="F114" s="32" t="str">
        <f ca="1">IFERROR(__xludf.DUMMYFUNCTION("""COMPUTED_VALUE"""),"ВЗУ")</f>
        <v>ВЗУ</v>
      </c>
      <c r="G114" s="20">
        <f ca="1">IFERROR(__xludf.DUMMYFUNCTION("""COMPUTED_VALUE"""),2022)</f>
        <v>2022</v>
      </c>
      <c r="H114" s="20" t="str">
        <f ca="1">IFERROR(__xludf.DUMMYFUNCTION("""COMPUTED_VALUE"""),"СМР")</f>
        <v>СМР</v>
      </c>
      <c r="I114" s="23">
        <f ca="1">IFERROR(__xludf.DUMMYFUNCTION("""COMPUTED_VALUE"""),0)</f>
        <v>0</v>
      </c>
      <c r="J114" s="20" t="str">
        <f ca="1">IFERROR(__xludf.DUMMYFUNCTION("""COMPUTED_VALUE"""),"Контракт на ПИР не заключен.")</f>
        <v>Контракт на ПИР не заключен.</v>
      </c>
      <c r="K114" s="20"/>
      <c r="L114" s="20"/>
      <c r="M114" s="20"/>
      <c r="N114" s="24">
        <f ca="1">IFERROR(__xludf.DUMMYFUNCTION("""COMPUTED_VALUE"""),0)</f>
        <v>0</v>
      </c>
      <c r="O114" s="20"/>
      <c r="P114" s="20"/>
      <c r="Q114" s="20"/>
      <c r="R114" s="20"/>
      <c r="S114" s="20"/>
      <c r="T114" s="20"/>
      <c r="U114" s="24">
        <f ca="1">IFERROR(__xludf.DUMMYFUNCTION("""COMPUTED_VALUE"""),0)</f>
        <v>0</v>
      </c>
      <c r="V114" s="24">
        <f ca="1">IFERROR(__xludf.DUMMYFUNCTION("""COMPUTED_VALUE"""),0)</f>
        <v>0</v>
      </c>
      <c r="W114" s="24">
        <f ca="1">IFERROR(__xludf.DUMMYFUNCTION("""COMPUTED_VALUE"""),0)</f>
        <v>0</v>
      </c>
      <c r="X114" s="24">
        <f ca="1">IFERROR(__xludf.DUMMYFUNCTION("""COMPUTED_VALUE"""),0)</f>
        <v>0</v>
      </c>
      <c r="Y114" s="24">
        <f ca="1">IFERROR(__xludf.DUMMYFUNCTION("""COMPUTED_VALUE"""),0)</f>
        <v>0</v>
      </c>
      <c r="Z114" s="24">
        <f ca="1">IFERROR(__xludf.DUMMYFUNCTION("""COMPUTED_VALUE"""),0)</f>
        <v>0</v>
      </c>
      <c r="AA114" s="20" t="str">
        <f ca="1">IFERROR(__xludf.DUMMYFUNCTION("""COMPUTED_VALUE"""),"10 1 02 64090")</f>
        <v>10 1 02 64090</v>
      </c>
      <c r="AB114" s="20">
        <f ca="1">IFERROR(__xludf.DUMMYFUNCTION("""COMPUTED_VALUE"""),522)</f>
        <v>522</v>
      </c>
      <c r="AC114" s="20" t="str">
        <f ca="1">IFERROR(__xludf.DUMMYFUNCTION("""COMPUTED_VALUE"""),"Нет")</f>
        <v>Нет</v>
      </c>
      <c r="AD114" s="20" t="str">
        <f ca="1">IFERROR(__xludf.DUMMYFUNCTION("""COMPUTED_VALUE"""),"После заключения контракта на СМР")</f>
        <v>После заключения контракта на СМР</v>
      </c>
      <c r="AE114" s="20" t="str">
        <f ca="1">IFERROR(__xludf.DUMMYFUNCTION("""COMPUTED_VALUE"""),"Отсутствует")</f>
        <v>Отсутствует</v>
      </c>
      <c r="AF114" s="24">
        <f ca="1">IFERROR(__xludf.DUMMYFUNCTION("""COMPUTED_VALUE"""),8968.36999999999)</f>
        <v>8968.3699999999899</v>
      </c>
      <c r="AG114" s="24">
        <f ca="1">IFERROR(__xludf.DUMMYFUNCTION("""COMPUTED_VALUE"""),0)</f>
        <v>0</v>
      </c>
      <c r="AH114" s="24">
        <f ca="1">IFERROR(__xludf.DUMMYFUNCTION("""COMPUTED_VALUE"""),7408)</f>
        <v>7408</v>
      </c>
      <c r="AI114" s="24">
        <f ca="1">IFERROR(__xludf.DUMMYFUNCTION("""COMPUTED_VALUE"""),0)</f>
        <v>0</v>
      </c>
      <c r="AJ114" s="24">
        <f ca="1">IFERROR(__xludf.DUMMYFUNCTION("""COMPUTED_VALUE"""),1560.37)</f>
        <v>1560.37</v>
      </c>
      <c r="AK114" s="24">
        <f ca="1">IFERROR(__xludf.DUMMYFUNCTION("""COMPUTED_VALUE"""),0)</f>
        <v>0</v>
      </c>
      <c r="AL114" s="24">
        <f ca="1">IFERROR(__xludf.DUMMYFUNCTION("""COMPUTED_VALUE"""),0)</f>
        <v>0</v>
      </c>
      <c r="AM114" s="20"/>
      <c r="AN114" s="20"/>
      <c r="AO114" s="20"/>
      <c r="AP114" s="20"/>
      <c r="AQ114" s="20"/>
      <c r="AR114" s="24">
        <f ca="1">IFERROR(__xludf.DUMMYFUNCTION("""COMPUTED_VALUE"""),0)</f>
        <v>0</v>
      </c>
      <c r="AS114" s="20"/>
      <c r="AT114" s="20"/>
      <c r="AU114" s="20"/>
      <c r="AV114" s="20"/>
      <c r="AW114" s="20"/>
      <c r="AX114" s="24">
        <f ca="1">IFERROR(__xludf.DUMMYFUNCTION("""COMPUTED_VALUE"""),0)</f>
        <v>0</v>
      </c>
      <c r="AY114" s="24">
        <f ca="1">IFERROR(__xludf.DUMMYFUNCTION("""COMPUTED_VALUE"""),0)</f>
        <v>0</v>
      </c>
      <c r="AZ114" s="24">
        <f ca="1">IFERROR(__xludf.DUMMYFUNCTION("""COMPUTED_VALUE"""),0)</f>
        <v>0</v>
      </c>
      <c r="BA114" s="24">
        <f ca="1">IFERROR(__xludf.DUMMYFUNCTION("""COMPUTED_VALUE"""),0)</f>
        <v>0</v>
      </c>
      <c r="BB114" s="24">
        <f ca="1">IFERROR(__xludf.DUMMYFUNCTION("""COMPUTED_VALUE"""),0)</f>
        <v>0</v>
      </c>
      <c r="BC114" s="20"/>
      <c r="BD114" s="24">
        <f ca="1">IFERROR(__xludf.DUMMYFUNCTION("""COMPUTED_VALUE"""),0)</f>
        <v>0</v>
      </c>
      <c r="BE114" s="24">
        <f ca="1">IFERROR(__xludf.DUMMYFUNCTION("""COMPUTED_VALUE"""),0)</f>
        <v>0</v>
      </c>
      <c r="BF114" s="24">
        <f ca="1">IFERROR(__xludf.DUMMYFUNCTION("""COMPUTED_VALUE"""),0)</f>
        <v>0</v>
      </c>
      <c r="BG114" s="24">
        <f ca="1">IFERROR(__xludf.DUMMYFUNCTION("""COMPUTED_VALUE"""),0)</f>
        <v>0</v>
      </c>
      <c r="BH114" s="24">
        <f ca="1">IFERROR(__xludf.DUMMYFUNCTION("""COMPUTED_VALUE"""),0)</f>
        <v>0</v>
      </c>
      <c r="BI114" s="20"/>
      <c r="BJ114" s="24">
        <f ca="1">IFERROR(__xludf.DUMMYFUNCTION("""COMPUTED_VALUE"""),8968.36999999999)</f>
        <v>8968.3699999999899</v>
      </c>
      <c r="BK114" s="24">
        <f ca="1">IFERROR(__xludf.DUMMYFUNCTION("""COMPUTED_VALUE"""),0)</f>
        <v>0</v>
      </c>
      <c r="BL114" s="24">
        <f ca="1">IFERROR(__xludf.DUMMYFUNCTION("""COMPUTED_VALUE"""),7408)</f>
        <v>7408</v>
      </c>
      <c r="BM114" s="24">
        <f ca="1">IFERROR(__xludf.DUMMYFUNCTION("""COMPUTED_VALUE"""),0)</f>
        <v>0</v>
      </c>
      <c r="BN114" s="24">
        <f ca="1">IFERROR(__xludf.DUMMYFUNCTION("""COMPUTED_VALUE"""),1560.37)</f>
        <v>1560.37</v>
      </c>
      <c r="BO114" s="20"/>
      <c r="BP114" s="24">
        <f ca="1">IFERROR(__xludf.DUMMYFUNCTION("""COMPUTED_VALUE"""),0)</f>
        <v>0</v>
      </c>
      <c r="BQ114" s="24">
        <f ca="1">IFERROR(__xludf.DUMMYFUNCTION("""COMPUTED_VALUE"""),0)</f>
        <v>0</v>
      </c>
      <c r="BR114" s="24">
        <f ca="1">IFERROR(__xludf.DUMMYFUNCTION("""COMPUTED_VALUE"""),0)</f>
        <v>0</v>
      </c>
      <c r="BS114" s="24">
        <f ca="1">IFERROR(__xludf.DUMMYFUNCTION("""COMPUTED_VALUE"""),0)</f>
        <v>0</v>
      </c>
      <c r="BT114" s="24">
        <f ca="1">IFERROR(__xludf.DUMMYFUNCTION("""COMPUTED_VALUE"""),0)</f>
        <v>0</v>
      </c>
      <c r="BU114" s="20"/>
      <c r="BV114" s="24">
        <f ca="1">IFERROR(__xludf.DUMMYFUNCTION("""COMPUTED_VALUE"""),0)</f>
        <v>0</v>
      </c>
      <c r="BW114" s="24">
        <f ca="1">IFERROR(__xludf.DUMMYFUNCTION("""COMPUTED_VALUE"""),0)</f>
        <v>0</v>
      </c>
      <c r="BX114" s="24">
        <f ca="1">IFERROR(__xludf.DUMMYFUNCTION("""COMPUTED_VALUE"""),0)</f>
        <v>0</v>
      </c>
      <c r="BY114" s="24">
        <f ca="1">IFERROR(__xludf.DUMMYFUNCTION("""COMPUTED_VALUE"""),0)</f>
        <v>0</v>
      </c>
      <c r="BZ114" s="24">
        <f ca="1">IFERROR(__xludf.DUMMYFUNCTION("""COMPUTED_VALUE"""),0)</f>
        <v>0</v>
      </c>
      <c r="CA114" s="20"/>
      <c r="CB114" s="20"/>
      <c r="CC114" s="20"/>
      <c r="CD114" s="20"/>
      <c r="CE114" s="20"/>
      <c r="CF114" s="20"/>
      <c r="CG114" s="20"/>
      <c r="CH114" s="20"/>
      <c r="CI114" s="20"/>
      <c r="CJ114" s="20"/>
      <c r="CK114" s="20"/>
      <c r="CL114" s="20"/>
      <c r="CM114" s="20"/>
      <c r="CN114" s="20"/>
      <c r="CO114" s="20"/>
      <c r="CP114" s="20"/>
      <c r="CQ114" s="20"/>
      <c r="CR114" s="20"/>
      <c r="CS114" s="20"/>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row>
    <row r="115" spans="1:123" ht="64.5" hidden="1" customHeight="1" x14ac:dyDescent="0.2">
      <c r="A115" s="19"/>
      <c r="B115" s="20" t="str">
        <f ca="1">IFERROR(__xludf.DUMMYFUNCTION("""COMPUTED_VALUE"""),"г.о. Серпухов")</f>
        <v>г.о. Серпухов</v>
      </c>
      <c r="C11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5" s="20" t="str">
        <f ca="1">IFERROR(__xludf.DUMMYFUNCTION("""COMPUTED_VALUE"""),"МинЖКХ")</f>
        <v>МинЖКХ</v>
      </c>
      <c r="E115" s="20" t="str">
        <f ca="1">IFERROR(__xludf.DUMMYFUNCTION("""COMPUTED_VALUE"""),"Строительство ВЗУ в д. Б. Грызлово, Серпуховский м.р. (в том числе ПИР)")</f>
        <v>Строительство ВЗУ в д. Б. Грызлово, Серпуховский м.р. (в том числе ПИР)</v>
      </c>
      <c r="F115" s="32" t="str">
        <f ca="1">IFERROR(__xludf.DUMMYFUNCTION("""COMPUTED_VALUE"""),"ВЗУ")</f>
        <v>ВЗУ</v>
      </c>
      <c r="G115" s="20">
        <f ca="1">IFERROR(__xludf.DUMMYFUNCTION("""COMPUTED_VALUE"""),2022)</f>
        <v>2022</v>
      </c>
      <c r="H115" s="20" t="str">
        <f ca="1">IFERROR(__xludf.DUMMYFUNCTION("""COMPUTED_VALUE"""),"СМР")</f>
        <v>СМР</v>
      </c>
      <c r="I115" s="23">
        <f ca="1">IFERROR(__xludf.DUMMYFUNCTION("""COMPUTED_VALUE"""),0)</f>
        <v>0</v>
      </c>
      <c r="J115" s="20" t="str">
        <f ca="1">IFERROR(__xludf.DUMMYFUNCTION("""COMPUTED_VALUE"""),"Контракт на ПИР не заключен.")</f>
        <v>Контракт на ПИР не заключен.</v>
      </c>
      <c r="K115" s="20"/>
      <c r="L115" s="20"/>
      <c r="M115" s="20"/>
      <c r="N115" s="24">
        <f ca="1">IFERROR(__xludf.DUMMYFUNCTION("""COMPUTED_VALUE"""),0)</f>
        <v>0</v>
      </c>
      <c r="O115" s="20"/>
      <c r="P115" s="20"/>
      <c r="Q115" s="20"/>
      <c r="R115" s="20"/>
      <c r="S115" s="20"/>
      <c r="T115" s="20"/>
      <c r="U115" s="24">
        <f ca="1">IFERROR(__xludf.DUMMYFUNCTION("""COMPUTED_VALUE"""),0)</f>
        <v>0</v>
      </c>
      <c r="V115" s="24">
        <f ca="1">IFERROR(__xludf.DUMMYFUNCTION("""COMPUTED_VALUE"""),0)</f>
        <v>0</v>
      </c>
      <c r="W115" s="24">
        <f ca="1">IFERROR(__xludf.DUMMYFUNCTION("""COMPUTED_VALUE"""),0)</f>
        <v>0</v>
      </c>
      <c r="X115" s="24">
        <f ca="1">IFERROR(__xludf.DUMMYFUNCTION("""COMPUTED_VALUE"""),0)</f>
        <v>0</v>
      </c>
      <c r="Y115" s="24">
        <f ca="1">IFERROR(__xludf.DUMMYFUNCTION("""COMPUTED_VALUE"""),0)</f>
        <v>0</v>
      </c>
      <c r="Z115" s="24">
        <f ca="1">IFERROR(__xludf.DUMMYFUNCTION("""COMPUTED_VALUE"""),0)</f>
        <v>0</v>
      </c>
      <c r="AA115" s="20" t="str">
        <f ca="1">IFERROR(__xludf.DUMMYFUNCTION("""COMPUTED_VALUE"""),"10 1 02 64090")</f>
        <v>10 1 02 64090</v>
      </c>
      <c r="AB115" s="20">
        <f ca="1">IFERROR(__xludf.DUMMYFUNCTION("""COMPUTED_VALUE"""),522)</f>
        <v>522</v>
      </c>
      <c r="AC115" s="20" t="str">
        <f ca="1">IFERROR(__xludf.DUMMYFUNCTION("""COMPUTED_VALUE"""),"Нет")</f>
        <v>Нет</v>
      </c>
      <c r="AD115" s="20" t="str">
        <f ca="1">IFERROR(__xludf.DUMMYFUNCTION("""COMPUTED_VALUE"""),"После заключения контракта на СМР")</f>
        <v>После заключения контракта на СМР</v>
      </c>
      <c r="AE115" s="20" t="str">
        <f ca="1">IFERROR(__xludf.DUMMYFUNCTION("""COMPUTED_VALUE"""),"Отсутствует")</f>
        <v>Отсутствует</v>
      </c>
      <c r="AF115" s="24">
        <f ca="1">IFERROR(__xludf.DUMMYFUNCTION("""COMPUTED_VALUE"""),35380)</f>
        <v>35380</v>
      </c>
      <c r="AG115" s="24">
        <f ca="1">IFERROR(__xludf.DUMMYFUNCTION("""COMPUTED_VALUE"""),0)</f>
        <v>0</v>
      </c>
      <c r="AH115" s="24">
        <f ca="1">IFERROR(__xludf.DUMMYFUNCTION("""COMPUTED_VALUE"""),29295)</f>
        <v>29295</v>
      </c>
      <c r="AI115" s="24">
        <f ca="1">IFERROR(__xludf.DUMMYFUNCTION("""COMPUTED_VALUE"""),0)</f>
        <v>0</v>
      </c>
      <c r="AJ115" s="24">
        <f ca="1">IFERROR(__xludf.DUMMYFUNCTION("""COMPUTED_VALUE"""),6085)</f>
        <v>6085</v>
      </c>
      <c r="AK115" s="24">
        <f ca="1">IFERROR(__xludf.DUMMYFUNCTION("""COMPUTED_VALUE"""),0)</f>
        <v>0</v>
      </c>
      <c r="AL115" s="24">
        <f ca="1">IFERROR(__xludf.DUMMYFUNCTION("""COMPUTED_VALUE"""),0)</f>
        <v>0</v>
      </c>
      <c r="AM115" s="20"/>
      <c r="AN115" s="20"/>
      <c r="AO115" s="20"/>
      <c r="AP115" s="20"/>
      <c r="AQ115" s="20"/>
      <c r="AR115" s="24">
        <f ca="1">IFERROR(__xludf.DUMMYFUNCTION("""COMPUTED_VALUE"""),0)</f>
        <v>0</v>
      </c>
      <c r="AS115" s="20"/>
      <c r="AT115" s="20"/>
      <c r="AU115" s="20"/>
      <c r="AV115" s="20"/>
      <c r="AW115" s="20"/>
      <c r="AX115" s="24">
        <f ca="1">IFERROR(__xludf.DUMMYFUNCTION("""COMPUTED_VALUE"""),0)</f>
        <v>0</v>
      </c>
      <c r="AY115" s="24">
        <f ca="1">IFERROR(__xludf.DUMMYFUNCTION("""COMPUTED_VALUE"""),0)</f>
        <v>0</v>
      </c>
      <c r="AZ115" s="24">
        <f ca="1">IFERROR(__xludf.DUMMYFUNCTION("""COMPUTED_VALUE"""),0)</f>
        <v>0</v>
      </c>
      <c r="BA115" s="24">
        <f ca="1">IFERROR(__xludf.DUMMYFUNCTION("""COMPUTED_VALUE"""),0)</f>
        <v>0</v>
      </c>
      <c r="BB115" s="24">
        <f ca="1">IFERROR(__xludf.DUMMYFUNCTION("""COMPUTED_VALUE"""),0)</f>
        <v>0</v>
      </c>
      <c r="BC115" s="20"/>
      <c r="BD115" s="24">
        <f ca="1">IFERROR(__xludf.DUMMYFUNCTION("""COMPUTED_VALUE"""),0)</f>
        <v>0</v>
      </c>
      <c r="BE115" s="24">
        <f ca="1">IFERROR(__xludf.DUMMYFUNCTION("""COMPUTED_VALUE"""),0)</f>
        <v>0</v>
      </c>
      <c r="BF115" s="24">
        <f ca="1">IFERROR(__xludf.DUMMYFUNCTION("""COMPUTED_VALUE"""),0)</f>
        <v>0</v>
      </c>
      <c r="BG115" s="24">
        <f ca="1">IFERROR(__xludf.DUMMYFUNCTION("""COMPUTED_VALUE"""),0)</f>
        <v>0</v>
      </c>
      <c r="BH115" s="24">
        <f ca="1">IFERROR(__xludf.DUMMYFUNCTION("""COMPUTED_VALUE"""),0)</f>
        <v>0</v>
      </c>
      <c r="BI115" s="20"/>
      <c r="BJ115" s="24">
        <f ca="1">IFERROR(__xludf.DUMMYFUNCTION("""COMPUTED_VALUE"""),35380)</f>
        <v>35380</v>
      </c>
      <c r="BK115" s="24">
        <f ca="1">IFERROR(__xludf.DUMMYFUNCTION("""COMPUTED_VALUE"""),0)</f>
        <v>0</v>
      </c>
      <c r="BL115" s="24">
        <f ca="1">IFERROR(__xludf.DUMMYFUNCTION("""COMPUTED_VALUE"""),29295)</f>
        <v>29295</v>
      </c>
      <c r="BM115" s="24">
        <f ca="1">IFERROR(__xludf.DUMMYFUNCTION("""COMPUTED_VALUE"""),0)</f>
        <v>0</v>
      </c>
      <c r="BN115" s="24">
        <f ca="1">IFERROR(__xludf.DUMMYFUNCTION("""COMPUTED_VALUE"""),6085)</f>
        <v>6085</v>
      </c>
      <c r="BO115" s="20"/>
      <c r="BP115" s="24">
        <f ca="1">IFERROR(__xludf.DUMMYFUNCTION("""COMPUTED_VALUE"""),0)</f>
        <v>0</v>
      </c>
      <c r="BQ115" s="24">
        <f ca="1">IFERROR(__xludf.DUMMYFUNCTION("""COMPUTED_VALUE"""),0)</f>
        <v>0</v>
      </c>
      <c r="BR115" s="24">
        <f ca="1">IFERROR(__xludf.DUMMYFUNCTION("""COMPUTED_VALUE"""),0)</f>
        <v>0</v>
      </c>
      <c r="BS115" s="24">
        <f ca="1">IFERROR(__xludf.DUMMYFUNCTION("""COMPUTED_VALUE"""),0)</f>
        <v>0</v>
      </c>
      <c r="BT115" s="24">
        <f ca="1">IFERROR(__xludf.DUMMYFUNCTION("""COMPUTED_VALUE"""),0)</f>
        <v>0</v>
      </c>
      <c r="BU115" s="20"/>
      <c r="BV115" s="24">
        <f ca="1">IFERROR(__xludf.DUMMYFUNCTION("""COMPUTED_VALUE"""),0)</f>
        <v>0</v>
      </c>
      <c r="BW115" s="24">
        <f ca="1">IFERROR(__xludf.DUMMYFUNCTION("""COMPUTED_VALUE"""),0)</f>
        <v>0</v>
      </c>
      <c r="BX115" s="24">
        <f ca="1">IFERROR(__xludf.DUMMYFUNCTION("""COMPUTED_VALUE"""),0)</f>
        <v>0</v>
      </c>
      <c r="BY115" s="24">
        <f ca="1">IFERROR(__xludf.DUMMYFUNCTION("""COMPUTED_VALUE"""),0)</f>
        <v>0</v>
      </c>
      <c r="BZ115" s="24">
        <f ca="1">IFERROR(__xludf.DUMMYFUNCTION("""COMPUTED_VALUE"""),0)</f>
        <v>0</v>
      </c>
      <c r="CA115" s="20"/>
      <c r="CB115" s="20"/>
      <c r="CC115" s="20"/>
      <c r="CD115" s="20"/>
      <c r="CE115" s="20"/>
      <c r="CF115" s="20"/>
      <c r="CG115" s="20"/>
      <c r="CH115" s="20"/>
      <c r="CI115" s="20"/>
      <c r="CJ115" s="20"/>
      <c r="CK115" s="20"/>
      <c r="CL115" s="20"/>
      <c r="CM115" s="20"/>
      <c r="CN115" s="20"/>
      <c r="CO115" s="20"/>
      <c r="CP115" s="20"/>
      <c r="CQ115" s="20"/>
      <c r="CR115" s="20"/>
      <c r="CS115" s="20"/>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row>
    <row r="116" spans="1:123" ht="64.5" hidden="1" customHeight="1" x14ac:dyDescent="0.2">
      <c r="A116" s="19"/>
      <c r="B116" s="20" t="str">
        <f ca="1">IFERROR(__xludf.DUMMYFUNCTION("""COMPUTED_VALUE"""),"г.о. Серпухов")</f>
        <v>г.о. Серпухов</v>
      </c>
      <c r="C11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6" s="20" t="str">
        <f ca="1">IFERROR(__xludf.DUMMYFUNCTION("""COMPUTED_VALUE"""),"МинЖКХ")</f>
        <v>МинЖКХ</v>
      </c>
      <c r="E116" s="20" t="str">
        <f ca="1">IFERROR(__xludf.DUMMYFUNCTION("""COMPUTED_VALUE"""),"Строительство ВЗУ в д. Калугино, Серпуховский м.р. (в том числе ПИР)")</f>
        <v>Строительство ВЗУ в д. Калугино, Серпуховский м.р. (в том числе ПИР)</v>
      </c>
      <c r="F116" s="32" t="str">
        <f ca="1">IFERROR(__xludf.DUMMYFUNCTION("""COMPUTED_VALUE"""),"ВЗУ")</f>
        <v>ВЗУ</v>
      </c>
      <c r="G116" s="20">
        <f ca="1">IFERROR(__xludf.DUMMYFUNCTION("""COMPUTED_VALUE"""),2022)</f>
        <v>2022</v>
      </c>
      <c r="H116" s="20" t="str">
        <f ca="1">IFERROR(__xludf.DUMMYFUNCTION("""COMPUTED_VALUE"""),"СМР")</f>
        <v>СМР</v>
      </c>
      <c r="I116" s="23">
        <f ca="1">IFERROR(__xludf.DUMMYFUNCTION("""COMPUTED_VALUE"""),0)</f>
        <v>0</v>
      </c>
      <c r="J116" s="20" t="str">
        <f ca="1">IFERROR(__xludf.DUMMYFUNCTION("""COMPUTED_VALUE"""),"Контракт на ПИР не заключен.")</f>
        <v>Контракт на ПИР не заключен.</v>
      </c>
      <c r="K116" s="20"/>
      <c r="L116" s="20"/>
      <c r="M116" s="20"/>
      <c r="N116" s="24">
        <f ca="1">IFERROR(__xludf.DUMMYFUNCTION("""COMPUTED_VALUE"""),0)</f>
        <v>0</v>
      </c>
      <c r="O116" s="20"/>
      <c r="P116" s="20"/>
      <c r="Q116" s="20"/>
      <c r="R116" s="20"/>
      <c r="S116" s="20"/>
      <c r="T116" s="20"/>
      <c r="U116" s="24">
        <f ca="1">IFERROR(__xludf.DUMMYFUNCTION("""COMPUTED_VALUE"""),0)</f>
        <v>0</v>
      </c>
      <c r="V116" s="24">
        <f ca="1">IFERROR(__xludf.DUMMYFUNCTION("""COMPUTED_VALUE"""),0)</f>
        <v>0</v>
      </c>
      <c r="W116" s="24">
        <f ca="1">IFERROR(__xludf.DUMMYFUNCTION("""COMPUTED_VALUE"""),0)</f>
        <v>0</v>
      </c>
      <c r="X116" s="24">
        <f ca="1">IFERROR(__xludf.DUMMYFUNCTION("""COMPUTED_VALUE"""),0)</f>
        <v>0</v>
      </c>
      <c r="Y116" s="24">
        <f ca="1">IFERROR(__xludf.DUMMYFUNCTION("""COMPUTED_VALUE"""),0)</f>
        <v>0</v>
      </c>
      <c r="Z116" s="24">
        <f ca="1">IFERROR(__xludf.DUMMYFUNCTION("""COMPUTED_VALUE"""),0)</f>
        <v>0</v>
      </c>
      <c r="AA116" s="20" t="str">
        <f ca="1">IFERROR(__xludf.DUMMYFUNCTION("""COMPUTED_VALUE"""),"10 1 02 64090")</f>
        <v>10 1 02 64090</v>
      </c>
      <c r="AB116" s="20">
        <f ca="1">IFERROR(__xludf.DUMMYFUNCTION("""COMPUTED_VALUE"""),522)</f>
        <v>522</v>
      </c>
      <c r="AC116" s="20" t="str">
        <f ca="1">IFERROR(__xludf.DUMMYFUNCTION("""COMPUTED_VALUE"""),"Нет")</f>
        <v>Нет</v>
      </c>
      <c r="AD116" s="20" t="str">
        <f ca="1">IFERROR(__xludf.DUMMYFUNCTION("""COMPUTED_VALUE"""),"После заключения контракта на СМР")</f>
        <v>После заключения контракта на СМР</v>
      </c>
      <c r="AE116" s="20" t="str">
        <f ca="1">IFERROR(__xludf.DUMMYFUNCTION("""COMPUTED_VALUE"""),"Отсутствует")</f>
        <v>Отсутствует</v>
      </c>
      <c r="AF116" s="24">
        <f ca="1">IFERROR(__xludf.DUMMYFUNCTION("""COMPUTED_VALUE"""),8678.09)</f>
        <v>8678.09</v>
      </c>
      <c r="AG116" s="24">
        <f ca="1">IFERROR(__xludf.DUMMYFUNCTION("""COMPUTED_VALUE"""),0)</f>
        <v>0</v>
      </c>
      <c r="AH116" s="24">
        <f ca="1">IFERROR(__xludf.DUMMYFUNCTION("""COMPUTED_VALUE"""),7165.59)</f>
        <v>7165.59</v>
      </c>
      <c r="AI116" s="24">
        <f ca="1">IFERROR(__xludf.DUMMYFUNCTION("""COMPUTED_VALUE"""),0)</f>
        <v>0</v>
      </c>
      <c r="AJ116" s="24">
        <f ca="1">IFERROR(__xludf.DUMMYFUNCTION("""COMPUTED_VALUE"""),1512.5)</f>
        <v>1512.5</v>
      </c>
      <c r="AK116" s="24">
        <f ca="1">IFERROR(__xludf.DUMMYFUNCTION("""COMPUTED_VALUE"""),0)</f>
        <v>0</v>
      </c>
      <c r="AL116" s="24">
        <f ca="1">IFERROR(__xludf.DUMMYFUNCTION("""COMPUTED_VALUE"""),0)</f>
        <v>0</v>
      </c>
      <c r="AM116" s="20"/>
      <c r="AN116" s="20"/>
      <c r="AO116" s="20"/>
      <c r="AP116" s="20"/>
      <c r="AQ116" s="20"/>
      <c r="AR116" s="24">
        <f ca="1">IFERROR(__xludf.DUMMYFUNCTION("""COMPUTED_VALUE"""),0)</f>
        <v>0</v>
      </c>
      <c r="AS116" s="20"/>
      <c r="AT116" s="20"/>
      <c r="AU116" s="20"/>
      <c r="AV116" s="20"/>
      <c r="AW116" s="20"/>
      <c r="AX116" s="24">
        <f ca="1">IFERROR(__xludf.DUMMYFUNCTION("""COMPUTED_VALUE"""),0)</f>
        <v>0</v>
      </c>
      <c r="AY116" s="24">
        <f ca="1">IFERROR(__xludf.DUMMYFUNCTION("""COMPUTED_VALUE"""),0)</f>
        <v>0</v>
      </c>
      <c r="AZ116" s="24">
        <f ca="1">IFERROR(__xludf.DUMMYFUNCTION("""COMPUTED_VALUE"""),0)</f>
        <v>0</v>
      </c>
      <c r="BA116" s="24">
        <f ca="1">IFERROR(__xludf.DUMMYFUNCTION("""COMPUTED_VALUE"""),0)</f>
        <v>0</v>
      </c>
      <c r="BB116" s="24">
        <f ca="1">IFERROR(__xludf.DUMMYFUNCTION("""COMPUTED_VALUE"""),0)</f>
        <v>0</v>
      </c>
      <c r="BC116" s="20"/>
      <c r="BD116" s="24">
        <f ca="1">IFERROR(__xludf.DUMMYFUNCTION("""COMPUTED_VALUE"""),0)</f>
        <v>0</v>
      </c>
      <c r="BE116" s="24">
        <f ca="1">IFERROR(__xludf.DUMMYFUNCTION("""COMPUTED_VALUE"""),0)</f>
        <v>0</v>
      </c>
      <c r="BF116" s="24">
        <f ca="1">IFERROR(__xludf.DUMMYFUNCTION("""COMPUTED_VALUE"""),0)</f>
        <v>0</v>
      </c>
      <c r="BG116" s="24">
        <f ca="1">IFERROR(__xludf.DUMMYFUNCTION("""COMPUTED_VALUE"""),0)</f>
        <v>0</v>
      </c>
      <c r="BH116" s="24">
        <f ca="1">IFERROR(__xludf.DUMMYFUNCTION("""COMPUTED_VALUE"""),0)</f>
        <v>0</v>
      </c>
      <c r="BI116" s="20"/>
      <c r="BJ116" s="24">
        <f ca="1">IFERROR(__xludf.DUMMYFUNCTION("""COMPUTED_VALUE"""),8678.09)</f>
        <v>8678.09</v>
      </c>
      <c r="BK116" s="24">
        <f ca="1">IFERROR(__xludf.DUMMYFUNCTION("""COMPUTED_VALUE"""),0)</f>
        <v>0</v>
      </c>
      <c r="BL116" s="24">
        <f ca="1">IFERROR(__xludf.DUMMYFUNCTION("""COMPUTED_VALUE"""),7165.59)</f>
        <v>7165.59</v>
      </c>
      <c r="BM116" s="24">
        <f ca="1">IFERROR(__xludf.DUMMYFUNCTION("""COMPUTED_VALUE"""),0)</f>
        <v>0</v>
      </c>
      <c r="BN116" s="24">
        <f ca="1">IFERROR(__xludf.DUMMYFUNCTION("""COMPUTED_VALUE"""),1512.5)</f>
        <v>1512.5</v>
      </c>
      <c r="BO116" s="20"/>
      <c r="BP116" s="24">
        <f ca="1">IFERROR(__xludf.DUMMYFUNCTION("""COMPUTED_VALUE"""),0)</f>
        <v>0</v>
      </c>
      <c r="BQ116" s="24">
        <f ca="1">IFERROR(__xludf.DUMMYFUNCTION("""COMPUTED_VALUE"""),0)</f>
        <v>0</v>
      </c>
      <c r="BR116" s="24">
        <f ca="1">IFERROR(__xludf.DUMMYFUNCTION("""COMPUTED_VALUE"""),0)</f>
        <v>0</v>
      </c>
      <c r="BS116" s="24">
        <f ca="1">IFERROR(__xludf.DUMMYFUNCTION("""COMPUTED_VALUE"""),0)</f>
        <v>0</v>
      </c>
      <c r="BT116" s="24">
        <f ca="1">IFERROR(__xludf.DUMMYFUNCTION("""COMPUTED_VALUE"""),0)</f>
        <v>0</v>
      </c>
      <c r="BU116" s="20"/>
      <c r="BV116" s="24">
        <f ca="1">IFERROR(__xludf.DUMMYFUNCTION("""COMPUTED_VALUE"""),0)</f>
        <v>0</v>
      </c>
      <c r="BW116" s="24">
        <f ca="1">IFERROR(__xludf.DUMMYFUNCTION("""COMPUTED_VALUE"""),0)</f>
        <v>0</v>
      </c>
      <c r="BX116" s="24">
        <f ca="1">IFERROR(__xludf.DUMMYFUNCTION("""COMPUTED_VALUE"""),0)</f>
        <v>0</v>
      </c>
      <c r="BY116" s="24">
        <f ca="1">IFERROR(__xludf.DUMMYFUNCTION("""COMPUTED_VALUE"""),0)</f>
        <v>0</v>
      </c>
      <c r="BZ116" s="24">
        <f ca="1">IFERROR(__xludf.DUMMYFUNCTION("""COMPUTED_VALUE"""),0)</f>
        <v>0</v>
      </c>
      <c r="CA116" s="20"/>
      <c r="CB116" s="20"/>
      <c r="CC116" s="20"/>
      <c r="CD116" s="20"/>
      <c r="CE116" s="20"/>
      <c r="CF116" s="20"/>
      <c r="CG116" s="20"/>
      <c r="CH116" s="20"/>
      <c r="CI116" s="20"/>
      <c r="CJ116" s="20"/>
      <c r="CK116" s="20"/>
      <c r="CL116" s="20"/>
      <c r="CM116" s="20"/>
      <c r="CN116" s="20"/>
      <c r="CO116" s="20"/>
      <c r="CP116" s="20"/>
      <c r="CQ116" s="20"/>
      <c r="CR116" s="20"/>
      <c r="CS116" s="20"/>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row>
    <row r="117" spans="1:123" ht="64.5" customHeight="1" x14ac:dyDescent="0.2">
      <c r="A117" s="19"/>
      <c r="B117" s="20" t="str">
        <f ca="1">IFERROR(__xludf.DUMMYFUNCTION("""COMPUTED_VALUE"""),"г.о. Фрязино")</f>
        <v>г.о. Фрязино</v>
      </c>
      <c r="C11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7" s="20" t="str">
        <f ca="1">IFERROR(__xludf.DUMMYFUNCTION("""COMPUTED_VALUE"""),"МинЖКХ")</f>
        <v>МинЖКХ</v>
      </c>
      <c r="E117" s="20" t="str">
        <f ca="1">IFERROR(__xludf.DUMMYFUNCTION("""COMPUTED_VALUE"""),"Реконструкция  ВЗУ №4 с установкой станции водоподготовки , г. Фрязино,  Окружной проезд, дом 2, стр. 1 (ПИР)                                         ")</f>
        <v xml:space="preserve">Реконструкция  ВЗУ №4 с установкой станции водоподготовки , г. Фрязино,  Окружной проезд, дом 2, стр. 1 (ПИР)                                         </v>
      </c>
      <c r="F117" s="32" t="str">
        <f ca="1">IFERROR(__xludf.DUMMYFUNCTION("""COMPUTED_VALUE"""),"ВЗУ")</f>
        <v>ВЗУ</v>
      </c>
      <c r="G117" s="20">
        <f ca="1">IFERROR(__xludf.DUMMYFUNCTION("""COMPUTED_VALUE"""),2020)</f>
        <v>2020</v>
      </c>
      <c r="H117" s="20" t="str">
        <f ca="1">IFERROR(__xludf.DUMMYFUNCTION("""COMPUTED_VALUE"""),"ПИР")</f>
        <v>ПИР</v>
      </c>
      <c r="I117" s="23">
        <f ca="1">IFERROR(__xludf.DUMMYFUNCTION("""COMPUTED_VALUE"""),1)</f>
        <v>1</v>
      </c>
      <c r="J117" s="20" t="str">
        <f ca="1">IFERROR(__xludf.DUMMYFUNCTION("""COMPUTED_VALUE"""),"Положительное заключение МОГЭ получено.")</f>
        <v>Положительное заключение МОГЭ получено.</v>
      </c>
      <c r="K117" s="20" t="str">
        <f ca="1">IFERROR(__xludf.DUMMYFUNCTION("""COMPUTED_VALUE"""),"-")</f>
        <v>-</v>
      </c>
      <c r="L117" s="20" t="str">
        <f ca="1">IFERROR(__xludf.DUMMYFUNCTION("""COMPUTED_VALUE"""),"-")</f>
        <v>-</v>
      </c>
      <c r="M117" s="20"/>
      <c r="N117" s="24">
        <f ca="1">IFERROR(__xludf.DUMMYFUNCTION("""COMPUTED_VALUE"""),14648.48)</f>
        <v>14648.48</v>
      </c>
      <c r="O117" s="20"/>
      <c r="P117" s="24">
        <f ca="1">IFERROR(__xludf.DUMMYFUNCTION("""COMPUTED_VALUE"""),14502)</f>
        <v>14502</v>
      </c>
      <c r="Q117" s="20"/>
      <c r="R117" s="24">
        <f ca="1">IFERROR(__xludf.DUMMYFUNCTION("""COMPUTED_VALUE"""),146.48)</f>
        <v>146.47999999999999</v>
      </c>
      <c r="S117" s="20"/>
      <c r="T117" s="24" t="str">
        <f ca="1">IFERROR(__xludf.DUMMYFUNCTION("""COMPUTED_VALUE"""),"только бмо, завершено")</f>
        <v>только бмо, завершено</v>
      </c>
      <c r="U117" s="24">
        <f ca="1">IFERROR(__xludf.DUMMYFUNCTION("""COMPUTED_VALUE"""),0)</f>
        <v>0</v>
      </c>
      <c r="V117" s="24">
        <f ca="1">IFERROR(__xludf.DUMMYFUNCTION("""COMPUTED_VALUE"""),0)</f>
        <v>0</v>
      </c>
      <c r="W117" s="24">
        <f ca="1">IFERROR(__xludf.DUMMYFUNCTION("""COMPUTED_VALUE"""),0)</f>
        <v>0</v>
      </c>
      <c r="X117" s="24">
        <f ca="1">IFERROR(__xludf.DUMMYFUNCTION("""COMPUTED_VALUE"""),0)</f>
        <v>0</v>
      </c>
      <c r="Y117" s="24">
        <f ca="1">IFERROR(__xludf.DUMMYFUNCTION("""COMPUTED_VALUE"""),0)</f>
        <v>0</v>
      </c>
      <c r="Z117" s="24">
        <f ca="1">IFERROR(__xludf.DUMMYFUNCTION("""COMPUTED_VALUE"""),0)</f>
        <v>0</v>
      </c>
      <c r="AA117" s="20" t="str">
        <f ca="1">IFERROR(__xludf.DUMMYFUNCTION("""COMPUTED_VALUE"""),"10 1 02 64090")</f>
        <v>10 1 02 64090</v>
      </c>
      <c r="AB117" s="20">
        <f ca="1">IFERROR(__xludf.DUMMYFUNCTION("""COMPUTED_VALUE"""),522)</f>
        <v>522</v>
      </c>
      <c r="AC117" s="20" t="str">
        <f ca="1">IFERROR(__xludf.DUMMYFUNCTION("""COMPUTED_VALUE"""),"Не требуется")</f>
        <v>Не требуется</v>
      </c>
      <c r="AD117" s="20" t="str">
        <f ca="1">IFERROR(__xludf.DUMMYFUNCTION("""COMPUTED_VALUE"""),"-")</f>
        <v>-</v>
      </c>
      <c r="AE117" s="20" t="str">
        <f ca="1">IFERROR(__xludf.DUMMYFUNCTION("""COMPUTED_VALUE"""),"-")</f>
        <v>-</v>
      </c>
      <c r="AF117" s="24">
        <f ca="1">IFERROR(__xludf.DUMMYFUNCTION("""COMPUTED_VALUE"""),14648.48)</f>
        <v>14648.48</v>
      </c>
      <c r="AG117" s="24">
        <f ca="1">IFERROR(__xludf.DUMMYFUNCTION("""COMPUTED_VALUE"""),0)</f>
        <v>0</v>
      </c>
      <c r="AH117" s="24">
        <f ca="1">IFERROR(__xludf.DUMMYFUNCTION("""COMPUTED_VALUE"""),14502)</f>
        <v>14502</v>
      </c>
      <c r="AI117" s="24">
        <f ca="1">IFERROR(__xludf.DUMMYFUNCTION("""COMPUTED_VALUE"""),0)</f>
        <v>0</v>
      </c>
      <c r="AJ117" s="24">
        <f ca="1">IFERROR(__xludf.DUMMYFUNCTION("""COMPUTED_VALUE"""),146.48)</f>
        <v>146.47999999999999</v>
      </c>
      <c r="AK117" s="24">
        <f ca="1">IFERROR(__xludf.DUMMYFUNCTION("""COMPUTED_VALUE"""),0)</f>
        <v>0</v>
      </c>
      <c r="AL117" s="24">
        <f ca="1">IFERROR(__xludf.DUMMYFUNCTION("""COMPUTED_VALUE"""),0)</f>
        <v>0</v>
      </c>
      <c r="AM117" s="20"/>
      <c r="AN117" s="20"/>
      <c r="AO117" s="20"/>
      <c r="AP117" s="20"/>
      <c r="AQ117" s="20"/>
      <c r="AR117" s="24">
        <f ca="1">IFERROR(__xludf.DUMMYFUNCTION("""COMPUTED_VALUE"""),0)</f>
        <v>0</v>
      </c>
      <c r="AS117" s="20"/>
      <c r="AT117" s="20"/>
      <c r="AU117" s="20"/>
      <c r="AV117" s="20"/>
      <c r="AW117" s="20"/>
      <c r="AX117" s="24">
        <f ca="1">IFERROR(__xludf.DUMMYFUNCTION("""COMPUTED_VALUE"""),14648.48)</f>
        <v>14648.48</v>
      </c>
      <c r="AY117" s="24">
        <f ca="1">IFERROR(__xludf.DUMMYFUNCTION("""COMPUTED_VALUE"""),0)</f>
        <v>0</v>
      </c>
      <c r="AZ117" s="24">
        <f ca="1">IFERROR(__xludf.DUMMYFUNCTION("""COMPUTED_VALUE"""),14502)</f>
        <v>14502</v>
      </c>
      <c r="BA117" s="24">
        <f ca="1">IFERROR(__xludf.DUMMYFUNCTION("""COMPUTED_VALUE"""),0)</f>
        <v>0</v>
      </c>
      <c r="BB117" s="24">
        <f ca="1">IFERROR(__xludf.DUMMYFUNCTION("""COMPUTED_VALUE"""),146.48)</f>
        <v>146.47999999999999</v>
      </c>
      <c r="BC117" s="20"/>
      <c r="BD117" s="24">
        <f ca="1">IFERROR(__xludf.DUMMYFUNCTION("""COMPUTED_VALUE"""),0)</f>
        <v>0</v>
      </c>
      <c r="BE117" s="24">
        <f ca="1">IFERROR(__xludf.DUMMYFUNCTION("""COMPUTED_VALUE"""),0)</f>
        <v>0</v>
      </c>
      <c r="BF117" s="24">
        <f ca="1">IFERROR(__xludf.DUMMYFUNCTION("""COMPUTED_VALUE"""),0)</f>
        <v>0</v>
      </c>
      <c r="BG117" s="24">
        <f ca="1">IFERROR(__xludf.DUMMYFUNCTION("""COMPUTED_VALUE"""),0)</f>
        <v>0</v>
      </c>
      <c r="BH117" s="24">
        <f ca="1">IFERROR(__xludf.DUMMYFUNCTION("""COMPUTED_VALUE"""),0)</f>
        <v>0</v>
      </c>
      <c r="BI117" s="20"/>
      <c r="BJ117" s="24">
        <f ca="1">IFERROR(__xludf.DUMMYFUNCTION("""COMPUTED_VALUE"""),0)</f>
        <v>0</v>
      </c>
      <c r="BK117" s="24">
        <f ca="1">IFERROR(__xludf.DUMMYFUNCTION("""COMPUTED_VALUE"""),0)</f>
        <v>0</v>
      </c>
      <c r="BL117" s="24">
        <f ca="1">IFERROR(__xludf.DUMMYFUNCTION("""COMPUTED_VALUE"""),0)</f>
        <v>0</v>
      </c>
      <c r="BM117" s="24">
        <f ca="1">IFERROR(__xludf.DUMMYFUNCTION("""COMPUTED_VALUE"""),0)</f>
        <v>0</v>
      </c>
      <c r="BN117" s="24">
        <f ca="1">IFERROR(__xludf.DUMMYFUNCTION("""COMPUTED_VALUE"""),0)</f>
        <v>0</v>
      </c>
      <c r="BO117" s="20"/>
      <c r="BP117" s="24">
        <f ca="1">IFERROR(__xludf.DUMMYFUNCTION("""COMPUTED_VALUE"""),0)</f>
        <v>0</v>
      </c>
      <c r="BQ117" s="24">
        <f ca="1">IFERROR(__xludf.DUMMYFUNCTION("""COMPUTED_VALUE"""),0)</f>
        <v>0</v>
      </c>
      <c r="BR117" s="24">
        <f ca="1">IFERROR(__xludf.DUMMYFUNCTION("""COMPUTED_VALUE"""),0)</f>
        <v>0</v>
      </c>
      <c r="BS117" s="24">
        <f ca="1">IFERROR(__xludf.DUMMYFUNCTION("""COMPUTED_VALUE"""),0)</f>
        <v>0</v>
      </c>
      <c r="BT117" s="24">
        <f ca="1">IFERROR(__xludf.DUMMYFUNCTION("""COMPUTED_VALUE"""),0)</f>
        <v>0</v>
      </c>
      <c r="BU117" s="20"/>
      <c r="BV117" s="24">
        <f ca="1">IFERROR(__xludf.DUMMYFUNCTION("""COMPUTED_VALUE"""),0)</f>
        <v>0</v>
      </c>
      <c r="BW117" s="24">
        <f ca="1">IFERROR(__xludf.DUMMYFUNCTION("""COMPUTED_VALUE"""),0)</f>
        <v>0</v>
      </c>
      <c r="BX117" s="24">
        <f ca="1">IFERROR(__xludf.DUMMYFUNCTION("""COMPUTED_VALUE"""),0)</f>
        <v>0</v>
      </c>
      <c r="BY117" s="24">
        <f ca="1">IFERROR(__xludf.DUMMYFUNCTION("""COMPUTED_VALUE"""),0)</f>
        <v>0</v>
      </c>
      <c r="BZ117" s="24">
        <f ca="1">IFERROR(__xludf.DUMMYFUNCTION("""COMPUTED_VALUE"""),0)</f>
        <v>0</v>
      </c>
      <c r="CA117" s="20"/>
      <c r="CB117" s="20" t="str">
        <f ca="1">IFERROR(__xludf.DUMMYFUNCTION("""COMPUTED_VALUE"""),"заключен")</f>
        <v>заключен</v>
      </c>
      <c r="CC117" s="26">
        <f ca="1">IFERROR(__xludf.DUMMYFUNCTION("""COMPUTED_VALUE"""),43992)</f>
        <v>43992</v>
      </c>
      <c r="CD117" s="20" t="str">
        <f ca="1">IFERROR(__xludf.DUMMYFUNCTION("""COMPUTED_VALUE"""),"0148200005420000190")</f>
        <v>0148200005420000190</v>
      </c>
      <c r="CE117" s="26">
        <f ca="1">IFERROR(__xludf.DUMMYFUNCTION("""COMPUTED_VALUE"""),44015)</f>
        <v>44015</v>
      </c>
      <c r="CF117" s="20" t="str">
        <f ca="1">IFERROR(__xludf.DUMMYFUNCTION("""COMPUTED_VALUE"""),"0148200005420000190")</f>
        <v>0148200005420000190</v>
      </c>
      <c r="CG117" s="20">
        <f ca="1">IFERROR(__xludf.DUMMYFUNCTION("""COMPUTED_VALUE"""),176376586.54)</f>
        <v>176376586.53999999</v>
      </c>
      <c r="CH117" s="20" t="str">
        <f ca="1">IFERROR(__xludf.DUMMYFUNCTION("""COMPUTED_VALUE"""),"ООО ""РБК СТРОЙИНВЕСТ""")</f>
        <v>ООО "РБК СТРОЙИНВЕСТ"</v>
      </c>
      <c r="CI117" s="27" t="str">
        <f ca="1">IFERROR(__xludf.DUMMYFUNCTION("""COMPUTED_VALUE"""),"https://zakupki.gov.ru/epz/contract/contractCard/common-info.html?reestrNumber=3505200212820000037&amp;backUrl=6a6c93ac-4711-4538-bcb5-353b08a1ab2e")</f>
        <v>https://zakupki.gov.ru/epz/contract/contractCard/common-info.html?reestrNumber=3505200212820000037&amp;backUrl=6a6c93ac-4711-4538-bcb5-353b08a1ab2e</v>
      </c>
      <c r="CJ117" s="20" t="str">
        <f ca="1">IFERROR(__xludf.DUMMYFUNCTION("""COMPUTED_VALUE"""),"—//—")</f>
        <v>—//—</v>
      </c>
      <c r="CK117" s="20" t="str">
        <f ca="1">IFERROR(__xludf.DUMMYFUNCTION("""COMPUTED_VALUE"""),"—//—")</f>
        <v>—//—</v>
      </c>
      <c r="CL117" s="20" t="str">
        <f ca="1">IFERROR(__xludf.DUMMYFUNCTION("""COMPUTED_VALUE"""),"—//—")</f>
        <v>—//—</v>
      </c>
      <c r="CM117" s="20"/>
      <c r="CN117" s="20"/>
      <c r="CO117" s="20"/>
      <c r="CP117" s="20"/>
      <c r="CQ117" s="20"/>
      <c r="CR117" s="20"/>
      <c r="CS117" s="20"/>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row>
    <row r="118" spans="1:123" ht="64.5" customHeight="1" x14ac:dyDescent="0.2">
      <c r="A118" s="19"/>
      <c r="B118" s="20" t="str">
        <f ca="1">IFERROR(__xludf.DUMMYFUNCTION("""COMPUTED_VALUE"""),"г.о. Фрязино")</f>
        <v>г.о. Фрязино</v>
      </c>
      <c r="C11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8" s="20" t="str">
        <f ca="1">IFERROR(__xludf.DUMMYFUNCTION("""COMPUTED_VALUE"""),"МинЖКХ")</f>
        <v>МинЖКХ</v>
      </c>
      <c r="E118" s="20" t="str">
        <f ca="1">IFERROR(__xludf.DUMMYFUNCTION("""COMPUTED_VALUE"""),"Реконструкция  ВЗУ №5 с установкой станции водоподготовки, г. Фрязино, пл. Введенского, дом 1, стр. 1   (ПИР)                                            ")</f>
        <v xml:space="preserve">Реконструкция  ВЗУ №5 с установкой станции водоподготовки, г. Фрязино, пл. Введенского, дом 1, стр. 1   (ПИР)                                            </v>
      </c>
      <c r="F118" s="32" t="str">
        <f ca="1">IFERROR(__xludf.DUMMYFUNCTION("""COMPUTED_VALUE"""),"ВЗУ")</f>
        <v>ВЗУ</v>
      </c>
      <c r="G118" s="20">
        <f ca="1">IFERROR(__xludf.DUMMYFUNCTION("""COMPUTED_VALUE"""),2020)</f>
        <v>2020</v>
      </c>
      <c r="H118" s="20" t="str">
        <f ca="1">IFERROR(__xludf.DUMMYFUNCTION("""COMPUTED_VALUE"""),"ПИР")</f>
        <v>ПИР</v>
      </c>
      <c r="I118" s="23">
        <f ca="1">IFERROR(__xludf.DUMMYFUNCTION("""COMPUTED_VALUE"""),1)</f>
        <v>1</v>
      </c>
      <c r="J118" s="20" t="str">
        <f ca="1">IFERROR(__xludf.DUMMYFUNCTION("""COMPUTED_VALUE"""),"Положительное заключение МОГЭ получено.")</f>
        <v>Положительное заключение МОГЭ получено.</v>
      </c>
      <c r="K118" s="20" t="str">
        <f ca="1">IFERROR(__xludf.DUMMYFUNCTION("""COMPUTED_VALUE"""),"-")</f>
        <v>-</v>
      </c>
      <c r="L118" s="20" t="str">
        <f ca="1">IFERROR(__xludf.DUMMYFUNCTION("""COMPUTED_VALUE"""),"-")</f>
        <v>-</v>
      </c>
      <c r="M118" s="20"/>
      <c r="N118" s="24">
        <f ca="1">IFERROR(__xludf.DUMMYFUNCTION("""COMPUTED_VALUE"""),12850)</f>
        <v>12850</v>
      </c>
      <c r="O118" s="20"/>
      <c r="P118" s="24">
        <f ca="1">IFERROR(__xludf.DUMMYFUNCTION("""COMPUTED_VALUE"""),12593)</f>
        <v>12593</v>
      </c>
      <c r="Q118" s="20"/>
      <c r="R118" s="24">
        <f ca="1">IFERROR(__xludf.DUMMYFUNCTION("""COMPUTED_VALUE"""),257)</f>
        <v>257</v>
      </c>
      <c r="S118" s="20"/>
      <c r="T118" s="24" t="str">
        <f ca="1">IFERROR(__xludf.DUMMYFUNCTION("""COMPUTED_VALUE"""),"только бмо, завершено")</f>
        <v>только бмо, завершено</v>
      </c>
      <c r="U118" s="24">
        <f ca="1">IFERROR(__xludf.DUMMYFUNCTION("""COMPUTED_VALUE"""),0)</f>
        <v>0</v>
      </c>
      <c r="V118" s="24">
        <f ca="1">IFERROR(__xludf.DUMMYFUNCTION("""COMPUTED_VALUE"""),0)</f>
        <v>0</v>
      </c>
      <c r="W118" s="24">
        <f ca="1">IFERROR(__xludf.DUMMYFUNCTION("""COMPUTED_VALUE"""),0)</f>
        <v>0</v>
      </c>
      <c r="X118" s="24">
        <f ca="1">IFERROR(__xludf.DUMMYFUNCTION("""COMPUTED_VALUE"""),0)</f>
        <v>0</v>
      </c>
      <c r="Y118" s="24">
        <f ca="1">IFERROR(__xludf.DUMMYFUNCTION("""COMPUTED_VALUE"""),0)</f>
        <v>0</v>
      </c>
      <c r="Z118" s="24">
        <f ca="1">IFERROR(__xludf.DUMMYFUNCTION("""COMPUTED_VALUE"""),0)</f>
        <v>0</v>
      </c>
      <c r="AA118" s="20" t="str">
        <f ca="1">IFERROR(__xludf.DUMMYFUNCTION("""COMPUTED_VALUE"""),"10 1 02 64090")</f>
        <v>10 1 02 64090</v>
      </c>
      <c r="AB118" s="20">
        <f ca="1">IFERROR(__xludf.DUMMYFUNCTION("""COMPUTED_VALUE"""),522)</f>
        <v>522</v>
      </c>
      <c r="AC118" s="20" t="str">
        <f ca="1">IFERROR(__xludf.DUMMYFUNCTION("""COMPUTED_VALUE"""),"Не требуется")</f>
        <v>Не требуется</v>
      </c>
      <c r="AD118" s="20" t="str">
        <f ca="1">IFERROR(__xludf.DUMMYFUNCTION("""COMPUTED_VALUE"""),"-")</f>
        <v>-</v>
      </c>
      <c r="AE118" s="20" t="str">
        <f ca="1">IFERROR(__xludf.DUMMYFUNCTION("""COMPUTED_VALUE"""),"-")</f>
        <v>-</v>
      </c>
      <c r="AF118" s="24">
        <f ca="1">IFERROR(__xludf.DUMMYFUNCTION("""COMPUTED_VALUE"""),12850)</f>
        <v>12850</v>
      </c>
      <c r="AG118" s="24">
        <f ca="1">IFERROR(__xludf.DUMMYFUNCTION("""COMPUTED_VALUE"""),0)</f>
        <v>0</v>
      </c>
      <c r="AH118" s="24">
        <f ca="1">IFERROR(__xludf.DUMMYFUNCTION("""COMPUTED_VALUE"""),12593)</f>
        <v>12593</v>
      </c>
      <c r="AI118" s="24">
        <f ca="1">IFERROR(__xludf.DUMMYFUNCTION("""COMPUTED_VALUE"""),0)</f>
        <v>0</v>
      </c>
      <c r="AJ118" s="24">
        <f ca="1">IFERROR(__xludf.DUMMYFUNCTION("""COMPUTED_VALUE"""),257)</f>
        <v>257</v>
      </c>
      <c r="AK118" s="24">
        <f ca="1">IFERROR(__xludf.DUMMYFUNCTION("""COMPUTED_VALUE"""),0)</f>
        <v>0</v>
      </c>
      <c r="AL118" s="24">
        <f ca="1">IFERROR(__xludf.DUMMYFUNCTION("""COMPUTED_VALUE"""),0)</f>
        <v>0</v>
      </c>
      <c r="AM118" s="20"/>
      <c r="AN118" s="20"/>
      <c r="AO118" s="20"/>
      <c r="AP118" s="20"/>
      <c r="AQ118" s="20"/>
      <c r="AR118" s="24">
        <f ca="1">IFERROR(__xludf.DUMMYFUNCTION("""COMPUTED_VALUE"""),0)</f>
        <v>0</v>
      </c>
      <c r="AS118" s="20"/>
      <c r="AT118" s="20"/>
      <c r="AU118" s="20"/>
      <c r="AV118" s="20"/>
      <c r="AW118" s="20"/>
      <c r="AX118" s="24">
        <f ca="1">IFERROR(__xludf.DUMMYFUNCTION("""COMPUTED_VALUE"""),12850)</f>
        <v>12850</v>
      </c>
      <c r="AY118" s="24">
        <f ca="1">IFERROR(__xludf.DUMMYFUNCTION("""COMPUTED_VALUE"""),0)</f>
        <v>0</v>
      </c>
      <c r="AZ118" s="24">
        <f ca="1">IFERROR(__xludf.DUMMYFUNCTION("""COMPUTED_VALUE"""),12593)</f>
        <v>12593</v>
      </c>
      <c r="BA118" s="24">
        <f ca="1">IFERROR(__xludf.DUMMYFUNCTION("""COMPUTED_VALUE"""),0)</f>
        <v>0</v>
      </c>
      <c r="BB118" s="24">
        <f ca="1">IFERROR(__xludf.DUMMYFUNCTION("""COMPUTED_VALUE"""),257)</f>
        <v>257</v>
      </c>
      <c r="BC118" s="20"/>
      <c r="BD118" s="24">
        <f ca="1">IFERROR(__xludf.DUMMYFUNCTION("""COMPUTED_VALUE"""),0)</f>
        <v>0</v>
      </c>
      <c r="BE118" s="24">
        <f ca="1">IFERROR(__xludf.DUMMYFUNCTION("""COMPUTED_VALUE"""),0)</f>
        <v>0</v>
      </c>
      <c r="BF118" s="24">
        <f ca="1">IFERROR(__xludf.DUMMYFUNCTION("""COMPUTED_VALUE"""),0)</f>
        <v>0</v>
      </c>
      <c r="BG118" s="24">
        <f ca="1">IFERROR(__xludf.DUMMYFUNCTION("""COMPUTED_VALUE"""),0)</f>
        <v>0</v>
      </c>
      <c r="BH118" s="24">
        <f ca="1">IFERROR(__xludf.DUMMYFUNCTION("""COMPUTED_VALUE"""),0)</f>
        <v>0</v>
      </c>
      <c r="BI118" s="20"/>
      <c r="BJ118" s="24">
        <f ca="1">IFERROR(__xludf.DUMMYFUNCTION("""COMPUTED_VALUE"""),0)</f>
        <v>0</v>
      </c>
      <c r="BK118" s="24">
        <f ca="1">IFERROR(__xludf.DUMMYFUNCTION("""COMPUTED_VALUE"""),0)</f>
        <v>0</v>
      </c>
      <c r="BL118" s="24">
        <f ca="1">IFERROR(__xludf.DUMMYFUNCTION("""COMPUTED_VALUE"""),0)</f>
        <v>0</v>
      </c>
      <c r="BM118" s="24">
        <f ca="1">IFERROR(__xludf.DUMMYFUNCTION("""COMPUTED_VALUE"""),0)</f>
        <v>0</v>
      </c>
      <c r="BN118" s="24">
        <f ca="1">IFERROR(__xludf.DUMMYFUNCTION("""COMPUTED_VALUE"""),0)</f>
        <v>0</v>
      </c>
      <c r="BO118" s="20"/>
      <c r="BP118" s="24">
        <f ca="1">IFERROR(__xludf.DUMMYFUNCTION("""COMPUTED_VALUE"""),0)</f>
        <v>0</v>
      </c>
      <c r="BQ118" s="24">
        <f ca="1">IFERROR(__xludf.DUMMYFUNCTION("""COMPUTED_VALUE"""),0)</f>
        <v>0</v>
      </c>
      <c r="BR118" s="24">
        <f ca="1">IFERROR(__xludf.DUMMYFUNCTION("""COMPUTED_VALUE"""),0)</f>
        <v>0</v>
      </c>
      <c r="BS118" s="24">
        <f ca="1">IFERROR(__xludf.DUMMYFUNCTION("""COMPUTED_VALUE"""),0)</f>
        <v>0</v>
      </c>
      <c r="BT118" s="24">
        <f ca="1">IFERROR(__xludf.DUMMYFUNCTION("""COMPUTED_VALUE"""),0)</f>
        <v>0</v>
      </c>
      <c r="BU118" s="20"/>
      <c r="BV118" s="24">
        <f ca="1">IFERROR(__xludf.DUMMYFUNCTION("""COMPUTED_VALUE"""),0)</f>
        <v>0</v>
      </c>
      <c r="BW118" s="24">
        <f ca="1">IFERROR(__xludf.DUMMYFUNCTION("""COMPUTED_VALUE"""),0)</f>
        <v>0</v>
      </c>
      <c r="BX118" s="24">
        <f ca="1">IFERROR(__xludf.DUMMYFUNCTION("""COMPUTED_VALUE"""),0)</f>
        <v>0</v>
      </c>
      <c r="BY118" s="24">
        <f ca="1">IFERROR(__xludf.DUMMYFUNCTION("""COMPUTED_VALUE"""),0)</f>
        <v>0</v>
      </c>
      <c r="BZ118" s="24">
        <f ca="1">IFERROR(__xludf.DUMMYFUNCTION("""COMPUTED_VALUE"""),0)</f>
        <v>0</v>
      </c>
      <c r="CA118" s="20"/>
      <c r="CB118" s="20" t="str">
        <f ca="1">IFERROR(__xludf.DUMMYFUNCTION("""COMPUTED_VALUE"""),"заключен")</f>
        <v>заключен</v>
      </c>
      <c r="CC118" s="26">
        <f ca="1">IFERROR(__xludf.DUMMYFUNCTION("""COMPUTED_VALUE"""),44015)</f>
        <v>44015</v>
      </c>
      <c r="CD118" s="20" t="str">
        <f ca="1">IFERROR(__xludf.DUMMYFUNCTION("""COMPUTED_VALUE"""),"0148200005420000216")</f>
        <v>0148200005420000216</v>
      </c>
      <c r="CE118" s="26">
        <f ca="1">IFERROR(__xludf.DUMMYFUNCTION("""COMPUTED_VALUE"""),44042)</f>
        <v>44042</v>
      </c>
      <c r="CF118" s="20" t="str">
        <f ca="1">IFERROR(__xludf.DUMMYFUNCTION("""COMPUTED_VALUE"""),"0148200005420000216")</f>
        <v>0148200005420000216</v>
      </c>
      <c r="CG118" s="20">
        <f ca="1">IFERROR(__xludf.DUMMYFUNCTION("""COMPUTED_VALUE"""),124106822.23)</f>
        <v>124106822.23</v>
      </c>
      <c r="CH118" s="20" t="str">
        <f ca="1">IFERROR(__xludf.DUMMYFUNCTION("""COMPUTED_VALUE"""),"ООО ""СТРОЙ ГРУПП""")</f>
        <v>ООО "СТРОЙ ГРУПП"</v>
      </c>
      <c r="CI118" s="27" t="str">
        <f ca="1">IFERROR(__xludf.DUMMYFUNCTION("""COMPUTED_VALUE"""),"https://zakupki.gov.ru/epz/contract/contractCard/common-info.html?reestrNumber=3505200212820000041&amp;backUrl=1ea4d53e-11b5-4198-a12a-960e006f535e")</f>
        <v>https://zakupki.gov.ru/epz/contract/contractCard/common-info.html?reestrNumber=3505200212820000041&amp;backUrl=1ea4d53e-11b5-4198-a12a-960e006f535e</v>
      </c>
      <c r="CJ118" s="20" t="str">
        <f ca="1">IFERROR(__xludf.DUMMYFUNCTION("""COMPUTED_VALUE"""),"—//—")</f>
        <v>—//—</v>
      </c>
      <c r="CK118" s="20" t="str">
        <f ca="1">IFERROR(__xludf.DUMMYFUNCTION("""COMPUTED_VALUE"""),"—//—")</f>
        <v>—//—</v>
      </c>
      <c r="CL118" s="20" t="str">
        <f ca="1">IFERROR(__xludf.DUMMYFUNCTION("""COMPUTED_VALUE"""),"—//—")</f>
        <v>—//—</v>
      </c>
      <c r="CM118" s="20"/>
      <c r="CN118" s="20"/>
      <c r="CO118" s="20"/>
      <c r="CP118" s="20"/>
      <c r="CQ118" s="20"/>
      <c r="CR118" s="20"/>
      <c r="CS118" s="20"/>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row>
    <row r="119" spans="1:123" ht="64.5" customHeight="1" x14ac:dyDescent="0.2">
      <c r="A119" s="19"/>
      <c r="B119" s="20" t="str">
        <f ca="1">IFERROR(__xludf.DUMMYFUNCTION("""COMPUTED_VALUE"""),"г.о. Раменский")</f>
        <v>г.о. Раменский</v>
      </c>
      <c r="C11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9" s="20" t="str">
        <f ca="1">IFERROR(__xludf.DUMMYFUNCTION("""COMPUTED_VALUE"""),"МинЖКХ")</f>
        <v>МинЖКХ</v>
      </c>
      <c r="E119" s="20" t="str">
        <f ca="1">IFERROR(__xludf.DUMMYFUNCTION("""COMPUTED_VALUE"""),"Строительство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f>
        <v>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v>
      </c>
      <c r="F119" s="32" t="str">
        <f ca="1">IFERROR(__xludf.DUMMYFUNCTION("""COMPUTED_VALUE"""),"ВЗУ")</f>
        <v>ВЗУ</v>
      </c>
      <c r="G119" s="20" t="str">
        <f ca="1">IFERROR(__xludf.DUMMYFUNCTION("""COMPUTED_VALUE"""),"2020-2021")</f>
        <v>2020-2021</v>
      </c>
      <c r="H119" s="20" t="str">
        <f ca="1">IFERROR(__xludf.DUMMYFUNCTION("""COMPUTED_VALUE"""),"СМР")</f>
        <v>СМР</v>
      </c>
      <c r="I119" s="23">
        <f ca="1">IFERROR(__xludf.DUMMYFUNCTION("""COMPUTED_VALUE"""),0.31)</f>
        <v>0.31</v>
      </c>
      <c r="J119" s="20" t="str">
        <f ca="1">IFERROR(__xludf.DUMMYFUNCTION("""COMPUTED_VALUE"""),"Выполнены работы по устройству котлована. Смонтирована фундаментная плита, ведется армирование и бетонирование стен с прокладкой инженерных коммуникаций.
ЛИМИТЫ НЕ БУДУТ ОСВОЕНЫ! Администрацией готовится письмо о переносе лимитов.")</f>
        <v>Выполнены работы по устройству котлована. Смонтирована фундаментная плита, ведется армирование и бетонирование стен с прокладкой инженерных коммуникаций.
ЛИМИТЫ НЕ БУДУТ ОСВОЕНЫ! Администрацией готовится письмо о переносе лимитов.</v>
      </c>
      <c r="K119" s="20"/>
      <c r="L119" s="20"/>
      <c r="M119" s="20"/>
      <c r="N119" s="24">
        <f ca="1">IFERROR(__xludf.DUMMYFUNCTION("""COMPUTED_VALUE"""),15852.89)</f>
        <v>15852.89</v>
      </c>
      <c r="O119" s="20"/>
      <c r="P119" s="24">
        <f ca="1">IFERROR(__xludf.DUMMYFUNCTION("""COMPUTED_VALUE"""),15852.89)</f>
        <v>15852.89</v>
      </c>
      <c r="Q119" s="20"/>
      <c r="R119" s="20"/>
      <c r="S119" s="20"/>
      <c r="T119" s="20" t="str">
        <f ca="1">IFERROR(__xludf.DUMMYFUNCTION("""COMPUTED_VALUE"""),"""Отклонена заявка на сумму 154,11 тыс. рублей.
Администарцией направлено письмо от 19.11.2020 № 161-01Исх-17190 о переносе лимитов на 2021 год.""")</f>
        <v>"Отклонена заявка на сумму 154,11 тыс. рублей.
Администарцией направлено письмо от 19.11.2020 № 161-01Исх-17190 о переносе лимитов на 2021 год."</v>
      </c>
      <c r="U119" s="24">
        <f ca="1">IFERROR(__xludf.DUMMYFUNCTION("""COMPUTED_VALUE"""),21653.62)</f>
        <v>21653.62</v>
      </c>
      <c r="V119" s="24">
        <f ca="1">IFERROR(__xludf.DUMMYFUNCTION("""COMPUTED_VALUE"""),0)</f>
        <v>0</v>
      </c>
      <c r="W119" s="24">
        <f ca="1">IFERROR(__xludf.DUMMYFUNCTION("""COMPUTED_VALUE"""),19778.11)</f>
        <v>19778.11</v>
      </c>
      <c r="X119" s="24">
        <f ca="1">IFERROR(__xludf.DUMMYFUNCTION("""COMPUTED_VALUE"""),0)</f>
        <v>0</v>
      </c>
      <c r="Y119" s="24">
        <f ca="1">IFERROR(__xludf.DUMMYFUNCTION("""COMPUTED_VALUE"""),1875.51)</f>
        <v>1875.51</v>
      </c>
      <c r="Z119" s="24">
        <f ca="1">IFERROR(__xludf.DUMMYFUNCTION("""COMPUTED_VALUE"""),0)</f>
        <v>0</v>
      </c>
      <c r="AA119" s="20" t="str">
        <f ca="1">IFERROR(__xludf.DUMMYFUNCTION("""COMPUTED_VALUE"""),"10 1 02 64090")</f>
        <v>10 1 02 64090</v>
      </c>
      <c r="AB119" s="20">
        <f ca="1">IFERROR(__xludf.DUMMYFUNCTION("""COMPUTED_VALUE"""),522)</f>
        <v>522</v>
      </c>
      <c r="AC119" s="20" t="str">
        <f ca="1">IFERROR(__xludf.DUMMYFUNCTION("""COMPUTED_VALUE"""),"Да")</f>
        <v>Да</v>
      </c>
      <c r="AD119" s="20" t="str">
        <f ca="1">IFERROR(__xludf.DUMMYFUNCTION("""COMPUTED_VALUE"""),"Получено")</f>
        <v>Получено</v>
      </c>
      <c r="AE119" s="20" t="str">
        <f ca="1">IFERROR(__xludf.DUMMYFUNCTION("""COMPUTED_VALUE"""),"№50-RU50525101-516-2020 от 31.12.2020")</f>
        <v>№50-RU50525101-516-2020 от 31.12.2020</v>
      </c>
      <c r="AF119" s="24">
        <f ca="1">IFERROR(__xludf.DUMMYFUNCTION("""COMPUTED_VALUE"""),124134.239999999)</f>
        <v>124134.239999999</v>
      </c>
      <c r="AG119" s="24">
        <f ca="1">IFERROR(__xludf.DUMMYFUNCTION("""COMPUTED_VALUE"""),0)</f>
        <v>0</v>
      </c>
      <c r="AH119" s="24">
        <f ca="1">IFERROR(__xludf.DUMMYFUNCTION("""COMPUTED_VALUE"""),118769.09)</f>
        <v>118769.09</v>
      </c>
      <c r="AI119" s="24">
        <f ca="1">IFERROR(__xludf.DUMMYFUNCTION("""COMPUTED_VALUE"""),0)</f>
        <v>0</v>
      </c>
      <c r="AJ119" s="24">
        <f ca="1">IFERROR(__xludf.DUMMYFUNCTION("""COMPUTED_VALUE"""),5365.15)</f>
        <v>5365.15</v>
      </c>
      <c r="AK119" s="24">
        <f ca="1">IFERROR(__xludf.DUMMYFUNCTION("""COMPUTED_VALUE"""),0)</f>
        <v>0</v>
      </c>
      <c r="AL119" s="24">
        <f ca="1">IFERROR(__xludf.DUMMYFUNCTION("""COMPUTED_VALUE"""),7914.33)</f>
        <v>7914.33</v>
      </c>
      <c r="AM119" s="24">
        <f ca="1">IFERROR(__xludf.DUMMYFUNCTION("""COMPUTED_VALUE"""),0)</f>
        <v>0</v>
      </c>
      <c r="AN119" s="24">
        <f ca="1">IFERROR(__xludf.DUMMYFUNCTION("""COMPUTED_VALUE"""),7518.61)</f>
        <v>7518.61</v>
      </c>
      <c r="AO119" s="24">
        <f ca="1">IFERROR(__xludf.DUMMYFUNCTION("""COMPUTED_VALUE"""),0)</f>
        <v>0</v>
      </c>
      <c r="AP119" s="24">
        <f ca="1">IFERROR(__xludf.DUMMYFUNCTION("""COMPUTED_VALUE"""),395.72)</f>
        <v>395.72</v>
      </c>
      <c r="AQ119" s="24">
        <f ca="1">IFERROR(__xludf.DUMMYFUNCTION("""COMPUTED_VALUE"""),0)</f>
        <v>0</v>
      </c>
      <c r="AR119" s="24">
        <f ca="1">IFERROR(__xludf.DUMMYFUNCTION("""COMPUTED_VALUE"""),17737.5799999999)</f>
        <v>17737.5799999999</v>
      </c>
      <c r="AS119" s="24">
        <f ca="1">IFERROR(__xludf.DUMMYFUNCTION("""COMPUTED_VALUE"""),0)</f>
        <v>0</v>
      </c>
      <c r="AT119" s="24">
        <f ca="1">IFERROR(__xludf.DUMMYFUNCTION("""COMPUTED_VALUE"""),16850.48)</f>
        <v>16850.48</v>
      </c>
      <c r="AU119" s="24">
        <f ca="1">IFERROR(__xludf.DUMMYFUNCTION("""COMPUTED_VALUE"""),0)</f>
        <v>0</v>
      </c>
      <c r="AV119" s="24">
        <f ca="1">IFERROR(__xludf.DUMMYFUNCTION("""COMPUTED_VALUE"""),887.1)</f>
        <v>887.1</v>
      </c>
      <c r="AW119" s="24">
        <f ca="1">IFERROR(__xludf.DUMMYFUNCTION("""COMPUTED_VALUE"""),0)</f>
        <v>0</v>
      </c>
      <c r="AX119" s="24">
        <f ca="1">IFERROR(__xludf.DUMMYFUNCTION("""COMPUTED_VALUE"""),37506.51)</f>
        <v>37506.51</v>
      </c>
      <c r="AY119" s="24">
        <f ca="1">IFERROR(__xludf.DUMMYFUNCTION("""COMPUTED_VALUE"""),0)</f>
        <v>0</v>
      </c>
      <c r="AZ119" s="24">
        <f ca="1">IFERROR(__xludf.DUMMYFUNCTION("""COMPUTED_VALUE"""),35631)</f>
        <v>35631</v>
      </c>
      <c r="BA119" s="24">
        <f ca="1">IFERROR(__xludf.DUMMYFUNCTION("""COMPUTED_VALUE"""),0)</f>
        <v>0</v>
      </c>
      <c r="BB119" s="24">
        <f ca="1">IFERROR(__xludf.DUMMYFUNCTION("""COMPUTED_VALUE"""),1875.51)</f>
        <v>1875.51</v>
      </c>
      <c r="BC119" s="20"/>
      <c r="BD119" s="24">
        <f ca="1">IFERROR(__xludf.DUMMYFUNCTION("""COMPUTED_VALUE"""),60975.82)</f>
        <v>60975.82</v>
      </c>
      <c r="BE119" s="24">
        <f ca="1">IFERROR(__xludf.DUMMYFUNCTION("""COMPUTED_VALUE"""),0)</f>
        <v>0</v>
      </c>
      <c r="BF119" s="24">
        <f ca="1">IFERROR(__xludf.DUMMYFUNCTION("""COMPUTED_VALUE"""),58769)</f>
        <v>58769</v>
      </c>
      <c r="BG119" s="24">
        <f ca="1">IFERROR(__xludf.DUMMYFUNCTION("""COMPUTED_VALUE"""),0)</f>
        <v>0</v>
      </c>
      <c r="BH119" s="24">
        <f ca="1">IFERROR(__xludf.DUMMYFUNCTION("""COMPUTED_VALUE"""),2206.82)</f>
        <v>2206.8200000000002</v>
      </c>
      <c r="BI119" s="20"/>
      <c r="BJ119" s="24">
        <f ca="1">IFERROR(__xludf.DUMMYFUNCTION("""COMPUTED_VALUE"""),0)</f>
        <v>0</v>
      </c>
      <c r="BK119" s="24">
        <f ca="1">IFERROR(__xludf.DUMMYFUNCTION("""COMPUTED_VALUE"""),0)</f>
        <v>0</v>
      </c>
      <c r="BL119" s="24">
        <f ca="1">IFERROR(__xludf.DUMMYFUNCTION("""COMPUTED_VALUE"""),0)</f>
        <v>0</v>
      </c>
      <c r="BM119" s="24">
        <f ca="1">IFERROR(__xludf.DUMMYFUNCTION("""COMPUTED_VALUE"""),0)</f>
        <v>0</v>
      </c>
      <c r="BN119" s="24">
        <f ca="1">IFERROR(__xludf.DUMMYFUNCTION("""COMPUTED_VALUE"""),0)</f>
        <v>0</v>
      </c>
      <c r="BO119" s="20"/>
      <c r="BP119" s="24">
        <f ca="1">IFERROR(__xludf.DUMMYFUNCTION("""COMPUTED_VALUE"""),0)</f>
        <v>0</v>
      </c>
      <c r="BQ119" s="24">
        <f ca="1">IFERROR(__xludf.DUMMYFUNCTION("""COMPUTED_VALUE"""),0)</f>
        <v>0</v>
      </c>
      <c r="BR119" s="24">
        <f ca="1">IFERROR(__xludf.DUMMYFUNCTION("""COMPUTED_VALUE"""),0)</f>
        <v>0</v>
      </c>
      <c r="BS119" s="24">
        <f ca="1">IFERROR(__xludf.DUMMYFUNCTION("""COMPUTED_VALUE"""),0)</f>
        <v>0</v>
      </c>
      <c r="BT119" s="24">
        <f ca="1">IFERROR(__xludf.DUMMYFUNCTION("""COMPUTED_VALUE"""),0)</f>
        <v>0</v>
      </c>
      <c r="BU119" s="20"/>
      <c r="BV119" s="24">
        <f ca="1">IFERROR(__xludf.DUMMYFUNCTION("""COMPUTED_VALUE"""),0)</f>
        <v>0</v>
      </c>
      <c r="BW119" s="24">
        <f ca="1">IFERROR(__xludf.DUMMYFUNCTION("""COMPUTED_VALUE"""),0)</f>
        <v>0</v>
      </c>
      <c r="BX119" s="24">
        <f ca="1">IFERROR(__xludf.DUMMYFUNCTION("""COMPUTED_VALUE"""),0)</f>
        <v>0</v>
      </c>
      <c r="BY119" s="24">
        <f ca="1">IFERROR(__xludf.DUMMYFUNCTION("""COMPUTED_VALUE"""),0)</f>
        <v>0</v>
      </c>
      <c r="BZ119" s="24">
        <f ca="1">IFERROR(__xludf.DUMMYFUNCTION("""COMPUTED_VALUE"""),0)</f>
        <v>0</v>
      </c>
      <c r="CA119" s="20"/>
      <c r="CB119" s="20"/>
      <c r="CC119" s="20"/>
      <c r="CD119" s="20"/>
      <c r="CE119" s="20"/>
      <c r="CF119" s="20"/>
      <c r="CG119" s="20"/>
      <c r="CH119" s="20"/>
      <c r="CI119" s="20"/>
      <c r="CJ119" s="20"/>
      <c r="CK119" s="20"/>
      <c r="CL119" s="20"/>
      <c r="CM119" s="26">
        <f ca="1">IFERROR(__xludf.DUMMYFUNCTION("""COMPUTED_VALUE"""),43657)</f>
        <v>43657</v>
      </c>
      <c r="CN119" s="20" t="str">
        <f ca="1">IFERROR(__xludf.DUMMYFUNCTION("""COMPUTED_VALUE"""),"0148200005419000343")</f>
        <v>0148200005419000343</v>
      </c>
      <c r="CO119" s="26">
        <f ca="1">IFERROR(__xludf.DUMMYFUNCTION("""COMPUTED_VALUE"""),43682)</f>
        <v>43682</v>
      </c>
      <c r="CP119" s="20">
        <f ca="1">IFERROR(__xludf.DUMMYFUNCTION("""COMPUTED_VALUE"""),46)</f>
        <v>46</v>
      </c>
      <c r="CQ119" s="20">
        <f ca="1">IFERROR(__xludf.DUMMYFUNCTION("""COMPUTED_VALUE"""),74623202.3)</f>
        <v>74623202.299999997</v>
      </c>
      <c r="CR119" s="20" t="str">
        <f ca="1">IFERROR(__xludf.DUMMYFUNCTION("""COMPUTED_VALUE"""),"ООО ""ГИП")</f>
        <v>ООО "ГИП</v>
      </c>
      <c r="CS119" s="27" t="str">
        <f ca="1">IFERROR(__xludf.DUMMYFUNCTION("""COMPUTED_VALUE"""),"https://zakupki.gov.ru/epz/contract/contractCard/common-info.html?reestrNumber=3504015306619000041&amp;backUrl=fddf9ec1-e2b3-4818-9dc5-49b0a829a976")</f>
        <v>https://zakupki.gov.ru/epz/contract/contractCard/common-info.html?reestrNumber=3504015306619000041&amp;backUrl=fddf9ec1-e2b3-4818-9dc5-49b0a829a976</v>
      </c>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row>
    <row r="120" spans="1:123" ht="64.5" customHeight="1" x14ac:dyDescent="0.2">
      <c r="A120" s="19"/>
      <c r="B120" s="20" t="str">
        <f ca="1">IFERROR(__xludf.DUMMYFUNCTION("""COMPUTED_VALUE"""),"г.о. Жуковский")</f>
        <v>г.о. Жуковский</v>
      </c>
      <c r="C12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0" s="20" t="str">
        <f ca="1">IFERROR(__xludf.DUMMYFUNCTION("""COMPUTED_VALUE"""),"МинЖКХ")</f>
        <v>МинЖКХ</v>
      </c>
      <c r="E120" s="20" t="str">
        <f ca="1">IFERROR(__xludf.DUMMYFUNCTION("""COMPUTED_VALUE"""),"Реконструкция и модернизация комплекса сооружений водопроводной насосной станции №5 (ВЗУ№5) ,  г. Жуковский")</f>
        <v>Реконструкция и модернизация комплекса сооружений водопроводной насосной станции №5 (ВЗУ№5) ,  г. Жуковский</v>
      </c>
      <c r="F120" s="32" t="str">
        <f ca="1">IFERROR(__xludf.DUMMYFUNCTION("""COMPUTED_VALUE"""),"ВЗУ")</f>
        <v>ВЗУ</v>
      </c>
      <c r="G120" s="20" t="str">
        <f ca="1">IFERROR(__xludf.DUMMYFUNCTION("""COMPUTED_VALUE"""),"2020-2022")</f>
        <v>2020-2022</v>
      </c>
      <c r="H120" s="20" t="str">
        <f ca="1">IFERROR(__xludf.DUMMYFUNCTION("""COMPUTED_VALUE"""),"СМР")</f>
        <v>СМР</v>
      </c>
      <c r="I120" s="23">
        <f ca="1">IFERROR(__xludf.DUMMYFUNCTION("""COMPUTED_VALUE"""),0.657)</f>
        <v>0.65700000000000003</v>
      </c>
      <c r="J120" s="20" t="str">
        <f ca="1">IFERROR(__xludf.DUMMYFUNCTION("""COMPUTED_VALUE"""),"Оборудование заказано и оплачено в полном объеме. Выполнены работы по прокладке наружных и инженерных коммуникаций. Выполнены работы по устройству котлована, бурению и погружению шпунта. Залит фундамент ж/б конструкций. Ведутся работы по армированию стен "&amp;"сооружения.")</f>
        <v>Оборудование заказано и оплачено в полном объеме. Выполнены работы по прокладке наружных и инженерных коммуникаций. Выполнены работы по устройству котлована, бурению и погружению шпунта. Залит фундамент ж/б конструкций. Ведутся работы по армированию стен сооружения.</v>
      </c>
      <c r="K120" s="20">
        <f ca="1">IFERROR(__xludf.DUMMYFUNCTION("""COMPUTED_VALUE"""),18000)</f>
        <v>18000</v>
      </c>
      <c r="L120" s="20">
        <f ca="1">IFERROR(__xludf.DUMMYFUNCTION("""COMPUTED_VALUE"""),18000)</f>
        <v>18000</v>
      </c>
      <c r="M120" s="20"/>
      <c r="N120" s="24">
        <f ca="1">IFERROR(__xludf.DUMMYFUNCTION("""COMPUTED_VALUE"""),59359.06)</f>
        <v>59359.06</v>
      </c>
      <c r="O120" s="20"/>
      <c r="P120" s="24">
        <f ca="1">IFERROR(__xludf.DUMMYFUNCTION("""COMPUTED_VALUE"""),59359.06)</f>
        <v>59359.06</v>
      </c>
      <c r="Q120" s="20"/>
      <c r="R120" s="20"/>
      <c r="S120" s="20"/>
      <c r="T120" s="20" t="str">
        <f ca="1">IFERROR(__xludf.DUMMYFUNCTION("""COMPUTED_VALUE"""),"""Необходима корректировка проекта в части включения укомплектования трансформаторной подстанции.  
 Низкий процент освоения. Повторно направлена заявка с учетом замечаний на сумму 9,3 млн. руб.""")</f>
        <v>"Необходима корректировка проекта в части включения укомплектования трансформаторной подстанции.  
 Низкий процент освоения. Повторно направлена заявка с учетом замечаний на сумму 9,3 млн. руб."</v>
      </c>
      <c r="U120" s="24">
        <f ca="1">IFERROR(__xludf.DUMMYFUNCTION("""COMPUTED_VALUE"""),3492.52)</f>
        <v>3492.52</v>
      </c>
      <c r="V120" s="24">
        <f ca="1">IFERROR(__xludf.DUMMYFUNCTION("""COMPUTED_VALUE"""),0)</f>
        <v>0</v>
      </c>
      <c r="W120" s="24">
        <f ca="1">IFERROR(__xludf.DUMMYFUNCTION("""COMPUTED_VALUE"""),349.940000000002)</f>
        <v>349.94000000000199</v>
      </c>
      <c r="X120" s="24">
        <f ca="1">IFERROR(__xludf.DUMMYFUNCTION("""COMPUTED_VALUE"""),0)</f>
        <v>0</v>
      </c>
      <c r="Y120" s="24">
        <f ca="1">IFERROR(__xludf.DUMMYFUNCTION("""COMPUTED_VALUE"""),3142.58)</f>
        <v>3142.58</v>
      </c>
      <c r="Z120" s="24">
        <f ca="1">IFERROR(__xludf.DUMMYFUNCTION("""COMPUTED_VALUE"""),0)</f>
        <v>0</v>
      </c>
      <c r="AA120" s="20" t="str">
        <f ca="1">IFERROR(__xludf.DUMMYFUNCTION("""COMPUTED_VALUE"""),"10 1 02 64090")</f>
        <v>10 1 02 64090</v>
      </c>
      <c r="AB120" s="20">
        <f ca="1">IFERROR(__xludf.DUMMYFUNCTION("""COMPUTED_VALUE"""),522)</f>
        <v>522</v>
      </c>
      <c r="AC120" s="20" t="str">
        <f ca="1">IFERROR(__xludf.DUMMYFUNCTION("""COMPUTED_VALUE"""),"Да")</f>
        <v>Да</v>
      </c>
      <c r="AD120" s="20" t="str">
        <f ca="1">IFERROR(__xludf.DUMMYFUNCTION("""COMPUTED_VALUE"""),"Получено")</f>
        <v>Получено</v>
      </c>
      <c r="AE120" s="20" t="str">
        <f ca="1">IFERROR(__xludf.DUMMYFUNCTION("""COMPUTED_VALUE"""),"№ RU50304000-265 от 30.12.2019")</f>
        <v>№ RU50304000-265 от 30.12.2019</v>
      </c>
      <c r="AF120" s="24">
        <f ca="1">IFERROR(__xludf.DUMMYFUNCTION("""COMPUTED_VALUE"""),172471.55)</f>
        <v>172471.55</v>
      </c>
      <c r="AG120" s="24">
        <f ca="1">IFERROR(__xludf.DUMMYFUNCTION("""COMPUTED_VALUE"""),0)</f>
        <v>0</v>
      </c>
      <c r="AH120" s="24">
        <f ca="1">IFERROR(__xludf.DUMMYFUNCTION("""COMPUTED_VALUE"""),157340.41)</f>
        <v>157340.41</v>
      </c>
      <c r="AI120" s="24">
        <f ca="1">IFERROR(__xludf.DUMMYFUNCTION("""COMPUTED_VALUE"""),0)</f>
        <v>0</v>
      </c>
      <c r="AJ120" s="24">
        <f ca="1">IFERROR(__xludf.DUMMYFUNCTION("""COMPUTED_VALUE"""),15131.14)</f>
        <v>15131.14</v>
      </c>
      <c r="AK120" s="24">
        <f ca="1">IFERROR(__xludf.DUMMYFUNCTION("""COMPUTED_VALUE"""),0)</f>
        <v>0</v>
      </c>
      <c r="AL120" s="24">
        <f ca="1">IFERROR(__xludf.DUMMYFUNCTION("""COMPUTED_VALUE"""),0)</f>
        <v>0</v>
      </c>
      <c r="AM120" s="20"/>
      <c r="AN120" s="20"/>
      <c r="AO120" s="20"/>
      <c r="AP120" s="20"/>
      <c r="AQ120" s="20"/>
      <c r="AR120" s="24">
        <f ca="1">IFERROR(__xludf.DUMMYFUNCTION("""COMPUTED_VALUE"""),0)</f>
        <v>0</v>
      </c>
      <c r="AS120" s="20"/>
      <c r="AT120" s="20"/>
      <c r="AU120" s="20"/>
      <c r="AV120" s="20"/>
      <c r="AW120" s="20"/>
      <c r="AX120" s="24">
        <f ca="1">IFERROR(__xludf.DUMMYFUNCTION("""COMPUTED_VALUE"""),62851.58)</f>
        <v>62851.58</v>
      </c>
      <c r="AY120" s="24">
        <f ca="1">IFERROR(__xludf.DUMMYFUNCTION("""COMPUTED_VALUE"""),0)</f>
        <v>0</v>
      </c>
      <c r="AZ120" s="24">
        <f ca="1">IFERROR(__xludf.DUMMYFUNCTION("""COMPUTED_VALUE"""),59709)</f>
        <v>59709</v>
      </c>
      <c r="BA120" s="24">
        <f ca="1">IFERROR(__xludf.DUMMYFUNCTION("""COMPUTED_VALUE"""),0)</f>
        <v>0</v>
      </c>
      <c r="BB120" s="24">
        <f ca="1">IFERROR(__xludf.DUMMYFUNCTION("""COMPUTED_VALUE"""),3142.58)</f>
        <v>3142.58</v>
      </c>
      <c r="BC120" s="20"/>
      <c r="BD120" s="24">
        <f ca="1">IFERROR(__xludf.DUMMYFUNCTION("""COMPUTED_VALUE"""),61420.1)</f>
        <v>61420.1</v>
      </c>
      <c r="BE120" s="24">
        <f ca="1">IFERROR(__xludf.DUMMYFUNCTION("""COMPUTED_VALUE"""),0)</f>
        <v>0</v>
      </c>
      <c r="BF120" s="24">
        <f ca="1">IFERROR(__xludf.DUMMYFUNCTION("""COMPUTED_VALUE"""),58349)</f>
        <v>58349</v>
      </c>
      <c r="BG120" s="24">
        <f ca="1">IFERROR(__xludf.DUMMYFUNCTION("""COMPUTED_VALUE"""),0)</f>
        <v>0</v>
      </c>
      <c r="BH120" s="24">
        <f ca="1">IFERROR(__xludf.DUMMYFUNCTION("""COMPUTED_VALUE"""),3071.1)</f>
        <v>3071.1</v>
      </c>
      <c r="BI120" s="20"/>
      <c r="BJ120" s="24">
        <f ca="1">IFERROR(__xludf.DUMMYFUNCTION("""COMPUTED_VALUE"""),48199.87)</f>
        <v>48199.87</v>
      </c>
      <c r="BK120" s="24">
        <f ca="1">IFERROR(__xludf.DUMMYFUNCTION("""COMPUTED_VALUE"""),0)</f>
        <v>0</v>
      </c>
      <c r="BL120" s="24">
        <f ca="1">IFERROR(__xludf.DUMMYFUNCTION("""COMPUTED_VALUE"""),39282.41)</f>
        <v>39282.410000000003</v>
      </c>
      <c r="BM120" s="24">
        <f ca="1">IFERROR(__xludf.DUMMYFUNCTION("""COMPUTED_VALUE"""),0)</f>
        <v>0</v>
      </c>
      <c r="BN120" s="24">
        <f ca="1">IFERROR(__xludf.DUMMYFUNCTION("""COMPUTED_VALUE"""),8917.46)</f>
        <v>8917.4599999999991</v>
      </c>
      <c r="BO120" s="20"/>
      <c r="BP120" s="24">
        <f ca="1">IFERROR(__xludf.DUMMYFUNCTION("""COMPUTED_VALUE"""),0)</f>
        <v>0</v>
      </c>
      <c r="BQ120" s="24">
        <f ca="1">IFERROR(__xludf.DUMMYFUNCTION("""COMPUTED_VALUE"""),0)</f>
        <v>0</v>
      </c>
      <c r="BR120" s="24">
        <f ca="1">IFERROR(__xludf.DUMMYFUNCTION("""COMPUTED_VALUE"""),0)</f>
        <v>0</v>
      </c>
      <c r="BS120" s="24">
        <f ca="1">IFERROR(__xludf.DUMMYFUNCTION("""COMPUTED_VALUE"""),0)</f>
        <v>0</v>
      </c>
      <c r="BT120" s="24">
        <f ca="1">IFERROR(__xludf.DUMMYFUNCTION("""COMPUTED_VALUE"""),0)</f>
        <v>0</v>
      </c>
      <c r="BU120" s="20"/>
      <c r="BV120" s="24">
        <f ca="1">IFERROR(__xludf.DUMMYFUNCTION("""COMPUTED_VALUE"""),0)</f>
        <v>0</v>
      </c>
      <c r="BW120" s="24">
        <f ca="1">IFERROR(__xludf.DUMMYFUNCTION("""COMPUTED_VALUE"""),0)</f>
        <v>0</v>
      </c>
      <c r="BX120" s="24">
        <f ca="1">IFERROR(__xludf.DUMMYFUNCTION("""COMPUTED_VALUE"""),0)</f>
        <v>0</v>
      </c>
      <c r="BY120" s="24">
        <f ca="1">IFERROR(__xludf.DUMMYFUNCTION("""COMPUTED_VALUE"""),0)</f>
        <v>0</v>
      </c>
      <c r="BZ120" s="24">
        <f ca="1">IFERROR(__xludf.DUMMYFUNCTION("""COMPUTED_VALUE"""),0)</f>
        <v>0</v>
      </c>
      <c r="CA120" s="20"/>
      <c r="CB120" s="20"/>
      <c r="CC120" s="20"/>
      <c r="CD120" s="20"/>
      <c r="CE120" s="20"/>
      <c r="CF120" s="20"/>
      <c r="CG120" s="20"/>
      <c r="CH120" s="20"/>
      <c r="CI120" s="20"/>
      <c r="CJ120" s="20"/>
      <c r="CK120" s="20"/>
      <c r="CL120" s="20"/>
      <c r="CM120" s="26">
        <f ca="1">IFERROR(__xludf.DUMMYFUNCTION("""COMPUTED_VALUE"""),43679)</f>
        <v>43679</v>
      </c>
      <c r="CN120" s="20" t="str">
        <f ca="1">IFERROR(__xludf.DUMMYFUNCTION("""COMPUTED_VALUE"""),"0148200005419000395")</f>
        <v>0148200005419000395</v>
      </c>
      <c r="CO120" s="26">
        <f ca="1">IFERROR(__xludf.DUMMYFUNCTION("""COMPUTED_VALUE"""),43707)</f>
        <v>43707</v>
      </c>
      <c r="CP120" s="20" t="str">
        <f ca="1">IFERROR(__xludf.DUMMYFUNCTION("""COMPUTED_VALUE"""),"193-мк/2019")</f>
        <v>193-мк/2019</v>
      </c>
      <c r="CQ120" s="20">
        <f ca="1">IFERROR(__xludf.DUMMYFUNCTION("""COMPUTED_VALUE"""),109242689.5)</f>
        <v>109242689.5</v>
      </c>
      <c r="CR120" s="20" t="str">
        <f ca="1">IFERROR(__xludf.DUMMYFUNCTION("""COMPUTED_VALUE"""),"ООО ""ГИП""")</f>
        <v>ООО "ГИП"</v>
      </c>
      <c r="CS120" s="27" t="str">
        <f ca="1">IFERROR(__xludf.DUMMYFUNCTION("""COMPUTED_VALUE"""),"https://zakupki.gov.ru/epz/contract/contractCard/common-info.html?reestrNumber=3501301962519000125&amp;backUrl=453d6101-7fd8-4280-a3f7-c173f563f7d6")</f>
        <v>https://zakupki.gov.ru/epz/contract/contractCard/common-info.html?reestrNumber=3501301962519000125&amp;backUrl=453d6101-7fd8-4280-a3f7-c173f563f7d6</v>
      </c>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row>
    <row r="121" spans="1:123" ht="64.5" customHeight="1" x14ac:dyDescent="0.2">
      <c r="A121" s="19"/>
      <c r="B121" s="20" t="str">
        <f ca="1">IFERROR(__xludf.DUMMYFUNCTION("""COMPUTED_VALUE"""),"г.о. Дмитровский")</f>
        <v>г.о. Дмитровский</v>
      </c>
      <c r="C12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1" s="20" t="str">
        <f ca="1">IFERROR(__xludf.DUMMYFUNCTION("""COMPUTED_VALUE"""),"МинЖКХ")</f>
        <v>МинЖКХ</v>
      </c>
      <c r="E121" s="20" t="str">
        <f ca="1">IFERROR(__xludf.DUMMYFUNCTION("""COMPUTED_VALUE"""),"Строительство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f>
        <v>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v>
      </c>
      <c r="F121" s="32" t="str">
        <f ca="1">IFERROR(__xludf.DUMMYFUNCTION("""COMPUTED_VALUE"""),"ВЗУ")</f>
        <v>ВЗУ</v>
      </c>
      <c r="G121" s="20">
        <f ca="1">IFERROR(__xludf.DUMMYFUNCTION("""COMPUTED_VALUE"""),2020)</f>
        <v>2020</v>
      </c>
      <c r="H121" s="20" t="str">
        <f ca="1">IFERROR(__xludf.DUMMYFUNCTION("""COMPUTED_VALUE"""),"СМР")</f>
        <v>СМР</v>
      </c>
      <c r="I121" s="23">
        <f ca="1">IFERROR(__xludf.DUMMYFUNCTION("""COMPUTED_VALUE"""),1)</f>
        <v>1</v>
      </c>
      <c r="J121" s="20" t="str">
        <f ca="1">IFERROR(__xludf.DUMMYFUNCTION("""COMPUTED_VALUE"""),"ЗАВЕРШЕНО.
 Объект не введен в эксплуатацию. Получение РВ планируется в ноябре 2020 года.")</f>
        <v>ЗАВЕРШЕНО.
 Объект не введен в эксплуатацию. Получение РВ планируется в ноябре 2020 года.</v>
      </c>
      <c r="K121" s="20"/>
      <c r="L121" s="20"/>
      <c r="M121" s="20"/>
      <c r="N121" s="24">
        <f ca="1">IFERROR(__xludf.DUMMYFUNCTION("""COMPUTED_VALUE"""),13172.33)</f>
        <v>13172.33</v>
      </c>
      <c r="O121" s="20"/>
      <c r="P121" s="24">
        <f ca="1">IFERROR(__xludf.DUMMYFUNCTION("""COMPUTED_VALUE"""),13172.33)</f>
        <v>13172.33</v>
      </c>
      <c r="Q121" s="20"/>
      <c r="R121" s="20"/>
      <c r="S121" s="20"/>
      <c r="T121" s="20"/>
      <c r="U121" s="24">
        <f ca="1">IFERROR(__xludf.DUMMYFUNCTION("""COMPUTED_VALUE"""),5093.30999999999)</f>
        <v>5093.3099999999904</v>
      </c>
      <c r="V121" s="24">
        <f ca="1">IFERROR(__xludf.DUMMYFUNCTION("""COMPUTED_VALUE"""),0)</f>
        <v>0</v>
      </c>
      <c r="W121" s="24">
        <f ca="1">IFERROR(__xludf.DUMMYFUNCTION("""COMPUTED_VALUE"""),1768.67)</f>
        <v>1768.67</v>
      </c>
      <c r="X121" s="24">
        <f ca="1">IFERROR(__xludf.DUMMYFUNCTION("""COMPUTED_VALUE"""),0)</f>
        <v>0</v>
      </c>
      <c r="Y121" s="24">
        <f ca="1">IFERROR(__xludf.DUMMYFUNCTION("""COMPUTED_VALUE"""),3324.64)</f>
        <v>3324.64</v>
      </c>
      <c r="Z121" s="24">
        <f ca="1">IFERROR(__xludf.DUMMYFUNCTION("""COMPUTED_VALUE"""),0)</f>
        <v>0</v>
      </c>
      <c r="AA121" s="20" t="str">
        <f ca="1">IFERROR(__xludf.DUMMYFUNCTION("""COMPUTED_VALUE"""),"10 1 02 64090")</f>
        <v>10 1 02 64090</v>
      </c>
      <c r="AB121" s="20">
        <f ca="1">IFERROR(__xludf.DUMMYFUNCTION("""COMPUTED_VALUE"""),522)</f>
        <v>522</v>
      </c>
      <c r="AC121" s="20" t="str">
        <f ca="1">IFERROR(__xludf.DUMMYFUNCTION("""COMPUTED_VALUE"""),"Да")</f>
        <v>Да</v>
      </c>
      <c r="AD121" s="20" t="str">
        <f ca="1">IFERROR(__xludf.DUMMYFUNCTION("""COMPUTED_VALUE"""),"Получено")</f>
        <v>Получено</v>
      </c>
      <c r="AE121" s="20" t="str">
        <f ca="1">IFERROR(__xludf.DUMMYFUNCTION("""COMPUTED_VALUE"""),"№ RU50-42-8120-2017 от 16.05.2017")</f>
        <v>№ RU50-42-8120-2017 от 16.05.2017</v>
      </c>
      <c r="AF121" s="24">
        <f ca="1">IFERROR(__xludf.DUMMYFUNCTION("""COMPUTED_VALUE"""),30376.32)</f>
        <v>30376.32</v>
      </c>
      <c r="AG121" s="24">
        <f ca="1">IFERROR(__xludf.DUMMYFUNCTION("""COMPUTED_VALUE"""),0)</f>
        <v>0</v>
      </c>
      <c r="AH121" s="24">
        <f ca="1">IFERROR(__xludf.DUMMYFUNCTION("""COMPUTED_VALUE"""),22496.15)</f>
        <v>22496.15</v>
      </c>
      <c r="AI121" s="24">
        <f ca="1">IFERROR(__xludf.DUMMYFUNCTION("""COMPUTED_VALUE"""),0)</f>
        <v>0</v>
      </c>
      <c r="AJ121" s="24">
        <f ca="1">IFERROR(__xludf.DUMMYFUNCTION("""COMPUTED_VALUE"""),7880.17)</f>
        <v>7880.17</v>
      </c>
      <c r="AK121" s="24">
        <f ca="1">IFERROR(__xludf.DUMMYFUNCTION("""COMPUTED_VALUE"""),0)</f>
        <v>0</v>
      </c>
      <c r="AL121" s="24">
        <f ca="1">IFERROR(__xludf.DUMMYFUNCTION("""COMPUTED_VALUE"""),5530.58)</f>
        <v>5530.58</v>
      </c>
      <c r="AM121" s="24">
        <f ca="1">IFERROR(__xludf.DUMMYFUNCTION("""COMPUTED_VALUE"""),0)</f>
        <v>0</v>
      </c>
      <c r="AN121" s="24">
        <f ca="1">IFERROR(__xludf.DUMMYFUNCTION("""COMPUTED_VALUE"""),1896.15)</f>
        <v>1896.15</v>
      </c>
      <c r="AO121" s="24">
        <f ca="1">IFERROR(__xludf.DUMMYFUNCTION("""COMPUTED_VALUE"""),0)</f>
        <v>0</v>
      </c>
      <c r="AP121" s="24">
        <f ca="1">IFERROR(__xludf.DUMMYFUNCTION("""COMPUTED_VALUE"""),3634.43)</f>
        <v>3634.43</v>
      </c>
      <c r="AQ121" s="24">
        <f ca="1">IFERROR(__xludf.DUMMYFUNCTION("""COMPUTED_VALUE"""),0)</f>
        <v>0</v>
      </c>
      <c r="AR121" s="24">
        <f ca="1">IFERROR(__xludf.DUMMYFUNCTION("""COMPUTED_VALUE"""),6580.1)</f>
        <v>6580.1</v>
      </c>
      <c r="AS121" s="24">
        <f ca="1">IFERROR(__xludf.DUMMYFUNCTION("""COMPUTED_VALUE"""),0)</f>
        <v>0</v>
      </c>
      <c r="AT121" s="24">
        <f ca="1">IFERROR(__xludf.DUMMYFUNCTION("""COMPUTED_VALUE"""),5659)</f>
        <v>5659</v>
      </c>
      <c r="AU121" s="24">
        <f ca="1">IFERROR(__xludf.DUMMYFUNCTION("""COMPUTED_VALUE"""),0)</f>
        <v>0</v>
      </c>
      <c r="AV121" s="24">
        <f ca="1">IFERROR(__xludf.DUMMYFUNCTION("""COMPUTED_VALUE"""),921.1)</f>
        <v>921.1</v>
      </c>
      <c r="AW121" s="24">
        <f ca="1">IFERROR(__xludf.DUMMYFUNCTION("""COMPUTED_VALUE"""),0)</f>
        <v>0</v>
      </c>
      <c r="AX121" s="24">
        <f ca="1">IFERROR(__xludf.DUMMYFUNCTION("""COMPUTED_VALUE"""),18265.64)</f>
        <v>18265.64</v>
      </c>
      <c r="AY121" s="24">
        <f ca="1">IFERROR(__xludf.DUMMYFUNCTION("""COMPUTED_VALUE"""),0)</f>
        <v>0</v>
      </c>
      <c r="AZ121" s="24">
        <f ca="1">IFERROR(__xludf.DUMMYFUNCTION("""COMPUTED_VALUE"""),14941)</f>
        <v>14941</v>
      </c>
      <c r="BA121" s="24">
        <f ca="1">IFERROR(__xludf.DUMMYFUNCTION("""COMPUTED_VALUE"""),0)</f>
        <v>0</v>
      </c>
      <c r="BB121" s="24">
        <f ca="1">IFERROR(__xludf.DUMMYFUNCTION("""COMPUTED_VALUE"""),3324.64)</f>
        <v>3324.64</v>
      </c>
      <c r="BC121" s="20"/>
      <c r="BD121" s="24">
        <f ca="1">IFERROR(__xludf.DUMMYFUNCTION("""COMPUTED_VALUE"""),0)</f>
        <v>0</v>
      </c>
      <c r="BE121" s="24">
        <f ca="1">IFERROR(__xludf.DUMMYFUNCTION("""COMPUTED_VALUE"""),0)</f>
        <v>0</v>
      </c>
      <c r="BF121" s="24">
        <f ca="1">IFERROR(__xludf.DUMMYFUNCTION("""COMPUTED_VALUE"""),0)</f>
        <v>0</v>
      </c>
      <c r="BG121" s="24">
        <f ca="1">IFERROR(__xludf.DUMMYFUNCTION("""COMPUTED_VALUE"""),0)</f>
        <v>0</v>
      </c>
      <c r="BH121" s="24">
        <f ca="1">IFERROR(__xludf.DUMMYFUNCTION("""COMPUTED_VALUE"""),0)</f>
        <v>0</v>
      </c>
      <c r="BI121" s="20"/>
      <c r="BJ121" s="24">
        <f ca="1">IFERROR(__xludf.DUMMYFUNCTION("""COMPUTED_VALUE"""),0)</f>
        <v>0</v>
      </c>
      <c r="BK121" s="24">
        <f ca="1">IFERROR(__xludf.DUMMYFUNCTION("""COMPUTED_VALUE"""),0)</f>
        <v>0</v>
      </c>
      <c r="BL121" s="24">
        <f ca="1">IFERROR(__xludf.DUMMYFUNCTION("""COMPUTED_VALUE"""),0)</f>
        <v>0</v>
      </c>
      <c r="BM121" s="24">
        <f ca="1">IFERROR(__xludf.DUMMYFUNCTION("""COMPUTED_VALUE"""),0)</f>
        <v>0</v>
      </c>
      <c r="BN121" s="24">
        <f ca="1">IFERROR(__xludf.DUMMYFUNCTION("""COMPUTED_VALUE"""),0)</f>
        <v>0</v>
      </c>
      <c r="BO121" s="20"/>
      <c r="BP121" s="24">
        <f ca="1">IFERROR(__xludf.DUMMYFUNCTION("""COMPUTED_VALUE"""),0)</f>
        <v>0</v>
      </c>
      <c r="BQ121" s="24">
        <f ca="1">IFERROR(__xludf.DUMMYFUNCTION("""COMPUTED_VALUE"""),0)</f>
        <v>0</v>
      </c>
      <c r="BR121" s="24">
        <f ca="1">IFERROR(__xludf.DUMMYFUNCTION("""COMPUTED_VALUE"""),0)</f>
        <v>0</v>
      </c>
      <c r="BS121" s="24">
        <f ca="1">IFERROR(__xludf.DUMMYFUNCTION("""COMPUTED_VALUE"""),0)</f>
        <v>0</v>
      </c>
      <c r="BT121" s="24">
        <f ca="1">IFERROR(__xludf.DUMMYFUNCTION("""COMPUTED_VALUE"""),0)</f>
        <v>0</v>
      </c>
      <c r="BU121" s="20"/>
      <c r="BV121" s="24">
        <f ca="1">IFERROR(__xludf.DUMMYFUNCTION("""COMPUTED_VALUE"""),0)</f>
        <v>0</v>
      </c>
      <c r="BW121" s="24">
        <f ca="1">IFERROR(__xludf.DUMMYFUNCTION("""COMPUTED_VALUE"""),0)</f>
        <v>0</v>
      </c>
      <c r="BX121" s="24">
        <f ca="1">IFERROR(__xludf.DUMMYFUNCTION("""COMPUTED_VALUE"""),0)</f>
        <v>0</v>
      </c>
      <c r="BY121" s="24">
        <f ca="1">IFERROR(__xludf.DUMMYFUNCTION("""COMPUTED_VALUE"""),0)</f>
        <v>0</v>
      </c>
      <c r="BZ121" s="24">
        <f ca="1">IFERROR(__xludf.DUMMYFUNCTION("""COMPUTED_VALUE"""),0)</f>
        <v>0</v>
      </c>
      <c r="CA121" s="20"/>
      <c r="CB121" s="20"/>
      <c r="CC121" s="20"/>
      <c r="CD121" s="20"/>
      <c r="CE121" s="20"/>
      <c r="CF121" s="20"/>
      <c r="CG121" s="20"/>
      <c r="CH121" s="20"/>
      <c r="CI121" s="20"/>
      <c r="CJ121" s="20"/>
      <c r="CK121" s="20"/>
      <c r="CL121" s="20"/>
      <c r="CM121" s="26">
        <f ca="1">IFERROR(__xludf.DUMMYFUNCTION("""COMPUTED_VALUE"""),43735)</f>
        <v>43735</v>
      </c>
      <c r="CN121" s="20" t="str">
        <f ca="1">IFERROR(__xludf.DUMMYFUNCTION("""COMPUTED_VALUE"""),"0848300037419000865")</f>
        <v>0848300037419000865</v>
      </c>
      <c r="CO121" s="25">
        <f ca="1">IFERROR(__xludf.DUMMYFUNCTION("""COMPUTED_VALUE"""),43760)</f>
        <v>43760</v>
      </c>
      <c r="CP121" s="20" t="str">
        <f ca="1">IFERROR(__xludf.DUMMYFUNCTION("""COMPUTED_VALUE"""),"0848300037419000865")</f>
        <v>0848300037419000865</v>
      </c>
      <c r="CQ121" s="20">
        <f ca="1">IFERROR(__xludf.DUMMYFUNCTION("""COMPUTED_VALUE"""),14674414.15)</f>
        <v>14674414.15</v>
      </c>
      <c r="CR121" s="20" t="str">
        <f ca="1">IFERROR(__xludf.DUMMYFUNCTION("""COMPUTED_VALUE"""),"Общество с ограниченной ответственностью ""ГК Гост"" (ООО ""ГК Гост"")")</f>
        <v>Общество с ограниченной ответственностью "ГК Гост" (ООО "ГК Гост")</v>
      </c>
      <c r="CS121" s="27" t="str">
        <f ca="1">IFERROR(__xludf.DUMMYFUNCTION("""COMPUTED_VALUE"""),"https://zakupki.gov.ru/epz/contract/contractCard/common-info.html?reestrNumber=3500710214519000111&amp;backUrl=e9c794b8-e29a-4ca7-8548-bcf2ee8d294f")</f>
        <v>https://zakupki.gov.ru/epz/contract/contractCard/common-info.html?reestrNumber=3500710214519000111&amp;backUrl=e9c794b8-e29a-4ca7-8548-bcf2ee8d294f</v>
      </c>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row>
    <row r="122" spans="1:123" ht="64.5" hidden="1" customHeight="1" x14ac:dyDescent="0.2">
      <c r="A122" s="19"/>
      <c r="B122" s="20" t="str">
        <f ca="1">IFERROR(__xludf.DUMMYFUNCTION("""COMPUTED_VALUE"""),"г.о. Орехово-Зуево")</f>
        <v>г.о. Орехово-Зуево</v>
      </c>
      <c r="C12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2" s="20" t="str">
        <f ca="1">IFERROR(__xludf.DUMMYFUNCTION("""COMPUTED_VALUE"""),"МинЖКХ")</f>
        <v>МинЖКХ</v>
      </c>
      <c r="E122" s="20" t="str">
        <f ca="1">IFERROR(__xludf.DUMMYFUNCTION("""COMPUTED_VALUE"""),"Строительство 2х скважин в п.Новый Снопок (в т.ч.  ПИР и разрешительная документация)")</f>
        <v>Строительство 2х скважин в п.Новый Снопок (в т.ч.  ПИР и разрешительная документация)</v>
      </c>
      <c r="F122" s="32" t="str">
        <f ca="1">IFERROR(__xludf.DUMMYFUNCTION("""COMPUTED_VALUE"""),"ВЗУ")</f>
        <v>ВЗУ</v>
      </c>
      <c r="G122" s="20">
        <f ca="1">IFERROR(__xludf.DUMMYFUNCTION("""COMPUTED_VALUE"""),2023)</f>
        <v>2023</v>
      </c>
      <c r="H122" s="20" t="str">
        <f ca="1">IFERROR(__xludf.DUMMYFUNCTION("""COMPUTED_VALUE"""),"СМР")</f>
        <v>СМР</v>
      </c>
      <c r="I122" s="23">
        <f ca="1">IFERROR(__xludf.DUMMYFUNCTION("""COMPUTED_VALUE"""),0)</f>
        <v>0</v>
      </c>
      <c r="J122" s="20" t="str">
        <f ca="1">IFERROR(__xludf.DUMMYFUNCTION("""COMPUTED_VALUE"""),"Контракт на ПИР не заключен.")</f>
        <v>Контракт на ПИР не заключен.</v>
      </c>
      <c r="K122" s="20"/>
      <c r="L122" s="20"/>
      <c r="M122" s="20"/>
      <c r="N122" s="24">
        <f ca="1">IFERROR(__xludf.DUMMYFUNCTION("""COMPUTED_VALUE"""),0)</f>
        <v>0</v>
      </c>
      <c r="O122" s="20"/>
      <c r="P122" s="20"/>
      <c r="Q122" s="20"/>
      <c r="R122" s="20"/>
      <c r="S122" s="20"/>
      <c r="T122" s="20"/>
      <c r="U122" s="24">
        <f ca="1">IFERROR(__xludf.DUMMYFUNCTION("""COMPUTED_VALUE"""),0)</f>
        <v>0</v>
      </c>
      <c r="V122" s="24">
        <f ca="1">IFERROR(__xludf.DUMMYFUNCTION("""COMPUTED_VALUE"""),0)</f>
        <v>0</v>
      </c>
      <c r="W122" s="24">
        <f ca="1">IFERROR(__xludf.DUMMYFUNCTION("""COMPUTED_VALUE"""),0)</f>
        <v>0</v>
      </c>
      <c r="X122" s="24">
        <f ca="1">IFERROR(__xludf.DUMMYFUNCTION("""COMPUTED_VALUE"""),0)</f>
        <v>0</v>
      </c>
      <c r="Y122" s="24">
        <f ca="1">IFERROR(__xludf.DUMMYFUNCTION("""COMPUTED_VALUE"""),0)</f>
        <v>0</v>
      </c>
      <c r="Z122" s="24">
        <f ca="1">IFERROR(__xludf.DUMMYFUNCTION("""COMPUTED_VALUE"""),0)</f>
        <v>0</v>
      </c>
      <c r="AA122" s="20" t="str">
        <f ca="1">IFERROR(__xludf.DUMMYFUNCTION("""COMPUTED_VALUE"""),"10 1 02 64090")</f>
        <v>10 1 02 64090</v>
      </c>
      <c r="AB122" s="20">
        <f ca="1">IFERROR(__xludf.DUMMYFUNCTION("""COMPUTED_VALUE"""),522)</f>
        <v>522</v>
      </c>
      <c r="AC122" s="20" t="str">
        <f ca="1">IFERROR(__xludf.DUMMYFUNCTION("""COMPUTED_VALUE"""),"Нет")</f>
        <v>Нет</v>
      </c>
      <c r="AD122" s="20" t="str">
        <f ca="1">IFERROR(__xludf.DUMMYFUNCTION("""COMPUTED_VALUE"""),"После заключения контракта на СМР")</f>
        <v>После заключения контракта на СМР</v>
      </c>
      <c r="AE122" s="20" t="str">
        <f ca="1">IFERROR(__xludf.DUMMYFUNCTION("""COMPUTED_VALUE"""),"Отсутствует")</f>
        <v>Отсутствует</v>
      </c>
      <c r="AF122" s="24">
        <f ca="1">IFERROR(__xludf.DUMMYFUNCTION("""COMPUTED_VALUE"""),14000)</f>
        <v>14000</v>
      </c>
      <c r="AG122" s="24">
        <f ca="1">IFERROR(__xludf.DUMMYFUNCTION("""COMPUTED_VALUE"""),0)</f>
        <v>0</v>
      </c>
      <c r="AH122" s="24">
        <f ca="1">IFERROR(__xludf.DUMMYFUNCTION("""COMPUTED_VALUE"""),13300)</f>
        <v>13300</v>
      </c>
      <c r="AI122" s="24">
        <f ca="1">IFERROR(__xludf.DUMMYFUNCTION("""COMPUTED_VALUE"""),0)</f>
        <v>0</v>
      </c>
      <c r="AJ122" s="24">
        <f ca="1">IFERROR(__xludf.DUMMYFUNCTION("""COMPUTED_VALUE"""),700)</f>
        <v>700</v>
      </c>
      <c r="AK122" s="24">
        <f ca="1">IFERROR(__xludf.DUMMYFUNCTION("""COMPUTED_VALUE"""),0)</f>
        <v>0</v>
      </c>
      <c r="AL122" s="24">
        <f ca="1">IFERROR(__xludf.DUMMYFUNCTION("""COMPUTED_VALUE"""),0)</f>
        <v>0</v>
      </c>
      <c r="AM122" s="20"/>
      <c r="AN122" s="20"/>
      <c r="AO122" s="20"/>
      <c r="AP122" s="20"/>
      <c r="AQ122" s="20"/>
      <c r="AR122" s="24">
        <f ca="1">IFERROR(__xludf.DUMMYFUNCTION("""COMPUTED_VALUE"""),0)</f>
        <v>0</v>
      </c>
      <c r="AS122" s="20"/>
      <c r="AT122" s="20"/>
      <c r="AU122" s="20"/>
      <c r="AV122" s="20"/>
      <c r="AW122" s="20"/>
      <c r="AX122" s="24">
        <f ca="1">IFERROR(__xludf.DUMMYFUNCTION("""COMPUTED_VALUE"""),0)</f>
        <v>0</v>
      </c>
      <c r="AY122" s="24">
        <f ca="1">IFERROR(__xludf.DUMMYFUNCTION("""COMPUTED_VALUE"""),0)</f>
        <v>0</v>
      </c>
      <c r="AZ122" s="24">
        <f ca="1">IFERROR(__xludf.DUMMYFUNCTION("""COMPUTED_VALUE"""),0)</f>
        <v>0</v>
      </c>
      <c r="BA122" s="24">
        <f ca="1">IFERROR(__xludf.DUMMYFUNCTION("""COMPUTED_VALUE"""),0)</f>
        <v>0</v>
      </c>
      <c r="BB122" s="24">
        <f ca="1">IFERROR(__xludf.DUMMYFUNCTION("""COMPUTED_VALUE"""),0)</f>
        <v>0</v>
      </c>
      <c r="BC122" s="20"/>
      <c r="BD122" s="24">
        <f ca="1">IFERROR(__xludf.DUMMYFUNCTION("""COMPUTED_VALUE"""),0)</f>
        <v>0</v>
      </c>
      <c r="BE122" s="24">
        <f ca="1">IFERROR(__xludf.DUMMYFUNCTION("""COMPUTED_VALUE"""),0)</f>
        <v>0</v>
      </c>
      <c r="BF122" s="24">
        <f ca="1">IFERROR(__xludf.DUMMYFUNCTION("""COMPUTED_VALUE"""),0)</f>
        <v>0</v>
      </c>
      <c r="BG122" s="24">
        <f ca="1">IFERROR(__xludf.DUMMYFUNCTION("""COMPUTED_VALUE"""),0)</f>
        <v>0</v>
      </c>
      <c r="BH122" s="24">
        <f ca="1">IFERROR(__xludf.DUMMYFUNCTION("""COMPUTED_VALUE"""),0)</f>
        <v>0</v>
      </c>
      <c r="BI122" s="20"/>
      <c r="BJ122" s="24">
        <f ca="1">IFERROR(__xludf.DUMMYFUNCTION("""COMPUTED_VALUE"""),0)</f>
        <v>0</v>
      </c>
      <c r="BK122" s="24">
        <f ca="1">IFERROR(__xludf.DUMMYFUNCTION("""COMPUTED_VALUE"""),0)</f>
        <v>0</v>
      </c>
      <c r="BL122" s="24">
        <f ca="1">IFERROR(__xludf.DUMMYFUNCTION("""COMPUTED_VALUE"""),0)</f>
        <v>0</v>
      </c>
      <c r="BM122" s="24">
        <f ca="1">IFERROR(__xludf.DUMMYFUNCTION("""COMPUTED_VALUE"""),0)</f>
        <v>0</v>
      </c>
      <c r="BN122" s="24">
        <f ca="1">IFERROR(__xludf.DUMMYFUNCTION("""COMPUTED_VALUE"""),0)</f>
        <v>0</v>
      </c>
      <c r="BO122" s="20"/>
      <c r="BP122" s="24">
        <f ca="1">IFERROR(__xludf.DUMMYFUNCTION("""COMPUTED_VALUE"""),14000)</f>
        <v>14000</v>
      </c>
      <c r="BQ122" s="24">
        <f ca="1">IFERROR(__xludf.DUMMYFUNCTION("""COMPUTED_VALUE"""),0)</f>
        <v>0</v>
      </c>
      <c r="BR122" s="24">
        <f ca="1">IFERROR(__xludf.DUMMYFUNCTION("""COMPUTED_VALUE"""),13300)</f>
        <v>13300</v>
      </c>
      <c r="BS122" s="24">
        <f ca="1">IFERROR(__xludf.DUMMYFUNCTION("""COMPUTED_VALUE"""),0)</f>
        <v>0</v>
      </c>
      <c r="BT122" s="24">
        <f ca="1">IFERROR(__xludf.DUMMYFUNCTION("""COMPUTED_VALUE"""),700)</f>
        <v>700</v>
      </c>
      <c r="BU122" s="20"/>
      <c r="BV122" s="24">
        <f ca="1">IFERROR(__xludf.DUMMYFUNCTION("""COMPUTED_VALUE"""),0)</f>
        <v>0</v>
      </c>
      <c r="BW122" s="24">
        <f ca="1">IFERROR(__xludf.DUMMYFUNCTION("""COMPUTED_VALUE"""),0)</f>
        <v>0</v>
      </c>
      <c r="BX122" s="24">
        <f ca="1">IFERROR(__xludf.DUMMYFUNCTION("""COMPUTED_VALUE"""),0)</f>
        <v>0</v>
      </c>
      <c r="BY122" s="24">
        <f ca="1">IFERROR(__xludf.DUMMYFUNCTION("""COMPUTED_VALUE"""),0)</f>
        <v>0</v>
      </c>
      <c r="BZ122" s="24">
        <f ca="1">IFERROR(__xludf.DUMMYFUNCTION("""COMPUTED_VALUE"""),0)</f>
        <v>0</v>
      </c>
      <c r="CA122" s="20"/>
      <c r="CB122" s="20"/>
      <c r="CC122" s="20"/>
      <c r="CD122" s="20"/>
      <c r="CE122" s="20"/>
      <c r="CF122" s="20"/>
      <c r="CG122" s="20"/>
      <c r="CH122" s="20"/>
      <c r="CI122" s="20"/>
      <c r="CJ122" s="20"/>
      <c r="CK122" s="20"/>
      <c r="CL122" s="20"/>
      <c r="CM122" s="20"/>
      <c r="CN122" s="20"/>
      <c r="CO122" s="20"/>
      <c r="CP122" s="20"/>
      <c r="CQ122" s="20"/>
      <c r="CR122" s="20"/>
      <c r="CS122" s="20"/>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row>
    <row r="123" spans="1:123" ht="64.5" hidden="1" customHeight="1" x14ac:dyDescent="0.2">
      <c r="A123" s="19"/>
      <c r="B123" s="20" t="str">
        <f ca="1">IFERROR(__xludf.DUMMYFUNCTION("""COMPUTED_VALUE"""),"г.о. Орехово-Зуево")</f>
        <v>г.о. Орехово-Зуево</v>
      </c>
      <c r="C12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3" s="20" t="str">
        <f ca="1">IFERROR(__xludf.DUMMYFUNCTION("""COMPUTED_VALUE"""),"МинЖКХ")</f>
        <v>МинЖКХ</v>
      </c>
      <c r="E123" s="20" t="str">
        <f ca="1">IFERROR(__xludf.DUMMYFUNCTION("""COMPUTED_VALUE"""),"Строительство 2х скважин  в п.Озерецкий (в т.ч. ПИР и разрешительная документация)")</f>
        <v>Строительство 2х скважин  в п.Озерецкий (в т.ч. ПИР и разрешительная документация)</v>
      </c>
      <c r="F123" s="32" t="str">
        <f ca="1">IFERROR(__xludf.DUMMYFUNCTION("""COMPUTED_VALUE"""),"ВЗУ")</f>
        <v>ВЗУ</v>
      </c>
      <c r="G123" s="20">
        <f ca="1">IFERROR(__xludf.DUMMYFUNCTION("""COMPUTED_VALUE"""),2023)</f>
        <v>2023</v>
      </c>
      <c r="H123" s="20" t="str">
        <f ca="1">IFERROR(__xludf.DUMMYFUNCTION("""COMPUTED_VALUE"""),"СМР")</f>
        <v>СМР</v>
      </c>
      <c r="I123" s="23">
        <f ca="1">IFERROR(__xludf.DUMMYFUNCTION("""COMPUTED_VALUE"""),0)</f>
        <v>0</v>
      </c>
      <c r="J123" s="20" t="str">
        <f ca="1">IFERROR(__xludf.DUMMYFUNCTION("""COMPUTED_VALUE"""),"Контракт на ПИР не заключен.")</f>
        <v>Контракт на ПИР не заключен.</v>
      </c>
      <c r="K123" s="20"/>
      <c r="L123" s="20"/>
      <c r="M123" s="20"/>
      <c r="N123" s="24">
        <f ca="1">IFERROR(__xludf.DUMMYFUNCTION("""COMPUTED_VALUE"""),0)</f>
        <v>0</v>
      </c>
      <c r="O123" s="20"/>
      <c r="P123" s="20"/>
      <c r="Q123" s="20"/>
      <c r="R123" s="20"/>
      <c r="S123" s="20"/>
      <c r="T123" s="20"/>
      <c r="U123" s="24">
        <f ca="1">IFERROR(__xludf.DUMMYFUNCTION("""COMPUTED_VALUE"""),0)</f>
        <v>0</v>
      </c>
      <c r="V123" s="24">
        <f ca="1">IFERROR(__xludf.DUMMYFUNCTION("""COMPUTED_VALUE"""),0)</f>
        <v>0</v>
      </c>
      <c r="W123" s="24">
        <f ca="1">IFERROR(__xludf.DUMMYFUNCTION("""COMPUTED_VALUE"""),0)</f>
        <v>0</v>
      </c>
      <c r="X123" s="24">
        <f ca="1">IFERROR(__xludf.DUMMYFUNCTION("""COMPUTED_VALUE"""),0)</f>
        <v>0</v>
      </c>
      <c r="Y123" s="24">
        <f ca="1">IFERROR(__xludf.DUMMYFUNCTION("""COMPUTED_VALUE"""),0)</f>
        <v>0</v>
      </c>
      <c r="Z123" s="24">
        <f ca="1">IFERROR(__xludf.DUMMYFUNCTION("""COMPUTED_VALUE"""),0)</f>
        <v>0</v>
      </c>
      <c r="AA123" s="20" t="str">
        <f ca="1">IFERROR(__xludf.DUMMYFUNCTION("""COMPUTED_VALUE"""),"10 1 02 64090")</f>
        <v>10 1 02 64090</v>
      </c>
      <c r="AB123" s="20">
        <f ca="1">IFERROR(__xludf.DUMMYFUNCTION("""COMPUTED_VALUE"""),522)</f>
        <v>522</v>
      </c>
      <c r="AC123" s="20" t="str">
        <f ca="1">IFERROR(__xludf.DUMMYFUNCTION("""COMPUTED_VALUE"""),"Нет")</f>
        <v>Нет</v>
      </c>
      <c r="AD123" s="20" t="str">
        <f ca="1">IFERROR(__xludf.DUMMYFUNCTION("""COMPUTED_VALUE"""),"После заключения контракта на СМР")</f>
        <v>После заключения контракта на СМР</v>
      </c>
      <c r="AE123" s="20" t="str">
        <f ca="1">IFERROR(__xludf.DUMMYFUNCTION("""COMPUTED_VALUE"""),"Отсутствует")</f>
        <v>Отсутствует</v>
      </c>
      <c r="AF123" s="24">
        <f ca="1">IFERROR(__xludf.DUMMYFUNCTION("""COMPUTED_VALUE"""),14000)</f>
        <v>14000</v>
      </c>
      <c r="AG123" s="24">
        <f ca="1">IFERROR(__xludf.DUMMYFUNCTION("""COMPUTED_VALUE"""),0)</f>
        <v>0</v>
      </c>
      <c r="AH123" s="24">
        <f ca="1">IFERROR(__xludf.DUMMYFUNCTION("""COMPUTED_VALUE"""),13300)</f>
        <v>13300</v>
      </c>
      <c r="AI123" s="24">
        <f ca="1">IFERROR(__xludf.DUMMYFUNCTION("""COMPUTED_VALUE"""),0)</f>
        <v>0</v>
      </c>
      <c r="AJ123" s="24">
        <f ca="1">IFERROR(__xludf.DUMMYFUNCTION("""COMPUTED_VALUE"""),700)</f>
        <v>700</v>
      </c>
      <c r="AK123" s="24">
        <f ca="1">IFERROR(__xludf.DUMMYFUNCTION("""COMPUTED_VALUE"""),0)</f>
        <v>0</v>
      </c>
      <c r="AL123" s="24">
        <f ca="1">IFERROR(__xludf.DUMMYFUNCTION("""COMPUTED_VALUE"""),0)</f>
        <v>0</v>
      </c>
      <c r="AM123" s="20"/>
      <c r="AN123" s="20"/>
      <c r="AO123" s="20"/>
      <c r="AP123" s="20"/>
      <c r="AQ123" s="20"/>
      <c r="AR123" s="24">
        <f ca="1">IFERROR(__xludf.DUMMYFUNCTION("""COMPUTED_VALUE"""),0)</f>
        <v>0</v>
      </c>
      <c r="AS123" s="20"/>
      <c r="AT123" s="20"/>
      <c r="AU123" s="20"/>
      <c r="AV123" s="20"/>
      <c r="AW123" s="20"/>
      <c r="AX123" s="24">
        <f ca="1">IFERROR(__xludf.DUMMYFUNCTION("""COMPUTED_VALUE"""),0)</f>
        <v>0</v>
      </c>
      <c r="AY123" s="24">
        <f ca="1">IFERROR(__xludf.DUMMYFUNCTION("""COMPUTED_VALUE"""),0)</f>
        <v>0</v>
      </c>
      <c r="AZ123" s="24">
        <f ca="1">IFERROR(__xludf.DUMMYFUNCTION("""COMPUTED_VALUE"""),0)</f>
        <v>0</v>
      </c>
      <c r="BA123" s="24">
        <f ca="1">IFERROR(__xludf.DUMMYFUNCTION("""COMPUTED_VALUE"""),0)</f>
        <v>0</v>
      </c>
      <c r="BB123" s="24">
        <f ca="1">IFERROR(__xludf.DUMMYFUNCTION("""COMPUTED_VALUE"""),0)</f>
        <v>0</v>
      </c>
      <c r="BC123" s="20"/>
      <c r="BD123" s="24">
        <f ca="1">IFERROR(__xludf.DUMMYFUNCTION("""COMPUTED_VALUE"""),0)</f>
        <v>0</v>
      </c>
      <c r="BE123" s="24">
        <f ca="1">IFERROR(__xludf.DUMMYFUNCTION("""COMPUTED_VALUE"""),0)</f>
        <v>0</v>
      </c>
      <c r="BF123" s="24">
        <f ca="1">IFERROR(__xludf.DUMMYFUNCTION("""COMPUTED_VALUE"""),0)</f>
        <v>0</v>
      </c>
      <c r="BG123" s="24">
        <f ca="1">IFERROR(__xludf.DUMMYFUNCTION("""COMPUTED_VALUE"""),0)</f>
        <v>0</v>
      </c>
      <c r="BH123" s="24">
        <f ca="1">IFERROR(__xludf.DUMMYFUNCTION("""COMPUTED_VALUE"""),0)</f>
        <v>0</v>
      </c>
      <c r="BI123" s="20"/>
      <c r="BJ123" s="24">
        <f ca="1">IFERROR(__xludf.DUMMYFUNCTION("""COMPUTED_VALUE"""),0)</f>
        <v>0</v>
      </c>
      <c r="BK123" s="24">
        <f ca="1">IFERROR(__xludf.DUMMYFUNCTION("""COMPUTED_VALUE"""),0)</f>
        <v>0</v>
      </c>
      <c r="BL123" s="24">
        <f ca="1">IFERROR(__xludf.DUMMYFUNCTION("""COMPUTED_VALUE"""),0)</f>
        <v>0</v>
      </c>
      <c r="BM123" s="24">
        <f ca="1">IFERROR(__xludf.DUMMYFUNCTION("""COMPUTED_VALUE"""),0)</f>
        <v>0</v>
      </c>
      <c r="BN123" s="24">
        <f ca="1">IFERROR(__xludf.DUMMYFUNCTION("""COMPUTED_VALUE"""),0)</f>
        <v>0</v>
      </c>
      <c r="BO123" s="20"/>
      <c r="BP123" s="24">
        <f ca="1">IFERROR(__xludf.DUMMYFUNCTION("""COMPUTED_VALUE"""),14000)</f>
        <v>14000</v>
      </c>
      <c r="BQ123" s="24">
        <f ca="1">IFERROR(__xludf.DUMMYFUNCTION("""COMPUTED_VALUE"""),0)</f>
        <v>0</v>
      </c>
      <c r="BR123" s="24">
        <f ca="1">IFERROR(__xludf.DUMMYFUNCTION("""COMPUTED_VALUE"""),13300)</f>
        <v>13300</v>
      </c>
      <c r="BS123" s="24">
        <f ca="1">IFERROR(__xludf.DUMMYFUNCTION("""COMPUTED_VALUE"""),0)</f>
        <v>0</v>
      </c>
      <c r="BT123" s="24">
        <f ca="1">IFERROR(__xludf.DUMMYFUNCTION("""COMPUTED_VALUE"""),700)</f>
        <v>700</v>
      </c>
      <c r="BU123" s="20"/>
      <c r="BV123" s="24">
        <f ca="1">IFERROR(__xludf.DUMMYFUNCTION("""COMPUTED_VALUE"""),0)</f>
        <v>0</v>
      </c>
      <c r="BW123" s="24">
        <f ca="1">IFERROR(__xludf.DUMMYFUNCTION("""COMPUTED_VALUE"""),0)</f>
        <v>0</v>
      </c>
      <c r="BX123" s="24">
        <f ca="1">IFERROR(__xludf.DUMMYFUNCTION("""COMPUTED_VALUE"""),0)</f>
        <v>0</v>
      </c>
      <c r="BY123" s="24">
        <f ca="1">IFERROR(__xludf.DUMMYFUNCTION("""COMPUTED_VALUE"""),0)</f>
        <v>0</v>
      </c>
      <c r="BZ123" s="24">
        <f ca="1">IFERROR(__xludf.DUMMYFUNCTION("""COMPUTED_VALUE"""),0)</f>
        <v>0</v>
      </c>
      <c r="CA123" s="20"/>
      <c r="CB123" s="20"/>
      <c r="CC123" s="20"/>
      <c r="CD123" s="20"/>
      <c r="CE123" s="20"/>
      <c r="CF123" s="20"/>
      <c r="CG123" s="20"/>
      <c r="CH123" s="20"/>
      <c r="CI123" s="20"/>
      <c r="CJ123" s="20"/>
      <c r="CK123" s="20"/>
      <c r="CL123" s="20"/>
      <c r="CM123" s="20"/>
      <c r="CN123" s="20"/>
      <c r="CO123" s="20"/>
      <c r="CP123" s="20"/>
      <c r="CQ123" s="20"/>
      <c r="CR123" s="20"/>
      <c r="CS123" s="20"/>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row>
    <row r="124" spans="1:123" ht="64.5" hidden="1" customHeight="1" x14ac:dyDescent="0.2">
      <c r="A124" s="19"/>
      <c r="B124" s="20" t="str">
        <f ca="1">IFERROR(__xludf.DUMMYFUNCTION("""COMPUTED_VALUE"""),"г.о. Орехово-Зуево")</f>
        <v>г.о. Орехово-Зуево</v>
      </c>
      <c r="C12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4" s="20" t="str">
        <f ca="1">IFERROR(__xludf.DUMMYFUNCTION("""COMPUTED_VALUE"""),"МинЖКХ")</f>
        <v>МинЖКХ</v>
      </c>
      <c r="E124" s="20" t="str">
        <f ca="1">IFERROR(__xludf.DUMMYFUNCTION("""COMPUTED_VALUE"""),"Строительство 2х скважин в п.Малая Дубна (в т.ч.  ПИР и разрешительная документация)")</f>
        <v>Строительство 2х скважин в п.Малая Дубна (в т.ч.  ПИР и разрешительная документация)</v>
      </c>
      <c r="F124" s="32" t="str">
        <f ca="1">IFERROR(__xludf.DUMMYFUNCTION("""COMPUTED_VALUE"""),"ВЗУ")</f>
        <v>ВЗУ</v>
      </c>
      <c r="G124" s="20">
        <f ca="1">IFERROR(__xludf.DUMMYFUNCTION("""COMPUTED_VALUE"""),2023)</f>
        <v>2023</v>
      </c>
      <c r="H124" s="20" t="str">
        <f ca="1">IFERROR(__xludf.DUMMYFUNCTION("""COMPUTED_VALUE"""),"СМР")</f>
        <v>СМР</v>
      </c>
      <c r="I124" s="23">
        <f ca="1">IFERROR(__xludf.DUMMYFUNCTION("""COMPUTED_VALUE"""),0)</f>
        <v>0</v>
      </c>
      <c r="J124" s="20" t="str">
        <f ca="1">IFERROR(__xludf.DUMMYFUNCTION("""COMPUTED_VALUE"""),"Контракт на ПИР не заключен.")</f>
        <v>Контракт на ПИР не заключен.</v>
      </c>
      <c r="K124" s="20"/>
      <c r="L124" s="20"/>
      <c r="M124" s="20"/>
      <c r="N124" s="24">
        <f ca="1">IFERROR(__xludf.DUMMYFUNCTION("""COMPUTED_VALUE"""),0)</f>
        <v>0</v>
      </c>
      <c r="O124" s="20"/>
      <c r="P124" s="20"/>
      <c r="Q124" s="20"/>
      <c r="R124" s="20"/>
      <c r="S124" s="20"/>
      <c r="T124" s="20"/>
      <c r="U124" s="24">
        <f ca="1">IFERROR(__xludf.DUMMYFUNCTION("""COMPUTED_VALUE"""),0)</f>
        <v>0</v>
      </c>
      <c r="V124" s="24">
        <f ca="1">IFERROR(__xludf.DUMMYFUNCTION("""COMPUTED_VALUE"""),0)</f>
        <v>0</v>
      </c>
      <c r="W124" s="24">
        <f ca="1">IFERROR(__xludf.DUMMYFUNCTION("""COMPUTED_VALUE"""),0)</f>
        <v>0</v>
      </c>
      <c r="X124" s="24">
        <f ca="1">IFERROR(__xludf.DUMMYFUNCTION("""COMPUTED_VALUE"""),0)</f>
        <v>0</v>
      </c>
      <c r="Y124" s="24">
        <f ca="1">IFERROR(__xludf.DUMMYFUNCTION("""COMPUTED_VALUE"""),0)</f>
        <v>0</v>
      </c>
      <c r="Z124" s="24">
        <f ca="1">IFERROR(__xludf.DUMMYFUNCTION("""COMPUTED_VALUE"""),0)</f>
        <v>0</v>
      </c>
      <c r="AA124" s="20" t="str">
        <f ca="1">IFERROR(__xludf.DUMMYFUNCTION("""COMPUTED_VALUE"""),"10 1 02 64090")</f>
        <v>10 1 02 64090</v>
      </c>
      <c r="AB124" s="20">
        <f ca="1">IFERROR(__xludf.DUMMYFUNCTION("""COMPUTED_VALUE"""),522)</f>
        <v>522</v>
      </c>
      <c r="AC124" s="20" t="str">
        <f ca="1">IFERROR(__xludf.DUMMYFUNCTION("""COMPUTED_VALUE"""),"Нет")</f>
        <v>Нет</v>
      </c>
      <c r="AD124" s="20" t="str">
        <f ca="1">IFERROR(__xludf.DUMMYFUNCTION("""COMPUTED_VALUE"""),"После заключения контракта на СМР")</f>
        <v>После заключения контракта на СМР</v>
      </c>
      <c r="AE124" s="20" t="str">
        <f ca="1">IFERROR(__xludf.DUMMYFUNCTION("""COMPUTED_VALUE"""),"Отсутствует")</f>
        <v>Отсутствует</v>
      </c>
      <c r="AF124" s="24">
        <f ca="1">IFERROR(__xludf.DUMMYFUNCTION("""COMPUTED_VALUE"""),14000)</f>
        <v>14000</v>
      </c>
      <c r="AG124" s="24">
        <f ca="1">IFERROR(__xludf.DUMMYFUNCTION("""COMPUTED_VALUE"""),0)</f>
        <v>0</v>
      </c>
      <c r="AH124" s="24">
        <f ca="1">IFERROR(__xludf.DUMMYFUNCTION("""COMPUTED_VALUE"""),13300)</f>
        <v>13300</v>
      </c>
      <c r="AI124" s="24">
        <f ca="1">IFERROR(__xludf.DUMMYFUNCTION("""COMPUTED_VALUE"""),0)</f>
        <v>0</v>
      </c>
      <c r="AJ124" s="24">
        <f ca="1">IFERROR(__xludf.DUMMYFUNCTION("""COMPUTED_VALUE"""),700)</f>
        <v>700</v>
      </c>
      <c r="AK124" s="24">
        <f ca="1">IFERROR(__xludf.DUMMYFUNCTION("""COMPUTED_VALUE"""),0)</f>
        <v>0</v>
      </c>
      <c r="AL124" s="24">
        <f ca="1">IFERROR(__xludf.DUMMYFUNCTION("""COMPUTED_VALUE"""),0)</f>
        <v>0</v>
      </c>
      <c r="AM124" s="20"/>
      <c r="AN124" s="20"/>
      <c r="AO124" s="20"/>
      <c r="AP124" s="20"/>
      <c r="AQ124" s="20"/>
      <c r="AR124" s="24">
        <f ca="1">IFERROR(__xludf.DUMMYFUNCTION("""COMPUTED_VALUE"""),0)</f>
        <v>0</v>
      </c>
      <c r="AS124" s="20"/>
      <c r="AT124" s="20"/>
      <c r="AU124" s="20"/>
      <c r="AV124" s="20"/>
      <c r="AW124" s="20"/>
      <c r="AX124" s="24">
        <f ca="1">IFERROR(__xludf.DUMMYFUNCTION("""COMPUTED_VALUE"""),0)</f>
        <v>0</v>
      </c>
      <c r="AY124" s="24">
        <f ca="1">IFERROR(__xludf.DUMMYFUNCTION("""COMPUTED_VALUE"""),0)</f>
        <v>0</v>
      </c>
      <c r="AZ124" s="24">
        <f ca="1">IFERROR(__xludf.DUMMYFUNCTION("""COMPUTED_VALUE"""),0)</f>
        <v>0</v>
      </c>
      <c r="BA124" s="24">
        <f ca="1">IFERROR(__xludf.DUMMYFUNCTION("""COMPUTED_VALUE"""),0)</f>
        <v>0</v>
      </c>
      <c r="BB124" s="24">
        <f ca="1">IFERROR(__xludf.DUMMYFUNCTION("""COMPUTED_VALUE"""),0)</f>
        <v>0</v>
      </c>
      <c r="BC124" s="20"/>
      <c r="BD124" s="24">
        <f ca="1">IFERROR(__xludf.DUMMYFUNCTION("""COMPUTED_VALUE"""),0)</f>
        <v>0</v>
      </c>
      <c r="BE124" s="24">
        <f ca="1">IFERROR(__xludf.DUMMYFUNCTION("""COMPUTED_VALUE"""),0)</f>
        <v>0</v>
      </c>
      <c r="BF124" s="24">
        <f ca="1">IFERROR(__xludf.DUMMYFUNCTION("""COMPUTED_VALUE"""),0)</f>
        <v>0</v>
      </c>
      <c r="BG124" s="24">
        <f ca="1">IFERROR(__xludf.DUMMYFUNCTION("""COMPUTED_VALUE"""),0)</f>
        <v>0</v>
      </c>
      <c r="BH124" s="24">
        <f ca="1">IFERROR(__xludf.DUMMYFUNCTION("""COMPUTED_VALUE"""),0)</f>
        <v>0</v>
      </c>
      <c r="BI124" s="20"/>
      <c r="BJ124" s="24">
        <f ca="1">IFERROR(__xludf.DUMMYFUNCTION("""COMPUTED_VALUE"""),0)</f>
        <v>0</v>
      </c>
      <c r="BK124" s="24">
        <f ca="1">IFERROR(__xludf.DUMMYFUNCTION("""COMPUTED_VALUE"""),0)</f>
        <v>0</v>
      </c>
      <c r="BL124" s="24">
        <f ca="1">IFERROR(__xludf.DUMMYFUNCTION("""COMPUTED_VALUE"""),0)</f>
        <v>0</v>
      </c>
      <c r="BM124" s="24">
        <f ca="1">IFERROR(__xludf.DUMMYFUNCTION("""COMPUTED_VALUE"""),0)</f>
        <v>0</v>
      </c>
      <c r="BN124" s="24">
        <f ca="1">IFERROR(__xludf.DUMMYFUNCTION("""COMPUTED_VALUE"""),0)</f>
        <v>0</v>
      </c>
      <c r="BO124" s="20"/>
      <c r="BP124" s="24">
        <f ca="1">IFERROR(__xludf.DUMMYFUNCTION("""COMPUTED_VALUE"""),14000)</f>
        <v>14000</v>
      </c>
      <c r="BQ124" s="24">
        <f ca="1">IFERROR(__xludf.DUMMYFUNCTION("""COMPUTED_VALUE"""),0)</f>
        <v>0</v>
      </c>
      <c r="BR124" s="24">
        <f ca="1">IFERROR(__xludf.DUMMYFUNCTION("""COMPUTED_VALUE"""),13300)</f>
        <v>13300</v>
      </c>
      <c r="BS124" s="24">
        <f ca="1">IFERROR(__xludf.DUMMYFUNCTION("""COMPUTED_VALUE"""),0)</f>
        <v>0</v>
      </c>
      <c r="BT124" s="24">
        <f ca="1">IFERROR(__xludf.DUMMYFUNCTION("""COMPUTED_VALUE"""),700)</f>
        <v>700</v>
      </c>
      <c r="BU124" s="20"/>
      <c r="BV124" s="24">
        <f ca="1">IFERROR(__xludf.DUMMYFUNCTION("""COMPUTED_VALUE"""),0)</f>
        <v>0</v>
      </c>
      <c r="BW124" s="24">
        <f ca="1">IFERROR(__xludf.DUMMYFUNCTION("""COMPUTED_VALUE"""),0)</f>
        <v>0</v>
      </c>
      <c r="BX124" s="24">
        <f ca="1">IFERROR(__xludf.DUMMYFUNCTION("""COMPUTED_VALUE"""),0)</f>
        <v>0</v>
      </c>
      <c r="BY124" s="24">
        <f ca="1">IFERROR(__xludf.DUMMYFUNCTION("""COMPUTED_VALUE"""),0)</f>
        <v>0</v>
      </c>
      <c r="BZ124" s="24">
        <f ca="1">IFERROR(__xludf.DUMMYFUNCTION("""COMPUTED_VALUE"""),0)</f>
        <v>0</v>
      </c>
      <c r="CA124" s="20"/>
      <c r="CB124" s="20"/>
      <c r="CC124" s="20"/>
      <c r="CD124" s="20"/>
      <c r="CE124" s="20"/>
      <c r="CF124" s="20"/>
      <c r="CG124" s="20"/>
      <c r="CH124" s="20"/>
      <c r="CI124" s="20"/>
      <c r="CJ124" s="20"/>
      <c r="CK124" s="20"/>
      <c r="CL124" s="20"/>
      <c r="CM124" s="20"/>
      <c r="CN124" s="20"/>
      <c r="CO124" s="20"/>
      <c r="CP124" s="20"/>
      <c r="CQ124" s="20"/>
      <c r="CR124" s="20"/>
      <c r="CS124" s="20"/>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row>
    <row r="125" spans="1:123" ht="64.5" hidden="1" customHeight="1" x14ac:dyDescent="0.2">
      <c r="A125" s="19"/>
      <c r="B125" s="20" t="str">
        <f ca="1">IFERROR(__xludf.DUMMYFUNCTION("""COMPUTED_VALUE"""),"г.о. Орехово-Зуево")</f>
        <v>г.о. Орехово-Зуево</v>
      </c>
      <c r="C12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5" s="20" t="str">
        <f ca="1">IFERROR(__xludf.DUMMYFUNCTION("""COMPUTED_VALUE"""),"МинЖКХ")</f>
        <v>МинЖКХ</v>
      </c>
      <c r="E125" s="20" t="str">
        <f ca="1">IFERROR(__xludf.DUMMYFUNCTION("""COMPUTED_VALUE"""),"Строительство 1 скважины в м. Крольчатник (в т.ч. ПИР и  разрешительная документация)")</f>
        <v>Строительство 1 скважины в м. Крольчатник (в т.ч. ПИР и  разрешительная документация)</v>
      </c>
      <c r="F125" s="32" t="str">
        <f ca="1">IFERROR(__xludf.DUMMYFUNCTION("""COMPUTED_VALUE"""),"ВЗУ")</f>
        <v>ВЗУ</v>
      </c>
      <c r="G125" s="20">
        <f ca="1">IFERROR(__xludf.DUMMYFUNCTION("""COMPUTED_VALUE"""),2023)</f>
        <v>2023</v>
      </c>
      <c r="H125" s="20" t="str">
        <f ca="1">IFERROR(__xludf.DUMMYFUNCTION("""COMPUTED_VALUE"""),"СМР")</f>
        <v>СМР</v>
      </c>
      <c r="I125" s="23">
        <f ca="1">IFERROR(__xludf.DUMMYFUNCTION("""COMPUTED_VALUE"""),0)</f>
        <v>0</v>
      </c>
      <c r="J125" s="20" t="str">
        <f ca="1">IFERROR(__xludf.DUMMYFUNCTION("""COMPUTED_VALUE"""),"Контракт на ПИР не заключен.")</f>
        <v>Контракт на ПИР не заключен.</v>
      </c>
      <c r="K125" s="20"/>
      <c r="L125" s="20"/>
      <c r="M125" s="20"/>
      <c r="N125" s="24">
        <f ca="1">IFERROR(__xludf.DUMMYFUNCTION("""COMPUTED_VALUE"""),0)</f>
        <v>0</v>
      </c>
      <c r="O125" s="20"/>
      <c r="P125" s="20"/>
      <c r="Q125" s="20"/>
      <c r="R125" s="20"/>
      <c r="S125" s="20"/>
      <c r="T125" s="20"/>
      <c r="U125" s="24">
        <f ca="1">IFERROR(__xludf.DUMMYFUNCTION("""COMPUTED_VALUE"""),0)</f>
        <v>0</v>
      </c>
      <c r="V125" s="24">
        <f ca="1">IFERROR(__xludf.DUMMYFUNCTION("""COMPUTED_VALUE"""),0)</f>
        <v>0</v>
      </c>
      <c r="W125" s="24">
        <f ca="1">IFERROR(__xludf.DUMMYFUNCTION("""COMPUTED_VALUE"""),0)</f>
        <v>0</v>
      </c>
      <c r="X125" s="24">
        <f ca="1">IFERROR(__xludf.DUMMYFUNCTION("""COMPUTED_VALUE"""),0)</f>
        <v>0</v>
      </c>
      <c r="Y125" s="24">
        <f ca="1">IFERROR(__xludf.DUMMYFUNCTION("""COMPUTED_VALUE"""),0)</f>
        <v>0</v>
      </c>
      <c r="Z125" s="24">
        <f ca="1">IFERROR(__xludf.DUMMYFUNCTION("""COMPUTED_VALUE"""),0)</f>
        <v>0</v>
      </c>
      <c r="AA125" s="20" t="str">
        <f ca="1">IFERROR(__xludf.DUMMYFUNCTION("""COMPUTED_VALUE"""),"10 1 02 64090")</f>
        <v>10 1 02 64090</v>
      </c>
      <c r="AB125" s="20">
        <f ca="1">IFERROR(__xludf.DUMMYFUNCTION("""COMPUTED_VALUE"""),522)</f>
        <v>522</v>
      </c>
      <c r="AC125" s="20" t="str">
        <f ca="1">IFERROR(__xludf.DUMMYFUNCTION("""COMPUTED_VALUE"""),"Нет")</f>
        <v>Нет</v>
      </c>
      <c r="AD125" s="20" t="str">
        <f ca="1">IFERROR(__xludf.DUMMYFUNCTION("""COMPUTED_VALUE"""),"После заключения контракта на СМР")</f>
        <v>После заключения контракта на СМР</v>
      </c>
      <c r="AE125" s="20" t="str">
        <f ca="1">IFERROR(__xludf.DUMMYFUNCTION("""COMPUTED_VALUE"""),"Отсутствует")</f>
        <v>Отсутствует</v>
      </c>
      <c r="AF125" s="24">
        <f ca="1">IFERROR(__xludf.DUMMYFUNCTION("""COMPUTED_VALUE"""),7000)</f>
        <v>7000</v>
      </c>
      <c r="AG125" s="24">
        <f ca="1">IFERROR(__xludf.DUMMYFUNCTION("""COMPUTED_VALUE"""),0)</f>
        <v>0</v>
      </c>
      <c r="AH125" s="24">
        <f ca="1">IFERROR(__xludf.DUMMYFUNCTION("""COMPUTED_VALUE"""),6650)</f>
        <v>6650</v>
      </c>
      <c r="AI125" s="24">
        <f ca="1">IFERROR(__xludf.DUMMYFUNCTION("""COMPUTED_VALUE"""),0)</f>
        <v>0</v>
      </c>
      <c r="AJ125" s="24">
        <f ca="1">IFERROR(__xludf.DUMMYFUNCTION("""COMPUTED_VALUE"""),350)</f>
        <v>350</v>
      </c>
      <c r="AK125" s="24">
        <f ca="1">IFERROR(__xludf.DUMMYFUNCTION("""COMPUTED_VALUE"""),0)</f>
        <v>0</v>
      </c>
      <c r="AL125" s="24">
        <f ca="1">IFERROR(__xludf.DUMMYFUNCTION("""COMPUTED_VALUE"""),0)</f>
        <v>0</v>
      </c>
      <c r="AM125" s="20"/>
      <c r="AN125" s="20"/>
      <c r="AO125" s="20"/>
      <c r="AP125" s="20"/>
      <c r="AQ125" s="20"/>
      <c r="AR125" s="24">
        <f ca="1">IFERROR(__xludf.DUMMYFUNCTION("""COMPUTED_VALUE"""),0)</f>
        <v>0</v>
      </c>
      <c r="AS125" s="20"/>
      <c r="AT125" s="20"/>
      <c r="AU125" s="20"/>
      <c r="AV125" s="20"/>
      <c r="AW125" s="20"/>
      <c r="AX125" s="24">
        <f ca="1">IFERROR(__xludf.DUMMYFUNCTION("""COMPUTED_VALUE"""),0)</f>
        <v>0</v>
      </c>
      <c r="AY125" s="24">
        <f ca="1">IFERROR(__xludf.DUMMYFUNCTION("""COMPUTED_VALUE"""),0)</f>
        <v>0</v>
      </c>
      <c r="AZ125" s="24">
        <f ca="1">IFERROR(__xludf.DUMMYFUNCTION("""COMPUTED_VALUE"""),0)</f>
        <v>0</v>
      </c>
      <c r="BA125" s="24">
        <f ca="1">IFERROR(__xludf.DUMMYFUNCTION("""COMPUTED_VALUE"""),0)</f>
        <v>0</v>
      </c>
      <c r="BB125" s="24">
        <f ca="1">IFERROR(__xludf.DUMMYFUNCTION("""COMPUTED_VALUE"""),0)</f>
        <v>0</v>
      </c>
      <c r="BC125" s="20"/>
      <c r="BD125" s="24">
        <f ca="1">IFERROR(__xludf.DUMMYFUNCTION("""COMPUTED_VALUE"""),0)</f>
        <v>0</v>
      </c>
      <c r="BE125" s="24">
        <f ca="1">IFERROR(__xludf.DUMMYFUNCTION("""COMPUTED_VALUE"""),0)</f>
        <v>0</v>
      </c>
      <c r="BF125" s="24">
        <f ca="1">IFERROR(__xludf.DUMMYFUNCTION("""COMPUTED_VALUE"""),0)</f>
        <v>0</v>
      </c>
      <c r="BG125" s="24">
        <f ca="1">IFERROR(__xludf.DUMMYFUNCTION("""COMPUTED_VALUE"""),0)</f>
        <v>0</v>
      </c>
      <c r="BH125" s="24">
        <f ca="1">IFERROR(__xludf.DUMMYFUNCTION("""COMPUTED_VALUE"""),0)</f>
        <v>0</v>
      </c>
      <c r="BI125" s="20"/>
      <c r="BJ125" s="24">
        <f ca="1">IFERROR(__xludf.DUMMYFUNCTION("""COMPUTED_VALUE"""),0)</f>
        <v>0</v>
      </c>
      <c r="BK125" s="24">
        <f ca="1">IFERROR(__xludf.DUMMYFUNCTION("""COMPUTED_VALUE"""),0)</f>
        <v>0</v>
      </c>
      <c r="BL125" s="24">
        <f ca="1">IFERROR(__xludf.DUMMYFUNCTION("""COMPUTED_VALUE"""),0)</f>
        <v>0</v>
      </c>
      <c r="BM125" s="24">
        <f ca="1">IFERROR(__xludf.DUMMYFUNCTION("""COMPUTED_VALUE"""),0)</f>
        <v>0</v>
      </c>
      <c r="BN125" s="24">
        <f ca="1">IFERROR(__xludf.DUMMYFUNCTION("""COMPUTED_VALUE"""),0)</f>
        <v>0</v>
      </c>
      <c r="BO125" s="20"/>
      <c r="BP125" s="24">
        <f ca="1">IFERROR(__xludf.DUMMYFUNCTION("""COMPUTED_VALUE"""),7000)</f>
        <v>7000</v>
      </c>
      <c r="BQ125" s="24">
        <f ca="1">IFERROR(__xludf.DUMMYFUNCTION("""COMPUTED_VALUE"""),0)</f>
        <v>0</v>
      </c>
      <c r="BR125" s="24">
        <f ca="1">IFERROR(__xludf.DUMMYFUNCTION("""COMPUTED_VALUE"""),6650)</f>
        <v>6650</v>
      </c>
      <c r="BS125" s="24">
        <f ca="1">IFERROR(__xludf.DUMMYFUNCTION("""COMPUTED_VALUE"""),0)</f>
        <v>0</v>
      </c>
      <c r="BT125" s="24">
        <f ca="1">IFERROR(__xludf.DUMMYFUNCTION("""COMPUTED_VALUE"""),350)</f>
        <v>350</v>
      </c>
      <c r="BU125" s="20"/>
      <c r="BV125" s="24">
        <f ca="1">IFERROR(__xludf.DUMMYFUNCTION("""COMPUTED_VALUE"""),0)</f>
        <v>0</v>
      </c>
      <c r="BW125" s="24">
        <f ca="1">IFERROR(__xludf.DUMMYFUNCTION("""COMPUTED_VALUE"""),0)</f>
        <v>0</v>
      </c>
      <c r="BX125" s="24">
        <f ca="1">IFERROR(__xludf.DUMMYFUNCTION("""COMPUTED_VALUE"""),0)</f>
        <v>0</v>
      </c>
      <c r="BY125" s="24">
        <f ca="1">IFERROR(__xludf.DUMMYFUNCTION("""COMPUTED_VALUE"""),0)</f>
        <v>0</v>
      </c>
      <c r="BZ125" s="24">
        <f ca="1">IFERROR(__xludf.DUMMYFUNCTION("""COMPUTED_VALUE"""),0)</f>
        <v>0</v>
      </c>
      <c r="CA125" s="20"/>
      <c r="CB125" s="20"/>
      <c r="CC125" s="20"/>
      <c r="CD125" s="20"/>
      <c r="CE125" s="20"/>
      <c r="CF125" s="20"/>
      <c r="CG125" s="20"/>
      <c r="CH125" s="20"/>
      <c r="CI125" s="20"/>
      <c r="CJ125" s="20"/>
      <c r="CK125" s="20"/>
      <c r="CL125" s="20"/>
      <c r="CM125" s="20"/>
      <c r="CN125" s="20"/>
      <c r="CO125" s="20"/>
      <c r="CP125" s="20"/>
      <c r="CQ125" s="20"/>
      <c r="CR125" s="20"/>
      <c r="CS125" s="20"/>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row>
    <row r="126" spans="1:123" ht="64.5" hidden="1" customHeight="1" x14ac:dyDescent="0.2">
      <c r="A126" s="19"/>
      <c r="B126" s="20" t="str">
        <f ca="1">IFERROR(__xludf.DUMMYFUNCTION("""COMPUTED_VALUE"""),"г.о. Орехово-Зуево")</f>
        <v>г.о. Орехово-Зуево</v>
      </c>
      <c r="C1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6" s="20" t="str">
        <f ca="1">IFERROR(__xludf.DUMMYFUNCTION("""COMPUTED_VALUE"""),"МинЖКХ")</f>
        <v>МинЖКХ</v>
      </c>
      <c r="E126" s="20" t="str">
        <f ca="1">IFERROR(__xludf.DUMMYFUNCTION("""COMPUTED_VALUE"""),"Строительство ВЗУ  в местечке Крольчатник  г.о. Орехово-Зуево")</f>
        <v>Строительство ВЗУ  в местечке Крольчатник  г.о. Орехово-Зуево</v>
      </c>
      <c r="F126" s="32" t="str">
        <f ca="1">IFERROR(__xludf.DUMMYFUNCTION("""COMPUTED_VALUE"""),"ВЗУ")</f>
        <v>ВЗУ</v>
      </c>
      <c r="G126" s="20">
        <f ca="1">IFERROR(__xludf.DUMMYFUNCTION("""COMPUTED_VALUE"""),2023)</f>
        <v>2023</v>
      </c>
      <c r="H126" s="20" t="str">
        <f ca="1">IFERROR(__xludf.DUMMYFUNCTION("""COMPUTED_VALUE"""),"СМР")</f>
        <v>СМР</v>
      </c>
      <c r="I126" s="23">
        <f ca="1">IFERROR(__xludf.DUMMYFUNCTION("""COMPUTED_VALUE"""),0)</f>
        <v>0</v>
      </c>
      <c r="J126" s="20" t="str">
        <f ca="1">IFERROR(__xludf.DUMMYFUNCTION("""COMPUTED_VALUE"""),"Контракт на ПИР не заключен.")</f>
        <v>Контракт на ПИР не заключен.</v>
      </c>
      <c r="K126" s="20"/>
      <c r="L126" s="20"/>
      <c r="M126" s="20"/>
      <c r="N126" s="24">
        <f ca="1">IFERROR(__xludf.DUMMYFUNCTION("""COMPUTED_VALUE"""),0)</f>
        <v>0</v>
      </c>
      <c r="O126" s="20"/>
      <c r="P126" s="20"/>
      <c r="Q126" s="20"/>
      <c r="R126" s="20"/>
      <c r="S126" s="20"/>
      <c r="T126" s="20"/>
      <c r="U126" s="24">
        <f ca="1">IFERROR(__xludf.DUMMYFUNCTION("""COMPUTED_VALUE"""),0)</f>
        <v>0</v>
      </c>
      <c r="V126" s="24">
        <f ca="1">IFERROR(__xludf.DUMMYFUNCTION("""COMPUTED_VALUE"""),0)</f>
        <v>0</v>
      </c>
      <c r="W126" s="24">
        <f ca="1">IFERROR(__xludf.DUMMYFUNCTION("""COMPUTED_VALUE"""),0)</f>
        <v>0</v>
      </c>
      <c r="X126" s="24">
        <f ca="1">IFERROR(__xludf.DUMMYFUNCTION("""COMPUTED_VALUE"""),0)</f>
        <v>0</v>
      </c>
      <c r="Y126" s="24">
        <f ca="1">IFERROR(__xludf.DUMMYFUNCTION("""COMPUTED_VALUE"""),0)</f>
        <v>0</v>
      </c>
      <c r="Z126" s="24">
        <f ca="1">IFERROR(__xludf.DUMMYFUNCTION("""COMPUTED_VALUE"""),0)</f>
        <v>0</v>
      </c>
      <c r="AA126" s="20" t="str">
        <f ca="1">IFERROR(__xludf.DUMMYFUNCTION("""COMPUTED_VALUE"""),"10 1 02 64090")</f>
        <v>10 1 02 64090</v>
      </c>
      <c r="AB126" s="20">
        <f ca="1">IFERROR(__xludf.DUMMYFUNCTION("""COMPUTED_VALUE"""),522)</f>
        <v>522</v>
      </c>
      <c r="AC126" s="20" t="str">
        <f ca="1">IFERROR(__xludf.DUMMYFUNCTION("""COMPUTED_VALUE"""),"Нет")</f>
        <v>Нет</v>
      </c>
      <c r="AD126" s="20" t="str">
        <f ca="1">IFERROR(__xludf.DUMMYFUNCTION("""COMPUTED_VALUE"""),"После заключения контракта на СМР")</f>
        <v>После заключения контракта на СМР</v>
      </c>
      <c r="AE126" s="20" t="str">
        <f ca="1">IFERROR(__xludf.DUMMYFUNCTION("""COMPUTED_VALUE"""),"Отсутствует")</f>
        <v>Отсутствует</v>
      </c>
      <c r="AF126" s="24">
        <f ca="1">IFERROR(__xludf.DUMMYFUNCTION("""COMPUTED_VALUE"""),1495.11)</f>
        <v>1495.11</v>
      </c>
      <c r="AG126" s="24">
        <f ca="1">IFERROR(__xludf.DUMMYFUNCTION("""COMPUTED_VALUE"""),0)</f>
        <v>0</v>
      </c>
      <c r="AH126" s="24">
        <f ca="1">IFERROR(__xludf.DUMMYFUNCTION("""COMPUTED_VALUE"""),1420)</f>
        <v>1420</v>
      </c>
      <c r="AI126" s="24">
        <f ca="1">IFERROR(__xludf.DUMMYFUNCTION("""COMPUTED_VALUE"""),0)</f>
        <v>0</v>
      </c>
      <c r="AJ126" s="24">
        <f ca="1">IFERROR(__xludf.DUMMYFUNCTION("""COMPUTED_VALUE"""),75.11)</f>
        <v>75.11</v>
      </c>
      <c r="AK126" s="24">
        <f ca="1">IFERROR(__xludf.DUMMYFUNCTION("""COMPUTED_VALUE"""),0)</f>
        <v>0</v>
      </c>
      <c r="AL126" s="24">
        <f ca="1">IFERROR(__xludf.DUMMYFUNCTION("""COMPUTED_VALUE"""),0)</f>
        <v>0</v>
      </c>
      <c r="AM126" s="20"/>
      <c r="AN126" s="20"/>
      <c r="AO126" s="20"/>
      <c r="AP126" s="20"/>
      <c r="AQ126" s="20"/>
      <c r="AR126" s="24">
        <f ca="1">IFERROR(__xludf.DUMMYFUNCTION("""COMPUTED_VALUE"""),0)</f>
        <v>0</v>
      </c>
      <c r="AS126" s="20"/>
      <c r="AT126" s="20"/>
      <c r="AU126" s="20"/>
      <c r="AV126" s="20"/>
      <c r="AW126" s="20"/>
      <c r="AX126" s="24">
        <f ca="1">IFERROR(__xludf.DUMMYFUNCTION("""COMPUTED_VALUE"""),0)</f>
        <v>0</v>
      </c>
      <c r="AY126" s="24">
        <f ca="1">IFERROR(__xludf.DUMMYFUNCTION("""COMPUTED_VALUE"""),0)</f>
        <v>0</v>
      </c>
      <c r="AZ126" s="24">
        <f ca="1">IFERROR(__xludf.DUMMYFUNCTION("""COMPUTED_VALUE"""),0)</f>
        <v>0</v>
      </c>
      <c r="BA126" s="24">
        <f ca="1">IFERROR(__xludf.DUMMYFUNCTION("""COMPUTED_VALUE"""),0)</f>
        <v>0</v>
      </c>
      <c r="BB126" s="24">
        <f ca="1">IFERROR(__xludf.DUMMYFUNCTION("""COMPUTED_VALUE"""),0)</f>
        <v>0</v>
      </c>
      <c r="BC126" s="20"/>
      <c r="BD126" s="24">
        <f ca="1">IFERROR(__xludf.DUMMYFUNCTION("""COMPUTED_VALUE"""),0)</f>
        <v>0</v>
      </c>
      <c r="BE126" s="24">
        <f ca="1">IFERROR(__xludf.DUMMYFUNCTION("""COMPUTED_VALUE"""),0)</f>
        <v>0</v>
      </c>
      <c r="BF126" s="24">
        <f ca="1">IFERROR(__xludf.DUMMYFUNCTION("""COMPUTED_VALUE"""),0)</f>
        <v>0</v>
      </c>
      <c r="BG126" s="24">
        <f ca="1">IFERROR(__xludf.DUMMYFUNCTION("""COMPUTED_VALUE"""),0)</f>
        <v>0</v>
      </c>
      <c r="BH126" s="24">
        <f ca="1">IFERROR(__xludf.DUMMYFUNCTION("""COMPUTED_VALUE"""),0)</f>
        <v>0</v>
      </c>
      <c r="BI126" s="20"/>
      <c r="BJ126" s="24">
        <f ca="1">IFERROR(__xludf.DUMMYFUNCTION("""COMPUTED_VALUE"""),0)</f>
        <v>0</v>
      </c>
      <c r="BK126" s="24">
        <f ca="1">IFERROR(__xludf.DUMMYFUNCTION("""COMPUTED_VALUE"""),0)</f>
        <v>0</v>
      </c>
      <c r="BL126" s="24">
        <f ca="1">IFERROR(__xludf.DUMMYFUNCTION("""COMPUTED_VALUE"""),0)</f>
        <v>0</v>
      </c>
      <c r="BM126" s="24">
        <f ca="1">IFERROR(__xludf.DUMMYFUNCTION("""COMPUTED_VALUE"""),0)</f>
        <v>0</v>
      </c>
      <c r="BN126" s="24">
        <f ca="1">IFERROR(__xludf.DUMMYFUNCTION("""COMPUTED_VALUE"""),0)</f>
        <v>0</v>
      </c>
      <c r="BO126" s="20"/>
      <c r="BP126" s="24">
        <f ca="1">IFERROR(__xludf.DUMMYFUNCTION("""COMPUTED_VALUE"""),1495.11)</f>
        <v>1495.11</v>
      </c>
      <c r="BQ126" s="24">
        <f ca="1">IFERROR(__xludf.DUMMYFUNCTION("""COMPUTED_VALUE"""),0)</f>
        <v>0</v>
      </c>
      <c r="BR126" s="24">
        <f ca="1">IFERROR(__xludf.DUMMYFUNCTION("""COMPUTED_VALUE"""),1420)</f>
        <v>1420</v>
      </c>
      <c r="BS126" s="24">
        <f ca="1">IFERROR(__xludf.DUMMYFUNCTION("""COMPUTED_VALUE"""),0)</f>
        <v>0</v>
      </c>
      <c r="BT126" s="24">
        <f ca="1">IFERROR(__xludf.DUMMYFUNCTION("""COMPUTED_VALUE"""),75.11)</f>
        <v>75.11</v>
      </c>
      <c r="BU126" s="20"/>
      <c r="BV126" s="24">
        <f ca="1">IFERROR(__xludf.DUMMYFUNCTION("""COMPUTED_VALUE"""),0)</f>
        <v>0</v>
      </c>
      <c r="BW126" s="24">
        <f ca="1">IFERROR(__xludf.DUMMYFUNCTION("""COMPUTED_VALUE"""),0)</f>
        <v>0</v>
      </c>
      <c r="BX126" s="24">
        <f ca="1">IFERROR(__xludf.DUMMYFUNCTION("""COMPUTED_VALUE"""),0)</f>
        <v>0</v>
      </c>
      <c r="BY126" s="24">
        <f ca="1">IFERROR(__xludf.DUMMYFUNCTION("""COMPUTED_VALUE"""),0)</f>
        <v>0</v>
      </c>
      <c r="BZ126" s="24">
        <f ca="1">IFERROR(__xludf.DUMMYFUNCTION("""COMPUTED_VALUE"""),0)</f>
        <v>0</v>
      </c>
      <c r="CA126" s="20"/>
      <c r="CB126" s="20"/>
      <c r="CC126" s="20"/>
      <c r="CD126" s="20"/>
      <c r="CE126" s="20"/>
      <c r="CF126" s="20"/>
      <c r="CG126" s="20"/>
      <c r="CH126" s="20"/>
      <c r="CI126" s="20"/>
      <c r="CJ126" s="20"/>
      <c r="CK126" s="20"/>
      <c r="CL126" s="20"/>
      <c r="CM126" s="20"/>
      <c r="CN126" s="20"/>
      <c r="CO126" s="20"/>
      <c r="CP126" s="20"/>
      <c r="CQ126" s="20"/>
      <c r="CR126" s="20"/>
      <c r="CS126" s="20"/>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row>
    <row r="127" spans="1:123" ht="64.5" hidden="1" customHeight="1" x14ac:dyDescent="0.2">
      <c r="A127" s="19"/>
      <c r="B127" s="20" t="str">
        <f ca="1">IFERROR(__xludf.DUMMYFUNCTION("""COMPUTED_VALUE"""),"г.о. Щелково")</f>
        <v>г.о. Щелково</v>
      </c>
      <c r="C1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7" s="20" t="str">
        <f ca="1">IFERROR(__xludf.DUMMYFUNCTION("""COMPUTED_VALUE"""),"МинЖКХ")</f>
        <v>МинЖКХ</v>
      </c>
      <c r="E127" s="20" t="str">
        <f ca="1">IFERROR(__xludf.DUMMYFUNCTION("""COMPUTED_VALUE"""),"Реконструкция системы водоснабжения с установкой оборудования водоподготовки, ВЗУ №3 гп Фряново Щелковского района Московсой области (ПИР)")</f>
        <v>Реконструкция системы водоснабжения с установкой оборудования водоподготовки, ВЗУ №3 гп Фряново Щелковского района Московсой области (ПИР)</v>
      </c>
      <c r="F127" s="32" t="str">
        <f ca="1">IFERROR(__xludf.DUMMYFUNCTION("""COMPUTED_VALUE"""),"ВЗУ")</f>
        <v>ВЗУ</v>
      </c>
      <c r="G127" s="20" t="str">
        <f ca="1">IFERROR(__xludf.DUMMYFUNCTION("""COMPUTED_VALUE"""),"Н/Л")</f>
        <v>Н/Л</v>
      </c>
      <c r="H127" s="20" t="str">
        <f ca="1">IFERROR(__xludf.DUMMYFUNCTION("""COMPUTED_VALUE"""),"ПИР")</f>
        <v>ПИР</v>
      </c>
      <c r="I127" s="23">
        <f ca="1">IFERROR(__xludf.DUMMYFUNCTION("""COMPUTED_VALUE"""),0)</f>
        <v>0</v>
      </c>
      <c r="J127" s="20" t="str">
        <f ca="1">IFERROR(__xludf.DUMMYFUNCTION("""COMPUTED_VALUE"""),"Контракт на ПИР не заключен.")</f>
        <v>Контракт на ПИР не заключен.</v>
      </c>
      <c r="K127" s="20"/>
      <c r="L127" s="20"/>
      <c r="M127" s="20"/>
      <c r="N127" s="24">
        <f ca="1">IFERROR(__xludf.DUMMYFUNCTION("""COMPUTED_VALUE"""),0)</f>
        <v>0</v>
      </c>
      <c r="O127" s="20"/>
      <c r="P127" s="20"/>
      <c r="Q127" s="20"/>
      <c r="R127" s="20"/>
      <c r="S127" s="20"/>
      <c r="T127" s="20"/>
      <c r="U127" s="24">
        <f ca="1">IFERROR(__xludf.DUMMYFUNCTION("""COMPUTED_VALUE"""),0)</f>
        <v>0</v>
      </c>
      <c r="V127" s="24">
        <f ca="1">IFERROR(__xludf.DUMMYFUNCTION("""COMPUTED_VALUE"""),0)</f>
        <v>0</v>
      </c>
      <c r="W127" s="24">
        <f ca="1">IFERROR(__xludf.DUMMYFUNCTION("""COMPUTED_VALUE"""),0)</f>
        <v>0</v>
      </c>
      <c r="X127" s="24">
        <f ca="1">IFERROR(__xludf.DUMMYFUNCTION("""COMPUTED_VALUE"""),0)</f>
        <v>0</v>
      </c>
      <c r="Y127" s="24">
        <f ca="1">IFERROR(__xludf.DUMMYFUNCTION("""COMPUTED_VALUE"""),0)</f>
        <v>0</v>
      </c>
      <c r="Z127" s="24">
        <f ca="1">IFERROR(__xludf.DUMMYFUNCTION("""COMPUTED_VALUE"""),0)</f>
        <v>0</v>
      </c>
      <c r="AA127" s="20" t="str">
        <f ca="1">IFERROR(__xludf.DUMMYFUNCTION("""COMPUTED_VALUE"""),"10 1 02 64090")</f>
        <v>10 1 02 64090</v>
      </c>
      <c r="AB127" s="20">
        <f ca="1">IFERROR(__xludf.DUMMYFUNCTION("""COMPUTED_VALUE"""),522)</f>
        <v>522</v>
      </c>
      <c r="AC127" s="20" t="str">
        <f ca="1">IFERROR(__xludf.DUMMYFUNCTION("""COMPUTED_VALUE"""),"Нет")</f>
        <v>Нет</v>
      </c>
      <c r="AD127" s="20" t="str">
        <f ca="1">IFERROR(__xludf.DUMMYFUNCTION("""COMPUTED_VALUE"""),"После заключения контракта на СМР")</f>
        <v>После заключения контракта на СМР</v>
      </c>
      <c r="AE127" s="20" t="str">
        <f ca="1">IFERROR(__xludf.DUMMYFUNCTION("""COMPUTED_VALUE"""),"Отсутствует")</f>
        <v>Отсутствует</v>
      </c>
      <c r="AF127" s="24">
        <f ca="1">IFERROR(__xludf.DUMMYFUNCTION("""COMPUTED_VALUE"""),0)</f>
        <v>0</v>
      </c>
      <c r="AG127" s="24">
        <f ca="1">IFERROR(__xludf.DUMMYFUNCTION("""COMPUTED_VALUE"""),0)</f>
        <v>0</v>
      </c>
      <c r="AH127" s="24">
        <f ca="1">IFERROR(__xludf.DUMMYFUNCTION("""COMPUTED_VALUE"""),0)</f>
        <v>0</v>
      </c>
      <c r="AI127" s="24">
        <f ca="1">IFERROR(__xludf.DUMMYFUNCTION("""COMPUTED_VALUE"""),0)</f>
        <v>0</v>
      </c>
      <c r="AJ127" s="24">
        <f ca="1">IFERROR(__xludf.DUMMYFUNCTION("""COMPUTED_VALUE"""),0)</f>
        <v>0</v>
      </c>
      <c r="AK127" s="24">
        <f ca="1">IFERROR(__xludf.DUMMYFUNCTION("""COMPUTED_VALUE"""),0)</f>
        <v>0</v>
      </c>
      <c r="AL127" s="24">
        <f ca="1">IFERROR(__xludf.DUMMYFUNCTION("""COMPUTED_VALUE"""),0)</f>
        <v>0</v>
      </c>
      <c r="AM127" s="20"/>
      <c r="AN127" s="20"/>
      <c r="AO127" s="20"/>
      <c r="AP127" s="20"/>
      <c r="AQ127" s="20"/>
      <c r="AR127" s="24">
        <f ca="1">IFERROR(__xludf.DUMMYFUNCTION("""COMPUTED_VALUE"""),0)</f>
        <v>0</v>
      </c>
      <c r="AS127" s="20"/>
      <c r="AT127" s="20"/>
      <c r="AU127" s="20"/>
      <c r="AV127" s="20"/>
      <c r="AW127" s="20"/>
      <c r="AX127" s="24">
        <f ca="1">IFERROR(__xludf.DUMMYFUNCTION("""COMPUTED_VALUE"""),0)</f>
        <v>0</v>
      </c>
      <c r="AY127" s="24">
        <f ca="1">IFERROR(__xludf.DUMMYFUNCTION("""COMPUTED_VALUE"""),0)</f>
        <v>0</v>
      </c>
      <c r="AZ127" s="24">
        <f ca="1">IFERROR(__xludf.DUMMYFUNCTION("""COMPUTED_VALUE"""),0)</f>
        <v>0</v>
      </c>
      <c r="BA127" s="24">
        <f ca="1">IFERROR(__xludf.DUMMYFUNCTION("""COMPUTED_VALUE"""),0)</f>
        <v>0</v>
      </c>
      <c r="BB127" s="24">
        <f ca="1">IFERROR(__xludf.DUMMYFUNCTION("""COMPUTED_VALUE"""),0)</f>
        <v>0</v>
      </c>
      <c r="BC127" s="20"/>
      <c r="BD127" s="24">
        <f ca="1">IFERROR(__xludf.DUMMYFUNCTION("""COMPUTED_VALUE"""),0)</f>
        <v>0</v>
      </c>
      <c r="BE127" s="24">
        <f ca="1">IFERROR(__xludf.DUMMYFUNCTION("""COMPUTED_VALUE"""),0)</f>
        <v>0</v>
      </c>
      <c r="BF127" s="24">
        <f ca="1">IFERROR(__xludf.DUMMYFUNCTION("""COMPUTED_VALUE"""),0)</f>
        <v>0</v>
      </c>
      <c r="BG127" s="24">
        <f ca="1">IFERROR(__xludf.DUMMYFUNCTION("""COMPUTED_VALUE"""),0)</f>
        <v>0</v>
      </c>
      <c r="BH127" s="24">
        <f ca="1">IFERROR(__xludf.DUMMYFUNCTION("""COMPUTED_VALUE"""),0)</f>
        <v>0</v>
      </c>
      <c r="BI127" s="20"/>
      <c r="BJ127" s="24">
        <f ca="1">IFERROR(__xludf.DUMMYFUNCTION("""COMPUTED_VALUE"""),0)</f>
        <v>0</v>
      </c>
      <c r="BK127" s="24">
        <f ca="1">IFERROR(__xludf.DUMMYFUNCTION("""COMPUTED_VALUE"""),0)</f>
        <v>0</v>
      </c>
      <c r="BL127" s="24">
        <f ca="1">IFERROR(__xludf.DUMMYFUNCTION("""COMPUTED_VALUE"""),0)</f>
        <v>0</v>
      </c>
      <c r="BM127" s="24">
        <f ca="1">IFERROR(__xludf.DUMMYFUNCTION("""COMPUTED_VALUE"""),0)</f>
        <v>0</v>
      </c>
      <c r="BN127" s="24">
        <f ca="1">IFERROR(__xludf.DUMMYFUNCTION("""COMPUTED_VALUE"""),0)</f>
        <v>0</v>
      </c>
      <c r="BO127" s="20"/>
      <c r="BP127" s="24">
        <f ca="1">IFERROR(__xludf.DUMMYFUNCTION("""COMPUTED_VALUE"""),0)</f>
        <v>0</v>
      </c>
      <c r="BQ127" s="24">
        <f ca="1">IFERROR(__xludf.DUMMYFUNCTION("""COMPUTED_VALUE"""),0)</f>
        <v>0</v>
      </c>
      <c r="BR127" s="24">
        <f ca="1">IFERROR(__xludf.DUMMYFUNCTION("""COMPUTED_VALUE"""),0)</f>
        <v>0</v>
      </c>
      <c r="BS127" s="24">
        <f ca="1">IFERROR(__xludf.DUMMYFUNCTION("""COMPUTED_VALUE"""),0)</f>
        <v>0</v>
      </c>
      <c r="BT127" s="24">
        <f ca="1">IFERROR(__xludf.DUMMYFUNCTION("""COMPUTED_VALUE"""),0)</f>
        <v>0</v>
      </c>
      <c r="BU127" s="20"/>
      <c r="BV127" s="24">
        <f ca="1">IFERROR(__xludf.DUMMYFUNCTION("""COMPUTED_VALUE"""),0)</f>
        <v>0</v>
      </c>
      <c r="BW127" s="24">
        <f ca="1">IFERROR(__xludf.DUMMYFUNCTION("""COMPUTED_VALUE"""),0)</f>
        <v>0</v>
      </c>
      <c r="BX127" s="24">
        <f ca="1">IFERROR(__xludf.DUMMYFUNCTION("""COMPUTED_VALUE"""),0)</f>
        <v>0</v>
      </c>
      <c r="BY127" s="24">
        <f ca="1">IFERROR(__xludf.DUMMYFUNCTION("""COMPUTED_VALUE"""),0)</f>
        <v>0</v>
      </c>
      <c r="BZ127" s="24">
        <f ca="1">IFERROR(__xludf.DUMMYFUNCTION("""COMPUTED_VALUE"""),0)</f>
        <v>0</v>
      </c>
      <c r="CA127" s="20"/>
      <c r="CB127" s="20"/>
      <c r="CC127" s="20"/>
      <c r="CD127" s="20"/>
      <c r="CE127" s="20"/>
      <c r="CF127" s="20"/>
      <c r="CG127" s="20"/>
      <c r="CH127" s="20"/>
      <c r="CI127" s="20"/>
      <c r="CJ127" s="20"/>
      <c r="CK127" s="20"/>
      <c r="CL127" s="20"/>
      <c r="CM127" s="20"/>
      <c r="CN127" s="20"/>
      <c r="CO127" s="20"/>
      <c r="CP127" s="20"/>
      <c r="CQ127" s="20"/>
      <c r="CR127" s="20"/>
      <c r="CS127" s="20"/>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row>
    <row r="128" spans="1:123" ht="64.5" customHeight="1" x14ac:dyDescent="0.2">
      <c r="A128" s="19"/>
      <c r="B128" s="20" t="str">
        <f ca="1">IFERROR(__xludf.DUMMYFUNCTION("""COMPUTED_VALUE"""),"г.о. Дзержинский")</f>
        <v>г.о. Дзержинский</v>
      </c>
      <c r="C1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8" s="20" t="str">
        <f ca="1">IFERROR(__xludf.DUMMYFUNCTION("""COMPUTED_VALUE"""),"МинЖКХ")</f>
        <v>МинЖКХ</v>
      </c>
      <c r="E128" s="20" t="str">
        <f ca="1">IFERROR(__xludf.DUMMYFUNCTION("""COMPUTED_VALUE"""),"Реконструкция ВЗУ №1 и ВЗУ №3 г.о. Дзержинский (ПИР)")</f>
        <v>Реконструкция ВЗУ №1 и ВЗУ №3 г.о. Дзержинский (ПИР)</v>
      </c>
      <c r="F128" s="32" t="str">
        <f ca="1">IFERROR(__xludf.DUMMYFUNCTION("""COMPUTED_VALUE"""),"ВЗУ")</f>
        <v>ВЗУ</v>
      </c>
      <c r="G128" s="20">
        <f ca="1">IFERROR(__xludf.DUMMYFUNCTION("""COMPUTED_VALUE"""),2020)</f>
        <v>2020</v>
      </c>
      <c r="H128" s="20" t="str">
        <f ca="1">IFERROR(__xludf.DUMMYFUNCTION("""COMPUTED_VALUE"""),"ПИР")</f>
        <v>ПИР</v>
      </c>
      <c r="I128" s="23">
        <f ca="1">IFERROR(__xludf.DUMMYFUNCTION("""COMPUTED_VALUE"""),0.8)</f>
        <v>0.8</v>
      </c>
      <c r="J128" s="20" t="str">
        <f ca="1">IFERROR(__xludf.DUMMYFUNCTION("""COMPUTED_VALUE"""),"Положительное заключение МОГЭ планируется в декабре 2020 года.")</f>
        <v>Положительное заключение МОГЭ планируется в декабре 2020 года.</v>
      </c>
      <c r="K128" s="20" t="str">
        <f ca="1">IFERROR(__xludf.DUMMYFUNCTION("""COMPUTED_VALUE"""),"-")</f>
        <v>-</v>
      </c>
      <c r="L128" s="20" t="str">
        <f ca="1">IFERROR(__xludf.DUMMYFUNCTION("""COMPUTED_VALUE"""),"-")</f>
        <v>-</v>
      </c>
      <c r="M128" s="20"/>
      <c r="N128" s="24">
        <f ca="1">IFERROR(__xludf.DUMMYFUNCTION("""COMPUTED_VALUE"""),0)</f>
        <v>0</v>
      </c>
      <c r="O128" s="20"/>
      <c r="P128" s="20"/>
      <c r="Q128" s="20"/>
      <c r="R128" s="20"/>
      <c r="S128" s="20"/>
      <c r="T128" s="20"/>
      <c r="U128" s="24">
        <f ca="1">IFERROR(__xludf.DUMMYFUNCTION("""COMPUTED_VALUE"""),2599.78)</f>
        <v>2599.7800000000002</v>
      </c>
      <c r="V128" s="24">
        <f ca="1">IFERROR(__xludf.DUMMYFUNCTION("""COMPUTED_VALUE"""),0)</f>
        <v>0</v>
      </c>
      <c r="W128" s="24">
        <f ca="1">IFERROR(__xludf.DUMMYFUNCTION("""COMPUTED_VALUE"""),0)</f>
        <v>0</v>
      </c>
      <c r="X128" s="24">
        <f ca="1">IFERROR(__xludf.DUMMYFUNCTION("""COMPUTED_VALUE"""),0)</f>
        <v>0</v>
      </c>
      <c r="Y128" s="24">
        <f ca="1">IFERROR(__xludf.DUMMYFUNCTION("""COMPUTED_VALUE"""),2599.78)</f>
        <v>2599.7800000000002</v>
      </c>
      <c r="Z128" s="24">
        <f ca="1">IFERROR(__xludf.DUMMYFUNCTION("""COMPUTED_VALUE"""),0)</f>
        <v>0</v>
      </c>
      <c r="AA128" s="20" t="str">
        <f ca="1">IFERROR(__xludf.DUMMYFUNCTION("""COMPUTED_VALUE"""),"10 1 02 64090")</f>
        <v>10 1 02 64090</v>
      </c>
      <c r="AB128" s="20">
        <f ca="1">IFERROR(__xludf.DUMMYFUNCTION("""COMPUTED_VALUE"""),522)</f>
        <v>522</v>
      </c>
      <c r="AC128" s="20" t="str">
        <f ca="1">IFERROR(__xludf.DUMMYFUNCTION("""COMPUTED_VALUE"""),"Нет")</f>
        <v>Нет</v>
      </c>
      <c r="AD128" s="20" t="str">
        <f ca="1">IFERROR(__xludf.DUMMYFUNCTION("""COMPUTED_VALUE"""),"После заключения контракта на СМР")</f>
        <v>После заключения контракта на СМР</v>
      </c>
      <c r="AE128" s="20" t="str">
        <f ca="1">IFERROR(__xludf.DUMMYFUNCTION("""COMPUTED_VALUE"""),"Отсутствует")</f>
        <v>Отсутствует</v>
      </c>
      <c r="AF128" s="24">
        <f ca="1">IFERROR(__xludf.DUMMYFUNCTION("""COMPUTED_VALUE"""),2599.78)</f>
        <v>2599.7800000000002</v>
      </c>
      <c r="AG128" s="24">
        <f ca="1">IFERROR(__xludf.DUMMYFUNCTION("""COMPUTED_VALUE"""),0)</f>
        <v>0</v>
      </c>
      <c r="AH128" s="24">
        <f ca="1">IFERROR(__xludf.DUMMYFUNCTION("""COMPUTED_VALUE"""),0)</f>
        <v>0</v>
      </c>
      <c r="AI128" s="24">
        <f ca="1">IFERROR(__xludf.DUMMYFUNCTION("""COMPUTED_VALUE"""),0)</f>
        <v>0</v>
      </c>
      <c r="AJ128" s="24">
        <f ca="1">IFERROR(__xludf.DUMMYFUNCTION("""COMPUTED_VALUE"""),2599.78)</f>
        <v>2599.7800000000002</v>
      </c>
      <c r="AK128" s="24">
        <f ca="1">IFERROR(__xludf.DUMMYFUNCTION("""COMPUTED_VALUE"""),0)</f>
        <v>0</v>
      </c>
      <c r="AL128" s="24">
        <f ca="1">IFERROR(__xludf.DUMMYFUNCTION("""COMPUTED_VALUE"""),0)</f>
        <v>0</v>
      </c>
      <c r="AM128" s="20"/>
      <c r="AN128" s="20"/>
      <c r="AO128" s="20"/>
      <c r="AP128" s="20"/>
      <c r="AQ128" s="20"/>
      <c r="AR128" s="24">
        <f ca="1">IFERROR(__xludf.DUMMYFUNCTION("""COMPUTED_VALUE"""),0)</f>
        <v>0</v>
      </c>
      <c r="AS128" s="20"/>
      <c r="AT128" s="20"/>
      <c r="AU128" s="20"/>
      <c r="AV128" s="20"/>
      <c r="AW128" s="20"/>
      <c r="AX128" s="24">
        <f ca="1">IFERROR(__xludf.DUMMYFUNCTION("""COMPUTED_VALUE"""),2599.78)</f>
        <v>2599.7800000000002</v>
      </c>
      <c r="AY128" s="24">
        <f ca="1">IFERROR(__xludf.DUMMYFUNCTION("""COMPUTED_VALUE"""),0)</f>
        <v>0</v>
      </c>
      <c r="AZ128" s="24">
        <f ca="1">IFERROR(__xludf.DUMMYFUNCTION("""COMPUTED_VALUE"""),0)</f>
        <v>0</v>
      </c>
      <c r="BA128" s="24">
        <f ca="1">IFERROR(__xludf.DUMMYFUNCTION("""COMPUTED_VALUE"""),0)</f>
        <v>0</v>
      </c>
      <c r="BB128" s="24">
        <f ca="1">IFERROR(__xludf.DUMMYFUNCTION("""COMPUTED_VALUE"""),2599.78)</f>
        <v>2599.7800000000002</v>
      </c>
      <c r="BC128" s="20"/>
      <c r="BD128" s="24">
        <f ca="1">IFERROR(__xludf.DUMMYFUNCTION("""COMPUTED_VALUE"""),0)</f>
        <v>0</v>
      </c>
      <c r="BE128" s="24">
        <f ca="1">IFERROR(__xludf.DUMMYFUNCTION("""COMPUTED_VALUE"""),0)</f>
        <v>0</v>
      </c>
      <c r="BF128" s="24">
        <f ca="1">IFERROR(__xludf.DUMMYFUNCTION("""COMPUTED_VALUE"""),0)</f>
        <v>0</v>
      </c>
      <c r="BG128" s="24">
        <f ca="1">IFERROR(__xludf.DUMMYFUNCTION("""COMPUTED_VALUE"""),0)</f>
        <v>0</v>
      </c>
      <c r="BH128" s="24">
        <f ca="1">IFERROR(__xludf.DUMMYFUNCTION("""COMPUTED_VALUE"""),0)</f>
        <v>0</v>
      </c>
      <c r="BI128" s="20"/>
      <c r="BJ128" s="24">
        <f ca="1">IFERROR(__xludf.DUMMYFUNCTION("""COMPUTED_VALUE"""),0)</f>
        <v>0</v>
      </c>
      <c r="BK128" s="24">
        <f ca="1">IFERROR(__xludf.DUMMYFUNCTION("""COMPUTED_VALUE"""),0)</f>
        <v>0</v>
      </c>
      <c r="BL128" s="24">
        <f ca="1">IFERROR(__xludf.DUMMYFUNCTION("""COMPUTED_VALUE"""),0)</f>
        <v>0</v>
      </c>
      <c r="BM128" s="24">
        <f ca="1">IFERROR(__xludf.DUMMYFUNCTION("""COMPUTED_VALUE"""),0)</f>
        <v>0</v>
      </c>
      <c r="BN128" s="24">
        <f ca="1">IFERROR(__xludf.DUMMYFUNCTION("""COMPUTED_VALUE"""),0)</f>
        <v>0</v>
      </c>
      <c r="BO128" s="20"/>
      <c r="BP128" s="24">
        <f ca="1">IFERROR(__xludf.DUMMYFUNCTION("""COMPUTED_VALUE"""),0)</f>
        <v>0</v>
      </c>
      <c r="BQ128" s="24">
        <f ca="1">IFERROR(__xludf.DUMMYFUNCTION("""COMPUTED_VALUE"""),0)</f>
        <v>0</v>
      </c>
      <c r="BR128" s="24">
        <f ca="1">IFERROR(__xludf.DUMMYFUNCTION("""COMPUTED_VALUE"""),0)</f>
        <v>0</v>
      </c>
      <c r="BS128" s="24">
        <f ca="1">IFERROR(__xludf.DUMMYFUNCTION("""COMPUTED_VALUE"""),0)</f>
        <v>0</v>
      </c>
      <c r="BT128" s="24">
        <f ca="1">IFERROR(__xludf.DUMMYFUNCTION("""COMPUTED_VALUE"""),0)</f>
        <v>0</v>
      </c>
      <c r="BU128" s="20"/>
      <c r="BV128" s="24">
        <f ca="1">IFERROR(__xludf.DUMMYFUNCTION("""COMPUTED_VALUE"""),0)</f>
        <v>0</v>
      </c>
      <c r="BW128" s="24">
        <f ca="1">IFERROR(__xludf.DUMMYFUNCTION("""COMPUTED_VALUE"""),0)</f>
        <v>0</v>
      </c>
      <c r="BX128" s="24">
        <f ca="1">IFERROR(__xludf.DUMMYFUNCTION("""COMPUTED_VALUE"""),0)</f>
        <v>0</v>
      </c>
      <c r="BY128" s="24">
        <f ca="1">IFERROR(__xludf.DUMMYFUNCTION("""COMPUTED_VALUE"""),0)</f>
        <v>0</v>
      </c>
      <c r="BZ128" s="24">
        <f ca="1">IFERROR(__xludf.DUMMYFUNCTION("""COMPUTED_VALUE"""),0)</f>
        <v>0</v>
      </c>
      <c r="CA128" s="20"/>
      <c r="CB128" s="20" t="str">
        <f ca="1">IFERROR(__xludf.DUMMYFUNCTION("""COMPUTED_VALUE"""),"заключен")</f>
        <v>заключен</v>
      </c>
      <c r="CC128" s="26">
        <f ca="1">IFERROR(__xludf.DUMMYFUNCTION("""COMPUTED_VALUE"""),43713)</f>
        <v>43713</v>
      </c>
      <c r="CD128" s="20" t="str">
        <f ca="1">IFERROR(__xludf.DUMMYFUNCTION("""COMPUTED_VALUE"""),"0848600006619000085")</f>
        <v>0848600006619000085</v>
      </c>
      <c r="CE128" s="26">
        <f ca="1">IFERROR(__xludf.DUMMYFUNCTION("""COMPUTED_VALUE"""),43741)</f>
        <v>43741</v>
      </c>
      <c r="CF128" s="20" t="str">
        <f ca="1">IFERROR(__xludf.DUMMYFUNCTION("""COMPUTED_VALUE"""),"2019.085")</f>
        <v>2019.085</v>
      </c>
      <c r="CG128" s="20">
        <f ca="1">IFERROR(__xludf.DUMMYFUNCTION("""COMPUTED_VALUE"""),2599774)</f>
        <v>2599774</v>
      </c>
      <c r="CH128" s="20" t="str">
        <f ca="1">IFERROR(__xludf.DUMMYFUNCTION("""COMPUTED_VALUE"""),"ООО ""СпецСтройСервис""")</f>
        <v>ООО "СпецСтройСервис"</v>
      </c>
      <c r="CI128" s="27" t="str">
        <f ca="1">IFERROR(__xludf.DUMMYFUNCTION("""COMPUTED_VALUE"""),"https://zakupki.gov.ru/epz/contract/contractCard/common-info.html?reestrNumber=3502702397419000064&amp;backUrl=33e888a2-78fd-4fa0-b740-9bae2c7dbbbd")</f>
        <v>https://zakupki.gov.ru/epz/contract/contractCard/common-info.html?reestrNumber=3502702397419000064&amp;backUrl=33e888a2-78fd-4fa0-b740-9bae2c7dbbbd</v>
      </c>
      <c r="CJ128" s="20" t="str">
        <f ca="1">IFERROR(__xludf.DUMMYFUNCTION("""COMPUTED_VALUE"""),"—//—")</f>
        <v>—//—</v>
      </c>
      <c r="CK128" s="20" t="str">
        <f ca="1">IFERROR(__xludf.DUMMYFUNCTION("""COMPUTED_VALUE"""),"—//—")</f>
        <v>—//—</v>
      </c>
      <c r="CL128" s="20" t="str">
        <f ca="1">IFERROR(__xludf.DUMMYFUNCTION("""COMPUTED_VALUE"""),"—//—")</f>
        <v>—//—</v>
      </c>
      <c r="CM128" s="20"/>
      <c r="CN128" s="20"/>
      <c r="CO128" s="20"/>
      <c r="CP128" s="20"/>
      <c r="CQ128" s="20"/>
      <c r="CR128" s="20"/>
      <c r="CS128" s="20"/>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row>
    <row r="129" spans="1:123" ht="64.5" hidden="1" customHeight="1" x14ac:dyDescent="0.2">
      <c r="A129" s="19"/>
      <c r="B129" s="20" t="str">
        <f ca="1">IFERROR(__xludf.DUMMYFUNCTION("""COMPUTED_VALUE"""),"г.о. Шатура")</f>
        <v>г.о. Шатура</v>
      </c>
      <c r="C1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9" s="20" t="str">
        <f ca="1">IFERROR(__xludf.DUMMYFUNCTION("""COMPUTED_VALUE"""),"МинЖКХ")</f>
        <v>МинЖКХ</v>
      </c>
      <c r="E129" s="20" t="str">
        <f ca="1">IFERROR(__xludf.DUMMYFUNCTION("""COMPUTED_VALUE"""),"Строительство и реконструкция артезианских скважин г.о. Шатура (бывшая территория г.о. Рошаль) ПИР")</f>
        <v>Строительство и реконструкция артезианских скважин г.о. Шатура (бывшая территория г.о. Рошаль) ПИР</v>
      </c>
      <c r="F129" s="32" t="str">
        <f ca="1">IFERROR(__xludf.DUMMYFUNCTION("""COMPUTED_VALUE"""),"ВЗУ")</f>
        <v>ВЗУ</v>
      </c>
      <c r="G129" s="20" t="str">
        <f ca="1">IFERROR(__xludf.DUMMYFUNCTION("""COMPUTED_VALUE"""),"Н/Л")</f>
        <v>Н/Л</v>
      </c>
      <c r="H129" s="20" t="str">
        <f ca="1">IFERROR(__xludf.DUMMYFUNCTION("""COMPUTED_VALUE"""),"ПИР")</f>
        <v>ПИР</v>
      </c>
      <c r="I129" s="23">
        <f ca="1">IFERROR(__xludf.DUMMYFUNCTION("""COMPUTED_VALUE"""),0)</f>
        <v>0</v>
      </c>
      <c r="J129" s="20" t="str">
        <f ca="1">IFERROR(__xludf.DUMMYFUNCTION("""COMPUTED_VALUE"""),"Контракт на ПИР не заключен.")</f>
        <v>Контракт на ПИР не заключен.</v>
      </c>
      <c r="K129" s="20"/>
      <c r="L129" s="20"/>
      <c r="M129" s="20"/>
      <c r="N129" s="24">
        <f ca="1">IFERROR(__xludf.DUMMYFUNCTION("""COMPUTED_VALUE"""),0)</f>
        <v>0</v>
      </c>
      <c r="O129" s="20"/>
      <c r="P129" s="20"/>
      <c r="Q129" s="20"/>
      <c r="R129" s="20"/>
      <c r="S129" s="20"/>
      <c r="T129" s="20"/>
      <c r="U129" s="24">
        <f ca="1">IFERROR(__xludf.DUMMYFUNCTION("""COMPUTED_VALUE"""),0)</f>
        <v>0</v>
      </c>
      <c r="V129" s="24">
        <f ca="1">IFERROR(__xludf.DUMMYFUNCTION("""COMPUTED_VALUE"""),0)</f>
        <v>0</v>
      </c>
      <c r="W129" s="24">
        <f ca="1">IFERROR(__xludf.DUMMYFUNCTION("""COMPUTED_VALUE"""),0)</f>
        <v>0</v>
      </c>
      <c r="X129" s="24">
        <f ca="1">IFERROR(__xludf.DUMMYFUNCTION("""COMPUTED_VALUE"""),0)</f>
        <v>0</v>
      </c>
      <c r="Y129" s="24">
        <f ca="1">IFERROR(__xludf.DUMMYFUNCTION("""COMPUTED_VALUE"""),0)</f>
        <v>0</v>
      </c>
      <c r="Z129" s="24">
        <f ca="1">IFERROR(__xludf.DUMMYFUNCTION("""COMPUTED_VALUE"""),0)</f>
        <v>0</v>
      </c>
      <c r="AA129" s="20" t="str">
        <f ca="1">IFERROR(__xludf.DUMMYFUNCTION("""COMPUTED_VALUE"""),"10 1 02 64090")</f>
        <v>10 1 02 64090</v>
      </c>
      <c r="AB129" s="20">
        <f ca="1">IFERROR(__xludf.DUMMYFUNCTION("""COMPUTED_VALUE"""),522)</f>
        <v>522</v>
      </c>
      <c r="AC129" s="20" t="str">
        <f ca="1">IFERROR(__xludf.DUMMYFUNCTION("""COMPUTED_VALUE"""),"Нет")</f>
        <v>Нет</v>
      </c>
      <c r="AD129" s="20" t="str">
        <f ca="1">IFERROR(__xludf.DUMMYFUNCTION("""COMPUTED_VALUE"""),"После заключения контракта на СМР")</f>
        <v>После заключения контракта на СМР</v>
      </c>
      <c r="AE129" s="20" t="str">
        <f ca="1">IFERROR(__xludf.DUMMYFUNCTION("""COMPUTED_VALUE"""),"Отсутствует")</f>
        <v>Отсутствует</v>
      </c>
      <c r="AF129" s="24">
        <f ca="1">IFERROR(__xludf.DUMMYFUNCTION("""COMPUTED_VALUE"""),5146.81)</f>
        <v>5146.8100000000004</v>
      </c>
      <c r="AG129" s="24">
        <f ca="1">IFERROR(__xludf.DUMMYFUNCTION("""COMPUTED_VALUE"""),0)</f>
        <v>0</v>
      </c>
      <c r="AH129" s="24">
        <f ca="1">IFERROR(__xludf.DUMMYFUNCTION("""COMPUTED_VALUE"""),4838)</f>
        <v>4838</v>
      </c>
      <c r="AI129" s="24">
        <f ca="1">IFERROR(__xludf.DUMMYFUNCTION("""COMPUTED_VALUE"""),0)</f>
        <v>0</v>
      </c>
      <c r="AJ129" s="24">
        <f ca="1">IFERROR(__xludf.DUMMYFUNCTION("""COMPUTED_VALUE"""),308.81)</f>
        <v>308.81</v>
      </c>
      <c r="AK129" s="24">
        <f ca="1">IFERROR(__xludf.DUMMYFUNCTION("""COMPUTED_VALUE"""),0)</f>
        <v>0</v>
      </c>
      <c r="AL129" s="24">
        <f ca="1">IFERROR(__xludf.DUMMYFUNCTION("""COMPUTED_VALUE"""),0)</f>
        <v>0</v>
      </c>
      <c r="AM129" s="20"/>
      <c r="AN129" s="20"/>
      <c r="AO129" s="20"/>
      <c r="AP129" s="20"/>
      <c r="AQ129" s="20"/>
      <c r="AR129" s="24">
        <f ca="1">IFERROR(__xludf.DUMMYFUNCTION("""COMPUTED_VALUE"""),0)</f>
        <v>0</v>
      </c>
      <c r="AS129" s="20"/>
      <c r="AT129" s="20"/>
      <c r="AU129" s="20"/>
      <c r="AV129" s="20"/>
      <c r="AW129" s="20"/>
      <c r="AX129" s="24">
        <f ca="1">IFERROR(__xludf.DUMMYFUNCTION("""COMPUTED_VALUE"""),0)</f>
        <v>0</v>
      </c>
      <c r="AY129" s="24">
        <f ca="1">IFERROR(__xludf.DUMMYFUNCTION("""COMPUTED_VALUE"""),0)</f>
        <v>0</v>
      </c>
      <c r="AZ129" s="24">
        <f ca="1">IFERROR(__xludf.DUMMYFUNCTION("""COMPUTED_VALUE"""),0)</f>
        <v>0</v>
      </c>
      <c r="BA129" s="24">
        <f ca="1">IFERROR(__xludf.DUMMYFUNCTION("""COMPUTED_VALUE"""),0)</f>
        <v>0</v>
      </c>
      <c r="BB129" s="24">
        <f ca="1">IFERROR(__xludf.DUMMYFUNCTION("""COMPUTED_VALUE"""),0)</f>
        <v>0</v>
      </c>
      <c r="BC129" s="20"/>
      <c r="BD129" s="24">
        <f ca="1">IFERROR(__xludf.DUMMYFUNCTION("""COMPUTED_VALUE"""),0)</f>
        <v>0</v>
      </c>
      <c r="BE129" s="24">
        <f ca="1">IFERROR(__xludf.DUMMYFUNCTION("""COMPUTED_VALUE"""),0)</f>
        <v>0</v>
      </c>
      <c r="BF129" s="24">
        <f ca="1">IFERROR(__xludf.DUMMYFUNCTION("""COMPUTED_VALUE"""),0)</f>
        <v>0</v>
      </c>
      <c r="BG129" s="24">
        <f ca="1">IFERROR(__xludf.DUMMYFUNCTION("""COMPUTED_VALUE"""),0)</f>
        <v>0</v>
      </c>
      <c r="BH129" s="24">
        <f ca="1">IFERROR(__xludf.DUMMYFUNCTION("""COMPUTED_VALUE"""),0)</f>
        <v>0</v>
      </c>
      <c r="BI129" s="20"/>
      <c r="BJ129" s="24">
        <f ca="1">IFERROR(__xludf.DUMMYFUNCTION("""COMPUTED_VALUE"""),0)</f>
        <v>0</v>
      </c>
      <c r="BK129" s="24">
        <f ca="1">IFERROR(__xludf.DUMMYFUNCTION("""COMPUTED_VALUE"""),0)</f>
        <v>0</v>
      </c>
      <c r="BL129" s="24">
        <f ca="1">IFERROR(__xludf.DUMMYFUNCTION("""COMPUTED_VALUE"""),0)</f>
        <v>0</v>
      </c>
      <c r="BM129" s="24">
        <f ca="1">IFERROR(__xludf.DUMMYFUNCTION("""COMPUTED_VALUE"""),0)</f>
        <v>0</v>
      </c>
      <c r="BN129" s="24">
        <f ca="1">IFERROR(__xludf.DUMMYFUNCTION("""COMPUTED_VALUE"""),0)</f>
        <v>0</v>
      </c>
      <c r="BO129" s="20"/>
      <c r="BP129" s="24">
        <f ca="1">IFERROR(__xludf.DUMMYFUNCTION("""COMPUTED_VALUE"""),5146.81)</f>
        <v>5146.8100000000004</v>
      </c>
      <c r="BQ129" s="24">
        <f ca="1">IFERROR(__xludf.DUMMYFUNCTION("""COMPUTED_VALUE"""),0)</f>
        <v>0</v>
      </c>
      <c r="BR129" s="24">
        <f ca="1">IFERROR(__xludf.DUMMYFUNCTION("""COMPUTED_VALUE"""),4838)</f>
        <v>4838</v>
      </c>
      <c r="BS129" s="24">
        <f ca="1">IFERROR(__xludf.DUMMYFUNCTION("""COMPUTED_VALUE"""),0)</f>
        <v>0</v>
      </c>
      <c r="BT129" s="24">
        <f ca="1">IFERROR(__xludf.DUMMYFUNCTION("""COMPUTED_VALUE"""),308.81)</f>
        <v>308.81</v>
      </c>
      <c r="BU129" s="20"/>
      <c r="BV129" s="24">
        <f ca="1">IFERROR(__xludf.DUMMYFUNCTION("""COMPUTED_VALUE"""),0)</f>
        <v>0</v>
      </c>
      <c r="BW129" s="24">
        <f ca="1">IFERROR(__xludf.DUMMYFUNCTION("""COMPUTED_VALUE"""),0)</f>
        <v>0</v>
      </c>
      <c r="BX129" s="24">
        <f ca="1">IFERROR(__xludf.DUMMYFUNCTION("""COMPUTED_VALUE"""),0)</f>
        <v>0</v>
      </c>
      <c r="BY129" s="24">
        <f ca="1">IFERROR(__xludf.DUMMYFUNCTION("""COMPUTED_VALUE"""),0)</f>
        <v>0</v>
      </c>
      <c r="BZ129" s="24">
        <f ca="1">IFERROR(__xludf.DUMMYFUNCTION("""COMPUTED_VALUE"""),0)</f>
        <v>0</v>
      </c>
      <c r="CA129" s="20"/>
      <c r="CB129" s="20"/>
      <c r="CC129" s="20"/>
      <c r="CD129" s="20"/>
      <c r="CE129" s="20"/>
      <c r="CF129" s="20"/>
      <c r="CG129" s="20"/>
      <c r="CH129" s="20"/>
      <c r="CI129" s="20"/>
      <c r="CJ129" s="20"/>
      <c r="CK129" s="20"/>
      <c r="CL129" s="20"/>
      <c r="CM129" s="20"/>
      <c r="CN129" s="20"/>
      <c r="CO129" s="20"/>
      <c r="CP129" s="20"/>
      <c r="CQ129" s="20"/>
      <c r="CR129" s="20"/>
      <c r="CS129" s="20"/>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row>
    <row r="130" spans="1:123" ht="64.5" customHeight="1" x14ac:dyDescent="0.2">
      <c r="A130" s="19"/>
      <c r="B130" s="20" t="str">
        <f ca="1">IFERROR(__xludf.DUMMYFUNCTION("""COMPUTED_VALUE"""),"г.о. Балашиха")</f>
        <v>г.о. Балашиха</v>
      </c>
      <c r="C1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30" s="20" t="str">
        <f ca="1">IFERROR(__xludf.DUMMYFUNCTION("""COMPUTED_VALUE"""),"МинЖКХ")</f>
        <v>МинЖКХ</v>
      </c>
      <c r="E130" s="20" t="str">
        <f ca="1">IFERROR(__xludf.DUMMYFUNCTION("""COMPUTED_VALUE"""),"Строительство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f>
        <v>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v>
      </c>
      <c r="F130" s="32" t="str">
        <f ca="1">IFERROR(__xludf.DUMMYFUNCTION("""COMPUTED_VALUE"""),"ВЗУ")</f>
        <v>ВЗУ</v>
      </c>
      <c r="G130" s="20" t="str">
        <f ca="1">IFERROR(__xludf.DUMMYFUNCTION("""COMPUTED_VALUE"""),"2020-2021")</f>
        <v>2020-2021</v>
      </c>
      <c r="H130" s="20" t="str">
        <f ca="1">IFERROR(__xludf.DUMMYFUNCTION("""COMPUTED_VALUE"""),"СМР")</f>
        <v>СМР</v>
      </c>
      <c r="I130" s="23">
        <f ca="1">IFERROR(__xludf.DUMMYFUNCTION("""COMPUTED_VALUE"""),0)</f>
        <v>0</v>
      </c>
      <c r="J130" s="20" t="str">
        <f ca="1">IFERROR(__xludf.DUMMYFUNCTION("""COMPUTED_VALUE"""),"Готовится конкурсная документация для публикации закупки. Освоение лимитов планируется за счет авансирования.")</f>
        <v>Готовится конкурсная документация для публикации закупки. Освоение лимитов планируется за счет авансирования.</v>
      </c>
      <c r="K130" s="20">
        <f ca="1">IFERROR(__xludf.DUMMYFUNCTION("""COMPUTED_VALUE"""),0)</f>
        <v>0</v>
      </c>
      <c r="L130" s="20">
        <f ca="1">IFERROR(__xludf.DUMMYFUNCTION("""COMPUTED_VALUE"""),200)</f>
        <v>200</v>
      </c>
      <c r="M130" s="20"/>
      <c r="N130" s="24">
        <f ca="1">IFERROR(__xludf.DUMMYFUNCTION("""COMPUTED_VALUE"""),6441.59)</f>
        <v>6441.59</v>
      </c>
      <c r="O130" s="20"/>
      <c r="P130" s="24">
        <f ca="1">IFERROR(__xludf.DUMMYFUNCTION("""COMPUTED_VALUE"""),6441.59)</f>
        <v>6441.59</v>
      </c>
      <c r="Q130" s="20"/>
      <c r="R130" s="20"/>
      <c r="S130" s="20"/>
      <c r="T130" s="20"/>
      <c r="U130" s="24">
        <f ca="1">IFERROR(__xludf.DUMMYFUNCTION("""COMPUTED_VALUE"""),3650.5)</f>
        <v>3650.5</v>
      </c>
      <c r="V130" s="24">
        <f ca="1">IFERROR(__xludf.DUMMYFUNCTION("""COMPUTED_VALUE"""),0)</f>
        <v>0</v>
      </c>
      <c r="W130" s="24">
        <f ca="1">IFERROR(__xludf.DUMMYFUNCTION("""COMPUTED_VALUE"""),1399.40999999999)</f>
        <v>1399.4099999999901</v>
      </c>
      <c r="X130" s="24">
        <f ca="1">IFERROR(__xludf.DUMMYFUNCTION("""COMPUTED_VALUE"""),0)</f>
        <v>0</v>
      </c>
      <c r="Y130" s="24">
        <f ca="1">IFERROR(__xludf.DUMMYFUNCTION("""COMPUTED_VALUE"""),2251.09)</f>
        <v>2251.09</v>
      </c>
      <c r="Z130" s="24">
        <f ca="1">IFERROR(__xludf.DUMMYFUNCTION("""COMPUTED_VALUE"""),0)</f>
        <v>0</v>
      </c>
      <c r="AA130" s="20" t="str">
        <f ca="1">IFERROR(__xludf.DUMMYFUNCTION("""COMPUTED_VALUE"""),"10 1 02 64090")</f>
        <v>10 1 02 64090</v>
      </c>
      <c r="AB130" s="20">
        <f ca="1">IFERROR(__xludf.DUMMYFUNCTION("""COMPUTED_VALUE"""),522)</f>
        <v>522</v>
      </c>
      <c r="AC130" s="20" t="str">
        <f ca="1">IFERROR(__xludf.DUMMYFUNCTION("""COMPUTED_VALUE"""),"Нет")</f>
        <v>Нет</v>
      </c>
      <c r="AD130" s="20" t="str">
        <f ca="1">IFERROR(__xludf.DUMMYFUNCTION("""COMPUTED_VALUE"""),"После заключения контракта на СМР")</f>
        <v>После заключения контракта на СМР</v>
      </c>
      <c r="AE130" s="20" t="str">
        <f ca="1">IFERROR(__xludf.DUMMYFUNCTION("""COMPUTED_VALUE"""),"Отсутствует")</f>
        <v>Отсутствует</v>
      </c>
      <c r="AF130" s="24">
        <f ca="1">IFERROR(__xludf.DUMMYFUNCTION("""COMPUTED_VALUE"""),36868.15)</f>
        <v>36868.15</v>
      </c>
      <c r="AG130" s="24">
        <f ca="1">IFERROR(__xludf.DUMMYFUNCTION("""COMPUTED_VALUE"""),0)</f>
        <v>0</v>
      </c>
      <c r="AH130" s="24">
        <f ca="1">IFERROR(__xludf.DUMMYFUNCTION("""COMPUTED_VALUE"""),28646)</f>
        <v>28646</v>
      </c>
      <c r="AI130" s="24">
        <f ca="1">IFERROR(__xludf.DUMMYFUNCTION("""COMPUTED_VALUE"""),0)</f>
        <v>0</v>
      </c>
      <c r="AJ130" s="24">
        <f ca="1">IFERROR(__xludf.DUMMYFUNCTION("""COMPUTED_VALUE"""),8222.15)</f>
        <v>8222.15</v>
      </c>
      <c r="AK130" s="24">
        <f ca="1">IFERROR(__xludf.DUMMYFUNCTION("""COMPUTED_VALUE"""),0)</f>
        <v>0</v>
      </c>
      <c r="AL130" s="24">
        <f ca="1">IFERROR(__xludf.DUMMYFUNCTION("""COMPUTED_VALUE"""),0)</f>
        <v>0</v>
      </c>
      <c r="AM130" s="20"/>
      <c r="AN130" s="20"/>
      <c r="AO130" s="20"/>
      <c r="AP130" s="20"/>
      <c r="AQ130" s="20"/>
      <c r="AR130" s="24">
        <f ca="1">IFERROR(__xludf.DUMMYFUNCTION("""COMPUTED_VALUE"""),0)</f>
        <v>0</v>
      </c>
      <c r="AS130" s="20"/>
      <c r="AT130" s="20"/>
      <c r="AU130" s="20"/>
      <c r="AV130" s="20"/>
      <c r="AW130" s="20"/>
      <c r="AX130" s="24">
        <f ca="1">IFERROR(__xludf.DUMMYFUNCTION("""COMPUTED_VALUE"""),10092.09)</f>
        <v>10092.09</v>
      </c>
      <c r="AY130" s="24">
        <f ca="1">IFERROR(__xludf.DUMMYFUNCTION("""COMPUTED_VALUE"""),0)</f>
        <v>0</v>
      </c>
      <c r="AZ130" s="24">
        <f ca="1">IFERROR(__xludf.DUMMYFUNCTION("""COMPUTED_VALUE"""),7841)</f>
        <v>7841</v>
      </c>
      <c r="BA130" s="24">
        <f ca="1">IFERROR(__xludf.DUMMYFUNCTION("""COMPUTED_VALUE"""),0)</f>
        <v>0</v>
      </c>
      <c r="BB130" s="24">
        <f ca="1">IFERROR(__xludf.DUMMYFUNCTION("""COMPUTED_VALUE"""),2251.09)</f>
        <v>2251.09</v>
      </c>
      <c r="BC130" s="20"/>
      <c r="BD130" s="24">
        <f ca="1">IFERROR(__xludf.DUMMYFUNCTION("""COMPUTED_VALUE"""),26776.06)</f>
        <v>26776.06</v>
      </c>
      <c r="BE130" s="24">
        <f ca="1">IFERROR(__xludf.DUMMYFUNCTION("""COMPUTED_VALUE"""),0)</f>
        <v>0</v>
      </c>
      <c r="BF130" s="24">
        <f ca="1">IFERROR(__xludf.DUMMYFUNCTION("""COMPUTED_VALUE"""),20805)</f>
        <v>20805</v>
      </c>
      <c r="BG130" s="24">
        <f ca="1">IFERROR(__xludf.DUMMYFUNCTION("""COMPUTED_VALUE"""),0)</f>
        <v>0</v>
      </c>
      <c r="BH130" s="24">
        <f ca="1">IFERROR(__xludf.DUMMYFUNCTION("""COMPUTED_VALUE"""),5971.06)</f>
        <v>5971.06</v>
      </c>
      <c r="BI130" s="20"/>
      <c r="BJ130" s="24">
        <f ca="1">IFERROR(__xludf.DUMMYFUNCTION("""COMPUTED_VALUE"""),0)</f>
        <v>0</v>
      </c>
      <c r="BK130" s="24">
        <f ca="1">IFERROR(__xludf.DUMMYFUNCTION("""COMPUTED_VALUE"""),0)</f>
        <v>0</v>
      </c>
      <c r="BL130" s="24">
        <f ca="1">IFERROR(__xludf.DUMMYFUNCTION("""COMPUTED_VALUE"""),0)</f>
        <v>0</v>
      </c>
      <c r="BM130" s="24">
        <f ca="1">IFERROR(__xludf.DUMMYFUNCTION("""COMPUTED_VALUE"""),0)</f>
        <v>0</v>
      </c>
      <c r="BN130" s="24">
        <f ca="1">IFERROR(__xludf.DUMMYFUNCTION("""COMPUTED_VALUE"""),0)</f>
        <v>0</v>
      </c>
      <c r="BO130" s="20"/>
      <c r="BP130" s="24">
        <f ca="1">IFERROR(__xludf.DUMMYFUNCTION("""COMPUTED_VALUE"""),0)</f>
        <v>0</v>
      </c>
      <c r="BQ130" s="24">
        <f ca="1">IFERROR(__xludf.DUMMYFUNCTION("""COMPUTED_VALUE"""),0)</f>
        <v>0</v>
      </c>
      <c r="BR130" s="24">
        <f ca="1">IFERROR(__xludf.DUMMYFUNCTION("""COMPUTED_VALUE"""),0)</f>
        <v>0</v>
      </c>
      <c r="BS130" s="24">
        <f ca="1">IFERROR(__xludf.DUMMYFUNCTION("""COMPUTED_VALUE"""),0)</f>
        <v>0</v>
      </c>
      <c r="BT130" s="24">
        <f ca="1">IFERROR(__xludf.DUMMYFUNCTION("""COMPUTED_VALUE"""),0)</f>
        <v>0</v>
      </c>
      <c r="BU130" s="20"/>
      <c r="BV130" s="24">
        <f ca="1">IFERROR(__xludf.DUMMYFUNCTION("""COMPUTED_VALUE"""),0)</f>
        <v>0</v>
      </c>
      <c r="BW130" s="24">
        <f ca="1">IFERROR(__xludf.DUMMYFUNCTION("""COMPUTED_VALUE"""),0)</f>
        <v>0</v>
      </c>
      <c r="BX130" s="24">
        <f ca="1">IFERROR(__xludf.DUMMYFUNCTION("""COMPUTED_VALUE"""),0)</f>
        <v>0</v>
      </c>
      <c r="BY130" s="24">
        <f ca="1">IFERROR(__xludf.DUMMYFUNCTION("""COMPUTED_VALUE"""),0)</f>
        <v>0</v>
      </c>
      <c r="BZ130" s="24">
        <f ca="1">IFERROR(__xludf.DUMMYFUNCTION("""COMPUTED_VALUE"""),0)</f>
        <v>0</v>
      </c>
      <c r="CA130" s="20"/>
      <c r="CB130" s="20"/>
      <c r="CC130" s="20"/>
      <c r="CD130" s="20"/>
      <c r="CE130" s="20"/>
      <c r="CF130" s="20"/>
      <c r="CG130" s="20"/>
      <c r="CH130" s="20"/>
      <c r="CI130" s="20"/>
      <c r="CJ130" s="20"/>
      <c r="CK130" s="20"/>
      <c r="CL130" s="20"/>
      <c r="CM130" s="20"/>
      <c r="CN130" s="20"/>
      <c r="CO130" s="20"/>
      <c r="CP130" s="20"/>
      <c r="CQ130" s="20"/>
      <c r="CR130" s="20"/>
      <c r="CS130" s="20"/>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row>
    <row r="131" spans="1:123" ht="64.5" hidden="1" customHeight="1" x14ac:dyDescent="0.2">
      <c r="A131" s="19"/>
      <c r="B131" s="20" t="str">
        <f ca="1">IFERROR(__xludf.DUMMYFUNCTION("""COMPUTED_VALUE"""),"г.о. Пушкинский")</f>
        <v>г.о. Пушкинский</v>
      </c>
      <c r="C13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1" s="20" t="str">
        <f ca="1">IFERROR(__xludf.DUMMYFUNCTION("""COMPUTED_VALUE"""),"МинЖКХ")</f>
        <v>МинЖКХ</v>
      </c>
      <c r="E131" s="20" t="str">
        <f ca="1">IFERROR(__xludf.DUMMYFUNCTION("""COMPUTED_VALUE"""),"Капитальный ремонт ВНС № 29  с устройством станции обезжелезивания,   пос. Софрино, ул. Комсомольская, д.13, г.п. Софрино")</f>
        <v>Капитальный ремонт ВНС № 29  с устройством станции обезжелезивания,   пос. Софрино, ул. Комсомольская, д.13, г.п. Софрино</v>
      </c>
      <c r="F131" s="32" t="str">
        <f ca="1">IFERROR(__xludf.DUMMYFUNCTION("""COMPUTED_VALUE"""),"ВНС")</f>
        <v>ВНС</v>
      </c>
      <c r="G131" s="20" t="str">
        <f ca="1">IFERROR(__xludf.DUMMYFUNCTION("""COMPUTED_VALUE"""),"Н/Л")</f>
        <v>Н/Л</v>
      </c>
      <c r="H131" s="20" t="str">
        <f ca="1">IFERROR(__xludf.DUMMYFUNCTION("""COMPUTED_VALUE"""),"СМР")</f>
        <v>СМР</v>
      </c>
      <c r="I131" s="23">
        <f ca="1">IFERROR(__xludf.DUMMYFUNCTION("""COMPUTED_VALUE"""),0)</f>
        <v>0</v>
      </c>
      <c r="J131" s="20"/>
      <c r="K131" s="20"/>
      <c r="L131" s="20"/>
      <c r="M131" s="20"/>
      <c r="N131" s="24">
        <f ca="1">IFERROR(__xludf.DUMMYFUNCTION("""COMPUTED_VALUE"""),0)</f>
        <v>0</v>
      </c>
      <c r="O131" s="20"/>
      <c r="P131" s="20"/>
      <c r="Q131" s="20"/>
      <c r="R131" s="20"/>
      <c r="S131" s="20"/>
      <c r="T131" s="20"/>
      <c r="U131" s="24">
        <f ca="1">IFERROR(__xludf.DUMMYFUNCTION("""COMPUTED_VALUE"""),0)</f>
        <v>0</v>
      </c>
      <c r="V131" s="24">
        <f ca="1">IFERROR(__xludf.DUMMYFUNCTION("""COMPUTED_VALUE"""),0)</f>
        <v>0</v>
      </c>
      <c r="W131" s="24">
        <f ca="1">IFERROR(__xludf.DUMMYFUNCTION("""COMPUTED_VALUE"""),0)</f>
        <v>0</v>
      </c>
      <c r="X131" s="24">
        <f ca="1">IFERROR(__xludf.DUMMYFUNCTION("""COMPUTED_VALUE"""),0)</f>
        <v>0</v>
      </c>
      <c r="Y131" s="24">
        <f ca="1">IFERROR(__xludf.DUMMYFUNCTION("""COMPUTED_VALUE"""),0)</f>
        <v>0</v>
      </c>
      <c r="Z131" s="24">
        <f ca="1">IFERROR(__xludf.DUMMYFUNCTION("""COMPUTED_VALUE"""),0)</f>
        <v>0</v>
      </c>
      <c r="AA131" s="20" t="str">
        <f ca="1">IFERROR(__xludf.DUMMYFUNCTION("""COMPUTED_VALUE"""),"10 1 02 60330")</f>
        <v>10 1 02 60330</v>
      </c>
      <c r="AB131" s="20">
        <f ca="1">IFERROR(__xludf.DUMMYFUNCTION("""COMPUTED_VALUE"""),520)</f>
        <v>520</v>
      </c>
      <c r="AC131" s="20" t="str">
        <f ca="1">IFERROR(__xludf.DUMMYFUNCTION("""COMPUTED_VALUE"""),"Не требуется")</f>
        <v>Не требуется</v>
      </c>
      <c r="AD131" s="20" t="str">
        <f ca="1">IFERROR(__xludf.DUMMYFUNCTION("""COMPUTED_VALUE"""),"-")</f>
        <v>-</v>
      </c>
      <c r="AE131" s="20" t="str">
        <f ca="1">IFERROR(__xludf.DUMMYFUNCTION("""COMPUTED_VALUE"""),"-")</f>
        <v>-</v>
      </c>
      <c r="AF131" s="24">
        <f ca="1">IFERROR(__xludf.DUMMYFUNCTION("""COMPUTED_VALUE"""),0)</f>
        <v>0</v>
      </c>
      <c r="AG131" s="24">
        <f ca="1">IFERROR(__xludf.DUMMYFUNCTION("""COMPUTED_VALUE"""),0)</f>
        <v>0</v>
      </c>
      <c r="AH131" s="24">
        <f ca="1">IFERROR(__xludf.DUMMYFUNCTION("""COMPUTED_VALUE"""),0)</f>
        <v>0</v>
      </c>
      <c r="AI131" s="24">
        <f ca="1">IFERROR(__xludf.DUMMYFUNCTION("""COMPUTED_VALUE"""),0)</f>
        <v>0</v>
      </c>
      <c r="AJ131" s="24">
        <f ca="1">IFERROR(__xludf.DUMMYFUNCTION("""COMPUTED_VALUE"""),0)</f>
        <v>0</v>
      </c>
      <c r="AK131" s="24">
        <f ca="1">IFERROR(__xludf.DUMMYFUNCTION("""COMPUTED_VALUE"""),0)</f>
        <v>0</v>
      </c>
      <c r="AL131" s="24">
        <f ca="1">IFERROR(__xludf.DUMMYFUNCTION("""COMPUTED_VALUE"""),0)</f>
        <v>0</v>
      </c>
      <c r="AM131" s="20"/>
      <c r="AN131" s="20"/>
      <c r="AO131" s="20"/>
      <c r="AP131" s="20"/>
      <c r="AQ131" s="20"/>
      <c r="AR131" s="24">
        <f ca="1">IFERROR(__xludf.DUMMYFUNCTION("""COMPUTED_VALUE"""),0)</f>
        <v>0</v>
      </c>
      <c r="AS131" s="20"/>
      <c r="AT131" s="20"/>
      <c r="AU131" s="20"/>
      <c r="AV131" s="20"/>
      <c r="AW131" s="20"/>
      <c r="AX131" s="24">
        <f ca="1">IFERROR(__xludf.DUMMYFUNCTION("""COMPUTED_VALUE"""),0)</f>
        <v>0</v>
      </c>
      <c r="AY131" s="24">
        <f ca="1">IFERROR(__xludf.DUMMYFUNCTION("""COMPUTED_VALUE"""),0)</f>
        <v>0</v>
      </c>
      <c r="AZ131" s="24">
        <f ca="1">IFERROR(__xludf.DUMMYFUNCTION("""COMPUTED_VALUE"""),0)</f>
        <v>0</v>
      </c>
      <c r="BA131" s="24">
        <f ca="1">IFERROR(__xludf.DUMMYFUNCTION("""COMPUTED_VALUE"""),0)</f>
        <v>0</v>
      </c>
      <c r="BB131" s="24">
        <f ca="1">IFERROR(__xludf.DUMMYFUNCTION("""COMPUTED_VALUE"""),0)</f>
        <v>0</v>
      </c>
      <c r="BC131" s="20"/>
      <c r="BD131" s="24">
        <f ca="1">IFERROR(__xludf.DUMMYFUNCTION("""COMPUTED_VALUE"""),0)</f>
        <v>0</v>
      </c>
      <c r="BE131" s="24">
        <f ca="1">IFERROR(__xludf.DUMMYFUNCTION("""COMPUTED_VALUE"""),0)</f>
        <v>0</v>
      </c>
      <c r="BF131" s="24">
        <f ca="1">IFERROR(__xludf.DUMMYFUNCTION("""COMPUTED_VALUE"""),0)</f>
        <v>0</v>
      </c>
      <c r="BG131" s="24">
        <f ca="1">IFERROR(__xludf.DUMMYFUNCTION("""COMPUTED_VALUE"""),0)</f>
        <v>0</v>
      </c>
      <c r="BH131" s="24">
        <f ca="1">IFERROR(__xludf.DUMMYFUNCTION("""COMPUTED_VALUE"""),0)</f>
        <v>0</v>
      </c>
      <c r="BI131" s="20"/>
      <c r="BJ131" s="24">
        <f ca="1">IFERROR(__xludf.DUMMYFUNCTION("""COMPUTED_VALUE"""),0)</f>
        <v>0</v>
      </c>
      <c r="BK131" s="24">
        <f ca="1">IFERROR(__xludf.DUMMYFUNCTION("""COMPUTED_VALUE"""),0)</f>
        <v>0</v>
      </c>
      <c r="BL131" s="24">
        <f ca="1">IFERROR(__xludf.DUMMYFUNCTION("""COMPUTED_VALUE"""),0)</f>
        <v>0</v>
      </c>
      <c r="BM131" s="24">
        <f ca="1">IFERROR(__xludf.DUMMYFUNCTION("""COMPUTED_VALUE"""),0)</f>
        <v>0</v>
      </c>
      <c r="BN131" s="24">
        <f ca="1">IFERROR(__xludf.DUMMYFUNCTION("""COMPUTED_VALUE"""),0)</f>
        <v>0</v>
      </c>
      <c r="BO131" s="20"/>
      <c r="BP131" s="24">
        <f ca="1">IFERROR(__xludf.DUMMYFUNCTION("""COMPUTED_VALUE"""),0)</f>
        <v>0</v>
      </c>
      <c r="BQ131" s="24">
        <f ca="1">IFERROR(__xludf.DUMMYFUNCTION("""COMPUTED_VALUE"""),0)</f>
        <v>0</v>
      </c>
      <c r="BR131" s="24">
        <f ca="1">IFERROR(__xludf.DUMMYFUNCTION("""COMPUTED_VALUE"""),0)</f>
        <v>0</v>
      </c>
      <c r="BS131" s="24">
        <f ca="1">IFERROR(__xludf.DUMMYFUNCTION("""COMPUTED_VALUE"""),0)</f>
        <v>0</v>
      </c>
      <c r="BT131" s="24">
        <f ca="1">IFERROR(__xludf.DUMMYFUNCTION("""COMPUTED_VALUE"""),0)</f>
        <v>0</v>
      </c>
      <c r="BU131" s="20"/>
      <c r="BV131" s="24">
        <f ca="1">IFERROR(__xludf.DUMMYFUNCTION("""COMPUTED_VALUE"""),0)</f>
        <v>0</v>
      </c>
      <c r="BW131" s="24">
        <f ca="1">IFERROR(__xludf.DUMMYFUNCTION("""COMPUTED_VALUE"""),0)</f>
        <v>0</v>
      </c>
      <c r="BX131" s="24">
        <f ca="1">IFERROR(__xludf.DUMMYFUNCTION("""COMPUTED_VALUE"""),0)</f>
        <v>0</v>
      </c>
      <c r="BY131" s="24">
        <f ca="1">IFERROR(__xludf.DUMMYFUNCTION("""COMPUTED_VALUE"""),0)</f>
        <v>0</v>
      </c>
      <c r="BZ131" s="24">
        <f ca="1">IFERROR(__xludf.DUMMYFUNCTION("""COMPUTED_VALUE"""),0)</f>
        <v>0</v>
      </c>
      <c r="CA131" s="20"/>
      <c r="CB131" s="20"/>
      <c r="CC131" s="20"/>
      <c r="CD131" s="20"/>
      <c r="CE131" s="20"/>
      <c r="CF131" s="20"/>
      <c r="CG131" s="20"/>
      <c r="CH131" s="20"/>
      <c r="CI131" s="20"/>
      <c r="CJ131" s="20"/>
      <c r="CK131" s="20"/>
      <c r="CL131" s="20"/>
      <c r="CM131" s="20"/>
      <c r="CN131" s="20"/>
      <c r="CO131" s="20"/>
      <c r="CP131" s="20"/>
      <c r="CQ131" s="20"/>
      <c r="CR131" s="20"/>
      <c r="CS131" s="20"/>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row>
    <row r="132" spans="1:123" ht="64.5" hidden="1" customHeight="1" x14ac:dyDescent="0.2">
      <c r="A132" s="19"/>
      <c r="B132" s="20" t="str">
        <f ca="1">IFERROR(__xludf.DUMMYFUNCTION("""COMPUTED_VALUE"""),"г.о. Богородский")</f>
        <v>г.о. Богородский</v>
      </c>
      <c r="C13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2" s="20" t="str">
        <f ca="1">IFERROR(__xludf.DUMMYFUNCTION("""COMPUTED_VALUE"""),"МинЖКХ")</f>
        <v>МинЖКХ</v>
      </c>
      <c r="E132" s="20" t="str">
        <f ca="1">IFERROR(__xludf.DUMMYFUNCTION("""COMPUTED_VALUE"""),"Приобретение, монтаж и ввод в эксплуатацию  станции водоочистки на ВЗУ дер. Б.Буньково, мкр. Фабрики,  Богородский г.о.")</f>
        <v>Приобретение, монтаж и ввод в эксплуатацию  станции водоочистки на ВЗУ дер. Б.Буньково, мкр. Фабрики,  Богородский г.о.</v>
      </c>
      <c r="F132" s="32" t="str">
        <f ca="1">IFERROR(__xludf.DUMMYFUNCTION("""COMPUTED_VALUE"""),"ВЗУ")</f>
        <v>ВЗУ</v>
      </c>
      <c r="G132" s="20" t="str">
        <f ca="1">IFERROR(__xludf.DUMMYFUNCTION("""COMPUTED_VALUE"""),"Н/Л")</f>
        <v>Н/Л</v>
      </c>
      <c r="H132" s="20" t="str">
        <f ca="1">IFERROR(__xludf.DUMMYFUNCTION("""COMPUTED_VALUE"""),"Приобретение, монтаж")</f>
        <v>Приобретение, монтаж</v>
      </c>
      <c r="I132" s="23">
        <f ca="1">IFERROR(__xludf.DUMMYFUNCTION("""COMPUTED_VALUE"""),1)</f>
        <v>1</v>
      </c>
      <c r="J132" s="20" t="str">
        <f ca="1">IFERROR(__xludf.DUMMYFUNCTION("""COMPUTED_VALUE"""),"Работы завершены в 2019 году.")</f>
        <v>Работы завершены в 2019 году.</v>
      </c>
      <c r="K132" s="20"/>
      <c r="L132" s="20"/>
      <c r="M132" s="20"/>
      <c r="N132" s="24">
        <f ca="1">IFERROR(__xludf.DUMMYFUNCTION("""COMPUTED_VALUE"""),0)</f>
        <v>0</v>
      </c>
      <c r="O132" s="20"/>
      <c r="P132" s="20"/>
      <c r="Q132" s="20"/>
      <c r="R132" s="20"/>
      <c r="S132" s="20"/>
      <c r="T132" s="20"/>
      <c r="U132" s="24">
        <f ca="1">IFERROR(__xludf.DUMMYFUNCTION("""COMPUTED_VALUE"""),0)</f>
        <v>0</v>
      </c>
      <c r="V132" s="24">
        <f ca="1">IFERROR(__xludf.DUMMYFUNCTION("""COMPUTED_VALUE"""),0)</f>
        <v>0</v>
      </c>
      <c r="W132" s="24">
        <f ca="1">IFERROR(__xludf.DUMMYFUNCTION("""COMPUTED_VALUE"""),0)</f>
        <v>0</v>
      </c>
      <c r="X132" s="24">
        <f ca="1">IFERROR(__xludf.DUMMYFUNCTION("""COMPUTED_VALUE"""),0)</f>
        <v>0</v>
      </c>
      <c r="Y132" s="24">
        <f ca="1">IFERROR(__xludf.DUMMYFUNCTION("""COMPUTED_VALUE"""),0)</f>
        <v>0</v>
      </c>
      <c r="Z132" s="24">
        <f ca="1">IFERROR(__xludf.DUMMYFUNCTION("""COMPUTED_VALUE"""),0)</f>
        <v>0</v>
      </c>
      <c r="AA132" s="20" t="str">
        <f ca="1">IFERROR(__xludf.DUMMYFUNCTION("""COMPUTED_VALUE"""),"10 1 02 60330")</f>
        <v>10 1 02 60330</v>
      </c>
      <c r="AB132" s="20">
        <f ca="1">IFERROR(__xludf.DUMMYFUNCTION("""COMPUTED_VALUE"""),520)</f>
        <v>520</v>
      </c>
      <c r="AC132" s="20" t="str">
        <f ca="1">IFERROR(__xludf.DUMMYFUNCTION("""COMPUTED_VALUE"""),"Не требуется")</f>
        <v>Не требуется</v>
      </c>
      <c r="AD132" s="20" t="str">
        <f ca="1">IFERROR(__xludf.DUMMYFUNCTION("""COMPUTED_VALUE"""),"-")</f>
        <v>-</v>
      </c>
      <c r="AE132" s="20" t="str">
        <f ca="1">IFERROR(__xludf.DUMMYFUNCTION("""COMPUTED_VALUE"""),"-")</f>
        <v>-</v>
      </c>
      <c r="AF132" s="24">
        <f ca="1">IFERROR(__xludf.DUMMYFUNCTION("""COMPUTED_VALUE"""),0)</f>
        <v>0</v>
      </c>
      <c r="AG132" s="24">
        <f ca="1">IFERROR(__xludf.DUMMYFUNCTION("""COMPUTED_VALUE"""),0)</f>
        <v>0</v>
      </c>
      <c r="AH132" s="24">
        <f ca="1">IFERROR(__xludf.DUMMYFUNCTION("""COMPUTED_VALUE"""),0)</f>
        <v>0</v>
      </c>
      <c r="AI132" s="24">
        <f ca="1">IFERROR(__xludf.DUMMYFUNCTION("""COMPUTED_VALUE"""),0)</f>
        <v>0</v>
      </c>
      <c r="AJ132" s="24">
        <f ca="1">IFERROR(__xludf.DUMMYFUNCTION("""COMPUTED_VALUE"""),0)</f>
        <v>0</v>
      </c>
      <c r="AK132" s="24">
        <f ca="1">IFERROR(__xludf.DUMMYFUNCTION("""COMPUTED_VALUE"""),0)</f>
        <v>0</v>
      </c>
      <c r="AL132" s="24">
        <f ca="1">IFERROR(__xludf.DUMMYFUNCTION("""COMPUTED_VALUE"""),0)</f>
        <v>0</v>
      </c>
      <c r="AM132" s="20"/>
      <c r="AN132" s="20"/>
      <c r="AO132" s="20"/>
      <c r="AP132" s="20"/>
      <c r="AQ132" s="20"/>
      <c r="AR132" s="24">
        <f ca="1">IFERROR(__xludf.DUMMYFUNCTION("""COMPUTED_VALUE"""),0)</f>
        <v>0</v>
      </c>
      <c r="AS132" s="20"/>
      <c r="AT132" s="20"/>
      <c r="AU132" s="20"/>
      <c r="AV132" s="20"/>
      <c r="AW132" s="20"/>
      <c r="AX132" s="24">
        <f ca="1">IFERROR(__xludf.DUMMYFUNCTION("""COMPUTED_VALUE"""),0)</f>
        <v>0</v>
      </c>
      <c r="AY132" s="24">
        <f ca="1">IFERROR(__xludf.DUMMYFUNCTION("""COMPUTED_VALUE"""),0)</f>
        <v>0</v>
      </c>
      <c r="AZ132" s="24">
        <f ca="1">IFERROR(__xludf.DUMMYFUNCTION("""COMPUTED_VALUE"""),0)</f>
        <v>0</v>
      </c>
      <c r="BA132" s="24">
        <f ca="1">IFERROR(__xludf.DUMMYFUNCTION("""COMPUTED_VALUE"""),0)</f>
        <v>0</v>
      </c>
      <c r="BB132" s="24">
        <f ca="1">IFERROR(__xludf.DUMMYFUNCTION("""COMPUTED_VALUE"""),0)</f>
        <v>0</v>
      </c>
      <c r="BC132" s="20"/>
      <c r="BD132" s="24">
        <f ca="1">IFERROR(__xludf.DUMMYFUNCTION("""COMPUTED_VALUE"""),0)</f>
        <v>0</v>
      </c>
      <c r="BE132" s="24">
        <f ca="1">IFERROR(__xludf.DUMMYFUNCTION("""COMPUTED_VALUE"""),0)</f>
        <v>0</v>
      </c>
      <c r="BF132" s="24">
        <f ca="1">IFERROR(__xludf.DUMMYFUNCTION("""COMPUTED_VALUE"""),0)</f>
        <v>0</v>
      </c>
      <c r="BG132" s="24">
        <f ca="1">IFERROR(__xludf.DUMMYFUNCTION("""COMPUTED_VALUE"""),0)</f>
        <v>0</v>
      </c>
      <c r="BH132" s="24">
        <f ca="1">IFERROR(__xludf.DUMMYFUNCTION("""COMPUTED_VALUE"""),0)</f>
        <v>0</v>
      </c>
      <c r="BI132" s="20"/>
      <c r="BJ132" s="24">
        <f ca="1">IFERROR(__xludf.DUMMYFUNCTION("""COMPUTED_VALUE"""),0)</f>
        <v>0</v>
      </c>
      <c r="BK132" s="24">
        <f ca="1">IFERROR(__xludf.DUMMYFUNCTION("""COMPUTED_VALUE"""),0)</f>
        <v>0</v>
      </c>
      <c r="BL132" s="24">
        <f ca="1">IFERROR(__xludf.DUMMYFUNCTION("""COMPUTED_VALUE"""),0)</f>
        <v>0</v>
      </c>
      <c r="BM132" s="24">
        <f ca="1">IFERROR(__xludf.DUMMYFUNCTION("""COMPUTED_VALUE"""),0)</f>
        <v>0</v>
      </c>
      <c r="BN132" s="24">
        <f ca="1">IFERROR(__xludf.DUMMYFUNCTION("""COMPUTED_VALUE"""),0)</f>
        <v>0</v>
      </c>
      <c r="BO132" s="20"/>
      <c r="BP132" s="24">
        <f ca="1">IFERROR(__xludf.DUMMYFUNCTION("""COMPUTED_VALUE"""),0)</f>
        <v>0</v>
      </c>
      <c r="BQ132" s="24">
        <f ca="1">IFERROR(__xludf.DUMMYFUNCTION("""COMPUTED_VALUE"""),0)</f>
        <v>0</v>
      </c>
      <c r="BR132" s="24">
        <f ca="1">IFERROR(__xludf.DUMMYFUNCTION("""COMPUTED_VALUE"""),0)</f>
        <v>0</v>
      </c>
      <c r="BS132" s="24">
        <f ca="1">IFERROR(__xludf.DUMMYFUNCTION("""COMPUTED_VALUE"""),0)</f>
        <v>0</v>
      </c>
      <c r="BT132" s="24">
        <f ca="1">IFERROR(__xludf.DUMMYFUNCTION("""COMPUTED_VALUE"""),0)</f>
        <v>0</v>
      </c>
      <c r="BU132" s="20"/>
      <c r="BV132" s="24">
        <f ca="1">IFERROR(__xludf.DUMMYFUNCTION("""COMPUTED_VALUE"""),0)</f>
        <v>0</v>
      </c>
      <c r="BW132" s="24">
        <f ca="1">IFERROR(__xludf.DUMMYFUNCTION("""COMPUTED_VALUE"""),0)</f>
        <v>0</v>
      </c>
      <c r="BX132" s="24">
        <f ca="1">IFERROR(__xludf.DUMMYFUNCTION("""COMPUTED_VALUE"""),0)</f>
        <v>0</v>
      </c>
      <c r="BY132" s="24">
        <f ca="1">IFERROR(__xludf.DUMMYFUNCTION("""COMPUTED_VALUE"""),0)</f>
        <v>0</v>
      </c>
      <c r="BZ132" s="24">
        <f ca="1">IFERROR(__xludf.DUMMYFUNCTION("""COMPUTED_VALUE"""),0)</f>
        <v>0</v>
      </c>
      <c r="CA132" s="20"/>
      <c r="CB132" s="20"/>
      <c r="CC132" s="20"/>
      <c r="CD132" s="20"/>
      <c r="CE132" s="20"/>
      <c r="CF132" s="20"/>
      <c r="CG132" s="20"/>
      <c r="CH132" s="20"/>
      <c r="CI132" s="20"/>
      <c r="CJ132" s="20"/>
      <c r="CK132" s="20"/>
      <c r="CL132" s="20"/>
      <c r="CM132" s="20"/>
      <c r="CN132" s="20"/>
      <c r="CO132" s="20"/>
      <c r="CP132" s="20"/>
      <c r="CQ132" s="20"/>
      <c r="CR132" s="20"/>
      <c r="CS132" s="20"/>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row>
    <row r="133" spans="1:123" ht="64.5" hidden="1" customHeight="1" x14ac:dyDescent="0.2">
      <c r="A133" s="19"/>
      <c r="B133" s="20" t="str">
        <f ca="1">IFERROR(__xludf.DUMMYFUNCTION("""COMPUTED_VALUE"""),"г.о. Богородский")</f>
        <v>г.о. Богородский</v>
      </c>
      <c r="C13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3" s="20" t="str">
        <f ca="1">IFERROR(__xludf.DUMMYFUNCTION("""COMPUTED_VALUE"""),"МинЖКХ")</f>
        <v>МинЖКХ</v>
      </c>
      <c r="E133" s="20" t="str">
        <f ca="1">IFERROR(__xludf.DUMMYFUNCTION("""COMPUTED_VALUE"""),"Приобретение, монтаж и ввод в эксплуатацию  станции водоочистки на ВЗУ дер. Караваево, Богородский г.о.  ")</f>
        <v xml:space="preserve">Приобретение, монтаж и ввод в эксплуатацию  станции водоочистки на ВЗУ дер. Караваево, Богородский г.о.  </v>
      </c>
      <c r="F133" s="32" t="str">
        <f ca="1">IFERROR(__xludf.DUMMYFUNCTION("""COMPUTED_VALUE"""),"ВЗУ")</f>
        <v>ВЗУ</v>
      </c>
      <c r="G133" s="20" t="str">
        <f ca="1">IFERROR(__xludf.DUMMYFUNCTION("""COMPUTED_VALUE"""),"Н/Л")</f>
        <v>Н/Л</v>
      </c>
      <c r="H133" s="20" t="str">
        <f ca="1">IFERROR(__xludf.DUMMYFUNCTION("""COMPUTED_VALUE"""),"Приобретение, монтаж")</f>
        <v>Приобретение, монтаж</v>
      </c>
      <c r="I133" s="23">
        <f ca="1">IFERROR(__xludf.DUMMYFUNCTION("""COMPUTED_VALUE"""),1)</f>
        <v>1</v>
      </c>
      <c r="J133" s="20" t="str">
        <f ca="1">IFERROR(__xludf.DUMMYFUNCTION("""COMPUTED_VALUE"""),"Работы завершены в 2019 году.")</f>
        <v>Работы завершены в 2019 году.</v>
      </c>
      <c r="K133" s="20"/>
      <c r="L133" s="20"/>
      <c r="M133" s="20"/>
      <c r="N133" s="24">
        <f ca="1">IFERROR(__xludf.DUMMYFUNCTION("""COMPUTED_VALUE"""),0)</f>
        <v>0</v>
      </c>
      <c r="O133" s="20"/>
      <c r="P133" s="20"/>
      <c r="Q133" s="20"/>
      <c r="R133" s="20"/>
      <c r="S133" s="20"/>
      <c r="T133" s="20"/>
      <c r="U133" s="24">
        <f ca="1">IFERROR(__xludf.DUMMYFUNCTION("""COMPUTED_VALUE"""),0)</f>
        <v>0</v>
      </c>
      <c r="V133" s="24">
        <f ca="1">IFERROR(__xludf.DUMMYFUNCTION("""COMPUTED_VALUE"""),0)</f>
        <v>0</v>
      </c>
      <c r="W133" s="24">
        <f ca="1">IFERROR(__xludf.DUMMYFUNCTION("""COMPUTED_VALUE"""),0)</f>
        <v>0</v>
      </c>
      <c r="X133" s="24">
        <f ca="1">IFERROR(__xludf.DUMMYFUNCTION("""COMPUTED_VALUE"""),0)</f>
        <v>0</v>
      </c>
      <c r="Y133" s="24">
        <f ca="1">IFERROR(__xludf.DUMMYFUNCTION("""COMPUTED_VALUE"""),0)</f>
        <v>0</v>
      </c>
      <c r="Z133" s="24">
        <f ca="1">IFERROR(__xludf.DUMMYFUNCTION("""COMPUTED_VALUE"""),0)</f>
        <v>0</v>
      </c>
      <c r="AA133" s="20" t="str">
        <f ca="1">IFERROR(__xludf.DUMMYFUNCTION("""COMPUTED_VALUE"""),"10 1 02 60330")</f>
        <v>10 1 02 60330</v>
      </c>
      <c r="AB133" s="20">
        <f ca="1">IFERROR(__xludf.DUMMYFUNCTION("""COMPUTED_VALUE"""),520)</f>
        <v>520</v>
      </c>
      <c r="AC133" s="20" t="str">
        <f ca="1">IFERROR(__xludf.DUMMYFUNCTION("""COMPUTED_VALUE"""),"Не требуется")</f>
        <v>Не требуется</v>
      </c>
      <c r="AD133" s="20" t="str">
        <f ca="1">IFERROR(__xludf.DUMMYFUNCTION("""COMPUTED_VALUE"""),"-")</f>
        <v>-</v>
      </c>
      <c r="AE133" s="20" t="str">
        <f ca="1">IFERROR(__xludf.DUMMYFUNCTION("""COMPUTED_VALUE"""),"-")</f>
        <v>-</v>
      </c>
      <c r="AF133" s="24">
        <f ca="1">IFERROR(__xludf.DUMMYFUNCTION("""COMPUTED_VALUE"""),0)</f>
        <v>0</v>
      </c>
      <c r="AG133" s="24">
        <f ca="1">IFERROR(__xludf.DUMMYFUNCTION("""COMPUTED_VALUE"""),0)</f>
        <v>0</v>
      </c>
      <c r="AH133" s="24">
        <f ca="1">IFERROR(__xludf.DUMMYFUNCTION("""COMPUTED_VALUE"""),0)</f>
        <v>0</v>
      </c>
      <c r="AI133" s="24">
        <f ca="1">IFERROR(__xludf.DUMMYFUNCTION("""COMPUTED_VALUE"""),0)</f>
        <v>0</v>
      </c>
      <c r="AJ133" s="24">
        <f ca="1">IFERROR(__xludf.DUMMYFUNCTION("""COMPUTED_VALUE"""),0)</f>
        <v>0</v>
      </c>
      <c r="AK133" s="24">
        <f ca="1">IFERROR(__xludf.DUMMYFUNCTION("""COMPUTED_VALUE"""),0)</f>
        <v>0</v>
      </c>
      <c r="AL133" s="24">
        <f ca="1">IFERROR(__xludf.DUMMYFUNCTION("""COMPUTED_VALUE"""),0)</f>
        <v>0</v>
      </c>
      <c r="AM133" s="20"/>
      <c r="AN133" s="20"/>
      <c r="AO133" s="20"/>
      <c r="AP133" s="20"/>
      <c r="AQ133" s="20"/>
      <c r="AR133" s="24">
        <f ca="1">IFERROR(__xludf.DUMMYFUNCTION("""COMPUTED_VALUE"""),0)</f>
        <v>0</v>
      </c>
      <c r="AS133" s="20"/>
      <c r="AT133" s="20"/>
      <c r="AU133" s="20"/>
      <c r="AV133" s="20"/>
      <c r="AW133" s="20"/>
      <c r="AX133" s="24">
        <f ca="1">IFERROR(__xludf.DUMMYFUNCTION("""COMPUTED_VALUE"""),0)</f>
        <v>0</v>
      </c>
      <c r="AY133" s="24">
        <f ca="1">IFERROR(__xludf.DUMMYFUNCTION("""COMPUTED_VALUE"""),0)</f>
        <v>0</v>
      </c>
      <c r="AZ133" s="24">
        <f ca="1">IFERROR(__xludf.DUMMYFUNCTION("""COMPUTED_VALUE"""),0)</f>
        <v>0</v>
      </c>
      <c r="BA133" s="24">
        <f ca="1">IFERROR(__xludf.DUMMYFUNCTION("""COMPUTED_VALUE"""),0)</f>
        <v>0</v>
      </c>
      <c r="BB133" s="24">
        <f ca="1">IFERROR(__xludf.DUMMYFUNCTION("""COMPUTED_VALUE"""),0)</f>
        <v>0</v>
      </c>
      <c r="BC133" s="20"/>
      <c r="BD133" s="24">
        <f ca="1">IFERROR(__xludf.DUMMYFUNCTION("""COMPUTED_VALUE"""),0)</f>
        <v>0</v>
      </c>
      <c r="BE133" s="24">
        <f ca="1">IFERROR(__xludf.DUMMYFUNCTION("""COMPUTED_VALUE"""),0)</f>
        <v>0</v>
      </c>
      <c r="BF133" s="24">
        <f ca="1">IFERROR(__xludf.DUMMYFUNCTION("""COMPUTED_VALUE"""),0)</f>
        <v>0</v>
      </c>
      <c r="BG133" s="24">
        <f ca="1">IFERROR(__xludf.DUMMYFUNCTION("""COMPUTED_VALUE"""),0)</f>
        <v>0</v>
      </c>
      <c r="BH133" s="24">
        <f ca="1">IFERROR(__xludf.DUMMYFUNCTION("""COMPUTED_VALUE"""),0)</f>
        <v>0</v>
      </c>
      <c r="BI133" s="20"/>
      <c r="BJ133" s="24">
        <f ca="1">IFERROR(__xludf.DUMMYFUNCTION("""COMPUTED_VALUE"""),0)</f>
        <v>0</v>
      </c>
      <c r="BK133" s="24">
        <f ca="1">IFERROR(__xludf.DUMMYFUNCTION("""COMPUTED_VALUE"""),0)</f>
        <v>0</v>
      </c>
      <c r="BL133" s="24">
        <f ca="1">IFERROR(__xludf.DUMMYFUNCTION("""COMPUTED_VALUE"""),0)</f>
        <v>0</v>
      </c>
      <c r="BM133" s="24">
        <f ca="1">IFERROR(__xludf.DUMMYFUNCTION("""COMPUTED_VALUE"""),0)</f>
        <v>0</v>
      </c>
      <c r="BN133" s="24">
        <f ca="1">IFERROR(__xludf.DUMMYFUNCTION("""COMPUTED_VALUE"""),0)</f>
        <v>0</v>
      </c>
      <c r="BO133" s="20"/>
      <c r="BP133" s="24">
        <f ca="1">IFERROR(__xludf.DUMMYFUNCTION("""COMPUTED_VALUE"""),0)</f>
        <v>0</v>
      </c>
      <c r="BQ133" s="24">
        <f ca="1">IFERROR(__xludf.DUMMYFUNCTION("""COMPUTED_VALUE"""),0)</f>
        <v>0</v>
      </c>
      <c r="BR133" s="24">
        <f ca="1">IFERROR(__xludf.DUMMYFUNCTION("""COMPUTED_VALUE"""),0)</f>
        <v>0</v>
      </c>
      <c r="BS133" s="24">
        <f ca="1">IFERROR(__xludf.DUMMYFUNCTION("""COMPUTED_VALUE"""),0)</f>
        <v>0</v>
      </c>
      <c r="BT133" s="24">
        <f ca="1">IFERROR(__xludf.DUMMYFUNCTION("""COMPUTED_VALUE"""),0)</f>
        <v>0</v>
      </c>
      <c r="BU133" s="20"/>
      <c r="BV133" s="24">
        <f ca="1">IFERROR(__xludf.DUMMYFUNCTION("""COMPUTED_VALUE"""),0)</f>
        <v>0</v>
      </c>
      <c r="BW133" s="24">
        <f ca="1">IFERROR(__xludf.DUMMYFUNCTION("""COMPUTED_VALUE"""),0)</f>
        <v>0</v>
      </c>
      <c r="BX133" s="24">
        <f ca="1">IFERROR(__xludf.DUMMYFUNCTION("""COMPUTED_VALUE"""),0)</f>
        <v>0</v>
      </c>
      <c r="BY133" s="24">
        <f ca="1">IFERROR(__xludf.DUMMYFUNCTION("""COMPUTED_VALUE"""),0)</f>
        <v>0</v>
      </c>
      <c r="BZ133" s="24">
        <f ca="1">IFERROR(__xludf.DUMMYFUNCTION("""COMPUTED_VALUE"""),0)</f>
        <v>0</v>
      </c>
      <c r="CA133" s="20"/>
      <c r="CB133" s="20"/>
      <c r="CC133" s="20"/>
      <c r="CD133" s="20"/>
      <c r="CE133" s="20"/>
      <c r="CF133" s="20"/>
      <c r="CG133" s="20"/>
      <c r="CH133" s="20"/>
      <c r="CI133" s="20"/>
      <c r="CJ133" s="20"/>
      <c r="CK133" s="20"/>
      <c r="CL133" s="20"/>
      <c r="CM133" s="20"/>
      <c r="CN133" s="20"/>
      <c r="CO133" s="20"/>
      <c r="CP133" s="20"/>
      <c r="CQ133" s="20"/>
      <c r="CR133" s="20"/>
      <c r="CS133" s="20"/>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row>
    <row r="134" spans="1:123" ht="64.5" hidden="1" customHeight="1" x14ac:dyDescent="0.2">
      <c r="A134" s="19"/>
      <c r="B134" s="20" t="str">
        <f ca="1">IFERROR(__xludf.DUMMYFUNCTION("""COMPUTED_VALUE"""),"г.о. Богородский")</f>
        <v>г.о. Богородский</v>
      </c>
      <c r="C13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4" s="20" t="str">
        <f ca="1">IFERROR(__xludf.DUMMYFUNCTION("""COMPUTED_VALUE"""),"МинЖКХ")</f>
        <v>МинЖКХ</v>
      </c>
      <c r="E134" s="20" t="str">
        <f ca="1">IFERROR(__xludf.DUMMYFUNCTION("""COMPUTED_VALUE"""),"Приобретение, монтаж и ввод в эксплуатацию   станции водоочистки на ВЗУ дер. Б.Буньково, ул. Ленинская, 126 (БЗКИ), Богородский г.о.")</f>
        <v>Приобретение, монтаж и ввод в эксплуатацию   станции водоочистки на ВЗУ дер. Б.Буньково, ул. Ленинская, 126 (БЗКИ), Богородский г.о.</v>
      </c>
      <c r="F134" s="32" t="str">
        <f ca="1">IFERROR(__xludf.DUMMYFUNCTION("""COMPUTED_VALUE"""),"ВЗУ")</f>
        <v>ВЗУ</v>
      </c>
      <c r="G134" s="20" t="str">
        <f ca="1">IFERROR(__xludf.DUMMYFUNCTION("""COMPUTED_VALUE"""),"Н/Л")</f>
        <v>Н/Л</v>
      </c>
      <c r="H134" s="20" t="str">
        <f ca="1">IFERROR(__xludf.DUMMYFUNCTION("""COMPUTED_VALUE"""),"Приобретение, монтаж")</f>
        <v>Приобретение, монтаж</v>
      </c>
      <c r="I134" s="23">
        <f ca="1">IFERROR(__xludf.DUMMYFUNCTION("""COMPUTED_VALUE"""),1)</f>
        <v>1</v>
      </c>
      <c r="J134" s="20" t="str">
        <f ca="1">IFERROR(__xludf.DUMMYFUNCTION("""COMPUTED_VALUE"""),"Работы завершены в 2019 году.")</f>
        <v>Работы завершены в 2019 году.</v>
      </c>
      <c r="K134" s="20"/>
      <c r="L134" s="20"/>
      <c r="M134" s="20"/>
      <c r="N134" s="24">
        <f ca="1">IFERROR(__xludf.DUMMYFUNCTION("""COMPUTED_VALUE"""),0)</f>
        <v>0</v>
      </c>
      <c r="O134" s="20"/>
      <c r="P134" s="20"/>
      <c r="Q134" s="20"/>
      <c r="R134" s="20"/>
      <c r="S134" s="20"/>
      <c r="T134" s="20"/>
      <c r="U134" s="24">
        <f ca="1">IFERROR(__xludf.DUMMYFUNCTION("""COMPUTED_VALUE"""),0)</f>
        <v>0</v>
      </c>
      <c r="V134" s="24">
        <f ca="1">IFERROR(__xludf.DUMMYFUNCTION("""COMPUTED_VALUE"""),0)</f>
        <v>0</v>
      </c>
      <c r="W134" s="24">
        <f ca="1">IFERROR(__xludf.DUMMYFUNCTION("""COMPUTED_VALUE"""),0)</f>
        <v>0</v>
      </c>
      <c r="X134" s="24">
        <f ca="1">IFERROR(__xludf.DUMMYFUNCTION("""COMPUTED_VALUE"""),0)</f>
        <v>0</v>
      </c>
      <c r="Y134" s="24">
        <f ca="1">IFERROR(__xludf.DUMMYFUNCTION("""COMPUTED_VALUE"""),0)</f>
        <v>0</v>
      </c>
      <c r="Z134" s="24">
        <f ca="1">IFERROR(__xludf.DUMMYFUNCTION("""COMPUTED_VALUE"""),0)</f>
        <v>0</v>
      </c>
      <c r="AA134" s="20" t="str">
        <f ca="1">IFERROR(__xludf.DUMMYFUNCTION("""COMPUTED_VALUE"""),"10 1 02 60330")</f>
        <v>10 1 02 60330</v>
      </c>
      <c r="AB134" s="20">
        <f ca="1">IFERROR(__xludf.DUMMYFUNCTION("""COMPUTED_VALUE"""),520)</f>
        <v>520</v>
      </c>
      <c r="AC134" s="20" t="str">
        <f ca="1">IFERROR(__xludf.DUMMYFUNCTION("""COMPUTED_VALUE"""),"Не требуется")</f>
        <v>Не требуется</v>
      </c>
      <c r="AD134" s="20" t="str">
        <f ca="1">IFERROR(__xludf.DUMMYFUNCTION("""COMPUTED_VALUE"""),"-")</f>
        <v>-</v>
      </c>
      <c r="AE134" s="20" t="str">
        <f ca="1">IFERROR(__xludf.DUMMYFUNCTION("""COMPUTED_VALUE"""),"-")</f>
        <v>-</v>
      </c>
      <c r="AF134" s="24">
        <f ca="1">IFERROR(__xludf.DUMMYFUNCTION("""COMPUTED_VALUE"""),0)</f>
        <v>0</v>
      </c>
      <c r="AG134" s="24">
        <f ca="1">IFERROR(__xludf.DUMMYFUNCTION("""COMPUTED_VALUE"""),0)</f>
        <v>0</v>
      </c>
      <c r="AH134" s="24">
        <f ca="1">IFERROR(__xludf.DUMMYFUNCTION("""COMPUTED_VALUE"""),0)</f>
        <v>0</v>
      </c>
      <c r="AI134" s="24">
        <f ca="1">IFERROR(__xludf.DUMMYFUNCTION("""COMPUTED_VALUE"""),0)</f>
        <v>0</v>
      </c>
      <c r="AJ134" s="24">
        <f ca="1">IFERROR(__xludf.DUMMYFUNCTION("""COMPUTED_VALUE"""),0)</f>
        <v>0</v>
      </c>
      <c r="AK134" s="24">
        <f ca="1">IFERROR(__xludf.DUMMYFUNCTION("""COMPUTED_VALUE"""),0)</f>
        <v>0</v>
      </c>
      <c r="AL134" s="24">
        <f ca="1">IFERROR(__xludf.DUMMYFUNCTION("""COMPUTED_VALUE"""),0)</f>
        <v>0</v>
      </c>
      <c r="AM134" s="20"/>
      <c r="AN134" s="20"/>
      <c r="AO134" s="20"/>
      <c r="AP134" s="20"/>
      <c r="AQ134" s="20"/>
      <c r="AR134" s="24">
        <f ca="1">IFERROR(__xludf.DUMMYFUNCTION("""COMPUTED_VALUE"""),0)</f>
        <v>0</v>
      </c>
      <c r="AS134" s="20"/>
      <c r="AT134" s="20"/>
      <c r="AU134" s="20"/>
      <c r="AV134" s="20"/>
      <c r="AW134" s="20"/>
      <c r="AX134" s="24">
        <f ca="1">IFERROR(__xludf.DUMMYFUNCTION("""COMPUTED_VALUE"""),0)</f>
        <v>0</v>
      </c>
      <c r="AY134" s="24">
        <f ca="1">IFERROR(__xludf.DUMMYFUNCTION("""COMPUTED_VALUE"""),0)</f>
        <v>0</v>
      </c>
      <c r="AZ134" s="24">
        <f ca="1">IFERROR(__xludf.DUMMYFUNCTION("""COMPUTED_VALUE"""),0)</f>
        <v>0</v>
      </c>
      <c r="BA134" s="24">
        <f ca="1">IFERROR(__xludf.DUMMYFUNCTION("""COMPUTED_VALUE"""),0)</f>
        <v>0</v>
      </c>
      <c r="BB134" s="24">
        <f ca="1">IFERROR(__xludf.DUMMYFUNCTION("""COMPUTED_VALUE"""),0)</f>
        <v>0</v>
      </c>
      <c r="BC134" s="20"/>
      <c r="BD134" s="24">
        <f ca="1">IFERROR(__xludf.DUMMYFUNCTION("""COMPUTED_VALUE"""),0)</f>
        <v>0</v>
      </c>
      <c r="BE134" s="24">
        <f ca="1">IFERROR(__xludf.DUMMYFUNCTION("""COMPUTED_VALUE"""),0)</f>
        <v>0</v>
      </c>
      <c r="BF134" s="24">
        <f ca="1">IFERROR(__xludf.DUMMYFUNCTION("""COMPUTED_VALUE"""),0)</f>
        <v>0</v>
      </c>
      <c r="BG134" s="24">
        <f ca="1">IFERROR(__xludf.DUMMYFUNCTION("""COMPUTED_VALUE"""),0)</f>
        <v>0</v>
      </c>
      <c r="BH134" s="24">
        <f ca="1">IFERROR(__xludf.DUMMYFUNCTION("""COMPUTED_VALUE"""),0)</f>
        <v>0</v>
      </c>
      <c r="BI134" s="20"/>
      <c r="BJ134" s="24">
        <f ca="1">IFERROR(__xludf.DUMMYFUNCTION("""COMPUTED_VALUE"""),0)</f>
        <v>0</v>
      </c>
      <c r="BK134" s="24">
        <f ca="1">IFERROR(__xludf.DUMMYFUNCTION("""COMPUTED_VALUE"""),0)</f>
        <v>0</v>
      </c>
      <c r="BL134" s="24">
        <f ca="1">IFERROR(__xludf.DUMMYFUNCTION("""COMPUTED_VALUE"""),0)</f>
        <v>0</v>
      </c>
      <c r="BM134" s="24">
        <f ca="1">IFERROR(__xludf.DUMMYFUNCTION("""COMPUTED_VALUE"""),0)</f>
        <v>0</v>
      </c>
      <c r="BN134" s="24">
        <f ca="1">IFERROR(__xludf.DUMMYFUNCTION("""COMPUTED_VALUE"""),0)</f>
        <v>0</v>
      </c>
      <c r="BO134" s="20"/>
      <c r="BP134" s="24">
        <f ca="1">IFERROR(__xludf.DUMMYFUNCTION("""COMPUTED_VALUE"""),0)</f>
        <v>0</v>
      </c>
      <c r="BQ134" s="24">
        <f ca="1">IFERROR(__xludf.DUMMYFUNCTION("""COMPUTED_VALUE"""),0)</f>
        <v>0</v>
      </c>
      <c r="BR134" s="24">
        <f ca="1">IFERROR(__xludf.DUMMYFUNCTION("""COMPUTED_VALUE"""),0)</f>
        <v>0</v>
      </c>
      <c r="BS134" s="24">
        <f ca="1">IFERROR(__xludf.DUMMYFUNCTION("""COMPUTED_VALUE"""),0)</f>
        <v>0</v>
      </c>
      <c r="BT134" s="24">
        <f ca="1">IFERROR(__xludf.DUMMYFUNCTION("""COMPUTED_VALUE"""),0)</f>
        <v>0</v>
      </c>
      <c r="BU134" s="20"/>
      <c r="BV134" s="24">
        <f ca="1">IFERROR(__xludf.DUMMYFUNCTION("""COMPUTED_VALUE"""),0)</f>
        <v>0</v>
      </c>
      <c r="BW134" s="24">
        <f ca="1">IFERROR(__xludf.DUMMYFUNCTION("""COMPUTED_VALUE"""),0)</f>
        <v>0</v>
      </c>
      <c r="BX134" s="24">
        <f ca="1">IFERROR(__xludf.DUMMYFUNCTION("""COMPUTED_VALUE"""),0)</f>
        <v>0</v>
      </c>
      <c r="BY134" s="24">
        <f ca="1">IFERROR(__xludf.DUMMYFUNCTION("""COMPUTED_VALUE"""),0)</f>
        <v>0</v>
      </c>
      <c r="BZ134" s="24">
        <f ca="1">IFERROR(__xludf.DUMMYFUNCTION("""COMPUTED_VALUE"""),0)</f>
        <v>0</v>
      </c>
      <c r="CA134" s="20"/>
      <c r="CB134" s="20"/>
      <c r="CC134" s="20"/>
      <c r="CD134" s="20"/>
      <c r="CE134" s="20"/>
      <c r="CF134" s="20"/>
      <c r="CG134" s="20"/>
      <c r="CH134" s="20"/>
      <c r="CI134" s="20"/>
      <c r="CJ134" s="20"/>
      <c r="CK134" s="20"/>
      <c r="CL134" s="20"/>
      <c r="CM134" s="20"/>
      <c r="CN134" s="20"/>
      <c r="CO134" s="20"/>
      <c r="CP134" s="20"/>
      <c r="CQ134" s="20"/>
      <c r="CR134" s="20"/>
      <c r="CS134" s="20"/>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row>
    <row r="135" spans="1:123" ht="64.5" hidden="1" customHeight="1" x14ac:dyDescent="0.2">
      <c r="A135" s="19"/>
      <c r="B135" s="20" t="str">
        <f ca="1">IFERROR(__xludf.DUMMYFUNCTION("""COMPUTED_VALUE"""),"г.о. Богородский")</f>
        <v>г.о. Богородский</v>
      </c>
      <c r="C13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5" s="20" t="str">
        <f ca="1">IFERROR(__xludf.DUMMYFUNCTION("""COMPUTED_VALUE"""),"МинЖКХ")</f>
        <v>МинЖКХ</v>
      </c>
      <c r="E135" s="20" t="str">
        <f ca="1">IFERROR(__xludf.DUMMYFUNCTION("""COMPUTED_VALUE"""),"Приобретение, монтаж и ввод в эксплуатацию    станции водоочистки на ВЗУ дер. Б.Буньково, ул. Ленинская, 126 (ул. Демонстрационная), Богородский г.о.")</f>
        <v>Приобретение, монтаж и ввод в эксплуатацию    станции водоочистки на ВЗУ дер. Б.Буньково, ул. Ленинская, 126 (ул. Демонстрационная), Богородский г.о.</v>
      </c>
      <c r="F135" s="32" t="str">
        <f ca="1">IFERROR(__xludf.DUMMYFUNCTION("""COMPUTED_VALUE"""),"ВЗУ")</f>
        <v>ВЗУ</v>
      </c>
      <c r="G135" s="20" t="str">
        <f ca="1">IFERROR(__xludf.DUMMYFUNCTION("""COMPUTED_VALUE"""),"Н/Л")</f>
        <v>Н/Л</v>
      </c>
      <c r="H135" s="20" t="str">
        <f ca="1">IFERROR(__xludf.DUMMYFUNCTION("""COMPUTED_VALUE"""),"Приобретение, монтаж")</f>
        <v>Приобретение, монтаж</v>
      </c>
      <c r="I135" s="23">
        <f ca="1">IFERROR(__xludf.DUMMYFUNCTION("""COMPUTED_VALUE"""),1)</f>
        <v>1</v>
      </c>
      <c r="J135" s="20" t="str">
        <f ca="1">IFERROR(__xludf.DUMMYFUNCTION("""COMPUTED_VALUE"""),"Работы завершены в 2019 году.")</f>
        <v>Работы завершены в 2019 году.</v>
      </c>
      <c r="K135" s="20"/>
      <c r="L135" s="20"/>
      <c r="M135" s="20"/>
      <c r="N135" s="24">
        <f ca="1">IFERROR(__xludf.DUMMYFUNCTION("""COMPUTED_VALUE"""),0)</f>
        <v>0</v>
      </c>
      <c r="O135" s="20"/>
      <c r="P135" s="20"/>
      <c r="Q135" s="20"/>
      <c r="R135" s="20"/>
      <c r="S135" s="20"/>
      <c r="T135" s="20"/>
      <c r="U135" s="24">
        <f ca="1">IFERROR(__xludf.DUMMYFUNCTION("""COMPUTED_VALUE"""),0)</f>
        <v>0</v>
      </c>
      <c r="V135" s="24">
        <f ca="1">IFERROR(__xludf.DUMMYFUNCTION("""COMPUTED_VALUE"""),0)</f>
        <v>0</v>
      </c>
      <c r="W135" s="24">
        <f ca="1">IFERROR(__xludf.DUMMYFUNCTION("""COMPUTED_VALUE"""),0)</f>
        <v>0</v>
      </c>
      <c r="X135" s="24">
        <f ca="1">IFERROR(__xludf.DUMMYFUNCTION("""COMPUTED_VALUE"""),0)</f>
        <v>0</v>
      </c>
      <c r="Y135" s="24">
        <f ca="1">IFERROR(__xludf.DUMMYFUNCTION("""COMPUTED_VALUE"""),0)</f>
        <v>0</v>
      </c>
      <c r="Z135" s="24">
        <f ca="1">IFERROR(__xludf.DUMMYFUNCTION("""COMPUTED_VALUE"""),0)</f>
        <v>0</v>
      </c>
      <c r="AA135" s="20" t="str">
        <f ca="1">IFERROR(__xludf.DUMMYFUNCTION("""COMPUTED_VALUE"""),"10 1 02 60330")</f>
        <v>10 1 02 60330</v>
      </c>
      <c r="AB135" s="20">
        <f ca="1">IFERROR(__xludf.DUMMYFUNCTION("""COMPUTED_VALUE"""),520)</f>
        <v>520</v>
      </c>
      <c r="AC135" s="20" t="str">
        <f ca="1">IFERROR(__xludf.DUMMYFUNCTION("""COMPUTED_VALUE"""),"Не требуется")</f>
        <v>Не требуется</v>
      </c>
      <c r="AD135" s="20" t="str">
        <f ca="1">IFERROR(__xludf.DUMMYFUNCTION("""COMPUTED_VALUE"""),"-")</f>
        <v>-</v>
      </c>
      <c r="AE135" s="20" t="str">
        <f ca="1">IFERROR(__xludf.DUMMYFUNCTION("""COMPUTED_VALUE"""),"-")</f>
        <v>-</v>
      </c>
      <c r="AF135" s="24">
        <f ca="1">IFERROR(__xludf.DUMMYFUNCTION("""COMPUTED_VALUE"""),0)</f>
        <v>0</v>
      </c>
      <c r="AG135" s="24">
        <f ca="1">IFERROR(__xludf.DUMMYFUNCTION("""COMPUTED_VALUE"""),0)</f>
        <v>0</v>
      </c>
      <c r="AH135" s="24">
        <f ca="1">IFERROR(__xludf.DUMMYFUNCTION("""COMPUTED_VALUE"""),0)</f>
        <v>0</v>
      </c>
      <c r="AI135" s="24">
        <f ca="1">IFERROR(__xludf.DUMMYFUNCTION("""COMPUTED_VALUE"""),0)</f>
        <v>0</v>
      </c>
      <c r="AJ135" s="24">
        <f ca="1">IFERROR(__xludf.DUMMYFUNCTION("""COMPUTED_VALUE"""),0)</f>
        <v>0</v>
      </c>
      <c r="AK135" s="24">
        <f ca="1">IFERROR(__xludf.DUMMYFUNCTION("""COMPUTED_VALUE"""),0)</f>
        <v>0</v>
      </c>
      <c r="AL135" s="24">
        <f ca="1">IFERROR(__xludf.DUMMYFUNCTION("""COMPUTED_VALUE"""),0)</f>
        <v>0</v>
      </c>
      <c r="AM135" s="20"/>
      <c r="AN135" s="20"/>
      <c r="AO135" s="20"/>
      <c r="AP135" s="20"/>
      <c r="AQ135" s="20"/>
      <c r="AR135" s="24">
        <f ca="1">IFERROR(__xludf.DUMMYFUNCTION("""COMPUTED_VALUE"""),0)</f>
        <v>0</v>
      </c>
      <c r="AS135" s="20"/>
      <c r="AT135" s="20"/>
      <c r="AU135" s="20"/>
      <c r="AV135" s="20"/>
      <c r="AW135" s="20"/>
      <c r="AX135" s="24">
        <f ca="1">IFERROR(__xludf.DUMMYFUNCTION("""COMPUTED_VALUE"""),0)</f>
        <v>0</v>
      </c>
      <c r="AY135" s="24">
        <f ca="1">IFERROR(__xludf.DUMMYFUNCTION("""COMPUTED_VALUE"""),0)</f>
        <v>0</v>
      </c>
      <c r="AZ135" s="24">
        <f ca="1">IFERROR(__xludf.DUMMYFUNCTION("""COMPUTED_VALUE"""),0)</f>
        <v>0</v>
      </c>
      <c r="BA135" s="24">
        <f ca="1">IFERROR(__xludf.DUMMYFUNCTION("""COMPUTED_VALUE"""),0)</f>
        <v>0</v>
      </c>
      <c r="BB135" s="24">
        <f ca="1">IFERROR(__xludf.DUMMYFUNCTION("""COMPUTED_VALUE"""),0)</f>
        <v>0</v>
      </c>
      <c r="BC135" s="20"/>
      <c r="BD135" s="24">
        <f ca="1">IFERROR(__xludf.DUMMYFUNCTION("""COMPUTED_VALUE"""),0)</f>
        <v>0</v>
      </c>
      <c r="BE135" s="24">
        <f ca="1">IFERROR(__xludf.DUMMYFUNCTION("""COMPUTED_VALUE"""),0)</f>
        <v>0</v>
      </c>
      <c r="BF135" s="24">
        <f ca="1">IFERROR(__xludf.DUMMYFUNCTION("""COMPUTED_VALUE"""),0)</f>
        <v>0</v>
      </c>
      <c r="BG135" s="24">
        <f ca="1">IFERROR(__xludf.DUMMYFUNCTION("""COMPUTED_VALUE"""),0)</f>
        <v>0</v>
      </c>
      <c r="BH135" s="24">
        <f ca="1">IFERROR(__xludf.DUMMYFUNCTION("""COMPUTED_VALUE"""),0)</f>
        <v>0</v>
      </c>
      <c r="BI135" s="20"/>
      <c r="BJ135" s="24">
        <f ca="1">IFERROR(__xludf.DUMMYFUNCTION("""COMPUTED_VALUE"""),0)</f>
        <v>0</v>
      </c>
      <c r="BK135" s="24">
        <f ca="1">IFERROR(__xludf.DUMMYFUNCTION("""COMPUTED_VALUE"""),0)</f>
        <v>0</v>
      </c>
      <c r="BL135" s="24">
        <f ca="1">IFERROR(__xludf.DUMMYFUNCTION("""COMPUTED_VALUE"""),0)</f>
        <v>0</v>
      </c>
      <c r="BM135" s="24">
        <f ca="1">IFERROR(__xludf.DUMMYFUNCTION("""COMPUTED_VALUE"""),0)</f>
        <v>0</v>
      </c>
      <c r="BN135" s="24">
        <f ca="1">IFERROR(__xludf.DUMMYFUNCTION("""COMPUTED_VALUE"""),0)</f>
        <v>0</v>
      </c>
      <c r="BO135" s="20"/>
      <c r="BP135" s="24">
        <f ca="1">IFERROR(__xludf.DUMMYFUNCTION("""COMPUTED_VALUE"""),0)</f>
        <v>0</v>
      </c>
      <c r="BQ135" s="24">
        <f ca="1">IFERROR(__xludf.DUMMYFUNCTION("""COMPUTED_VALUE"""),0)</f>
        <v>0</v>
      </c>
      <c r="BR135" s="24">
        <f ca="1">IFERROR(__xludf.DUMMYFUNCTION("""COMPUTED_VALUE"""),0)</f>
        <v>0</v>
      </c>
      <c r="BS135" s="24">
        <f ca="1">IFERROR(__xludf.DUMMYFUNCTION("""COMPUTED_VALUE"""),0)</f>
        <v>0</v>
      </c>
      <c r="BT135" s="24">
        <f ca="1">IFERROR(__xludf.DUMMYFUNCTION("""COMPUTED_VALUE"""),0)</f>
        <v>0</v>
      </c>
      <c r="BU135" s="20"/>
      <c r="BV135" s="24">
        <f ca="1">IFERROR(__xludf.DUMMYFUNCTION("""COMPUTED_VALUE"""),0)</f>
        <v>0</v>
      </c>
      <c r="BW135" s="24">
        <f ca="1">IFERROR(__xludf.DUMMYFUNCTION("""COMPUTED_VALUE"""),0)</f>
        <v>0</v>
      </c>
      <c r="BX135" s="24">
        <f ca="1">IFERROR(__xludf.DUMMYFUNCTION("""COMPUTED_VALUE"""),0)</f>
        <v>0</v>
      </c>
      <c r="BY135" s="24">
        <f ca="1">IFERROR(__xludf.DUMMYFUNCTION("""COMPUTED_VALUE"""),0)</f>
        <v>0</v>
      </c>
      <c r="BZ135" s="24">
        <f ca="1">IFERROR(__xludf.DUMMYFUNCTION("""COMPUTED_VALUE"""),0)</f>
        <v>0</v>
      </c>
      <c r="CA135" s="20"/>
      <c r="CB135" s="20"/>
      <c r="CC135" s="20"/>
      <c r="CD135" s="20"/>
      <c r="CE135" s="20"/>
      <c r="CF135" s="20"/>
      <c r="CG135" s="20"/>
      <c r="CH135" s="20"/>
      <c r="CI135" s="20"/>
      <c r="CJ135" s="20"/>
      <c r="CK135" s="20"/>
      <c r="CL135" s="20"/>
      <c r="CM135" s="20"/>
      <c r="CN135" s="20"/>
      <c r="CO135" s="20"/>
      <c r="CP135" s="20"/>
      <c r="CQ135" s="20"/>
      <c r="CR135" s="20"/>
      <c r="CS135" s="20"/>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row>
    <row r="136" spans="1:123" ht="64.5" hidden="1" customHeight="1" x14ac:dyDescent="0.2">
      <c r="A136" s="19"/>
      <c r="B136" s="20" t="str">
        <f ca="1">IFERROR(__xludf.DUMMYFUNCTION("""COMPUTED_VALUE"""),"г.о. Богородский")</f>
        <v>г.о. Богородский</v>
      </c>
      <c r="C13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6" s="20" t="str">
        <f ca="1">IFERROR(__xludf.DUMMYFUNCTION("""COMPUTED_VALUE"""),"МинЖКХ")</f>
        <v>МинЖКХ</v>
      </c>
      <c r="E136" s="20" t="str">
        <f ca="1">IFERROR(__xludf.DUMMYFUNCTION("""COMPUTED_VALUE"""),"Капитальный ремонт участка водопровода Ду-500 мм в г.п.  Старая Купавна ")</f>
        <v xml:space="preserve">Капитальный ремонт участка водопровода Ду-500 мм в г.п.  Старая Купавна </v>
      </c>
      <c r="F136" s="32" t="str">
        <f ca="1">IFERROR(__xludf.DUMMYFUNCTION("""COMPUTED_VALUE"""),"Сети")</f>
        <v>Сети</v>
      </c>
      <c r="G136" s="20" t="str">
        <f ca="1">IFERROR(__xludf.DUMMYFUNCTION("""COMPUTED_VALUE"""),"Н/Л")</f>
        <v>Н/Л</v>
      </c>
      <c r="H136" s="20" t="str">
        <f ca="1">IFERROR(__xludf.DUMMYFUNCTION("""COMPUTED_VALUE"""),"СМР")</f>
        <v>СМР</v>
      </c>
      <c r="I136" s="20"/>
      <c r="J136" s="20"/>
      <c r="K136" s="20"/>
      <c r="L136" s="20"/>
      <c r="M136" s="20"/>
      <c r="N136" s="24">
        <f ca="1">IFERROR(__xludf.DUMMYFUNCTION("""COMPUTED_VALUE"""),0)</f>
        <v>0</v>
      </c>
      <c r="O136" s="20"/>
      <c r="P136" s="20"/>
      <c r="Q136" s="20"/>
      <c r="R136" s="20"/>
      <c r="S136" s="20"/>
      <c r="T136" s="20"/>
      <c r="U136" s="24">
        <f ca="1">IFERROR(__xludf.DUMMYFUNCTION("""COMPUTED_VALUE"""),0)</f>
        <v>0</v>
      </c>
      <c r="V136" s="24">
        <f ca="1">IFERROR(__xludf.DUMMYFUNCTION("""COMPUTED_VALUE"""),0)</f>
        <v>0</v>
      </c>
      <c r="W136" s="24">
        <f ca="1">IFERROR(__xludf.DUMMYFUNCTION("""COMPUTED_VALUE"""),0)</f>
        <v>0</v>
      </c>
      <c r="X136" s="24">
        <f ca="1">IFERROR(__xludf.DUMMYFUNCTION("""COMPUTED_VALUE"""),0)</f>
        <v>0</v>
      </c>
      <c r="Y136" s="24">
        <f ca="1">IFERROR(__xludf.DUMMYFUNCTION("""COMPUTED_VALUE"""),0)</f>
        <v>0</v>
      </c>
      <c r="Z136" s="24">
        <f ca="1">IFERROR(__xludf.DUMMYFUNCTION("""COMPUTED_VALUE"""),0)</f>
        <v>0</v>
      </c>
      <c r="AA136" s="20" t="str">
        <f ca="1">IFERROR(__xludf.DUMMYFUNCTION("""COMPUTED_VALUE"""),"10 1 02 60330")</f>
        <v>10 1 02 60330</v>
      </c>
      <c r="AB136" s="20">
        <f ca="1">IFERROR(__xludf.DUMMYFUNCTION("""COMPUTED_VALUE"""),520)</f>
        <v>520</v>
      </c>
      <c r="AC136" s="20" t="str">
        <f ca="1">IFERROR(__xludf.DUMMYFUNCTION("""COMPUTED_VALUE"""),"Не требуется")</f>
        <v>Не требуется</v>
      </c>
      <c r="AD136" s="20" t="str">
        <f ca="1">IFERROR(__xludf.DUMMYFUNCTION("""COMPUTED_VALUE"""),"-")</f>
        <v>-</v>
      </c>
      <c r="AE136" s="20" t="str">
        <f ca="1">IFERROR(__xludf.DUMMYFUNCTION("""COMPUTED_VALUE"""),"-")</f>
        <v>-</v>
      </c>
      <c r="AF136" s="24">
        <f ca="1">IFERROR(__xludf.DUMMYFUNCTION("""COMPUTED_VALUE"""),0)</f>
        <v>0</v>
      </c>
      <c r="AG136" s="24">
        <f ca="1">IFERROR(__xludf.DUMMYFUNCTION("""COMPUTED_VALUE"""),0)</f>
        <v>0</v>
      </c>
      <c r="AH136" s="24">
        <f ca="1">IFERROR(__xludf.DUMMYFUNCTION("""COMPUTED_VALUE"""),0)</f>
        <v>0</v>
      </c>
      <c r="AI136" s="24">
        <f ca="1">IFERROR(__xludf.DUMMYFUNCTION("""COMPUTED_VALUE"""),0)</f>
        <v>0</v>
      </c>
      <c r="AJ136" s="24">
        <f ca="1">IFERROR(__xludf.DUMMYFUNCTION("""COMPUTED_VALUE"""),0)</f>
        <v>0</v>
      </c>
      <c r="AK136" s="24">
        <f ca="1">IFERROR(__xludf.DUMMYFUNCTION("""COMPUTED_VALUE"""),0)</f>
        <v>0</v>
      </c>
      <c r="AL136" s="24">
        <f ca="1">IFERROR(__xludf.DUMMYFUNCTION("""COMPUTED_VALUE"""),0)</f>
        <v>0</v>
      </c>
      <c r="AM136" s="20"/>
      <c r="AN136" s="20"/>
      <c r="AO136" s="20"/>
      <c r="AP136" s="20"/>
      <c r="AQ136" s="20"/>
      <c r="AR136" s="24">
        <f ca="1">IFERROR(__xludf.DUMMYFUNCTION("""COMPUTED_VALUE"""),0)</f>
        <v>0</v>
      </c>
      <c r="AS136" s="20"/>
      <c r="AT136" s="20"/>
      <c r="AU136" s="20"/>
      <c r="AV136" s="20"/>
      <c r="AW136" s="20"/>
      <c r="AX136" s="24">
        <f ca="1">IFERROR(__xludf.DUMMYFUNCTION("""COMPUTED_VALUE"""),0)</f>
        <v>0</v>
      </c>
      <c r="AY136" s="24">
        <f ca="1">IFERROR(__xludf.DUMMYFUNCTION("""COMPUTED_VALUE"""),0)</f>
        <v>0</v>
      </c>
      <c r="AZ136" s="24">
        <f ca="1">IFERROR(__xludf.DUMMYFUNCTION("""COMPUTED_VALUE"""),0)</f>
        <v>0</v>
      </c>
      <c r="BA136" s="24">
        <f ca="1">IFERROR(__xludf.DUMMYFUNCTION("""COMPUTED_VALUE"""),0)</f>
        <v>0</v>
      </c>
      <c r="BB136" s="24">
        <f ca="1">IFERROR(__xludf.DUMMYFUNCTION("""COMPUTED_VALUE"""),0)</f>
        <v>0</v>
      </c>
      <c r="BC136" s="20"/>
      <c r="BD136" s="24">
        <f ca="1">IFERROR(__xludf.DUMMYFUNCTION("""COMPUTED_VALUE"""),0)</f>
        <v>0</v>
      </c>
      <c r="BE136" s="24">
        <f ca="1">IFERROR(__xludf.DUMMYFUNCTION("""COMPUTED_VALUE"""),0)</f>
        <v>0</v>
      </c>
      <c r="BF136" s="24">
        <f ca="1">IFERROR(__xludf.DUMMYFUNCTION("""COMPUTED_VALUE"""),0)</f>
        <v>0</v>
      </c>
      <c r="BG136" s="24">
        <f ca="1">IFERROR(__xludf.DUMMYFUNCTION("""COMPUTED_VALUE"""),0)</f>
        <v>0</v>
      </c>
      <c r="BH136" s="24">
        <f ca="1">IFERROR(__xludf.DUMMYFUNCTION("""COMPUTED_VALUE"""),0)</f>
        <v>0</v>
      </c>
      <c r="BI136" s="20"/>
      <c r="BJ136" s="24">
        <f ca="1">IFERROR(__xludf.DUMMYFUNCTION("""COMPUTED_VALUE"""),0)</f>
        <v>0</v>
      </c>
      <c r="BK136" s="24">
        <f ca="1">IFERROR(__xludf.DUMMYFUNCTION("""COMPUTED_VALUE"""),0)</f>
        <v>0</v>
      </c>
      <c r="BL136" s="24">
        <f ca="1">IFERROR(__xludf.DUMMYFUNCTION("""COMPUTED_VALUE"""),0)</f>
        <v>0</v>
      </c>
      <c r="BM136" s="24">
        <f ca="1">IFERROR(__xludf.DUMMYFUNCTION("""COMPUTED_VALUE"""),0)</f>
        <v>0</v>
      </c>
      <c r="BN136" s="24">
        <f ca="1">IFERROR(__xludf.DUMMYFUNCTION("""COMPUTED_VALUE"""),0)</f>
        <v>0</v>
      </c>
      <c r="BO136" s="20"/>
      <c r="BP136" s="24">
        <f ca="1">IFERROR(__xludf.DUMMYFUNCTION("""COMPUTED_VALUE"""),0)</f>
        <v>0</v>
      </c>
      <c r="BQ136" s="24">
        <f ca="1">IFERROR(__xludf.DUMMYFUNCTION("""COMPUTED_VALUE"""),0)</f>
        <v>0</v>
      </c>
      <c r="BR136" s="24">
        <f ca="1">IFERROR(__xludf.DUMMYFUNCTION("""COMPUTED_VALUE"""),0)</f>
        <v>0</v>
      </c>
      <c r="BS136" s="24">
        <f ca="1">IFERROR(__xludf.DUMMYFUNCTION("""COMPUTED_VALUE"""),0)</f>
        <v>0</v>
      </c>
      <c r="BT136" s="24">
        <f ca="1">IFERROR(__xludf.DUMMYFUNCTION("""COMPUTED_VALUE"""),0)</f>
        <v>0</v>
      </c>
      <c r="BU136" s="20"/>
      <c r="BV136" s="24">
        <f ca="1">IFERROR(__xludf.DUMMYFUNCTION("""COMPUTED_VALUE"""),0)</f>
        <v>0</v>
      </c>
      <c r="BW136" s="24">
        <f ca="1">IFERROR(__xludf.DUMMYFUNCTION("""COMPUTED_VALUE"""),0)</f>
        <v>0</v>
      </c>
      <c r="BX136" s="24">
        <f ca="1">IFERROR(__xludf.DUMMYFUNCTION("""COMPUTED_VALUE"""),0)</f>
        <v>0</v>
      </c>
      <c r="BY136" s="24">
        <f ca="1">IFERROR(__xludf.DUMMYFUNCTION("""COMPUTED_VALUE"""),0)</f>
        <v>0</v>
      </c>
      <c r="BZ136" s="24">
        <f ca="1">IFERROR(__xludf.DUMMYFUNCTION("""COMPUTED_VALUE"""),0)</f>
        <v>0</v>
      </c>
      <c r="CA136" s="20"/>
      <c r="CB136" s="20"/>
      <c r="CC136" s="20"/>
      <c r="CD136" s="20"/>
      <c r="CE136" s="20"/>
      <c r="CF136" s="20"/>
      <c r="CG136" s="20"/>
      <c r="CH136" s="20"/>
      <c r="CI136" s="20"/>
      <c r="CJ136" s="20"/>
      <c r="CK136" s="20"/>
      <c r="CL136" s="20"/>
      <c r="CM136" s="20"/>
      <c r="CN136" s="20"/>
      <c r="CO136" s="20"/>
      <c r="CP136" s="20"/>
      <c r="CQ136" s="20"/>
      <c r="CR136" s="20"/>
      <c r="CS136" s="20"/>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row>
    <row r="137" spans="1:123" ht="64.5" hidden="1" customHeight="1" x14ac:dyDescent="0.2">
      <c r="A137" s="19"/>
      <c r="B137" s="20" t="str">
        <f ca="1">IFERROR(__xludf.DUMMYFUNCTION("""COMPUTED_VALUE"""),"г.о. Воскресенск")</f>
        <v>г.о. Воскресенск</v>
      </c>
      <c r="C13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7" s="20" t="str">
        <f ca="1">IFERROR(__xludf.DUMMYFUNCTION("""COMPUTED_VALUE"""),"МинЖКХ")</f>
        <v>МинЖКХ</v>
      </c>
      <c r="E137" s="20" t="str">
        <f ca="1">IFERROR(__xludf.DUMMYFUNCTION("""COMPUTED_VALUE"""),"Приобретение, монтаж и ввод в эксплуатацию станции водоподготовки на ВЗУ-5, Воскресенский м.р., д. Цибино г.п. Белоозерский")</f>
        <v>Приобретение, монтаж и ввод в эксплуатацию станции водоподготовки на ВЗУ-5, Воскресенский м.р., д. Цибино г.п. Белоозерский</v>
      </c>
      <c r="F137" s="32" t="str">
        <f ca="1">IFERROR(__xludf.DUMMYFUNCTION("""COMPUTED_VALUE"""),"ВЗУ")</f>
        <v>ВЗУ</v>
      </c>
      <c r="G137" s="20" t="str">
        <f ca="1">IFERROR(__xludf.DUMMYFUNCTION("""COMPUTED_VALUE"""),"Н/Л")</f>
        <v>Н/Л</v>
      </c>
      <c r="H137" s="20" t="str">
        <f ca="1">IFERROR(__xludf.DUMMYFUNCTION("""COMPUTED_VALUE"""),"Приобретение, монтаж")</f>
        <v>Приобретение, монтаж</v>
      </c>
      <c r="I137" s="20"/>
      <c r="J137" s="20"/>
      <c r="K137" s="20"/>
      <c r="L137" s="20"/>
      <c r="M137" s="20"/>
      <c r="N137" s="24">
        <f ca="1">IFERROR(__xludf.DUMMYFUNCTION("""COMPUTED_VALUE"""),0)</f>
        <v>0</v>
      </c>
      <c r="O137" s="20"/>
      <c r="P137" s="20"/>
      <c r="Q137" s="20"/>
      <c r="R137" s="20"/>
      <c r="S137" s="20"/>
      <c r="T137" s="20"/>
      <c r="U137" s="24">
        <f ca="1">IFERROR(__xludf.DUMMYFUNCTION("""COMPUTED_VALUE"""),0)</f>
        <v>0</v>
      </c>
      <c r="V137" s="24">
        <f ca="1">IFERROR(__xludf.DUMMYFUNCTION("""COMPUTED_VALUE"""),0)</f>
        <v>0</v>
      </c>
      <c r="W137" s="24">
        <f ca="1">IFERROR(__xludf.DUMMYFUNCTION("""COMPUTED_VALUE"""),0)</f>
        <v>0</v>
      </c>
      <c r="X137" s="24">
        <f ca="1">IFERROR(__xludf.DUMMYFUNCTION("""COMPUTED_VALUE"""),0)</f>
        <v>0</v>
      </c>
      <c r="Y137" s="24">
        <f ca="1">IFERROR(__xludf.DUMMYFUNCTION("""COMPUTED_VALUE"""),0)</f>
        <v>0</v>
      </c>
      <c r="Z137" s="24">
        <f ca="1">IFERROR(__xludf.DUMMYFUNCTION("""COMPUTED_VALUE"""),0)</f>
        <v>0</v>
      </c>
      <c r="AA137" s="20" t="str">
        <f ca="1">IFERROR(__xludf.DUMMYFUNCTION("""COMPUTED_VALUE"""),"10 1 02 60330")</f>
        <v>10 1 02 60330</v>
      </c>
      <c r="AB137" s="20">
        <f ca="1">IFERROR(__xludf.DUMMYFUNCTION("""COMPUTED_VALUE"""),520)</f>
        <v>520</v>
      </c>
      <c r="AC137" s="20" t="str">
        <f ca="1">IFERROR(__xludf.DUMMYFUNCTION("""COMPUTED_VALUE"""),"Не требуется")</f>
        <v>Не требуется</v>
      </c>
      <c r="AD137" s="20" t="str">
        <f ca="1">IFERROR(__xludf.DUMMYFUNCTION("""COMPUTED_VALUE"""),"-")</f>
        <v>-</v>
      </c>
      <c r="AE137" s="20" t="str">
        <f ca="1">IFERROR(__xludf.DUMMYFUNCTION("""COMPUTED_VALUE"""),"-")</f>
        <v>-</v>
      </c>
      <c r="AF137" s="24">
        <f ca="1">IFERROR(__xludf.DUMMYFUNCTION("""COMPUTED_VALUE"""),0)</f>
        <v>0</v>
      </c>
      <c r="AG137" s="24">
        <f ca="1">IFERROR(__xludf.DUMMYFUNCTION("""COMPUTED_VALUE"""),0)</f>
        <v>0</v>
      </c>
      <c r="AH137" s="24">
        <f ca="1">IFERROR(__xludf.DUMMYFUNCTION("""COMPUTED_VALUE"""),0)</f>
        <v>0</v>
      </c>
      <c r="AI137" s="24">
        <f ca="1">IFERROR(__xludf.DUMMYFUNCTION("""COMPUTED_VALUE"""),0)</f>
        <v>0</v>
      </c>
      <c r="AJ137" s="24">
        <f ca="1">IFERROR(__xludf.DUMMYFUNCTION("""COMPUTED_VALUE"""),0)</f>
        <v>0</v>
      </c>
      <c r="AK137" s="24">
        <f ca="1">IFERROR(__xludf.DUMMYFUNCTION("""COMPUTED_VALUE"""),0)</f>
        <v>0</v>
      </c>
      <c r="AL137" s="24">
        <f ca="1">IFERROR(__xludf.DUMMYFUNCTION("""COMPUTED_VALUE"""),0)</f>
        <v>0</v>
      </c>
      <c r="AM137" s="20"/>
      <c r="AN137" s="20"/>
      <c r="AO137" s="20"/>
      <c r="AP137" s="20"/>
      <c r="AQ137" s="20"/>
      <c r="AR137" s="24">
        <f ca="1">IFERROR(__xludf.DUMMYFUNCTION("""COMPUTED_VALUE"""),0)</f>
        <v>0</v>
      </c>
      <c r="AS137" s="20"/>
      <c r="AT137" s="20"/>
      <c r="AU137" s="20"/>
      <c r="AV137" s="20"/>
      <c r="AW137" s="20"/>
      <c r="AX137" s="24">
        <f ca="1">IFERROR(__xludf.DUMMYFUNCTION("""COMPUTED_VALUE"""),0)</f>
        <v>0</v>
      </c>
      <c r="AY137" s="24">
        <f ca="1">IFERROR(__xludf.DUMMYFUNCTION("""COMPUTED_VALUE"""),0)</f>
        <v>0</v>
      </c>
      <c r="AZ137" s="24">
        <f ca="1">IFERROR(__xludf.DUMMYFUNCTION("""COMPUTED_VALUE"""),0)</f>
        <v>0</v>
      </c>
      <c r="BA137" s="24">
        <f ca="1">IFERROR(__xludf.DUMMYFUNCTION("""COMPUTED_VALUE"""),0)</f>
        <v>0</v>
      </c>
      <c r="BB137" s="24">
        <f ca="1">IFERROR(__xludf.DUMMYFUNCTION("""COMPUTED_VALUE"""),0)</f>
        <v>0</v>
      </c>
      <c r="BC137" s="20"/>
      <c r="BD137" s="24">
        <f ca="1">IFERROR(__xludf.DUMMYFUNCTION("""COMPUTED_VALUE"""),0)</f>
        <v>0</v>
      </c>
      <c r="BE137" s="24">
        <f ca="1">IFERROR(__xludf.DUMMYFUNCTION("""COMPUTED_VALUE"""),0)</f>
        <v>0</v>
      </c>
      <c r="BF137" s="24">
        <f ca="1">IFERROR(__xludf.DUMMYFUNCTION("""COMPUTED_VALUE"""),0)</f>
        <v>0</v>
      </c>
      <c r="BG137" s="24">
        <f ca="1">IFERROR(__xludf.DUMMYFUNCTION("""COMPUTED_VALUE"""),0)</f>
        <v>0</v>
      </c>
      <c r="BH137" s="24">
        <f ca="1">IFERROR(__xludf.DUMMYFUNCTION("""COMPUTED_VALUE"""),0)</f>
        <v>0</v>
      </c>
      <c r="BI137" s="20"/>
      <c r="BJ137" s="24">
        <f ca="1">IFERROR(__xludf.DUMMYFUNCTION("""COMPUTED_VALUE"""),0)</f>
        <v>0</v>
      </c>
      <c r="BK137" s="24">
        <f ca="1">IFERROR(__xludf.DUMMYFUNCTION("""COMPUTED_VALUE"""),0)</f>
        <v>0</v>
      </c>
      <c r="BL137" s="24">
        <f ca="1">IFERROR(__xludf.DUMMYFUNCTION("""COMPUTED_VALUE"""),0)</f>
        <v>0</v>
      </c>
      <c r="BM137" s="24">
        <f ca="1">IFERROR(__xludf.DUMMYFUNCTION("""COMPUTED_VALUE"""),0)</f>
        <v>0</v>
      </c>
      <c r="BN137" s="24">
        <f ca="1">IFERROR(__xludf.DUMMYFUNCTION("""COMPUTED_VALUE"""),0)</f>
        <v>0</v>
      </c>
      <c r="BO137" s="20"/>
      <c r="BP137" s="24">
        <f ca="1">IFERROR(__xludf.DUMMYFUNCTION("""COMPUTED_VALUE"""),0)</f>
        <v>0</v>
      </c>
      <c r="BQ137" s="24">
        <f ca="1">IFERROR(__xludf.DUMMYFUNCTION("""COMPUTED_VALUE"""),0)</f>
        <v>0</v>
      </c>
      <c r="BR137" s="24">
        <f ca="1">IFERROR(__xludf.DUMMYFUNCTION("""COMPUTED_VALUE"""),0)</f>
        <v>0</v>
      </c>
      <c r="BS137" s="24">
        <f ca="1">IFERROR(__xludf.DUMMYFUNCTION("""COMPUTED_VALUE"""),0)</f>
        <v>0</v>
      </c>
      <c r="BT137" s="24">
        <f ca="1">IFERROR(__xludf.DUMMYFUNCTION("""COMPUTED_VALUE"""),0)</f>
        <v>0</v>
      </c>
      <c r="BU137" s="20"/>
      <c r="BV137" s="24">
        <f ca="1">IFERROR(__xludf.DUMMYFUNCTION("""COMPUTED_VALUE"""),0)</f>
        <v>0</v>
      </c>
      <c r="BW137" s="24">
        <f ca="1">IFERROR(__xludf.DUMMYFUNCTION("""COMPUTED_VALUE"""),0)</f>
        <v>0</v>
      </c>
      <c r="BX137" s="24">
        <f ca="1">IFERROR(__xludf.DUMMYFUNCTION("""COMPUTED_VALUE"""),0)</f>
        <v>0</v>
      </c>
      <c r="BY137" s="24">
        <f ca="1">IFERROR(__xludf.DUMMYFUNCTION("""COMPUTED_VALUE"""),0)</f>
        <v>0</v>
      </c>
      <c r="BZ137" s="24">
        <f ca="1">IFERROR(__xludf.DUMMYFUNCTION("""COMPUTED_VALUE"""),0)</f>
        <v>0</v>
      </c>
      <c r="CA137" s="20"/>
      <c r="CB137" s="20"/>
      <c r="CC137" s="20"/>
      <c r="CD137" s="20"/>
      <c r="CE137" s="20"/>
      <c r="CF137" s="20"/>
      <c r="CG137" s="20"/>
      <c r="CH137" s="20"/>
      <c r="CI137" s="20"/>
      <c r="CJ137" s="20"/>
      <c r="CK137" s="20"/>
      <c r="CL137" s="20"/>
      <c r="CM137" s="20"/>
      <c r="CN137" s="20"/>
      <c r="CO137" s="20"/>
      <c r="CP137" s="20"/>
      <c r="CQ137" s="20"/>
      <c r="CR137" s="20"/>
      <c r="CS137" s="20"/>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row>
    <row r="138" spans="1:123" ht="64.5" hidden="1" customHeight="1" x14ac:dyDescent="0.2">
      <c r="A138" s="19"/>
      <c r="B138" s="20" t="str">
        <f ca="1">IFERROR(__xludf.DUMMYFUNCTION("""COMPUTED_VALUE"""),"г.о. Воскресенск")</f>
        <v>г.о. Воскресенск</v>
      </c>
      <c r="C13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8" s="20" t="str">
        <f ca="1">IFERROR(__xludf.DUMMYFUNCTION("""COMPUTED_VALUE"""),"МинЖКХ")</f>
        <v>МинЖКХ</v>
      </c>
      <c r="E138" s="20" t="str">
        <f ca="1">IFERROR(__xludf.DUMMYFUNCTION("""COMPUTED_VALUE"""),"Приобретение, монтаж и ввод в эксплуатацию станции водоподготовки на ВЗУ-6, Воскресенский м.р., дер. Ивановка  г.п. Белоозерский")</f>
        <v>Приобретение, монтаж и ввод в эксплуатацию станции водоподготовки на ВЗУ-6, Воскресенский м.р., дер. Ивановка  г.п. Белоозерский</v>
      </c>
      <c r="F138" s="32" t="str">
        <f ca="1">IFERROR(__xludf.DUMMYFUNCTION("""COMPUTED_VALUE"""),"ВЗУ")</f>
        <v>ВЗУ</v>
      </c>
      <c r="G138" s="20" t="str">
        <f ca="1">IFERROR(__xludf.DUMMYFUNCTION("""COMPUTED_VALUE"""),"Н/Л")</f>
        <v>Н/Л</v>
      </c>
      <c r="H138" s="20" t="str">
        <f ca="1">IFERROR(__xludf.DUMMYFUNCTION("""COMPUTED_VALUE"""),"Приобретение, монтаж")</f>
        <v>Приобретение, монтаж</v>
      </c>
      <c r="I138" s="20"/>
      <c r="J138" s="20"/>
      <c r="K138" s="20"/>
      <c r="L138" s="20"/>
      <c r="M138" s="20"/>
      <c r="N138" s="24">
        <f ca="1">IFERROR(__xludf.DUMMYFUNCTION("""COMPUTED_VALUE"""),0)</f>
        <v>0</v>
      </c>
      <c r="O138" s="20"/>
      <c r="P138" s="20"/>
      <c r="Q138" s="20"/>
      <c r="R138" s="20"/>
      <c r="S138" s="20"/>
      <c r="T138" s="20"/>
      <c r="U138" s="24">
        <f ca="1">IFERROR(__xludf.DUMMYFUNCTION("""COMPUTED_VALUE"""),0)</f>
        <v>0</v>
      </c>
      <c r="V138" s="24">
        <f ca="1">IFERROR(__xludf.DUMMYFUNCTION("""COMPUTED_VALUE"""),0)</f>
        <v>0</v>
      </c>
      <c r="W138" s="24">
        <f ca="1">IFERROR(__xludf.DUMMYFUNCTION("""COMPUTED_VALUE"""),0)</f>
        <v>0</v>
      </c>
      <c r="X138" s="24">
        <f ca="1">IFERROR(__xludf.DUMMYFUNCTION("""COMPUTED_VALUE"""),0)</f>
        <v>0</v>
      </c>
      <c r="Y138" s="24">
        <f ca="1">IFERROR(__xludf.DUMMYFUNCTION("""COMPUTED_VALUE"""),0)</f>
        <v>0</v>
      </c>
      <c r="Z138" s="24">
        <f ca="1">IFERROR(__xludf.DUMMYFUNCTION("""COMPUTED_VALUE"""),0)</f>
        <v>0</v>
      </c>
      <c r="AA138" s="20" t="str">
        <f ca="1">IFERROR(__xludf.DUMMYFUNCTION("""COMPUTED_VALUE"""),"10 1 02 60330")</f>
        <v>10 1 02 60330</v>
      </c>
      <c r="AB138" s="20">
        <f ca="1">IFERROR(__xludf.DUMMYFUNCTION("""COMPUTED_VALUE"""),520)</f>
        <v>520</v>
      </c>
      <c r="AC138" s="20" t="str">
        <f ca="1">IFERROR(__xludf.DUMMYFUNCTION("""COMPUTED_VALUE"""),"Не требуется")</f>
        <v>Не требуется</v>
      </c>
      <c r="AD138" s="20" t="str">
        <f ca="1">IFERROR(__xludf.DUMMYFUNCTION("""COMPUTED_VALUE"""),"-")</f>
        <v>-</v>
      </c>
      <c r="AE138" s="20" t="str">
        <f ca="1">IFERROR(__xludf.DUMMYFUNCTION("""COMPUTED_VALUE"""),"-")</f>
        <v>-</v>
      </c>
      <c r="AF138" s="24">
        <f ca="1">IFERROR(__xludf.DUMMYFUNCTION("""COMPUTED_VALUE"""),0)</f>
        <v>0</v>
      </c>
      <c r="AG138" s="24">
        <f ca="1">IFERROR(__xludf.DUMMYFUNCTION("""COMPUTED_VALUE"""),0)</f>
        <v>0</v>
      </c>
      <c r="AH138" s="24">
        <f ca="1">IFERROR(__xludf.DUMMYFUNCTION("""COMPUTED_VALUE"""),0)</f>
        <v>0</v>
      </c>
      <c r="AI138" s="24">
        <f ca="1">IFERROR(__xludf.DUMMYFUNCTION("""COMPUTED_VALUE"""),0)</f>
        <v>0</v>
      </c>
      <c r="AJ138" s="24">
        <f ca="1">IFERROR(__xludf.DUMMYFUNCTION("""COMPUTED_VALUE"""),0)</f>
        <v>0</v>
      </c>
      <c r="AK138" s="24">
        <f ca="1">IFERROR(__xludf.DUMMYFUNCTION("""COMPUTED_VALUE"""),0)</f>
        <v>0</v>
      </c>
      <c r="AL138" s="24">
        <f ca="1">IFERROR(__xludf.DUMMYFUNCTION("""COMPUTED_VALUE"""),0)</f>
        <v>0</v>
      </c>
      <c r="AM138" s="20"/>
      <c r="AN138" s="20"/>
      <c r="AO138" s="20"/>
      <c r="AP138" s="20"/>
      <c r="AQ138" s="20"/>
      <c r="AR138" s="24">
        <f ca="1">IFERROR(__xludf.DUMMYFUNCTION("""COMPUTED_VALUE"""),0)</f>
        <v>0</v>
      </c>
      <c r="AS138" s="20"/>
      <c r="AT138" s="20"/>
      <c r="AU138" s="20"/>
      <c r="AV138" s="20"/>
      <c r="AW138" s="20"/>
      <c r="AX138" s="24">
        <f ca="1">IFERROR(__xludf.DUMMYFUNCTION("""COMPUTED_VALUE"""),0)</f>
        <v>0</v>
      </c>
      <c r="AY138" s="24">
        <f ca="1">IFERROR(__xludf.DUMMYFUNCTION("""COMPUTED_VALUE"""),0)</f>
        <v>0</v>
      </c>
      <c r="AZ138" s="24">
        <f ca="1">IFERROR(__xludf.DUMMYFUNCTION("""COMPUTED_VALUE"""),0)</f>
        <v>0</v>
      </c>
      <c r="BA138" s="24">
        <f ca="1">IFERROR(__xludf.DUMMYFUNCTION("""COMPUTED_VALUE"""),0)</f>
        <v>0</v>
      </c>
      <c r="BB138" s="24">
        <f ca="1">IFERROR(__xludf.DUMMYFUNCTION("""COMPUTED_VALUE"""),0)</f>
        <v>0</v>
      </c>
      <c r="BC138" s="20"/>
      <c r="BD138" s="24">
        <f ca="1">IFERROR(__xludf.DUMMYFUNCTION("""COMPUTED_VALUE"""),0)</f>
        <v>0</v>
      </c>
      <c r="BE138" s="24">
        <f ca="1">IFERROR(__xludf.DUMMYFUNCTION("""COMPUTED_VALUE"""),0)</f>
        <v>0</v>
      </c>
      <c r="BF138" s="24">
        <f ca="1">IFERROR(__xludf.DUMMYFUNCTION("""COMPUTED_VALUE"""),0)</f>
        <v>0</v>
      </c>
      <c r="BG138" s="24">
        <f ca="1">IFERROR(__xludf.DUMMYFUNCTION("""COMPUTED_VALUE"""),0)</f>
        <v>0</v>
      </c>
      <c r="BH138" s="24">
        <f ca="1">IFERROR(__xludf.DUMMYFUNCTION("""COMPUTED_VALUE"""),0)</f>
        <v>0</v>
      </c>
      <c r="BI138" s="20"/>
      <c r="BJ138" s="24">
        <f ca="1">IFERROR(__xludf.DUMMYFUNCTION("""COMPUTED_VALUE"""),0)</f>
        <v>0</v>
      </c>
      <c r="BK138" s="24">
        <f ca="1">IFERROR(__xludf.DUMMYFUNCTION("""COMPUTED_VALUE"""),0)</f>
        <v>0</v>
      </c>
      <c r="BL138" s="24">
        <f ca="1">IFERROR(__xludf.DUMMYFUNCTION("""COMPUTED_VALUE"""),0)</f>
        <v>0</v>
      </c>
      <c r="BM138" s="24">
        <f ca="1">IFERROR(__xludf.DUMMYFUNCTION("""COMPUTED_VALUE"""),0)</f>
        <v>0</v>
      </c>
      <c r="BN138" s="24">
        <f ca="1">IFERROR(__xludf.DUMMYFUNCTION("""COMPUTED_VALUE"""),0)</f>
        <v>0</v>
      </c>
      <c r="BO138" s="20"/>
      <c r="BP138" s="24">
        <f ca="1">IFERROR(__xludf.DUMMYFUNCTION("""COMPUTED_VALUE"""),0)</f>
        <v>0</v>
      </c>
      <c r="BQ138" s="24">
        <f ca="1">IFERROR(__xludf.DUMMYFUNCTION("""COMPUTED_VALUE"""),0)</f>
        <v>0</v>
      </c>
      <c r="BR138" s="24">
        <f ca="1">IFERROR(__xludf.DUMMYFUNCTION("""COMPUTED_VALUE"""),0)</f>
        <v>0</v>
      </c>
      <c r="BS138" s="24">
        <f ca="1">IFERROR(__xludf.DUMMYFUNCTION("""COMPUTED_VALUE"""),0)</f>
        <v>0</v>
      </c>
      <c r="BT138" s="24">
        <f ca="1">IFERROR(__xludf.DUMMYFUNCTION("""COMPUTED_VALUE"""),0)</f>
        <v>0</v>
      </c>
      <c r="BU138" s="20"/>
      <c r="BV138" s="24">
        <f ca="1">IFERROR(__xludf.DUMMYFUNCTION("""COMPUTED_VALUE"""),0)</f>
        <v>0</v>
      </c>
      <c r="BW138" s="24">
        <f ca="1">IFERROR(__xludf.DUMMYFUNCTION("""COMPUTED_VALUE"""),0)</f>
        <v>0</v>
      </c>
      <c r="BX138" s="24">
        <f ca="1">IFERROR(__xludf.DUMMYFUNCTION("""COMPUTED_VALUE"""),0)</f>
        <v>0</v>
      </c>
      <c r="BY138" s="24">
        <f ca="1">IFERROR(__xludf.DUMMYFUNCTION("""COMPUTED_VALUE"""),0)</f>
        <v>0</v>
      </c>
      <c r="BZ138" s="24">
        <f ca="1">IFERROR(__xludf.DUMMYFUNCTION("""COMPUTED_VALUE"""),0)</f>
        <v>0</v>
      </c>
      <c r="CA138" s="20"/>
      <c r="CB138" s="20"/>
      <c r="CC138" s="20"/>
      <c r="CD138" s="20"/>
      <c r="CE138" s="20"/>
      <c r="CF138" s="20"/>
      <c r="CG138" s="20"/>
      <c r="CH138" s="20"/>
      <c r="CI138" s="20"/>
      <c r="CJ138" s="20"/>
      <c r="CK138" s="20"/>
      <c r="CL138" s="20"/>
      <c r="CM138" s="20"/>
      <c r="CN138" s="20"/>
      <c r="CO138" s="20"/>
      <c r="CP138" s="20"/>
      <c r="CQ138" s="20"/>
      <c r="CR138" s="20"/>
      <c r="CS138" s="20"/>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row>
    <row r="139" spans="1:123" ht="64.5" hidden="1" customHeight="1" x14ac:dyDescent="0.2">
      <c r="A139" s="19"/>
      <c r="B139" s="20" t="str">
        <f ca="1">IFERROR(__xludf.DUMMYFUNCTION("""COMPUTED_VALUE"""),"г.о. Воскресенск")</f>
        <v>г.о. Воскресенск</v>
      </c>
      <c r="C13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9" s="20" t="str">
        <f ca="1">IFERROR(__xludf.DUMMYFUNCTION("""COMPUTED_VALUE"""),"МинЖКХ")</f>
        <v>МинЖКХ</v>
      </c>
      <c r="E139" s="20" t="str">
        <f ca="1">IFERROR(__xludf.DUMMYFUNCTION("""COMPUTED_VALUE"""),"Приобретение, монтаж и ввод в эксплуатацию станции водоподготовки на ВЗУ-8,  Воскресенский м.р.,  дер. Ворщиково  г.п. Белоозерский")</f>
        <v>Приобретение, монтаж и ввод в эксплуатацию станции водоподготовки на ВЗУ-8,  Воскресенский м.р.,  дер. Ворщиково  г.п. Белоозерский</v>
      </c>
      <c r="F139" s="32" t="str">
        <f ca="1">IFERROR(__xludf.DUMMYFUNCTION("""COMPUTED_VALUE"""),"ВЗУ")</f>
        <v>ВЗУ</v>
      </c>
      <c r="G139" s="20" t="str">
        <f ca="1">IFERROR(__xludf.DUMMYFUNCTION("""COMPUTED_VALUE"""),"Н/Л")</f>
        <v>Н/Л</v>
      </c>
      <c r="H139" s="20" t="str">
        <f ca="1">IFERROR(__xludf.DUMMYFUNCTION("""COMPUTED_VALUE"""),"Приобретение, монтаж")</f>
        <v>Приобретение, монтаж</v>
      </c>
      <c r="I139" s="20"/>
      <c r="J139" s="20"/>
      <c r="K139" s="20"/>
      <c r="L139" s="20"/>
      <c r="M139" s="20"/>
      <c r="N139" s="24">
        <f ca="1">IFERROR(__xludf.DUMMYFUNCTION("""COMPUTED_VALUE"""),0)</f>
        <v>0</v>
      </c>
      <c r="O139" s="20"/>
      <c r="P139" s="20"/>
      <c r="Q139" s="20"/>
      <c r="R139" s="20"/>
      <c r="S139" s="20"/>
      <c r="T139" s="20"/>
      <c r="U139" s="24">
        <f ca="1">IFERROR(__xludf.DUMMYFUNCTION("""COMPUTED_VALUE"""),0)</f>
        <v>0</v>
      </c>
      <c r="V139" s="24">
        <f ca="1">IFERROR(__xludf.DUMMYFUNCTION("""COMPUTED_VALUE"""),0)</f>
        <v>0</v>
      </c>
      <c r="W139" s="24">
        <f ca="1">IFERROR(__xludf.DUMMYFUNCTION("""COMPUTED_VALUE"""),0)</f>
        <v>0</v>
      </c>
      <c r="X139" s="24">
        <f ca="1">IFERROR(__xludf.DUMMYFUNCTION("""COMPUTED_VALUE"""),0)</f>
        <v>0</v>
      </c>
      <c r="Y139" s="24">
        <f ca="1">IFERROR(__xludf.DUMMYFUNCTION("""COMPUTED_VALUE"""),0)</f>
        <v>0</v>
      </c>
      <c r="Z139" s="24">
        <f ca="1">IFERROR(__xludf.DUMMYFUNCTION("""COMPUTED_VALUE"""),0)</f>
        <v>0</v>
      </c>
      <c r="AA139" s="20" t="str">
        <f ca="1">IFERROR(__xludf.DUMMYFUNCTION("""COMPUTED_VALUE"""),"10 1 02 60330")</f>
        <v>10 1 02 60330</v>
      </c>
      <c r="AB139" s="20">
        <f ca="1">IFERROR(__xludf.DUMMYFUNCTION("""COMPUTED_VALUE"""),520)</f>
        <v>520</v>
      </c>
      <c r="AC139" s="20" t="str">
        <f ca="1">IFERROR(__xludf.DUMMYFUNCTION("""COMPUTED_VALUE"""),"Не требуется")</f>
        <v>Не требуется</v>
      </c>
      <c r="AD139" s="20" t="str">
        <f ca="1">IFERROR(__xludf.DUMMYFUNCTION("""COMPUTED_VALUE"""),"-")</f>
        <v>-</v>
      </c>
      <c r="AE139" s="20" t="str">
        <f ca="1">IFERROR(__xludf.DUMMYFUNCTION("""COMPUTED_VALUE"""),"-")</f>
        <v>-</v>
      </c>
      <c r="AF139" s="24">
        <f ca="1">IFERROR(__xludf.DUMMYFUNCTION("""COMPUTED_VALUE"""),0)</f>
        <v>0</v>
      </c>
      <c r="AG139" s="24">
        <f ca="1">IFERROR(__xludf.DUMMYFUNCTION("""COMPUTED_VALUE"""),0)</f>
        <v>0</v>
      </c>
      <c r="AH139" s="24">
        <f ca="1">IFERROR(__xludf.DUMMYFUNCTION("""COMPUTED_VALUE"""),0)</f>
        <v>0</v>
      </c>
      <c r="AI139" s="24">
        <f ca="1">IFERROR(__xludf.DUMMYFUNCTION("""COMPUTED_VALUE"""),0)</f>
        <v>0</v>
      </c>
      <c r="AJ139" s="24">
        <f ca="1">IFERROR(__xludf.DUMMYFUNCTION("""COMPUTED_VALUE"""),0)</f>
        <v>0</v>
      </c>
      <c r="AK139" s="24">
        <f ca="1">IFERROR(__xludf.DUMMYFUNCTION("""COMPUTED_VALUE"""),0)</f>
        <v>0</v>
      </c>
      <c r="AL139" s="24">
        <f ca="1">IFERROR(__xludf.DUMMYFUNCTION("""COMPUTED_VALUE"""),0)</f>
        <v>0</v>
      </c>
      <c r="AM139" s="20"/>
      <c r="AN139" s="20"/>
      <c r="AO139" s="20"/>
      <c r="AP139" s="20"/>
      <c r="AQ139" s="20"/>
      <c r="AR139" s="24">
        <f ca="1">IFERROR(__xludf.DUMMYFUNCTION("""COMPUTED_VALUE"""),0)</f>
        <v>0</v>
      </c>
      <c r="AS139" s="20"/>
      <c r="AT139" s="20"/>
      <c r="AU139" s="20"/>
      <c r="AV139" s="20"/>
      <c r="AW139" s="20"/>
      <c r="AX139" s="24">
        <f ca="1">IFERROR(__xludf.DUMMYFUNCTION("""COMPUTED_VALUE"""),0)</f>
        <v>0</v>
      </c>
      <c r="AY139" s="24">
        <f ca="1">IFERROR(__xludf.DUMMYFUNCTION("""COMPUTED_VALUE"""),0)</f>
        <v>0</v>
      </c>
      <c r="AZ139" s="24">
        <f ca="1">IFERROR(__xludf.DUMMYFUNCTION("""COMPUTED_VALUE"""),0)</f>
        <v>0</v>
      </c>
      <c r="BA139" s="24">
        <f ca="1">IFERROR(__xludf.DUMMYFUNCTION("""COMPUTED_VALUE"""),0)</f>
        <v>0</v>
      </c>
      <c r="BB139" s="24">
        <f ca="1">IFERROR(__xludf.DUMMYFUNCTION("""COMPUTED_VALUE"""),0)</f>
        <v>0</v>
      </c>
      <c r="BC139" s="20"/>
      <c r="BD139" s="24">
        <f ca="1">IFERROR(__xludf.DUMMYFUNCTION("""COMPUTED_VALUE"""),0)</f>
        <v>0</v>
      </c>
      <c r="BE139" s="24">
        <f ca="1">IFERROR(__xludf.DUMMYFUNCTION("""COMPUTED_VALUE"""),0)</f>
        <v>0</v>
      </c>
      <c r="BF139" s="24">
        <f ca="1">IFERROR(__xludf.DUMMYFUNCTION("""COMPUTED_VALUE"""),0)</f>
        <v>0</v>
      </c>
      <c r="BG139" s="24">
        <f ca="1">IFERROR(__xludf.DUMMYFUNCTION("""COMPUTED_VALUE"""),0)</f>
        <v>0</v>
      </c>
      <c r="BH139" s="24">
        <f ca="1">IFERROR(__xludf.DUMMYFUNCTION("""COMPUTED_VALUE"""),0)</f>
        <v>0</v>
      </c>
      <c r="BI139" s="20"/>
      <c r="BJ139" s="24">
        <f ca="1">IFERROR(__xludf.DUMMYFUNCTION("""COMPUTED_VALUE"""),0)</f>
        <v>0</v>
      </c>
      <c r="BK139" s="24">
        <f ca="1">IFERROR(__xludf.DUMMYFUNCTION("""COMPUTED_VALUE"""),0)</f>
        <v>0</v>
      </c>
      <c r="BL139" s="24">
        <f ca="1">IFERROR(__xludf.DUMMYFUNCTION("""COMPUTED_VALUE"""),0)</f>
        <v>0</v>
      </c>
      <c r="BM139" s="24">
        <f ca="1">IFERROR(__xludf.DUMMYFUNCTION("""COMPUTED_VALUE"""),0)</f>
        <v>0</v>
      </c>
      <c r="BN139" s="24">
        <f ca="1">IFERROR(__xludf.DUMMYFUNCTION("""COMPUTED_VALUE"""),0)</f>
        <v>0</v>
      </c>
      <c r="BO139" s="20"/>
      <c r="BP139" s="24">
        <f ca="1">IFERROR(__xludf.DUMMYFUNCTION("""COMPUTED_VALUE"""),0)</f>
        <v>0</v>
      </c>
      <c r="BQ139" s="24">
        <f ca="1">IFERROR(__xludf.DUMMYFUNCTION("""COMPUTED_VALUE"""),0)</f>
        <v>0</v>
      </c>
      <c r="BR139" s="24">
        <f ca="1">IFERROR(__xludf.DUMMYFUNCTION("""COMPUTED_VALUE"""),0)</f>
        <v>0</v>
      </c>
      <c r="BS139" s="24">
        <f ca="1">IFERROR(__xludf.DUMMYFUNCTION("""COMPUTED_VALUE"""),0)</f>
        <v>0</v>
      </c>
      <c r="BT139" s="24">
        <f ca="1">IFERROR(__xludf.DUMMYFUNCTION("""COMPUTED_VALUE"""),0)</f>
        <v>0</v>
      </c>
      <c r="BU139" s="20"/>
      <c r="BV139" s="24">
        <f ca="1">IFERROR(__xludf.DUMMYFUNCTION("""COMPUTED_VALUE"""),0)</f>
        <v>0</v>
      </c>
      <c r="BW139" s="24">
        <f ca="1">IFERROR(__xludf.DUMMYFUNCTION("""COMPUTED_VALUE"""),0)</f>
        <v>0</v>
      </c>
      <c r="BX139" s="24">
        <f ca="1">IFERROR(__xludf.DUMMYFUNCTION("""COMPUTED_VALUE"""),0)</f>
        <v>0</v>
      </c>
      <c r="BY139" s="24">
        <f ca="1">IFERROR(__xludf.DUMMYFUNCTION("""COMPUTED_VALUE"""),0)</f>
        <v>0</v>
      </c>
      <c r="BZ139" s="24">
        <f ca="1">IFERROR(__xludf.DUMMYFUNCTION("""COMPUTED_VALUE"""),0)</f>
        <v>0</v>
      </c>
      <c r="CA139" s="20"/>
      <c r="CB139" s="20"/>
      <c r="CC139" s="20"/>
      <c r="CD139" s="20"/>
      <c r="CE139" s="20"/>
      <c r="CF139" s="20"/>
      <c r="CG139" s="20"/>
      <c r="CH139" s="20"/>
      <c r="CI139" s="20"/>
      <c r="CJ139" s="20"/>
      <c r="CK139" s="20"/>
      <c r="CL139" s="20"/>
      <c r="CM139" s="20"/>
      <c r="CN139" s="20"/>
      <c r="CO139" s="20"/>
      <c r="CP139" s="20"/>
      <c r="CQ139" s="20"/>
      <c r="CR139" s="20"/>
      <c r="CS139" s="20"/>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row>
    <row r="140" spans="1:123" ht="64.5" hidden="1" customHeight="1" x14ac:dyDescent="0.2">
      <c r="A140" s="19"/>
      <c r="B140" s="20" t="str">
        <f ca="1">IFERROR(__xludf.DUMMYFUNCTION("""COMPUTED_VALUE"""),"г.о. Воскресенск")</f>
        <v>г.о. Воскресенск</v>
      </c>
      <c r="C14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0" s="20" t="str">
        <f ca="1">IFERROR(__xludf.DUMMYFUNCTION("""COMPUTED_VALUE"""),"МинЖКХ")</f>
        <v>МинЖКХ</v>
      </c>
      <c r="E140" s="20" t="str">
        <f ca="1">IFERROR(__xludf.DUMMYFUNCTION("""COMPUTED_VALUE"""),"Приобретение, монтаж и ввод в эксплуатацию станции водоподготовки на ВЗУ - 9, Воскресенский м.р., дер.  Ворщиково г.п. Белоозерский ")</f>
        <v xml:space="preserve">Приобретение, монтаж и ввод в эксплуатацию станции водоподготовки на ВЗУ - 9, Воскресенский м.р., дер.  Ворщиково г.п. Белоозерский </v>
      </c>
      <c r="F140" s="32" t="str">
        <f ca="1">IFERROR(__xludf.DUMMYFUNCTION("""COMPUTED_VALUE"""),"ВЗУ")</f>
        <v>ВЗУ</v>
      </c>
      <c r="G140" s="20" t="str">
        <f ca="1">IFERROR(__xludf.DUMMYFUNCTION("""COMPUTED_VALUE"""),"Н/Л")</f>
        <v>Н/Л</v>
      </c>
      <c r="H140" s="20" t="str">
        <f ca="1">IFERROR(__xludf.DUMMYFUNCTION("""COMPUTED_VALUE"""),"Приобретение, монтаж")</f>
        <v>Приобретение, монтаж</v>
      </c>
      <c r="I140" s="20"/>
      <c r="J140" s="20"/>
      <c r="K140" s="20"/>
      <c r="L140" s="20"/>
      <c r="M140" s="20"/>
      <c r="N140" s="24">
        <f ca="1">IFERROR(__xludf.DUMMYFUNCTION("""COMPUTED_VALUE"""),0)</f>
        <v>0</v>
      </c>
      <c r="O140" s="20"/>
      <c r="P140" s="20"/>
      <c r="Q140" s="20"/>
      <c r="R140" s="20"/>
      <c r="S140" s="20"/>
      <c r="T140" s="20"/>
      <c r="U140" s="24">
        <f ca="1">IFERROR(__xludf.DUMMYFUNCTION("""COMPUTED_VALUE"""),0)</f>
        <v>0</v>
      </c>
      <c r="V140" s="24">
        <f ca="1">IFERROR(__xludf.DUMMYFUNCTION("""COMPUTED_VALUE"""),0)</f>
        <v>0</v>
      </c>
      <c r="W140" s="24">
        <f ca="1">IFERROR(__xludf.DUMMYFUNCTION("""COMPUTED_VALUE"""),0)</f>
        <v>0</v>
      </c>
      <c r="X140" s="24">
        <f ca="1">IFERROR(__xludf.DUMMYFUNCTION("""COMPUTED_VALUE"""),0)</f>
        <v>0</v>
      </c>
      <c r="Y140" s="24">
        <f ca="1">IFERROR(__xludf.DUMMYFUNCTION("""COMPUTED_VALUE"""),0)</f>
        <v>0</v>
      </c>
      <c r="Z140" s="24">
        <f ca="1">IFERROR(__xludf.DUMMYFUNCTION("""COMPUTED_VALUE"""),0)</f>
        <v>0</v>
      </c>
      <c r="AA140" s="20" t="str">
        <f ca="1">IFERROR(__xludf.DUMMYFUNCTION("""COMPUTED_VALUE"""),"10 1 02 60330")</f>
        <v>10 1 02 60330</v>
      </c>
      <c r="AB140" s="20">
        <f ca="1">IFERROR(__xludf.DUMMYFUNCTION("""COMPUTED_VALUE"""),520)</f>
        <v>520</v>
      </c>
      <c r="AC140" s="20" t="str">
        <f ca="1">IFERROR(__xludf.DUMMYFUNCTION("""COMPUTED_VALUE"""),"Не требуется")</f>
        <v>Не требуется</v>
      </c>
      <c r="AD140" s="20" t="str">
        <f ca="1">IFERROR(__xludf.DUMMYFUNCTION("""COMPUTED_VALUE"""),"-")</f>
        <v>-</v>
      </c>
      <c r="AE140" s="20" t="str">
        <f ca="1">IFERROR(__xludf.DUMMYFUNCTION("""COMPUTED_VALUE"""),"-")</f>
        <v>-</v>
      </c>
      <c r="AF140" s="24">
        <f ca="1">IFERROR(__xludf.DUMMYFUNCTION("""COMPUTED_VALUE"""),0)</f>
        <v>0</v>
      </c>
      <c r="AG140" s="24">
        <f ca="1">IFERROR(__xludf.DUMMYFUNCTION("""COMPUTED_VALUE"""),0)</f>
        <v>0</v>
      </c>
      <c r="AH140" s="24">
        <f ca="1">IFERROR(__xludf.DUMMYFUNCTION("""COMPUTED_VALUE"""),0)</f>
        <v>0</v>
      </c>
      <c r="AI140" s="24">
        <f ca="1">IFERROR(__xludf.DUMMYFUNCTION("""COMPUTED_VALUE"""),0)</f>
        <v>0</v>
      </c>
      <c r="AJ140" s="24">
        <f ca="1">IFERROR(__xludf.DUMMYFUNCTION("""COMPUTED_VALUE"""),0)</f>
        <v>0</v>
      </c>
      <c r="AK140" s="24">
        <f ca="1">IFERROR(__xludf.DUMMYFUNCTION("""COMPUTED_VALUE"""),0)</f>
        <v>0</v>
      </c>
      <c r="AL140" s="24">
        <f ca="1">IFERROR(__xludf.DUMMYFUNCTION("""COMPUTED_VALUE"""),0)</f>
        <v>0</v>
      </c>
      <c r="AM140" s="20"/>
      <c r="AN140" s="20"/>
      <c r="AO140" s="20"/>
      <c r="AP140" s="20"/>
      <c r="AQ140" s="20"/>
      <c r="AR140" s="24">
        <f ca="1">IFERROR(__xludf.DUMMYFUNCTION("""COMPUTED_VALUE"""),0)</f>
        <v>0</v>
      </c>
      <c r="AS140" s="20"/>
      <c r="AT140" s="20"/>
      <c r="AU140" s="20"/>
      <c r="AV140" s="20"/>
      <c r="AW140" s="20"/>
      <c r="AX140" s="24">
        <f ca="1">IFERROR(__xludf.DUMMYFUNCTION("""COMPUTED_VALUE"""),0)</f>
        <v>0</v>
      </c>
      <c r="AY140" s="24">
        <f ca="1">IFERROR(__xludf.DUMMYFUNCTION("""COMPUTED_VALUE"""),0)</f>
        <v>0</v>
      </c>
      <c r="AZ140" s="24">
        <f ca="1">IFERROR(__xludf.DUMMYFUNCTION("""COMPUTED_VALUE"""),0)</f>
        <v>0</v>
      </c>
      <c r="BA140" s="24">
        <f ca="1">IFERROR(__xludf.DUMMYFUNCTION("""COMPUTED_VALUE"""),0)</f>
        <v>0</v>
      </c>
      <c r="BB140" s="24">
        <f ca="1">IFERROR(__xludf.DUMMYFUNCTION("""COMPUTED_VALUE"""),0)</f>
        <v>0</v>
      </c>
      <c r="BC140" s="20"/>
      <c r="BD140" s="24">
        <f ca="1">IFERROR(__xludf.DUMMYFUNCTION("""COMPUTED_VALUE"""),0)</f>
        <v>0</v>
      </c>
      <c r="BE140" s="24">
        <f ca="1">IFERROR(__xludf.DUMMYFUNCTION("""COMPUTED_VALUE"""),0)</f>
        <v>0</v>
      </c>
      <c r="BF140" s="24">
        <f ca="1">IFERROR(__xludf.DUMMYFUNCTION("""COMPUTED_VALUE"""),0)</f>
        <v>0</v>
      </c>
      <c r="BG140" s="24">
        <f ca="1">IFERROR(__xludf.DUMMYFUNCTION("""COMPUTED_VALUE"""),0)</f>
        <v>0</v>
      </c>
      <c r="BH140" s="24">
        <f ca="1">IFERROR(__xludf.DUMMYFUNCTION("""COMPUTED_VALUE"""),0)</f>
        <v>0</v>
      </c>
      <c r="BI140" s="20"/>
      <c r="BJ140" s="24">
        <f ca="1">IFERROR(__xludf.DUMMYFUNCTION("""COMPUTED_VALUE"""),0)</f>
        <v>0</v>
      </c>
      <c r="BK140" s="24">
        <f ca="1">IFERROR(__xludf.DUMMYFUNCTION("""COMPUTED_VALUE"""),0)</f>
        <v>0</v>
      </c>
      <c r="BL140" s="24">
        <f ca="1">IFERROR(__xludf.DUMMYFUNCTION("""COMPUTED_VALUE"""),0)</f>
        <v>0</v>
      </c>
      <c r="BM140" s="24">
        <f ca="1">IFERROR(__xludf.DUMMYFUNCTION("""COMPUTED_VALUE"""),0)</f>
        <v>0</v>
      </c>
      <c r="BN140" s="24">
        <f ca="1">IFERROR(__xludf.DUMMYFUNCTION("""COMPUTED_VALUE"""),0)</f>
        <v>0</v>
      </c>
      <c r="BO140" s="20"/>
      <c r="BP140" s="24">
        <f ca="1">IFERROR(__xludf.DUMMYFUNCTION("""COMPUTED_VALUE"""),0)</f>
        <v>0</v>
      </c>
      <c r="BQ140" s="24">
        <f ca="1">IFERROR(__xludf.DUMMYFUNCTION("""COMPUTED_VALUE"""),0)</f>
        <v>0</v>
      </c>
      <c r="BR140" s="24">
        <f ca="1">IFERROR(__xludf.DUMMYFUNCTION("""COMPUTED_VALUE"""),0)</f>
        <v>0</v>
      </c>
      <c r="BS140" s="24">
        <f ca="1">IFERROR(__xludf.DUMMYFUNCTION("""COMPUTED_VALUE"""),0)</f>
        <v>0</v>
      </c>
      <c r="BT140" s="24">
        <f ca="1">IFERROR(__xludf.DUMMYFUNCTION("""COMPUTED_VALUE"""),0)</f>
        <v>0</v>
      </c>
      <c r="BU140" s="20"/>
      <c r="BV140" s="24">
        <f ca="1">IFERROR(__xludf.DUMMYFUNCTION("""COMPUTED_VALUE"""),0)</f>
        <v>0</v>
      </c>
      <c r="BW140" s="24">
        <f ca="1">IFERROR(__xludf.DUMMYFUNCTION("""COMPUTED_VALUE"""),0)</f>
        <v>0</v>
      </c>
      <c r="BX140" s="24">
        <f ca="1">IFERROR(__xludf.DUMMYFUNCTION("""COMPUTED_VALUE"""),0)</f>
        <v>0</v>
      </c>
      <c r="BY140" s="24">
        <f ca="1">IFERROR(__xludf.DUMMYFUNCTION("""COMPUTED_VALUE"""),0)</f>
        <v>0</v>
      </c>
      <c r="BZ140" s="24">
        <f ca="1">IFERROR(__xludf.DUMMYFUNCTION("""COMPUTED_VALUE"""),0)</f>
        <v>0</v>
      </c>
      <c r="CA140" s="20"/>
      <c r="CB140" s="20"/>
      <c r="CC140" s="20"/>
      <c r="CD140" s="20"/>
      <c r="CE140" s="20"/>
      <c r="CF140" s="20"/>
      <c r="CG140" s="20"/>
      <c r="CH140" s="20"/>
      <c r="CI140" s="20"/>
      <c r="CJ140" s="20"/>
      <c r="CK140" s="20"/>
      <c r="CL140" s="20"/>
      <c r="CM140" s="20"/>
      <c r="CN140" s="20"/>
      <c r="CO140" s="20"/>
      <c r="CP140" s="20"/>
      <c r="CQ140" s="20"/>
      <c r="CR140" s="20"/>
      <c r="CS140" s="20"/>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row>
    <row r="141" spans="1:123" ht="64.5" hidden="1" customHeight="1" x14ac:dyDescent="0.2">
      <c r="A141" s="19"/>
      <c r="B141" s="20" t="str">
        <f ca="1">IFERROR(__xludf.DUMMYFUNCTION("""COMPUTED_VALUE"""),"г.о. Воскресенск")</f>
        <v>г.о. Воскресенск</v>
      </c>
      <c r="C14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1" s="20" t="str">
        <f ca="1">IFERROR(__xludf.DUMMYFUNCTION("""COMPUTED_VALUE"""),"МинЖКХ")</f>
        <v>МинЖКХ</v>
      </c>
      <c r="E141" s="20" t="str">
        <f ca="1">IFERROR(__xludf.DUMMYFUNCTION("""COMPUTED_VALUE"""),"Приобретение,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f>
        <v>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v>
      </c>
      <c r="F141" s="32" t="str">
        <f ca="1">IFERROR(__xludf.DUMMYFUNCTION("""COMPUTED_VALUE"""),"ВЗУ")</f>
        <v>ВЗУ</v>
      </c>
      <c r="G141" s="20" t="str">
        <f ca="1">IFERROR(__xludf.DUMMYFUNCTION("""COMPUTED_VALUE"""),"Н/Л")</f>
        <v>Н/Л</v>
      </c>
      <c r="H141" s="20" t="str">
        <f ca="1">IFERROR(__xludf.DUMMYFUNCTION("""COMPUTED_VALUE"""),"Приобретение, монтаж")</f>
        <v>Приобретение, монтаж</v>
      </c>
      <c r="I141" s="20"/>
      <c r="J141" s="20"/>
      <c r="K141" s="20"/>
      <c r="L141" s="20"/>
      <c r="M141" s="20"/>
      <c r="N141" s="24">
        <f ca="1">IFERROR(__xludf.DUMMYFUNCTION("""COMPUTED_VALUE"""),0)</f>
        <v>0</v>
      </c>
      <c r="O141" s="20"/>
      <c r="P141" s="20"/>
      <c r="Q141" s="20"/>
      <c r="R141" s="20"/>
      <c r="S141" s="20"/>
      <c r="T141" s="20"/>
      <c r="U141" s="24">
        <f ca="1">IFERROR(__xludf.DUMMYFUNCTION("""COMPUTED_VALUE"""),0)</f>
        <v>0</v>
      </c>
      <c r="V141" s="24">
        <f ca="1">IFERROR(__xludf.DUMMYFUNCTION("""COMPUTED_VALUE"""),0)</f>
        <v>0</v>
      </c>
      <c r="W141" s="24">
        <f ca="1">IFERROR(__xludf.DUMMYFUNCTION("""COMPUTED_VALUE"""),0)</f>
        <v>0</v>
      </c>
      <c r="X141" s="24">
        <f ca="1">IFERROR(__xludf.DUMMYFUNCTION("""COMPUTED_VALUE"""),0)</f>
        <v>0</v>
      </c>
      <c r="Y141" s="24">
        <f ca="1">IFERROR(__xludf.DUMMYFUNCTION("""COMPUTED_VALUE"""),0)</f>
        <v>0</v>
      </c>
      <c r="Z141" s="24">
        <f ca="1">IFERROR(__xludf.DUMMYFUNCTION("""COMPUTED_VALUE"""),0)</f>
        <v>0</v>
      </c>
      <c r="AA141" s="20" t="str">
        <f ca="1">IFERROR(__xludf.DUMMYFUNCTION("""COMPUTED_VALUE"""),"10 1 02 60330")</f>
        <v>10 1 02 60330</v>
      </c>
      <c r="AB141" s="20">
        <f ca="1">IFERROR(__xludf.DUMMYFUNCTION("""COMPUTED_VALUE"""),520)</f>
        <v>520</v>
      </c>
      <c r="AC141" s="20" t="str">
        <f ca="1">IFERROR(__xludf.DUMMYFUNCTION("""COMPUTED_VALUE"""),"Не требуется")</f>
        <v>Не требуется</v>
      </c>
      <c r="AD141" s="20" t="str">
        <f ca="1">IFERROR(__xludf.DUMMYFUNCTION("""COMPUTED_VALUE"""),"-")</f>
        <v>-</v>
      </c>
      <c r="AE141" s="20" t="str">
        <f ca="1">IFERROR(__xludf.DUMMYFUNCTION("""COMPUTED_VALUE"""),"-")</f>
        <v>-</v>
      </c>
      <c r="AF141" s="24">
        <f ca="1">IFERROR(__xludf.DUMMYFUNCTION("""COMPUTED_VALUE"""),0)</f>
        <v>0</v>
      </c>
      <c r="AG141" s="24">
        <f ca="1">IFERROR(__xludf.DUMMYFUNCTION("""COMPUTED_VALUE"""),0)</f>
        <v>0</v>
      </c>
      <c r="AH141" s="24">
        <f ca="1">IFERROR(__xludf.DUMMYFUNCTION("""COMPUTED_VALUE"""),0)</f>
        <v>0</v>
      </c>
      <c r="AI141" s="24">
        <f ca="1">IFERROR(__xludf.DUMMYFUNCTION("""COMPUTED_VALUE"""),0)</f>
        <v>0</v>
      </c>
      <c r="AJ141" s="24">
        <f ca="1">IFERROR(__xludf.DUMMYFUNCTION("""COMPUTED_VALUE"""),0)</f>
        <v>0</v>
      </c>
      <c r="AK141" s="24">
        <f ca="1">IFERROR(__xludf.DUMMYFUNCTION("""COMPUTED_VALUE"""),0)</f>
        <v>0</v>
      </c>
      <c r="AL141" s="24">
        <f ca="1">IFERROR(__xludf.DUMMYFUNCTION("""COMPUTED_VALUE"""),0)</f>
        <v>0</v>
      </c>
      <c r="AM141" s="20"/>
      <c r="AN141" s="20"/>
      <c r="AO141" s="20"/>
      <c r="AP141" s="20"/>
      <c r="AQ141" s="20"/>
      <c r="AR141" s="24">
        <f ca="1">IFERROR(__xludf.DUMMYFUNCTION("""COMPUTED_VALUE"""),0)</f>
        <v>0</v>
      </c>
      <c r="AS141" s="20"/>
      <c r="AT141" s="20"/>
      <c r="AU141" s="20"/>
      <c r="AV141" s="20"/>
      <c r="AW141" s="20"/>
      <c r="AX141" s="24">
        <f ca="1">IFERROR(__xludf.DUMMYFUNCTION("""COMPUTED_VALUE"""),0)</f>
        <v>0</v>
      </c>
      <c r="AY141" s="24">
        <f ca="1">IFERROR(__xludf.DUMMYFUNCTION("""COMPUTED_VALUE"""),0)</f>
        <v>0</v>
      </c>
      <c r="AZ141" s="24">
        <f ca="1">IFERROR(__xludf.DUMMYFUNCTION("""COMPUTED_VALUE"""),0)</f>
        <v>0</v>
      </c>
      <c r="BA141" s="24">
        <f ca="1">IFERROR(__xludf.DUMMYFUNCTION("""COMPUTED_VALUE"""),0)</f>
        <v>0</v>
      </c>
      <c r="BB141" s="24">
        <f ca="1">IFERROR(__xludf.DUMMYFUNCTION("""COMPUTED_VALUE"""),0)</f>
        <v>0</v>
      </c>
      <c r="BC141" s="20"/>
      <c r="BD141" s="24">
        <f ca="1">IFERROR(__xludf.DUMMYFUNCTION("""COMPUTED_VALUE"""),0)</f>
        <v>0</v>
      </c>
      <c r="BE141" s="24">
        <f ca="1">IFERROR(__xludf.DUMMYFUNCTION("""COMPUTED_VALUE"""),0)</f>
        <v>0</v>
      </c>
      <c r="BF141" s="24">
        <f ca="1">IFERROR(__xludf.DUMMYFUNCTION("""COMPUTED_VALUE"""),0)</f>
        <v>0</v>
      </c>
      <c r="BG141" s="24">
        <f ca="1">IFERROR(__xludf.DUMMYFUNCTION("""COMPUTED_VALUE"""),0)</f>
        <v>0</v>
      </c>
      <c r="BH141" s="24">
        <f ca="1">IFERROR(__xludf.DUMMYFUNCTION("""COMPUTED_VALUE"""),0)</f>
        <v>0</v>
      </c>
      <c r="BI141" s="20"/>
      <c r="BJ141" s="24">
        <f ca="1">IFERROR(__xludf.DUMMYFUNCTION("""COMPUTED_VALUE"""),0)</f>
        <v>0</v>
      </c>
      <c r="BK141" s="24">
        <f ca="1">IFERROR(__xludf.DUMMYFUNCTION("""COMPUTED_VALUE"""),0)</f>
        <v>0</v>
      </c>
      <c r="BL141" s="24">
        <f ca="1">IFERROR(__xludf.DUMMYFUNCTION("""COMPUTED_VALUE"""),0)</f>
        <v>0</v>
      </c>
      <c r="BM141" s="24">
        <f ca="1">IFERROR(__xludf.DUMMYFUNCTION("""COMPUTED_VALUE"""),0)</f>
        <v>0</v>
      </c>
      <c r="BN141" s="24">
        <f ca="1">IFERROR(__xludf.DUMMYFUNCTION("""COMPUTED_VALUE"""),0)</f>
        <v>0</v>
      </c>
      <c r="BO141" s="20"/>
      <c r="BP141" s="24">
        <f ca="1">IFERROR(__xludf.DUMMYFUNCTION("""COMPUTED_VALUE"""),0)</f>
        <v>0</v>
      </c>
      <c r="BQ141" s="24">
        <f ca="1">IFERROR(__xludf.DUMMYFUNCTION("""COMPUTED_VALUE"""),0)</f>
        <v>0</v>
      </c>
      <c r="BR141" s="24">
        <f ca="1">IFERROR(__xludf.DUMMYFUNCTION("""COMPUTED_VALUE"""),0)</f>
        <v>0</v>
      </c>
      <c r="BS141" s="24">
        <f ca="1">IFERROR(__xludf.DUMMYFUNCTION("""COMPUTED_VALUE"""),0)</f>
        <v>0</v>
      </c>
      <c r="BT141" s="24">
        <f ca="1">IFERROR(__xludf.DUMMYFUNCTION("""COMPUTED_VALUE"""),0)</f>
        <v>0</v>
      </c>
      <c r="BU141" s="20"/>
      <c r="BV141" s="24">
        <f ca="1">IFERROR(__xludf.DUMMYFUNCTION("""COMPUTED_VALUE"""),0)</f>
        <v>0</v>
      </c>
      <c r="BW141" s="24">
        <f ca="1">IFERROR(__xludf.DUMMYFUNCTION("""COMPUTED_VALUE"""),0)</f>
        <v>0</v>
      </c>
      <c r="BX141" s="24">
        <f ca="1">IFERROR(__xludf.DUMMYFUNCTION("""COMPUTED_VALUE"""),0)</f>
        <v>0</v>
      </c>
      <c r="BY141" s="24">
        <f ca="1">IFERROR(__xludf.DUMMYFUNCTION("""COMPUTED_VALUE"""),0)</f>
        <v>0</v>
      </c>
      <c r="BZ141" s="24">
        <f ca="1">IFERROR(__xludf.DUMMYFUNCTION("""COMPUTED_VALUE"""),0)</f>
        <v>0</v>
      </c>
      <c r="CA141" s="20"/>
      <c r="CB141" s="20"/>
      <c r="CC141" s="20"/>
      <c r="CD141" s="20"/>
      <c r="CE141" s="20"/>
      <c r="CF141" s="20"/>
      <c r="CG141" s="20"/>
      <c r="CH141" s="20"/>
      <c r="CI141" s="20"/>
      <c r="CJ141" s="20"/>
      <c r="CK141" s="20"/>
      <c r="CL141" s="20"/>
      <c r="CM141" s="20"/>
      <c r="CN141" s="20"/>
      <c r="CO141" s="20"/>
      <c r="CP141" s="20"/>
      <c r="CQ141" s="20"/>
      <c r="CR141" s="20"/>
      <c r="CS141" s="20"/>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row>
    <row r="142" spans="1:123" ht="64.5" hidden="1" customHeight="1" x14ac:dyDescent="0.2">
      <c r="A142" s="19"/>
      <c r="B142" s="20" t="str">
        <f ca="1">IFERROR(__xludf.DUMMYFUNCTION("""COMPUTED_VALUE"""),"г.о. Наро-Фоминск")</f>
        <v>г.о. Наро-Фоминск</v>
      </c>
      <c r="C14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2" s="20" t="str">
        <f ca="1">IFERROR(__xludf.DUMMYFUNCTION("""COMPUTED_VALUE"""),"МинЖКХ")</f>
        <v>МинЖКХ</v>
      </c>
      <c r="E142" s="20" t="str">
        <f ca="1">IFERROR(__xludf.DUMMYFUNCTION("""COMPUTED_VALUE"""),"Приобретение,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f>
        <v>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v>
      </c>
      <c r="F142" s="32" t="str">
        <f ca="1">IFERROR(__xludf.DUMMYFUNCTION("""COMPUTED_VALUE"""),"ВЗУ")</f>
        <v>ВЗУ</v>
      </c>
      <c r="G142" s="20" t="str">
        <f ca="1">IFERROR(__xludf.DUMMYFUNCTION("""COMPUTED_VALUE"""),"Н/Л")</f>
        <v>Н/Л</v>
      </c>
      <c r="H142" s="20" t="str">
        <f ca="1">IFERROR(__xludf.DUMMYFUNCTION("""COMPUTED_VALUE"""),"Приобретение, монтаж")</f>
        <v>Приобретение, монтаж</v>
      </c>
      <c r="I142" s="20"/>
      <c r="J142" s="20"/>
      <c r="K142" s="20"/>
      <c r="L142" s="20"/>
      <c r="M142" s="20"/>
      <c r="N142" s="24">
        <f ca="1">IFERROR(__xludf.DUMMYFUNCTION("""COMPUTED_VALUE"""),0)</f>
        <v>0</v>
      </c>
      <c r="O142" s="20"/>
      <c r="P142" s="20"/>
      <c r="Q142" s="20"/>
      <c r="R142" s="20"/>
      <c r="S142" s="20"/>
      <c r="T142" s="20"/>
      <c r="U142" s="24">
        <f ca="1">IFERROR(__xludf.DUMMYFUNCTION("""COMPUTED_VALUE"""),0)</f>
        <v>0</v>
      </c>
      <c r="V142" s="24">
        <f ca="1">IFERROR(__xludf.DUMMYFUNCTION("""COMPUTED_VALUE"""),0)</f>
        <v>0</v>
      </c>
      <c r="W142" s="24">
        <f ca="1">IFERROR(__xludf.DUMMYFUNCTION("""COMPUTED_VALUE"""),0)</f>
        <v>0</v>
      </c>
      <c r="X142" s="24">
        <f ca="1">IFERROR(__xludf.DUMMYFUNCTION("""COMPUTED_VALUE"""),0)</f>
        <v>0</v>
      </c>
      <c r="Y142" s="24">
        <f ca="1">IFERROR(__xludf.DUMMYFUNCTION("""COMPUTED_VALUE"""),0)</f>
        <v>0</v>
      </c>
      <c r="Z142" s="24">
        <f ca="1">IFERROR(__xludf.DUMMYFUNCTION("""COMPUTED_VALUE"""),0)</f>
        <v>0</v>
      </c>
      <c r="AA142" s="20" t="str">
        <f ca="1">IFERROR(__xludf.DUMMYFUNCTION("""COMPUTED_VALUE"""),"10 1 02 60330")</f>
        <v>10 1 02 60330</v>
      </c>
      <c r="AB142" s="20">
        <f ca="1">IFERROR(__xludf.DUMMYFUNCTION("""COMPUTED_VALUE"""),520)</f>
        <v>520</v>
      </c>
      <c r="AC142" s="20" t="str">
        <f ca="1">IFERROR(__xludf.DUMMYFUNCTION("""COMPUTED_VALUE"""),"Не требуется")</f>
        <v>Не требуется</v>
      </c>
      <c r="AD142" s="20" t="str">
        <f ca="1">IFERROR(__xludf.DUMMYFUNCTION("""COMPUTED_VALUE"""),"-")</f>
        <v>-</v>
      </c>
      <c r="AE142" s="20" t="str">
        <f ca="1">IFERROR(__xludf.DUMMYFUNCTION("""COMPUTED_VALUE"""),"-")</f>
        <v>-</v>
      </c>
      <c r="AF142" s="24">
        <f ca="1">IFERROR(__xludf.DUMMYFUNCTION("""COMPUTED_VALUE"""),0)</f>
        <v>0</v>
      </c>
      <c r="AG142" s="24">
        <f ca="1">IFERROR(__xludf.DUMMYFUNCTION("""COMPUTED_VALUE"""),0)</f>
        <v>0</v>
      </c>
      <c r="AH142" s="24">
        <f ca="1">IFERROR(__xludf.DUMMYFUNCTION("""COMPUTED_VALUE"""),0)</f>
        <v>0</v>
      </c>
      <c r="AI142" s="24">
        <f ca="1">IFERROR(__xludf.DUMMYFUNCTION("""COMPUTED_VALUE"""),0)</f>
        <v>0</v>
      </c>
      <c r="AJ142" s="24">
        <f ca="1">IFERROR(__xludf.DUMMYFUNCTION("""COMPUTED_VALUE"""),0)</f>
        <v>0</v>
      </c>
      <c r="AK142" s="24">
        <f ca="1">IFERROR(__xludf.DUMMYFUNCTION("""COMPUTED_VALUE"""),0)</f>
        <v>0</v>
      </c>
      <c r="AL142" s="24">
        <f ca="1">IFERROR(__xludf.DUMMYFUNCTION("""COMPUTED_VALUE"""),0)</f>
        <v>0</v>
      </c>
      <c r="AM142" s="20"/>
      <c r="AN142" s="20"/>
      <c r="AO142" s="20"/>
      <c r="AP142" s="20"/>
      <c r="AQ142" s="20"/>
      <c r="AR142" s="24">
        <f ca="1">IFERROR(__xludf.DUMMYFUNCTION("""COMPUTED_VALUE"""),0)</f>
        <v>0</v>
      </c>
      <c r="AS142" s="20"/>
      <c r="AT142" s="20"/>
      <c r="AU142" s="20"/>
      <c r="AV142" s="20"/>
      <c r="AW142" s="20"/>
      <c r="AX142" s="24">
        <f ca="1">IFERROR(__xludf.DUMMYFUNCTION("""COMPUTED_VALUE"""),0)</f>
        <v>0</v>
      </c>
      <c r="AY142" s="24">
        <f ca="1">IFERROR(__xludf.DUMMYFUNCTION("""COMPUTED_VALUE"""),0)</f>
        <v>0</v>
      </c>
      <c r="AZ142" s="24">
        <f ca="1">IFERROR(__xludf.DUMMYFUNCTION("""COMPUTED_VALUE"""),0)</f>
        <v>0</v>
      </c>
      <c r="BA142" s="24">
        <f ca="1">IFERROR(__xludf.DUMMYFUNCTION("""COMPUTED_VALUE"""),0)</f>
        <v>0</v>
      </c>
      <c r="BB142" s="24">
        <f ca="1">IFERROR(__xludf.DUMMYFUNCTION("""COMPUTED_VALUE"""),0)</f>
        <v>0</v>
      </c>
      <c r="BC142" s="20"/>
      <c r="BD142" s="24">
        <f ca="1">IFERROR(__xludf.DUMMYFUNCTION("""COMPUTED_VALUE"""),0)</f>
        <v>0</v>
      </c>
      <c r="BE142" s="24">
        <f ca="1">IFERROR(__xludf.DUMMYFUNCTION("""COMPUTED_VALUE"""),0)</f>
        <v>0</v>
      </c>
      <c r="BF142" s="24">
        <f ca="1">IFERROR(__xludf.DUMMYFUNCTION("""COMPUTED_VALUE"""),0)</f>
        <v>0</v>
      </c>
      <c r="BG142" s="24">
        <f ca="1">IFERROR(__xludf.DUMMYFUNCTION("""COMPUTED_VALUE"""),0)</f>
        <v>0</v>
      </c>
      <c r="BH142" s="24">
        <f ca="1">IFERROR(__xludf.DUMMYFUNCTION("""COMPUTED_VALUE"""),0)</f>
        <v>0</v>
      </c>
      <c r="BI142" s="20"/>
      <c r="BJ142" s="24">
        <f ca="1">IFERROR(__xludf.DUMMYFUNCTION("""COMPUTED_VALUE"""),0)</f>
        <v>0</v>
      </c>
      <c r="BK142" s="24">
        <f ca="1">IFERROR(__xludf.DUMMYFUNCTION("""COMPUTED_VALUE"""),0)</f>
        <v>0</v>
      </c>
      <c r="BL142" s="24">
        <f ca="1">IFERROR(__xludf.DUMMYFUNCTION("""COMPUTED_VALUE"""),0)</f>
        <v>0</v>
      </c>
      <c r="BM142" s="24">
        <f ca="1">IFERROR(__xludf.DUMMYFUNCTION("""COMPUTED_VALUE"""),0)</f>
        <v>0</v>
      </c>
      <c r="BN142" s="24">
        <f ca="1">IFERROR(__xludf.DUMMYFUNCTION("""COMPUTED_VALUE"""),0)</f>
        <v>0</v>
      </c>
      <c r="BO142" s="20"/>
      <c r="BP142" s="24">
        <f ca="1">IFERROR(__xludf.DUMMYFUNCTION("""COMPUTED_VALUE"""),0)</f>
        <v>0</v>
      </c>
      <c r="BQ142" s="24">
        <f ca="1">IFERROR(__xludf.DUMMYFUNCTION("""COMPUTED_VALUE"""),0)</f>
        <v>0</v>
      </c>
      <c r="BR142" s="24">
        <f ca="1">IFERROR(__xludf.DUMMYFUNCTION("""COMPUTED_VALUE"""),0)</f>
        <v>0</v>
      </c>
      <c r="BS142" s="24">
        <f ca="1">IFERROR(__xludf.DUMMYFUNCTION("""COMPUTED_VALUE"""),0)</f>
        <v>0</v>
      </c>
      <c r="BT142" s="24">
        <f ca="1">IFERROR(__xludf.DUMMYFUNCTION("""COMPUTED_VALUE"""),0)</f>
        <v>0</v>
      </c>
      <c r="BU142" s="20"/>
      <c r="BV142" s="24">
        <f ca="1">IFERROR(__xludf.DUMMYFUNCTION("""COMPUTED_VALUE"""),0)</f>
        <v>0</v>
      </c>
      <c r="BW142" s="24">
        <f ca="1">IFERROR(__xludf.DUMMYFUNCTION("""COMPUTED_VALUE"""),0)</f>
        <v>0</v>
      </c>
      <c r="BX142" s="24">
        <f ca="1">IFERROR(__xludf.DUMMYFUNCTION("""COMPUTED_VALUE"""),0)</f>
        <v>0</v>
      </c>
      <c r="BY142" s="24">
        <f ca="1">IFERROR(__xludf.DUMMYFUNCTION("""COMPUTED_VALUE"""),0)</f>
        <v>0</v>
      </c>
      <c r="BZ142" s="24">
        <f ca="1">IFERROR(__xludf.DUMMYFUNCTION("""COMPUTED_VALUE"""),0)</f>
        <v>0</v>
      </c>
      <c r="CA142" s="20"/>
      <c r="CB142" s="20"/>
      <c r="CC142" s="20"/>
      <c r="CD142" s="20"/>
      <c r="CE142" s="20"/>
      <c r="CF142" s="20"/>
      <c r="CG142" s="20"/>
      <c r="CH142" s="20"/>
      <c r="CI142" s="20"/>
      <c r="CJ142" s="20"/>
      <c r="CK142" s="20"/>
      <c r="CL142" s="20"/>
      <c r="CM142" s="20"/>
      <c r="CN142" s="20"/>
      <c r="CO142" s="20"/>
      <c r="CP142" s="20"/>
      <c r="CQ142" s="20"/>
      <c r="CR142" s="20"/>
      <c r="CS142" s="20"/>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row>
    <row r="143" spans="1:123" ht="64.5" hidden="1" customHeight="1" x14ac:dyDescent="0.2">
      <c r="A143" s="19"/>
      <c r="B143" s="20" t="str">
        <f ca="1">IFERROR(__xludf.DUMMYFUNCTION("""COMPUTED_VALUE"""),"г.о. Наро-Фоминск")</f>
        <v>г.о. Наро-Фоминск</v>
      </c>
      <c r="C14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3" s="20" t="str">
        <f ca="1">IFERROR(__xludf.DUMMYFUNCTION("""COMPUTED_VALUE"""),"МинЖКХ")</f>
        <v>МинЖКХ</v>
      </c>
      <c r="E143" s="20" t="str">
        <f ca="1">IFERROR(__xludf.DUMMYFUNCTION("""COMPUTED_VALUE"""),"Приобретение,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f>
        <v>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v>
      </c>
      <c r="F143" s="32" t="str">
        <f ca="1">IFERROR(__xludf.DUMMYFUNCTION("""COMPUTED_VALUE"""),"ВЗУ")</f>
        <v>ВЗУ</v>
      </c>
      <c r="G143" s="20" t="str">
        <f ca="1">IFERROR(__xludf.DUMMYFUNCTION("""COMPUTED_VALUE"""),"Н/Л")</f>
        <v>Н/Л</v>
      </c>
      <c r="H143" s="20" t="str">
        <f ca="1">IFERROR(__xludf.DUMMYFUNCTION("""COMPUTED_VALUE"""),"Приобретение, монтаж")</f>
        <v>Приобретение, монтаж</v>
      </c>
      <c r="I143" s="20"/>
      <c r="J143" s="20"/>
      <c r="K143" s="20"/>
      <c r="L143" s="20"/>
      <c r="M143" s="20"/>
      <c r="N143" s="24">
        <f ca="1">IFERROR(__xludf.DUMMYFUNCTION("""COMPUTED_VALUE"""),0)</f>
        <v>0</v>
      </c>
      <c r="O143" s="20"/>
      <c r="P143" s="20"/>
      <c r="Q143" s="20"/>
      <c r="R143" s="20"/>
      <c r="S143" s="20"/>
      <c r="T143" s="20"/>
      <c r="U143" s="24">
        <f ca="1">IFERROR(__xludf.DUMMYFUNCTION("""COMPUTED_VALUE"""),0)</f>
        <v>0</v>
      </c>
      <c r="V143" s="24">
        <f ca="1">IFERROR(__xludf.DUMMYFUNCTION("""COMPUTED_VALUE"""),0)</f>
        <v>0</v>
      </c>
      <c r="W143" s="24">
        <f ca="1">IFERROR(__xludf.DUMMYFUNCTION("""COMPUTED_VALUE"""),0)</f>
        <v>0</v>
      </c>
      <c r="X143" s="24">
        <f ca="1">IFERROR(__xludf.DUMMYFUNCTION("""COMPUTED_VALUE"""),0)</f>
        <v>0</v>
      </c>
      <c r="Y143" s="24">
        <f ca="1">IFERROR(__xludf.DUMMYFUNCTION("""COMPUTED_VALUE"""),0)</f>
        <v>0</v>
      </c>
      <c r="Z143" s="24">
        <f ca="1">IFERROR(__xludf.DUMMYFUNCTION("""COMPUTED_VALUE"""),0)</f>
        <v>0</v>
      </c>
      <c r="AA143" s="20" t="str">
        <f ca="1">IFERROR(__xludf.DUMMYFUNCTION("""COMPUTED_VALUE"""),"10 1 02 60330")</f>
        <v>10 1 02 60330</v>
      </c>
      <c r="AB143" s="20">
        <f ca="1">IFERROR(__xludf.DUMMYFUNCTION("""COMPUTED_VALUE"""),520)</f>
        <v>520</v>
      </c>
      <c r="AC143" s="20" t="str">
        <f ca="1">IFERROR(__xludf.DUMMYFUNCTION("""COMPUTED_VALUE"""),"Не требуется")</f>
        <v>Не требуется</v>
      </c>
      <c r="AD143" s="20" t="str">
        <f ca="1">IFERROR(__xludf.DUMMYFUNCTION("""COMPUTED_VALUE"""),"-")</f>
        <v>-</v>
      </c>
      <c r="AE143" s="20" t="str">
        <f ca="1">IFERROR(__xludf.DUMMYFUNCTION("""COMPUTED_VALUE"""),"-")</f>
        <v>-</v>
      </c>
      <c r="AF143" s="24">
        <f ca="1">IFERROR(__xludf.DUMMYFUNCTION("""COMPUTED_VALUE"""),0)</f>
        <v>0</v>
      </c>
      <c r="AG143" s="24">
        <f ca="1">IFERROR(__xludf.DUMMYFUNCTION("""COMPUTED_VALUE"""),0)</f>
        <v>0</v>
      </c>
      <c r="AH143" s="24">
        <f ca="1">IFERROR(__xludf.DUMMYFUNCTION("""COMPUTED_VALUE"""),0)</f>
        <v>0</v>
      </c>
      <c r="AI143" s="24">
        <f ca="1">IFERROR(__xludf.DUMMYFUNCTION("""COMPUTED_VALUE"""),0)</f>
        <v>0</v>
      </c>
      <c r="AJ143" s="24">
        <f ca="1">IFERROR(__xludf.DUMMYFUNCTION("""COMPUTED_VALUE"""),0)</f>
        <v>0</v>
      </c>
      <c r="AK143" s="24">
        <f ca="1">IFERROR(__xludf.DUMMYFUNCTION("""COMPUTED_VALUE"""),0)</f>
        <v>0</v>
      </c>
      <c r="AL143" s="24">
        <f ca="1">IFERROR(__xludf.DUMMYFUNCTION("""COMPUTED_VALUE"""),0)</f>
        <v>0</v>
      </c>
      <c r="AM143" s="20"/>
      <c r="AN143" s="20"/>
      <c r="AO143" s="20"/>
      <c r="AP143" s="20"/>
      <c r="AQ143" s="20"/>
      <c r="AR143" s="24">
        <f ca="1">IFERROR(__xludf.DUMMYFUNCTION("""COMPUTED_VALUE"""),0)</f>
        <v>0</v>
      </c>
      <c r="AS143" s="20"/>
      <c r="AT143" s="20"/>
      <c r="AU143" s="20"/>
      <c r="AV143" s="20"/>
      <c r="AW143" s="20"/>
      <c r="AX143" s="24">
        <f ca="1">IFERROR(__xludf.DUMMYFUNCTION("""COMPUTED_VALUE"""),0)</f>
        <v>0</v>
      </c>
      <c r="AY143" s="24">
        <f ca="1">IFERROR(__xludf.DUMMYFUNCTION("""COMPUTED_VALUE"""),0)</f>
        <v>0</v>
      </c>
      <c r="AZ143" s="24">
        <f ca="1">IFERROR(__xludf.DUMMYFUNCTION("""COMPUTED_VALUE"""),0)</f>
        <v>0</v>
      </c>
      <c r="BA143" s="24">
        <f ca="1">IFERROR(__xludf.DUMMYFUNCTION("""COMPUTED_VALUE"""),0)</f>
        <v>0</v>
      </c>
      <c r="BB143" s="24">
        <f ca="1">IFERROR(__xludf.DUMMYFUNCTION("""COMPUTED_VALUE"""),0)</f>
        <v>0</v>
      </c>
      <c r="BC143" s="20"/>
      <c r="BD143" s="24">
        <f ca="1">IFERROR(__xludf.DUMMYFUNCTION("""COMPUTED_VALUE"""),0)</f>
        <v>0</v>
      </c>
      <c r="BE143" s="24">
        <f ca="1">IFERROR(__xludf.DUMMYFUNCTION("""COMPUTED_VALUE"""),0)</f>
        <v>0</v>
      </c>
      <c r="BF143" s="24">
        <f ca="1">IFERROR(__xludf.DUMMYFUNCTION("""COMPUTED_VALUE"""),0)</f>
        <v>0</v>
      </c>
      <c r="BG143" s="24">
        <f ca="1">IFERROR(__xludf.DUMMYFUNCTION("""COMPUTED_VALUE"""),0)</f>
        <v>0</v>
      </c>
      <c r="BH143" s="24">
        <f ca="1">IFERROR(__xludf.DUMMYFUNCTION("""COMPUTED_VALUE"""),0)</f>
        <v>0</v>
      </c>
      <c r="BI143" s="20"/>
      <c r="BJ143" s="24">
        <f ca="1">IFERROR(__xludf.DUMMYFUNCTION("""COMPUTED_VALUE"""),0)</f>
        <v>0</v>
      </c>
      <c r="BK143" s="24">
        <f ca="1">IFERROR(__xludf.DUMMYFUNCTION("""COMPUTED_VALUE"""),0)</f>
        <v>0</v>
      </c>
      <c r="BL143" s="24">
        <f ca="1">IFERROR(__xludf.DUMMYFUNCTION("""COMPUTED_VALUE"""),0)</f>
        <v>0</v>
      </c>
      <c r="BM143" s="24">
        <f ca="1">IFERROR(__xludf.DUMMYFUNCTION("""COMPUTED_VALUE"""),0)</f>
        <v>0</v>
      </c>
      <c r="BN143" s="24">
        <f ca="1">IFERROR(__xludf.DUMMYFUNCTION("""COMPUTED_VALUE"""),0)</f>
        <v>0</v>
      </c>
      <c r="BO143" s="20"/>
      <c r="BP143" s="24">
        <f ca="1">IFERROR(__xludf.DUMMYFUNCTION("""COMPUTED_VALUE"""),0)</f>
        <v>0</v>
      </c>
      <c r="BQ143" s="24">
        <f ca="1">IFERROR(__xludf.DUMMYFUNCTION("""COMPUTED_VALUE"""),0)</f>
        <v>0</v>
      </c>
      <c r="BR143" s="24">
        <f ca="1">IFERROR(__xludf.DUMMYFUNCTION("""COMPUTED_VALUE"""),0)</f>
        <v>0</v>
      </c>
      <c r="BS143" s="24">
        <f ca="1">IFERROR(__xludf.DUMMYFUNCTION("""COMPUTED_VALUE"""),0)</f>
        <v>0</v>
      </c>
      <c r="BT143" s="24">
        <f ca="1">IFERROR(__xludf.DUMMYFUNCTION("""COMPUTED_VALUE"""),0)</f>
        <v>0</v>
      </c>
      <c r="BU143" s="20"/>
      <c r="BV143" s="24">
        <f ca="1">IFERROR(__xludf.DUMMYFUNCTION("""COMPUTED_VALUE"""),0)</f>
        <v>0</v>
      </c>
      <c r="BW143" s="24">
        <f ca="1">IFERROR(__xludf.DUMMYFUNCTION("""COMPUTED_VALUE"""),0)</f>
        <v>0</v>
      </c>
      <c r="BX143" s="24">
        <f ca="1">IFERROR(__xludf.DUMMYFUNCTION("""COMPUTED_VALUE"""),0)</f>
        <v>0</v>
      </c>
      <c r="BY143" s="24">
        <f ca="1">IFERROR(__xludf.DUMMYFUNCTION("""COMPUTED_VALUE"""),0)</f>
        <v>0</v>
      </c>
      <c r="BZ143" s="24">
        <f ca="1">IFERROR(__xludf.DUMMYFUNCTION("""COMPUTED_VALUE"""),0)</f>
        <v>0</v>
      </c>
      <c r="CA143" s="20"/>
      <c r="CB143" s="20"/>
      <c r="CC143" s="20"/>
      <c r="CD143" s="20"/>
      <c r="CE143" s="20"/>
      <c r="CF143" s="20"/>
      <c r="CG143" s="20"/>
      <c r="CH143" s="20"/>
      <c r="CI143" s="20"/>
      <c r="CJ143" s="20"/>
      <c r="CK143" s="20"/>
      <c r="CL143" s="20"/>
      <c r="CM143" s="20"/>
      <c r="CN143" s="20"/>
      <c r="CO143" s="20"/>
      <c r="CP143" s="20"/>
      <c r="CQ143" s="20"/>
      <c r="CR143" s="20"/>
      <c r="CS143" s="20"/>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row>
    <row r="144" spans="1:123" ht="64.5" hidden="1" customHeight="1" x14ac:dyDescent="0.2">
      <c r="A144" s="19"/>
      <c r="B144" s="20" t="str">
        <f ca="1">IFERROR(__xludf.DUMMYFUNCTION("""COMPUTED_VALUE"""),"г.о. Наро-Фоминск")</f>
        <v>г.о. Наро-Фоминск</v>
      </c>
      <c r="C14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4" s="20" t="str">
        <f ca="1">IFERROR(__xludf.DUMMYFUNCTION("""COMPUTED_VALUE"""),"МинЖКХ")</f>
        <v>МинЖКХ</v>
      </c>
      <c r="E144" s="20" t="str">
        <f ca="1">IFERROR(__xludf.DUMMYFUNCTION("""COMPUTED_VALUE"""),"Приобретение, монтаж и ввод в эксплуатацию станции водоочистки, д. Софьино (в том числе погашение кредиторской задолженности - 6 157,72 тыс.руб.)  г.о. Наро-Фоминск")</f>
        <v>Приобретение, монтаж и ввод в эксплуатацию станции водоочистки, д. Софьино (в том числе погашение кредиторской задолженности - 6 157,72 тыс.руб.)  г.о. Наро-Фоминск</v>
      </c>
      <c r="F144" s="32" t="str">
        <f ca="1">IFERROR(__xludf.DUMMYFUNCTION("""COMPUTED_VALUE"""),"ВЗУ")</f>
        <v>ВЗУ</v>
      </c>
      <c r="G144" s="20" t="str">
        <f ca="1">IFERROR(__xludf.DUMMYFUNCTION("""COMPUTED_VALUE"""),"Н/Л")</f>
        <v>Н/Л</v>
      </c>
      <c r="H144" s="20" t="str">
        <f ca="1">IFERROR(__xludf.DUMMYFUNCTION("""COMPUTED_VALUE"""),"Приобретение, монтаж")</f>
        <v>Приобретение, монтаж</v>
      </c>
      <c r="I144" s="20"/>
      <c r="J144" s="20"/>
      <c r="K144" s="20"/>
      <c r="L144" s="20"/>
      <c r="M144" s="20"/>
      <c r="N144" s="24">
        <f ca="1">IFERROR(__xludf.DUMMYFUNCTION("""COMPUTED_VALUE"""),0)</f>
        <v>0</v>
      </c>
      <c r="O144" s="20"/>
      <c r="P144" s="20"/>
      <c r="Q144" s="20"/>
      <c r="R144" s="20"/>
      <c r="S144" s="20"/>
      <c r="T144" s="20"/>
      <c r="U144" s="24">
        <f ca="1">IFERROR(__xludf.DUMMYFUNCTION("""COMPUTED_VALUE"""),0)</f>
        <v>0</v>
      </c>
      <c r="V144" s="24">
        <f ca="1">IFERROR(__xludf.DUMMYFUNCTION("""COMPUTED_VALUE"""),0)</f>
        <v>0</v>
      </c>
      <c r="W144" s="24">
        <f ca="1">IFERROR(__xludf.DUMMYFUNCTION("""COMPUTED_VALUE"""),0)</f>
        <v>0</v>
      </c>
      <c r="X144" s="24">
        <f ca="1">IFERROR(__xludf.DUMMYFUNCTION("""COMPUTED_VALUE"""),0)</f>
        <v>0</v>
      </c>
      <c r="Y144" s="24">
        <f ca="1">IFERROR(__xludf.DUMMYFUNCTION("""COMPUTED_VALUE"""),0)</f>
        <v>0</v>
      </c>
      <c r="Z144" s="24">
        <f ca="1">IFERROR(__xludf.DUMMYFUNCTION("""COMPUTED_VALUE"""),0)</f>
        <v>0</v>
      </c>
      <c r="AA144" s="20" t="str">
        <f ca="1">IFERROR(__xludf.DUMMYFUNCTION("""COMPUTED_VALUE"""),"10 1 02 60330")</f>
        <v>10 1 02 60330</v>
      </c>
      <c r="AB144" s="20">
        <f ca="1">IFERROR(__xludf.DUMMYFUNCTION("""COMPUTED_VALUE"""),520)</f>
        <v>520</v>
      </c>
      <c r="AC144" s="20" t="str">
        <f ca="1">IFERROR(__xludf.DUMMYFUNCTION("""COMPUTED_VALUE"""),"Не требуется")</f>
        <v>Не требуется</v>
      </c>
      <c r="AD144" s="20" t="str">
        <f ca="1">IFERROR(__xludf.DUMMYFUNCTION("""COMPUTED_VALUE"""),"-")</f>
        <v>-</v>
      </c>
      <c r="AE144" s="20" t="str">
        <f ca="1">IFERROR(__xludf.DUMMYFUNCTION("""COMPUTED_VALUE"""),"-")</f>
        <v>-</v>
      </c>
      <c r="AF144" s="24">
        <f ca="1">IFERROR(__xludf.DUMMYFUNCTION("""COMPUTED_VALUE"""),0)</f>
        <v>0</v>
      </c>
      <c r="AG144" s="24">
        <f ca="1">IFERROR(__xludf.DUMMYFUNCTION("""COMPUTED_VALUE"""),0)</f>
        <v>0</v>
      </c>
      <c r="AH144" s="24">
        <f ca="1">IFERROR(__xludf.DUMMYFUNCTION("""COMPUTED_VALUE"""),0)</f>
        <v>0</v>
      </c>
      <c r="AI144" s="24">
        <f ca="1">IFERROR(__xludf.DUMMYFUNCTION("""COMPUTED_VALUE"""),0)</f>
        <v>0</v>
      </c>
      <c r="AJ144" s="24">
        <f ca="1">IFERROR(__xludf.DUMMYFUNCTION("""COMPUTED_VALUE"""),0)</f>
        <v>0</v>
      </c>
      <c r="AK144" s="24">
        <f ca="1">IFERROR(__xludf.DUMMYFUNCTION("""COMPUTED_VALUE"""),0)</f>
        <v>0</v>
      </c>
      <c r="AL144" s="24">
        <f ca="1">IFERROR(__xludf.DUMMYFUNCTION("""COMPUTED_VALUE"""),0)</f>
        <v>0</v>
      </c>
      <c r="AM144" s="20"/>
      <c r="AN144" s="20"/>
      <c r="AO144" s="20"/>
      <c r="AP144" s="20"/>
      <c r="AQ144" s="20"/>
      <c r="AR144" s="24">
        <f ca="1">IFERROR(__xludf.DUMMYFUNCTION("""COMPUTED_VALUE"""),0)</f>
        <v>0</v>
      </c>
      <c r="AS144" s="20"/>
      <c r="AT144" s="20"/>
      <c r="AU144" s="20"/>
      <c r="AV144" s="20"/>
      <c r="AW144" s="20"/>
      <c r="AX144" s="24">
        <f ca="1">IFERROR(__xludf.DUMMYFUNCTION("""COMPUTED_VALUE"""),0)</f>
        <v>0</v>
      </c>
      <c r="AY144" s="24">
        <f ca="1">IFERROR(__xludf.DUMMYFUNCTION("""COMPUTED_VALUE"""),0)</f>
        <v>0</v>
      </c>
      <c r="AZ144" s="24">
        <f ca="1">IFERROR(__xludf.DUMMYFUNCTION("""COMPUTED_VALUE"""),0)</f>
        <v>0</v>
      </c>
      <c r="BA144" s="24">
        <f ca="1">IFERROR(__xludf.DUMMYFUNCTION("""COMPUTED_VALUE"""),0)</f>
        <v>0</v>
      </c>
      <c r="BB144" s="24">
        <f ca="1">IFERROR(__xludf.DUMMYFUNCTION("""COMPUTED_VALUE"""),0)</f>
        <v>0</v>
      </c>
      <c r="BC144" s="20"/>
      <c r="BD144" s="24">
        <f ca="1">IFERROR(__xludf.DUMMYFUNCTION("""COMPUTED_VALUE"""),0)</f>
        <v>0</v>
      </c>
      <c r="BE144" s="24">
        <f ca="1">IFERROR(__xludf.DUMMYFUNCTION("""COMPUTED_VALUE"""),0)</f>
        <v>0</v>
      </c>
      <c r="BF144" s="24">
        <f ca="1">IFERROR(__xludf.DUMMYFUNCTION("""COMPUTED_VALUE"""),0)</f>
        <v>0</v>
      </c>
      <c r="BG144" s="24">
        <f ca="1">IFERROR(__xludf.DUMMYFUNCTION("""COMPUTED_VALUE"""),0)</f>
        <v>0</v>
      </c>
      <c r="BH144" s="24">
        <f ca="1">IFERROR(__xludf.DUMMYFUNCTION("""COMPUTED_VALUE"""),0)</f>
        <v>0</v>
      </c>
      <c r="BI144" s="20"/>
      <c r="BJ144" s="24">
        <f ca="1">IFERROR(__xludf.DUMMYFUNCTION("""COMPUTED_VALUE"""),0)</f>
        <v>0</v>
      </c>
      <c r="BK144" s="24">
        <f ca="1">IFERROR(__xludf.DUMMYFUNCTION("""COMPUTED_VALUE"""),0)</f>
        <v>0</v>
      </c>
      <c r="BL144" s="24">
        <f ca="1">IFERROR(__xludf.DUMMYFUNCTION("""COMPUTED_VALUE"""),0)</f>
        <v>0</v>
      </c>
      <c r="BM144" s="24">
        <f ca="1">IFERROR(__xludf.DUMMYFUNCTION("""COMPUTED_VALUE"""),0)</f>
        <v>0</v>
      </c>
      <c r="BN144" s="24">
        <f ca="1">IFERROR(__xludf.DUMMYFUNCTION("""COMPUTED_VALUE"""),0)</f>
        <v>0</v>
      </c>
      <c r="BO144" s="20"/>
      <c r="BP144" s="24">
        <f ca="1">IFERROR(__xludf.DUMMYFUNCTION("""COMPUTED_VALUE"""),0)</f>
        <v>0</v>
      </c>
      <c r="BQ144" s="24">
        <f ca="1">IFERROR(__xludf.DUMMYFUNCTION("""COMPUTED_VALUE"""),0)</f>
        <v>0</v>
      </c>
      <c r="BR144" s="24">
        <f ca="1">IFERROR(__xludf.DUMMYFUNCTION("""COMPUTED_VALUE"""),0)</f>
        <v>0</v>
      </c>
      <c r="BS144" s="24">
        <f ca="1">IFERROR(__xludf.DUMMYFUNCTION("""COMPUTED_VALUE"""),0)</f>
        <v>0</v>
      </c>
      <c r="BT144" s="24">
        <f ca="1">IFERROR(__xludf.DUMMYFUNCTION("""COMPUTED_VALUE"""),0)</f>
        <v>0</v>
      </c>
      <c r="BU144" s="20"/>
      <c r="BV144" s="24">
        <f ca="1">IFERROR(__xludf.DUMMYFUNCTION("""COMPUTED_VALUE"""),0)</f>
        <v>0</v>
      </c>
      <c r="BW144" s="24">
        <f ca="1">IFERROR(__xludf.DUMMYFUNCTION("""COMPUTED_VALUE"""),0)</f>
        <v>0</v>
      </c>
      <c r="BX144" s="24">
        <f ca="1">IFERROR(__xludf.DUMMYFUNCTION("""COMPUTED_VALUE"""),0)</f>
        <v>0</v>
      </c>
      <c r="BY144" s="24">
        <f ca="1">IFERROR(__xludf.DUMMYFUNCTION("""COMPUTED_VALUE"""),0)</f>
        <v>0</v>
      </c>
      <c r="BZ144" s="24">
        <f ca="1">IFERROR(__xludf.DUMMYFUNCTION("""COMPUTED_VALUE"""),0)</f>
        <v>0</v>
      </c>
      <c r="CA144" s="20"/>
      <c r="CB144" s="20"/>
      <c r="CC144" s="20"/>
      <c r="CD144" s="20"/>
      <c r="CE144" s="20"/>
      <c r="CF144" s="20"/>
      <c r="CG144" s="20"/>
      <c r="CH144" s="20"/>
      <c r="CI144" s="20"/>
      <c r="CJ144" s="20"/>
      <c r="CK144" s="20"/>
      <c r="CL144" s="20"/>
      <c r="CM144" s="20"/>
      <c r="CN144" s="20"/>
      <c r="CO144" s="20"/>
      <c r="CP144" s="20"/>
      <c r="CQ144" s="20"/>
      <c r="CR144" s="20"/>
      <c r="CS144" s="20"/>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row>
    <row r="145" spans="1:123" ht="64.5" hidden="1" customHeight="1" x14ac:dyDescent="0.2">
      <c r="A145" s="19"/>
      <c r="B145" s="20" t="str">
        <f ca="1">IFERROR(__xludf.DUMMYFUNCTION("""COMPUTED_VALUE"""),"г.о. Солнечногорск")</f>
        <v>г.о. Солнечногорск</v>
      </c>
      <c r="C14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5" s="20" t="str">
        <f ca="1">IFERROR(__xludf.DUMMYFUNCTION("""COMPUTED_VALUE"""),"МинЖКХ")</f>
        <v>МинЖКХ</v>
      </c>
      <c r="E145" s="20" t="str">
        <f ca="1">IFERROR(__xludf.DUMMYFUNCTION("""COMPUTED_VALUE"""),"Приобретение, монтаж и ввод в эксплуатацию станции обезжелезивания на ВЗУ № 15, д. Стрелино, с. п. Кривцовское  Солнечногорский м.р.")</f>
        <v>Приобретение, монтаж и ввод в эксплуатацию станции обезжелезивания на ВЗУ № 15, д. Стрелино, с. п. Кривцовское  Солнечногорский м.р.</v>
      </c>
      <c r="F145" s="32" t="str">
        <f ca="1">IFERROR(__xludf.DUMMYFUNCTION("""COMPUTED_VALUE"""),"ВЗУ")</f>
        <v>ВЗУ</v>
      </c>
      <c r="G145" s="20" t="str">
        <f ca="1">IFERROR(__xludf.DUMMYFUNCTION("""COMPUTED_VALUE"""),"Н/Л")</f>
        <v>Н/Л</v>
      </c>
      <c r="H145" s="20" t="str">
        <f ca="1">IFERROR(__xludf.DUMMYFUNCTION("""COMPUTED_VALUE"""),"Приобретение, монтаж")</f>
        <v>Приобретение, монтаж</v>
      </c>
      <c r="I145" s="23">
        <f ca="1">IFERROR(__xludf.DUMMYFUNCTION("""COMPUTED_VALUE"""),1)</f>
        <v>1</v>
      </c>
      <c r="J145" s="20" t="str">
        <f ca="1">IFERROR(__xludf.DUMMYFUNCTION("""COMPUTED_VALUE"""),"Работы завершены в 2019 году.")</f>
        <v>Работы завершены в 2019 году.</v>
      </c>
      <c r="K145" s="20"/>
      <c r="L145" s="20"/>
      <c r="M145" s="20"/>
      <c r="N145" s="24">
        <f ca="1">IFERROR(__xludf.DUMMYFUNCTION("""COMPUTED_VALUE"""),0)</f>
        <v>0</v>
      </c>
      <c r="O145" s="20"/>
      <c r="P145" s="20"/>
      <c r="Q145" s="20"/>
      <c r="R145" s="20"/>
      <c r="S145" s="20"/>
      <c r="T145" s="20"/>
      <c r="U145" s="24">
        <f ca="1">IFERROR(__xludf.DUMMYFUNCTION("""COMPUTED_VALUE"""),0)</f>
        <v>0</v>
      </c>
      <c r="V145" s="24">
        <f ca="1">IFERROR(__xludf.DUMMYFUNCTION("""COMPUTED_VALUE"""),0)</f>
        <v>0</v>
      </c>
      <c r="W145" s="24">
        <f ca="1">IFERROR(__xludf.DUMMYFUNCTION("""COMPUTED_VALUE"""),0)</f>
        <v>0</v>
      </c>
      <c r="X145" s="24">
        <f ca="1">IFERROR(__xludf.DUMMYFUNCTION("""COMPUTED_VALUE"""),0)</f>
        <v>0</v>
      </c>
      <c r="Y145" s="24">
        <f ca="1">IFERROR(__xludf.DUMMYFUNCTION("""COMPUTED_VALUE"""),0)</f>
        <v>0</v>
      </c>
      <c r="Z145" s="24">
        <f ca="1">IFERROR(__xludf.DUMMYFUNCTION("""COMPUTED_VALUE"""),0)</f>
        <v>0</v>
      </c>
      <c r="AA145" s="20" t="str">
        <f ca="1">IFERROR(__xludf.DUMMYFUNCTION("""COMPUTED_VALUE"""),"10 1 02 60330")</f>
        <v>10 1 02 60330</v>
      </c>
      <c r="AB145" s="20">
        <f ca="1">IFERROR(__xludf.DUMMYFUNCTION("""COMPUTED_VALUE"""),520)</f>
        <v>520</v>
      </c>
      <c r="AC145" s="20" t="str">
        <f ca="1">IFERROR(__xludf.DUMMYFUNCTION("""COMPUTED_VALUE"""),"Не требуется")</f>
        <v>Не требуется</v>
      </c>
      <c r="AD145" s="20" t="str">
        <f ca="1">IFERROR(__xludf.DUMMYFUNCTION("""COMPUTED_VALUE"""),"-")</f>
        <v>-</v>
      </c>
      <c r="AE145" s="20" t="str">
        <f ca="1">IFERROR(__xludf.DUMMYFUNCTION("""COMPUTED_VALUE"""),"-")</f>
        <v>-</v>
      </c>
      <c r="AF145" s="24">
        <f ca="1">IFERROR(__xludf.DUMMYFUNCTION("""COMPUTED_VALUE"""),0)</f>
        <v>0</v>
      </c>
      <c r="AG145" s="24">
        <f ca="1">IFERROR(__xludf.DUMMYFUNCTION("""COMPUTED_VALUE"""),0)</f>
        <v>0</v>
      </c>
      <c r="AH145" s="24">
        <f ca="1">IFERROR(__xludf.DUMMYFUNCTION("""COMPUTED_VALUE"""),0)</f>
        <v>0</v>
      </c>
      <c r="AI145" s="24">
        <f ca="1">IFERROR(__xludf.DUMMYFUNCTION("""COMPUTED_VALUE"""),0)</f>
        <v>0</v>
      </c>
      <c r="AJ145" s="24">
        <f ca="1">IFERROR(__xludf.DUMMYFUNCTION("""COMPUTED_VALUE"""),0)</f>
        <v>0</v>
      </c>
      <c r="AK145" s="24">
        <f ca="1">IFERROR(__xludf.DUMMYFUNCTION("""COMPUTED_VALUE"""),0)</f>
        <v>0</v>
      </c>
      <c r="AL145" s="24">
        <f ca="1">IFERROR(__xludf.DUMMYFUNCTION("""COMPUTED_VALUE"""),0)</f>
        <v>0</v>
      </c>
      <c r="AM145" s="20"/>
      <c r="AN145" s="20"/>
      <c r="AO145" s="20"/>
      <c r="AP145" s="20"/>
      <c r="AQ145" s="20"/>
      <c r="AR145" s="24">
        <f ca="1">IFERROR(__xludf.DUMMYFUNCTION("""COMPUTED_VALUE"""),0)</f>
        <v>0</v>
      </c>
      <c r="AS145" s="20"/>
      <c r="AT145" s="20"/>
      <c r="AU145" s="20"/>
      <c r="AV145" s="20"/>
      <c r="AW145" s="20"/>
      <c r="AX145" s="24">
        <f ca="1">IFERROR(__xludf.DUMMYFUNCTION("""COMPUTED_VALUE"""),0)</f>
        <v>0</v>
      </c>
      <c r="AY145" s="24">
        <f ca="1">IFERROR(__xludf.DUMMYFUNCTION("""COMPUTED_VALUE"""),0)</f>
        <v>0</v>
      </c>
      <c r="AZ145" s="24">
        <f ca="1">IFERROR(__xludf.DUMMYFUNCTION("""COMPUTED_VALUE"""),0)</f>
        <v>0</v>
      </c>
      <c r="BA145" s="24">
        <f ca="1">IFERROR(__xludf.DUMMYFUNCTION("""COMPUTED_VALUE"""),0)</f>
        <v>0</v>
      </c>
      <c r="BB145" s="24">
        <f ca="1">IFERROR(__xludf.DUMMYFUNCTION("""COMPUTED_VALUE"""),0)</f>
        <v>0</v>
      </c>
      <c r="BC145" s="20"/>
      <c r="BD145" s="24">
        <f ca="1">IFERROR(__xludf.DUMMYFUNCTION("""COMPUTED_VALUE"""),0)</f>
        <v>0</v>
      </c>
      <c r="BE145" s="24">
        <f ca="1">IFERROR(__xludf.DUMMYFUNCTION("""COMPUTED_VALUE"""),0)</f>
        <v>0</v>
      </c>
      <c r="BF145" s="24">
        <f ca="1">IFERROR(__xludf.DUMMYFUNCTION("""COMPUTED_VALUE"""),0)</f>
        <v>0</v>
      </c>
      <c r="BG145" s="24">
        <f ca="1">IFERROR(__xludf.DUMMYFUNCTION("""COMPUTED_VALUE"""),0)</f>
        <v>0</v>
      </c>
      <c r="BH145" s="24">
        <f ca="1">IFERROR(__xludf.DUMMYFUNCTION("""COMPUTED_VALUE"""),0)</f>
        <v>0</v>
      </c>
      <c r="BI145" s="20"/>
      <c r="BJ145" s="24">
        <f ca="1">IFERROR(__xludf.DUMMYFUNCTION("""COMPUTED_VALUE"""),0)</f>
        <v>0</v>
      </c>
      <c r="BK145" s="24">
        <f ca="1">IFERROR(__xludf.DUMMYFUNCTION("""COMPUTED_VALUE"""),0)</f>
        <v>0</v>
      </c>
      <c r="BL145" s="24">
        <f ca="1">IFERROR(__xludf.DUMMYFUNCTION("""COMPUTED_VALUE"""),0)</f>
        <v>0</v>
      </c>
      <c r="BM145" s="24">
        <f ca="1">IFERROR(__xludf.DUMMYFUNCTION("""COMPUTED_VALUE"""),0)</f>
        <v>0</v>
      </c>
      <c r="BN145" s="24">
        <f ca="1">IFERROR(__xludf.DUMMYFUNCTION("""COMPUTED_VALUE"""),0)</f>
        <v>0</v>
      </c>
      <c r="BO145" s="20"/>
      <c r="BP145" s="24">
        <f ca="1">IFERROR(__xludf.DUMMYFUNCTION("""COMPUTED_VALUE"""),0)</f>
        <v>0</v>
      </c>
      <c r="BQ145" s="24">
        <f ca="1">IFERROR(__xludf.DUMMYFUNCTION("""COMPUTED_VALUE"""),0)</f>
        <v>0</v>
      </c>
      <c r="BR145" s="24">
        <f ca="1">IFERROR(__xludf.DUMMYFUNCTION("""COMPUTED_VALUE"""),0)</f>
        <v>0</v>
      </c>
      <c r="BS145" s="24">
        <f ca="1">IFERROR(__xludf.DUMMYFUNCTION("""COMPUTED_VALUE"""),0)</f>
        <v>0</v>
      </c>
      <c r="BT145" s="24">
        <f ca="1">IFERROR(__xludf.DUMMYFUNCTION("""COMPUTED_VALUE"""),0)</f>
        <v>0</v>
      </c>
      <c r="BU145" s="20"/>
      <c r="BV145" s="24">
        <f ca="1">IFERROR(__xludf.DUMMYFUNCTION("""COMPUTED_VALUE"""),0)</f>
        <v>0</v>
      </c>
      <c r="BW145" s="24">
        <f ca="1">IFERROR(__xludf.DUMMYFUNCTION("""COMPUTED_VALUE"""),0)</f>
        <v>0</v>
      </c>
      <c r="BX145" s="24">
        <f ca="1">IFERROR(__xludf.DUMMYFUNCTION("""COMPUTED_VALUE"""),0)</f>
        <v>0</v>
      </c>
      <c r="BY145" s="24">
        <f ca="1">IFERROR(__xludf.DUMMYFUNCTION("""COMPUTED_VALUE"""),0)</f>
        <v>0</v>
      </c>
      <c r="BZ145" s="24">
        <f ca="1">IFERROR(__xludf.DUMMYFUNCTION("""COMPUTED_VALUE"""),0)</f>
        <v>0</v>
      </c>
      <c r="CA145" s="20"/>
      <c r="CB145" s="20"/>
      <c r="CC145" s="20"/>
      <c r="CD145" s="20"/>
      <c r="CE145" s="20"/>
      <c r="CF145" s="20"/>
      <c r="CG145" s="20"/>
      <c r="CH145" s="20"/>
      <c r="CI145" s="20"/>
      <c r="CJ145" s="20"/>
      <c r="CK145" s="20"/>
      <c r="CL145" s="20"/>
      <c r="CM145" s="20"/>
      <c r="CN145" s="20"/>
      <c r="CO145" s="20"/>
      <c r="CP145" s="20"/>
      <c r="CQ145" s="20"/>
      <c r="CR145" s="20"/>
      <c r="CS145" s="20"/>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row>
    <row r="146" spans="1:123" ht="64.5" hidden="1" customHeight="1" x14ac:dyDescent="0.2">
      <c r="A146" s="19"/>
      <c r="B146" s="20" t="str">
        <f ca="1">IFERROR(__xludf.DUMMYFUNCTION("""COMPUTED_VALUE"""),"г.о. Солнечногорск")</f>
        <v>г.о. Солнечногорск</v>
      </c>
      <c r="C14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6" s="20" t="str">
        <f ca="1">IFERROR(__xludf.DUMMYFUNCTION("""COMPUTED_VALUE"""),"МинЖКХ")</f>
        <v>МинЖКХ</v>
      </c>
      <c r="E146" s="20" t="str">
        <f ca="1">IFERROR(__xludf.DUMMYFUNCTION("""COMPUTED_VALUE"""),"Приобретение, монтаж и ввод в эксплуатацию станции обезжелезивания на ВЗУ № 19, д. Тараканово, с. п. Смирновское Солнечногорский м.р.")</f>
        <v>Приобретение, монтаж и ввод в эксплуатацию станции обезжелезивания на ВЗУ № 19, д. Тараканово, с. п. Смирновское Солнечногорский м.р.</v>
      </c>
      <c r="F146" s="32" t="str">
        <f ca="1">IFERROR(__xludf.DUMMYFUNCTION("""COMPUTED_VALUE"""),"ВЗУ")</f>
        <v>ВЗУ</v>
      </c>
      <c r="G146" s="20" t="str">
        <f ca="1">IFERROR(__xludf.DUMMYFUNCTION("""COMPUTED_VALUE"""),"Н/Л")</f>
        <v>Н/Л</v>
      </c>
      <c r="H146" s="20" t="str">
        <f ca="1">IFERROR(__xludf.DUMMYFUNCTION("""COMPUTED_VALUE"""),"Приобретение, монтаж")</f>
        <v>Приобретение, монтаж</v>
      </c>
      <c r="I146" s="23">
        <f ca="1">IFERROR(__xludf.DUMMYFUNCTION("""COMPUTED_VALUE"""),1)</f>
        <v>1</v>
      </c>
      <c r="J146" s="20" t="str">
        <f ca="1">IFERROR(__xludf.DUMMYFUNCTION("""COMPUTED_VALUE"""),"Работы завершены в 2019 году.")</f>
        <v>Работы завершены в 2019 году.</v>
      </c>
      <c r="K146" s="20"/>
      <c r="L146" s="20"/>
      <c r="M146" s="20"/>
      <c r="N146" s="24">
        <f ca="1">IFERROR(__xludf.DUMMYFUNCTION("""COMPUTED_VALUE"""),0)</f>
        <v>0</v>
      </c>
      <c r="O146" s="20"/>
      <c r="P146" s="20"/>
      <c r="Q146" s="20"/>
      <c r="R146" s="20"/>
      <c r="S146" s="20"/>
      <c r="T146" s="20"/>
      <c r="U146" s="24">
        <f ca="1">IFERROR(__xludf.DUMMYFUNCTION("""COMPUTED_VALUE"""),0)</f>
        <v>0</v>
      </c>
      <c r="V146" s="24">
        <f ca="1">IFERROR(__xludf.DUMMYFUNCTION("""COMPUTED_VALUE"""),0)</f>
        <v>0</v>
      </c>
      <c r="W146" s="24">
        <f ca="1">IFERROR(__xludf.DUMMYFUNCTION("""COMPUTED_VALUE"""),0)</f>
        <v>0</v>
      </c>
      <c r="X146" s="24">
        <f ca="1">IFERROR(__xludf.DUMMYFUNCTION("""COMPUTED_VALUE"""),0)</f>
        <v>0</v>
      </c>
      <c r="Y146" s="24">
        <f ca="1">IFERROR(__xludf.DUMMYFUNCTION("""COMPUTED_VALUE"""),0)</f>
        <v>0</v>
      </c>
      <c r="Z146" s="24">
        <f ca="1">IFERROR(__xludf.DUMMYFUNCTION("""COMPUTED_VALUE"""),0)</f>
        <v>0</v>
      </c>
      <c r="AA146" s="20" t="str">
        <f ca="1">IFERROR(__xludf.DUMMYFUNCTION("""COMPUTED_VALUE"""),"10 1 02 60330")</f>
        <v>10 1 02 60330</v>
      </c>
      <c r="AB146" s="20">
        <f ca="1">IFERROR(__xludf.DUMMYFUNCTION("""COMPUTED_VALUE"""),520)</f>
        <v>520</v>
      </c>
      <c r="AC146" s="20" t="str">
        <f ca="1">IFERROR(__xludf.DUMMYFUNCTION("""COMPUTED_VALUE"""),"Не требуется")</f>
        <v>Не требуется</v>
      </c>
      <c r="AD146" s="20" t="str">
        <f ca="1">IFERROR(__xludf.DUMMYFUNCTION("""COMPUTED_VALUE"""),"-")</f>
        <v>-</v>
      </c>
      <c r="AE146" s="20" t="str">
        <f ca="1">IFERROR(__xludf.DUMMYFUNCTION("""COMPUTED_VALUE"""),"-")</f>
        <v>-</v>
      </c>
      <c r="AF146" s="24">
        <f ca="1">IFERROR(__xludf.DUMMYFUNCTION("""COMPUTED_VALUE"""),0)</f>
        <v>0</v>
      </c>
      <c r="AG146" s="24">
        <f ca="1">IFERROR(__xludf.DUMMYFUNCTION("""COMPUTED_VALUE"""),0)</f>
        <v>0</v>
      </c>
      <c r="AH146" s="24">
        <f ca="1">IFERROR(__xludf.DUMMYFUNCTION("""COMPUTED_VALUE"""),0)</f>
        <v>0</v>
      </c>
      <c r="AI146" s="24">
        <f ca="1">IFERROR(__xludf.DUMMYFUNCTION("""COMPUTED_VALUE"""),0)</f>
        <v>0</v>
      </c>
      <c r="AJ146" s="24">
        <f ca="1">IFERROR(__xludf.DUMMYFUNCTION("""COMPUTED_VALUE"""),0)</f>
        <v>0</v>
      </c>
      <c r="AK146" s="24">
        <f ca="1">IFERROR(__xludf.DUMMYFUNCTION("""COMPUTED_VALUE"""),0)</f>
        <v>0</v>
      </c>
      <c r="AL146" s="24">
        <f ca="1">IFERROR(__xludf.DUMMYFUNCTION("""COMPUTED_VALUE"""),0)</f>
        <v>0</v>
      </c>
      <c r="AM146" s="20"/>
      <c r="AN146" s="20"/>
      <c r="AO146" s="20"/>
      <c r="AP146" s="20"/>
      <c r="AQ146" s="20"/>
      <c r="AR146" s="24">
        <f ca="1">IFERROR(__xludf.DUMMYFUNCTION("""COMPUTED_VALUE"""),0)</f>
        <v>0</v>
      </c>
      <c r="AS146" s="20"/>
      <c r="AT146" s="20"/>
      <c r="AU146" s="20"/>
      <c r="AV146" s="20"/>
      <c r="AW146" s="20"/>
      <c r="AX146" s="24">
        <f ca="1">IFERROR(__xludf.DUMMYFUNCTION("""COMPUTED_VALUE"""),0)</f>
        <v>0</v>
      </c>
      <c r="AY146" s="24">
        <f ca="1">IFERROR(__xludf.DUMMYFUNCTION("""COMPUTED_VALUE"""),0)</f>
        <v>0</v>
      </c>
      <c r="AZ146" s="24">
        <f ca="1">IFERROR(__xludf.DUMMYFUNCTION("""COMPUTED_VALUE"""),0)</f>
        <v>0</v>
      </c>
      <c r="BA146" s="24">
        <f ca="1">IFERROR(__xludf.DUMMYFUNCTION("""COMPUTED_VALUE"""),0)</f>
        <v>0</v>
      </c>
      <c r="BB146" s="24">
        <f ca="1">IFERROR(__xludf.DUMMYFUNCTION("""COMPUTED_VALUE"""),0)</f>
        <v>0</v>
      </c>
      <c r="BC146" s="20"/>
      <c r="BD146" s="24">
        <f ca="1">IFERROR(__xludf.DUMMYFUNCTION("""COMPUTED_VALUE"""),0)</f>
        <v>0</v>
      </c>
      <c r="BE146" s="24">
        <f ca="1">IFERROR(__xludf.DUMMYFUNCTION("""COMPUTED_VALUE"""),0)</f>
        <v>0</v>
      </c>
      <c r="BF146" s="24">
        <f ca="1">IFERROR(__xludf.DUMMYFUNCTION("""COMPUTED_VALUE"""),0)</f>
        <v>0</v>
      </c>
      <c r="BG146" s="24">
        <f ca="1">IFERROR(__xludf.DUMMYFUNCTION("""COMPUTED_VALUE"""),0)</f>
        <v>0</v>
      </c>
      <c r="BH146" s="24">
        <f ca="1">IFERROR(__xludf.DUMMYFUNCTION("""COMPUTED_VALUE"""),0)</f>
        <v>0</v>
      </c>
      <c r="BI146" s="20"/>
      <c r="BJ146" s="24">
        <f ca="1">IFERROR(__xludf.DUMMYFUNCTION("""COMPUTED_VALUE"""),0)</f>
        <v>0</v>
      </c>
      <c r="BK146" s="24">
        <f ca="1">IFERROR(__xludf.DUMMYFUNCTION("""COMPUTED_VALUE"""),0)</f>
        <v>0</v>
      </c>
      <c r="BL146" s="24">
        <f ca="1">IFERROR(__xludf.DUMMYFUNCTION("""COMPUTED_VALUE"""),0)</f>
        <v>0</v>
      </c>
      <c r="BM146" s="24">
        <f ca="1">IFERROR(__xludf.DUMMYFUNCTION("""COMPUTED_VALUE"""),0)</f>
        <v>0</v>
      </c>
      <c r="BN146" s="24">
        <f ca="1">IFERROR(__xludf.DUMMYFUNCTION("""COMPUTED_VALUE"""),0)</f>
        <v>0</v>
      </c>
      <c r="BO146" s="20"/>
      <c r="BP146" s="24">
        <f ca="1">IFERROR(__xludf.DUMMYFUNCTION("""COMPUTED_VALUE"""),0)</f>
        <v>0</v>
      </c>
      <c r="BQ146" s="24">
        <f ca="1">IFERROR(__xludf.DUMMYFUNCTION("""COMPUTED_VALUE"""),0)</f>
        <v>0</v>
      </c>
      <c r="BR146" s="24">
        <f ca="1">IFERROR(__xludf.DUMMYFUNCTION("""COMPUTED_VALUE"""),0)</f>
        <v>0</v>
      </c>
      <c r="BS146" s="24">
        <f ca="1">IFERROR(__xludf.DUMMYFUNCTION("""COMPUTED_VALUE"""),0)</f>
        <v>0</v>
      </c>
      <c r="BT146" s="24">
        <f ca="1">IFERROR(__xludf.DUMMYFUNCTION("""COMPUTED_VALUE"""),0)</f>
        <v>0</v>
      </c>
      <c r="BU146" s="20"/>
      <c r="BV146" s="24">
        <f ca="1">IFERROR(__xludf.DUMMYFUNCTION("""COMPUTED_VALUE"""),0)</f>
        <v>0</v>
      </c>
      <c r="BW146" s="24">
        <f ca="1">IFERROR(__xludf.DUMMYFUNCTION("""COMPUTED_VALUE"""),0)</f>
        <v>0</v>
      </c>
      <c r="BX146" s="24">
        <f ca="1">IFERROR(__xludf.DUMMYFUNCTION("""COMPUTED_VALUE"""),0)</f>
        <v>0</v>
      </c>
      <c r="BY146" s="24">
        <f ca="1">IFERROR(__xludf.DUMMYFUNCTION("""COMPUTED_VALUE"""),0)</f>
        <v>0</v>
      </c>
      <c r="BZ146" s="24">
        <f ca="1">IFERROR(__xludf.DUMMYFUNCTION("""COMPUTED_VALUE"""),0)</f>
        <v>0</v>
      </c>
      <c r="CA146" s="20"/>
      <c r="CB146" s="20"/>
      <c r="CC146" s="20"/>
      <c r="CD146" s="20"/>
      <c r="CE146" s="20"/>
      <c r="CF146" s="20"/>
      <c r="CG146" s="20"/>
      <c r="CH146" s="20"/>
      <c r="CI146" s="20"/>
      <c r="CJ146" s="20"/>
      <c r="CK146" s="20"/>
      <c r="CL146" s="20"/>
      <c r="CM146" s="20"/>
      <c r="CN146" s="20"/>
      <c r="CO146" s="20"/>
      <c r="CP146" s="20"/>
      <c r="CQ146" s="20"/>
      <c r="CR146" s="20"/>
      <c r="CS146" s="20"/>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row>
    <row r="147" spans="1:123" ht="64.5" hidden="1" customHeight="1" x14ac:dyDescent="0.2">
      <c r="A147" s="19"/>
      <c r="B147" s="20" t="str">
        <f ca="1">IFERROR(__xludf.DUMMYFUNCTION("""COMPUTED_VALUE"""),"г.о. Щелково")</f>
        <v>г.о. Щелково</v>
      </c>
      <c r="C14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7" s="20" t="str">
        <f ca="1">IFERROR(__xludf.DUMMYFUNCTION("""COMPUTED_VALUE"""),"МинЖКХ")</f>
        <v>МинЖКХ</v>
      </c>
      <c r="E147" s="20" t="str">
        <f ca="1">IFERROR(__xludf.DUMMYFUNCTION("""COMPUTED_VALUE"""),"Капитальный ремонт ВЗУ  со станцией обезжелезивания, п. Краснознаменский г. Щелково, Щелковский м.р. ")</f>
        <v xml:space="preserve">Капитальный ремонт ВЗУ  со станцией обезжелезивания, п. Краснознаменский г. Щелково, Щелковский м.р. </v>
      </c>
      <c r="F147" s="32" t="str">
        <f ca="1">IFERROR(__xludf.DUMMYFUNCTION("""COMPUTED_VALUE"""),"ВЗУ")</f>
        <v>ВЗУ</v>
      </c>
      <c r="G147" s="20">
        <f ca="1">IFERROR(__xludf.DUMMYFUNCTION("""COMPUTED_VALUE"""),2021)</f>
        <v>2021</v>
      </c>
      <c r="H147" s="20" t="str">
        <f ca="1">IFERROR(__xludf.DUMMYFUNCTION("""COMPUTED_VALUE"""),"СМР")</f>
        <v>СМР</v>
      </c>
      <c r="I147" s="20"/>
      <c r="J147" s="20"/>
      <c r="K147" s="20"/>
      <c r="L147" s="20"/>
      <c r="M147" s="20"/>
      <c r="N147" s="24">
        <f ca="1">IFERROR(__xludf.DUMMYFUNCTION("""COMPUTED_VALUE"""),0)</f>
        <v>0</v>
      </c>
      <c r="O147" s="20"/>
      <c r="P147" s="20"/>
      <c r="Q147" s="20"/>
      <c r="R147" s="20"/>
      <c r="S147" s="20"/>
      <c r="T147" s="20"/>
      <c r="U147" s="24">
        <f ca="1">IFERROR(__xludf.DUMMYFUNCTION("""COMPUTED_VALUE"""),0)</f>
        <v>0</v>
      </c>
      <c r="V147" s="24">
        <f ca="1">IFERROR(__xludf.DUMMYFUNCTION("""COMPUTED_VALUE"""),0)</f>
        <v>0</v>
      </c>
      <c r="W147" s="24">
        <f ca="1">IFERROR(__xludf.DUMMYFUNCTION("""COMPUTED_VALUE"""),0)</f>
        <v>0</v>
      </c>
      <c r="X147" s="24">
        <f ca="1">IFERROR(__xludf.DUMMYFUNCTION("""COMPUTED_VALUE"""),0)</f>
        <v>0</v>
      </c>
      <c r="Y147" s="24">
        <f ca="1">IFERROR(__xludf.DUMMYFUNCTION("""COMPUTED_VALUE"""),0)</f>
        <v>0</v>
      </c>
      <c r="Z147" s="24">
        <f ca="1">IFERROR(__xludf.DUMMYFUNCTION("""COMPUTED_VALUE"""),0)</f>
        <v>0</v>
      </c>
      <c r="AA147" s="20" t="str">
        <f ca="1">IFERROR(__xludf.DUMMYFUNCTION("""COMPUTED_VALUE"""),"10 1 02 60330")</f>
        <v>10 1 02 60330</v>
      </c>
      <c r="AB147" s="20">
        <f ca="1">IFERROR(__xludf.DUMMYFUNCTION("""COMPUTED_VALUE"""),520)</f>
        <v>520</v>
      </c>
      <c r="AC147" s="20" t="str">
        <f ca="1">IFERROR(__xludf.DUMMYFUNCTION("""COMPUTED_VALUE"""),"Не требуется")</f>
        <v>Не требуется</v>
      </c>
      <c r="AD147" s="20" t="str">
        <f ca="1">IFERROR(__xludf.DUMMYFUNCTION("""COMPUTED_VALUE"""),"-")</f>
        <v>-</v>
      </c>
      <c r="AE147" s="20" t="str">
        <f ca="1">IFERROR(__xludf.DUMMYFUNCTION("""COMPUTED_VALUE"""),"-")</f>
        <v>-</v>
      </c>
      <c r="AF147" s="24">
        <f ca="1">IFERROR(__xludf.DUMMYFUNCTION("""COMPUTED_VALUE"""),34258.9)</f>
        <v>34258.9</v>
      </c>
      <c r="AG147" s="24">
        <f ca="1">IFERROR(__xludf.DUMMYFUNCTION("""COMPUTED_VALUE"""),0)</f>
        <v>0</v>
      </c>
      <c r="AH147" s="24">
        <f ca="1">IFERROR(__xludf.DUMMYFUNCTION("""COMPUTED_VALUE"""),22303)</f>
        <v>22303</v>
      </c>
      <c r="AI147" s="24">
        <f ca="1">IFERROR(__xludf.DUMMYFUNCTION("""COMPUTED_VALUE"""),0)</f>
        <v>0</v>
      </c>
      <c r="AJ147" s="24">
        <f ca="1">IFERROR(__xludf.DUMMYFUNCTION("""COMPUTED_VALUE"""),11955.9)</f>
        <v>11955.9</v>
      </c>
      <c r="AK147" s="24">
        <f ca="1">IFERROR(__xludf.DUMMYFUNCTION("""COMPUTED_VALUE"""),0)</f>
        <v>0</v>
      </c>
      <c r="AL147" s="24">
        <f ca="1">IFERROR(__xludf.DUMMYFUNCTION("""COMPUTED_VALUE"""),0)</f>
        <v>0</v>
      </c>
      <c r="AM147" s="20"/>
      <c r="AN147" s="20"/>
      <c r="AO147" s="20"/>
      <c r="AP147" s="20"/>
      <c r="AQ147" s="20"/>
      <c r="AR147" s="24">
        <f ca="1">IFERROR(__xludf.DUMMYFUNCTION("""COMPUTED_VALUE"""),0)</f>
        <v>0</v>
      </c>
      <c r="AS147" s="20"/>
      <c r="AT147" s="20"/>
      <c r="AU147" s="20"/>
      <c r="AV147" s="20"/>
      <c r="AW147" s="20"/>
      <c r="AX147" s="24">
        <f ca="1">IFERROR(__xludf.DUMMYFUNCTION("""COMPUTED_VALUE"""),0)</f>
        <v>0</v>
      </c>
      <c r="AY147" s="24">
        <f ca="1">IFERROR(__xludf.DUMMYFUNCTION("""COMPUTED_VALUE"""),0)</f>
        <v>0</v>
      </c>
      <c r="AZ147" s="24">
        <f ca="1">IFERROR(__xludf.DUMMYFUNCTION("""COMPUTED_VALUE"""),0)</f>
        <v>0</v>
      </c>
      <c r="BA147" s="24">
        <f ca="1">IFERROR(__xludf.DUMMYFUNCTION("""COMPUTED_VALUE"""),0)</f>
        <v>0</v>
      </c>
      <c r="BB147" s="24">
        <f ca="1">IFERROR(__xludf.DUMMYFUNCTION("""COMPUTED_VALUE"""),0)</f>
        <v>0</v>
      </c>
      <c r="BC147" s="20"/>
      <c r="BD147" s="24">
        <f ca="1">IFERROR(__xludf.DUMMYFUNCTION("""COMPUTED_VALUE"""),0)</f>
        <v>0</v>
      </c>
      <c r="BE147" s="24">
        <f ca="1">IFERROR(__xludf.DUMMYFUNCTION("""COMPUTED_VALUE"""),0)</f>
        <v>0</v>
      </c>
      <c r="BF147" s="24">
        <f ca="1">IFERROR(__xludf.DUMMYFUNCTION("""COMPUTED_VALUE"""),0)</f>
        <v>0</v>
      </c>
      <c r="BG147" s="24">
        <f ca="1">IFERROR(__xludf.DUMMYFUNCTION("""COMPUTED_VALUE"""),0)</f>
        <v>0</v>
      </c>
      <c r="BH147" s="24">
        <f ca="1">IFERROR(__xludf.DUMMYFUNCTION("""COMPUTED_VALUE"""),0)</f>
        <v>0</v>
      </c>
      <c r="BI147" s="20"/>
      <c r="BJ147" s="24">
        <f ca="1">IFERROR(__xludf.DUMMYFUNCTION("""COMPUTED_VALUE"""),17128.68)</f>
        <v>17128.68</v>
      </c>
      <c r="BK147" s="24">
        <f ca="1">IFERROR(__xludf.DUMMYFUNCTION("""COMPUTED_VALUE"""),0)</f>
        <v>0</v>
      </c>
      <c r="BL147" s="24">
        <f ca="1">IFERROR(__xludf.DUMMYFUNCTION("""COMPUTED_VALUE"""),11151)</f>
        <v>11151</v>
      </c>
      <c r="BM147" s="24">
        <f ca="1">IFERROR(__xludf.DUMMYFUNCTION("""COMPUTED_VALUE"""),0)</f>
        <v>0</v>
      </c>
      <c r="BN147" s="24">
        <f ca="1">IFERROR(__xludf.DUMMYFUNCTION("""COMPUTED_VALUE"""),5977.68)</f>
        <v>5977.68</v>
      </c>
      <c r="BO147" s="20"/>
      <c r="BP147" s="24">
        <f ca="1">IFERROR(__xludf.DUMMYFUNCTION("""COMPUTED_VALUE"""),17130.22)</f>
        <v>17130.22</v>
      </c>
      <c r="BQ147" s="24">
        <f ca="1">IFERROR(__xludf.DUMMYFUNCTION("""COMPUTED_VALUE"""),0)</f>
        <v>0</v>
      </c>
      <c r="BR147" s="24">
        <f ca="1">IFERROR(__xludf.DUMMYFUNCTION("""COMPUTED_VALUE"""),11152)</f>
        <v>11152</v>
      </c>
      <c r="BS147" s="24">
        <f ca="1">IFERROR(__xludf.DUMMYFUNCTION("""COMPUTED_VALUE"""),0)</f>
        <v>0</v>
      </c>
      <c r="BT147" s="24">
        <f ca="1">IFERROR(__xludf.DUMMYFUNCTION("""COMPUTED_VALUE"""),5978.22)</f>
        <v>5978.22</v>
      </c>
      <c r="BU147" s="20"/>
      <c r="BV147" s="24">
        <f ca="1">IFERROR(__xludf.DUMMYFUNCTION("""COMPUTED_VALUE"""),0)</f>
        <v>0</v>
      </c>
      <c r="BW147" s="24">
        <f ca="1">IFERROR(__xludf.DUMMYFUNCTION("""COMPUTED_VALUE"""),0)</f>
        <v>0</v>
      </c>
      <c r="BX147" s="24">
        <f ca="1">IFERROR(__xludf.DUMMYFUNCTION("""COMPUTED_VALUE"""),0)</f>
        <v>0</v>
      </c>
      <c r="BY147" s="24">
        <f ca="1">IFERROR(__xludf.DUMMYFUNCTION("""COMPUTED_VALUE"""),0)</f>
        <v>0</v>
      </c>
      <c r="BZ147" s="24">
        <f ca="1">IFERROR(__xludf.DUMMYFUNCTION("""COMPUTED_VALUE"""),0)</f>
        <v>0</v>
      </c>
      <c r="CA147" s="20"/>
      <c r="CB147" s="20"/>
      <c r="CC147" s="20"/>
      <c r="CD147" s="20"/>
      <c r="CE147" s="20"/>
      <c r="CF147" s="20"/>
      <c r="CG147" s="20"/>
      <c r="CH147" s="20"/>
      <c r="CI147" s="20"/>
      <c r="CJ147" s="20"/>
      <c r="CK147" s="20"/>
      <c r="CL147" s="20"/>
      <c r="CM147" s="20"/>
      <c r="CN147" s="20"/>
      <c r="CO147" s="20"/>
      <c r="CP147" s="20"/>
      <c r="CQ147" s="20"/>
      <c r="CR147" s="20"/>
      <c r="CS147" s="20"/>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row>
    <row r="148" spans="1:123" ht="64.5" hidden="1" customHeight="1" x14ac:dyDescent="0.2">
      <c r="A148" s="19"/>
      <c r="B148" s="20" t="str">
        <f ca="1">IFERROR(__xludf.DUMMYFUNCTION("""COMPUTED_VALUE"""),"г.о. Щелково")</f>
        <v>г.о. Щелково</v>
      </c>
      <c r="C14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8" s="20" t="str">
        <f ca="1">IFERROR(__xludf.DUMMYFUNCTION("""COMPUTED_VALUE"""),"МинЖКХ")</f>
        <v>МинЖКХ</v>
      </c>
      <c r="E148" s="20" t="str">
        <f ca="1">IFERROR(__xludf.DUMMYFUNCTION("""COMPUTED_VALUE"""),"Капитальный ремонт ВЗУ №3 со станцией обезжелезивания г. Щелково, ул. Центральная 1-ый и 2-ой этапы")</f>
        <v>Капитальный ремонт ВЗУ №3 со станцией обезжелезивания г. Щелково, ул. Центральная 1-ый и 2-ой этапы</v>
      </c>
      <c r="F148" s="32" t="str">
        <f ca="1">IFERROR(__xludf.DUMMYFUNCTION("""COMPUTED_VALUE"""),"ВЗУ")</f>
        <v>ВЗУ</v>
      </c>
      <c r="G148" s="20">
        <f ca="1">IFERROR(__xludf.DUMMYFUNCTION("""COMPUTED_VALUE"""),2021)</f>
        <v>2021</v>
      </c>
      <c r="H148" s="20" t="str">
        <f ca="1">IFERROR(__xludf.DUMMYFUNCTION("""COMPUTED_VALUE"""),"СМР")</f>
        <v>СМР</v>
      </c>
      <c r="I148" s="20"/>
      <c r="J148" s="20"/>
      <c r="K148" s="20"/>
      <c r="L148" s="20"/>
      <c r="M148" s="20"/>
      <c r="N148" s="24">
        <f ca="1">IFERROR(__xludf.DUMMYFUNCTION("""COMPUTED_VALUE"""),0)</f>
        <v>0</v>
      </c>
      <c r="O148" s="20"/>
      <c r="P148" s="20"/>
      <c r="Q148" s="20"/>
      <c r="R148" s="20"/>
      <c r="S148" s="20"/>
      <c r="T148" s="20"/>
      <c r="U148" s="24">
        <f ca="1">IFERROR(__xludf.DUMMYFUNCTION("""COMPUTED_VALUE"""),0)</f>
        <v>0</v>
      </c>
      <c r="V148" s="24">
        <f ca="1">IFERROR(__xludf.DUMMYFUNCTION("""COMPUTED_VALUE"""),0)</f>
        <v>0</v>
      </c>
      <c r="W148" s="24">
        <f ca="1">IFERROR(__xludf.DUMMYFUNCTION("""COMPUTED_VALUE"""),0)</f>
        <v>0</v>
      </c>
      <c r="X148" s="24">
        <f ca="1">IFERROR(__xludf.DUMMYFUNCTION("""COMPUTED_VALUE"""),0)</f>
        <v>0</v>
      </c>
      <c r="Y148" s="24">
        <f ca="1">IFERROR(__xludf.DUMMYFUNCTION("""COMPUTED_VALUE"""),0)</f>
        <v>0</v>
      </c>
      <c r="Z148" s="24">
        <f ca="1">IFERROR(__xludf.DUMMYFUNCTION("""COMPUTED_VALUE"""),0)</f>
        <v>0</v>
      </c>
      <c r="AA148" s="20" t="str">
        <f ca="1">IFERROR(__xludf.DUMMYFUNCTION("""COMPUTED_VALUE"""),"10 1 02 60330")</f>
        <v>10 1 02 60330</v>
      </c>
      <c r="AB148" s="20">
        <f ca="1">IFERROR(__xludf.DUMMYFUNCTION("""COMPUTED_VALUE"""),520)</f>
        <v>520</v>
      </c>
      <c r="AC148" s="20" t="str">
        <f ca="1">IFERROR(__xludf.DUMMYFUNCTION("""COMPUTED_VALUE"""),"Не требуется")</f>
        <v>Не требуется</v>
      </c>
      <c r="AD148" s="20" t="str">
        <f ca="1">IFERROR(__xludf.DUMMYFUNCTION("""COMPUTED_VALUE"""),"-")</f>
        <v>-</v>
      </c>
      <c r="AE148" s="20" t="str">
        <f ca="1">IFERROR(__xludf.DUMMYFUNCTION("""COMPUTED_VALUE"""),"-")</f>
        <v>-</v>
      </c>
      <c r="AF148" s="24">
        <f ca="1">IFERROR(__xludf.DUMMYFUNCTION("""COMPUTED_VALUE"""),125860)</f>
        <v>125860</v>
      </c>
      <c r="AG148" s="24">
        <f ca="1">IFERROR(__xludf.DUMMYFUNCTION("""COMPUTED_VALUE"""),0)</f>
        <v>0</v>
      </c>
      <c r="AH148" s="24">
        <f ca="1">IFERROR(__xludf.DUMMYFUNCTION("""COMPUTED_VALUE"""),81934.57)</f>
        <v>81934.570000000007</v>
      </c>
      <c r="AI148" s="24">
        <f ca="1">IFERROR(__xludf.DUMMYFUNCTION("""COMPUTED_VALUE"""),0)</f>
        <v>0</v>
      </c>
      <c r="AJ148" s="24">
        <f ca="1">IFERROR(__xludf.DUMMYFUNCTION("""COMPUTED_VALUE"""),25045.2199999999)</f>
        <v>25045.219999999899</v>
      </c>
      <c r="AK148" s="24">
        <f ca="1">IFERROR(__xludf.DUMMYFUNCTION("""COMPUTED_VALUE"""),18880.21)</f>
        <v>18880.21</v>
      </c>
      <c r="AL148" s="24">
        <f ca="1">IFERROR(__xludf.DUMMYFUNCTION("""COMPUTED_VALUE"""),78667.54)</f>
        <v>78667.539999999994</v>
      </c>
      <c r="AM148" s="24">
        <f ca="1">IFERROR(__xludf.DUMMYFUNCTION("""COMPUTED_VALUE"""),0)</f>
        <v>0</v>
      </c>
      <c r="AN148" s="24">
        <f ca="1">IFERROR(__xludf.DUMMYFUNCTION("""COMPUTED_VALUE"""),51212.57)</f>
        <v>51212.57</v>
      </c>
      <c r="AO148" s="24">
        <f ca="1">IFERROR(__xludf.DUMMYFUNCTION("""COMPUTED_VALUE"""),0)</f>
        <v>0</v>
      </c>
      <c r="AP148" s="24">
        <f ca="1">IFERROR(__xludf.DUMMYFUNCTION("""COMPUTED_VALUE"""),8574.76)</f>
        <v>8574.76</v>
      </c>
      <c r="AQ148" s="24">
        <f ca="1">IFERROR(__xludf.DUMMYFUNCTION("""COMPUTED_VALUE"""),18880.21)</f>
        <v>18880.21</v>
      </c>
      <c r="AR148" s="24">
        <f ca="1">IFERROR(__xludf.DUMMYFUNCTION("""COMPUTED_VALUE"""),0)</f>
        <v>0</v>
      </c>
      <c r="AS148" s="20"/>
      <c r="AT148" s="20"/>
      <c r="AU148" s="20"/>
      <c r="AV148" s="20"/>
      <c r="AW148" s="20"/>
      <c r="AX148" s="24">
        <f ca="1">IFERROR(__xludf.DUMMYFUNCTION("""COMPUTED_VALUE"""),0)</f>
        <v>0</v>
      </c>
      <c r="AY148" s="24">
        <f ca="1">IFERROR(__xludf.DUMMYFUNCTION("""COMPUTED_VALUE"""),0)</f>
        <v>0</v>
      </c>
      <c r="AZ148" s="24">
        <f ca="1">IFERROR(__xludf.DUMMYFUNCTION("""COMPUTED_VALUE"""),0)</f>
        <v>0</v>
      </c>
      <c r="BA148" s="24">
        <f ca="1">IFERROR(__xludf.DUMMYFUNCTION("""COMPUTED_VALUE"""),0)</f>
        <v>0</v>
      </c>
      <c r="BB148" s="24">
        <f ca="1">IFERROR(__xludf.DUMMYFUNCTION("""COMPUTED_VALUE"""),0)</f>
        <v>0</v>
      </c>
      <c r="BC148" s="20"/>
      <c r="BD148" s="24">
        <f ca="1">IFERROR(__xludf.DUMMYFUNCTION("""COMPUTED_VALUE"""),0)</f>
        <v>0</v>
      </c>
      <c r="BE148" s="24">
        <f ca="1">IFERROR(__xludf.DUMMYFUNCTION("""COMPUTED_VALUE"""),0)</f>
        <v>0</v>
      </c>
      <c r="BF148" s="24">
        <f ca="1">IFERROR(__xludf.DUMMYFUNCTION("""COMPUTED_VALUE"""),0)</f>
        <v>0</v>
      </c>
      <c r="BG148" s="24">
        <f ca="1">IFERROR(__xludf.DUMMYFUNCTION("""COMPUTED_VALUE"""),0)</f>
        <v>0</v>
      </c>
      <c r="BH148" s="24">
        <f ca="1">IFERROR(__xludf.DUMMYFUNCTION("""COMPUTED_VALUE"""),0)</f>
        <v>0</v>
      </c>
      <c r="BI148" s="20"/>
      <c r="BJ148" s="24">
        <f ca="1">IFERROR(__xludf.DUMMYFUNCTION("""COMPUTED_VALUE"""),23596.23)</f>
        <v>23596.23</v>
      </c>
      <c r="BK148" s="24">
        <f ca="1">IFERROR(__xludf.DUMMYFUNCTION("""COMPUTED_VALUE"""),0)</f>
        <v>0</v>
      </c>
      <c r="BL148" s="24">
        <f ca="1">IFERROR(__xludf.DUMMYFUNCTION("""COMPUTED_VALUE"""),15361)</f>
        <v>15361</v>
      </c>
      <c r="BM148" s="24">
        <f ca="1">IFERROR(__xludf.DUMMYFUNCTION("""COMPUTED_VALUE"""),0)</f>
        <v>0</v>
      </c>
      <c r="BN148" s="24">
        <f ca="1">IFERROR(__xludf.DUMMYFUNCTION("""COMPUTED_VALUE"""),8235.23)</f>
        <v>8235.23</v>
      </c>
      <c r="BO148" s="20"/>
      <c r="BP148" s="24">
        <f ca="1">IFERROR(__xludf.DUMMYFUNCTION("""COMPUTED_VALUE"""),23596.23)</f>
        <v>23596.23</v>
      </c>
      <c r="BQ148" s="24">
        <f ca="1">IFERROR(__xludf.DUMMYFUNCTION("""COMPUTED_VALUE"""),0)</f>
        <v>0</v>
      </c>
      <c r="BR148" s="24">
        <f ca="1">IFERROR(__xludf.DUMMYFUNCTION("""COMPUTED_VALUE"""),15361)</f>
        <v>15361</v>
      </c>
      <c r="BS148" s="24">
        <f ca="1">IFERROR(__xludf.DUMMYFUNCTION("""COMPUTED_VALUE"""),0)</f>
        <v>0</v>
      </c>
      <c r="BT148" s="24">
        <f ca="1">IFERROR(__xludf.DUMMYFUNCTION("""COMPUTED_VALUE"""),8235.23)</f>
        <v>8235.23</v>
      </c>
      <c r="BU148" s="20"/>
      <c r="BV148" s="24">
        <f ca="1">IFERROR(__xludf.DUMMYFUNCTION("""COMPUTED_VALUE"""),0)</f>
        <v>0</v>
      </c>
      <c r="BW148" s="24">
        <f ca="1">IFERROR(__xludf.DUMMYFUNCTION("""COMPUTED_VALUE"""),0)</f>
        <v>0</v>
      </c>
      <c r="BX148" s="24">
        <f ca="1">IFERROR(__xludf.DUMMYFUNCTION("""COMPUTED_VALUE"""),0)</f>
        <v>0</v>
      </c>
      <c r="BY148" s="24">
        <f ca="1">IFERROR(__xludf.DUMMYFUNCTION("""COMPUTED_VALUE"""),0)</f>
        <v>0</v>
      </c>
      <c r="BZ148" s="24">
        <f ca="1">IFERROR(__xludf.DUMMYFUNCTION("""COMPUTED_VALUE"""),0)</f>
        <v>0</v>
      </c>
      <c r="CA148" s="20"/>
      <c r="CB148" s="20"/>
      <c r="CC148" s="20"/>
      <c r="CD148" s="20"/>
      <c r="CE148" s="20"/>
      <c r="CF148" s="20"/>
      <c r="CG148" s="20"/>
      <c r="CH148" s="20"/>
      <c r="CI148" s="20"/>
      <c r="CJ148" s="20"/>
      <c r="CK148" s="20"/>
      <c r="CL148" s="20"/>
      <c r="CM148" s="20"/>
      <c r="CN148" s="20"/>
      <c r="CO148" s="20"/>
      <c r="CP148" s="20"/>
      <c r="CQ148" s="20"/>
      <c r="CR148" s="20"/>
      <c r="CS148" s="20"/>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row>
    <row r="149" spans="1:123" ht="64.5" hidden="1" customHeight="1" x14ac:dyDescent="0.2">
      <c r="A149" s="19"/>
      <c r="B149" s="20" t="str">
        <f ca="1">IFERROR(__xludf.DUMMYFUNCTION("""COMPUTED_VALUE"""),"г.о. Щелково")</f>
        <v>г.о. Щелково</v>
      </c>
      <c r="C14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9" s="20" t="str">
        <f ca="1">IFERROR(__xludf.DUMMYFUNCTION("""COMPUTED_VALUE"""),"МинЖКХ")</f>
        <v>МинЖКХ</v>
      </c>
      <c r="E149" s="20" t="str">
        <f ca="1">IFERROR(__xludf.DUMMYFUNCTION("""COMPUTED_VALUE"""),"Капитальный ремонт ВЗУ  со станцией обезжелезивания  ул. Розы Люксембург, г.п. Загорянский  Щелковский муниципальный район Московской области (I этап)")</f>
        <v>Капитальный ремонт ВЗУ  со станцией обезжелезивания  ул. Розы Люксембург, г.п. Загорянский  Щелковский муниципальный район Московской области (I этап)</v>
      </c>
      <c r="F149" s="32" t="str">
        <f ca="1">IFERROR(__xludf.DUMMYFUNCTION("""COMPUTED_VALUE"""),"ВЗУ")</f>
        <v>ВЗУ</v>
      </c>
      <c r="G149" s="20" t="str">
        <f ca="1">IFERROR(__xludf.DUMMYFUNCTION("""COMPUTED_VALUE"""),"Н/Л")</f>
        <v>Н/Л</v>
      </c>
      <c r="H149" s="20" t="str">
        <f ca="1">IFERROR(__xludf.DUMMYFUNCTION("""COMPUTED_VALUE"""),"СМР")</f>
        <v>СМР</v>
      </c>
      <c r="I149" s="20"/>
      <c r="J149" s="20"/>
      <c r="K149" s="20"/>
      <c r="L149" s="20"/>
      <c r="M149" s="20"/>
      <c r="N149" s="24">
        <f ca="1">IFERROR(__xludf.DUMMYFUNCTION("""COMPUTED_VALUE"""),0)</f>
        <v>0</v>
      </c>
      <c r="O149" s="20"/>
      <c r="P149" s="20"/>
      <c r="Q149" s="20"/>
      <c r="R149" s="20"/>
      <c r="S149" s="20"/>
      <c r="T149" s="20"/>
      <c r="U149" s="24">
        <f ca="1">IFERROR(__xludf.DUMMYFUNCTION("""COMPUTED_VALUE"""),0)</f>
        <v>0</v>
      </c>
      <c r="V149" s="24">
        <f ca="1">IFERROR(__xludf.DUMMYFUNCTION("""COMPUTED_VALUE"""),0)</f>
        <v>0</v>
      </c>
      <c r="W149" s="24">
        <f ca="1">IFERROR(__xludf.DUMMYFUNCTION("""COMPUTED_VALUE"""),0)</f>
        <v>0</v>
      </c>
      <c r="X149" s="24">
        <f ca="1">IFERROR(__xludf.DUMMYFUNCTION("""COMPUTED_VALUE"""),0)</f>
        <v>0</v>
      </c>
      <c r="Y149" s="24">
        <f ca="1">IFERROR(__xludf.DUMMYFUNCTION("""COMPUTED_VALUE"""),0)</f>
        <v>0</v>
      </c>
      <c r="Z149" s="24">
        <f ca="1">IFERROR(__xludf.DUMMYFUNCTION("""COMPUTED_VALUE"""),0)</f>
        <v>0</v>
      </c>
      <c r="AA149" s="20" t="str">
        <f ca="1">IFERROR(__xludf.DUMMYFUNCTION("""COMPUTED_VALUE"""),"10 1 02 60330")</f>
        <v>10 1 02 60330</v>
      </c>
      <c r="AB149" s="20">
        <f ca="1">IFERROR(__xludf.DUMMYFUNCTION("""COMPUTED_VALUE"""),520)</f>
        <v>520</v>
      </c>
      <c r="AC149" s="20" t="str">
        <f ca="1">IFERROR(__xludf.DUMMYFUNCTION("""COMPUTED_VALUE"""),"Не требуется")</f>
        <v>Не требуется</v>
      </c>
      <c r="AD149" s="20" t="str">
        <f ca="1">IFERROR(__xludf.DUMMYFUNCTION("""COMPUTED_VALUE"""),"-")</f>
        <v>-</v>
      </c>
      <c r="AE149" s="20" t="str">
        <f ca="1">IFERROR(__xludf.DUMMYFUNCTION("""COMPUTED_VALUE"""),"-")</f>
        <v>-</v>
      </c>
      <c r="AF149" s="24">
        <f ca="1">IFERROR(__xludf.DUMMYFUNCTION("""COMPUTED_VALUE"""),24932.54)</f>
        <v>24932.54</v>
      </c>
      <c r="AG149" s="24">
        <f ca="1">IFERROR(__xludf.DUMMYFUNCTION("""COMPUTED_VALUE"""),0)</f>
        <v>0</v>
      </c>
      <c r="AH149" s="24">
        <f ca="1">IFERROR(__xludf.DUMMYFUNCTION("""COMPUTED_VALUE"""),0)</f>
        <v>0</v>
      </c>
      <c r="AI149" s="24">
        <f ca="1">IFERROR(__xludf.DUMMYFUNCTION("""COMPUTED_VALUE"""),19871)</f>
        <v>19871</v>
      </c>
      <c r="AJ149" s="24">
        <f ca="1">IFERROR(__xludf.DUMMYFUNCTION("""COMPUTED_VALUE"""),5061.54)</f>
        <v>5061.54</v>
      </c>
      <c r="AK149" s="24">
        <f ca="1">IFERROR(__xludf.DUMMYFUNCTION("""COMPUTED_VALUE"""),0)</f>
        <v>0</v>
      </c>
      <c r="AL149" s="24">
        <f ca="1">IFERROR(__xludf.DUMMYFUNCTION("""COMPUTED_VALUE"""),0)</f>
        <v>0</v>
      </c>
      <c r="AM149" s="20"/>
      <c r="AN149" s="20"/>
      <c r="AO149" s="20"/>
      <c r="AP149" s="20"/>
      <c r="AQ149" s="20"/>
      <c r="AR149" s="24">
        <f ca="1">IFERROR(__xludf.DUMMYFUNCTION("""COMPUTED_VALUE"""),24932.54)</f>
        <v>24932.54</v>
      </c>
      <c r="AS149" s="24">
        <f ca="1">IFERROR(__xludf.DUMMYFUNCTION("""COMPUTED_VALUE"""),0)</f>
        <v>0</v>
      </c>
      <c r="AT149" s="24">
        <f ca="1">IFERROR(__xludf.DUMMYFUNCTION("""COMPUTED_VALUE"""),0)</f>
        <v>0</v>
      </c>
      <c r="AU149" s="24">
        <f ca="1">IFERROR(__xludf.DUMMYFUNCTION("""COMPUTED_VALUE"""),19871)</f>
        <v>19871</v>
      </c>
      <c r="AV149" s="24">
        <f ca="1">IFERROR(__xludf.DUMMYFUNCTION("""COMPUTED_VALUE"""),5061.54)</f>
        <v>5061.54</v>
      </c>
      <c r="AW149" s="24">
        <f ca="1">IFERROR(__xludf.DUMMYFUNCTION("""COMPUTED_VALUE"""),0)</f>
        <v>0</v>
      </c>
      <c r="AX149" s="24">
        <f ca="1">IFERROR(__xludf.DUMMYFUNCTION("""COMPUTED_VALUE"""),0)</f>
        <v>0</v>
      </c>
      <c r="AY149" s="24">
        <f ca="1">IFERROR(__xludf.DUMMYFUNCTION("""COMPUTED_VALUE"""),0)</f>
        <v>0</v>
      </c>
      <c r="AZ149" s="24">
        <f ca="1">IFERROR(__xludf.DUMMYFUNCTION("""COMPUTED_VALUE"""),0)</f>
        <v>0</v>
      </c>
      <c r="BA149" s="24">
        <f ca="1">IFERROR(__xludf.DUMMYFUNCTION("""COMPUTED_VALUE"""),0)</f>
        <v>0</v>
      </c>
      <c r="BB149" s="24">
        <f ca="1">IFERROR(__xludf.DUMMYFUNCTION("""COMPUTED_VALUE"""),0)</f>
        <v>0</v>
      </c>
      <c r="BC149" s="20"/>
      <c r="BD149" s="24">
        <f ca="1">IFERROR(__xludf.DUMMYFUNCTION("""COMPUTED_VALUE"""),0)</f>
        <v>0</v>
      </c>
      <c r="BE149" s="24">
        <f ca="1">IFERROR(__xludf.DUMMYFUNCTION("""COMPUTED_VALUE"""),0)</f>
        <v>0</v>
      </c>
      <c r="BF149" s="24">
        <f ca="1">IFERROR(__xludf.DUMMYFUNCTION("""COMPUTED_VALUE"""),0)</f>
        <v>0</v>
      </c>
      <c r="BG149" s="24">
        <f ca="1">IFERROR(__xludf.DUMMYFUNCTION("""COMPUTED_VALUE"""),0)</f>
        <v>0</v>
      </c>
      <c r="BH149" s="24">
        <f ca="1">IFERROR(__xludf.DUMMYFUNCTION("""COMPUTED_VALUE"""),0)</f>
        <v>0</v>
      </c>
      <c r="BI149" s="20"/>
      <c r="BJ149" s="24">
        <f ca="1">IFERROR(__xludf.DUMMYFUNCTION("""COMPUTED_VALUE"""),0)</f>
        <v>0</v>
      </c>
      <c r="BK149" s="24">
        <f ca="1">IFERROR(__xludf.DUMMYFUNCTION("""COMPUTED_VALUE"""),0)</f>
        <v>0</v>
      </c>
      <c r="BL149" s="24">
        <f ca="1">IFERROR(__xludf.DUMMYFUNCTION("""COMPUTED_VALUE"""),0)</f>
        <v>0</v>
      </c>
      <c r="BM149" s="24">
        <f ca="1">IFERROR(__xludf.DUMMYFUNCTION("""COMPUTED_VALUE"""),0)</f>
        <v>0</v>
      </c>
      <c r="BN149" s="24">
        <f ca="1">IFERROR(__xludf.DUMMYFUNCTION("""COMPUTED_VALUE"""),0)</f>
        <v>0</v>
      </c>
      <c r="BO149" s="20"/>
      <c r="BP149" s="24">
        <f ca="1">IFERROR(__xludf.DUMMYFUNCTION("""COMPUTED_VALUE"""),0)</f>
        <v>0</v>
      </c>
      <c r="BQ149" s="24">
        <f ca="1">IFERROR(__xludf.DUMMYFUNCTION("""COMPUTED_VALUE"""),0)</f>
        <v>0</v>
      </c>
      <c r="BR149" s="24">
        <f ca="1">IFERROR(__xludf.DUMMYFUNCTION("""COMPUTED_VALUE"""),0)</f>
        <v>0</v>
      </c>
      <c r="BS149" s="24">
        <f ca="1">IFERROR(__xludf.DUMMYFUNCTION("""COMPUTED_VALUE"""),0)</f>
        <v>0</v>
      </c>
      <c r="BT149" s="24">
        <f ca="1">IFERROR(__xludf.DUMMYFUNCTION("""COMPUTED_VALUE"""),0)</f>
        <v>0</v>
      </c>
      <c r="BU149" s="20"/>
      <c r="BV149" s="24">
        <f ca="1">IFERROR(__xludf.DUMMYFUNCTION("""COMPUTED_VALUE"""),0)</f>
        <v>0</v>
      </c>
      <c r="BW149" s="24">
        <f ca="1">IFERROR(__xludf.DUMMYFUNCTION("""COMPUTED_VALUE"""),0)</f>
        <v>0</v>
      </c>
      <c r="BX149" s="24">
        <f ca="1">IFERROR(__xludf.DUMMYFUNCTION("""COMPUTED_VALUE"""),0)</f>
        <v>0</v>
      </c>
      <c r="BY149" s="24">
        <f ca="1">IFERROR(__xludf.DUMMYFUNCTION("""COMPUTED_VALUE"""),0)</f>
        <v>0</v>
      </c>
      <c r="BZ149" s="24">
        <f ca="1">IFERROR(__xludf.DUMMYFUNCTION("""COMPUTED_VALUE"""),0)</f>
        <v>0</v>
      </c>
      <c r="CA149" s="20"/>
      <c r="CB149" s="20"/>
      <c r="CC149" s="20"/>
      <c r="CD149" s="20"/>
      <c r="CE149" s="20"/>
      <c r="CF149" s="20"/>
      <c r="CG149" s="20"/>
      <c r="CH149" s="20"/>
      <c r="CI149" s="20"/>
      <c r="CJ149" s="20"/>
      <c r="CK149" s="20"/>
      <c r="CL149" s="20"/>
      <c r="CM149" s="20"/>
      <c r="CN149" s="20"/>
      <c r="CO149" s="20"/>
      <c r="CP149" s="20"/>
      <c r="CQ149" s="20"/>
      <c r="CR149" s="20"/>
      <c r="CS149" s="20"/>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row>
    <row r="150" spans="1:123" ht="64.5" hidden="1" customHeight="1" x14ac:dyDescent="0.2">
      <c r="A150" s="19"/>
      <c r="B150" s="20" t="str">
        <f ca="1">IFERROR(__xludf.DUMMYFUNCTION("""COMPUTED_VALUE"""),"г.о. Щелково")</f>
        <v>г.о. Щелково</v>
      </c>
      <c r="C15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0" s="20" t="str">
        <f ca="1">IFERROR(__xludf.DUMMYFUNCTION("""COMPUTED_VALUE"""),"МинЖКХ")</f>
        <v>МинЖКХ</v>
      </c>
      <c r="E150" s="20" t="str">
        <f ca="1">IFERROR(__xludf.DUMMYFUNCTION("""COMPUTED_VALUE"""),"Приобретение,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f>
        <v>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v>
      </c>
      <c r="F150" s="32" t="str">
        <f ca="1">IFERROR(__xludf.DUMMYFUNCTION("""COMPUTED_VALUE"""),"ВЗУ")</f>
        <v>ВЗУ</v>
      </c>
      <c r="G150" s="20" t="str">
        <f ca="1">IFERROR(__xludf.DUMMYFUNCTION("""COMPUTED_VALUE"""),"Н/Л")</f>
        <v>Н/Л</v>
      </c>
      <c r="H150" s="20" t="str">
        <f ca="1">IFERROR(__xludf.DUMMYFUNCTION("""COMPUTED_VALUE"""),"Приобретение, монтаж")</f>
        <v>Приобретение, монтаж</v>
      </c>
      <c r="I150" s="20"/>
      <c r="J150" s="20"/>
      <c r="K150" s="20"/>
      <c r="L150" s="20"/>
      <c r="M150" s="20"/>
      <c r="N150" s="24">
        <f ca="1">IFERROR(__xludf.DUMMYFUNCTION("""COMPUTED_VALUE"""),0)</f>
        <v>0</v>
      </c>
      <c r="O150" s="20"/>
      <c r="P150" s="20"/>
      <c r="Q150" s="20"/>
      <c r="R150" s="20"/>
      <c r="S150" s="20"/>
      <c r="T150" s="20"/>
      <c r="U150" s="24">
        <f ca="1">IFERROR(__xludf.DUMMYFUNCTION("""COMPUTED_VALUE"""),0)</f>
        <v>0</v>
      </c>
      <c r="V150" s="24">
        <f ca="1">IFERROR(__xludf.DUMMYFUNCTION("""COMPUTED_VALUE"""),0)</f>
        <v>0</v>
      </c>
      <c r="W150" s="24">
        <f ca="1">IFERROR(__xludf.DUMMYFUNCTION("""COMPUTED_VALUE"""),0)</f>
        <v>0</v>
      </c>
      <c r="X150" s="24">
        <f ca="1">IFERROR(__xludf.DUMMYFUNCTION("""COMPUTED_VALUE"""),0)</f>
        <v>0</v>
      </c>
      <c r="Y150" s="24">
        <f ca="1">IFERROR(__xludf.DUMMYFUNCTION("""COMPUTED_VALUE"""),0)</f>
        <v>0</v>
      </c>
      <c r="Z150" s="24">
        <f ca="1">IFERROR(__xludf.DUMMYFUNCTION("""COMPUTED_VALUE"""),0)</f>
        <v>0</v>
      </c>
      <c r="AA150" s="20" t="str">
        <f ca="1">IFERROR(__xludf.DUMMYFUNCTION("""COMPUTED_VALUE"""),"10 1 02 60330")</f>
        <v>10 1 02 60330</v>
      </c>
      <c r="AB150" s="20">
        <f ca="1">IFERROR(__xludf.DUMMYFUNCTION("""COMPUTED_VALUE"""),520)</f>
        <v>520</v>
      </c>
      <c r="AC150" s="20" t="str">
        <f ca="1">IFERROR(__xludf.DUMMYFUNCTION("""COMPUTED_VALUE"""),"Не требуется")</f>
        <v>Не требуется</v>
      </c>
      <c r="AD150" s="20" t="str">
        <f ca="1">IFERROR(__xludf.DUMMYFUNCTION("""COMPUTED_VALUE"""),"-")</f>
        <v>-</v>
      </c>
      <c r="AE150" s="20" t="str">
        <f ca="1">IFERROR(__xludf.DUMMYFUNCTION("""COMPUTED_VALUE"""),"-")</f>
        <v>-</v>
      </c>
      <c r="AF150" s="24">
        <f ca="1">IFERROR(__xludf.DUMMYFUNCTION("""COMPUTED_VALUE"""),3199.3)</f>
        <v>3199.3</v>
      </c>
      <c r="AG150" s="24">
        <f ca="1">IFERROR(__xludf.DUMMYFUNCTION("""COMPUTED_VALUE"""),0)</f>
        <v>0</v>
      </c>
      <c r="AH150" s="24">
        <f ca="1">IFERROR(__xludf.DUMMYFUNCTION("""COMPUTED_VALUE"""),2550)</f>
        <v>2550</v>
      </c>
      <c r="AI150" s="24">
        <f ca="1">IFERROR(__xludf.DUMMYFUNCTION("""COMPUTED_VALUE"""),0)</f>
        <v>0</v>
      </c>
      <c r="AJ150" s="24">
        <f ca="1">IFERROR(__xludf.DUMMYFUNCTION("""COMPUTED_VALUE"""),324.65)</f>
        <v>324.64999999999998</v>
      </c>
      <c r="AK150" s="24">
        <f ca="1">IFERROR(__xludf.DUMMYFUNCTION("""COMPUTED_VALUE"""),324.65)</f>
        <v>324.64999999999998</v>
      </c>
      <c r="AL150" s="24">
        <f ca="1">IFERROR(__xludf.DUMMYFUNCTION("""COMPUTED_VALUE"""),649.3)</f>
        <v>649.29999999999995</v>
      </c>
      <c r="AM150" s="24">
        <f ca="1">IFERROR(__xludf.DUMMYFUNCTION("""COMPUTED_VALUE"""),0)</f>
        <v>0</v>
      </c>
      <c r="AN150" s="24">
        <f ca="1">IFERROR(__xludf.DUMMYFUNCTION("""COMPUTED_VALUE"""),0)</f>
        <v>0</v>
      </c>
      <c r="AO150" s="24">
        <f ca="1">IFERROR(__xludf.DUMMYFUNCTION("""COMPUTED_VALUE"""),0)</f>
        <v>0</v>
      </c>
      <c r="AP150" s="24">
        <f ca="1">IFERROR(__xludf.DUMMYFUNCTION("""COMPUTED_VALUE"""),324.65)</f>
        <v>324.64999999999998</v>
      </c>
      <c r="AQ150" s="24">
        <f ca="1">IFERROR(__xludf.DUMMYFUNCTION("""COMPUTED_VALUE"""),324.65)</f>
        <v>324.64999999999998</v>
      </c>
      <c r="AR150" s="24">
        <f ca="1">IFERROR(__xludf.DUMMYFUNCTION("""COMPUTED_VALUE"""),2550)</f>
        <v>2550</v>
      </c>
      <c r="AS150" s="24">
        <f ca="1">IFERROR(__xludf.DUMMYFUNCTION("""COMPUTED_VALUE"""),0)</f>
        <v>0</v>
      </c>
      <c r="AT150" s="24">
        <f ca="1">IFERROR(__xludf.DUMMYFUNCTION("""COMPUTED_VALUE"""),2550)</f>
        <v>2550</v>
      </c>
      <c r="AU150" s="24">
        <f ca="1">IFERROR(__xludf.DUMMYFUNCTION("""COMPUTED_VALUE"""),0)</f>
        <v>0</v>
      </c>
      <c r="AV150" s="24">
        <f ca="1">IFERROR(__xludf.DUMMYFUNCTION("""COMPUTED_VALUE"""),0)</f>
        <v>0</v>
      </c>
      <c r="AW150" s="24">
        <f ca="1">IFERROR(__xludf.DUMMYFUNCTION("""COMPUTED_VALUE"""),0)</f>
        <v>0</v>
      </c>
      <c r="AX150" s="24">
        <f ca="1">IFERROR(__xludf.DUMMYFUNCTION("""COMPUTED_VALUE"""),0)</f>
        <v>0</v>
      </c>
      <c r="AY150" s="24">
        <f ca="1">IFERROR(__xludf.DUMMYFUNCTION("""COMPUTED_VALUE"""),0)</f>
        <v>0</v>
      </c>
      <c r="AZ150" s="24">
        <f ca="1">IFERROR(__xludf.DUMMYFUNCTION("""COMPUTED_VALUE"""),0)</f>
        <v>0</v>
      </c>
      <c r="BA150" s="24">
        <f ca="1">IFERROR(__xludf.DUMMYFUNCTION("""COMPUTED_VALUE"""),0)</f>
        <v>0</v>
      </c>
      <c r="BB150" s="24">
        <f ca="1">IFERROR(__xludf.DUMMYFUNCTION("""COMPUTED_VALUE"""),0)</f>
        <v>0</v>
      </c>
      <c r="BC150" s="20"/>
      <c r="BD150" s="24">
        <f ca="1">IFERROR(__xludf.DUMMYFUNCTION("""COMPUTED_VALUE"""),0)</f>
        <v>0</v>
      </c>
      <c r="BE150" s="24">
        <f ca="1">IFERROR(__xludf.DUMMYFUNCTION("""COMPUTED_VALUE"""),0)</f>
        <v>0</v>
      </c>
      <c r="BF150" s="24">
        <f ca="1">IFERROR(__xludf.DUMMYFUNCTION("""COMPUTED_VALUE"""),0)</f>
        <v>0</v>
      </c>
      <c r="BG150" s="24">
        <f ca="1">IFERROR(__xludf.DUMMYFUNCTION("""COMPUTED_VALUE"""),0)</f>
        <v>0</v>
      </c>
      <c r="BH150" s="24">
        <f ca="1">IFERROR(__xludf.DUMMYFUNCTION("""COMPUTED_VALUE"""),0)</f>
        <v>0</v>
      </c>
      <c r="BI150" s="20"/>
      <c r="BJ150" s="24">
        <f ca="1">IFERROR(__xludf.DUMMYFUNCTION("""COMPUTED_VALUE"""),0)</f>
        <v>0</v>
      </c>
      <c r="BK150" s="24">
        <f ca="1">IFERROR(__xludf.DUMMYFUNCTION("""COMPUTED_VALUE"""),0)</f>
        <v>0</v>
      </c>
      <c r="BL150" s="24">
        <f ca="1">IFERROR(__xludf.DUMMYFUNCTION("""COMPUTED_VALUE"""),0)</f>
        <v>0</v>
      </c>
      <c r="BM150" s="24">
        <f ca="1">IFERROR(__xludf.DUMMYFUNCTION("""COMPUTED_VALUE"""),0)</f>
        <v>0</v>
      </c>
      <c r="BN150" s="24">
        <f ca="1">IFERROR(__xludf.DUMMYFUNCTION("""COMPUTED_VALUE"""),0)</f>
        <v>0</v>
      </c>
      <c r="BO150" s="20"/>
      <c r="BP150" s="24">
        <f ca="1">IFERROR(__xludf.DUMMYFUNCTION("""COMPUTED_VALUE"""),0)</f>
        <v>0</v>
      </c>
      <c r="BQ150" s="24">
        <f ca="1">IFERROR(__xludf.DUMMYFUNCTION("""COMPUTED_VALUE"""),0)</f>
        <v>0</v>
      </c>
      <c r="BR150" s="24">
        <f ca="1">IFERROR(__xludf.DUMMYFUNCTION("""COMPUTED_VALUE"""),0)</f>
        <v>0</v>
      </c>
      <c r="BS150" s="24">
        <f ca="1">IFERROR(__xludf.DUMMYFUNCTION("""COMPUTED_VALUE"""),0)</f>
        <v>0</v>
      </c>
      <c r="BT150" s="24">
        <f ca="1">IFERROR(__xludf.DUMMYFUNCTION("""COMPUTED_VALUE"""),0)</f>
        <v>0</v>
      </c>
      <c r="BU150" s="20"/>
      <c r="BV150" s="24">
        <f ca="1">IFERROR(__xludf.DUMMYFUNCTION("""COMPUTED_VALUE"""),0)</f>
        <v>0</v>
      </c>
      <c r="BW150" s="24">
        <f ca="1">IFERROR(__xludf.DUMMYFUNCTION("""COMPUTED_VALUE"""),0)</f>
        <v>0</v>
      </c>
      <c r="BX150" s="24">
        <f ca="1">IFERROR(__xludf.DUMMYFUNCTION("""COMPUTED_VALUE"""),0)</f>
        <v>0</v>
      </c>
      <c r="BY150" s="24">
        <f ca="1">IFERROR(__xludf.DUMMYFUNCTION("""COMPUTED_VALUE"""),0)</f>
        <v>0</v>
      </c>
      <c r="BZ150" s="24">
        <f ca="1">IFERROR(__xludf.DUMMYFUNCTION("""COMPUTED_VALUE"""),0)</f>
        <v>0</v>
      </c>
      <c r="CA150" s="20"/>
      <c r="CB150" s="20"/>
      <c r="CC150" s="20"/>
      <c r="CD150" s="20"/>
      <c r="CE150" s="20"/>
      <c r="CF150" s="20"/>
      <c r="CG150" s="20"/>
      <c r="CH150" s="20"/>
      <c r="CI150" s="20"/>
      <c r="CJ150" s="20"/>
      <c r="CK150" s="20"/>
      <c r="CL150" s="20"/>
      <c r="CM150" s="20"/>
      <c r="CN150" s="20"/>
      <c r="CO150" s="20"/>
      <c r="CP150" s="20"/>
      <c r="CQ150" s="20"/>
      <c r="CR150" s="20"/>
      <c r="CS150" s="20"/>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row>
    <row r="151" spans="1:123" ht="64.5" hidden="1" customHeight="1" x14ac:dyDescent="0.2">
      <c r="A151" s="19"/>
      <c r="B151" s="20" t="str">
        <f ca="1">IFERROR(__xludf.DUMMYFUNCTION("""COMPUTED_VALUE"""),"г.о. Щелково")</f>
        <v>г.о. Щелково</v>
      </c>
      <c r="C15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1" s="20" t="str">
        <f ca="1">IFERROR(__xludf.DUMMYFUNCTION("""COMPUTED_VALUE"""),"МинЖКХ")</f>
        <v>МинЖКХ</v>
      </c>
      <c r="E151" s="20" t="str">
        <f ca="1">IFERROR(__xludf.DUMMYFUNCTION("""COMPUTED_VALUE"""),"Приобретение,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f>
        <v>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v>
      </c>
      <c r="F151" s="32" t="str">
        <f ca="1">IFERROR(__xludf.DUMMYFUNCTION("""COMPUTED_VALUE"""),"ВЗУ")</f>
        <v>ВЗУ</v>
      </c>
      <c r="G151" s="20" t="str">
        <f ca="1">IFERROR(__xludf.DUMMYFUNCTION("""COMPUTED_VALUE"""),"Н/Л")</f>
        <v>Н/Л</v>
      </c>
      <c r="H151" s="20" t="str">
        <f ca="1">IFERROR(__xludf.DUMMYFUNCTION("""COMPUTED_VALUE"""),"Приобретение, монтаж")</f>
        <v>Приобретение, монтаж</v>
      </c>
      <c r="I151" s="20"/>
      <c r="J151" s="20"/>
      <c r="K151" s="20"/>
      <c r="L151" s="20"/>
      <c r="M151" s="20"/>
      <c r="N151" s="24">
        <f ca="1">IFERROR(__xludf.DUMMYFUNCTION("""COMPUTED_VALUE"""),0)</f>
        <v>0</v>
      </c>
      <c r="O151" s="20"/>
      <c r="P151" s="20"/>
      <c r="Q151" s="20"/>
      <c r="R151" s="20"/>
      <c r="S151" s="20"/>
      <c r="T151" s="20"/>
      <c r="U151" s="24">
        <f ca="1">IFERROR(__xludf.DUMMYFUNCTION("""COMPUTED_VALUE"""),0)</f>
        <v>0</v>
      </c>
      <c r="V151" s="24">
        <f ca="1">IFERROR(__xludf.DUMMYFUNCTION("""COMPUTED_VALUE"""),0)</f>
        <v>0</v>
      </c>
      <c r="W151" s="24">
        <f ca="1">IFERROR(__xludf.DUMMYFUNCTION("""COMPUTED_VALUE"""),0)</f>
        <v>0</v>
      </c>
      <c r="X151" s="24">
        <f ca="1">IFERROR(__xludf.DUMMYFUNCTION("""COMPUTED_VALUE"""),0)</f>
        <v>0</v>
      </c>
      <c r="Y151" s="24">
        <f ca="1">IFERROR(__xludf.DUMMYFUNCTION("""COMPUTED_VALUE"""),0)</f>
        <v>0</v>
      </c>
      <c r="Z151" s="24">
        <f ca="1">IFERROR(__xludf.DUMMYFUNCTION("""COMPUTED_VALUE"""),0)</f>
        <v>0</v>
      </c>
      <c r="AA151" s="20" t="str">
        <f ca="1">IFERROR(__xludf.DUMMYFUNCTION("""COMPUTED_VALUE"""),"10 1 02 60330")</f>
        <v>10 1 02 60330</v>
      </c>
      <c r="AB151" s="20">
        <f ca="1">IFERROR(__xludf.DUMMYFUNCTION("""COMPUTED_VALUE"""),520)</f>
        <v>520</v>
      </c>
      <c r="AC151" s="20" t="str">
        <f ca="1">IFERROR(__xludf.DUMMYFUNCTION("""COMPUTED_VALUE"""),"Не требуется")</f>
        <v>Не требуется</v>
      </c>
      <c r="AD151" s="20" t="str">
        <f ca="1">IFERROR(__xludf.DUMMYFUNCTION("""COMPUTED_VALUE"""),"-")</f>
        <v>-</v>
      </c>
      <c r="AE151" s="20" t="str">
        <f ca="1">IFERROR(__xludf.DUMMYFUNCTION("""COMPUTED_VALUE"""),"-")</f>
        <v>-</v>
      </c>
      <c r="AF151" s="24">
        <f ca="1">IFERROR(__xludf.DUMMYFUNCTION("""COMPUTED_VALUE"""),3092.97999999999)</f>
        <v>3092.97999999999</v>
      </c>
      <c r="AG151" s="24">
        <f ca="1">IFERROR(__xludf.DUMMYFUNCTION("""COMPUTED_VALUE"""),0)</f>
        <v>0</v>
      </c>
      <c r="AH151" s="24">
        <f ca="1">IFERROR(__xludf.DUMMYFUNCTION("""COMPUTED_VALUE"""),2527)</f>
        <v>2527</v>
      </c>
      <c r="AI151" s="24">
        <f ca="1">IFERROR(__xludf.DUMMYFUNCTION("""COMPUTED_VALUE"""),0)</f>
        <v>0</v>
      </c>
      <c r="AJ151" s="24">
        <f ca="1">IFERROR(__xludf.DUMMYFUNCTION("""COMPUTED_VALUE"""),282.99)</f>
        <v>282.99</v>
      </c>
      <c r="AK151" s="24">
        <f ca="1">IFERROR(__xludf.DUMMYFUNCTION("""COMPUTED_VALUE"""),282.99)</f>
        <v>282.99</v>
      </c>
      <c r="AL151" s="24">
        <f ca="1">IFERROR(__xludf.DUMMYFUNCTION("""COMPUTED_VALUE"""),565.98)</f>
        <v>565.98</v>
      </c>
      <c r="AM151" s="24">
        <f ca="1">IFERROR(__xludf.DUMMYFUNCTION("""COMPUTED_VALUE"""),0)</f>
        <v>0</v>
      </c>
      <c r="AN151" s="24">
        <f ca="1">IFERROR(__xludf.DUMMYFUNCTION("""COMPUTED_VALUE"""),0)</f>
        <v>0</v>
      </c>
      <c r="AO151" s="24">
        <f ca="1">IFERROR(__xludf.DUMMYFUNCTION("""COMPUTED_VALUE"""),0)</f>
        <v>0</v>
      </c>
      <c r="AP151" s="24">
        <f ca="1">IFERROR(__xludf.DUMMYFUNCTION("""COMPUTED_VALUE"""),282.99)</f>
        <v>282.99</v>
      </c>
      <c r="AQ151" s="24">
        <f ca="1">IFERROR(__xludf.DUMMYFUNCTION("""COMPUTED_VALUE"""),282.99)</f>
        <v>282.99</v>
      </c>
      <c r="AR151" s="24">
        <f ca="1">IFERROR(__xludf.DUMMYFUNCTION("""COMPUTED_VALUE"""),2527)</f>
        <v>2527</v>
      </c>
      <c r="AS151" s="24">
        <f ca="1">IFERROR(__xludf.DUMMYFUNCTION("""COMPUTED_VALUE"""),0)</f>
        <v>0</v>
      </c>
      <c r="AT151" s="24">
        <f ca="1">IFERROR(__xludf.DUMMYFUNCTION("""COMPUTED_VALUE"""),2527)</f>
        <v>2527</v>
      </c>
      <c r="AU151" s="24">
        <f ca="1">IFERROR(__xludf.DUMMYFUNCTION("""COMPUTED_VALUE"""),0)</f>
        <v>0</v>
      </c>
      <c r="AV151" s="24">
        <f ca="1">IFERROR(__xludf.DUMMYFUNCTION("""COMPUTED_VALUE"""),0)</f>
        <v>0</v>
      </c>
      <c r="AW151" s="24">
        <f ca="1">IFERROR(__xludf.DUMMYFUNCTION("""COMPUTED_VALUE"""),0)</f>
        <v>0</v>
      </c>
      <c r="AX151" s="24">
        <f ca="1">IFERROR(__xludf.DUMMYFUNCTION("""COMPUTED_VALUE"""),0)</f>
        <v>0</v>
      </c>
      <c r="AY151" s="24">
        <f ca="1">IFERROR(__xludf.DUMMYFUNCTION("""COMPUTED_VALUE"""),0)</f>
        <v>0</v>
      </c>
      <c r="AZ151" s="24">
        <f ca="1">IFERROR(__xludf.DUMMYFUNCTION("""COMPUTED_VALUE"""),0)</f>
        <v>0</v>
      </c>
      <c r="BA151" s="24">
        <f ca="1">IFERROR(__xludf.DUMMYFUNCTION("""COMPUTED_VALUE"""),0)</f>
        <v>0</v>
      </c>
      <c r="BB151" s="24">
        <f ca="1">IFERROR(__xludf.DUMMYFUNCTION("""COMPUTED_VALUE"""),0)</f>
        <v>0</v>
      </c>
      <c r="BC151" s="20"/>
      <c r="BD151" s="24">
        <f ca="1">IFERROR(__xludf.DUMMYFUNCTION("""COMPUTED_VALUE"""),0)</f>
        <v>0</v>
      </c>
      <c r="BE151" s="24">
        <f ca="1">IFERROR(__xludf.DUMMYFUNCTION("""COMPUTED_VALUE"""),0)</f>
        <v>0</v>
      </c>
      <c r="BF151" s="24">
        <f ca="1">IFERROR(__xludf.DUMMYFUNCTION("""COMPUTED_VALUE"""),0)</f>
        <v>0</v>
      </c>
      <c r="BG151" s="24">
        <f ca="1">IFERROR(__xludf.DUMMYFUNCTION("""COMPUTED_VALUE"""),0)</f>
        <v>0</v>
      </c>
      <c r="BH151" s="24">
        <f ca="1">IFERROR(__xludf.DUMMYFUNCTION("""COMPUTED_VALUE"""),0)</f>
        <v>0</v>
      </c>
      <c r="BI151" s="20"/>
      <c r="BJ151" s="24">
        <f ca="1">IFERROR(__xludf.DUMMYFUNCTION("""COMPUTED_VALUE"""),0)</f>
        <v>0</v>
      </c>
      <c r="BK151" s="24">
        <f ca="1">IFERROR(__xludf.DUMMYFUNCTION("""COMPUTED_VALUE"""),0)</f>
        <v>0</v>
      </c>
      <c r="BL151" s="24">
        <f ca="1">IFERROR(__xludf.DUMMYFUNCTION("""COMPUTED_VALUE"""),0)</f>
        <v>0</v>
      </c>
      <c r="BM151" s="24">
        <f ca="1">IFERROR(__xludf.DUMMYFUNCTION("""COMPUTED_VALUE"""),0)</f>
        <v>0</v>
      </c>
      <c r="BN151" s="24">
        <f ca="1">IFERROR(__xludf.DUMMYFUNCTION("""COMPUTED_VALUE"""),0)</f>
        <v>0</v>
      </c>
      <c r="BO151" s="20"/>
      <c r="BP151" s="24">
        <f ca="1">IFERROR(__xludf.DUMMYFUNCTION("""COMPUTED_VALUE"""),0)</f>
        <v>0</v>
      </c>
      <c r="BQ151" s="24">
        <f ca="1">IFERROR(__xludf.DUMMYFUNCTION("""COMPUTED_VALUE"""),0)</f>
        <v>0</v>
      </c>
      <c r="BR151" s="24">
        <f ca="1">IFERROR(__xludf.DUMMYFUNCTION("""COMPUTED_VALUE"""),0)</f>
        <v>0</v>
      </c>
      <c r="BS151" s="24">
        <f ca="1">IFERROR(__xludf.DUMMYFUNCTION("""COMPUTED_VALUE"""),0)</f>
        <v>0</v>
      </c>
      <c r="BT151" s="24">
        <f ca="1">IFERROR(__xludf.DUMMYFUNCTION("""COMPUTED_VALUE"""),0)</f>
        <v>0</v>
      </c>
      <c r="BU151" s="20"/>
      <c r="BV151" s="24">
        <f ca="1">IFERROR(__xludf.DUMMYFUNCTION("""COMPUTED_VALUE"""),0)</f>
        <v>0</v>
      </c>
      <c r="BW151" s="24">
        <f ca="1">IFERROR(__xludf.DUMMYFUNCTION("""COMPUTED_VALUE"""),0)</f>
        <v>0</v>
      </c>
      <c r="BX151" s="24">
        <f ca="1">IFERROR(__xludf.DUMMYFUNCTION("""COMPUTED_VALUE"""),0)</f>
        <v>0</v>
      </c>
      <c r="BY151" s="24">
        <f ca="1">IFERROR(__xludf.DUMMYFUNCTION("""COMPUTED_VALUE"""),0)</f>
        <v>0</v>
      </c>
      <c r="BZ151" s="24">
        <f ca="1">IFERROR(__xludf.DUMMYFUNCTION("""COMPUTED_VALUE"""),0)</f>
        <v>0</v>
      </c>
      <c r="CA151" s="20"/>
      <c r="CB151" s="20"/>
      <c r="CC151" s="20"/>
      <c r="CD151" s="20"/>
      <c r="CE151" s="20"/>
      <c r="CF151" s="20"/>
      <c r="CG151" s="20"/>
      <c r="CH151" s="20"/>
      <c r="CI151" s="20"/>
      <c r="CJ151" s="20"/>
      <c r="CK151" s="20"/>
      <c r="CL151" s="20"/>
      <c r="CM151" s="20"/>
      <c r="CN151" s="20"/>
      <c r="CO151" s="20"/>
      <c r="CP151" s="20"/>
      <c r="CQ151" s="20"/>
      <c r="CR151" s="20"/>
      <c r="CS151" s="20"/>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row>
    <row r="152" spans="1:123" ht="64.5" hidden="1" customHeight="1" x14ac:dyDescent="0.2">
      <c r="A152" s="19"/>
      <c r="B152" s="20" t="str">
        <f ca="1">IFERROR(__xludf.DUMMYFUNCTION("""COMPUTED_VALUE"""),"г.о. Сергиев Посад")</f>
        <v>г.о. Сергиев Посад</v>
      </c>
      <c r="C15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2" s="20" t="str">
        <f ca="1">IFERROR(__xludf.DUMMYFUNCTION("""COMPUTED_VALUE"""),"МинЖКХ")</f>
        <v>МинЖКХ</v>
      </c>
      <c r="E152" s="20" t="str">
        <f ca="1">IFERROR(__xludf.DUMMYFUNCTION("""COMPUTED_VALUE"""),"Приобретение,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f>
        <v>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v>
      </c>
      <c r="F152" s="32" t="str">
        <f ca="1">IFERROR(__xludf.DUMMYFUNCTION("""COMPUTED_VALUE"""),"ВЗУ")</f>
        <v>ВЗУ</v>
      </c>
      <c r="G152" s="20" t="str">
        <f ca="1">IFERROR(__xludf.DUMMYFUNCTION("""COMPUTED_VALUE"""),"Н/Л")</f>
        <v>Н/Л</v>
      </c>
      <c r="H152" s="20" t="str">
        <f ca="1">IFERROR(__xludf.DUMMYFUNCTION("""COMPUTED_VALUE"""),"Приобретение, монтаж")</f>
        <v>Приобретение, монтаж</v>
      </c>
      <c r="I152" s="20"/>
      <c r="J152" s="20"/>
      <c r="K152" s="20"/>
      <c r="L152" s="20"/>
      <c r="M152" s="20"/>
      <c r="N152" s="24">
        <f ca="1">IFERROR(__xludf.DUMMYFUNCTION("""COMPUTED_VALUE"""),0)</f>
        <v>0</v>
      </c>
      <c r="O152" s="20"/>
      <c r="P152" s="20"/>
      <c r="Q152" s="20"/>
      <c r="R152" s="20"/>
      <c r="S152" s="20"/>
      <c r="T152" s="20"/>
      <c r="U152" s="24">
        <f ca="1">IFERROR(__xludf.DUMMYFUNCTION("""COMPUTED_VALUE"""),0)</f>
        <v>0</v>
      </c>
      <c r="V152" s="24">
        <f ca="1">IFERROR(__xludf.DUMMYFUNCTION("""COMPUTED_VALUE"""),0)</f>
        <v>0</v>
      </c>
      <c r="W152" s="24">
        <f ca="1">IFERROR(__xludf.DUMMYFUNCTION("""COMPUTED_VALUE"""),0)</f>
        <v>0</v>
      </c>
      <c r="X152" s="24">
        <f ca="1">IFERROR(__xludf.DUMMYFUNCTION("""COMPUTED_VALUE"""),0)</f>
        <v>0</v>
      </c>
      <c r="Y152" s="24">
        <f ca="1">IFERROR(__xludf.DUMMYFUNCTION("""COMPUTED_VALUE"""),0)</f>
        <v>0</v>
      </c>
      <c r="Z152" s="24">
        <f ca="1">IFERROR(__xludf.DUMMYFUNCTION("""COMPUTED_VALUE"""),0)</f>
        <v>0</v>
      </c>
      <c r="AA152" s="20" t="str">
        <f ca="1">IFERROR(__xludf.DUMMYFUNCTION("""COMPUTED_VALUE"""),"10 1 02 60330")</f>
        <v>10 1 02 60330</v>
      </c>
      <c r="AB152" s="20">
        <f ca="1">IFERROR(__xludf.DUMMYFUNCTION("""COMPUTED_VALUE"""),520)</f>
        <v>520</v>
      </c>
      <c r="AC152" s="20" t="str">
        <f ca="1">IFERROR(__xludf.DUMMYFUNCTION("""COMPUTED_VALUE"""),"Не требуется")</f>
        <v>Не требуется</v>
      </c>
      <c r="AD152" s="20" t="str">
        <f ca="1">IFERROR(__xludf.DUMMYFUNCTION("""COMPUTED_VALUE"""),"-")</f>
        <v>-</v>
      </c>
      <c r="AE152" s="20" t="str">
        <f ca="1">IFERROR(__xludf.DUMMYFUNCTION("""COMPUTED_VALUE"""),"-")</f>
        <v>-</v>
      </c>
      <c r="AF152" s="24">
        <f ca="1">IFERROR(__xludf.DUMMYFUNCTION("""COMPUTED_VALUE"""),0)</f>
        <v>0</v>
      </c>
      <c r="AG152" s="24">
        <f ca="1">IFERROR(__xludf.DUMMYFUNCTION("""COMPUTED_VALUE"""),0)</f>
        <v>0</v>
      </c>
      <c r="AH152" s="24">
        <f ca="1">IFERROR(__xludf.DUMMYFUNCTION("""COMPUTED_VALUE"""),0)</f>
        <v>0</v>
      </c>
      <c r="AI152" s="24">
        <f ca="1">IFERROR(__xludf.DUMMYFUNCTION("""COMPUTED_VALUE"""),0)</f>
        <v>0</v>
      </c>
      <c r="AJ152" s="24">
        <f ca="1">IFERROR(__xludf.DUMMYFUNCTION("""COMPUTED_VALUE"""),0)</f>
        <v>0</v>
      </c>
      <c r="AK152" s="24">
        <f ca="1">IFERROR(__xludf.DUMMYFUNCTION("""COMPUTED_VALUE"""),0)</f>
        <v>0</v>
      </c>
      <c r="AL152" s="24">
        <f ca="1">IFERROR(__xludf.DUMMYFUNCTION("""COMPUTED_VALUE"""),0)</f>
        <v>0</v>
      </c>
      <c r="AM152" s="20"/>
      <c r="AN152" s="20"/>
      <c r="AO152" s="20"/>
      <c r="AP152" s="20"/>
      <c r="AQ152" s="20"/>
      <c r="AR152" s="24">
        <f ca="1">IFERROR(__xludf.DUMMYFUNCTION("""COMPUTED_VALUE"""),0)</f>
        <v>0</v>
      </c>
      <c r="AS152" s="20"/>
      <c r="AT152" s="20"/>
      <c r="AU152" s="20"/>
      <c r="AV152" s="20"/>
      <c r="AW152" s="20"/>
      <c r="AX152" s="24">
        <f ca="1">IFERROR(__xludf.DUMMYFUNCTION("""COMPUTED_VALUE"""),0)</f>
        <v>0</v>
      </c>
      <c r="AY152" s="24">
        <f ca="1">IFERROR(__xludf.DUMMYFUNCTION("""COMPUTED_VALUE"""),0)</f>
        <v>0</v>
      </c>
      <c r="AZ152" s="24">
        <f ca="1">IFERROR(__xludf.DUMMYFUNCTION("""COMPUTED_VALUE"""),0)</f>
        <v>0</v>
      </c>
      <c r="BA152" s="24">
        <f ca="1">IFERROR(__xludf.DUMMYFUNCTION("""COMPUTED_VALUE"""),0)</f>
        <v>0</v>
      </c>
      <c r="BB152" s="24">
        <f ca="1">IFERROR(__xludf.DUMMYFUNCTION("""COMPUTED_VALUE"""),0)</f>
        <v>0</v>
      </c>
      <c r="BC152" s="20"/>
      <c r="BD152" s="24">
        <f ca="1">IFERROR(__xludf.DUMMYFUNCTION("""COMPUTED_VALUE"""),0)</f>
        <v>0</v>
      </c>
      <c r="BE152" s="24">
        <f ca="1">IFERROR(__xludf.DUMMYFUNCTION("""COMPUTED_VALUE"""),0)</f>
        <v>0</v>
      </c>
      <c r="BF152" s="24">
        <f ca="1">IFERROR(__xludf.DUMMYFUNCTION("""COMPUTED_VALUE"""),0)</f>
        <v>0</v>
      </c>
      <c r="BG152" s="24">
        <f ca="1">IFERROR(__xludf.DUMMYFUNCTION("""COMPUTED_VALUE"""),0)</f>
        <v>0</v>
      </c>
      <c r="BH152" s="24">
        <f ca="1">IFERROR(__xludf.DUMMYFUNCTION("""COMPUTED_VALUE"""),0)</f>
        <v>0</v>
      </c>
      <c r="BI152" s="20"/>
      <c r="BJ152" s="24">
        <f ca="1">IFERROR(__xludf.DUMMYFUNCTION("""COMPUTED_VALUE"""),0)</f>
        <v>0</v>
      </c>
      <c r="BK152" s="24">
        <f ca="1">IFERROR(__xludf.DUMMYFUNCTION("""COMPUTED_VALUE"""),0)</f>
        <v>0</v>
      </c>
      <c r="BL152" s="24">
        <f ca="1">IFERROR(__xludf.DUMMYFUNCTION("""COMPUTED_VALUE"""),0)</f>
        <v>0</v>
      </c>
      <c r="BM152" s="24">
        <f ca="1">IFERROR(__xludf.DUMMYFUNCTION("""COMPUTED_VALUE"""),0)</f>
        <v>0</v>
      </c>
      <c r="BN152" s="24">
        <f ca="1">IFERROR(__xludf.DUMMYFUNCTION("""COMPUTED_VALUE"""),0)</f>
        <v>0</v>
      </c>
      <c r="BO152" s="20"/>
      <c r="BP152" s="24">
        <f ca="1">IFERROR(__xludf.DUMMYFUNCTION("""COMPUTED_VALUE"""),0)</f>
        <v>0</v>
      </c>
      <c r="BQ152" s="24">
        <f ca="1">IFERROR(__xludf.DUMMYFUNCTION("""COMPUTED_VALUE"""),0)</f>
        <v>0</v>
      </c>
      <c r="BR152" s="24">
        <f ca="1">IFERROR(__xludf.DUMMYFUNCTION("""COMPUTED_VALUE"""),0)</f>
        <v>0</v>
      </c>
      <c r="BS152" s="24">
        <f ca="1">IFERROR(__xludf.DUMMYFUNCTION("""COMPUTED_VALUE"""),0)</f>
        <v>0</v>
      </c>
      <c r="BT152" s="24">
        <f ca="1">IFERROR(__xludf.DUMMYFUNCTION("""COMPUTED_VALUE"""),0)</f>
        <v>0</v>
      </c>
      <c r="BU152" s="20"/>
      <c r="BV152" s="24">
        <f ca="1">IFERROR(__xludf.DUMMYFUNCTION("""COMPUTED_VALUE"""),0)</f>
        <v>0</v>
      </c>
      <c r="BW152" s="24">
        <f ca="1">IFERROR(__xludf.DUMMYFUNCTION("""COMPUTED_VALUE"""),0)</f>
        <v>0</v>
      </c>
      <c r="BX152" s="24">
        <f ca="1">IFERROR(__xludf.DUMMYFUNCTION("""COMPUTED_VALUE"""),0)</f>
        <v>0</v>
      </c>
      <c r="BY152" s="24">
        <f ca="1">IFERROR(__xludf.DUMMYFUNCTION("""COMPUTED_VALUE"""),0)</f>
        <v>0</v>
      </c>
      <c r="BZ152" s="24">
        <f ca="1">IFERROR(__xludf.DUMMYFUNCTION("""COMPUTED_VALUE"""),0)</f>
        <v>0</v>
      </c>
      <c r="CA152" s="20"/>
      <c r="CB152" s="20"/>
      <c r="CC152" s="20"/>
      <c r="CD152" s="20"/>
      <c r="CE152" s="20"/>
      <c r="CF152" s="20"/>
      <c r="CG152" s="20"/>
      <c r="CH152" s="20"/>
      <c r="CI152" s="20"/>
      <c r="CJ152" s="20"/>
      <c r="CK152" s="20"/>
      <c r="CL152" s="20"/>
      <c r="CM152" s="20"/>
      <c r="CN152" s="20"/>
      <c r="CO152" s="20"/>
      <c r="CP152" s="20"/>
      <c r="CQ152" s="20"/>
      <c r="CR152" s="20"/>
      <c r="CS152" s="20"/>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row>
    <row r="153" spans="1:123" ht="64.5" hidden="1" customHeight="1" x14ac:dyDescent="0.2">
      <c r="A153" s="19"/>
      <c r="B153" s="20" t="str">
        <f ca="1">IFERROR(__xludf.DUMMYFUNCTION("""COMPUTED_VALUE"""),"г.о. Сергиев Посад")</f>
        <v>г.о. Сергиев Посад</v>
      </c>
      <c r="C15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3" s="20" t="str">
        <f ca="1">IFERROR(__xludf.DUMMYFUNCTION("""COMPUTED_VALUE"""),"МинЖКХ")</f>
        <v>МинЖКХ</v>
      </c>
      <c r="E153" s="20" t="str">
        <f ca="1">IFERROR(__xludf.DUMMYFUNCTION("""COMPUTED_VALUE"""),"Приобретение, монтаж и ввод в эксплуатацию станции водоочистки, Сергиево-Посадский м.р., с.п. Шеметово, д. Самотовино")</f>
        <v>Приобретение, монтаж и ввод в эксплуатацию станции водоочистки, Сергиево-Посадский м.р., с.п. Шеметово, д. Самотовино</v>
      </c>
      <c r="F153" s="32" t="str">
        <f ca="1">IFERROR(__xludf.DUMMYFUNCTION("""COMPUTED_VALUE"""),"ВЗУ")</f>
        <v>ВЗУ</v>
      </c>
      <c r="G153" s="20" t="str">
        <f ca="1">IFERROR(__xludf.DUMMYFUNCTION("""COMPUTED_VALUE"""),"Н/Л")</f>
        <v>Н/Л</v>
      </c>
      <c r="H153" s="20" t="str">
        <f ca="1">IFERROR(__xludf.DUMMYFUNCTION("""COMPUTED_VALUE"""),"Приобретение, монтаж")</f>
        <v>Приобретение, монтаж</v>
      </c>
      <c r="I153" s="20"/>
      <c r="J153" s="20"/>
      <c r="K153" s="20"/>
      <c r="L153" s="20"/>
      <c r="M153" s="20"/>
      <c r="N153" s="24">
        <f ca="1">IFERROR(__xludf.DUMMYFUNCTION("""COMPUTED_VALUE"""),0)</f>
        <v>0</v>
      </c>
      <c r="O153" s="20"/>
      <c r="P153" s="20"/>
      <c r="Q153" s="20"/>
      <c r="R153" s="20"/>
      <c r="S153" s="20"/>
      <c r="T153" s="20"/>
      <c r="U153" s="24">
        <f ca="1">IFERROR(__xludf.DUMMYFUNCTION("""COMPUTED_VALUE"""),0)</f>
        <v>0</v>
      </c>
      <c r="V153" s="24">
        <f ca="1">IFERROR(__xludf.DUMMYFUNCTION("""COMPUTED_VALUE"""),0)</f>
        <v>0</v>
      </c>
      <c r="W153" s="24">
        <f ca="1">IFERROR(__xludf.DUMMYFUNCTION("""COMPUTED_VALUE"""),0)</f>
        <v>0</v>
      </c>
      <c r="X153" s="24">
        <f ca="1">IFERROR(__xludf.DUMMYFUNCTION("""COMPUTED_VALUE"""),0)</f>
        <v>0</v>
      </c>
      <c r="Y153" s="24">
        <f ca="1">IFERROR(__xludf.DUMMYFUNCTION("""COMPUTED_VALUE"""),0)</f>
        <v>0</v>
      </c>
      <c r="Z153" s="24">
        <f ca="1">IFERROR(__xludf.DUMMYFUNCTION("""COMPUTED_VALUE"""),0)</f>
        <v>0</v>
      </c>
      <c r="AA153" s="20" t="str">
        <f ca="1">IFERROR(__xludf.DUMMYFUNCTION("""COMPUTED_VALUE"""),"10 1 02 60330")</f>
        <v>10 1 02 60330</v>
      </c>
      <c r="AB153" s="20">
        <f ca="1">IFERROR(__xludf.DUMMYFUNCTION("""COMPUTED_VALUE"""),520)</f>
        <v>520</v>
      </c>
      <c r="AC153" s="20" t="str">
        <f ca="1">IFERROR(__xludf.DUMMYFUNCTION("""COMPUTED_VALUE"""),"Не требуется")</f>
        <v>Не требуется</v>
      </c>
      <c r="AD153" s="20" t="str">
        <f ca="1">IFERROR(__xludf.DUMMYFUNCTION("""COMPUTED_VALUE"""),"-")</f>
        <v>-</v>
      </c>
      <c r="AE153" s="20" t="str">
        <f ca="1">IFERROR(__xludf.DUMMYFUNCTION("""COMPUTED_VALUE"""),"-")</f>
        <v>-</v>
      </c>
      <c r="AF153" s="24">
        <f ca="1">IFERROR(__xludf.DUMMYFUNCTION("""COMPUTED_VALUE"""),0)</f>
        <v>0</v>
      </c>
      <c r="AG153" s="24">
        <f ca="1">IFERROR(__xludf.DUMMYFUNCTION("""COMPUTED_VALUE"""),0)</f>
        <v>0</v>
      </c>
      <c r="AH153" s="24">
        <f ca="1">IFERROR(__xludf.DUMMYFUNCTION("""COMPUTED_VALUE"""),0)</f>
        <v>0</v>
      </c>
      <c r="AI153" s="24">
        <f ca="1">IFERROR(__xludf.DUMMYFUNCTION("""COMPUTED_VALUE"""),0)</f>
        <v>0</v>
      </c>
      <c r="AJ153" s="24">
        <f ca="1">IFERROR(__xludf.DUMMYFUNCTION("""COMPUTED_VALUE"""),0)</f>
        <v>0</v>
      </c>
      <c r="AK153" s="24">
        <f ca="1">IFERROR(__xludf.DUMMYFUNCTION("""COMPUTED_VALUE"""),0)</f>
        <v>0</v>
      </c>
      <c r="AL153" s="24">
        <f ca="1">IFERROR(__xludf.DUMMYFUNCTION("""COMPUTED_VALUE"""),0)</f>
        <v>0</v>
      </c>
      <c r="AM153" s="20"/>
      <c r="AN153" s="20"/>
      <c r="AO153" s="20"/>
      <c r="AP153" s="20"/>
      <c r="AQ153" s="20"/>
      <c r="AR153" s="24">
        <f ca="1">IFERROR(__xludf.DUMMYFUNCTION("""COMPUTED_VALUE"""),0)</f>
        <v>0</v>
      </c>
      <c r="AS153" s="20"/>
      <c r="AT153" s="20"/>
      <c r="AU153" s="20"/>
      <c r="AV153" s="20"/>
      <c r="AW153" s="20"/>
      <c r="AX153" s="24">
        <f ca="1">IFERROR(__xludf.DUMMYFUNCTION("""COMPUTED_VALUE"""),0)</f>
        <v>0</v>
      </c>
      <c r="AY153" s="24">
        <f ca="1">IFERROR(__xludf.DUMMYFUNCTION("""COMPUTED_VALUE"""),0)</f>
        <v>0</v>
      </c>
      <c r="AZ153" s="24">
        <f ca="1">IFERROR(__xludf.DUMMYFUNCTION("""COMPUTED_VALUE"""),0)</f>
        <v>0</v>
      </c>
      <c r="BA153" s="24">
        <f ca="1">IFERROR(__xludf.DUMMYFUNCTION("""COMPUTED_VALUE"""),0)</f>
        <v>0</v>
      </c>
      <c r="BB153" s="24">
        <f ca="1">IFERROR(__xludf.DUMMYFUNCTION("""COMPUTED_VALUE"""),0)</f>
        <v>0</v>
      </c>
      <c r="BC153" s="20"/>
      <c r="BD153" s="24">
        <f ca="1">IFERROR(__xludf.DUMMYFUNCTION("""COMPUTED_VALUE"""),0)</f>
        <v>0</v>
      </c>
      <c r="BE153" s="24">
        <f ca="1">IFERROR(__xludf.DUMMYFUNCTION("""COMPUTED_VALUE"""),0)</f>
        <v>0</v>
      </c>
      <c r="BF153" s="24">
        <f ca="1">IFERROR(__xludf.DUMMYFUNCTION("""COMPUTED_VALUE"""),0)</f>
        <v>0</v>
      </c>
      <c r="BG153" s="24">
        <f ca="1">IFERROR(__xludf.DUMMYFUNCTION("""COMPUTED_VALUE"""),0)</f>
        <v>0</v>
      </c>
      <c r="BH153" s="24">
        <f ca="1">IFERROR(__xludf.DUMMYFUNCTION("""COMPUTED_VALUE"""),0)</f>
        <v>0</v>
      </c>
      <c r="BI153" s="20"/>
      <c r="BJ153" s="24">
        <f ca="1">IFERROR(__xludf.DUMMYFUNCTION("""COMPUTED_VALUE"""),0)</f>
        <v>0</v>
      </c>
      <c r="BK153" s="24">
        <f ca="1">IFERROR(__xludf.DUMMYFUNCTION("""COMPUTED_VALUE"""),0)</f>
        <v>0</v>
      </c>
      <c r="BL153" s="24">
        <f ca="1">IFERROR(__xludf.DUMMYFUNCTION("""COMPUTED_VALUE"""),0)</f>
        <v>0</v>
      </c>
      <c r="BM153" s="24">
        <f ca="1">IFERROR(__xludf.DUMMYFUNCTION("""COMPUTED_VALUE"""),0)</f>
        <v>0</v>
      </c>
      <c r="BN153" s="24">
        <f ca="1">IFERROR(__xludf.DUMMYFUNCTION("""COMPUTED_VALUE"""),0)</f>
        <v>0</v>
      </c>
      <c r="BO153" s="20"/>
      <c r="BP153" s="24">
        <f ca="1">IFERROR(__xludf.DUMMYFUNCTION("""COMPUTED_VALUE"""),0)</f>
        <v>0</v>
      </c>
      <c r="BQ153" s="24">
        <f ca="1">IFERROR(__xludf.DUMMYFUNCTION("""COMPUTED_VALUE"""),0)</f>
        <v>0</v>
      </c>
      <c r="BR153" s="24">
        <f ca="1">IFERROR(__xludf.DUMMYFUNCTION("""COMPUTED_VALUE"""),0)</f>
        <v>0</v>
      </c>
      <c r="BS153" s="24">
        <f ca="1">IFERROR(__xludf.DUMMYFUNCTION("""COMPUTED_VALUE"""),0)</f>
        <v>0</v>
      </c>
      <c r="BT153" s="24">
        <f ca="1">IFERROR(__xludf.DUMMYFUNCTION("""COMPUTED_VALUE"""),0)</f>
        <v>0</v>
      </c>
      <c r="BU153" s="20"/>
      <c r="BV153" s="24">
        <f ca="1">IFERROR(__xludf.DUMMYFUNCTION("""COMPUTED_VALUE"""),0)</f>
        <v>0</v>
      </c>
      <c r="BW153" s="24">
        <f ca="1">IFERROR(__xludf.DUMMYFUNCTION("""COMPUTED_VALUE"""),0)</f>
        <v>0</v>
      </c>
      <c r="BX153" s="24">
        <f ca="1">IFERROR(__xludf.DUMMYFUNCTION("""COMPUTED_VALUE"""),0)</f>
        <v>0</v>
      </c>
      <c r="BY153" s="24">
        <f ca="1">IFERROR(__xludf.DUMMYFUNCTION("""COMPUTED_VALUE"""),0)</f>
        <v>0</v>
      </c>
      <c r="BZ153" s="24">
        <f ca="1">IFERROR(__xludf.DUMMYFUNCTION("""COMPUTED_VALUE"""),0)</f>
        <v>0</v>
      </c>
      <c r="CA153" s="20"/>
      <c r="CB153" s="20"/>
      <c r="CC153" s="20"/>
      <c r="CD153" s="20"/>
      <c r="CE153" s="20"/>
      <c r="CF153" s="20"/>
      <c r="CG153" s="20"/>
      <c r="CH153" s="20"/>
      <c r="CI153" s="20"/>
      <c r="CJ153" s="20"/>
      <c r="CK153" s="20"/>
      <c r="CL153" s="20"/>
      <c r="CM153" s="20"/>
      <c r="CN153" s="20"/>
      <c r="CO153" s="20"/>
      <c r="CP153" s="20"/>
      <c r="CQ153" s="20"/>
      <c r="CR153" s="20"/>
      <c r="CS153" s="20"/>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row>
    <row r="154" spans="1:123" ht="64.5" hidden="1" customHeight="1" x14ac:dyDescent="0.2">
      <c r="A154" s="19"/>
      <c r="B154" s="20" t="str">
        <f ca="1">IFERROR(__xludf.DUMMYFUNCTION("""COMPUTED_VALUE"""),"г.о. Красногорск")</f>
        <v>г.о. Красногорск</v>
      </c>
      <c r="C15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4" s="20" t="str">
        <f ca="1">IFERROR(__xludf.DUMMYFUNCTION("""COMPUTED_VALUE"""),"МинЖКХ")</f>
        <v>МинЖКХ</v>
      </c>
      <c r="E154" s="20" t="str">
        <f ca="1">IFERROR(__xludf.DUMMYFUNCTION("""COMPUTED_VALUE"""),"Капитальный ремонт ВЗУ в п. Архангельское Красногорского района")</f>
        <v>Капитальный ремонт ВЗУ в п. Архангельское Красногорского района</v>
      </c>
      <c r="F154" s="32" t="str">
        <f ca="1">IFERROR(__xludf.DUMMYFUNCTION("""COMPUTED_VALUE"""),"ВЗУ")</f>
        <v>ВЗУ</v>
      </c>
      <c r="G154" s="20" t="str">
        <f ca="1">IFERROR(__xludf.DUMMYFUNCTION("""COMPUTED_VALUE"""),"Н/Л")</f>
        <v>Н/Л</v>
      </c>
      <c r="H154" s="20" t="str">
        <f ca="1">IFERROR(__xludf.DUMMYFUNCTION("""COMPUTED_VALUE"""),"СМР")</f>
        <v>СМР</v>
      </c>
      <c r="I154" s="20"/>
      <c r="J154" s="20"/>
      <c r="K154" s="20"/>
      <c r="L154" s="20"/>
      <c r="M154" s="20"/>
      <c r="N154" s="24">
        <f ca="1">IFERROR(__xludf.DUMMYFUNCTION("""COMPUTED_VALUE"""),0)</f>
        <v>0</v>
      </c>
      <c r="O154" s="20"/>
      <c r="P154" s="20"/>
      <c r="Q154" s="20"/>
      <c r="R154" s="20"/>
      <c r="S154" s="20"/>
      <c r="T154" s="20"/>
      <c r="U154" s="24">
        <f ca="1">IFERROR(__xludf.DUMMYFUNCTION("""COMPUTED_VALUE"""),0)</f>
        <v>0</v>
      </c>
      <c r="V154" s="24">
        <f ca="1">IFERROR(__xludf.DUMMYFUNCTION("""COMPUTED_VALUE"""),0)</f>
        <v>0</v>
      </c>
      <c r="W154" s="24">
        <f ca="1">IFERROR(__xludf.DUMMYFUNCTION("""COMPUTED_VALUE"""),0)</f>
        <v>0</v>
      </c>
      <c r="X154" s="24">
        <f ca="1">IFERROR(__xludf.DUMMYFUNCTION("""COMPUTED_VALUE"""),0)</f>
        <v>0</v>
      </c>
      <c r="Y154" s="24">
        <f ca="1">IFERROR(__xludf.DUMMYFUNCTION("""COMPUTED_VALUE"""),0)</f>
        <v>0</v>
      </c>
      <c r="Z154" s="24">
        <f ca="1">IFERROR(__xludf.DUMMYFUNCTION("""COMPUTED_VALUE"""),0)</f>
        <v>0</v>
      </c>
      <c r="AA154" s="20" t="str">
        <f ca="1">IFERROR(__xludf.DUMMYFUNCTION("""COMPUTED_VALUE"""),"10 1 02 60330")</f>
        <v>10 1 02 60330</v>
      </c>
      <c r="AB154" s="20">
        <f ca="1">IFERROR(__xludf.DUMMYFUNCTION("""COMPUTED_VALUE"""),520)</f>
        <v>520</v>
      </c>
      <c r="AC154" s="20" t="str">
        <f ca="1">IFERROR(__xludf.DUMMYFUNCTION("""COMPUTED_VALUE"""),"Не требуется")</f>
        <v>Не требуется</v>
      </c>
      <c r="AD154" s="20" t="str">
        <f ca="1">IFERROR(__xludf.DUMMYFUNCTION("""COMPUTED_VALUE"""),"-")</f>
        <v>-</v>
      </c>
      <c r="AE154" s="20" t="str">
        <f ca="1">IFERROR(__xludf.DUMMYFUNCTION("""COMPUTED_VALUE"""),"-")</f>
        <v>-</v>
      </c>
      <c r="AF154" s="24">
        <f ca="1">IFERROR(__xludf.DUMMYFUNCTION("""COMPUTED_VALUE"""),0)</f>
        <v>0</v>
      </c>
      <c r="AG154" s="24">
        <f ca="1">IFERROR(__xludf.DUMMYFUNCTION("""COMPUTED_VALUE"""),0)</f>
        <v>0</v>
      </c>
      <c r="AH154" s="24">
        <f ca="1">IFERROR(__xludf.DUMMYFUNCTION("""COMPUTED_VALUE"""),0)</f>
        <v>0</v>
      </c>
      <c r="AI154" s="24">
        <f ca="1">IFERROR(__xludf.DUMMYFUNCTION("""COMPUTED_VALUE"""),0)</f>
        <v>0</v>
      </c>
      <c r="AJ154" s="24">
        <f ca="1">IFERROR(__xludf.DUMMYFUNCTION("""COMPUTED_VALUE"""),0)</f>
        <v>0</v>
      </c>
      <c r="AK154" s="24">
        <f ca="1">IFERROR(__xludf.DUMMYFUNCTION("""COMPUTED_VALUE"""),0)</f>
        <v>0</v>
      </c>
      <c r="AL154" s="24">
        <f ca="1">IFERROR(__xludf.DUMMYFUNCTION("""COMPUTED_VALUE"""),0)</f>
        <v>0</v>
      </c>
      <c r="AM154" s="20"/>
      <c r="AN154" s="20"/>
      <c r="AO154" s="20"/>
      <c r="AP154" s="20"/>
      <c r="AQ154" s="20"/>
      <c r="AR154" s="24">
        <f ca="1">IFERROR(__xludf.DUMMYFUNCTION("""COMPUTED_VALUE"""),0)</f>
        <v>0</v>
      </c>
      <c r="AS154" s="20"/>
      <c r="AT154" s="20"/>
      <c r="AU154" s="20"/>
      <c r="AV154" s="20"/>
      <c r="AW154" s="20"/>
      <c r="AX154" s="24">
        <f ca="1">IFERROR(__xludf.DUMMYFUNCTION("""COMPUTED_VALUE"""),0)</f>
        <v>0</v>
      </c>
      <c r="AY154" s="24">
        <f ca="1">IFERROR(__xludf.DUMMYFUNCTION("""COMPUTED_VALUE"""),0)</f>
        <v>0</v>
      </c>
      <c r="AZ154" s="24">
        <f ca="1">IFERROR(__xludf.DUMMYFUNCTION("""COMPUTED_VALUE"""),0)</f>
        <v>0</v>
      </c>
      <c r="BA154" s="24">
        <f ca="1">IFERROR(__xludf.DUMMYFUNCTION("""COMPUTED_VALUE"""),0)</f>
        <v>0</v>
      </c>
      <c r="BB154" s="24">
        <f ca="1">IFERROR(__xludf.DUMMYFUNCTION("""COMPUTED_VALUE"""),0)</f>
        <v>0</v>
      </c>
      <c r="BC154" s="20"/>
      <c r="BD154" s="24">
        <f ca="1">IFERROR(__xludf.DUMMYFUNCTION("""COMPUTED_VALUE"""),0)</f>
        <v>0</v>
      </c>
      <c r="BE154" s="24">
        <f ca="1">IFERROR(__xludf.DUMMYFUNCTION("""COMPUTED_VALUE"""),0)</f>
        <v>0</v>
      </c>
      <c r="BF154" s="24">
        <f ca="1">IFERROR(__xludf.DUMMYFUNCTION("""COMPUTED_VALUE"""),0)</f>
        <v>0</v>
      </c>
      <c r="BG154" s="24">
        <f ca="1">IFERROR(__xludf.DUMMYFUNCTION("""COMPUTED_VALUE"""),0)</f>
        <v>0</v>
      </c>
      <c r="BH154" s="24">
        <f ca="1">IFERROR(__xludf.DUMMYFUNCTION("""COMPUTED_VALUE"""),0)</f>
        <v>0</v>
      </c>
      <c r="BI154" s="20"/>
      <c r="BJ154" s="24">
        <f ca="1">IFERROR(__xludf.DUMMYFUNCTION("""COMPUTED_VALUE"""),0)</f>
        <v>0</v>
      </c>
      <c r="BK154" s="24">
        <f ca="1">IFERROR(__xludf.DUMMYFUNCTION("""COMPUTED_VALUE"""),0)</f>
        <v>0</v>
      </c>
      <c r="BL154" s="24">
        <f ca="1">IFERROR(__xludf.DUMMYFUNCTION("""COMPUTED_VALUE"""),0)</f>
        <v>0</v>
      </c>
      <c r="BM154" s="24">
        <f ca="1">IFERROR(__xludf.DUMMYFUNCTION("""COMPUTED_VALUE"""),0)</f>
        <v>0</v>
      </c>
      <c r="BN154" s="24">
        <f ca="1">IFERROR(__xludf.DUMMYFUNCTION("""COMPUTED_VALUE"""),0)</f>
        <v>0</v>
      </c>
      <c r="BO154" s="20"/>
      <c r="BP154" s="24">
        <f ca="1">IFERROR(__xludf.DUMMYFUNCTION("""COMPUTED_VALUE"""),0)</f>
        <v>0</v>
      </c>
      <c r="BQ154" s="24">
        <f ca="1">IFERROR(__xludf.DUMMYFUNCTION("""COMPUTED_VALUE"""),0)</f>
        <v>0</v>
      </c>
      <c r="BR154" s="24">
        <f ca="1">IFERROR(__xludf.DUMMYFUNCTION("""COMPUTED_VALUE"""),0)</f>
        <v>0</v>
      </c>
      <c r="BS154" s="24">
        <f ca="1">IFERROR(__xludf.DUMMYFUNCTION("""COMPUTED_VALUE"""),0)</f>
        <v>0</v>
      </c>
      <c r="BT154" s="24">
        <f ca="1">IFERROR(__xludf.DUMMYFUNCTION("""COMPUTED_VALUE"""),0)</f>
        <v>0</v>
      </c>
      <c r="BU154" s="20"/>
      <c r="BV154" s="24">
        <f ca="1">IFERROR(__xludf.DUMMYFUNCTION("""COMPUTED_VALUE"""),0)</f>
        <v>0</v>
      </c>
      <c r="BW154" s="24">
        <f ca="1">IFERROR(__xludf.DUMMYFUNCTION("""COMPUTED_VALUE"""),0)</f>
        <v>0</v>
      </c>
      <c r="BX154" s="24">
        <f ca="1">IFERROR(__xludf.DUMMYFUNCTION("""COMPUTED_VALUE"""),0)</f>
        <v>0</v>
      </c>
      <c r="BY154" s="24">
        <f ca="1">IFERROR(__xludf.DUMMYFUNCTION("""COMPUTED_VALUE"""),0)</f>
        <v>0</v>
      </c>
      <c r="BZ154" s="24">
        <f ca="1">IFERROR(__xludf.DUMMYFUNCTION("""COMPUTED_VALUE"""),0)</f>
        <v>0</v>
      </c>
      <c r="CA154" s="20"/>
      <c r="CB154" s="20"/>
      <c r="CC154" s="20"/>
      <c r="CD154" s="20"/>
      <c r="CE154" s="20"/>
      <c r="CF154" s="20"/>
      <c r="CG154" s="20"/>
      <c r="CH154" s="20"/>
      <c r="CI154" s="20"/>
      <c r="CJ154" s="20"/>
      <c r="CK154" s="20"/>
      <c r="CL154" s="20"/>
      <c r="CM154" s="20"/>
      <c r="CN154" s="20"/>
      <c r="CO154" s="20"/>
      <c r="CP154" s="20"/>
      <c r="CQ154" s="20"/>
      <c r="CR154" s="20"/>
      <c r="CS154" s="20"/>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row>
    <row r="155" spans="1:123" ht="64.5" hidden="1" customHeight="1" x14ac:dyDescent="0.2">
      <c r="A155" s="19"/>
      <c r="B155" s="20" t="str">
        <f ca="1">IFERROR(__xludf.DUMMYFUNCTION("""COMPUTED_VALUE"""),"г.о. Балашиха")</f>
        <v>г.о. Балашиха</v>
      </c>
      <c r="C15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5" s="20" t="str">
        <f ca="1">IFERROR(__xludf.DUMMYFUNCTION("""COMPUTED_VALUE"""),"МинЖКХ")</f>
        <v>МинЖКХ</v>
      </c>
      <c r="E155" s="20" t="str">
        <f ca="1">IFERROR(__xludf.DUMMYFUNCTION("""COMPUTED_VALUE"""),"Приобретение,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f>
        <v>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v>
      </c>
      <c r="F155" s="32" t="str">
        <f ca="1">IFERROR(__xludf.DUMMYFUNCTION("""COMPUTED_VALUE"""),"ВЗУ")</f>
        <v>ВЗУ</v>
      </c>
      <c r="G155" s="20" t="str">
        <f ca="1">IFERROR(__xludf.DUMMYFUNCTION("""COMPUTED_VALUE"""),"Н/Л")</f>
        <v>Н/Л</v>
      </c>
      <c r="H155" s="20" t="str">
        <f ca="1">IFERROR(__xludf.DUMMYFUNCTION("""COMPUTED_VALUE"""),"Приобретение, монтаж")</f>
        <v>Приобретение, монтаж</v>
      </c>
      <c r="I155" s="20"/>
      <c r="J155" s="20"/>
      <c r="K155" s="20"/>
      <c r="L155" s="20"/>
      <c r="M155" s="20"/>
      <c r="N155" s="24">
        <f ca="1">IFERROR(__xludf.DUMMYFUNCTION("""COMPUTED_VALUE"""),0)</f>
        <v>0</v>
      </c>
      <c r="O155" s="20"/>
      <c r="P155" s="20"/>
      <c r="Q155" s="20"/>
      <c r="R155" s="20"/>
      <c r="S155" s="20"/>
      <c r="T155" s="20"/>
      <c r="U155" s="24">
        <f ca="1">IFERROR(__xludf.DUMMYFUNCTION("""COMPUTED_VALUE"""),0)</f>
        <v>0</v>
      </c>
      <c r="V155" s="24">
        <f ca="1">IFERROR(__xludf.DUMMYFUNCTION("""COMPUTED_VALUE"""),0)</f>
        <v>0</v>
      </c>
      <c r="W155" s="24">
        <f ca="1">IFERROR(__xludf.DUMMYFUNCTION("""COMPUTED_VALUE"""),0)</f>
        <v>0</v>
      </c>
      <c r="X155" s="24">
        <f ca="1">IFERROR(__xludf.DUMMYFUNCTION("""COMPUTED_VALUE"""),0)</f>
        <v>0</v>
      </c>
      <c r="Y155" s="24">
        <f ca="1">IFERROR(__xludf.DUMMYFUNCTION("""COMPUTED_VALUE"""),0)</f>
        <v>0</v>
      </c>
      <c r="Z155" s="24">
        <f ca="1">IFERROR(__xludf.DUMMYFUNCTION("""COMPUTED_VALUE"""),0)</f>
        <v>0</v>
      </c>
      <c r="AA155" s="20" t="str">
        <f ca="1">IFERROR(__xludf.DUMMYFUNCTION("""COMPUTED_VALUE"""),"10 1 02 60330")</f>
        <v>10 1 02 60330</v>
      </c>
      <c r="AB155" s="20">
        <f ca="1">IFERROR(__xludf.DUMMYFUNCTION("""COMPUTED_VALUE"""),520)</f>
        <v>520</v>
      </c>
      <c r="AC155" s="20" t="str">
        <f ca="1">IFERROR(__xludf.DUMMYFUNCTION("""COMPUTED_VALUE"""),"Не требуется")</f>
        <v>Не требуется</v>
      </c>
      <c r="AD155" s="20" t="str">
        <f ca="1">IFERROR(__xludf.DUMMYFUNCTION("""COMPUTED_VALUE"""),"-")</f>
        <v>-</v>
      </c>
      <c r="AE155" s="20" t="str">
        <f ca="1">IFERROR(__xludf.DUMMYFUNCTION("""COMPUTED_VALUE"""),"-")</f>
        <v>-</v>
      </c>
      <c r="AF155" s="24">
        <f ca="1">IFERROR(__xludf.DUMMYFUNCTION("""COMPUTED_VALUE"""),0)</f>
        <v>0</v>
      </c>
      <c r="AG155" s="24">
        <f ca="1">IFERROR(__xludf.DUMMYFUNCTION("""COMPUTED_VALUE"""),0)</f>
        <v>0</v>
      </c>
      <c r="AH155" s="24">
        <f ca="1">IFERROR(__xludf.DUMMYFUNCTION("""COMPUTED_VALUE"""),0)</f>
        <v>0</v>
      </c>
      <c r="AI155" s="24">
        <f ca="1">IFERROR(__xludf.DUMMYFUNCTION("""COMPUTED_VALUE"""),0)</f>
        <v>0</v>
      </c>
      <c r="AJ155" s="24">
        <f ca="1">IFERROR(__xludf.DUMMYFUNCTION("""COMPUTED_VALUE"""),0)</f>
        <v>0</v>
      </c>
      <c r="AK155" s="24">
        <f ca="1">IFERROR(__xludf.DUMMYFUNCTION("""COMPUTED_VALUE"""),0)</f>
        <v>0</v>
      </c>
      <c r="AL155" s="24">
        <f ca="1">IFERROR(__xludf.DUMMYFUNCTION("""COMPUTED_VALUE"""),0)</f>
        <v>0</v>
      </c>
      <c r="AM155" s="20"/>
      <c r="AN155" s="20"/>
      <c r="AO155" s="20"/>
      <c r="AP155" s="20"/>
      <c r="AQ155" s="20"/>
      <c r="AR155" s="24">
        <f ca="1">IFERROR(__xludf.DUMMYFUNCTION("""COMPUTED_VALUE"""),0)</f>
        <v>0</v>
      </c>
      <c r="AS155" s="20"/>
      <c r="AT155" s="20"/>
      <c r="AU155" s="20"/>
      <c r="AV155" s="20"/>
      <c r="AW155" s="20"/>
      <c r="AX155" s="24">
        <f ca="1">IFERROR(__xludf.DUMMYFUNCTION("""COMPUTED_VALUE"""),0)</f>
        <v>0</v>
      </c>
      <c r="AY155" s="24">
        <f ca="1">IFERROR(__xludf.DUMMYFUNCTION("""COMPUTED_VALUE"""),0)</f>
        <v>0</v>
      </c>
      <c r="AZ155" s="24">
        <f ca="1">IFERROR(__xludf.DUMMYFUNCTION("""COMPUTED_VALUE"""),0)</f>
        <v>0</v>
      </c>
      <c r="BA155" s="24">
        <f ca="1">IFERROR(__xludf.DUMMYFUNCTION("""COMPUTED_VALUE"""),0)</f>
        <v>0</v>
      </c>
      <c r="BB155" s="24">
        <f ca="1">IFERROR(__xludf.DUMMYFUNCTION("""COMPUTED_VALUE"""),0)</f>
        <v>0</v>
      </c>
      <c r="BC155" s="20"/>
      <c r="BD155" s="24">
        <f ca="1">IFERROR(__xludf.DUMMYFUNCTION("""COMPUTED_VALUE"""),0)</f>
        <v>0</v>
      </c>
      <c r="BE155" s="24">
        <f ca="1">IFERROR(__xludf.DUMMYFUNCTION("""COMPUTED_VALUE"""),0)</f>
        <v>0</v>
      </c>
      <c r="BF155" s="24">
        <f ca="1">IFERROR(__xludf.DUMMYFUNCTION("""COMPUTED_VALUE"""),0)</f>
        <v>0</v>
      </c>
      <c r="BG155" s="24">
        <f ca="1">IFERROR(__xludf.DUMMYFUNCTION("""COMPUTED_VALUE"""),0)</f>
        <v>0</v>
      </c>
      <c r="BH155" s="24">
        <f ca="1">IFERROR(__xludf.DUMMYFUNCTION("""COMPUTED_VALUE"""),0)</f>
        <v>0</v>
      </c>
      <c r="BI155" s="20"/>
      <c r="BJ155" s="24">
        <f ca="1">IFERROR(__xludf.DUMMYFUNCTION("""COMPUTED_VALUE"""),0)</f>
        <v>0</v>
      </c>
      <c r="BK155" s="24">
        <f ca="1">IFERROR(__xludf.DUMMYFUNCTION("""COMPUTED_VALUE"""),0)</f>
        <v>0</v>
      </c>
      <c r="BL155" s="24">
        <f ca="1">IFERROR(__xludf.DUMMYFUNCTION("""COMPUTED_VALUE"""),0)</f>
        <v>0</v>
      </c>
      <c r="BM155" s="24">
        <f ca="1">IFERROR(__xludf.DUMMYFUNCTION("""COMPUTED_VALUE"""),0)</f>
        <v>0</v>
      </c>
      <c r="BN155" s="24">
        <f ca="1">IFERROR(__xludf.DUMMYFUNCTION("""COMPUTED_VALUE"""),0)</f>
        <v>0</v>
      </c>
      <c r="BO155" s="20"/>
      <c r="BP155" s="24">
        <f ca="1">IFERROR(__xludf.DUMMYFUNCTION("""COMPUTED_VALUE"""),0)</f>
        <v>0</v>
      </c>
      <c r="BQ155" s="24">
        <f ca="1">IFERROR(__xludf.DUMMYFUNCTION("""COMPUTED_VALUE"""),0)</f>
        <v>0</v>
      </c>
      <c r="BR155" s="24">
        <f ca="1">IFERROR(__xludf.DUMMYFUNCTION("""COMPUTED_VALUE"""),0)</f>
        <v>0</v>
      </c>
      <c r="BS155" s="24">
        <f ca="1">IFERROR(__xludf.DUMMYFUNCTION("""COMPUTED_VALUE"""),0)</f>
        <v>0</v>
      </c>
      <c r="BT155" s="24">
        <f ca="1">IFERROR(__xludf.DUMMYFUNCTION("""COMPUTED_VALUE"""),0)</f>
        <v>0</v>
      </c>
      <c r="BU155" s="20"/>
      <c r="BV155" s="24">
        <f ca="1">IFERROR(__xludf.DUMMYFUNCTION("""COMPUTED_VALUE"""),0)</f>
        <v>0</v>
      </c>
      <c r="BW155" s="24">
        <f ca="1">IFERROR(__xludf.DUMMYFUNCTION("""COMPUTED_VALUE"""),0)</f>
        <v>0</v>
      </c>
      <c r="BX155" s="24">
        <f ca="1">IFERROR(__xludf.DUMMYFUNCTION("""COMPUTED_VALUE"""),0)</f>
        <v>0</v>
      </c>
      <c r="BY155" s="24">
        <f ca="1">IFERROR(__xludf.DUMMYFUNCTION("""COMPUTED_VALUE"""),0)</f>
        <v>0</v>
      </c>
      <c r="BZ155" s="24">
        <f ca="1">IFERROR(__xludf.DUMMYFUNCTION("""COMPUTED_VALUE"""),0)</f>
        <v>0</v>
      </c>
      <c r="CA155" s="20"/>
      <c r="CB155" s="20"/>
      <c r="CC155" s="20"/>
      <c r="CD155" s="20"/>
      <c r="CE155" s="20"/>
      <c r="CF155" s="20"/>
      <c r="CG155" s="20"/>
      <c r="CH155" s="20"/>
      <c r="CI155" s="20"/>
      <c r="CJ155" s="20"/>
      <c r="CK155" s="20"/>
      <c r="CL155" s="20"/>
      <c r="CM155" s="20"/>
      <c r="CN155" s="20"/>
      <c r="CO155" s="20"/>
      <c r="CP155" s="20"/>
      <c r="CQ155" s="20"/>
      <c r="CR155" s="20"/>
      <c r="CS155" s="20"/>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row>
    <row r="156" spans="1:123" ht="64.5" hidden="1" customHeight="1" x14ac:dyDescent="0.2">
      <c r="A156" s="19"/>
      <c r="B156" s="20" t="str">
        <f ca="1">IFERROR(__xludf.DUMMYFUNCTION("""COMPUTED_VALUE"""),"г.о. Пушкинский")</f>
        <v>г.о. Пушкинский</v>
      </c>
      <c r="C15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6" s="20" t="str">
        <f ca="1">IFERROR(__xludf.DUMMYFUNCTION("""COMPUTED_VALUE"""),"МинЖКХ")</f>
        <v>МинЖКХ</v>
      </c>
      <c r="E156" s="20" t="str">
        <f ca="1">IFERROR(__xludf.DUMMYFUNCTION("""COMPUTED_VALUE"""),"Капитальный ремонт ВЗУ № 4 по адресу: Московская область, Пушкинский муниципальный район, г.Пушкино, мкр. Новая деревня  ")</f>
        <v xml:space="preserve">Капитальный ремонт ВЗУ № 4 по адресу: Московская область, Пушкинский муниципальный район, г.Пушкино, мкр. Новая деревня  </v>
      </c>
      <c r="F156" s="32" t="str">
        <f ca="1">IFERROR(__xludf.DUMMYFUNCTION("""COMPUTED_VALUE"""),"ВЗУ")</f>
        <v>ВЗУ</v>
      </c>
      <c r="G156" s="20" t="str">
        <f ca="1">IFERROR(__xludf.DUMMYFUNCTION("""COMPUTED_VALUE"""),"Н/Л")</f>
        <v>Н/Л</v>
      </c>
      <c r="H156" s="20" t="str">
        <f ca="1">IFERROR(__xludf.DUMMYFUNCTION("""COMPUTED_VALUE"""),"СМР")</f>
        <v>СМР</v>
      </c>
      <c r="I156" s="20"/>
      <c r="J156" s="20"/>
      <c r="K156" s="20"/>
      <c r="L156" s="20"/>
      <c r="M156" s="20"/>
      <c r="N156" s="24">
        <f ca="1">IFERROR(__xludf.DUMMYFUNCTION("""COMPUTED_VALUE"""),0)</f>
        <v>0</v>
      </c>
      <c r="O156" s="20"/>
      <c r="P156" s="20"/>
      <c r="Q156" s="20"/>
      <c r="R156" s="20"/>
      <c r="S156" s="20"/>
      <c r="T156" s="20"/>
      <c r="U156" s="24">
        <f ca="1">IFERROR(__xludf.DUMMYFUNCTION("""COMPUTED_VALUE"""),0)</f>
        <v>0</v>
      </c>
      <c r="V156" s="24">
        <f ca="1">IFERROR(__xludf.DUMMYFUNCTION("""COMPUTED_VALUE"""),0)</f>
        <v>0</v>
      </c>
      <c r="W156" s="24">
        <f ca="1">IFERROR(__xludf.DUMMYFUNCTION("""COMPUTED_VALUE"""),0)</f>
        <v>0</v>
      </c>
      <c r="X156" s="24">
        <f ca="1">IFERROR(__xludf.DUMMYFUNCTION("""COMPUTED_VALUE"""),0)</f>
        <v>0</v>
      </c>
      <c r="Y156" s="24">
        <f ca="1">IFERROR(__xludf.DUMMYFUNCTION("""COMPUTED_VALUE"""),0)</f>
        <v>0</v>
      </c>
      <c r="Z156" s="24">
        <f ca="1">IFERROR(__xludf.DUMMYFUNCTION("""COMPUTED_VALUE"""),0)</f>
        <v>0</v>
      </c>
      <c r="AA156" s="20" t="str">
        <f ca="1">IFERROR(__xludf.DUMMYFUNCTION("""COMPUTED_VALUE"""),"10 1 02 60330")</f>
        <v>10 1 02 60330</v>
      </c>
      <c r="AB156" s="20">
        <f ca="1">IFERROR(__xludf.DUMMYFUNCTION("""COMPUTED_VALUE"""),520)</f>
        <v>520</v>
      </c>
      <c r="AC156" s="20" t="str">
        <f ca="1">IFERROR(__xludf.DUMMYFUNCTION("""COMPUTED_VALUE"""),"Не требуется")</f>
        <v>Не требуется</v>
      </c>
      <c r="AD156" s="20" t="str">
        <f ca="1">IFERROR(__xludf.DUMMYFUNCTION("""COMPUTED_VALUE"""),"-")</f>
        <v>-</v>
      </c>
      <c r="AE156" s="20" t="str">
        <f ca="1">IFERROR(__xludf.DUMMYFUNCTION("""COMPUTED_VALUE"""),"-")</f>
        <v>-</v>
      </c>
      <c r="AF156" s="24">
        <f ca="1">IFERROR(__xludf.DUMMYFUNCTION("""COMPUTED_VALUE"""),0)</f>
        <v>0</v>
      </c>
      <c r="AG156" s="24">
        <f ca="1">IFERROR(__xludf.DUMMYFUNCTION("""COMPUTED_VALUE"""),0)</f>
        <v>0</v>
      </c>
      <c r="AH156" s="24">
        <f ca="1">IFERROR(__xludf.DUMMYFUNCTION("""COMPUTED_VALUE"""),0)</f>
        <v>0</v>
      </c>
      <c r="AI156" s="24">
        <f ca="1">IFERROR(__xludf.DUMMYFUNCTION("""COMPUTED_VALUE"""),0)</f>
        <v>0</v>
      </c>
      <c r="AJ156" s="24">
        <f ca="1">IFERROR(__xludf.DUMMYFUNCTION("""COMPUTED_VALUE"""),0)</f>
        <v>0</v>
      </c>
      <c r="AK156" s="24">
        <f ca="1">IFERROR(__xludf.DUMMYFUNCTION("""COMPUTED_VALUE"""),0)</f>
        <v>0</v>
      </c>
      <c r="AL156" s="24">
        <f ca="1">IFERROR(__xludf.DUMMYFUNCTION("""COMPUTED_VALUE"""),0)</f>
        <v>0</v>
      </c>
      <c r="AM156" s="20"/>
      <c r="AN156" s="20"/>
      <c r="AO156" s="20"/>
      <c r="AP156" s="20"/>
      <c r="AQ156" s="20"/>
      <c r="AR156" s="24">
        <f ca="1">IFERROR(__xludf.DUMMYFUNCTION("""COMPUTED_VALUE"""),0)</f>
        <v>0</v>
      </c>
      <c r="AS156" s="20"/>
      <c r="AT156" s="20"/>
      <c r="AU156" s="20"/>
      <c r="AV156" s="20"/>
      <c r="AW156" s="20"/>
      <c r="AX156" s="24">
        <f ca="1">IFERROR(__xludf.DUMMYFUNCTION("""COMPUTED_VALUE"""),0)</f>
        <v>0</v>
      </c>
      <c r="AY156" s="24">
        <f ca="1">IFERROR(__xludf.DUMMYFUNCTION("""COMPUTED_VALUE"""),0)</f>
        <v>0</v>
      </c>
      <c r="AZ156" s="24">
        <f ca="1">IFERROR(__xludf.DUMMYFUNCTION("""COMPUTED_VALUE"""),0)</f>
        <v>0</v>
      </c>
      <c r="BA156" s="24">
        <f ca="1">IFERROR(__xludf.DUMMYFUNCTION("""COMPUTED_VALUE"""),0)</f>
        <v>0</v>
      </c>
      <c r="BB156" s="24">
        <f ca="1">IFERROR(__xludf.DUMMYFUNCTION("""COMPUTED_VALUE"""),0)</f>
        <v>0</v>
      </c>
      <c r="BC156" s="20"/>
      <c r="BD156" s="24">
        <f ca="1">IFERROR(__xludf.DUMMYFUNCTION("""COMPUTED_VALUE"""),0)</f>
        <v>0</v>
      </c>
      <c r="BE156" s="24">
        <f ca="1">IFERROR(__xludf.DUMMYFUNCTION("""COMPUTED_VALUE"""),0)</f>
        <v>0</v>
      </c>
      <c r="BF156" s="24">
        <f ca="1">IFERROR(__xludf.DUMMYFUNCTION("""COMPUTED_VALUE"""),0)</f>
        <v>0</v>
      </c>
      <c r="BG156" s="24">
        <f ca="1">IFERROR(__xludf.DUMMYFUNCTION("""COMPUTED_VALUE"""),0)</f>
        <v>0</v>
      </c>
      <c r="BH156" s="24">
        <f ca="1">IFERROR(__xludf.DUMMYFUNCTION("""COMPUTED_VALUE"""),0)</f>
        <v>0</v>
      </c>
      <c r="BI156" s="20"/>
      <c r="BJ156" s="24">
        <f ca="1">IFERROR(__xludf.DUMMYFUNCTION("""COMPUTED_VALUE"""),0)</f>
        <v>0</v>
      </c>
      <c r="BK156" s="24">
        <f ca="1">IFERROR(__xludf.DUMMYFUNCTION("""COMPUTED_VALUE"""),0)</f>
        <v>0</v>
      </c>
      <c r="BL156" s="24">
        <f ca="1">IFERROR(__xludf.DUMMYFUNCTION("""COMPUTED_VALUE"""),0)</f>
        <v>0</v>
      </c>
      <c r="BM156" s="24">
        <f ca="1">IFERROR(__xludf.DUMMYFUNCTION("""COMPUTED_VALUE"""),0)</f>
        <v>0</v>
      </c>
      <c r="BN156" s="24">
        <f ca="1">IFERROR(__xludf.DUMMYFUNCTION("""COMPUTED_VALUE"""),0)</f>
        <v>0</v>
      </c>
      <c r="BO156" s="20"/>
      <c r="BP156" s="24">
        <f ca="1">IFERROR(__xludf.DUMMYFUNCTION("""COMPUTED_VALUE"""),0)</f>
        <v>0</v>
      </c>
      <c r="BQ156" s="24">
        <f ca="1">IFERROR(__xludf.DUMMYFUNCTION("""COMPUTED_VALUE"""),0)</f>
        <v>0</v>
      </c>
      <c r="BR156" s="24">
        <f ca="1">IFERROR(__xludf.DUMMYFUNCTION("""COMPUTED_VALUE"""),0)</f>
        <v>0</v>
      </c>
      <c r="BS156" s="24">
        <f ca="1">IFERROR(__xludf.DUMMYFUNCTION("""COMPUTED_VALUE"""),0)</f>
        <v>0</v>
      </c>
      <c r="BT156" s="24">
        <f ca="1">IFERROR(__xludf.DUMMYFUNCTION("""COMPUTED_VALUE"""),0)</f>
        <v>0</v>
      </c>
      <c r="BU156" s="20"/>
      <c r="BV156" s="24">
        <f ca="1">IFERROR(__xludf.DUMMYFUNCTION("""COMPUTED_VALUE"""),0)</f>
        <v>0</v>
      </c>
      <c r="BW156" s="24">
        <f ca="1">IFERROR(__xludf.DUMMYFUNCTION("""COMPUTED_VALUE"""),0)</f>
        <v>0</v>
      </c>
      <c r="BX156" s="24">
        <f ca="1">IFERROR(__xludf.DUMMYFUNCTION("""COMPUTED_VALUE"""),0)</f>
        <v>0</v>
      </c>
      <c r="BY156" s="24">
        <f ca="1">IFERROR(__xludf.DUMMYFUNCTION("""COMPUTED_VALUE"""),0)</f>
        <v>0</v>
      </c>
      <c r="BZ156" s="24">
        <f ca="1">IFERROR(__xludf.DUMMYFUNCTION("""COMPUTED_VALUE"""),0)</f>
        <v>0</v>
      </c>
      <c r="CA156" s="20"/>
      <c r="CB156" s="20"/>
      <c r="CC156" s="20"/>
      <c r="CD156" s="20"/>
      <c r="CE156" s="20"/>
      <c r="CF156" s="20"/>
      <c r="CG156" s="20"/>
      <c r="CH156" s="20"/>
      <c r="CI156" s="20"/>
      <c r="CJ156" s="20"/>
      <c r="CK156" s="20"/>
      <c r="CL156" s="20"/>
      <c r="CM156" s="20"/>
      <c r="CN156" s="20"/>
      <c r="CO156" s="20"/>
      <c r="CP156" s="20"/>
      <c r="CQ156" s="20"/>
      <c r="CR156" s="20"/>
      <c r="CS156" s="20"/>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row>
    <row r="157" spans="1:123" ht="64.5" hidden="1" customHeight="1" x14ac:dyDescent="0.2">
      <c r="A157" s="19"/>
      <c r="B157" s="20" t="str">
        <f ca="1">IFERROR(__xludf.DUMMYFUNCTION("""COMPUTED_VALUE"""),"г.о. Егорьевск")</f>
        <v>г.о. Егорьевск</v>
      </c>
      <c r="C15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7" s="20" t="str">
        <f ca="1">IFERROR(__xludf.DUMMYFUNCTION("""COMPUTED_VALUE"""),"МинЖКХ")</f>
        <v>МинЖКХ</v>
      </c>
      <c r="E157" s="20" t="str">
        <f ca="1">IFERROR(__xludf.DUMMYFUNCTION("""COMPUTED_VALUE"""),"Приобретение, монтаж и ввод в эксплуатацию станции водоочистки по адресу: д. Михали, г.о. Егорьевск. ")</f>
        <v xml:space="preserve">Приобретение, монтаж и ввод в эксплуатацию станции водоочистки по адресу: д. Михали, г.о. Егорьевск. </v>
      </c>
      <c r="F157" s="32" t="str">
        <f ca="1">IFERROR(__xludf.DUMMYFUNCTION("""COMPUTED_VALUE"""),"ВЗУ")</f>
        <v>ВЗУ</v>
      </c>
      <c r="G157" s="20" t="str">
        <f ca="1">IFERROR(__xludf.DUMMYFUNCTION("""COMPUTED_VALUE"""),"Н/Л")</f>
        <v>Н/Л</v>
      </c>
      <c r="H157" s="20" t="str">
        <f ca="1">IFERROR(__xludf.DUMMYFUNCTION("""COMPUTED_VALUE"""),"Приобретение, монтаж")</f>
        <v>Приобретение, монтаж</v>
      </c>
      <c r="I157" s="20"/>
      <c r="J157" s="20"/>
      <c r="K157" s="20"/>
      <c r="L157" s="20"/>
      <c r="M157" s="20"/>
      <c r="N157" s="24">
        <f ca="1">IFERROR(__xludf.DUMMYFUNCTION("""COMPUTED_VALUE"""),0)</f>
        <v>0</v>
      </c>
      <c r="O157" s="20"/>
      <c r="P157" s="20"/>
      <c r="Q157" s="20"/>
      <c r="R157" s="20"/>
      <c r="S157" s="20"/>
      <c r="T157" s="20"/>
      <c r="U157" s="24">
        <f ca="1">IFERROR(__xludf.DUMMYFUNCTION("""COMPUTED_VALUE"""),0)</f>
        <v>0</v>
      </c>
      <c r="V157" s="24">
        <f ca="1">IFERROR(__xludf.DUMMYFUNCTION("""COMPUTED_VALUE"""),0)</f>
        <v>0</v>
      </c>
      <c r="W157" s="24">
        <f ca="1">IFERROR(__xludf.DUMMYFUNCTION("""COMPUTED_VALUE"""),0)</f>
        <v>0</v>
      </c>
      <c r="X157" s="24">
        <f ca="1">IFERROR(__xludf.DUMMYFUNCTION("""COMPUTED_VALUE"""),0)</f>
        <v>0</v>
      </c>
      <c r="Y157" s="24">
        <f ca="1">IFERROR(__xludf.DUMMYFUNCTION("""COMPUTED_VALUE"""),0)</f>
        <v>0</v>
      </c>
      <c r="Z157" s="24">
        <f ca="1">IFERROR(__xludf.DUMMYFUNCTION("""COMPUTED_VALUE"""),0)</f>
        <v>0</v>
      </c>
      <c r="AA157" s="20" t="str">
        <f ca="1">IFERROR(__xludf.DUMMYFUNCTION("""COMPUTED_VALUE"""),"10 1 02 60330")</f>
        <v>10 1 02 60330</v>
      </c>
      <c r="AB157" s="20">
        <f ca="1">IFERROR(__xludf.DUMMYFUNCTION("""COMPUTED_VALUE"""),520)</f>
        <v>520</v>
      </c>
      <c r="AC157" s="20" t="str">
        <f ca="1">IFERROR(__xludf.DUMMYFUNCTION("""COMPUTED_VALUE"""),"Не требуется")</f>
        <v>Не требуется</v>
      </c>
      <c r="AD157" s="20" t="str">
        <f ca="1">IFERROR(__xludf.DUMMYFUNCTION("""COMPUTED_VALUE"""),"-")</f>
        <v>-</v>
      </c>
      <c r="AE157" s="20" t="str">
        <f ca="1">IFERROR(__xludf.DUMMYFUNCTION("""COMPUTED_VALUE"""),"-")</f>
        <v>-</v>
      </c>
      <c r="AF157" s="24">
        <f ca="1">IFERROR(__xludf.DUMMYFUNCTION("""COMPUTED_VALUE"""),0)</f>
        <v>0</v>
      </c>
      <c r="AG157" s="24">
        <f ca="1">IFERROR(__xludf.DUMMYFUNCTION("""COMPUTED_VALUE"""),0)</f>
        <v>0</v>
      </c>
      <c r="AH157" s="24">
        <f ca="1">IFERROR(__xludf.DUMMYFUNCTION("""COMPUTED_VALUE"""),0)</f>
        <v>0</v>
      </c>
      <c r="AI157" s="24">
        <f ca="1">IFERROR(__xludf.DUMMYFUNCTION("""COMPUTED_VALUE"""),0)</f>
        <v>0</v>
      </c>
      <c r="AJ157" s="24">
        <f ca="1">IFERROR(__xludf.DUMMYFUNCTION("""COMPUTED_VALUE"""),0)</f>
        <v>0</v>
      </c>
      <c r="AK157" s="24">
        <f ca="1">IFERROR(__xludf.DUMMYFUNCTION("""COMPUTED_VALUE"""),0)</f>
        <v>0</v>
      </c>
      <c r="AL157" s="24">
        <f ca="1">IFERROR(__xludf.DUMMYFUNCTION("""COMPUTED_VALUE"""),0)</f>
        <v>0</v>
      </c>
      <c r="AM157" s="20"/>
      <c r="AN157" s="20"/>
      <c r="AO157" s="20"/>
      <c r="AP157" s="20"/>
      <c r="AQ157" s="20"/>
      <c r="AR157" s="24">
        <f ca="1">IFERROR(__xludf.DUMMYFUNCTION("""COMPUTED_VALUE"""),0)</f>
        <v>0</v>
      </c>
      <c r="AS157" s="20"/>
      <c r="AT157" s="20"/>
      <c r="AU157" s="20"/>
      <c r="AV157" s="20"/>
      <c r="AW157" s="20"/>
      <c r="AX157" s="24">
        <f ca="1">IFERROR(__xludf.DUMMYFUNCTION("""COMPUTED_VALUE"""),0)</f>
        <v>0</v>
      </c>
      <c r="AY157" s="24">
        <f ca="1">IFERROR(__xludf.DUMMYFUNCTION("""COMPUTED_VALUE"""),0)</f>
        <v>0</v>
      </c>
      <c r="AZ157" s="24">
        <f ca="1">IFERROR(__xludf.DUMMYFUNCTION("""COMPUTED_VALUE"""),0)</f>
        <v>0</v>
      </c>
      <c r="BA157" s="24">
        <f ca="1">IFERROR(__xludf.DUMMYFUNCTION("""COMPUTED_VALUE"""),0)</f>
        <v>0</v>
      </c>
      <c r="BB157" s="24">
        <f ca="1">IFERROR(__xludf.DUMMYFUNCTION("""COMPUTED_VALUE"""),0)</f>
        <v>0</v>
      </c>
      <c r="BC157" s="20"/>
      <c r="BD157" s="24">
        <f ca="1">IFERROR(__xludf.DUMMYFUNCTION("""COMPUTED_VALUE"""),0)</f>
        <v>0</v>
      </c>
      <c r="BE157" s="24">
        <f ca="1">IFERROR(__xludf.DUMMYFUNCTION("""COMPUTED_VALUE"""),0)</f>
        <v>0</v>
      </c>
      <c r="BF157" s="24">
        <f ca="1">IFERROR(__xludf.DUMMYFUNCTION("""COMPUTED_VALUE"""),0)</f>
        <v>0</v>
      </c>
      <c r="BG157" s="24">
        <f ca="1">IFERROR(__xludf.DUMMYFUNCTION("""COMPUTED_VALUE"""),0)</f>
        <v>0</v>
      </c>
      <c r="BH157" s="24">
        <f ca="1">IFERROR(__xludf.DUMMYFUNCTION("""COMPUTED_VALUE"""),0)</f>
        <v>0</v>
      </c>
      <c r="BI157" s="20"/>
      <c r="BJ157" s="24">
        <f ca="1">IFERROR(__xludf.DUMMYFUNCTION("""COMPUTED_VALUE"""),0)</f>
        <v>0</v>
      </c>
      <c r="BK157" s="24">
        <f ca="1">IFERROR(__xludf.DUMMYFUNCTION("""COMPUTED_VALUE"""),0)</f>
        <v>0</v>
      </c>
      <c r="BL157" s="24">
        <f ca="1">IFERROR(__xludf.DUMMYFUNCTION("""COMPUTED_VALUE"""),0)</f>
        <v>0</v>
      </c>
      <c r="BM157" s="24">
        <f ca="1">IFERROR(__xludf.DUMMYFUNCTION("""COMPUTED_VALUE"""),0)</f>
        <v>0</v>
      </c>
      <c r="BN157" s="24">
        <f ca="1">IFERROR(__xludf.DUMMYFUNCTION("""COMPUTED_VALUE"""),0)</f>
        <v>0</v>
      </c>
      <c r="BO157" s="20"/>
      <c r="BP157" s="24">
        <f ca="1">IFERROR(__xludf.DUMMYFUNCTION("""COMPUTED_VALUE"""),0)</f>
        <v>0</v>
      </c>
      <c r="BQ157" s="24">
        <f ca="1">IFERROR(__xludf.DUMMYFUNCTION("""COMPUTED_VALUE"""),0)</f>
        <v>0</v>
      </c>
      <c r="BR157" s="24">
        <f ca="1">IFERROR(__xludf.DUMMYFUNCTION("""COMPUTED_VALUE"""),0)</f>
        <v>0</v>
      </c>
      <c r="BS157" s="24">
        <f ca="1">IFERROR(__xludf.DUMMYFUNCTION("""COMPUTED_VALUE"""),0)</f>
        <v>0</v>
      </c>
      <c r="BT157" s="24">
        <f ca="1">IFERROR(__xludf.DUMMYFUNCTION("""COMPUTED_VALUE"""),0)</f>
        <v>0</v>
      </c>
      <c r="BU157" s="20"/>
      <c r="BV157" s="24">
        <f ca="1">IFERROR(__xludf.DUMMYFUNCTION("""COMPUTED_VALUE"""),0)</f>
        <v>0</v>
      </c>
      <c r="BW157" s="24">
        <f ca="1">IFERROR(__xludf.DUMMYFUNCTION("""COMPUTED_VALUE"""),0)</f>
        <v>0</v>
      </c>
      <c r="BX157" s="24">
        <f ca="1">IFERROR(__xludf.DUMMYFUNCTION("""COMPUTED_VALUE"""),0)</f>
        <v>0</v>
      </c>
      <c r="BY157" s="24">
        <f ca="1">IFERROR(__xludf.DUMMYFUNCTION("""COMPUTED_VALUE"""),0)</f>
        <v>0</v>
      </c>
      <c r="BZ157" s="24">
        <f ca="1">IFERROR(__xludf.DUMMYFUNCTION("""COMPUTED_VALUE"""),0)</f>
        <v>0</v>
      </c>
      <c r="CA157" s="20"/>
      <c r="CB157" s="20"/>
      <c r="CC157" s="20"/>
      <c r="CD157" s="20"/>
      <c r="CE157" s="20"/>
      <c r="CF157" s="20"/>
      <c r="CG157" s="20"/>
      <c r="CH157" s="20"/>
      <c r="CI157" s="20"/>
      <c r="CJ157" s="20"/>
      <c r="CK157" s="20"/>
      <c r="CL157" s="20"/>
      <c r="CM157" s="20"/>
      <c r="CN157" s="20"/>
      <c r="CO157" s="20"/>
      <c r="CP157" s="20"/>
      <c r="CQ157" s="20"/>
      <c r="CR157" s="20"/>
      <c r="CS157" s="20"/>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row>
    <row r="158" spans="1:123" ht="64.5" hidden="1" customHeight="1" x14ac:dyDescent="0.2">
      <c r="A158" s="19"/>
      <c r="B158" s="20" t="str">
        <f ca="1">IFERROR(__xludf.DUMMYFUNCTION("""COMPUTED_VALUE"""),"г.о. Егорьевск")</f>
        <v>г.о. Егорьевск</v>
      </c>
      <c r="C15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8" s="20" t="str">
        <f ca="1">IFERROR(__xludf.DUMMYFUNCTION("""COMPUTED_VALUE"""),"МинЖКХ")</f>
        <v>МинЖКХ</v>
      </c>
      <c r="E158" s="20" t="str">
        <f ca="1">IFERROR(__xludf.DUMMYFUNCTION("""COMPUTED_VALUE"""),"Приобретение, монтаж и ввод в эксплуатацию станции водоочистки по адресу: д.Клеменово, г.о. Егорьевск. ")</f>
        <v xml:space="preserve">Приобретение, монтаж и ввод в эксплуатацию станции водоочистки по адресу: д.Клеменово, г.о. Егорьевск. </v>
      </c>
      <c r="F158" s="32" t="str">
        <f ca="1">IFERROR(__xludf.DUMMYFUNCTION("""COMPUTED_VALUE"""),"ВЗУ")</f>
        <v>ВЗУ</v>
      </c>
      <c r="G158" s="20" t="str">
        <f ca="1">IFERROR(__xludf.DUMMYFUNCTION("""COMPUTED_VALUE"""),"Н/Л")</f>
        <v>Н/Л</v>
      </c>
      <c r="H158" s="20" t="str">
        <f ca="1">IFERROR(__xludf.DUMMYFUNCTION("""COMPUTED_VALUE"""),"Приобретение, монтаж")</f>
        <v>Приобретение, монтаж</v>
      </c>
      <c r="I158" s="20"/>
      <c r="J158" s="20"/>
      <c r="K158" s="20"/>
      <c r="L158" s="20"/>
      <c r="M158" s="20"/>
      <c r="N158" s="24">
        <f ca="1">IFERROR(__xludf.DUMMYFUNCTION("""COMPUTED_VALUE"""),0)</f>
        <v>0</v>
      </c>
      <c r="O158" s="20"/>
      <c r="P158" s="20"/>
      <c r="Q158" s="20"/>
      <c r="R158" s="20"/>
      <c r="S158" s="20"/>
      <c r="T158" s="20"/>
      <c r="U158" s="24">
        <f ca="1">IFERROR(__xludf.DUMMYFUNCTION("""COMPUTED_VALUE"""),0)</f>
        <v>0</v>
      </c>
      <c r="V158" s="24">
        <f ca="1">IFERROR(__xludf.DUMMYFUNCTION("""COMPUTED_VALUE"""),0)</f>
        <v>0</v>
      </c>
      <c r="W158" s="24">
        <f ca="1">IFERROR(__xludf.DUMMYFUNCTION("""COMPUTED_VALUE"""),0)</f>
        <v>0</v>
      </c>
      <c r="X158" s="24">
        <f ca="1">IFERROR(__xludf.DUMMYFUNCTION("""COMPUTED_VALUE"""),0)</f>
        <v>0</v>
      </c>
      <c r="Y158" s="24">
        <f ca="1">IFERROR(__xludf.DUMMYFUNCTION("""COMPUTED_VALUE"""),0)</f>
        <v>0</v>
      </c>
      <c r="Z158" s="24">
        <f ca="1">IFERROR(__xludf.DUMMYFUNCTION("""COMPUTED_VALUE"""),0)</f>
        <v>0</v>
      </c>
      <c r="AA158" s="20" t="str">
        <f ca="1">IFERROR(__xludf.DUMMYFUNCTION("""COMPUTED_VALUE"""),"10 1 02 60330")</f>
        <v>10 1 02 60330</v>
      </c>
      <c r="AB158" s="20">
        <f ca="1">IFERROR(__xludf.DUMMYFUNCTION("""COMPUTED_VALUE"""),520)</f>
        <v>520</v>
      </c>
      <c r="AC158" s="20" t="str">
        <f ca="1">IFERROR(__xludf.DUMMYFUNCTION("""COMPUTED_VALUE"""),"Не требуется")</f>
        <v>Не требуется</v>
      </c>
      <c r="AD158" s="20" t="str">
        <f ca="1">IFERROR(__xludf.DUMMYFUNCTION("""COMPUTED_VALUE"""),"-")</f>
        <v>-</v>
      </c>
      <c r="AE158" s="20" t="str">
        <f ca="1">IFERROR(__xludf.DUMMYFUNCTION("""COMPUTED_VALUE"""),"-")</f>
        <v>-</v>
      </c>
      <c r="AF158" s="24">
        <f ca="1">IFERROR(__xludf.DUMMYFUNCTION("""COMPUTED_VALUE"""),0)</f>
        <v>0</v>
      </c>
      <c r="AG158" s="24">
        <f ca="1">IFERROR(__xludf.DUMMYFUNCTION("""COMPUTED_VALUE"""),0)</f>
        <v>0</v>
      </c>
      <c r="AH158" s="24">
        <f ca="1">IFERROR(__xludf.DUMMYFUNCTION("""COMPUTED_VALUE"""),0)</f>
        <v>0</v>
      </c>
      <c r="AI158" s="24">
        <f ca="1">IFERROR(__xludf.DUMMYFUNCTION("""COMPUTED_VALUE"""),0)</f>
        <v>0</v>
      </c>
      <c r="AJ158" s="24">
        <f ca="1">IFERROR(__xludf.DUMMYFUNCTION("""COMPUTED_VALUE"""),0)</f>
        <v>0</v>
      </c>
      <c r="AK158" s="24">
        <f ca="1">IFERROR(__xludf.DUMMYFUNCTION("""COMPUTED_VALUE"""),0)</f>
        <v>0</v>
      </c>
      <c r="AL158" s="24">
        <f ca="1">IFERROR(__xludf.DUMMYFUNCTION("""COMPUTED_VALUE"""),0)</f>
        <v>0</v>
      </c>
      <c r="AM158" s="20"/>
      <c r="AN158" s="20"/>
      <c r="AO158" s="20"/>
      <c r="AP158" s="20"/>
      <c r="AQ158" s="20"/>
      <c r="AR158" s="24">
        <f ca="1">IFERROR(__xludf.DUMMYFUNCTION("""COMPUTED_VALUE"""),0)</f>
        <v>0</v>
      </c>
      <c r="AS158" s="20"/>
      <c r="AT158" s="20"/>
      <c r="AU158" s="20"/>
      <c r="AV158" s="20"/>
      <c r="AW158" s="20"/>
      <c r="AX158" s="24">
        <f ca="1">IFERROR(__xludf.DUMMYFUNCTION("""COMPUTED_VALUE"""),0)</f>
        <v>0</v>
      </c>
      <c r="AY158" s="24">
        <f ca="1">IFERROR(__xludf.DUMMYFUNCTION("""COMPUTED_VALUE"""),0)</f>
        <v>0</v>
      </c>
      <c r="AZ158" s="24">
        <f ca="1">IFERROR(__xludf.DUMMYFUNCTION("""COMPUTED_VALUE"""),0)</f>
        <v>0</v>
      </c>
      <c r="BA158" s="24">
        <f ca="1">IFERROR(__xludf.DUMMYFUNCTION("""COMPUTED_VALUE"""),0)</f>
        <v>0</v>
      </c>
      <c r="BB158" s="24">
        <f ca="1">IFERROR(__xludf.DUMMYFUNCTION("""COMPUTED_VALUE"""),0)</f>
        <v>0</v>
      </c>
      <c r="BC158" s="20"/>
      <c r="BD158" s="24">
        <f ca="1">IFERROR(__xludf.DUMMYFUNCTION("""COMPUTED_VALUE"""),0)</f>
        <v>0</v>
      </c>
      <c r="BE158" s="24">
        <f ca="1">IFERROR(__xludf.DUMMYFUNCTION("""COMPUTED_VALUE"""),0)</f>
        <v>0</v>
      </c>
      <c r="BF158" s="24">
        <f ca="1">IFERROR(__xludf.DUMMYFUNCTION("""COMPUTED_VALUE"""),0)</f>
        <v>0</v>
      </c>
      <c r="BG158" s="24">
        <f ca="1">IFERROR(__xludf.DUMMYFUNCTION("""COMPUTED_VALUE"""),0)</f>
        <v>0</v>
      </c>
      <c r="BH158" s="24">
        <f ca="1">IFERROR(__xludf.DUMMYFUNCTION("""COMPUTED_VALUE"""),0)</f>
        <v>0</v>
      </c>
      <c r="BI158" s="20"/>
      <c r="BJ158" s="24">
        <f ca="1">IFERROR(__xludf.DUMMYFUNCTION("""COMPUTED_VALUE"""),0)</f>
        <v>0</v>
      </c>
      <c r="BK158" s="24">
        <f ca="1">IFERROR(__xludf.DUMMYFUNCTION("""COMPUTED_VALUE"""),0)</f>
        <v>0</v>
      </c>
      <c r="BL158" s="24">
        <f ca="1">IFERROR(__xludf.DUMMYFUNCTION("""COMPUTED_VALUE"""),0)</f>
        <v>0</v>
      </c>
      <c r="BM158" s="24">
        <f ca="1">IFERROR(__xludf.DUMMYFUNCTION("""COMPUTED_VALUE"""),0)</f>
        <v>0</v>
      </c>
      <c r="BN158" s="24">
        <f ca="1">IFERROR(__xludf.DUMMYFUNCTION("""COMPUTED_VALUE"""),0)</f>
        <v>0</v>
      </c>
      <c r="BO158" s="20"/>
      <c r="BP158" s="24">
        <f ca="1">IFERROR(__xludf.DUMMYFUNCTION("""COMPUTED_VALUE"""),0)</f>
        <v>0</v>
      </c>
      <c r="BQ158" s="24">
        <f ca="1">IFERROR(__xludf.DUMMYFUNCTION("""COMPUTED_VALUE"""),0)</f>
        <v>0</v>
      </c>
      <c r="BR158" s="24">
        <f ca="1">IFERROR(__xludf.DUMMYFUNCTION("""COMPUTED_VALUE"""),0)</f>
        <v>0</v>
      </c>
      <c r="BS158" s="24">
        <f ca="1">IFERROR(__xludf.DUMMYFUNCTION("""COMPUTED_VALUE"""),0)</f>
        <v>0</v>
      </c>
      <c r="BT158" s="24">
        <f ca="1">IFERROR(__xludf.DUMMYFUNCTION("""COMPUTED_VALUE"""),0)</f>
        <v>0</v>
      </c>
      <c r="BU158" s="20"/>
      <c r="BV158" s="24">
        <f ca="1">IFERROR(__xludf.DUMMYFUNCTION("""COMPUTED_VALUE"""),0)</f>
        <v>0</v>
      </c>
      <c r="BW158" s="24">
        <f ca="1">IFERROR(__xludf.DUMMYFUNCTION("""COMPUTED_VALUE"""),0)</f>
        <v>0</v>
      </c>
      <c r="BX158" s="24">
        <f ca="1">IFERROR(__xludf.DUMMYFUNCTION("""COMPUTED_VALUE"""),0)</f>
        <v>0</v>
      </c>
      <c r="BY158" s="24">
        <f ca="1">IFERROR(__xludf.DUMMYFUNCTION("""COMPUTED_VALUE"""),0)</f>
        <v>0</v>
      </c>
      <c r="BZ158" s="24">
        <f ca="1">IFERROR(__xludf.DUMMYFUNCTION("""COMPUTED_VALUE"""),0)</f>
        <v>0</v>
      </c>
      <c r="CA158" s="20"/>
      <c r="CB158" s="20"/>
      <c r="CC158" s="20"/>
      <c r="CD158" s="20"/>
      <c r="CE158" s="20"/>
      <c r="CF158" s="20"/>
      <c r="CG158" s="20"/>
      <c r="CH158" s="20"/>
      <c r="CI158" s="20"/>
      <c r="CJ158" s="20"/>
      <c r="CK158" s="20"/>
      <c r="CL158" s="20"/>
      <c r="CM158" s="20"/>
      <c r="CN158" s="20"/>
      <c r="CO158" s="20"/>
      <c r="CP158" s="20"/>
      <c r="CQ158" s="20"/>
      <c r="CR158" s="20"/>
      <c r="CS158" s="20"/>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row>
    <row r="159" spans="1:123" ht="64.5" hidden="1" customHeight="1" x14ac:dyDescent="0.2">
      <c r="A159" s="19"/>
      <c r="B159" s="20" t="str">
        <f ca="1">IFERROR(__xludf.DUMMYFUNCTION("""COMPUTED_VALUE"""),"г.о. Егорьевск")</f>
        <v>г.о. Егорьевск</v>
      </c>
      <c r="C15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9" s="20" t="str">
        <f ca="1">IFERROR(__xludf.DUMMYFUNCTION("""COMPUTED_VALUE"""),"МинЖКХ")</f>
        <v>МинЖКХ</v>
      </c>
      <c r="E159" s="20" t="str">
        <f ca="1">IFERROR(__xludf.DUMMYFUNCTION("""COMPUTED_VALUE"""),"Приобретение, монтаж и ввод в эксплуатацию станции водоочистки по адресу: д. Лелечи, г.о. Егорьевск. ")</f>
        <v xml:space="preserve">Приобретение, монтаж и ввод в эксплуатацию станции водоочистки по адресу: д. Лелечи, г.о. Егорьевск. </v>
      </c>
      <c r="F159" s="32" t="str">
        <f ca="1">IFERROR(__xludf.DUMMYFUNCTION("""COMPUTED_VALUE"""),"ВЗУ")</f>
        <v>ВЗУ</v>
      </c>
      <c r="G159" s="20" t="str">
        <f ca="1">IFERROR(__xludf.DUMMYFUNCTION("""COMPUTED_VALUE"""),"Н/Л")</f>
        <v>Н/Л</v>
      </c>
      <c r="H159" s="20" t="str">
        <f ca="1">IFERROR(__xludf.DUMMYFUNCTION("""COMPUTED_VALUE"""),"Приобретение, монтаж")</f>
        <v>Приобретение, монтаж</v>
      </c>
      <c r="I159" s="20"/>
      <c r="J159" s="20"/>
      <c r="K159" s="20"/>
      <c r="L159" s="20"/>
      <c r="M159" s="20"/>
      <c r="N159" s="24">
        <f ca="1">IFERROR(__xludf.DUMMYFUNCTION("""COMPUTED_VALUE"""),0)</f>
        <v>0</v>
      </c>
      <c r="O159" s="20"/>
      <c r="P159" s="20"/>
      <c r="Q159" s="20"/>
      <c r="R159" s="20"/>
      <c r="S159" s="20"/>
      <c r="T159" s="20"/>
      <c r="U159" s="24">
        <f ca="1">IFERROR(__xludf.DUMMYFUNCTION("""COMPUTED_VALUE"""),0)</f>
        <v>0</v>
      </c>
      <c r="V159" s="24">
        <f ca="1">IFERROR(__xludf.DUMMYFUNCTION("""COMPUTED_VALUE"""),0)</f>
        <v>0</v>
      </c>
      <c r="W159" s="24">
        <f ca="1">IFERROR(__xludf.DUMMYFUNCTION("""COMPUTED_VALUE"""),0)</f>
        <v>0</v>
      </c>
      <c r="X159" s="24">
        <f ca="1">IFERROR(__xludf.DUMMYFUNCTION("""COMPUTED_VALUE"""),0)</f>
        <v>0</v>
      </c>
      <c r="Y159" s="24">
        <f ca="1">IFERROR(__xludf.DUMMYFUNCTION("""COMPUTED_VALUE"""),0)</f>
        <v>0</v>
      </c>
      <c r="Z159" s="24">
        <f ca="1">IFERROR(__xludf.DUMMYFUNCTION("""COMPUTED_VALUE"""),0)</f>
        <v>0</v>
      </c>
      <c r="AA159" s="20" t="str">
        <f ca="1">IFERROR(__xludf.DUMMYFUNCTION("""COMPUTED_VALUE"""),"10 1 02 60330")</f>
        <v>10 1 02 60330</v>
      </c>
      <c r="AB159" s="20">
        <f ca="1">IFERROR(__xludf.DUMMYFUNCTION("""COMPUTED_VALUE"""),520)</f>
        <v>520</v>
      </c>
      <c r="AC159" s="20" t="str">
        <f ca="1">IFERROR(__xludf.DUMMYFUNCTION("""COMPUTED_VALUE"""),"Не требуется")</f>
        <v>Не требуется</v>
      </c>
      <c r="AD159" s="20" t="str">
        <f ca="1">IFERROR(__xludf.DUMMYFUNCTION("""COMPUTED_VALUE"""),"-")</f>
        <v>-</v>
      </c>
      <c r="AE159" s="20" t="str">
        <f ca="1">IFERROR(__xludf.DUMMYFUNCTION("""COMPUTED_VALUE"""),"-")</f>
        <v>-</v>
      </c>
      <c r="AF159" s="24">
        <f ca="1">IFERROR(__xludf.DUMMYFUNCTION("""COMPUTED_VALUE"""),0)</f>
        <v>0</v>
      </c>
      <c r="AG159" s="24">
        <f ca="1">IFERROR(__xludf.DUMMYFUNCTION("""COMPUTED_VALUE"""),0)</f>
        <v>0</v>
      </c>
      <c r="AH159" s="24">
        <f ca="1">IFERROR(__xludf.DUMMYFUNCTION("""COMPUTED_VALUE"""),0)</f>
        <v>0</v>
      </c>
      <c r="AI159" s="24">
        <f ca="1">IFERROR(__xludf.DUMMYFUNCTION("""COMPUTED_VALUE"""),0)</f>
        <v>0</v>
      </c>
      <c r="AJ159" s="24">
        <f ca="1">IFERROR(__xludf.DUMMYFUNCTION("""COMPUTED_VALUE"""),0)</f>
        <v>0</v>
      </c>
      <c r="AK159" s="24">
        <f ca="1">IFERROR(__xludf.DUMMYFUNCTION("""COMPUTED_VALUE"""),0)</f>
        <v>0</v>
      </c>
      <c r="AL159" s="24">
        <f ca="1">IFERROR(__xludf.DUMMYFUNCTION("""COMPUTED_VALUE"""),0)</f>
        <v>0</v>
      </c>
      <c r="AM159" s="20"/>
      <c r="AN159" s="20"/>
      <c r="AO159" s="20"/>
      <c r="AP159" s="20"/>
      <c r="AQ159" s="20"/>
      <c r="AR159" s="24">
        <f ca="1">IFERROR(__xludf.DUMMYFUNCTION("""COMPUTED_VALUE"""),0)</f>
        <v>0</v>
      </c>
      <c r="AS159" s="20"/>
      <c r="AT159" s="20"/>
      <c r="AU159" s="20"/>
      <c r="AV159" s="20"/>
      <c r="AW159" s="20"/>
      <c r="AX159" s="24">
        <f ca="1">IFERROR(__xludf.DUMMYFUNCTION("""COMPUTED_VALUE"""),0)</f>
        <v>0</v>
      </c>
      <c r="AY159" s="24">
        <f ca="1">IFERROR(__xludf.DUMMYFUNCTION("""COMPUTED_VALUE"""),0)</f>
        <v>0</v>
      </c>
      <c r="AZ159" s="24">
        <f ca="1">IFERROR(__xludf.DUMMYFUNCTION("""COMPUTED_VALUE"""),0)</f>
        <v>0</v>
      </c>
      <c r="BA159" s="24">
        <f ca="1">IFERROR(__xludf.DUMMYFUNCTION("""COMPUTED_VALUE"""),0)</f>
        <v>0</v>
      </c>
      <c r="BB159" s="24">
        <f ca="1">IFERROR(__xludf.DUMMYFUNCTION("""COMPUTED_VALUE"""),0)</f>
        <v>0</v>
      </c>
      <c r="BC159" s="20"/>
      <c r="BD159" s="24">
        <f ca="1">IFERROR(__xludf.DUMMYFUNCTION("""COMPUTED_VALUE"""),0)</f>
        <v>0</v>
      </c>
      <c r="BE159" s="24">
        <f ca="1">IFERROR(__xludf.DUMMYFUNCTION("""COMPUTED_VALUE"""),0)</f>
        <v>0</v>
      </c>
      <c r="BF159" s="24">
        <f ca="1">IFERROR(__xludf.DUMMYFUNCTION("""COMPUTED_VALUE"""),0)</f>
        <v>0</v>
      </c>
      <c r="BG159" s="24">
        <f ca="1">IFERROR(__xludf.DUMMYFUNCTION("""COMPUTED_VALUE"""),0)</f>
        <v>0</v>
      </c>
      <c r="BH159" s="24">
        <f ca="1">IFERROR(__xludf.DUMMYFUNCTION("""COMPUTED_VALUE"""),0)</f>
        <v>0</v>
      </c>
      <c r="BI159" s="20"/>
      <c r="BJ159" s="24">
        <f ca="1">IFERROR(__xludf.DUMMYFUNCTION("""COMPUTED_VALUE"""),0)</f>
        <v>0</v>
      </c>
      <c r="BK159" s="24">
        <f ca="1">IFERROR(__xludf.DUMMYFUNCTION("""COMPUTED_VALUE"""),0)</f>
        <v>0</v>
      </c>
      <c r="BL159" s="24">
        <f ca="1">IFERROR(__xludf.DUMMYFUNCTION("""COMPUTED_VALUE"""),0)</f>
        <v>0</v>
      </c>
      <c r="BM159" s="24">
        <f ca="1">IFERROR(__xludf.DUMMYFUNCTION("""COMPUTED_VALUE"""),0)</f>
        <v>0</v>
      </c>
      <c r="BN159" s="24">
        <f ca="1">IFERROR(__xludf.DUMMYFUNCTION("""COMPUTED_VALUE"""),0)</f>
        <v>0</v>
      </c>
      <c r="BO159" s="20"/>
      <c r="BP159" s="24">
        <f ca="1">IFERROR(__xludf.DUMMYFUNCTION("""COMPUTED_VALUE"""),0)</f>
        <v>0</v>
      </c>
      <c r="BQ159" s="24">
        <f ca="1">IFERROR(__xludf.DUMMYFUNCTION("""COMPUTED_VALUE"""),0)</f>
        <v>0</v>
      </c>
      <c r="BR159" s="24">
        <f ca="1">IFERROR(__xludf.DUMMYFUNCTION("""COMPUTED_VALUE"""),0)</f>
        <v>0</v>
      </c>
      <c r="BS159" s="24">
        <f ca="1">IFERROR(__xludf.DUMMYFUNCTION("""COMPUTED_VALUE"""),0)</f>
        <v>0</v>
      </c>
      <c r="BT159" s="24">
        <f ca="1">IFERROR(__xludf.DUMMYFUNCTION("""COMPUTED_VALUE"""),0)</f>
        <v>0</v>
      </c>
      <c r="BU159" s="20"/>
      <c r="BV159" s="24">
        <f ca="1">IFERROR(__xludf.DUMMYFUNCTION("""COMPUTED_VALUE"""),0)</f>
        <v>0</v>
      </c>
      <c r="BW159" s="24">
        <f ca="1">IFERROR(__xludf.DUMMYFUNCTION("""COMPUTED_VALUE"""),0)</f>
        <v>0</v>
      </c>
      <c r="BX159" s="24">
        <f ca="1">IFERROR(__xludf.DUMMYFUNCTION("""COMPUTED_VALUE"""),0)</f>
        <v>0</v>
      </c>
      <c r="BY159" s="24">
        <f ca="1">IFERROR(__xludf.DUMMYFUNCTION("""COMPUTED_VALUE"""),0)</f>
        <v>0</v>
      </c>
      <c r="BZ159" s="24">
        <f ca="1">IFERROR(__xludf.DUMMYFUNCTION("""COMPUTED_VALUE"""),0)</f>
        <v>0</v>
      </c>
      <c r="CA159" s="20"/>
      <c r="CB159" s="20"/>
      <c r="CC159" s="20"/>
      <c r="CD159" s="20"/>
      <c r="CE159" s="20"/>
      <c r="CF159" s="20"/>
      <c r="CG159" s="20"/>
      <c r="CH159" s="20"/>
      <c r="CI159" s="20"/>
      <c r="CJ159" s="20"/>
      <c r="CK159" s="20"/>
      <c r="CL159" s="20"/>
      <c r="CM159" s="20"/>
      <c r="CN159" s="20"/>
      <c r="CO159" s="20"/>
      <c r="CP159" s="20"/>
      <c r="CQ159" s="20"/>
      <c r="CR159" s="20"/>
      <c r="CS159" s="20"/>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row>
    <row r="160" spans="1:123" ht="64.5" hidden="1" customHeight="1" x14ac:dyDescent="0.2">
      <c r="A160" s="19"/>
      <c r="B160" s="20" t="str">
        <f ca="1">IFERROR(__xludf.DUMMYFUNCTION("""COMPUTED_VALUE"""),"г.о. Егорьевск")</f>
        <v>г.о. Егорьевск</v>
      </c>
      <c r="C16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0" s="20" t="str">
        <f ca="1">IFERROR(__xludf.DUMMYFUNCTION("""COMPUTED_VALUE"""),"МинЖКХ")</f>
        <v>МинЖКХ</v>
      </c>
      <c r="E160" s="20" t="str">
        <f ca="1">IFERROR(__xludf.DUMMYFUNCTION("""COMPUTED_VALUE"""),"Приобретение, монтаж и ввод в эксплуатацию станции водоочистки по адресу: д. Захарово, 3В, г.о. Егорьевск. ")</f>
        <v xml:space="preserve">Приобретение, монтаж и ввод в эксплуатацию станции водоочистки по адресу: д. Захарово, 3В, г.о. Егорьевск. </v>
      </c>
      <c r="F160" s="32" t="str">
        <f ca="1">IFERROR(__xludf.DUMMYFUNCTION("""COMPUTED_VALUE"""),"ВЗУ")</f>
        <v>ВЗУ</v>
      </c>
      <c r="G160" s="20" t="str">
        <f ca="1">IFERROR(__xludf.DUMMYFUNCTION("""COMPUTED_VALUE"""),"Н/Л")</f>
        <v>Н/Л</v>
      </c>
      <c r="H160" s="20" t="str">
        <f ca="1">IFERROR(__xludf.DUMMYFUNCTION("""COMPUTED_VALUE"""),"Приобретение, монтаж")</f>
        <v>Приобретение, монтаж</v>
      </c>
      <c r="I160" s="20"/>
      <c r="J160" s="20"/>
      <c r="K160" s="20"/>
      <c r="L160" s="20"/>
      <c r="M160" s="20"/>
      <c r="N160" s="24">
        <f ca="1">IFERROR(__xludf.DUMMYFUNCTION("""COMPUTED_VALUE"""),0)</f>
        <v>0</v>
      </c>
      <c r="O160" s="20"/>
      <c r="P160" s="20"/>
      <c r="Q160" s="20"/>
      <c r="R160" s="20"/>
      <c r="S160" s="20"/>
      <c r="T160" s="20"/>
      <c r="U160" s="24">
        <f ca="1">IFERROR(__xludf.DUMMYFUNCTION("""COMPUTED_VALUE"""),0)</f>
        <v>0</v>
      </c>
      <c r="V160" s="24">
        <f ca="1">IFERROR(__xludf.DUMMYFUNCTION("""COMPUTED_VALUE"""),0)</f>
        <v>0</v>
      </c>
      <c r="W160" s="24">
        <f ca="1">IFERROR(__xludf.DUMMYFUNCTION("""COMPUTED_VALUE"""),0)</f>
        <v>0</v>
      </c>
      <c r="X160" s="24">
        <f ca="1">IFERROR(__xludf.DUMMYFUNCTION("""COMPUTED_VALUE"""),0)</f>
        <v>0</v>
      </c>
      <c r="Y160" s="24">
        <f ca="1">IFERROR(__xludf.DUMMYFUNCTION("""COMPUTED_VALUE"""),0)</f>
        <v>0</v>
      </c>
      <c r="Z160" s="24">
        <f ca="1">IFERROR(__xludf.DUMMYFUNCTION("""COMPUTED_VALUE"""),0)</f>
        <v>0</v>
      </c>
      <c r="AA160" s="20" t="str">
        <f ca="1">IFERROR(__xludf.DUMMYFUNCTION("""COMPUTED_VALUE"""),"10 1 02 60330")</f>
        <v>10 1 02 60330</v>
      </c>
      <c r="AB160" s="20">
        <f ca="1">IFERROR(__xludf.DUMMYFUNCTION("""COMPUTED_VALUE"""),520)</f>
        <v>520</v>
      </c>
      <c r="AC160" s="20" t="str">
        <f ca="1">IFERROR(__xludf.DUMMYFUNCTION("""COMPUTED_VALUE"""),"Не требуется")</f>
        <v>Не требуется</v>
      </c>
      <c r="AD160" s="20" t="str">
        <f ca="1">IFERROR(__xludf.DUMMYFUNCTION("""COMPUTED_VALUE"""),"-")</f>
        <v>-</v>
      </c>
      <c r="AE160" s="20" t="str">
        <f ca="1">IFERROR(__xludf.DUMMYFUNCTION("""COMPUTED_VALUE"""),"-")</f>
        <v>-</v>
      </c>
      <c r="AF160" s="24">
        <f ca="1">IFERROR(__xludf.DUMMYFUNCTION("""COMPUTED_VALUE"""),0)</f>
        <v>0</v>
      </c>
      <c r="AG160" s="24">
        <f ca="1">IFERROR(__xludf.DUMMYFUNCTION("""COMPUTED_VALUE"""),0)</f>
        <v>0</v>
      </c>
      <c r="AH160" s="24">
        <f ca="1">IFERROR(__xludf.DUMMYFUNCTION("""COMPUTED_VALUE"""),0)</f>
        <v>0</v>
      </c>
      <c r="AI160" s="24">
        <f ca="1">IFERROR(__xludf.DUMMYFUNCTION("""COMPUTED_VALUE"""),0)</f>
        <v>0</v>
      </c>
      <c r="AJ160" s="24">
        <f ca="1">IFERROR(__xludf.DUMMYFUNCTION("""COMPUTED_VALUE"""),0)</f>
        <v>0</v>
      </c>
      <c r="AK160" s="24">
        <f ca="1">IFERROR(__xludf.DUMMYFUNCTION("""COMPUTED_VALUE"""),0)</f>
        <v>0</v>
      </c>
      <c r="AL160" s="24">
        <f ca="1">IFERROR(__xludf.DUMMYFUNCTION("""COMPUTED_VALUE"""),0)</f>
        <v>0</v>
      </c>
      <c r="AM160" s="20"/>
      <c r="AN160" s="20"/>
      <c r="AO160" s="20"/>
      <c r="AP160" s="20"/>
      <c r="AQ160" s="20"/>
      <c r="AR160" s="24">
        <f ca="1">IFERROR(__xludf.DUMMYFUNCTION("""COMPUTED_VALUE"""),0)</f>
        <v>0</v>
      </c>
      <c r="AS160" s="20"/>
      <c r="AT160" s="20"/>
      <c r="AU160" s="20"/>
      <c r="AV160" s="20"/>
      <c r="AW160" s="20"/>
      <c r="AX160" s="24">
        <f ca="1">IFERROR(__xludf.DUMMYFUNCTION("""COMPUTED_VALUE"""),0)</f>
        <v>0</v>
      </c>
      <c r="AY160" s="24">
        <f ca="1">IFERROR(__xludf.DUMMYFUNCTION("""COMPUTED_VALUE"""),0)</f>
        <v>0</v>
      </c>
      <c r="AZ160" s="24">
        <f ca="1">IFERROR(__xludf.DUMMYFUNCTION("""COMPUTED_VALUE"""),0)</f>
        <v>0</v>
      </c>
      <c r="BA160" s="24">
        <f ca="1">IFERROR(__xludf.DUMMYFUNCTION("""COMPUTED_VALUE"""),0)</f>
        <v>0</v>
      </c>
      <c r="BB160" s="24">
        <f ca="1">IFERROR(__xludf.DUMMYFUNCTION("""COMPUTED_VALUE"""),0)</f>
        <v>0</v>
      </c>
      <c r="BC160" s="20"/>
      <c r="BD160" s="24">
        <f ca="1">IFERROR(__xludf.DUMMYFUNCTION("""COMPUTED_VALUE"""),0)</f>
        <v>0</v>
      </c>
      <c r="BE160" s="24">
        <f ca="1">IFERROR(__xludf.DUMMYFUNCTION("""COMPUTED_VALUE"""),0)</f>
        <v>0</v>
      </c>
      <c r="BF160" s="24">
        <f ca="1">IFERROR(__xludf.DUMMYFUNCTION("""COMPUTED_VALUE"""),0)</f>
        <v>0</v>
      </c>
      <c r="BG160" s="24">
        <f ca="1">IFERROR(__xludf.DUMMYFUNCTION("""COMPUTED_VALUE"""),0)</f>
        <v>0</v>
      </c>
      <c r="BH160" s="24">
        <f ca="1">IFERROR(__xludf.DUMMYFUNCTION("""COMPUTED_VALUE"""),0)</f>
        <v>0</v>
      </c>
      <c r="BI160" s="20"/>
      <c r="BJ160" s="24">
        <f ca="1">IFERROR(__xludf.DUMMYFUNCTION("""COMPUTED_VALUE"""),0)</f>
        <v>0</v>
      </c>
      <c r="BK160" s="24">
        <f ca="1">IFERROR(__xludf.DUMMYFUNCTION("""COMPUTED_VALUE"""),0)</f>
        <v>0</v>
      </c>
      <c r="BL160" s="24">
        <f ca="1">IFERROR(__xludf.DUMMYFUNCTION("""COMPUTED_VALUE"""),0)</f>
        <v>0</v>
      </c>
      <c r="BM160" s="24">
        <f ca="1">IFERROR(__xludf.DUMMYFUNCTION("""COMPUTED_VALUE"""),0)</f>
        <v>0</v>
      </c>
      <c r="BN160" s="24">
        <f ca="1">IFERROR(__xludf.DUMMYFUNCTION("""COMPUTED_VALUE"""),0)</f>
        <v>0</v>
      </c>
      <c r="BO160" s="20"/>
      <c r="BP160" s="24">
        <f ca="1">IFERROR(__xludf.DUMMYFUNCTION("""COMPUTED_VALUE"""),0)</f>
        <v>0</v>
      </c>
      <c r="BQ160" s="24">
        <f ca="1">IFERROR(__xludf.DUMMYFUNCTION("""COMPUTED_VALUE"""),0)</f>
        <v>0</v>
      </c>
      <c r="BR160" s="24">
        <f ca="1">IFERROR(__xludf.DUMMYFUNCTION("""COMPUTED_VALUE"""),0)</f>
        <v>0</v>
      </c>
      <c r="BS160" s="24">
        <f ca="1">IFERROR(__xludf.DUMMYFUNCTION("""COMPUTED_VALUE"""),0)</f>
        <v>0</v>
      </c>
      <c r="BT160" s="24">
        <f ca="1">IFERROR(__xludf.DUMMYFUNCTION("""COMPUTED_VALUE"""),0)</f>
        <v>0</v>
      </c>
      <c r="BU160" s="20"/>
      <c r="BV160" s="24">
        <f ca="1">IFERROR(__xludf.DUMMYFUNCTION("""COMPUTED_VALUE"""),0)</f>
        <v>0</v>
      </c>
      <c r="BW160" s="24">
        <f ca="1">IFERROR(__xludf.DUMMYFUNCTION("""COMPUTED_VALUE"""),0)</f>
        <v>0</v>
      </c>
      <c r="BX160" s="24">
        <f ca="1">IFERROR(__xludf.DUMMYFUNCTION("""COMPUTED_VALUE"""),0)</f>
        <v>0</v>
      </c>
      <c r="BY160" s="24">
        <f ca="1">IFERROR(__xludf.DUMMYFUNCTION("""COMPUTED_VALUE"""),0)</f>
        <v>0</v>
      </c>
      <c r="BZ160" s="24">
        <f ca="1">IFERROR(__xludf.DUMMYFUNCTION("""COMPUTED_VALUE"""),0)</f>
        <v>0</v>
      </c>
      <c r="CA160" s="20"/>
      <c r="CB160" s="20"/>
      <c r="CC160" s="20"/>
      <c r="CD160" s="20"/>
      <c r="CE160" s="20"/>
      <c r="CF160" s="20"/>
      <c r="CG160" s="20"/>
      <c r="CH160" s="20"/>
      <c r="CI160" s="20"/>
      <c r="CJ160" s="20"/>
      <c r="CK160" s="20"/>
      <c r="CL160" s="20"/>
      <c r="CM160" s="20"/>
      <c r="CN160" s="20"/>
      <c r="CO160" s="20"/>
      <c r="CP160" s="20"/>
      <c r="CQ160" s="20"/>
      <c r="CR160" s="20"/>
      <c r="CS160" s="20"/>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row>
    <row r="161" spans="1:123" ht="64.5" hidden="1" customHeight="1" x14ac:dyDescent="0.2">
      <c r="A161" s="19"/>
      <c r="B161" s="20" t="str">
        <f ca="1">IFERROR(__xludf.DUMMYFUNCTION("""COMPUTED_VALUE"""),"г.о. Егорьевск")</f>
        <v>г.о. Егорьевск</v>
      </c>
      <c r="C16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1" s="20" t="str">
        <f ca="1">IFERROR(__xludf.DUMMYFUNCTION("""COMPUTED_VALUE"""),"МинЖКХ")</f>
        <v>МинЖКХ</v>
      </c>
      <c r="E161" s="20" t="str">
        <f ca="1">IFERROR(__xludf.DUMMYFUNCTION("""COMPUTED_VALUE"""),"Приобретение, монтаж и ввод в эксплуатацию станции водоочистки по адресу: д. Дмитровка, г.о. Егорьевск. ")</f>
        <v xml:space="preserve">Приобретение, монтаж и ввод в эксплуатацию станции водоочистки по адресу: д. Дмитровка, г.о. Егорьевск. </v>
      </c>
      <c r="F161" s="32" t="str">
        <f ca="1">IFERROR(__xludf.DUMMYFUNCTION("""COMPUTED_VALUE"""),"ВЗУ")</f>
        <v>ВЗУ</v>
      </c>
      <c r="G161" s="20" t="str">
        <f ca="1">IFERROR(__xludf.DUMMYFUNCTION("""COMPUTED_VALUE"""),"Н/Л")</f>
        <v>Н/Л</v>
      </c>
      <c r="H161" s="20" t="str">
        <f ca="1">IFERROR(__xludf.DUMMYFUNCTION("""COMPUTED_VALUE"""),"Приобретение, монтаж")</f>
        <v>Приобретение, монтаж</v>
      </c>
      <c r="I161" s="20"/>
      <c r="J161" s="20"/>
      <c r="K161" s="20"/>
      <c r="L161" s="20"/>
      <c r="M161" s="20"/>
      <c r="N161" s="24">
        <f ca="1">IFERROR(__xludf.DUMMYFUNCTION("""COMPUTED_VALUE"""),0)</f>
        <v>0</v>
      </c>
      <c r="O161" s="20"/>
      <c r="P161" s="20"/>
      <c r="Q161" s="20"/>
      <c r="R161" s="20"/>
      <c r="S161" s="20"/>
      <c r="T161" s="20"/>
      <c r="U161" s="24">
        <f ca="1">IFERROR(__xludf.DUMMYFUNCTION("""COMPUTED_VALUE"""),0)</f>
        <v>0</v>
      </c>
      <c r="V161" s="24">
        <f ca="1">IFERROR(__xludf.DUMMYFUNCTION("""COMPUTED_VALUE"""),0)</f>
        <v>0</v>
      </c>
      <c r="W161" s="24">
        <f ca="1">IFERROR(__xludf.DUMMYFUNCTION("""COMPUTED_VALUE"""),0)</f>
        <v>0</v>
      </c>
      <c r="X161" s="24">
        <f ca="1">IFERROR(__xludf.DUMMYFUNCTION("""COMPUTED_VALUE"""),0)</f>
        <v>0</v>
      </c>
      <c r="Y161" s="24">
        <f ca="1">IFERROR(__xludf.DUMMYFUNCTION("""COMPUTED_VALUE"""),0)</f>
        <v>0</v>
      </c>
      <c r="Z161" s="24">
        <f ca="1">IFERROR(__xludf.DUMMYFUNCTION("""COMPUTED_VALUE"""),0)</f>
        <v>0</v>
      </c>
      <c r="AA161" s="20" t="str">
        <f ca="1">IFERROR(__xludf.DUMMYFUNCTION("""COMPUTED_VALUE"""),"10 1 02 60330")</f>
        <v>10 1 02 60330</v>
      </c>
      <c r="AB161" s="20">
        <f ca="1">IFERROR(__xludf.DUMMYFUNCTION("""COMPUTED_VALUE"""),520)</f>
        <v>520</v>
      </c>
      <c r="AC161" s="20" t="str">
        <f ca="1">IFERROR(__xludf.DUMMYFUNCTION("""COMPUTED_VALUE"""),"Не требуется")</f>
        <v>Не требуется</v>
      </c>
      <c r="AD161" s="20" t="str">
        <f ca="1">IFERROR(__xludf.DUMMYFUNCTION("""COMPUTED_VALUE"""),"-")</f>
        <v>-</v>
      </c>
      <c r="AE161" s="20" t="str">
        <f ca="1">IFERROR(__xludf.DUMMYFUNCTION("""COMPUTED_VALUE"""),"-")</f>
        <v>-</v>
      </c>
      <c r="AF161" s="24">
        <f ca="1">IFERROR(__xludf.DUMMYFUNCTION("""COMPUTED_VALUE"""),0)</f>
        <v>0</v>
      </c>
      <c r="AG161" s="24">
        <f ca="1">IFERROR(__xludf.DUMMYFUNCTION("""COMPUTED_VALUE"""),0)</f>
        <v>0</v>
      </c>
      <c r="AH161" s="24">
        <f ca="1">IFERROR(__xludf.DUMMYFUNCTION("""COMPUTED_VALUE"""),0)</f>
        <v>0</v>
      </c>
      <c r="AI161" s="24">
        <f ca="1">IFERROR(__xludf.DUMMYFUNCTION("""COMPUTED_VALUE"""),0)</f>
        <v>0</v>
      </c>
      <c r="AJ161" s="24">
        <f ca="1">IFERROR(__xludf.DUMMYFUNCTION("""COMPUTED_VALUE"""),0)</f>
        <v>0</v>
      </c>
      <c r="AK161" s="24">
        <f ca="1">IFERROR(__xludf.DUMMYFUNCTION("""COMPUTED_VALUE"""),0)</f>
        <v>0</v>
      </c>
      <c r="AL161" s="24">
        <f ca="1">IFERROR(__xludf.DUMMYFUNCTION("""COMPUTED_VALUE"""),0)</f>
        <v>0</v>
      </c>
      <c r="AM161" s="20"/>
      <c r="AN161" s="20"/>
      <c r="AO161" s="20"/>
      <c r="AP161" s="20"/>
      <c r="AQ161" s="20"/>
      <c r="AR161" s="24">
        <f ca="1">IFERROR(__xludf.DUMMYFUNCTION("""COMPUTED_VALUE"""),0)</f>
        <v>0</v>
      </c>
      <c r="AS161" s="20"/>
      <c r="AT161" s="20"/>
      <c r="AU161" s="20"/>
      <c r="AV161" s="20"/>
      <c r="AW161" s="20"/>
      <c r="AX161" s="24">
        <f ca="1">IFERROR(__xludf.DUMMYFUNCTION("""COMPUTED_VALUE"""),0)</f>
        <v>0</v>
      </c>
      <c r="AY161" s="24">
        <f ca="1">IFERROR(__xludf.DUMMYFUNCTION("""COMPUTED_VALUE"""),0)</f>
        <v>0</v>
      </c>
      <c r="AZ161" s="24">
        <f ca="1">IFERROR(__xludf.DUMMYFUNCTION("""COMPUTED_VALUE"""),0)</f>
        <v>0</v>
      </c>
      <c r="BA161" s="24">
        <f ca="1">IFERROR(__xludf.DUMMYFUNCTION("""COMPUTED_VALUE"""),0)</f>
        <v>0</v>
      </c>
      <c r="BB161" s="24">
        <f ca="1">IFERROR(__xludf.DUMMYFUNCTION("""COMPUTED_VALUE"""),0)</f>
        <v>0</v>
      </c>
      <c r="BC161" s="20"/>
      <c r="BD161" s="24">
        <f ca="1">IFERROR(__xludf.DUMMYFUNCTION("""COMPUTED_VALUE"""),0)</f>
        <v>0</v>
      </c>
      <c r="BE161" s="24">
        <f ca="1">IFERROR(__xludf.DUMMYFUNCTION("""COMPUTED_VALUE"""),0)</f>
        <v>0</v>
      </c>
      <c r="BF161" s="24">
        <f ca="1">IFERROR(__xludf.DUMMYFUNCTION("""COMPUTED_VALUE"""),0)</f>
        <v>0</v>
      </c>
      <c r="BG161" s="24">
        <f ca="1">IFERROR(__xludf.DUMMYFUNCTION("""COMPUTED_VALUE"""),0)</f>
        <v>0</v>
      </c>
      <c r="BH161" s="24">
        <f ca="1">IFERROR(__xludf.DUMMYFUNCTION("""COMPUTED_VALUE"""),0)</f>
        <v>0</v>
      </c>
      <c r="BI161" s="20"/>
      <c r="BJ161" s="24">
        <f ca="1">IFERROR(__xludf.DUMMYFUNCTION("""COMPUTED_VALUE"""),0)</f>
        <v>0</v>
      </c>
      <c r="BK161" s="24">
        <f ca="1">IFERROR(__xludf.DUMMYFUNCTION("""COMPUTED_VALUE"""),0)</f>
        <v>0</v>
      </c>
      <c r="BL161" s="24">
        <f ca="1">IFERROR(__xludf.DUMMYFUNCTION("""COMPUTED_VALUE"""),0)</f>
        <v>0</v>
      </c>
      <c r="BM161" s="24">
        <f ca="1">IFERROR(__xludf.DUMMYFUNCTION("""COMPUTED_VALUE"""),0)</f>
        <v>0</v>
      </c>
      <c r="BN161" s="24">
        <f ca="1">IFERROR(__xludf.DUMMYFUNCTION("""COMPUTED_VALUE"""),0)</f>
        <v>0</v>
      </c>
      <c r="BO161" s="20"/>
      <c r="BP161" s="24">
        <f ca="1">IFERROR(__xludf.DUMMYFUNCTION("""COMPUTED_VALUE"""),0)</f>
        <v>0</v>
      </c>
      <c r="BQ161" s="24">
        <f ca="1">IFERROR(__xludf.DUMMYFUNCTION("""COMPUTED_VALUE"""),0)</f>
        <v>0</v>
      </c>
      <c r="BR161" s="24">
        <f ca="1">IFERROR(__xludf.DUMMYFUNCTION("""COMPUTED_VALUE"""),0)</f>
        <v>0</v>
      </c>
      <c r="BS161" s="24">
        <f ca="1">IFERROR(__xludf.DUMMYFUNCTION("""COMPUTED_VALUE"""),0)</f>
        <v>0</v>
      </c>
      <c r="BT161" s="24">
        <f ca="1">IFERROR(__xludf.DUMMYFUNCTION("""COMPUTED_VALUE"""),0)</f>
        <v>0</v>
      </c>
      <c r="BU161" s="20"/>
      <c r="BV161" s="24">
        <f ca="1">IFERROR(__xludf.DUMMYFUNCTION("""COMPUTED_VALUE"""),0)</f>
        <v>0</v>
      </c>
      <c r="BW161" s="24">
        <f ca="1">IFERROR(__xludf.DUMMYFUNCTION("""COMPUTED_VALUE"""),0)</f>
        <v>0</v>
      </c>
      <c r="BX161" s="24">
        <f ca="1">IFERROR(__xludf.DUMMYFUNCTION("""COMPUTED_VALUE"""),0)</f>
        <v>0</v>
      </c>
      <c r="BY161" s="24">
        <f ca="1">IFERROR(__xludf.DUMMYFUNCTION("""COMPUTED_VALUE"""),0)</f>
        <v>0</v>
      </c>
      <c r="BZ161" s="24">
        <f ca="1">IFERROR(__xludf.DUMMYFUNCTION("""COMPUTED_VALUE"""),0)</f>
        <v>0</v>
      </c>
      <c r="CA161" s="20"/>
      <c r="CB161" s="20"/>
      <c r="CC161" s="20"/>
      <c r="CD161" s="20"/>
      <c r="CE161" s="20"/>
      <c r="CF161" s="20"/>
      <c r="CG161" s="20"/>
      <c r="CH161" s="20"/>
      <c r="CI161" s="20"/>
      <c r="CJ161" s="20"/>
      <c r="CK161" s="20"/>
      <c r="CL161" s="20"/>
      <c r="CM161" s="20"/>
      <c r="CN161" s="20"/>
      <c r="CO161" s="20"/>
      <c r="CP161" s="20"/>
      <c r="CQ161" s="20"/>
      <c r="CR161" s="20"/>
      <c r="CS161" s="20"/>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row>
    <row r="162" spans="1:123" ht="64.5" hidden="1" customHeight="1" x14ac:dyDescent="0.2">
      <c r="A162" s="19"/>
      <c r="B162" s="20" t="str">
        <f ca="1">IFERROR(__xludf.DUMMYFUNCTION("""COMPUTED_VALUE"""),"г.о. Егорьевск")</f>
        <v>г.о. Егорьевск</v>
      </c>
      <c r="C16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2" s="20" t="str">
        <f ca="1">IFERROR(__xludf.DUMMYFUNCTION("""COMPUTED_VALUE"""),"МинЖКХ")</f>
        <v>МинЖКХ</v>
      </c>
      <c r="E162" s="20" t="str">
        <f ca="1">IFERROR(__xludf.DUMMYFUNCTION("""COMPUTED_VALUE"""),"Приобретение, монтаж и ввод в эксплуатацию станции водоочистки по адресу: д. Жучага, г.о. Егорьевск. ")</f>
        <v xml:space="preserve">Приобретение, монтаж и ввод в эксплуатацию станции водоочистки по адресу: д. Жучага, г.о. Егорьевск. </v>
      </c>
      <c r="F162" s="32" t="str">
        <f ca="1">IFERROR(__xludf.DUMMYFUNCTION("""COMPUTED_VALUE"""),"ВЗУ")</f>
        <v>ВЗУ</v>
      </c>
      <c r="G162" s="20" t="str">
        <f ca="1">IFERROR(__xludf.DUMMYFUNCTION("""COMPUTED_VALUE"""),"Н/Л")</f>
        <v>Н/Л</v>
      </c>
      <c r="H162" s="20" t="str">
        <f ca="1">IFERROR(__xludf.DUMMYFUNCTION("""COMPUTED_VALUE"""),"Приобретение, монтаж")</f>
        <v>Приобретение, монтаж</v>
      </c>
      <c r="I162" s="20"/>
      <c r="J162" s="20"/>
      <c r="K162" s="20"/>
      <c r="L162" s="20"/>
      <c r="M162" s="20"/>
      <c r="N162" s="24">
        <f ca="1">IFERROR(__xludf.DUMMYFUNCTION("""COMPUTED_VALUE"""),0)</f>
        <v>0</v>
      </c>
      <c r="O162" s="20"/>
      <c r="P162" s="20"/>
      <c r="Q162" s="20"/>
      <c r="R162" s="20"/>
      <c r="S162" s="20"/>
      <c r="T162" s="20"/>
      <c r="U162" s="24">
        <f ca="1">IFERROR(__xludf.DUMMYFUNCTION("""COMPUTED_VALUE"""),0)</f>
        <v>0</v>
      </c>
      <c r="V162" s="24">
        <f ca="1">IFERROR(__xludf.DUMMYFUNCTION("""COMPUTED_VALUE"""),0)</f>
        <v>0</v>
      </c>
      <c r="W162" s="24">
        <f ca="1">IFERROR(__xludf.DUMMYFUNCTION("""COMPUTED_VALUE"""),0)</f>
        <v>0</v>
      </c>
      <c r="X162" s="24">
        <f ca="1">IFERROR(__xludf.DUMMYFUNCTION("""COMPUTED_VALUE"""),0)</f>
        <v>0</v>
      </c>
      <c r="Y162" s="24">
        <f ca="1">IFERROR(__xludf.DUMMYFUNCTION("""COMPUTED_VALUE"""),0)</f>
        <v>0</v>
      </c>
      <c r="Z162" s="24">
        <f ca="1">IFERROR(__xludf.DUMMYFUNCTION("""COMPUTED_VALUE"""),0)</f>
        <v>0</v>
      </c>
      <c r="AA162" s="20" t="str">
        <f ca="1">IFERROR(__xludf.DUMMYFUNCTION("""COMPUTED_VALUE"""),"10 1 02 60330")</f>
        <v>10 1 02 60330</v>
      </c>
      <c r="AB162" s="20">
        <f ca="1">IFERROR(__xludf.DUMMYFUNCTION("""COMPUTED_VALUE"""),520)</f>
        <v>520</v>
      </c>
      <c r="AC162" s="20" t="str">
        <f ca="1">IFERROR(__xludf.DUMMYFUNCTION("""COMPUTED_VALUE"""),"Не требуется")</f>
        <v>Не требуется</v>
      </c>
      <c r="AD162" s="20" t="str">
        <f ca="1">IFERROR(__xludf.DUMMYFUNCTION("""COMPUTED_VALUE"""),"-")</f>
        <v>-</v>
      </c>
      <c r="AE162" s="20" t="str">
        <f ca="1">IFERROR(__xludf.DUMMYFUNCTION("""COMPUTED_VALUE"""),"-")</f>
        <v>-</v>
      </c>
      <c r="AF162" s="24">
        <f ca="1">IFERROR(__xludf.DUMMYFUNCTION("""COMPUTED_VALUE"""),0)</f>
        <v>0</v>
      </c>
      <c r="AG162" s="24">
        <f ca="1">IFERROR(__xludf.DUMMYFUNCTION("""COMPUTED_VALUE"""),0)</f>
        <v>0</v>
      </c>
      <c r="AH162" s="24">
        <f ca="1">IFERROR(__xludf.DUMMYFUNCTION("""COMPUTED_VALUE"""),0)</f>
        <v>0</v>
      </c>
      <c r="AI162" s="24">
        <f ca="1">IFERROR(__xludf.DUMMYFUNCTION("""COMPUTED_VALUE"""),0)</f>
        <v>0</v>
      </c>
      <c r="AJ162" s="24">
        <f ca="1">IFERROR(__xludf.DUMMYFUNCTION("""COMPUTED_VALUE"""),0)</f>
        <v>0</v>
      </c>
      <c r="AK162" s="24">
        <f ca="1">IFERROR(__xludf.DUMMYFUNCTION("""COMPUTED_VALUE"""),0)</f>
        <v>0</v>
      </c>
      <c r="AL162" s="24">
        <f ca="1">IFERROR(__xludf.DUMMYFUNCTION("""COMPUTED_VALUE"""),0)</f>
        <v>0</v>
      </c>
      <c r="AM162" s="20"/>
      <c r="AN162" s="20"/>
      <c r="AO162" s="20"/>
      <c r="AP162" s="20"/>
      <c r="AQ162" s="20"/>
      <c r="AR162" s="24">
        <f ca="1">IFERROR(__xludf.DUMMYFUNCTION("""COMPUTED_VALUE"""),0)</f>
        <v>0</v>
      </c>
      <c r="AS162" s="20"/>
      <c r="AT162" s="20"/>
      <c r="AU162" s="20"/>
      <c r="AV162" s="20"/>
      <c r="AW162" s="20"/>
      <c r="AX162" s="24">
        <f ca="1">IFERROR(__xludf.DUMMYFUNCTION("""COMPUTED_VALUE"""),0)</f>
        <v>0</v>
      </c>
      <c r="AY162" s="24">
        <f ca="1">IFERROR(__xludf.DUMMYFUNCTION("""COMPUTED_VALUE"""),0)</f>
        <v>0</v>
      </c>
      <c r="AZ162" s="24">
        <f ca="1">IFERROR(__xludf.DUMMYFUNCTION("""COMPUTED_VALUE"""),0)</f>
        <v>0</v>
      </c>
      <c r="BA162" s="24">
        <f ca="1">IFERROR(__xludf.DUMMYFUNCTION("""COMPUTED_VALUE"""),0)</f>
        <v>0</v>
      </c>
      <c r="BB162" s="24">
        <f ca="1">IFERROR(__xludf.DUMMYFUNCTION("""COMPUTED_VALUE"""),0)</f>
        <v>0</v>
      </c>
      <c r="BC162" s="20"/>
      <c r="BD162" s="24">
        <f ca="1">IFERROR(__xludf.DUMMYFUNCTION("""COMPUTED_VALUE"""),0)</f>
        <v>0</v>
      </c>
      <c r="BE162" s="24">
        <f ca="1">IFERROR(__xludf.DUMMYFUNCTION("""COMPUTED_VALUE"""),0)</f>
        <v>0</v>
      </c>
      <c r="BF162" s="24">
        <f ca="1">IFERROR(__xludf.DUMMYFUNCTION("""COMPUTED_VALUE"""),0)</f>
        <v>0</v>
      </c>
      <c r="BG162" s="24">
        <f ca="1">IFERROR(__xludf.DUMMYFUNCTION("""COMPUTED_VALUE"""),0)</f>
        <v>0</v>
      </c>
      <c r="BH162" s="24">
        <f ca="1">IFERROR(__xludf.DUMMYFUNCTION("""COMPUTED_VALUE"""),0)</f>
        <v>0</v>
      </c>
      <c r="BI162" s="20"/>
      <c r="BJ162" s="24">
        <f ca="1">IFERROR(__xludf.DUMMYFUNCTION("""COMPUTED_VALUE"""),0)</f>
        <v>0</v>
      </c>
      <c r="BK162" s="24">
        <f ca="1">IFERROR(__xludf.DUMMYFUNCTION("""COMPUTED_VALUE"""),0)</f>
        <v>0</v>
      </c>
      <c r="BL162" s="24">
        <f ca="1">IFERROR(__xludf.DUMMYFUNCTION("""COMPUTED_VALUE"""),0)</f>
        <v>0</v>
      </c>
      <c r="BM162" s="24">
        <f ca="1">IFERROR(__xludf.DUMMYFUNCTION("""COMPUTED_VALUE"""),0)</f>
        <v>0</v>
      </c>
      <c r="BN162" s="24">
        <f ca="1">IFERROR(__xludf.DUMMYFUNCTION("""COMPUTED_VALUE"""),0)</f>
        <v>0</v>
      </c>
      <c r="BO162" s="20"/>
      <c r="BP162" s="24">
        <f ca="1">IFERROR(__xludf.DUMMYFUNCTION("""COMPUTED_VALUE"""),0)</f>
        <v>0</v>
      </c>
      <c r="BQ162" s="24">
        <f ca="1">IFERROR(__xludf.DUMMYFUNCTION("""COMPUTED_VALUE"""),0)</f>
        <v>0</v>
      </c>
      <c r="BR162" s="24">
        <f ca="1">IFERROR(__xludf.DUMMYFUNCTION("""COMPUTED_VALUE"""),0)</f>
        <v>0</v>
      </c>
      <c r="BS162" s="24">
        <f ca="1">IFERROR(__xludf.DUMMYFUNCTION("""COMPUTED_VALUE"""),0)</f>
        <v>0</v>
      </c>
      <c r="BT162" s="24">
        <f ca="1">IFERROR(__xludf.DUMMYFUNCTION("""COMPUTED_VALUE"""),0)</f>
        <v>0</v>
      </c>
      <c r="BU162" s="20"/>
      <c r="BV162" s="24">
        <f ca="1">IFERROR(__xludf.DUMMYFUNCTION("""COMPUTED_VALUE"""),0)</f>
        <v>0</v>
      </c>
      <c r="BW162" s="24">
        <f ca="1">IFERROR(__xludf.DUMMYFUNCTION("""COMPUTED_VALUE"""),0)</f>
        <v>0</v>
      </c>
      <c r="BX162" s="24">
        <f ca="1">IFERROR(__xludf.DUMMYFUNCTION("""COMPUTED_VALUE"""),0)</f>
        <v>0</v>
      </c>
      <c r="BY162" s="24">
        <f ca="1">IFERROR(__xludf.DUMMYFUNCTION("""COMPUTED_VALUE"""),0)</f>
        <v>0</v>
      </c>
      <c r="BZ162" s="24">
        <f ca="1">IFERROR(__xludf.DUMMYFUNCTION("""COMPUTED_VALUE"""),0)</f>
        <v>0</v>
      </c>
      <c r="CA162" s="20"/>
      <c r="CB162" s="20"/>
      <c r="CC162" s="20"/>
      <c r="CD162" s="20"/>
      <c r="CE162" s="20"/>
      <c r="CF162" s="20"/>
      <c r="CG162" s="20"/>
      <c r="CH162" s="20"/>
      <c r="CI162" s="20"/>
      <c r="CJ162" s="20"/>
      <c r="CK162" s="20"/>
      <c r="CL162" s="20"/>
      <c r="CM162" s="20"/>
      <c r="CN162" s="20"/>
      <c r="CO162" s="20"/>
      <c r="CP162" s="20"/>
      <c r="CQ162" s="20"/>
      <c r="CR162" s="20"/>
      <c r="CS162" s="20"/>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row>
    <row r="163" spans="1:123" ht="64.5" hidden="1" customHeight="1" x14ac:dyDescent="0.2">
      <c r="A163" s="19"/>
      <c r="B163" s="20" t="str">
        <f ca="1">IFERROR(__xludf.DUMMYFUNCTION("""COMPUTED_VALUE"""),"г.о. Егорьевск")</f>
        <v>г.о. Егорьевск</v>
      </c>
      <c r="C16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3" s="20" t="str">
        <f ca="1">IFERROR(__xludf.DUMMYFUNCTION("""COMPUTED_VALUE"""),"МинЖКХ")</f>
        <v>МинЖКХ</v>
      </c>
      <c r="E163" s="20" t="str">
        <f ca="1">IFERROR(__xludf.DUMMYFUNCTION("""COMPUTED_VALUE"""),"Приобретение, монтаж и ввод в эксплуатацию станции водоочистки по адресу: д. Радовицы, г.о. Егорьевск. ")</f>
        <v xml:space="preserve">Приобретение, монтаж и ввод в эксплуатацию станции водоочистки по адресу: д. Радовицы, г.о. Егорьевск. </v>
      </c>
      <c r="F163" s="32" t="str">
        <f ca="1">IFERROR(__xludf.DUMMYFUNCTION("""COMPUTED_VALUE"""),"ВЗУ")</f>
        <v>ВЗУ</v>
      </c>
      <c r="G163" s="20" t="str">
        <f ca="1">IFERROR(__xludf.DUMMYFUNCTION("""COMPUTED_VALUE"""),"Н/Л")</f>
        <v>Н/Л</v>
      </c>
      <c r="H163" s="20" t="str">
        <f ca="1">IFERROR(__xludf.DUMMYFUNCTION("""COMPUTED_VALUE"""),"Приобретение, монтаж")</f>
        <v>Приобретение, монтаж</v>
      </c>
      <c r="I163" s="20"/>
      <c r="J163" s="20"/>
      <c r="K163" s="20"/>
      <c r="L163" s="20"/>
      <c r="M163" s="20"/>
      <c r="N163" s="24">
        <f ca="1">IFERROR(__xludf.DUMMYFUNCTION("""COMPUTED_VALUE"""),0)</f>
        <v>0</v>
      </c>
      <c r="O163" s="20"/>
      <c r="P163" s="20"/>
      <c r="Q163" s="20"/>
      <c r="R163" s="20"/>
      <c r="S163" s="20"/>
      <c r="T163" s="20"/>
      <c r="U163" s="24">
        <f ca="1">IFERROR(__xludf.DUMMYFUNCTION("""COMPUTED_VALUE"""),0)</f>
        <v>0</v>
      </c>
      <c r="V163" s="24">
        <f ca="1">IFERROR(__xludf.DUMMYFUNCTION("""COMPUTED_VALUE"""),0)</f>
        <v>0</v>
      </c>
      <c r="W163" s="24">
        <f ca="1">IFERROR(__xludf.DUMMYFUNCTION("""COMPUTED_VALUE"""),0)</f>
        <v>0</v>
      </c>
      <c r="X163" s="24">
        <f ca="1">IFERROR(__xludf.DUMMYFUNCTION("""COMPUTED_VALUE"""),0)</f>
        <v>0</v>
      </c>
      <c r="Y163" s="24">
        <f ca="1">IFERROR(__xludf.DUMMYFUNCTION("""COMPUTED_VALUE"""),0)</f>
        <v>0</v>
      </c>
      <c r="Z163" s="24">
        <f ca="1">IFERROR(__xludf.DUMMYFUNCTION("""COMPUTED_VALUE"""),0)</f>
        <v>0</v>
      </c>
      <c r="AA163" s="20" t="str">
        <f ca="1">IFERROR(__xludf.DUMMYFUNCTION("""COMPUTED_VALUE"""),"10 1 02 60330")</f>
        <v>10 1 02 60330</v>
      </c>
      <c r="AB163" s="20">
        <f ca="1">IFERROR(__xludf.DUMMYFUNCTION("""COMPUTED_VALUE"""),520)</f>
        <v>520</v>
      </c>
      <c r="AC163" s="20" t="str">
        <f ca="1">IFERROR(__xludf.DUMMYFUNCTION("""COMPUTED_VALUE"""),"Не требуется")</f>
        <v>Не требуется</v>
      </c>
      <c r="AD163" s="20" t="str">
        <f ca="1">IFERROR(__xludf.DUMMYFUNCTION("""COMPUTED_VALUE"""),"-")</f>
        <v>-</v>
      </c>
      <c r="AE163" s="20" t="str">
        <f ca="1">IFERROR(__xludf.DUMMYFUNCTION("""COMPUTED_VALUE"""),"-")</f>
        <v>-</v>
      </c>
      <c r="AF163" s="24">
        <f ca="1">IFERROR(__xludf.DUMMYFUNCTION("""COMPUTED_VALUE"""),0)</f>
        <v>0</v>
      </c>
      <c r="AG163" s="24">
        <f ca="1">IFERROR(__xludf.DUMMYFUNCTION("""COMPUTED_VALUE"""),0)</f>
        <v>0</v>
      </c>
      <c r="AH163" s="24">
        <f ca="1">IFERROR(__xludf.DUMMYFUNCTION("""COMPUTED_VALUE"""),0)</f>
        <v>0</v>
      </c>
      <c r="AI163" s="24">
        <f ca="1">IFERROR(__xludf.DUMMYFUNCTION("""COMPUTED_VALUE"""),0)</f>
        <v>0</v>
      </c>
      <c r="AJ163" s="24">
        <f ca="1">IFERROR(__xludf.DUMMYFUNCTION("""COMPUTED_VALUE"""),0)</f>
        <v>0</v>
      </c>
      <c r="AK163" s="24">
        <f ca="1">IFERROR(__xludf.DUMMYFUNCTION("""COMPUTED_VALUE"""),0)</f>
        <v>0</v>
      </c>
      <c r="AL163" s="24">
        <f ca="1">IFERROR(__xludf.DUMMYFUNCTION("""COMPUTED_VALUE"""),0)</f>
        <v>0</v>
      </c>
      <c r="AM163" s="20"/>
      <c r="AN163" s="20"/>
      <c r="AO163" s="20"/>
      <c r="AP163" s="20"/>
      <c r="AQ163" s="20"/>
      <c r="AR163" s="24">
        <f ca="1">IFERROR(__xludf.DUMMYFUNCTION("""COMPUTED_VALUE"""),0)</f>
        <v>0</v>
      </c>
      <c r="AS163" s="20"/>
      <c r="AT163" s="20"/>
      <c r="AU163" s="20"/>
      <c r="AV163" s="20"/>
      <c r="AW163" s="20"/>
      <c r="AX163" s="24">
        <f ca="1">IFERROR(__xludf.DUMMYFUNCTION("""COMPUTED_VALUE"""),0)</f>
        <v>0</v>
      </c>
      <c r="AY163" s="24">
        <f ca="1">IFERROR(__xludf.DUMMYFUNCTION("""COMPUTED_VALUE"""),0)</f>
        <v>0</v>
      </c>
      <c r="AZ163" s="24">
        <f ca="1">IFERROR(__xludf.DUMMYFUNCTION("""COMPUTED_VALUE"""),0)</f>
        <v>0</v>
      </c>
      <c r="BA163" s="24">
        <f ca="1">IFERROR(__xludf.DUMMYFUNCTION("""COMPUTED_VALUE"""),0)</f>
        <v>0</v>
      </c>
      <c r="BB163" s="24">
        <f ca="1">IFERROR(__xludf.DUMMYFUNCTION("""COMPUTED_VALUE"""),0)</f>
        <v>0</v>
      </c>
      <c r="BC163" s="20"/>
      <c r="BD163" s="24">
        <f ca="1">IFERROR(__xludf.DUMMYFUNCTION("""COMPUTED_VALUE"""),0)</f>
        <v>0</v>
      </c>
      <c r="BE163" s="24">
        <f ca="1">IFERROR(__xludf.DUMMYFUNCTION("""COMPUTED_VALUE"""),0)</f>
        <v>0</v>
      </c>
      <c r="BF163" s="24">
        <f ca="1">IFERROR(__xludf.DUMMYFUNCTION("""COMPUTED_VALUE"""),0)</f>
        <v>0</v>
      </c>
      <c r="BG163" s="24">
        <f ca="1">IFERROR(__xludf.DUMMYFUNCTION("""COMPUTED_VALUE"""),0)</f>
        <v>0</v>
      </c>
      <c r="BH163" s="24">
        <f ca="1">IFERROR(__xludf.DUMMYFUNCTION("""COMPUTED_VALUE"""),0)</f>
        <v>0</v>
      </c>
      <c r="BI163" s="20"/>
      <c r="BJ163" s="24">
        <f ca="1">IFERROR(__xludf.DUMMYFUNCTION("""COMPUTED_VALUE"""),0)</f>
        <v>0</v>
      </c>
      <c r="BK163" s="24">
        <f ca="1">IFERROR(__xludf.DUMMYFUNCTION("""COMPUTED_VALUE"""),0)</f>
        <v>0</v>
      </c>
      <c r="BL163" s="24">
        <f ca="1">IFERROR(__xludf.DUMMYFUNCTION("""COMPUTED_VALUE"""),0)</f>
        <v>0</v>
      </c>
      <c r="BM163" s="24">
        <f ca="1">IFERROR(__xludf.DUMMYFUNCTION("""COMPUTED_VALUE"""),0)</f>
        <v>0</v>
      </c>
      <c r="BN163" s="24">
        <f ca="1">IFERROR(__xludf.DUMMYFUNCTION("""COMPUTED_VALUE"""),0)</f>
        <v>0</v>
      </c>
      <c r="BO163" s="20"/>
      <c r="BP163" s="24">
        <f ca="1">IFERROR(__xludf.DUMMYFUNCTION("""COMPUTED_VALUE"""),0)</f>
        <v>0</v>
      </c>
      <c r="BQ163" s="24">
        <f ca="1">IFERROR(__xludf.DUMMYFUNCTION("""COMPUTED_VALUE"""),0)</f>
        <v>0</v>
      </c>
      <c r="BR163" s="24">
        <f ca="1">IFERROR(__xludf.DUMMYFUNCTION("""COMPUTED_VALUE"""),0)</f>
        <v>0</v>
      </c>
      <c r="BS163" s="24">
        <f ca="1">IFERROR(__xludf.DUMMYFUNCTION("""COMPUTED_VALUE"""),0)</f>
        <v>0</v>
      </c>
      <c r="BT163" s="24">
        <f ca="1">IFERROR(__xludf.DUMMYFUNCTION("""COMPUTED_VALUE"""),0)</f>
        <v>0</v>
      </c>
      <c r="BU163" s="20"/>
      <c r="BV163" s="24">
        <f ca="1">IFERROR(__xludf.DUMMYFUNCTION("""COMPUTED_VALUE"""),0)</f>
        <v>0</v>
      </c>
      <c r="BW163" s="24">
        <f ca="1">IFERROR(__xludf.DUMMYFUNCTION("""COMPUTED_VALUE"""),0)</f>
        <v>0</v>
      </c>
      <c r="BX163" s="24">
        <f ca="1">IFERROR(__xludf.DUMMYFUNCTION("""COMPUTED_VALUE"""),0)</f>
        <v>0</v>
      </c>
      <c r="BY163" s="24">
        <f ca="1">IFERROR(__xludf.DUMMYFUNCTION("""COMPUTED_VALUE"""),0)</f>
        <v>0</v>
      </c>
      <c r="BZ163" s="24">
        <f ca="1">IFERROR(__xludf.DUMMYFUNCTION("""COMPUTED_VALUE"""),0)</f>
        <v>0</v>
      </c>
      <c r="CA163" s="20"/>
      <c r="CB163" s="20"/>
      <c r="CC163" s="20"/>
      <c r="CD163" s="20"/>
      <c r="CE163" s="20"/>
      <c r="CF163" s="20"/>
      <c r="CG163" s="20"/>
      <c r="CH163" s="20"/>
      <c r="CI163" s="20"/>
      <c r="CJ163" s="20"/>
      <c r="CK163" s="20"/>
      <c r="CL163" s="20"/>
      <c r="CM163" s="20"/>
      <c r="CN163" s="20"/>
      <c r="CO163" s="20"/>
      <c r="CP163" s="20"/>
      <c r="CQ163" s="20"/>
      <c r="CR163" s="20"/>
      <c r="CS163" s="20"/>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row>
    <row r="164" spans="1:123" ht="64.5" hidden="1" customHeight="1" x14ac:dyDescent="0.2">
      <c r="A164" s="19"/>
      <c r="B164" s="20" t="str">
        <f ca="1">IFERROR(__xludf.DUMMYFUNCTION("""COMPUTED_VALUE"""),"г.о. Егорьевск")</f>
        <v>г.о. Егорьевск</v>
      </c>
      <c r="C16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4" s="20" t="str">
        <f ca="1">IFERROR(__xludf.DUMMYFUNCTION("""COMPUTED_VALUE"""),"МинЖКХ")</f>
        <v>МинЖКХ</v>
      </c>
      <c r="E164" s="20" t="str">
        <f ca="1">IFERROR(__xludf.DUMMYFUNCTION("""COMPUTED_VALUE"""),"Приобретение, монтаж и ввод в эксплуатацию станции водоочистки по адресу: д. Леоново, г.о. Егорьевск. ")</f>
        <v xml:space="preserve">Приобретение, монтаж и ввод в эксплуатацию станции водоочистки по адресу: д. Леоново, г.о. Егорьевск. </v>
      </c>
      <c r="F164" s="32" t="str">
        <f ca="1">IFERROR(__xludf.DUMMYFUNCTION("""COMPUTED_VALUE"""),"ВЗУ")</f>
        <v>ВЗУ</v>
      </c>
      <c r="G164" s="20" t="str">
        <f ca="1">IFERROR(__xludf.DUMMYFUNCTION("""COMPUTED_VALUE"""),"Н/Л")</f>
        <v>Н/Л</v>
      </c>
      <c r="H164" s="20" t="str">
        <f ca="1">IFERROR(__xludf.DUMMYFUNCTION("""COMPUTED_VALUE"""),"Приобретение, монтаж")</f>
        <v>Приобретение, монтаж</v>
      </c>
      <c r="I164" s="20"/>
      <c r="J164" s="20"/>
      <c r="K164" s="20"/>
      <c r="L164" s="20"/>
      <c r="M164" s="20"/>
      <c r="N164" s="24">
        <f ca="1">IFERROR(__xludf.DUMMYFUNCTION("""COMPUTED_VALUE"""),0)</f>
        <v>0</v>
      </c>
      <c r="O164" s="20"/>
      <c r="P164" s="20"/>
      <c r="Q164" s="20"/>
      <c r="R164" s="20"/>
      <c r="S164" s="20"/>
      <c r="T164" s="20"/>
      <c r="U164" s="24">
        <f ca="1">IFERROR(__xludf.DUMMYFUNCTION("""COMPUTED_VALUE"""),0)</f>
        <v>0</v>
      </c>
      <c r="V164" s="24">
        <f ca="1">IFERROR(__xludf.DUMMYFUNCTION("""COMPUTED_VALUE"""),0)</f>
        <v>0</v>
      </c>
      <c r="W164" s="24">
        <f ca="1">IFERROR(__xludf.DUMMYFUNCTION("""COMPUTED_VALUE"""),0)</f>
        <v>0</v>
      </c>
      <c r="X164" s="24">
        <f ca="1">IFERROR(__xludf.DUMMYFUNCTION("""COMPUTED_VALUE"""),0)</f>
        <v>0</v>
      </c>
      <c r="Y164" s="24">
        <f ca="1">IFERROR(__xludf.DUMMYFUNCTION("""COMPUTED_VALUE"""),0)</f>
        <v>0</v>
      </c>
      <c r="Z164" s="24">
        <f ca="1">IFERROR(__xludf.DUMMYFUNCTION("""COMPUTED_VALUE"""),0)</f>
        <v>0</v>
      </c>
      <c r="AA164" s="20" t="str">
        <f ca="1">IFERROR(__xludf.DUMMYFUNCTION("""COMPUTED_VALUE"""),"10 1 02 60330")</f>
        <v>10 1 02 60330</v>
      </c>
      <c r="AB164" s="20">
        <f ca="1">IFERROR(__xludf.DUMMYFUNCTION("""COMPUTED_VALUE"""),520)</f>
        <v>520</v>
      </c>
      <c r="AC164" s="20" t="str">
        <f ca="1">IFERROR(__xludf.DUMMYFUNCTION("""COMPUTED_VALUE"""),"Не требуется")</f>
        <v>Не требуется</v>
      </c>
      <c r="AD164" s="20" t="str">
        <f ca="1">IFERROR(__xludf.DUMMYFUNCTION("""COMPUTED_VALUE"""),"-")</f>
        <v>-</v>
      </c>
      <c r="AE164" s="20" t="str">
        <f ca="1">IFERROR(__xludf.DUMMYFUNCTION("""COMPUTED_VALUE"""),"-")</f>
        <v>-</v>
      </c>
      <c r="AF164" s="24">
        <f ca="1">IFERROR(__xludf.DUMMYFUNCTION("""COMPUTED_VALUE"""),0)</f>
        <v>0</v>
      </c>
      <c r="AG164" s="24">
        <f ca="1">IFERROR(__xludf.DUMMYFUNCTION("""COMPUTED_VALUE"""),0)</f>
        <v>0</v>
      </c>
      <c r="AH164" s="24">
        <f ca="1">IFERROR(__xludf.DUMMYFUNCTION("""COMPUTED_VALUE"""),0)</f>
        <v>0</v>
      </c>
      <c r="AI164" s="24">
        <f ca="1">IFERROR(__xludf.DUMMYFUNCTION("""COMPUTED_VALUE"""),0)</f>
        <v>0</v>
      </c>
      <c r="AJ164" s="24">
        <f ca="1">IFERROR(__xludf.DUMMYFUNCTION("""COMPUTED_VALUE"""),0)</f>
        <v>0</v>
      </c>
      <c r="AK164" s="24">
        <f ca="1">IFERROR(__xludf.DUMMYFUNCTION("""COMPUTED_VALUE"""),0)</f>
        <v>0</v>
      </c>
      <c r="AL164" s="24">
        <f ca="1">IFERROR(__xludf.DUMMYFUNCTION("""COMPUTED_VALUE"""),0)</f>
        <v>0</v>
      </c>
      <c r="AM164" s="20"/>
      <c r="AN164" s="20"/>
      <c r="AO164" s="20"/>
      <c r="AP164" s="20"/>
      <c r="AQ164" s="20"/>
      <c r="AR164" s="24">
        <f ca="1">IFERROR(__xludf.DUMMYFUNCTION("""COMPUTED_VALUE"""),0)</f>
        <v>0</v>
      </c>
      <c r="AS164" s="20"/>
      <c r="AT164" s="20"/>
      <c r="AU164" s="20"/>
      <c r="AV164" s="20"/>
      <c r="AW164" s="20"/>
      <c r="AX164" s="24">
        <f ca="1">IFERROR(__xludf.DUMMYFUNCTION("""COMPUTED_VALUE"""),0)</f>
        <v>0</v>
      </c>
      <c r="AY164" s="24">
        <f ca="1">IFERROR(__xludf.DUMMYFUNCTION("""COMPUTED_VALUE"""),0)</f>
        <v>0</v>
      </c>
      <c r="AZ164" s="24">
        <f ca="1">IFERROR(__xludf.DUMMYFUNCTION("""COMPUTED_VALUE"""),0)</f>
        <v>0</v>
      </c>
      <c r="BA164" s="24">
        <f ca="1">IFERROR(__xludf.DUMMYFUNCTION("""COMPUTED_VALUE"""),0)</f>
        <v>0</v>
      </c>
      <c r="BB164" s="24">
        <f ca="1">IFERROR(__xludf.DUMMYFUNCTION("""COMPUTED_VALUE"""),0)</f>
        <v>0</v>
      </c>
      <c r="BC164" s="20"/>
      <c r="BD164" s="24">
        <f ca="1">IFERROR(__xludf.DUMMYFUNCTION("""COMPUTED_VALUE"""),0)</f>
        <v>0</v>
      </c>
      <c r="BE164" s="24">
        <f ca="1">IFERROR(__xludf.DUMMYFUNCTION("""COMPUTED_VALUE"""),0)</f>
        <v>0</v>
      </c>
      <c r="BF164" s="24">
        <f ca="1">IFERROR(__xludf.DUMMYFUNCTION("""COMPUTED_VALUE"""),0)</f>
        <v>0</v>
      </c>
      <c r="BG164" s="24">
        <f ca="1">IFERROR(__xludf.DUMMYFUNCTION("""COMPUTED_VALUE"""),0)</f>
        <v>0</v>
      </c>
      <c r="BH164" s="24">
        <f ca="1">IFERROR(__xludf.DUMMYFUNCTION("""COMPUTED_VALUE"""),0)</f>
        <v>0</v>
      </c>
      <c r="BI164" s="20"/>
      <c r="BJ164" s="24">
        <f ca="1">IFERROR(__xludf.DUMMYFUNCTION("""COMPUTED_VALUE"""),0)</f>
        <v>0</v>
      </c>
      <c r="BK164" s="24">
        <f ca="1">IFERROR(__xludf.DUMMYFUNCTION("""COMPUTED_VALUE"""),0)</f>
        <v>0</v>
      </c>
      <c r="BL164" s="24">
        <f ca="1">IFERROR(__xludf.DUMMYFUNCTION("""COMPUTED_VALUE"""),0)</f>
        <v>0</v>
      </c>
      <c r="BM164" s="24">
        <f ca="1">IFERROR(__xludf.DUMMYFUNCTION("""COMPUTED_VALUE"""),0)</f>
        <v>0</v>
      </c>
      <c r="BN164" s="24">
        <f ca="1">IFERROR(__xludf.DUMMYFUNCTION("""COMPUTED_VALUE"""),0)</f>
        <v>0</v>
      </c>
      <c r="BO164" s="20"/>
      <c r="BP164" s="24">
        <f ca="1">IFERROR(__xludf.DUMMYFUNCTION("""COMPUTED_VALUE"""),0)</f>
        <v>0</v>
      </c>
      <c r="BQ164" s="24">
        <f ca="1">IFERROR(__xludf.DUMMYFUNCTION("""COMPUTED_VALUE"""),0)</f>
        <v>0</v>
      </c>
      <c r="BR164" s="24">
        <f ca="1">IFERROR(__xludf.DUMMYFUNCTION("""COMPUTED_VALUE"""),0)</f>
        <v>0</v>
      </c>
      <c r="BS164" s="24">
        <f ca="1">IFERROR(__xludf.DUMMYFUNCTION("""COMPUTED_VALUE"""),0)</f>
        <v>0</v>
      </c>
      <c r="BT164" s="24">
        <f ca="1">IFERROR(__xludf.DUMMYFUNCTION("""COMPUTED_VALUE"""),0)</f>
        <v>0</v>
      </c>
      <c r="BU164" s="20"/>
      <c r="BV164" s="24">
        <f ca="1">IFERROR(__xludf.DUMMYFUNCTION("""COMPUTED_VALUE"""),0)</f>
        <v>0</v>
      </c>
      <c r="BW164" s="24">
        <f ca="1">IFERROR(__xludf.DUMMYFUNCTION("""COMPUTED_VALUE"""),0)</f>
        <v>0</v>
      </c>
      <c r="BX164" s="24">
        <f ca="1">IFERROR(__xludf.DUMMYFUNCTION("""COMPUTED_VALUE"""),0)</f>
        <v>0</v>
      </c>
      <c r="BY164" s="24">
        <f ca="1">IFERROR(__xludf.DUMMYFUNCTION("""COMPUTED_VALUE"""),0)</f>
        <v>0</v>
      </c>
      <c r="BZ164" s="24">
        <f ca="1">IFERROR(__xludf.DUMMYFUNCTION("""COMPUTED_VALUE"""),0)</f>
        <v>0</v>
      </c>
      <c r="CA164" s="20"/>
      <c r="CB164" s="20"/>
      <c r="CC164" s="20"/>
      <c r="CD164" s="20"/>
      <c r="CE164" s="20"/>
      <c r="CF164" s="20"/>
      <c r="CG164" s="20"/>
      <c r="CH164" s="20"/>
      <c r="CI164" s="20"/>
      <c r="CJ164" s="20"/>
      <c r="CK164" s="20"/>
      <c r="CL164" s="20"/>
      <c r="CM164" s="20"/>
      <c r="CN164" s="20"/>
      <c r="CO164" s="20"/>
      <c r="CP164" s="20"/>
      <c r="CQ164" s="20"/>
      <c r="CR164" s="20"/>
      <c r="CS164" s="20"/>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row>
    <row r="165" spans="1:123" ht="64.5" hidden="1" customHeight="1" x14ac:dyDescent="0.2">
      <c r="A165" s="19"/>
      <c r="B165" s="20" t="str">
        <f ca="1">IFERROR(__xludf.DUMMYFUNCTION("""COMPUTED_VALUE"""),"г.о. Егорьевск")</f>
        <v>г.о. Егорьевск</v>
      </c>
      <c r="C16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5" s="20" t="str">
        <f ca="1">IFERROR(__xludf.DUMMYFUNCTION("""COMPUTED_VALUE"""),"МинЖКХ")</f>
        <v>МинЖКХ</v>
      </c>
      <c r="E165" s="20" t="str">
        <f ca="1">IFERROR(__xludf.DUMMYFUNCTION("""COMPUTED_VALUE"""),"Приобретение, монтаж и ввод в эксплуатацию станции водоочистки по адресу: д. Волково, г.о. Егорьевск. ")</f>
        <v xml:space="preserve">Приобретение, монтаж и ввод в эксплуатацию станции водоочистки по адресу: д. Волково, г.о. Егорьевск. </v>
      </c>
      <c r="F165" s="32" t="str">
        <f ca="1">IFERROR(__xludf.DUMMYFUNCTION("""COMPUTED_VALUE"""),"ВЗУ")</f>
        <v>ВЗУ</v>
      </c>
      <c r="G165" s="20" t="str">
        <f ca="1">IFERROR(__xludf.DUMMYFUNCTION("""COMPUTED_VALUE"""),"Н/Л")</f>
        <v>Н/Л</v>
      </c>
      <c r="H165" s="20" t="str">
        <f ca="1">IFERROR(__xludf.DUMMYFUNCTION("""COMPUTED_VALUE"""),"Приобретение, монтаж")</f>
        <v>Приобретение, монтаж</v>
      </c>
      <c r="I165" s="20"/>
      <c r="J165" s="20"/>
      <c r="K165" s="20"/>
      <c r="L165" s="20"/>
      <c r="M165" s="20"/>
      <c r="N165" s="24">
        <f ca="1">IFERROR(__xludf.DUMMYFUNCTION("""COMPUTED_VALUE"""),0)</f>
        <v>0</v>
      </c>
      <c r="O165" s="20"/>
      <c r="P165" s="20"/>
      <c r="Q165" s="20"/>
      <c r="R165" s="20"/>
      <c r="S165" s="20"/>
      <c r="T165" s="20"/>
      <c r="U165" s="24">
        <f ca="1">IFERROR(__xludf.DUMMYFUNCTION("""COMPUTED_VALUE"""),0)</f>
        <v>0</v>
      </c>
      <c r="V165" s="24">
        <f ca="1">IFERROR(__xludf.DUMMYFUNCTION("""COMPUTED_VALUE"""),0)</f>
        <v>0</v>
      </c>
      <c r="W165" s="24">
        <f ca="1">IFERROR(__xludf.DUMMYFUNCTION("""COMPUTED_VALUE"""),0)</f>
        <v>0</v>
      </c>
      <c r="X165" s="24">
        <f ca="1">IFERROR(__xludf.DUMMYFUNCTION("""COMPUTED_VALUE"""),0)</f>
        <v>0</v>
      </c>
      <c r="Y165" s="24">
        <f ca="1">IFERROR(__xludf.DUMMYFUNCTION("""COMPUTED_VALUE"""),0)</f>
        <v>0</v>
      </c>
      <c r="Z165" s="24">
        <f ca="1">IFERROR(__xludf.DUMMYFUNCTION("""COMPUTED_VALUE"""),0)</f>
        <v>0</v>
      </c>
      <c r="AA165" s="20" t="str">
        <f ca="1">IFERROR(__xludf.DUMMYFUNCTION("""COMPUTED_VALUE"""),"10 1 02 60330")</f>
        <v>10 1 02 60330</v>
      </c>
      <c r="AB165" s="20">
        <f ca="1">IFERROR(__xludf.DUMMYFUNCTION("""COMPUTED_VALUE"""),520)</f>
        <v>520</v>
      </c>
      <c r="AC165" s="20" t="str">
        <f ca="1">IFERROR(__xludf.DUMMYFUNCTION("""COMPUTED_VALUE"""),"Не требуется")</f>
        <v>Не требуется</v>
      </c>
      <c r="AD165" s="20" t="str">
        <f ca="1">IFERROR(__xludf.DUMMYFUNCTION("""COMPUTED_VALUE"""),"-")</f>
        <v>-</v>
      </c>
      <c r="AE165" s="20" t="str">
        <f ca="1">IFERROR(__xludf.DUMMYFUNCTION("""COMPUTED_VALUE"""),"-")</f>
        <v>-</v>
      </c>
      <c r="AF165" s="24">
        <f ca="1">IFERROR(__xludf.DUMMYFUNCTION("""COMPUTED_VALUE"""),0)</f>
        <v>0</v>
      </c>
      <c r="AG165" s="24">
        <f ca="1">IFERROR(__xludf.DUMMYFUNCTION("""COMPUTED_VALUE"""),0)</f>
        <v>0</v>
      </c>
      <c r="AH165" s="24">
        <f ca="1">IFERROR(__xludf.DUMMYFUNCTION("""COMPUTED_VALUE"""),0)</f>
        <v>0</v>
      </c>
      <c r="AI165" s="24">
        <f ca="1">IFERROR(__xludf.DUMMYFUNCTION("""COMPUTED_VALUE"""),0)</f>
        <v>0</v>
      </c>
      <c r="AJ165" s="24">
        <f ca="1">IFERROR(__xludf.DUMMYFUNCTION("""COMPUTED_VALUE"""),0)</f>
        <v>0</v>
      </c>
      <c r="AK165" s="24">
        <f ca="1">IFERROR(__xludf.DUMMYFUNCTION("""COMPUTED_VALUE"""),0)</f>
        <v>0</v>
      </c>
      <c r="AL165" s="24">
        <f ca="1">IFERROR(__xludf.DUMMYFUNCTION("""COMPUTED_VALUE"""),0)</f>
        <v>0</v>
      </c>
      <c r="AM165" s="20"/>
      <c r="AN165" s="20"/>
      <c r="AO165" s="20"/>
      <c r="AP165" s="20"/>
      <c r="AQ165" s="20"/>
      <c r="AR165" s="24">
        <f ca="1">IFERROR(__xludf.DUMMYFUNCTION("""COMPUTED_VALUE"""),0)</f>
        <v>0</v>
      </c>
      <c r="AS165" s="20"/>
      <c r="AT165" s="20"/>
      <c r="AU165" s="20"/>
      <c r="AV165" s="20"/>
      <c r="AW165" s="20"/>
      <c r="AX165" s="24">
        <f ca="1">IFERROR(__xludf.DUMMYFUNCTION("""COMPUTED_VALUE"""),0)</f>
        <v>0</v>
      </c>
      <c r="AY165" s="24">
        <f ca="1">IFERROR(__xludf.DUMMYFUNCTION("""COMPUTED_VALUE"""),0)</f>
        <v>0</v>
      </c>
      <c r="AZ165" s="24">
        <f ca="1">IFERROR(__xludf.DUMMYFUNCTION("""COMPUTED_VALUE"""),0)</f>
        <v>0</v>
      </c>
      <c r="BA165" s="24">
        <f ca="1">IFERROR(__xludf.DUMMYFUNCTION("""COMPUTED_VALUE"""),0)</f>
        <v>0</v>
      </c>
      <c r="BB165" s="24">
        <f ca="1">IFERROR(__xludf.DUMMYFUNCTION("""COMPUTED_VALUE"""),0)</f>
        <v>0</v>
      </c>
      <c r="BC165" s="20"/>
      <c r="BD165" s="24">
        <f ca="1">IFERROR(__xludf.DUMMYFUNCTION("""COMPUTED_VALUE"""),0)</f>
        <v>0</v>
      </c>
      <c r="BE165" s="24">
        <f ca="1">IFERROR(__xludf.DUMMYFUNCTION("""COMPUTED_VALUE"""),0)</f>
        <v>0</v>
      </c>
      <c r="BF165" s="24">
        <f ca="1">IFERROR(__xludf.DUMMYFUNCTION("""COMPUTED_VALUE"""),0)</f>
        <v>0</v>
      </c>
      <c r="BG165" s="24">
        <f ca="1">IFERROR(__xludf.DUMMYFUNCTION("""COMPUTED_VALUE"""),0)</f>
        <v>0</v>
      </c>
      <c r="BH165" s="24">
        <f ca="1">IFERROR(__xludf.DUMMYFUNCTION("""COMPUTED_VALUE"""),0)</f>
        <v>0</v>
      </c>
      <c r="BI165" s="20"/>
      <c r="BJ165" s="24">
        <f ca="1">IFERROR(__xludf.DUMMYFUNCTION("""COMPUTED_VALUE"""),0)</f>
        <v>0</v>
      </c>
      <c r="BK165" s="24">
        <f ca="1">IFERROR(__xludf.DUMMYFUNCTION("""COMPUTED_VALUE"""),0)</f>
        <v>0</v>
      </c>
      <c r="BL165" s="24">
        <f ca="1">IFERROR(__xludf.DUMMYFUNCTION("""COMPUTED_VALUE"""),0)</f>
        <v>0</v>
      </c>
      <c r="BM165" s="24">
        <f ca="1">IFERROR(__xludf.DUMMYFUNCTION("""COMPUTED_VALUE"""),0)</f>
        <v>0</v>
      </c>
      <c r="BN165" s="24">
        <f ca="1">IFERROR(__xludf.DUMMYFUNCTION("""COMPUTED_VALUE"""),0)</f>
        <v>0</v>
      </c>
      <c r="BO165" s="20"/>
      <c r="BP165" s="24">
        <f ca="1">IFERROR(__xludf.DUMMYFUNCTION("""COMPUTED_VALUE"""),0)</f>
        <v>0</v>
      </c>
      <c r="BQ165" s="24">
        <f ca="1">IFERROR(__xludf.DUMMYFUNCTION("""COMPUTED_VALUE"""),0)</f>
        <v>0</v>
      </c>
      <c r="BR165" s="24">
        <f ca="1">IFERROR(__xludf.DUMMYFUNCTION("""COMPUTED_VALUE"""),0)</f>
        <v>0</v>
      </c>
      <c r="BS165" s="24">
        <f ca="1">IFERROR(__xludf.DUMMYFUNCTION("""COMPUTED_VALUE"""),0)</f>
        <v>0</v>
      </c>
      <c r="BT165" s="24">
        <f ca="1">IFERROR(__xludf.DUMMYFUNCTION("""COMPUTED_VALUE"""),0)</f>
        <v>0</v>
      </c>
      <c r="BU165" s="20"/>
      <c r="BV165" s="24">
        <f ca="1">IFERROR(__xludf.DUMMYFUNCTION("""COMPUTED_VALUE"""),0)</f>
        <v>0</v>
      </c>
      <c r="BW165" s="24">
        <f ca="1">IFERROR(__xludf.DUMMYFUNCTION("""COMPUTED_VALUE"""),0)</f>
        <v>0</v>
      </c>
      <c r="BX165" s="24">
        <f ca="1">IFERROR(__xludf.DUMMYFUNCTION("""COMPUTED_VALUE"""),0)</f>
        <v>0</v>
      </c>
      <c r="BY165" s="24">
        <f ca="1">IFERROR(__xludf.DUMMYFUNCTION("""COMPUTED_VALUE"""),0)</f>
        <v>0</v>
      </c>
      <c r="BZ165" s="24">
        <f ca="1">IFERROR(__xludf.DUMMYFUNCTION("""COMPUTED_VALUE"""),0)</f>
        <v>0</v>
      </c>
      <c r="CA165" s="20"/>
      <c r="CB165" s="20"/>
      <c r="CC165" s="20"/>
      <c r="CD165" s="20"/>
      <c r="CE165" s="20"/>
      <c r="CF165" s="20"/>
      <c r="CG165" s="20"/>
      <c r="CH165" s="20"/>
      <c r="CI165" s="20"/>
      <c r="CJ165" s="20"/>
      <c r="CK165" s="20"/>
      <c r="CL165" s="20"/>
      <c r="CM165" s="20"/>
      <c r="CN165" s="20"/>
      <c r="CO165" s="20"/>
      <c r="CP165" s="20"/>
      <c r="CQ165" s="20"/>
      <c r="CR165" s="20"/>
      <c r="CS165" s="20"/>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row>
    <row r="166" spans="1:123" ht="64.5" customHeight="1" x14ac:dyDescent="0.2">
      <c r="A166" s="19"/>
      <c r="B166" s="20" t="str">
        <f ca="1">IFERROR(__xludf.DUMMYFUNCTION("""COMPUTED_VALUE"""),"г.о. Коломенский")</f>
        <v>г.о. Коломенский</v>
      </c>
      <c r="C16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6" s="20" t="str">
        <f ca="1">IFERROR(__xludf.DUMMYFUNCTION("""COMPUTED_VALUE"""),"МинЖКХ")</f>
        <v>МинЖКХ</v>
      </c>
      <c r="E166" s="20" t="str">
        <f ca="1">IFERROR(__xludf.DUMMYFUNCTION("""COMPUTED_VALUE"""),"Приобретение, монтаж и ввод в эксплуатацию станции очистки воды на ВЗУ в с. Старое Бобренево, Коломенский г.о.")</f>
        <v>Приобретение, монтаж и ввод в эксплуатацию станции очистки воды на ВЗУ в с. Старое Бобренево, Коломенский г.о.</v>
      </c>
      <c r="F166" s="32" t="str">
        <f ca="1">IFERROR(__xludf.DUMMYFUNCTION("""COMPUTED_VALUE"""),"ВЗУ")</f>
        <v>ВЗУ</v>
      </c>
      <c r="G166" s="20">
        <f ca="1">IFERROR(__xludf.DUMMYFUNCTION("""COMPUTED_VALUE"""),2020)</f>
        <v>2020</v>
      </c>
      <c r="H166" s="20" t="str">
        <f ca="1">IFERROR(__xludf.DUMMYFUNCTION("""COMPUTED_VALUE"""),"Приобретение, монтаж")</f>
        <v>Приобретение, монтаж</v>
      </c>
      <c r="I166" s="23">
        <f ca="1">IFERROR(__xludf.DUMMYFUNCTION("""COMPUTED_VALUE"""),1)</f>
        <v>1</v>
      </c>
      <c r="J166" s="20" t="str">
        <f ca="1">IFERROR(__xludf.DUMMYFUNCTION("""COMPUTED_VALUE"""),"ЗАВЕРШЕНО")</f>
        <v>ЗАВЕРШЕНО</v>
      </c>
      <c r="K166" s="20"/>
      <c r="L166" s="20"/>
      <c r="M166" s="20"/>
      <c r="N166" s="24">
        <f ca="1">IFERROR(__xludf.DUMMYFUNCTION("""COMPUTED_VALUE"""),1972.87)</f>
        <v>1972.87</v>
      </c>
      <c r="O166" s="20"/>
      <c r="P166" s="24">
        <f ca="1">IFERROR(__xludf.DUMMYFUNCTION("""COMPUTED_VALUE"""),0)</f>
        <v>0</v>
      </c>
      <c r="Q166" s="24">
        <f ca="1">IFERROR(__xludf.DUMMYFUNCTION("""COMPUTED_VALUE"""),1874.2)</f>
        <v>1874.2</v>
      </c>
      <c r="R166" s="24">
        <f ca="1">IFERROR(__xludf.DUMMYFUNCTION("""COMPUTED_VALUE"""),98.67)</f>
        <v>98.67</v>
      </c>
      <c r="S166" s="20"/>
      <c r="T166" s="20"/>
      <c r="U166" s="24">
        <f ca="1">IFERROR(__xludf.DUMMYFUNCTION("""COMPUTED_VALUE"""),0)</f>
        <v>0</v>
      </c>
      <c r="V166" s="24">
        <f ca="1">IFERROR(__xludf.DUMMYFUNCTION("""COMPUTED_VALUE"""),0)</f>
        <v>0</v>
      </c>
      <c r="W166" s="24">
        <f ca="1">IFERROR(__xludf.DUMMYFUNCTION("""COMPUTED_VALUE"""),0)</f>
        <v>0</v>
      </c>
      <c r="X166" s="24">
        <f ca="1">IFERROR(__xludf.DUMMYFUNCTION("""COMPUTED_VALUE"""),0)</f>
        <v>0</v>
      </c>
      <c r="Y166" s="24">
        <f ca="1">IFERROR(__xludf.DUMMYFUNCTION("""COMPUTED_VALUE"""),0)</f>
        <v>0</v>
      </c>
      <c r="Z166" s="24">
        <f ca="1">IFERROR(__xludf.DUMMYFUNCTION("""COMPUTED_VALUE"""),0)</f>
        <v>0</v>
      </c>
      <c r="AA166" s="20" t="str">
        <f ca="1">IFERROR(__xludf.DUMMYFUNCTION("""COMPUTED_VALUE"""),"10 1 02 60330")</f>
        <v>10 1 02 60330</v>
      </c>
      <c r="AB166" s="20">
        <f ca="1">IFERROR(__xludf.DUMMYFUNCTION("""COMPUTED_VALUE"""),520)</f>
        <v>520</v>
      </c>
      <c r="AC166" s="20" t="str">
        <f ca="1">IFERROR(__xludf.DUMMYFUNCTION("""COMPUTED_VALUE"""),"Не требуется")</f>
        <v>Не требуется</v>
      </c>
      <c r="AD166" s="20" t="str">
        <f ca="1">IFERROR(__xludf.DUMMYFUNCTION("""COMPUTED_VALUE"""),"-")</f>
        <v>-</v>
      </c>
      <c r="AE166" s="20" t="str">
        <f ca="1">IFERROR(__xludf.DUMMYFUNCTION("""COMPUTED_VALUE"""),"-")</f>
        <v>-</v>
      </c>
      <c r="AF166" s="24">
        <f ca="1">IFERROR(__xludf.DUMMYFUNCTION("""COMPUTED_VALUE"""),1972.87)</f>
        <v>1972.87</v>
      </c>
      <c r="AG166" s="24">
        <f ca="1">IFERROR(__xludf.DUMMYFUNCTION("""COMPUTED_VALUE"""),0)</f>
        <v>0</v>
      </c>
      <c r="AH166" s="24">
        <f ca="1">IFERROR(__xludf.DUMMYFUNCTION("""COMPUTED_VALUE"""),0)</f>
        <v>0</v>
      </c>
      <c r="AI166" s="24">
        <f ca="1">IFERROR(__xludf.DUMMYFUNCTION("""COMPUTED_VALUE"""),1874.2)</f>
        <v>1874.2</v>
      </c>
      <c r="AJ166" s="24">
        <f ca="1">IFERROR(__xludf.DUMMYFUNCTION("""COMPUTED_VALUE"""),98.67)</f>
        <v>98.67</v>
      </c>
      <c r="AK166" s="24">
        <f ca="1">IFERROR(__xludf.DUMMYFUNCTION("""COMPUTED_VALUE"""),0)</f>
        <v>0</v>
      </c>
      <c r="AL166" s="24">
        <f ca="1">IFERROR(__xludf.DUMMYFUNCTION("""COMPUTED_VALUE"""),0)</f>
        <v>0</v>
      </c>
      <c r="AM166" s="20"/>
      <c r="AN166" s="20"/>
      <c r="AO166" s="20"/>
      <c r="AP166" s="20"/>
      <c r="AQ166" s="20"/>
      <c r="AR166" s="24">
        <f ca="1">IFERROR(__xludf.DUMMYFUNCTION("""COMPUTED_VALUE"""),0)</f>
        <v>0</v>
      </c>
      <c r="AS166" s="20"/>
      <c r="AT166" s="20"/>
      <c r="AU166" s="20"/>
      <c r="AV166" s="20"/>
      <c r="AW166" s="20"/>
      <c r="AX166" s="24">
        <f ca="1">IFERROR(__xludf.DUMMYFUNCTION("""COMPUTED_VALUE"""),1972.87)</f>
        <v>1972.87</v>
      </c>
      <c r="AY166" s="24">
        <f ca="1">IFERROR(__xludf.DUMMYFUNCTION("""COMPUTED_VALUE"""),0)</f>
        <v>0</v>
      </c>
      <c r="AZ166" s="24">
        <f ca="1">IFERROR(__xludf.DUMMYFUNCTION("""COMPUTED_VALUE"""),0)</f>
        <v>0</v>
      </c>
      <c r="BA166" s="24">
        <f ca="1">IFERROR(__xludf.DUMMYFUNCTION("""COMPUTED_VALUE"""),1874.2)</f>
        <v>1874.2</v>
      </c>
      <c r="BB166" s="24">
        <f ca="1">IFERROR(__xludf.DUMMYFUNCTION("""COMPUTED_VALUE"""),98.67)</f>
        <v>98.67</v>
      </c>
      <c r="BC166" s="20"/>
      <c r="BD166" s="24">
        <f ca="1">IFERROR(__xludf.DUMMYFUNCTION("""COMPUTED_VALUE"""),0)</f>
        <v>0</v>
      </c>
      <c r="BE166" s="24">
        <f ca="1">IFERROR(__xludf.DUMMYFUNCTION("""COMPUTED_VALUE"""),0)</f>
        <v>0</v>
      </c>
      <c r="BF166" s="24">
        <f ca="1">IFERROR(__xludf.DUMMYFUNCTION("""COMPUTED_VALUE"""),0)</f>
        <v>0</v>
      </c>
      <c r="BG166" s="24">
        <f ca="1">IFERROR(__xludf.DUMMYFUNCTION("""COMPUTED_VALUE"""),0)</f>
        <v>0</v>
      </c>
      <c r="BH166" s="24">
        <f ca="1">IFERROR(__xludf.DUMMYFUNCTION("""COMPUTED_VALUE"""),0)</f>
        <v>0</v>
      </c>
      <c r="BI166" s="20"/>
      <c r="BJ166" s="24">
        <f ca="1">IFERROR(__xludf.DUMMYFUNCTION("""COMPUTED_VALUE"""),0)</f>
        <v>0</v>
      </c>
      <c r="BK166" s="24">
        <f ca="1">IFERROR(__xludf.DUMMYFUNCTION("""COMPUTED_VALUE"""),0)</f>
        <v>0</v>
      </c>
      <c r="BL166" s="24">
        <f ca="1">IFERROR(__xludf.DUMMYFUNCTION("""COMPUTED_VALUE"""),0)</f>
        <v>0</v>
      </c>
      <c r="BM166" s="24">
        <f ca="1">IFERROR(__xludf.DUMMYFUNCTION("""COMPUTED_VALUE"""),0)</f>
        <v>0</v>
      </c>
      <c r="BN166" s="24">
        <f ca="1">IFERROR(__xludf.DUMMYFUNCTION("""COMPUTED_VALUE"""),0)</f>
        <v>0</v>
      </c>
      <c r="BO166" s="20"/>
      <c r="BP166" s="24">
        <f ca="1">IFERROR(__xludf.DUMMYFUNCTION("""COMPUTED_VALUE"""),0)</f>
        <v>0</v>
      </c>
      <c r="BQ166" s="24">
        <f ca="1">IFERROR(__xludf.DUMMYFUNCTION("""COMPUTED_VALUE"""),0)</f>
        <v>0</v>
      </c>
      <c r="BR166" s="24">
        <f ca="1">IFERROR(__xludf.DUMMYFUNCTION("""COMPUTED_VALUE"""),0)</f>
        <v>0</v>
      </c>
      <c r="BS166" s="24">
        <f ca="1">IFERROR(__xludf.DUMMYFUNCTION("""COMPUTED_VALUE"""),0)</f>
        <v>0</v>
      </c>
      <c r="BT166" s="24">
        <f ca="1">IFERROR(__xludf.DUMMYFUNCTION("""COMPUTED_VALUE"""),0)</f>
        <v>0</v>
      </c>
      <c r="BU166" s="20"/>
      <c r="BV166" s="24">
        <f ca="1">IFERROR(__xludf.DUMMYFUNCTION("""COMPUTED_VALUE"""),0)</f>
        <v>0</v>
      </c>
      <c r="BW166" s="24">
        <f ca="1">IFERROR(__xludf.DUMMYFUNCTION("""COMPUTED_VALUE"""),0)</f>
        <v>0</v>
      </c>
      <c r="BX166" s="24">
        <f ca="1">IFERROR(__xludf.DUMMYFUNCTION("""COMPUTED_VALUE"""),0)</f>
        <v>0</v>
      </c>
      <c r="BY166" s="24">
        <f ca="1">IFERROR(__xludf.DUMMYFUNCTION("""COMPUTED_VALUE"""),0)</f>
        <v>0</v>
      </c>
      <c r="BZ166" s="24">
        <f ca="1">IFERROR(__xludf.DUMMYFUNCTION("""COMPUTED_VALUE"""),0)</f>
        <v>0</v>
      </c>
      <c r="CA166" s="20"/>
      <c r="CB166" s="20"/>
      <c r="CC166" s="20"/>
      <c r="CD166" s="20"/>
      <c r="CE166" s="20"/>
      <c r="CF166" s="20"/>
      <c r="CG166" s="20"/>
      <c r="CH166" s="20"/>
      <c r="CI166" s="20"/>
      <c r="CJ166" s="20"/>
      <c r="CK166" s="20"/>
      <c r="CL166" s="20"/>
      <c r="CM166" s="20"/>
      <c r="CN166" s="20"/>
      <c r="CO166" s="20"/>
      <c r="CP166" s="20"/>
      <c r="CQ166" s="20"/>
      <c r="CR166" s="20"/>
      <c r="CS166" s="20"/>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row>
    <row r="167" spans="1:123" ht="64.5" customHeight="1" x14ac:dyDescent="0.2">
      <c r="A167" s="19"/>
      <c r="B167" s="20" t="str">
        <f ca="1">IFERROR(__xludf.DUMMYFUNCTION("""COMPUTED_VALUE"""),"г.о. Коломенский")</f>
        <v>г.о. Коломенский</v>
      </c>
      <c r="C16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7" s="20" t="str">
        <f ca="1">IFERROR(__xludf.DUMMYFUNCTION("""COMPUTED_VALUE"""),"МинЖКХ")</f>
        <v>МинЖКХ</v>
      </c>
      <c r="E167" s="20" t="str">
        <f ca="1">IFERROR(__xludf.DUMMYFUNCTION("""COMPUTED_VALUE"""),"Приобретение, монтаж и ввод в эксплуатацию станции  очистки воды на ВЗУ в с. Октябрьское, Коломенский г.о.")</f>
        <v>Приобретение, монтаж и ввод в эксплуатацию станции  очистки воды на ВЗУ в с. Октябрьское, Коломенский г.о.</v>
      </c>
      <c r="F167" s="32" t="str">
        <f ca="1">IFERROR(__xludf.DUMMYFUNCTION("""COMPUTED_VALUE"""),"ВЗУ")</f>
        <v>ВЗУ</v>
      </c>
      <c r="G167" s="20">
        <f ca="1">IFERROR(__xludf.DUMMYFUNCTION("""COMPUTED_VALUE"""),2020)</f>
        <v>2020</v>
      </c>
      <c r="H167" s="20" t="str">
        <f ca="1">IFERROR(__xludf.DUMMYFUNCTION("""COMPUTED_VALUE"""),"Приобретение, монтаж")</f>
        <v>Приобретение, монтаж</v>
      </c>
      <c r="I167" s="23">
        <f ca="1">IFERROR(__xludf.DUMMYFUNCTION("""COMPUTED_VALUE"""),0.6)</f>
        <v>0.6</v>
      </c>
      <c r="J167" s="20" t="str">
        <f ca="1">IFERROR(__xludf.DUMMYFUNCTION("""COMPUTED_VALUE"""),"Доставка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f>
        <v>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v>
      </c>
      <c r="K167" s="20"/>
      <c r="L167" s="20"/>
      <c r="M167" s="20"/>
      <c r="N167" s="24">
        <f ca="1">IFERROR(__xludf.DUMMYFUNCTION("""COMPUTED_VALUE"""),1582.57)</f>
        <v>1582.57</v>
      </c>
      <c r="O167" s="20"/>
      <c r="P167" s="24">
        <f ca="1">IFERROR(__xludf.DUMMYFUNCTION("""COMPUTED_VALUE"""),0)</f>
        <v>0</v>
      </c>
      <c r="Q167" s="24">
        <f ca="1">IFERROR(__xludf.DUMMYFUNCTION("""COMPUTED_VALUE"""),1582.57)</f>
        <v>1582.57</v>
      </c>
      <c r="R167" s="20"/>
      <c r="S167" s="20"/>
      <c r="T167" s="20"/>
      <c r="U167" s="24">
        <f ca="1">IFERROR(__xludf.DUMMYFUNCTION("""COMPUTED_VALUE"""),83.3699999999998)</f>
        <v>83.369999999999806</v>
      </c>
      <c r="V167" s="24">
        <f ca="1">IFERROR(__xludf.DUMMYFUNCTION("""COMPUTED_VALUE"""),0)</f>
        <v>0</v>
      </c>
      <c r="W167" s="24">
        <f ca="1">IFERROR(__xludf.DUMMYFUNCTION("""COMPUTED_VALUE"""),0)</f>
        <v>0</v>
      </c>
      <c r="X167" s="24">
        <f ca="1">IFERROR(__xludf.DUMMYFUNCTION("""COMPUTED_VALUE"""),0.0399999999999636)</f>
        <v>3.9999999999963599E-2</v>
      </c>
      <c r="Y167" s="24">
        <f ca="1">IFERROR(__xludf.DUMMYFUNCTION("""COMPUTED_VALUE"""),83.33)</f>
        <v>83.33</v>
      </c>
      <c r="Z167" s="24">
        <f ca="1">IFERROR(__xludf.DUMMYFUNCTION("""COMPUTED_VALUE"""),0)</f>
        <v>0</v>
      </c>
      <c r="AA167" s="20" t="str">
        <f ca="1">IFERROR(__xludf.DUMMYFUNCTION("""COMPUTED_VALUE"""),"10 1 02 60330")</f>
        <v>10 1 02 60330</v>
      </c>
      <c r="AB167" s="20">
        <f ca="1">IFERROR(__xludf.DUMMYFUNCTION("""COMPUTED_VALUE"""),520)</f>
        <v>520</v>
      </c>
      <c r="AC167" s="20" t="str">
        <f ca="1">IFERROR(__xludf.DUMMYFUNCTION("""COMPUTED_VALUE"""),"Не требуется")</f>
        <v>Не требуется</v>
      </c>
      <c r="AD167" s="20" t="str">
        <f ca="1">IFERROR(__xludf.DUMMYFUNCTION("""COMPUTED_VALUE"""),"-")</f>
        <v>-</v>
      </c>
      <c r="AE167" s="20" t="str">
        <f ca="1">IFERROR(__xludf.DUMMYFUNCTION("""COMPUTED_VALUE"""),"-")</f>
        <v>-</v>
      </c>
      <c r="AF167" s="24">
        <f ca="1">IFERROR(__xludf.DUMMYFUNCTION("""COMPUTED_VALUE"""),1665.93999999999)</f>
        <v>1665.9399999999901</v>
      </c>
      <c r="AG167" s="24">
        <f ca="1">IFERROR(__xludf.DUMMYFUNCTION("""COMPUTED_VALUE"""),0)</f>
        <v>0</v>
      </c>
      <c r="AH167" s="24">
        <f ca="1">IFERROR(__xludf.DUMMYFUNCTION("""COMPUTED_VALUE"""),0)</f>
        <v>0</v>
      </c>
      <c r="AI167" s="24">
        <f ca="1">IFERROR(__xludf.DUMMYFUNCTION("""COMPUTED_VALUE"""),1582.61)</f>
        <v>1582.61</v>
      </c>
      <c r="AJ167" s="24">
        <f ca="1">IFERROR(__xludf.DUMMYFUNCTION("""COMPUTED_VALUE"""),83.33)</f>
        <v>83.33</v>
      </c>
      <c r="AK167" s="24">
        <f ca="1">IFERROR(__xludf.DUMMYFUNCTION("""COMPUTED_VALUE"""),0)</f>
        <v>0</v>
      </c>
      <c r="AL167" s="24">
        <f ca="1">IFERROR(__xludf.DUMMYFUNCTION("""COMPUTED_VALUE"""),0)</f>
        <v>0</v>
      </c>
      <c r="AM167" s="20"/>
      <c r="AN167" s="20"/>
      <c r="AO167" s="20"/>
      <c r="AP167" s="20"/>
      <c r="AQ167" s="20"/>
      <c r="AR167" s="24">
        <f ca="1">IFERROR(__xludf.DUMMYFUNCTION("""COMPUTED_VALUE"""),0)</f>
        <v>0</v>
      </c>
      <c r="AS167" s="20"/>
      <c r="AT167" s="20"/>
      <c r="AU167" s="20"/>
      <c r="AV167" s="20"/>
      <c r="AW167" s="20"/>
      <c r="AX167" s="24">
        <f ca="1">IFERROR(__xludf.DUMMYFUNCTION("""COMPUTED_VALUE"""),1665.93999999999)</f>
        <v>1665.9399999999901</v>
      </c>
      <c r="AY167" s="24">
        <f ca="1">IFERROR(__xludf.DUMMYFUNCTION("""COMPUTED_VALUE"""),0)</f>
        <v>0</v>
      </c>
      <c r="AZ167" s="24">
        <f ca="1">IFERROR(__xludf.DUMMYFUNCTION("""COMPUTED_VALUE"""),0)</f>
        <v>0</v>
      </c>
      <c r="BA167" s="24">
        <f ca="1">IFERROR(__xludf.DUMMYFUNCTION("""COMPUTED_VALUE"""),1582.61)</f>
        <v>1582.61</v>
      </c>
      <c r="BB167" s="24">
        <f ca="1">IFERROR(__xludf.DUMMYFUNCTION("""COMPUTED_VALUE"""),83.33)</f>
        <v>83.33</v>
      </c>
      <c r="BC167" s="20"/>
      <c r="BD167" s="24">
        <f ca="1">IFERROR(__xludf.DUMMYFUNCTION("""COMPUTED_VALUE"""),0)</f>
        <v>0</v>
      </c>
      <c r="BE167" s="24">
        <f ca="1">IFERROR(__xludf.DUMMYFUNCTION("""COMPUTED_VALUE"""),0)</f>
        <v>0</v>
      </c>
      <c r="BF167" s="24">
        <f ca="1">IFERROR(__xludf.DUMMYFUNCTION("""COMPUTED_VALUE"""),0)</f>
        <v>0</v>
      </c>
      <c r="BG167" s="24">
        <f ca="1">IFERROR(__xludf.DUMMYFUNCTION("""COMPUTED_VALUE"""),0)</f>
        <v>0</v>
      </c>
      <c r="BH167" s="24">
        <f ca="1">IFERROR(__xludf.DUMMYFUNCTION("""COMPUTED_VALUE"""),0)</f>
        <v>0</v>
      </c>
      <c r="BI167" s="20"/>
      <c r="BJ167" s="24">
        <f ca="1">IFERROR(__xludf.DUMMYFUNCTION("""COMPUTED_VALUE"""),0)</f>
        <v>0</v>
      </c>
      <c r="BK167" s="24">
        <f ca="1">IFERROR(__xludf.DUMMYFUNCTION("""COMPUTED_VALUE"""),0)</f>
        <v>0</v>
      </c>
      <c r="BL167" s="24">
        <f ca="1">IFERROR(__xludf.DUMMYFUNCTION("""COMPUTED_VALUE"""),0)</f>
        <v>0</v>
      </c>
      <c r="BM167" s="24">
        <f ca="1">IFERROR(__xludf.DUMMYFUNCTION("""COMPUTED_VALUE"""),0)</f>
        <v>0</v>
      </c>
      <c r="BN167" s="24">
        <f ca="1">IFERROR(__xludf.DUMMYFUNCTION("""COMPUTED_VALUE"""),0)</f>
        <v>0</v>
      </c>
      <c r="BO167" s="20"/>
      <c r="BP167" s="24">
        <f ca="1">IFERROR(__xludf.DUMMYFUNCTION("""COMPUTED_VALUE"""),0)</f>
        <v>0</v>
      </c>
      <c r="BQ167" s="24">
        <f ca="1">IFERROR(__xludf.DUMMYFUNCTION("""COMPUTED_VALUE"""),0)</f>
        <v>0</v>
      </c>
      <c r="BR167" s="24">
        <f ca="1">IFERROR(__xludf.DUMMYFUNCTION("""COMPUTED_VALUE"""),0)</f>
        <v>0</v>
      </c>
      <c r="BS167" s="24">
        <f ca="1">IFERROR(__xludf.DUMMYFUNCTION("""COMPUTED_VALUE"""),0)</f>
        <v>0</v>
      </c>
      <c r="BT167" s="24">
        <f ca="1">IFERROR(__xludf.DUMMYFUNCTION("""COMPUTED_VALUE"""),0)</f>
        <v>0</v>
      </c>
      <c r="BU167" s="20"/>
      <c r="BV167" s="24">
        <f ca="1">IFERROR(__xludf.DUMMYFUNCTION("""COMPUTED_VALUE"""),0)</f>
        <v>0</v>
      </c>
      <c r="BW167" s="24">
        <f ca="1">IFERROR(__xludf.DUMMYFUNCTION("""COMPUTED_VALUE"""),0)</f>
        <v>0</v>
      </c>
      <c r="BX167" s="24">
        <f ca="1">IFERROR(__xludf.DUMMYFUNCTION("""COMPUTED_VALUE"""),0)</f>
        <v>0</v>
      </c>
      <c r="BY167" s="24">
        <f ca="1">IFERROR(__xludf.DUMMYFUNCTION("""COMPUTED_VALUE"""),0)</f>
        <v>0</v>
      </c>
      <c r="BZ167" s="24">
        <f ca="1">IFERROR(__xludf.DUMMYFUNCTION("""COMPUTED_VALUE"""),0)</f>
        <v>0</v>
      </c>
      <c r="CA167" s="20"/>
      <c r="CB167" s="20"/>
      <c r="CC167" s="20"/>
      <c r="CD167" s="20"/>
      <c r="CE167" s="20"/>
      <c r="CF167" s="20"/>
      <c r="CG167" s="20"/>
      <c r="CH167" s="20"/>
      <c r="CI167" s="20"/>
      <c r="CJ167" s="20"/>
      <c r="CK167" s="20"/>
      <c r="CL167" s="20"/>
      <c r="CM167" s="20"/>
      <c r="CN167" s="20"/>
      <c r="CO167" s="20"/>
      <c r="CP167" s="20"/>
      <c r="CQ167" s="20"/>
      <c r="CR167" s="20"/>
      <c r="CS167" s="20"/>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row>
    <row r="168" spans="1:123" ht="64.5" customHeight="1" x14ac:dyDescent="0.2">
      <c r="A168" s="19"/>
      <c r="B168" s="20" t="str">
        <f ca="1">IFERROR(__xludf.DUMMYFUNCTION("""COMPUTED_VALUE"""),"г.о. Коломенский")</f>
        <v>г.о. Коломенский</v>
      </c>
      <c r="C16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8" s="20" t="str">
        <f ca="1">IFERROR(__xludf.DUMMYFUNCTION("""COMPUTED_VALUE"""),"МинЖКХ")</f>
        <v>МинЖКХ</v>
      </c>
      <c r="E168" s="20" t="str">
        <f ca="1">IFERROR(__xludf.DUMMYFUNCTION("""COMPUTED_VALUE"""),"Приобретение, монтаж и ввод в эксплуатацию станции  очистки воды на ВЗУ в д. Семеновское, Коломенский г.о.")</f>
        <v>Приобретение, монтаж и ввод в эксплуатацию станции  очистки воды на ВЗУ в д. Семеновское, Коломенский г.о.</v>
      </c>
      <c r="F168" s="32" t="str">
        <f ca="1">IFERROR(__xludf.DUMMYFUNCTION("""COMPUTED_VALUE"""),"ВЗУ")</f>
        <v>ВЗУ</v>
      </c>
      <c r="G168" s="20">
        <f ca="1">IFERROR(__xludf.DUMMYFUNCTION("""COMPUTED_VALUE"""),2020)</f>
        <v>2020</v>
      </c>
      <c r="H168" s="20" t="str">
        <f ca="1">IFERROR(__xludf.DUMMYFUNCTION("""COMPUTED_VALUE"""),"Приобретение, монтаж")</f>
        <v>Приобретение, монтаж</v>
      </c>
      <c r="I168" s="20"/>
      <c r="J168" s="20"/>
      <c r="K168" s="20"/>
      <c r="L168" s="20"/>
      <c r="M168" s="20"/>
      <c r="N168" s="24">
        <f ca="1">IFERROR(__xludf.DUMMYFUNCTION("""COMPUTED_VALUE"""),0)</f>
        <v>0</v>
      </c>
      <c r="O168" s="20"/>
      <c r="P168" s="20"/>
      <c r="Q168" s="20"/>
      <c r="R168" s="20"/>
      <c r="S168" s="20"/>
      <c r="T168" s="20"/>
      <c r="U168" s="24">
        <f ca="1">IFERROR(__xludf.DUMMYFUNCTION("""COMPUTED_VALUE"""),1640)</f>
        <v>1640</v>
      </c>
      <c r="V168" s="24">
        <f ca="1">IFERROR(__xludf.DUMMYFUNCTION("""COMPUTED_VALUE"""),0)</f>
        <v>0</v>
      </c>
      <c r="W168" s="24">
        <f ca="1">IFERROR(__xludf.DUMMYFUNCTION("""COMPUTED_VALUE"""),0)</f>
        <v>0</v>
      </c>
      <c r="X168" s="24">
        <f ca="1">IFERROR(__xludf.DUMMYFUNCTION("""COMPUTED_VALUE"""),0)</f>
        <v>0</v>
      </c>
      <c r="Y168" s="24">
        <f ca="1">IFERROR(__xludf.DUMMYFUNCTION("""COMPUTED_VALUE"""),0)</f>
        <v>0</v>
      </c>
      <c r="Z168" s="24">
        <f ca="1">IFERROR(__xludf.DUMMYFUNCTION("""COMPUTED_VALUE"""),1640)</f>
        <v>1640</v>
      </c>
      <c r="AA168" s="20" t="str">
        <f ca="1">IFERROR(__xludf.DUMMYFUNCTION("""COMPUTED_VALUE"""),"10 1 02 60330")</f>
        <v>10 1 02 60330</v>
      </c>
      <c r="AB168" s="20">
        <f ca="1">IFERROR(__xludf.DUMMYFUNCTION("""COMPUTED_VALUE"""),520)</f>
        <v>520</v>
      </c>
      <c r="AC168" s="20" t="str">
        <f ca="1">IFERROR(__xludf.DUMMYFUNCTION("""COMPUTED_VALUE"""),"Не требуется")</f>
        <v>Не требуется</v>
      </c>
      <c r="AD168" s="20" t="str">
        <f ca="1">IFERROR(__xludf.DUMMYFUNCTION("""COMPUTED_VALUE"""),"-")</f>
        <v>-</v>
      </c>
      <c r="AE168" s="20" t="str">
        <f ca="1">IFERROR(__xludf.DUMMYFUNCTION("""COMPUTED_VALUE"""),"-")</f>
        <v>-</v>
      </c>
      <c r="AF168" s="24">
        <f ca="1">IFERROR(__xludf.DUMMYFUNCTION("""COMPUTED_VALUE"""),1640)</f>
        <v>1640</v>
      </c>
      <c r="AG168" s="24">
        <f ca="1">IFERROR(__xludf.DUMMYFUNCTION("""COMPUTED_VALUE"""),0)</f>
        <v>0</v>
      </c>
      <c r="AH168" s="24">
        <f ca="1">IFERROR(__xludf.DUMMYFUNCTION("""COMPUTED_VALUE"""),0)</f>
        <v>0</v>
      </c>
      <c r="AI168" s="24">
        <f ca="1">IFERROR(__xludf.DUMMYFUNCTION("""COMPUTED_VALUE"""),0)</f>
        <v>0</v>
      </c>
      <c r="AJ168" s="24">
        <f ca="1">IFERROR(__xludf.DUMMYFUNCTION("""COMPUTED_VALUE"""),0)</f>
        <v>0</v>
      </c>
      <c r="AK168" s="24">
        <f ca="1">IFERROR(__xludf.DUMMYFUNCTION("""COMPUTED_VALUE"""),1640)</f>
        <v>1640</v>
      </c>
      <c r="AL168" s="24">
        <f ca="1">IFERROR(__xludf.DUMMYFUNCTION("""COMPUTED_VALUE"""),0)</f>
        <v>0</v>
      </c>
      <c r="AM168" s="20"/>
      <c r="AN168" s="20"/>
      <c r="AO168" s="20"/>
      <c r="AP168" s="20"/>
      <c r="AQ168" s="20"/>
      <c r="AR168" s="24">
        <f ca="1">IFERROR(__xludf.DUMMYFUNCTION("""COMPUTED_VALUE"""),0)</f>
        <v>0</v>
      </c>
      <c r="AS168" s="20"/>
      <c r="AT168" s="20"/>
      <c r="AU168" s="20"/>
      <c r="AV168" s="20"/>
      <c r="AW168" s="20"/>
      <c r="AX168" s="24">
        <f ca="1">IFERROR(__xludf.DUMMYFUNCTION("""COMPUTED_VALUE"""),1640)</f>
        <v>1640</v>
      </c>
      <c r="AY168" s="24">
        <f ca="1">IFERROR(__xludf.DUMMYFUNCTION("""COMPUTED_VALUE"""),0)</f>
        <v>0</v>
      </c>
      <c r="AZ168" s="24">
        <f ca="1">IFERROR(__xludf.DUMMYFUNCTION("""COMPUTED_VALUE"""),0)</f>
        <v>0</v>
      </c>
      <c r="BA168" s="24">
        <f ca="1">IFERROR(__xludf.DUMMYFUNCTION("""COMPUTED_VALUE"""),0)</f>
        <v>0</v>
      </c>
      <c r="BB168" s="24">
        <f ca="1">IFERROR(__xludf.DUMMYFUNCTION("""COMPUTED_VALUE"""),0)</f>
        <v>0</v>
      </c>
      <c r="BC168" s="24">
        <f ca="1">IFERROR(__xludf.DUMMYFUNCTION("""COMPUTED_VALUE"""),1640)</f>
        <v>1640</v>
      </c>
      <c r="BD168" s="24">
        <f ca="1">IFERROR(__xludf.DUMMYFUNCTION("""COMPUTED_VALUE"""),0)</f>
        <v>0</v>
      </c>
      <c r="BE168" s="24">
        <f ca="1">IFERROR(__xludf.DUMMYFUNCTION("""COMPUTED_VALUE"""),0)</f>
        <v>0</v>
      </c>
      <c r="BF168" s="24">
        <f ca="1">IFERROR(__xludf.DUMMYFUNCTION("""COMPUTED_VALUE"""),0)</f>
        <v>0</v>
      </c>
      <c r="BG168" s="24">
        <f ca="1">IFERROR(__xludf.DUMMYFUNCTION("""COMPUTED_VALUE"""),0)</f>
        <v>0</v>
      </c>
      <c r="BH168" s="24">
        <f ca="1">IFERROR(__xludf.DUMMYFUNCTION("""COMPUTED_VALUE"""),0)</f>
        <v>0</v>
      </c>
      <c r="BI168" s="20"/>
      <c r="BJ168" s="24">
        <f ca="1">IFERROR(__xludf.DUMMYFUNCTION("""COMPUTED_VALUE"""),0)</f>
        <v>0</v>
      </c>
      <c r="BK168" s="24">
        <f ca="1">IFERROR(__xludf.DUMMYFUNCTION("""COMPUTED_VALUE"""),0)</f>
        <v>0</v>
      </c>
      <c r="BL168" s="24">
        <f ca="1">IFERROR(__xludf.DUMMYFUNCTION("""COMPUTED_VALUE"""),0)</f>
        <v>0</v>
      </c>
      <c r="BM168" s="24">
        <f ca="1">IFERROR(__xludf.DUMMYFUNCTION("""COMPUTED_VALUE"""),0)</f>
        <v>0</v>
      </c>
      <c r="BN168" s="24">
        <f ca="1">IFERROR(__xludf.DUMMYFUNCTION("""COMPUTED_VALUE"""),0)</f>
        <v>0</v>
      </c>
      <c r="BO168" s="20"/>
      <c r="BP168" s="24">
        <f ca="1">IFERROR(__xludf.DUMMYFUNCTION("""COMPUTED_VALUE"""),0)</f>
        <v>0</v>
      </c>
      <c r="BQ168" s="24">
        <f ca="1">IFERROR(__xludf.DUMMYFUNCTION("""COMPUTED_VALUE"""),0)</f>
        <v>0</v>
      </c>
      <c r="BR168" s="24">
        <f ca="1">IFERROR(__xludf.DUMMYFUNCTION("""COMPUTED_VALUE"""),0)</f>
        <v>0</v>
      </c>
      <c r="BS168" s="24">
        <f ca="1">IFERROR(__xludf.DUMMYFUNCTION("""COMPUTED_VALUE"""),0)</f>
        <v>0</v>
      </c>
      <c r="BT168" s="24">
        <f ca="1">IFERROR(__xludf.DUMMYFUNCTION("""COMPUTED_VALUE"""),0)</f>
        <v>0</v>
      </c>
      <c r="BU168" s="20"/>
      <c r="BV168" s="24">
        <f ca="1">IFERROR(__xludf.DUMMYFUNCTION("""COMPUTED_VALUE"""),0)</f>
        <v>0</v>
      </c>
      <c r="BW168" s="24">
        <f ca="1">IFERROR(__xludf.DUMMYFUNCTION("""COMPUTED_VALUE"""),0)</f>
        <v>0</v>
      </c>
      <c r="BX168" s="24">
        <f ca="1">IFERROR(__xludf.DUMMYFUNCTION("""COMPUTED_VALUE"""),0)</f>
        <v>0</v>
      </c>
      <c r="BY168" s="24">
        <f ca="1">IFERROR(__xludf.DUMMYFUNCTION("""COMPUTED_VALUE"""),0)</f>
        <v>0</v>
      </c>
      <c r="BZ168" s="24">
        <f ca="1">IFERROR(__xludf.DUMMYFUNCTION("""COMPUTED_VALUE"""),0)</f>
        <v>0</v>
      </c>
      <c r="CA168" s="20"/>
      <c r="CB168" s="20"/>
      <c r="CC168" s="20"/>
      <c r="CD168" s="20"/>
      <c r="CE168" s="20"/>
      <c r="CF168" s="20"/>
      <c r="CG168" s="20"/>
      <c r="CH168" s="20"/>
      <c r="CI168" s="20"/>
      <c r="CJ168" s="20"/>
      <c r="CK168" s="20"/>
      <c r="CL168" s="20"/>
      <c r="CM168" s="20"/>
      <c r="CN168" s="20"/>
      <c r="CO168" s="20"/>
      <c r="CP168" s="20"/>
      <c r="CQ168" s="20"/>
      <c r="CR168" s="20"/>
      <c r="CS168" s="20"/>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row>
    <row r="169" spans="1:123" ht="64.5" customHeight="1" x14ac:dyDescent="0.2">
      <c r="A169" s="19"/>
      <c r="B169" s="20" t="str">
        <f ca="1">IFERROR(__xludf.DUMMYFUNCTION("""COMPUTED_VALUE"""),"г.о. Коломенский")</f>
        <v>г.о. Коломенский</v>
      </c>
      <c r="C16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9" s="20" t="str">
        <f ca="1">IFERROR(__xludf.DUMMYFUNCTION("""COMPUTED_VALUE"""),"МинЖКХ")</f>
        <v>МинЖКХ</v>
      </c>
      <c r="E169" s="20" t="str">
        <f ca="1">IFERROR(__xludf.DUMMYFUNCTION("""COMPUTED_VALUE"""),"Приобретение, монтаж и ввод в эксплуатацию станции  очистки воды на ВЗУ в д. Семибратское, Коломенский г.о.")</f>
        <v>Приобретение, монтаж и ввод в эксплуатацию станции  очистки воды на ВЗУ в д. Семибратское, Коломенский г.о.</v>
      </c>
      <c r="F169" s="32" t="str">
        <f ca="1">IFERROR(__xludf.DUMMYFUNCTION("""COMPUTED_VALUE"""),"ВЗУ")</f>
        <v>ВЗУ</v>
      </c>
      <c r="G169" s="20">
        <f ca="1">IFERROR(__xludf.DUMMYFUNCTION("""COMPUTED_VALUE"""),2020)</f>
        <v>2020</v>
      </c>
      <c r="H169" s="20" t="str">
        <f ca="1">IFERROR(__xludf.DUMMYFUNCTION("""COMPUTED_VALUE"""),"Приобретение, монтаж")</f>
        <v>Приобретение, монтаж</v>
      </c>
      <c r="I169" s="23">
        <f ca="1">IFERROR(__xludf.DUMMYFUNCTION("""COMPUTED_VALUE"""),0.8)</f>
        <v>0.8</v>
      </c>
      <c r="J169" s="20" t="str">
        <f ca="1">IFERROR(__xludf.DUMMYFUNCTION("""COMPUTED_VALUE"""),"Осуществлена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f>
        <v>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v>
      </c>
      <c r="K169" s="20"/>
      <c r="L169" s="20"/>
      <c r="M169" s="20"/>
      <c r="N169" s="24">
        <f ca="1">IFERROR(__xludf.DUMMYFUNCTION("""COMPUTED_VALUE"""),1723.48)</f>
        <v>1723.48</v>
      </c>
      <c r="O169" s="20"/>
      <c r="P169" s="24">
        <f ca="1">IFERROR(__xludf.DUMMYFUNCTION("""COMPUTED_VALUE"""),0)</f>
        <v>0</v>
      </c>
      <c r="Q169" s="24">
        <f ca="1">IFERROR(__xludf.DUMMYFUNCTION("""COMPUTED_VALUE"""),1723.48)</f>
        <v>1723.48</v>
      </c>
      <c r="R169" s="20"/>
      <c r="S169" s="20"/>
      <c r="T169" s="20"/>
      <c r="U169" s="24">
        <f ca="1">IFERROR(__xludf.DUMMYFUNCTION("""COMPUTED_VALUE"""),991.849999999999)</f>
        <v>991.849999999999</v>
      </c>
      <c r="V169" s="24">
        <f ca="1">IFERROR(__xludf.DUMMYFUNCTION("""COMPUTED_VALUE"""),0)</f>
        <v>0</v>
      </c>
      <c r="W169" s="24">
        <f ca="1">IFERROR(__xludf.DUMMYFUNCTION("""COMPUTED_VALUE"""),0)</f>
        <v>0</v>
      </c>
      <c r="X169" s="24">
        <f ca="1">IFERROR(__xludf.DUMMYFUNCTION("""COMPUTED_VALUE"""),856.02)</f>
        <v>856.02</v>
      </c>
      <c r="Y169" s="24">
        <f ca="1">IFERROR(__xludf.DUMMYFUNCTION("""COMPUTED_VALUE"""),135.83)</f>
        <v>135.83000000000001</v>
      </c>
      <c r="Z169" s="24">
        <f ca="1">IFERROR(__xludf.DUMMYFUNCTION("""COMPUTED_VALUE"""),0)</f>
        <v>0</v>
      </c>
      <c r="AA169" s="20" t="str">
        <f ca="1">IFERROR(__xludf.DUMMYFUNCTION("""COMPUTED_VALUE"""),"10 1 02 60330")</f>
        <v>10 1 02 60330</v>
      </c>
      <c r="AB169" s="20">
        <f ca="1">IFERROR(__xludf.DUMMYFUNCTION("""COMPUTED_VALUE"""),520)</f>
        <v>520</v>
      </c>
      <c r="AC169" s="20" t="str">
        <f ca="1">IFERROR(__xludf.DUMMYFUNCTION("""COMPUTED_VALUE"""),"Не требуется")</f>
        <v>Не требуется</v>
      </c>
      <c r="AD169" s="20" t="str">
        <f ca="1">IFERROR(__xludf.DUMMYFUNCTION("""COMPUTED_VALUE"""),"-")</f>
        <v>-</v>
      </c>
      <c r="AE169" s="20" t="str">
        <f ca="1">IFERROR(__xludf.DUMMYFUNCTION("""COMPUTED_VALUE"""),"-")</f>
        <v>-</v>
      </c>
      <c r="AF169" s="24">
        <f ca="1">IFERROR(__xludf.DUMMYFUNCTION("""COMPUTED_VALUE"""),2715.33)</f>
        <v>2715.33</v>
      </c>
      <c r="AG169" s="24">
        <f ca="1">IFERROR(__xludf.DUMMYFUNCTION("""COMPUTED_VALUE"""),0)</f>
        <v>0</v>
      </c>
      <c r="AH169" s="24">
        <f ca="1">IFERROR(__xludf.DUMMYFUNCTION("""COMPUTED_VALUE"""),0)</f>
        <v>0</v>
      </c>
      <c r="AI169" s="24">
        <f ca="1">IFERROR(__xludf.DUMMYFUNCTION("""COMPUTED_VALUE"""),2579.5)</f>
        <v>2579.5</v>
      </c>
      <c r="AJ169" s="24">
        <f ca="1">IFERROR(__xludf.DUMMYFUNCTION("""COMPUTED_VALUE"""),135.83)</f>
        <v>135.83000000000001</v>
      </c>
      <c r="AK169" s="24">
        <f ca="1">IFERROR(__xludf.DUMMYFUNCTION("""COMPUTED_VALUE"""),0)</f>
        <v>0</v>
      </c>
      <c r="AL169" s="24">
        <f ca="1">IFERROR(__xludf.DUMMYFUNCTION("""COMPUTED_VALUE"""),0)</f>
        <v>0</v>
      </c>
      <c r="AM169" s="20"/>
      <c r="AN169" s="20"/>
      <c r="AO169" s="20"/>
      <c r="AP169" s="20"/>
      <c r="AQ169" s="20"/>
      <c r="AR169" s="24">
        <f ca="1">IFERROR(__xludf.DUMMYFUNCTION("""COMPUTED_VALUE"""),0)</f>
        <v>0</v>
      </c>
      <c r="AS169" s="20"/>
      <c r="AT169" s="20"/>
      <c r="AU169" s="20"/>
      <c r="AV169" s="20"/>
      <c r="AW169" s="20"/>
      <c r="AX169" s="24">
        <f ca="1">IFERROR(__xludf.DUMMYFUNCTION("""COMPUTED_VALUE"""),2715.33)</f>
        <v>2715.33</v>
      </c>
      <c r="AY169" s="24">
        <f ca="1">IFERROR(__xludf.DUMMYFUNCTION("""COMPUTED_VALUE"""),0)</f>
        <v>0</v>
      </c>
      <c r="AZ169" s="24">
        <f ca="1">IFERROR(__xludf.DUMMYFUNCTION("""COMPUTED_VALUE"""),0)</f>
        <v>0</v>
      </c>
      <c r="BA169" s="24">
        <f ca="1">IFERROR(__xludf.DUMMYFUNCTION("""COMPUTED_VALUE"""),2579.5)</f>
        <v>2579.5</v>
      </c>
      <c r="BB169" s="24">
        <f ca="1">IFERROR(__xludf.DUMMYFUNCTION("""COMPUTED_VALUE"""),135.83)</f>
        <v>135.83000000000001</v>
      </c>
      <c r="BC169" s="20"/>
      <c r="BD169" s="24">
        <f ca="1">IFERROR(__xludf.DUMMYFUNCTION("""COMPUTED_VALUE"""),0)</f>
        <v>0</v>
      </c>
      <c r="BE169" s="24">
        <f ca="1">IFERROR(__xludf.DUMMYFUNCTION("""COMPUTED_VALUE"""),0)</f>
        <v>0</v>
      </c>
      <c r="BF169" s="24">
        <f ca="1">IFERROR(__xludf.DUMMYFUNCTION("""COMPUTED_VALUE"""),0)</f>
        <v>0</v>
      </c>
      <c r="BG169" s="24">
        <f ca="1">IFERROR(__xludf.DUMMYFUNCTION("""COMPUTED_VALUE"""),0)</f>
        <v>0</v>
      </c>
      <c r="BH169" s="24">
        <f ca="1">IFERROR(__xludf.DUMMYFUNCTION("""COMPUTED_VALUE"""),0)</f>
        <v>0</v>
      </c>
      <c r="BI169" s="20"/>
      <c r="BJ169" s="24">
        <f ca="1">IFERROR(__xludf.DUMMYFUNCTION("""COMPUTED_VALUE"""),0)</f>
        <v>0</v>
      </c>
      <c r="BK169" s="24">
        <f ca="1">IFERROR(__xludf.DUMMYFUNCTION("""COMPUTED_VALUE"""),0)</f>
        <v>0</v>
      </c>
      <c r="BL169" s="24">
        <f ca="1">IFERROR(__xludf.DUMMYFUNCTION("""COMPUTED_VALUE"""),0)</f>
        <v>0</v>
      </c>
      <c r="BM169" s="24">
        <f ca="1">IFERROR(__xludf.DUMMYFUNCTION("""COMPUTED_VALUE"""),0)</f>
        <v>0</v>
      </c>
      <c r="BN169" s="24">
        <f ca="1">IFERROR(__xludf.DUMMYFUNCTION("""COMPUTED_VALUE"""),0)</f>
        <v>0</v>
      </c>
      <c r="BO169" s="20"/>
      <c r="BP169" s="24">
        <f ca="1">IFERROR(__xludf.DUMMYFUNCTION("""COMPUTED_VALUE"""),0)</f>
        <v>0</v>
      </c>
      <c r="BQ169" s="24">
        <f ca="1">IFERROR(__xludf.DUMMYFUNCTION("""COMPUTED_VALUE"""),0)</f>
        <v>0</v>
      </c>
      <c r="BR169" s="24">
        <f ca="1">IFERROR(__xludf.DUMMYFUNCTION("""COMPUTED_VALUE"""),0)</f>
        <v>0</v>
      </c>
      <c r="BS169" s="24">
        <f ca="1">IFERROR(__xludf.DUMMYFUNCTION("""COMPUTED_VALUE"""),0)</f>
        <v>0</v>
      </c>
      <c r="BT169" s="24">
        <f ca="1">IFERROR(__xludf.DUMMYFUNCTION("""COMPUTED_VALUE"""),0)</f>
        <v>0</v>
      </c>
      <c r="BU169" s="20"/>
      <c r="BV169" s="24">
        <f ca="1">IFERROR(__xludf.DUMMYFUNCTION("""COMPUTED_VALUE"""),0)</f>
        <v>0</v>
      </c>
      <c r="BW169" s="24">
        <f ca="1">IFERROR(__xludf.DUMMYFUNCTION("""COMPUTED_VALUE"""),0)</f>
        <v>0</v>
      </c>
      <c r="BX169" s="24">
        <f ca="1">IFERROR(__xludf.DUMMYFUNCTION("""COMPUTED_VALUE"""),0)</f>
        <v>0</v>
      </c>
      <c r="BY169" s="24">
        <f ca="1">IFERROR(__xludf.DUMMYFUNCTION("""COMPUTED_VALUE"""),0)</f>
        <v>0</v>
      </c>
      <c r="BZ169" s="24">
        <f ca="1">IFERROR(__xludf.DUMMYFUNCTION("""COMPUTED_VALUE"""),0)</f>
        <v>0</v>
      </c>
      <c r="CA169" s="20"/>
      <c r="CB169" s="20"/>
      <c r="CC169" s="20"/>
      <c r="CD169" s="20"/>
      <c r="CE169" s="20"/>
      <c r="CF169" s="20"/>
      <c r="CG169" s="20"/>
      <c r="CH169" s="20"/>
      <c r="CI169" s="20"/>
      <c r="CJ169" s="20"/>
      <c r="CK169" s="20"/>
      <c r="CL169" s="20"/>
      <c r="CM169" s="20"/>
      <c r="CN169" s="20"/>
      <c r="CO169" s="20"/>
      <c r="CP169" s="20"/>
      <c r="CQ169" s="20"/>
      <c r="CR169" s="20"/>
      <c r="CS169" s="20"/>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row>
    <row r="170" spans="1:123" ht="64.5" customHeight="1" x14ac:dyDescent="0.2">
      <c r="A170" s="19"/>
      <c r="B170" s="20" t="str">
        <f ca="1">IFERROR(__xludf.DUMMYFUNCTION("""COMPUTED_VALUE"""),"г.о. Коломенский")</f>
        <v>г.о. Коломенский</v>
      </c>
      <c r="C17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0" s="20" t="str">
        <f ca="1">IFERROR(__xludf.DUMMYFUNCTION("""COMPUTED_VALUE"""),"МинЖКХ")</f>
        <v>МинЖКХ</v>
      </c>
      <c r="E170" s="20" t="str">
        <f ca="1">IFERROR(__xludf.DUMMYFUNCTION("""COMPUTED_VALUE"""),"Приобретение, монтаж и ввод в эксплуатацию станции  очистки воды на ВЗУ в п. Возрождение, Коломенский г.о.")</f>
        <v>Приобретение, монтаж и ввод в эксплуатацию станции  очистки воды на ВЗУ в п. Возрождение, Коломенский г.о.</v>
      </c>
      <c r="F170" s="32" t="str">
        <f ca="1">IFERROR(__xludf.DUMMYFUNCTION("""COMPUTED_VALUE"""),"ВЗУ")</f>
        <v>ВЗУ</v>
      </c>
      <c r="G170" s="20">
        <f ca="1">IFERROR(__xludf.DUMMYFUNCTION("""COMPUTED_VALUE"""),2020)</f>
        <v>2020</v>
      </c>
      <c r="H170" s="20" t="str">
        <f ca="1">IFERROR(__xludf.DUMMYFUNCTION("""COMPUTED_VALUE"""),"Приобретение, монтаж")</f>
        <v>Приобретение, монтаж</v>
      </c>
      <c r="I170" s="20"/>
      <c r="J170" s="20"/>
      <c r="K170" s="20"/>
      <c r="L170" s="20"/>
      <c r="M170" s="20"/>
      <c r="N170" s="24">
        <f ca="1">IFERROR(__xludf.DUMMYFUNCTION("""COMPUTED_VALUE"""),0)</f>
        <v>0</v>
      </c>
      <c r="O170" s="20"/>
      <c r="P170" s="20"/>
      <c r="Q170" s="20"/>
      <c r="R170" s="20"/>
      <c r="S170" s="20"/>
      <c r="T170" s="20"/>
      <c r="U170" s="24">
        <f ca="1">IFERROR(__xludf.DUMMYFUNCTION("""COMPUTED_VALUE"""),3000)</f>
        <v>3000</v>
      </c>
      <c r="V170" s="24">
        <f ca="1">IFERROR(__xludf.DUMMYFUNCTION("""COMPUTED_VALUE"""),0)</f>
        <v>0</v>
      </c>
      <c r="W170" s="24">
        <f ca="1">IFERROR(__xludf.DUMMYFUNCTION("""COMPUTED_VALUE"""),0)</f>
        <v>0</v>
      </c>
      <c r="X170" s="24">
        <f ca="1">IFERROR(__xludf.DUMMYFUNCTION("""COMPUTED_VALUE"""),0)</f>
        <v>0</v>
      </c>
      <c r="Y170" s="24">
        <f ca="1">IFERROR(__xludf.DUMMYFUNCTION("""COMPUTED_VALUE"""),0)</f>
        <v>0</v>
      </c>
      <c r="Z170" s="24">
        <f ca="1">IFERROR(__xludf.DUMMYFUNCTION("""COMPUTED_VALUE"""),3000)</f>
        <v>3000</v>
      </c>
      <c r="AA170" s="20" t="str">
        <f ca="1">IFERROR(__xludf.DUMMYFUNCTION("""COMPUTED_VALUE"""),"10 1 02 60330")</f>
        <v>10 1 02 60330</v>
      </c>
      <c r="AB170" s="20">
        <f ca="1">IFERROR(__xludf.DUMMYFUNCTION("""COMPUTED_VALUE"""),520)</f>
        <v>520</v>
      </c>
      <c r="AC170" s="20" t="str">
        <f ca="1">IFERROR(__xludf.DUMMYFUNCTION("""COMPUTED_VALUE"""),"Не требуется")</f>
        <v>Не требуется</v>
      </c>
      <c r="AD170" s="20" t="str">
        <f ca="1">IFERROR(__xludf.DUMMYFUNCTION("""COMPUTED_VALUE"""),"-")</f>
        <v>-</v>
      </c>
      <c r="AE170" s="20" t="str">
        <f ca="1">IFERROR(__xludf.DUMMYFUNCTION("""COMPUTED_VALUE"""),"-")</f>
        <v>-</v>
      </c>
      <c r="AF170" s="24">
        <f ca="1">IFERROR(__xludf.DUMMYFUNCTION("""COMPUTED_VALUE"""),3000)</f>
        <v>3000</v>
      </c>
      <c r="AG170" s="24">
        <f ca="1">IFERROR(__xludf.DUMMYFUNCTION("""COMPUTED_VALUE"""),0)</f>
        <v>0</v>
      </c>
      <c r="AH170" s="24">
        <f ca="1">IFERROR(__xludf.DUMMYFUNCTION("""COMPUTED_VALUE"""),0)</f>
        <v>0</v>
      </c>
      <c r="AI170" s="24">
        <f ca="1">IFERROR(__xludf.DUMMYFUNCTION("""COMPUTED_VALUE"""),0)</f>
        <v>0</v>
      </c>
      <c r="AJ170" s="24">
        <f ca="1">IFERROR(__xludf.DUMMYFUNCTION("""COMPUTED_VALUE"""),0)</f>
        <v>0</v>
      </c>
      <c r="AK170" s="24">
        <f ca="1">IFERROR(__xludf.DUMMYFUNCTION("""COMPUTED_VALUE"""),3000)</f>
        <v>3000</v>
      </c>
      <c r="AL170" s="24">
        <f ca="1">IFERROR(__xludf.DUMMYFUNCTION("""COMPUTED_VALUE"""),0)</f>
        <v>0</v>
      </c>
      <c r="AM170" s="20"/>
      <c r="AN170" s="20"/>
      <c r="AO170" s="20"/>
      <c r="AP170" s="20"/>
      <c r="AQ170" s="20"/>
      <c r="AR170" s="24">
        <f ca="1">IFERROR(__xludf.DUMMYFUNCTION("""COMPUTED_VALUE"""),0)</f>
        <v>0</v>
      </c>
      <c r="AS170" s="20"/>
      <c r="AT170" s="20"/>
      <c r="AU170" s="20"/>
      <c r="AV170" s="20"/>
      <c r="AW170" s="20"/>
      <c r="AX170" s="24">
        <f ca="1">IFERROR(__xludf.DUMMYFUNCTION("""COMPUTED_VALUE"""),3000)</f>
        <v>3000</v>
      </c>
      <c r="AY170" s="24">
        <f ca="1">IFERROR(__xludf.DUMMYFUNCTION("""COMPUTED_VALUE"""),0)</f>
        <v>0</v>
      </c>
      <c r="AZ170" s="24">
        <f ca="1">IFERROR(__xludf.DUMMYFUNCTION("""COMPUTED_VALUE"""),0)</f>
        <v>0</v>
      </c>
      <c r="BA170" s="24">
        <f ca="1">IFERROR(__xludf.DUMMYFUNCTION("""COMPUTED_VALUE"""),0)</f>
        <v>0</v>
      </c>
      <c r="BB170" s="24">
        <f ca="1">IFERROR(__xludf.DUMMYFUNCTION("""COMPUTED_VALUE"""),0)</f>
        <v>0</v>
      </c>
      <c r="BC170" s="24">
        <f ca="1">IFERROR(__xludf.DUMMYFUNCTION("""COMPUTED_VALUE"""),3000)</f>
        <v>3000</v>
      </c>
      <c r="BD170" s="24">
        <f ca="1">IFERROR(__xludf.DUMMYFUNCTION("""COMPUTED_VALUE"""),0)</f>
        <v>0</v>
      </c>
      <c r="BE170" s="24">
        <f ca="1">IFERROR(__xludf.DUMMYFUNCTION("""COMPUTED_VALUE"""),0)</f>
        <v>0</v>
      </c>
      <c r="BF170" s="24">
        <f ca="1">IFERROR(__xludf.DUMMYFUNCTION("""COMPUTED_VALUE"""),0)</f>
        <v>0</v>
      </c>
      <c r="BG170" s="24">
        <f ca="1">IFERROR(__xludf.DUMMYFUNCTION("""COMPUTED_VALUE"""),0)</f>
        <v>0</v>
      </c>
      <c r="BH170" s="24">
        <f ca="1">IFERROR(__xludf.DUMMYFUNCTION("""COMPUTED_VALUE"""),0)</f>
        <v>0</v>
      </c>
      <c r="BI170" s="20"/>
      <c r="BJ170" s="24">
        <f ca="1">IFERROR(__xludf.DUMMYFUNCTION("""COMPUTED_VALUE"""),0)</f>
        <v>0</v>
      </c>
      <c r="BK170" s="24">
        <f ca="1">IFERROR(__xludf.DUMMYFUNCTION("""COMPUTED_VALUE"""),0)</f>
        <v>0</v>
      </c>
      <c r="BL170" s="24">
        <f ca="1">IFERROR(__xludf.DUMMYFUNCTION("""COMPUTED_VALUE"""),0)</f>
        <v>0</v>
      </c>
      <c r="BM170" s="24">
        <f ca="1">IFERROR(__xludf.DUMMYFUNCTION("""COMPUTED_VALUE"""),0)</f>
        <v>0</v>
      </c>
      <c r="BN170" s="24">
        <f ca="1">IFERROR(__xludf.DUMMYFUNCTION("""COMPUTED_VALUE"""),0)</f>
        <v>0</v>
      </c>
      <c r="BO170" s="20"/>
      <c r="BP170" s="24">
        <f ca="1">IFERROR(__xludf.DUMMYFUNCTION("""COMPUTED_VALUE"""),0)</f>
        <v>0</v>
      </c>
      <c r="BQ170" s="24">
        <f ca="1">IFERROR(__xludf.DUMMYFUNCTION("""COMPUTED_VALUE"""),0)</f>
        <v>0</v>
      </c>
      <c r="BR170" s="24">
        <f ca="1">IFERROR(__xludf.DUMMYFUNCTION("""COMPUTED_VALUE"""),0)</f>
        <v>0</v>
      </c>
      <c r="BS170" s="24">
        <f ca="1">IFERROR(__xludf.DUMMYFUNCTION("""COMPUTED_VALUE"""),0)</f>
        <v>0</v>
      </c>
      <c r="BT170" s="24">
        <f ca="1">IFERROR(__xludf.DUMMYFUNCTION("""COMPUTED_VALUE"""),0)</f>
        <v>0</v>
      </c>
      <c r="BU170" s="20"/>
      <c r="BV170" s="24">
        <f ca="1">IFERROR(__xludf.DUMMYFUNCTION("""COMPUTED_VALUE"""),0)</f>
        <v>0</v>
      </c>
      <c r="BW170" s="24">
        <f ca="1">IFERROR(__xludf.DUMMYFUNCTION("""COMPUTED_VALUE"""),0)</f>
        <v>0</v>
      </c>
      <c r="BX170" s="24">
        <f ca="1">IFERROR(__xludf.DUMMYFUNCTION("""COMPUTED_VALUE"""),0)</f>
        <v>0</v>
      </c>
      <c r="BY170" s="24">
        <f ca="1">IFERROR(__xludf.DUMMYFUNCTION("""COMPUTED_VALUE"""),0)</f>
        <v>0</v>
      </c>
      <c r="BZ170" s="24">
        <f ca="1">IFERROR(__xludf.DUMMYFUNCTION("""COMPUTED_VALUE"""),0)</f>
        <v>0</v>
      </c>
      <c r="CA170" s="20"/>
      <c r="CB170" s="20"/>
      <c r="CC170" s="20"/>
      <c r="CD170" s="20"/>
      <c r="CE170" s="20"/>
      <c r="CF170" s="20"/>
      <c r="CG170" s="20"/>
      <c r="CH170" s="20"/>
      <c r="CI170" s="20"/>
      <c r="CJ170" s="20"/>
      <c r="CK170" s="20"/>
      <c r="CL170" s="20"/>
      <c r="CM170" s="20"/>
      <c r="CN170" s="20"/>
      <c r="CO170" s="20"/>
      <c r="CP170" s="20"/>
      <c r="CQ170" s="20"/>
      <c r="CR170" s="20"/>
      <c r="CS170" s="20"/>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row>
    <row r="171" spans="1:123" ht="64.5" customHeight="1" x14ac:dyDescent="0.2">
      <c r="A171" s="19"/>
      <c r="B171" s="20" t="str">
        <f ca="1">IFERROR(__xludf.DUMMYFUNCTION("""COMPUTED_VALUE"""),"г.о. Коломенский")</f>
        <v>г.о. Коломенский</v>
      </c>
      <c r="C17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1" s="20" t="str">
        <f ca="1">IFERROR(__xludf.DUMMYFUNCTION("""COMPUTED_VALUE"""),"МинЖКХ")</f>
        <v>МинЖКХ</v>
      </c>
      <c r="E171" s="20" t="str">
        <f ca="1">IFERROR(__xludf.DUMMYFUNCTION("""COMPUTED_VALUE"""),"Приобретение, монтаж и ввод в эксплуатацию станции  очистки воды на ВЗУ в с. Лукерьино-2, Коломенский г.о.")</f>
        <v>Приобретение, монтаж и ввод в эксплуатацию станции  очистки воды на ВЗУ в с. Лукерьино-2, Коломенский г.о.</v>
      </c>
      <c r="F171" s="32" t="str">
        <f ca="1">IFERROR(__xludf.DUMMYFUNCTION("""COMPUTED_VALUE"""),"ВЗУ")</f>
        <v>ВЗУ</v>
      </c>
      <c r="G171" s="20">
        <f ca="1">IFERROR(__xludf.DUMMYFUNCTION("""COMPUTED_VALUE"""),2020)</f>
        <v>2020</v>
      </c>
      <c r="H171" s="20" t="str">
        <f ca="1">IFERROR(__xludf.DUMMYFUNCTION("""COMPUTED_VALUE"""),"Приобретение, монтаж")</f>
        <v>Приобретение, монтаж</v>
      </c>
      <c r="I171" s="23">
        <f ca="1">IFERROR(__xludf.DUMMYFUNCTION("""COMPUTED_VALUE"""),1)</f>
        <v>1</v>
      </c>
      <c r="J171" s="20" t="str">
        <f ca="1">IFERROR(__xludf.DUMMYFUNCTION("""COMPUTED_VALUE"""),"ЗАВЕРШЕНО")</f>
        <v>ЗАВЕРШЕНО</v>
      </c>
      <c r="K171" s="20"/>
      <c r="L171" s="20"/>
      <c r="M171" s="20"/>
      <c r="N171" s="24">
        <f ca="1">IFERROR(__xludf.DUMMYFUNCTION("""COMPUTED_VALUE"""),1886.52)</f>
        <v>1886.52</v>
      </c>
      <c r="O171" s="20"/>
      <c r="P171" s="24">
        <f ca="1">IFERROR(__xludf.DUMMYFUNCTION("""COMPUTED_VALUE"""),0)</f>
        <v>0</v>
      </c>
      <c r="Q171" s="24">
        <f ca="1">IFERROR(__xludf.DUMMYFUNCTION("""COMPUTED_VALUE"""),1886.52)</f>
        <v>1886.52</v>
      </c>
      <c r="R171" s="20"/>
      <c r="S171" s="20"/>
      <c r="T171" s="20"/>
      <c r="U171" s="24">
        <f ca="1">IFERROR(__xludf.DUMMYFUNCTION("""COMPUTED_VALUE"""),99.2899999999999)</f>
        <v>99.289999999999907</v>
      </c>
      <c r="V171" s="24">
        <f ca="1">IFERROR(__xludf.DUMMYFUNCTION("""COMPUTED_VALUE"""),0)</f>
        <v>0</v>
      </c>
      <c r="W171" s="24">
        <f ca="1">IFERROR(__xludf.DUMMYFUNCTION("""COMPUTED_VALUE"""),0)</f>
        <v>0</v>
      </c>
      <c r="X171" s="24">
        <f ca="1">IFERROR(__xludf.DUMMYFUNCTION("""COMPUTED_VALUE"""),0)</f>
        <v>0</v>
      </c>
      <c r="Y171" s="24">
        <f ca="1">IFERROR(__xludf.DUMMYFUNCTION("""COMPUTED_VALUE"""),99.29)</f>
        <v>99.29</v>
      </c>
      <c r="Z171" s="24">
        <f ca="1">IFERROR(__xludf.DUMMYFUNCTION("""COMPUTED_VALUE"""),0)</f>
        <v>0</v>
      </c>
      <c r="AA171" s="20" t="str">
        <f ca="1">IFERROR(__xludf.DUMMYFUNCTION("""COMPUTED_VALUE"""),"10 1 02 60330")</f>
        <v>10 1 02 60330</v>
      </c>
      <c r="AB171" s="20">
        <f ca="1">IFERROR(__xludf.DUMMYFUNCTION("""COMPUTED_VALUE"""),520)</f>
        <v>520</v>
      </c>
      <c r="AC171" s="20" t="str">
        <f ca="1">IFERROR(__xludf.DUMMYFUNCTION("""COMPUTED_VALUE"""),"Не требуется")</f>
        <v>Не требуется</v>
      </c>
      <c r="AD171" s="20" t="str">
        <f ca="1">IFERROR(__xludf.DUMMYFUNCTION("""COMPUTED_VALUE"""),"-")</f>
        <v>-</v>
      </c>
      <c r="AE171" s="20" t="str">
        <f ca="1">IFERROR(__xludf.DUMMYFUNCTION("""COMPUTED_VALUE"""),"-")</f>
        <v>-</v>
      </c>
      <c r="AF171" s="24">
        <f ca="1">IFERROR(__xludf.DUMMYFUNCTION("""COMPUTED_VALUE"""),1985.81)</f>
        <v>1985.81</v>
      </c>
      <c r="AG171" s="24">
        <f ca="1">IFERROR(__xludf.DUMMYFUNCTION("""COMPUTED_VALUE"""),0)</f>
        <v>0</v>
      </c>
      <c r="AH171" s="24">
        <f ca="1">IFERROR(__xludf.DUMMYFUNCTION("""COMPUTED_VALUE"""),0)</f>
        <v>0</v>
      </c>
      <c r="AI171" s="24">
        <f ca="1">IFERROR(__xludf.DUMMYFUNCTION("""COMPUTED_VALUE"""),1886.52)</f>
        <v>1886.52</v>
      </c>
      <c r="AJ171" s="24">
        <f ca="1">IFERROR(__xludf.DUMMYFUNCTION("""COMPUTED_VALUE"""),99.29)</f>
        <v>99.29</v>
      </c>
      <c r="AK171" s="24">
        <f ca="1">IFERROR(__xludf.DUMMYFUNCTION("""COMPUTED_VALUE"""),0)</f>
        <v>0</v>
      </c>
      <c r="AL171" s="24">
        <f ca="1">IFERROR(__xludf.DUMMYFUNCTION("""COMPUTED_VALUE"""),0)</f>
        <v>0</v>
      </c>
      <c r="AM171" s="20"/>
      <c r="AN171" s="20"/>
      <c r="AO171" s="20"/>
      <c r="AP171" s="20"/>
      <c r="AQ171" s="20"/>
      <c r="AR171" s="24">
        <f ca="1">IFERROR(__xludf.DUMMYFUNCTION("""COMPUTED_VALUE"""),0)</f>
        <v>0</v>
      </c>
      <c r="AS171" s="20"/>
      <c r="AT171" s="20"/>
      <c r="AU171" s="20"/>
      <c r="AV171" s="20"/>
      <c r="AW171" s="20"/>
      <c r="AX171" s="24">
        <f ca="1">IFERROR(__xludf.DUMMYFUNCTION("""COMPUTED_VALUE"""),1985.81)</f>
        <v>1985.81</v>
      </c>
      <c r="AY171" s="24">
        <f ca="1">IFERROR(__xludf.DUMMYFUNCTION("""COMPUTED_VALUE"""),0)</f>
        <v>0</v>
      </c>
      <c r="AZ171" s="24">
        <f ca="1">IFERROR(__xludf.DUMMYFUNCTION("""COMPUTED_VALUE"""),0)</f>
        <v>0</v>
      </c>
      <c r="BA171" s="24">
        <f ca="1">IFERROR(__xludf.DUMMYFUNCTION("""COMPUTED_VALUE"""),1886.52)</f>
        <v>1886.52</v>
      </c>
      <c r="BB171" s="24">
        <f ca="1">IFERROR(__xludf.DUMMYFUNCTION("""COMPUTED_VALUE"""),99.29)</f>
        <v>99.29</v>
      </c>
      <c r="BC171" s="20"/>
      <c r="BD171" s="24">
        <f ca="1">IFERROR(__xludf.DUMMYFUNCTION("""COMPUTED_VALUE"""),0)</f>
        <v>0</v>
      </c>
      <c r="BE171" s="24">
        <f ca="1">IFERROR(__xludf.DUMMYFUNCTION("""COMPUTED_VALUE"""),0)</f>
        <v>0</v>
      </c>
      <c r="BF171" s="24">
        <f ca="1">IFERROR(__xludf.DUMMYFUNCTION("""COMPUTED_VALUE"""),0)</f>
        <v>0</v>
      </c>
      <c r="BG171" s="24">
        <f ca="1">IFERROR(__xludf.DUMMYFUNCTION("""COMPUTED_VALUE"""),0)</f>
        <v>0</v>
      </c>
      <c r="BH171" s="24">
        <f ca="1">IFERROR(__xludf.DUMMYFUNCTION("""COMPUTED_VALUE"""),0)</f>
        <v>0</v>
      </c>
      <c r="BI171" s="20"/>
      <c r="BJ171" s="24">
        <f ca="1">IFERROR(__xludf.DUMMYFUNCTION("""COMPUTED_VALUE"""),0)</f>
        <v>0</v>
      </c>
      <c r="BK171" s="24">
        <f ca="1">IFERROR(__xludf.DUMMYFUNCTION("""COMPUTED_VALUE"""),0)</f>
        <v>0</v>
      </c>
      <c r="BL171" s="24">
        <f ca="1">IFERROR(__xludf.DUMMYFUNCTION("""COMPUTED_VALUE"""),0)</f>
        <v>0</v>
      </c>
      <c r="BM171" s="24">
        <f ca="1">IFERROR(__xludf.DUMMYFUNCTION("""COMPUTED_VALUE"""),0)</f>
        <v>0</v>
      </c>
      <c r="BN171" s="24">
        <f ca="1">IFERROR(__xludf.DUMMYFUNCTION("""COMPUTED_VALUE"""),0)</f>
        <v>0</v>
      </c>
      <c r="BO171" s="20"/>
      <c r="BP171" s="24">
        <f ca="1">IFERROR(__xludf.DUMMYFUNCTION("""COMPUTED_VALUE"""),0)</f>
        <v>0</v>
      </c>
      <c r="BQ171" s="24">
        <f ca="1">IFERROR(__xludf.DUMMYFUNCTION("""COMPUTED_VALUE"""),0)</f>
        <v>0</v>
      </c>
      <c r="BR171" s="24">
        <f ca="1">IFERROR(__xludf.DUMMYFUNCTION("""COMPUTED_VALUE"""),0)</f>
        <v>0</v>
      </c>
      <c r="BS171" s="24">
        <f ca="1">IFERROR(__xludf.DUMMYFUNCTION("""COMPUTED_VALUE"""),0)</f>
        <v>0</v>
      </c>
      <c r="BT171" s="24">
        <f ca="1">IFERROR(__xludf.DUMMYFUNCTION("""COMPUTED_VALUE"""),0)</f>
        <v>0</v>
      </c>
      <c r="BU171" s="20"/>
      <c r="BV171" s="24">
        <f ca="1">IFERROR(__xludf.DUMMYFUNCTION("""COMPUTED_VALUE"""),0)</f>
        <v>0</v>
      </c>
      <c r="BW171" s="24">
        <f ca="1">IFERROR(__xludf.DUMMYFUNCTION("""COMPUTED_VALUE"""),0)</f>
        <v>0</v>
      </c>
      <c r="BX171" s="24">
        <f ca="1">IFERROR(__xludf.DUMMYFUNCTION("""COMPUTED_VALUE"""),0)</f>
        <v>0</v>
      </c>
      <c r="BY171" s="24">
        <f ca="1">IFERROR(__xludf.DUMMYFUNCTION("""COMPUTED_VALUE"""),0)</f>
        <v>0</v>
      </c>
      <c r="BZ171" s="24">
        <f ca="1">IFERROR(__xludf.DUMMYFUNCTION("""COMPUTED_VALUE"""),0)</f>
        <v>0</v>
      </c>
      <c r="CA171" s="20"/>
      <c r="CB171" s="20"/>
      <c r="CC171" s="20"/>
      <c r="CD171" s="20"/>
      <c r="CE171" s="20"/>
      <c r="CF171" s="20"/>
      <c r="CG171" s="20"/>
      <c r="CH171" s="20"/>
      <c r="CI171" s="20"/>
      <c r="CJ171" s="20"/>
      <c r="CK171" s="20"/>
      <c r="CL171" s="20"/>
      <c r="CM171" s="20"/>
      <c r="CN171" s="20"/>
      <c r="CO171" s="20"/>
      <c r="CP171" s="20"/>
      <c r="CQ171" s="20"/>
      <c r="CR171" s="20"/>
      <c r="CS171" s="20"/>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row>
    <row r="172" spans="1:123" ht="64.5" customHeight="1" x14ac:dyDescent="0.2">
      <c r="A172" s="19"/>
      <c r="B172" s="20" t="str">
        <f ca="1">IFERROR(__xludf.DUMMYFUNCTION("""COMPUTED_VALUE"""),"г.о. Коломенский")</f>
        <v>г.о. Коломенский</v>
      </c>
      <c r="C17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2" s="20" t="str">
        <f ca="1">IFERROR(__xludf.DUMMYFUNCTION("""COMPUTED_VALUE"""),"МинЖКХ")</f>
        <v>МинЖКХ</v>
      </c>
      <c r="E172" s="20" t="str">
        <f ca="1">IFERROR(__xludf.DUMMYFUNCTION("""COMPUTED_VALUE"""),"Приобретение, монтаж и ввод в эксплуатацию станции  очистки воды на ВЗУ в с. Парфентьево, Коломенский г.о.")</f>
        <v>Приобретение, монтаж и ввод в эксплуатацию станции  очистки воды на ВЗУ в с. Парфентьево, Коломенский г.о.</v>
      </c>
      <c r="F172" s="32" t="str">
        <f ca="1">IFERROR(__xludf.DUMMYFUNCTION("""COMPUTED_VALUE"""),"ВЗУ")</f>
        <v>ВЗУ</v>
      </c>
      <c r="G172" s="20">
        <f ca="1">IFERROR(__xludf.DUMMYFUNCTION("""COMPUTED_VALUE"""),2020)</f>
        <v>2020</v>
      </c>
      <c r="H172" s="20" t="str">
        <f ca="1">IFERROR(__xludf.DUMMYFUNCTION("""COMPUTED_VALUE"""),"Приобретение, монтаж")</f>
        <v>Приобретение, монтаж</v>
      </c>
      <c r="I172" s="23">
        <f ca="1">IFERROR(__xludf.DUMMYFUNCTION("""COMPUTED_VALUE"""),0.6)</f>
        <v>0.6</v>
      </c>
      <c r="J172" s="20" t="str">
        <f ca="1">IFERROR(__xludf.DUMMYFUNCTION("""COMPUTED_VALUE"""),"Доставка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f>
        <v>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v>
      </c>
      <c r="K172" s="20"/>
      <c r="L172" s="20"/>
      <c r="M172" s="20"/>
      <c r="N172" s="24">
        <f ca="1">IFERROR(__xludf.DUMMYFUNCTION("""COMPUTED_VALUE"""),1479.56)</f>
        <v>1479.56</v>
      </c>
      <c r="O172" s="20"/>
      <c r="P172" s="24">
        <f ca="1">IFERROR(__xludf.DUMMYFUNCTION("""COMPUTED_VALUE"""),0)</f>
        <v>0</v>
      </c>
      <c r="Q172" s="24">
        <f ca="1">IFERROR(__xludf.DUMMYFUNCTION("""COMPUTED_VALUE"""),1479.56)</f>
        <v>1479.56</v>
      </c>
      <c r="R172" s="20"/>
      <c r="S172" s="20"/>
      <c r="T172" s="20"/>
      <c r="U172" s="24">
        <f ca="1">IFERROR(__xludf.DUMMYFUNCTION("""COMPUTED_VALUE"""),77.8399999999999)</f>
        <v>77.839999999999904</v>
      </c>
      <c r="V172" s="24">
        <f ca="1">IFERROR(__xludf.DUMMYFUNCTION("""COMPUTED_VALUE"""),0)</f>
        <v>0</v>
      </c>
      <c r="W172" s="24">
        <f ca="1">IFERROR(__xludf.DUMMYFUNCTION("""COMPUTED_VALUE"""),0)</f>
        <v>0</v>
      </c>
      <c r="X172" s="24">
        <f ca="1">IFERROR(__xludf.DUMMYFUNCTION("""COMPUTED_VALUE"""),0)</f>
        <v>0</v>
      </c>
      <c r="Y172" s="24">
        <f ca="1">IFERROR(__xludf.DUMMYFUNCTION("""COMPUTED_VALUE"""),77.84)</f>
        <v>77.84</v>
      </c>
      <c r="Z172" s="24">
        <f ca="1">IFERROR(__xludf.DUMMYFUNCTION("""COMPUTED_VALUE"""),0)</f>
        <v>0</v>
      </c>
      <c r="AA172" s="20" t="str">
        <f ca="1">IFERROR(__xludf.DUMMYFUNCTION("""COMPUTED_VALUE"""),"10 1 02 60330")</f>
        <v>10 1 02 60330</v>
      </c>
      <c r="AB172" s="20">
        <f ca="1">IFERROR(__xludf.DUMMYFUNCTION("""COMPUTED_VALUE"""),520)</f>
        <v>520</v>
      </c>
      <c r="AC172" s="20" t="str">
        <f ca="1">IFERROR(__xludf.DUMMYFUNCTION("""COMPUTED_VALUE"""),"Не требуется")</f>
        <v>Не требуется</v>
      </c>
      <c r="AD172" s="20" t="str">
        <f ca="1">IFERROR(__xludf.DUMMYFUNCTION("""COMPUTED_VALUE"""),"-")</f>
        <v>-</v>
      </c>
      <c r="AE172" s="20" t="str">
        <f ca="1">IFERROR(__xludf.DUMMYFUNCTION("""COMPUTED_VALUE"""),"-")</f>
        <v>-</v>
      </c>
      <c r="AF172" s="24">
        <f ca="1">IFERROR(__xludf.DUMMYFUNCTION("""COMPUTED_VALUE"""),1557.39999999999)</f>
        <v>1557.3999999999901</v>
      </c>
      <c r="AG172" s="24">
        <f ca="1">IFERROR(__xludf.DUMMYFUNCTION("""COMPUTED_VALUE"""),0)</f>
        <v>0</v>
      </c>
      <c r="AH172" s="24">
        <f ca="1">IFERROR(__xludf.DUMMYFUNCTION("""COMPUTED_VALUE"""),0)</f>
        <v>0</v>
      </c>
      <c r="AI172" s="24">
        <f ca="1">IFERROR(__xludf.DUMMYFUNCTION("""COMPUTED_VALUE"""),1479.56)</f>
        <v>1479.56</v>
      </c>
      <c r="AJ172" s="24">
        <f ca="1">IFERROR(__xludf.DUMMYFUNCTION("""COMPUTED_VALUE"""),77.84)</f>
        <v>77.84</v>
      </c>
      <c r="AK172" s="24">
        <f ca="1">IFERROR(__xludf.DUMMYFUNCTION("""COMPUTED_VALUE"""),0)</f>
        <v>0</v>
      </c>
      <c r="AL172" s="24">
        <f ca="1">IFERROR(__xludf.DUMMYFUNCTION("""COMPUTED_VALUE"""),0)</f>
        <v>0</v>
      </c>
      <c r="AM172" s="20"/>
      <c r="AN172" s="20"/>
      <c r="AO172" s="20"/>
      <c r="AP172" s="20"/>
      <c r="AQ172" s="20"/>
      <c r="AR172" s="24">
        <f ca="1">IFERROR(__xludf.DUMMYFUNCTION("""COMPUTED_VALUE"""),0)</f>
        <v>0</v>
      </c>
      <c r="AS172" s="20"/>
      <c r="AT172" s="20"/>
      <c r="AU172" s="20"/>
      <c r="AV172" s="20"/>
      <c r="AW172" s="20"/>
      <c r="AX172" s="24">
        <f ca="1">IFERROR(__xludf.DUMMYFUNCTION("""COMPUTED_VALUE"""),1557.39999999999)</f>
        <v>1557.3999999999901</v>
      </c>
      <c r="AY172" s="24">
        <f ca="1">IFERROR(__xludf.DUMMYFUNCTION("""COMPUTED_VALUE"""),0)</f>
        <v>0</v>
      </c>
      <c r="AZ172" s="24">
        <f ca="1">IFERROR(__xludf.DUMMYFUNCTION("""COMPUTED_VALUE"""),0)</f>
        <v>0</v>
      </c>
      <c r="BA172" s="24">
        <f ca="1">IFERROR(__xludf.DUMMYFUNCTION("""COMPUTED_VALUE"""),1479.56)</f>
        <v>1479.56</v>
      </c>
      <c r="BB172" s="24">
        <f ca="1">IFERROR(__xludf.DUMMYFUNCTION("""COMPUTED_VALUE"""),77.84)</f>
        <v>77.84</v>
      </c>
      <c r="BC172" s="20"/>
      <c r="BD172" s="24">
        <f ca="1">IFERROR(__xludf.DUMMYFUNCTION("""COMPUTED_VALUE"""),0)</f>
        <v>0</v>
      </c>
      <c r="BE172" s="24">
        <f ca="1">IFERROR(__xludf.DUMMYFUNCTION("""COMPUTED_VALUE"""),0)</f>
        <v>0</v>
      </c>
      <c r="BF172" s="24">
        <f ca="1">IFERROR(__xludf.DUMMYFUNCTION("""COMPUTED_VALUE"""),0)</f>
        <v>0</v>
      </c>
      <c r="BG172" s="24">
        <f ca="1">IFERROR(__xludf.DUMMYFUNCTION("""COMPUTED_VALUE"""),0)</f>
        <v>0</v>
      </c>
      <c r="BH172" s="24">
        <f ca="1">IFERROR(__xludf.DUMMYFUNCTION("""COMPUTED_VALUE"""),0)</f>
        <v>0</v>
      </c>
      <c r="BI172" s="20"/>
      <c r="BJ172" s="24">
        <f ca="1">IFERROR(__xludf.DUMMYFUNCTION("""COMPUTED_VALUE"""),0)</f>
        <v>0</v>
      </c>
      <c r="BK172" s="24">
        <f ca="1">IFERROR(__xludf.DUMMYFUNCTION("""COMPUTED_VALUE"""),0)</f>
        <v>0</v>
      </c>
      <c r="BL172" s="24">
        <f ca="1">IFERROR(__xludf.DUMMYFUNCTION("""COMPUTED_VALUE"""),0)</f>
        <v>0</v>
      </c>
      <c r="BM172" s="24">
        <f ca="1">IFERROR(__xludf.DUMMYFUNCTION("""COMPUTED_VALUE"""),0)</f>
        <v>0</v>
      </c>
      <c r="BN172" s="24">
        <f ca="1">IFERROR(__xludf.DUMMYFUNCTION("""COMPUTED_VALUE"""),0)</f>
        <v>0</v>
      </c>
      <c r="BO172" s="20"/>
      <c r="BP172" s="24">
        <f ca="1">IFERROR(__xludf.DUMMYFUNCTION("""COMPUTED_VALUE"""),0)</f>
        <v>0</v>
      </c>
      <c r="BQ172" s="24">
        <f ca="1">IFERROR(__xludf.DUMMYFUNCTION("""COMPUTED_VALUE"""),0)</f>
        <v>0</v>
      </c>
      <c r="BR172" s="24">
        <f ca="1">IFERROR(__xludf.DUMMYFUNCTION("""COMPUTED_VALUE"""),0)</f>
        <v>0</v>
      </c>
      <c r="BS172" s="24">
        <f ca="1">IFERROR(__xludf.DUMMYFUNCTION("""COMPUTED_VALUE"""),0)</f>
        <v>0</v>
      </c>
      <c r="BT172" s="24">
        <f ca="1">IFERROR(__xludf.DUMMYFUNCTION("""COMPUTED_VALUE"""),0)</f>
        <v>0</v>
      </c>
      <c r="BU172" s="20"/>
      <c r="BV172" s="24">
        <f ca="1">IFERROR(__xludf.DUMMYFUNCTION("""COMPUTED_VALUE"""),0)</f>
        <v>0</v>
      </c>
      <c r="BW172" s="24">
        <f ca="1">IFERROR(__xludf.DUMMYFUNCTION("""COMPUTED_VALUE"""),0)</f>
        <v>0</v>
      </c>
      <c r="BX172" s="24">
        <f ca="1">IFERROR(__xludf.DUMMYFUNCTION("""COMPUTED_VALUE"""),0)</f>
        <v>0</v>
      </c>
      <c r="BY172" s="24">
        <f ca="1">IFERROR(__xludf.DUMMYFUNCTION("""COMPUTED_VALUE"""),0)</f>
        <v>0</v>
      </c>
      <c r="BZ172" s="24">
        <f ca="1">IFERROR(__xludf.DUMMYFUNCTION("""COMPUTED_VALUE"""),0)</f>
        <v>0</v>
      </c>
      <c r="CA172" s="20"/>
      <c r="CB172" s="20"/>
      <c r="CC172" s="20"/>
      <c r="CD172" s="20"/>
      <c r="CE172" s="20"/>
      <c r="CF172" s="20"/>
      <c r="CG172" s="20"/>
      <c r="CH172" s="20"/>
      <c r="CI172" s="20"/>
      <c r="CJ172" s="20"/>
      <c r="CK172" s="20"/>
      <c r="CL172" s="20"/>
      <c r="CM172" s="20"/>
      <c r="CN172" s="20"/>
      <c r="CO172" s="20"/>
      <c r="CP172" s="20"/>
      <c r="CQ172" s="20"/>
      <c r="CR172" s="20"/>
      <c r="CS172" s="20"/>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row>
    <row r="173" spans="1:123" ht="64.5" customHeight="1" x14ac:dyDescent="0.2">
      <c r="A173" s="19"/>
      <c r="B173" s="20" t="str">
        <f ca="1">IFERROR(__xludf.DUMMYFUNCTION("""COMPUTED_VALUE"""),"г.о. Коломенский")</f>
        <v>г.о. Коломенский</v>
      </c>
      <c r="C17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3" s="20" t="str">
        <f ca="1">IFERROR(__xludf.DUMMYFUNCTION("""COMPUTED_VALUE"""),"МинЖКХ")</f>
        <v>МинЖКХ</v>
      </c>
      <c r="E173" s="20" t="str">
        <f ca="1">IFERROR(__xludf.DUMMYFUNCTION("""COMPUTED_VALUE"""),"Приобретение, монтаж и ввод в эксплуатацию станции  очистки воды на ВЗУ в д. В. Хорошово, Коломенский г.о.")</f>
        <v>Приобретение, монтаж и ввод в эксплуатацию станции  очистки воды на ВЗУ в д. В. Хорошово, Коломенский г.о.</v>
      </c>
      <c r="F173" s="32" t="str">
        <f ca="1">IFERROR(__xludf.DUMMYFUNCTION("""COMPUTED_VALUE"""),"ВЗУ")</f>
        <v>ВЗУ</v>
      </c>
      <c r="G173" s="20">
        <f ca="1">IFERROR(__xludf.DUMMYFUNCTION("""COMPUTED_VALUE"""),2020)</f>
        <v>2020</v>
      </c>
      <c r="H173" s="20" t="str">
        <f ca="1">IFERROR(__xludf.DUMMYFUNCTION("""COMPUTED_VALUE"""),"Приобретение, монтаж")</f>
        <v>Приобретение, монтаж</v>
      </c>
      <c r="I173" s="20"/>
      <c r="J173" s="20"/>
      <c r="K173" s="20"/>
      <c r="L173" s="20"/>
      <c r="M173" s="20"/>
      <c r="N173" s="24">
        <f ca="1">IFERROR(__xludf.DUMMYFUNCTION("""COMPUTED_VALUE"""),0)</f>
        <v>0</v>
      </c>
      <c r="O173" s="20"/>
      <c r="P173" s="20"/>
      <c r="Q173" s="20"/>
      <c r="R173" s="20"/>
      <c r="S173" s="20"/>
      <c r="T173" s="20"/>
      <c r="U173" s="24">
        <f ca="1">IFERROR(__xludf.DUMMYFUNCTION("""COMPUTED_VALUE"""),1606.64)</f>
        <v>1606.64</v>
      </c>
      <c r="V173" s="24">
        <f ca="1">IFERROR(__xludf.DUMMYFUNCTION("""COMPUTED_VALUE"""),0)</f>
        <v>0</v>
      </c>
      <c r="W173" s="24">
        <f ca="1">IFERROR(__xludf.DUMMYFUNCTION("""COMPUTED_VALUE"""),0)</f>
        <v>0</v>
      </c>
      <c r="X173" s="24">
        <f ca="1">IFERROR(__xludf.DUMMYFUNCTION("""COMPUTED_VALUE"""),0)</f>
        <v>0</v>
      </c>
      <c r="Y173" s="24">
        <f ca="1">IFERROR(__xludf.DUMMYFUNCTION("""COMPUTED_VALUE"""),0)</f>
        <v>0</v>
      </c>
      <c r="Z173" s="24">
        <f ca="1">IFERROR(__xludf.DUMMYFUNCTION("""COMPUTED_VALUE"""),1606.64)</f>
        <v>1606.64</v>
      </c>
      <c r="AA173" s="20" t="str">
        <f ca="1">IFERROR(__xludf.DUMMYFUNCTION("""COMPUTED_VALUE"""),"10 1 02 60330")</f>
        <v>10 1 02 60330</v>
      </c>
      <c r="AB173" s="20">
        <f ca="1">IFERROR(__xludf.DUMMYFUNCTION("""COMPUTED_VALUE"""),520)</f>
        <v>520</v>
      </c>
      <c r="AC173" s="20" t="str">
        <f ca="1">IFERROR(__xludf.DUMMYFUNCTION("""COMPUTED_VALUE"""),"Не требуется")</f>
        <v>Не требуется</v>
      </c>
      <c r="AD173" s="20" t="str">
        <f ca="1">IFERROR(__xludf.DUMMYFUNCTION("""COMPUTED_VALUE"""),"-")</f>
        <v>-</v>
      </c>
      <c r="AE173" s="20" t="str">
        <f ca="1">IFERROR(__xludf.DUMMYFUNCTION("""COMPUTED_VALUE"""),"-")</f>
        <v>-</v>
      </c>
      <c r="AF173" s="24">
        <f ca="1">IFERROR(__xludf.DUMMYFUNCTION("""COMPUTED_VALUE"""),1606.64)</f>
        <v>1606.64</v>
      </c>
      <c r="AG173" s="24">
        <f ca="1">IFERROR(__xludf.DUMMYFUNCTION("""COMPUTED_VALUE"""),0)</f>
        <v>0</v>
      </c>
      <c r="AH173" s="24">
        <f ca="1">IFERROR(__xludf.DUMMYFUNCTION("""COMPUTED_VALUE"""),0)</f>
        <v>0</v>
      </c>
      <c r="AI173" s="24">
        <f ca="1">IFERROR(__xludf.DUMMYFUNCTION("""COMPUTED_VALUE"""),0)</f>
        <v>0</v>
      </c>
      <c r="AJ173" s="24">
        <f ca="1">IFERROR(__xludf.DUMMYFUNCTION("""COMPUTED_VALUE"""),0)</f>
        <v>0</v>
      </c>
      <c r="AK173" s="24">
        <f ca="1">IFERROR(__xludf.DUMMYFUNCTION("""COMPUTED_VALUE"""),1606.64)</f>
        <v>1606.64</v>
      </c>
      <c r="AL173" s="24">
        <f ca="1">IFERROR(__xludf.DUMMYFUNCTION("""COMPUTED_VALUE"""),0)</f>
        <v>0</v>
      </c>
      <c r="AM173" s="20"/>
      <c r="AN173" s="20"/>
      <c r="AO173" s="20"/>
      <c r="AP173" s="20"/>
      <c r="AQ173" s="20"/>
      <c r="AR173" s="24">
        <f ca="1">IFERROR(__xludf.DUMMYFUNCTION("""COMPUTED_VALUE"""),0)</f>
        <v>0</v>
      </c>
      <c r="AS173" s="20"/>
      <c r="AT173" s="20"/>
      <c r="AU173" s="20"/>
      <c r="AV173" s="20"/>
      <c r="AW173" s="20"/>
      <c r="AX173" s="24">
        <f ca="1">IFERROR(__xludf.DUMMYFUNCTION("""COMPUTED_VALUE"""),1606.64)</f>
        <v>1606.64</v>
      </c>
      <c r="AY173" s="24">
        <f ca="1">IFERROR(__xludf.DUMMYFUNCTION("""COMPUTED_VALUE"""),0)</f>
        <v>0</v>
      </c>
      <c r="AZ173" s="24">
        <f ca="1">IFERROR(__xludf.DUMMYFUNCTION("""COMPUTED_VALUE"""),0)</f>
        <v>0</v>
      </c>
      <c r="BA173" s="24">
        <f ca="1">IFERROR(__xludf.DUMMYFUNCTION("""COMPUTED_VALUE"""),0)</f>
        <v>0</v>
      </c>
      <c r="BB173" s="24">
        <f ca="1">IFERROR(__xludf.DUMMYFUNCTION("""COMPUTED_VALUE"""),0)</f>
        <v>0</v>
      </c>
      <c r="BC173" s="24">
        <f ca="1">IFERROR(__xludf.DUMMYFUNCTION("""COMPUTED_VALUE"""),1606.64)</f>
        <v>1606.64</v>
      </c>
      <c r="BD173" s="24">
        <f ca="1">IFERROR(__xludf.DUMMYFUNCTION("""COMPUTED_VALUE"""),0)</f>
        <v>0</v>
      </c>
      <c r="BE173" s="24">
        <f ca="1">IFERROR(__xludf.DUMMYFUNCTION("""COMPUTED_VALUE"""),0)</f>
        <v>0</v>
      </c>
      <c r="BF173" s="24">
        <f ca="1">IFERROR(__xludf.DUMMYFUNCTION("""COMPUTED_VALUE"""),0)</f>
        <v>0</v>
      </c>
      <c r="BG173" s="24">
        <f ca="1">IFERROR(__xludf.DUMMYFUNCTION("""COMPUTED_VALUE"""),0)</f>
        <v>0</v>
      </c>
      <c r="BH173" s="24">
        <f ca="1">IFERROR(__xludf.DUMMYFUNCTION("""COMPUTED_VALUE"""),0)</f>
        <v>0</v>
      </c>
      <c r="BI173" s="20"/>
      <c r="BJ173" s="24">
        <f ca="1">IFERROR(__xludf.DUMMYFUNCTION("""COMPUTED_VALUE"""),0)</f>
        <v>0</v>
      </c>
      <c r="BK173" s="24">
        <f ca="1">IFERROR(__xludf.DUMMYFUNCTION("""COMPUTED_VALUE"""),0)</f>
        <v>0</v>
      </c>
      <c r="BL173" s="24">
        <f ca="1">IFERROR(__xludf.DUMMYFUNCTION("""COMPUTED_VALUE"""),0)</f>
        <v>0</v>
      </c>
      <c r="BM173" s="24">
        <f ca="1">IFERROR(__xludf.DUMMYFUNCTION("""COMPUTED_VALUE"""),0)</f>
        <v>0</v>
      </c>
      <c r="BN173" s="24">
        <f ca="1">IFERROR(__xludf.DUMMYFUNCTION("""COMPUTED_VALUE"""),0)</f>
        <v>0</v>
      </c>
      <c r="BO173" s="20"/>
      <c r="BP173" s="24">
        <f ca="1">IFERROR(__xludf.DUMMYFUNCTION("""COMPUTED_VALUE"""),0)</f>
        <v>0</v>
      </c>
      <c r="BQ173" s="24">
        <f ca="1">IFERROR(__xludf.DUMMYFUNCTION("""COMPUTED_VALUE"""),0)</f>
        <v>0</v>
      </c>
      <c r="BR173" s="24">
        <f ca="1">IFERROR(__xludf.DUMMYFUNCTION("""COMPUTED_VALUE"""),0)</f>
        <v>0</v>
      </c>
      <c r="BS173" s="24">
        <f ca="1">IFERROR(__xludf.DUMMYFUNCTION("""COMPUTED_VALUE"""),0)</f>
        <v>0</v>
      </c>
      <c r="BT173" s="24">
        <f ca="1">IFERROR(__xludf.DUMMYFUNCTION("""COMPUTED_VALUE"""),0)</f>
        <v>0</v>
      </c>
      <c r="BU173" s="20"/>
      <c r="BV173" s="24">
        <f ca="1">IFERROR(__xludf.DUMMYFUNCTION("""COMPUTED_VALUE"""),0)</f>
        <v>0</v>
      </c>
      <c r="BW173" s="24">
        <f ca="1">IFERROR(__xludf.DUMMYFUNCTION("""COMPUTED_VALUE"""),0)</f>
        <v>0</v>
      </c>
      <c r="BX173" s="24">
        <f ca="1">IFERROR(__xludf.DUMMYFUNCTION("""COMPUTED_VALUE"""),0)</f>
        <v>0</v>
      </c>
      <c r="BY173" s="24">
        <f ca="1">IFERROR(__xludf.DUMMYFUNCTION("""COMPUTED_VALUE"""),0)</f>
        <v>0</v>
      </c>
      <c r="BZ173" s="24">
        <f ca="1">IFERROR(__xludf.DUMMYFUNCTION("""COMPUTED_VALUE"""),0)</f>
        <v>0</v>
      </c>
      <c r="CA173" s="20"/>
      <c r="CB173" s="20"/>
      <c r="CC173" s="20"/>
      <c r="CD173" s="20"/>
      <c r="CE173" s="20"/>
      <c r="CF173" s="20"/>
      <c r="CG173" s="20"/>
      <c r="CH173" s="20"/>
      <c r="CI173" s="20"/>
      <c r="CJ173" s="20"/>
      <c r="CK173" s="20"/>
      <c r="CL173" s="20"/>
      <c r="CM173" s="20"/>
      <c r="CN173" s="20"/>
      <c r="CO173" s="20"/>
      <c r="CP173" s="20"/>
      <c r="CQ173" s="20"/>
      <c r="CR173" s="20"/>
      <c r="CS173" s="20"/>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row>
    <row r="174" spans="1:123" ht="64.5" customHeight="1" x14ac:dyDescent="0.2">
      <c r="A174" s="19"/>
      <c r="B174" s="20" t="str">
        <f ca="1">IFERROR(__xludf.DUMMYFUNCTION("""COMPUTED_VALUE"""),"г.о. Коломенский")</f>
        <v>г.о. Коломенский</v>
      </c>
      <c r="C17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4" s="20" t="str">
        <f ca="1">IFERROR(__xludf.DUMMYFUNCTION("""COMPUTED_VALUE"""),"МинЖКХ")</f>
        <v>МинЖКХ</v>
      </c>
      <c r="E174" s="20" t="str">
        <f ca="1">IFERROR(__xludf.DUMMYFUNCTION("""COMPUTED_VALUE"""),"Приобретение, монтаж и ввод в эксплуатацию станции  очистки воды на ВЗУ в д. Проводник-2, Коломенский г.о.")</f>
        <v>Приобретение, монтаж и ввод в эксплуатацию станции  очистки воды на ВЗУ в д. Проводник-2, Коломенский г.о.</v>
      </c>
      <c r="F174" s="32" t="str">
        <f ca="1">IFERROR(__xludf.DUMMYFUNCTION("""COMPUTED_VALUE"""),"ВЗУ")</f>
        <v>ВЗУ</v>
      </c>
      <c r="G174" s="20">
        <f ca="1">IFERROR(__xludf.DUMMYFUNCTION("""COMPUTED_VALUE"""),2020)</f>
        <v>2020</v>
      </c>
      <c r="H174" s="20" t="str">
        <f ca="1">IFERROR(__xludf.DUMMYFUNCTION("""COMPUTED_VALUE"""),"Приобретение, монтаж")</f>
        <v>Приобретение, монтаж</v>
      </c>
      <c r="I174" s="23">
        <f ca="1">IFERROR(__xludf.DUMMYFUNCTION("""COMPUTED_VALUE"""),0.6)</f>
        <v>0.6</v>
      </c>
      <c r="J174" s="20" t="str">
        <f ca="1">IFERROR(__xludf.DUMMYFUNCTION("""COMPUTED_VALUE"""),"Доставка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f>
        <v>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v>
      </c>
      <c r="K174" s="20"/>
      <c r="L174" s="20"/>
      <c r="M174" s="20"/>
      <c r="N174" s="24">
        <f ca="1">IFERROR(__xludf.DUMMYFUNCTION("""COMPUTED_VALUE"""),1507.11)</f>
        <v>1507.11</v>
      </c>
      <c r="O174" s="20"/>
      <c r="P174" s="24">
        <f ca="1">IFERROR(__xludf.DUMMYFUNCTION("""COMPUTED_VALUE"""),0)</f>
        <v>0</v>
      </c>
      <c r="Q174" s="24">
        <f ca="1">IFERROR(__xludf.DUMMYFUNCTION("""COMPUTED_VALUE"""),1507.11)</f>
        <v>1507.11</v>
      </c>
      <c r="R174" s="20"/>
      <c r="S174" s="20"/>
      <c r="T174" s="20"/>
      <c r="U174" s="24">
        <f ca="1">IFERROR(__xludf.DUMMYFUNCTION("""COMPUTED_VALUE"""),79.3800000000001)</f>
        <v>79.380000000000095</v>
      </c>
      <c r="V174" s="24">
        <f ca="1">IFERROR(__xludf.DUMMYFUNCTION("""COMPUTED_VALUE"""),0)</f>
        <v>0</v>
      </c>
      <c r="W174" s="24">
        <f ca="1">IFERROR(__xludf.DUMMYFUNCTION("""COMPUTED_VALUE"""),0)</f>
        <v>0</v>
      </c>
      <c r="X174" s="24">
        <f ca="1">IFERROR(__xludf.DUMMYFUNCTION("""COMPUTED_VALUE"""),0.0300000000002)</f>
        <v>3.0000000000199999E-2</v>
      </c>
      <c r="Y174" s="24">
        <f ca="1">IFERROR(__xludf.DUMMYFUNCTION("""COMPUTED_VALUE"""),79.35)</f>
        <v>79.349999999999994</v>
      </c>
      <c r="Z174" s="24">
        <f ca="1">IFERROR(__xludf.DUMMYFUNCTION("""COMPUTED_VALUE"""),0)</f>
        <v>0</v>
      </c>
      <c r="AA174" s="20" t="str">
        <f ca="1">IFERROR(__xludf.DUMMYFUNCTION("""COMPUTED_VALUE"""),"10 1 02 60330")</f>
        <v>10 1 02 60330</v>
      </c>
      <c r="AB174" s="20">
        <f ca="1">IFERROR(__xludf.DUMMYFUNCTION("""COMPUTED_VALUE"""),520)</f>
        <v>520</v>
      </c>
      <c r="AC174" s="20" t="str">
        <f ca="1">IFERROR(__xludf.DUMMYFUNCTION("""COMPUTED_VALUE"""),"Не требуется")</f>
        <v>Не требуется</v>
      </c>
      <c r="AD174" s="20" t="str">
        <f ca="1">IFERROR(__xludf.DUMMYFUNCTION("""COMPUTED_VALUE"""),"-")</f>
        <v>-</v>
      </c>
      <c r="AE174" s="20" t="str">
        <f ca="1">IFERROR(__xludf.DUMMYFUNCTION("""COMPUTED_VALUE"""),"-")</f>
        <v>-</v>
      </c>
      <c r="AF174" s="24">
        <f ca="1">IFERROR(__xludf.DUMMYFUNCTION("""COMPUTED_VALUE"""),1586.49)</f>
        <v>1586.49</v>
      </c>
      <c r="AG174" s="24">
        <f ca="1">IFERROR(__xludf.DUMMYFUNCTION("""COMPUTED_VALUE"""),0)</f>
        <v>0</v>
      </c>
      <c r="AH174" s="24">
        <f ca="1">IFERROR(__xludf.DUMMYFUNCTION("""COMPUTED_VALUE"""),0)</f>
        <v>0</v>
      </c>
      <c r="AI174" s="24">
        <f ca="1">IFERROR(__xludf.DUMMYFUNCTION("""COMPUTED_VALUE"""),1507.14)</f>
        <v>1507.14</v>
      </c>
      <c r="AJ174" s="24">
        <f ca="1">IFERROR(__xludf.DUMMYFUNCTION("""COMPUTED_VALUE"""),79.35)</f>
        <v>79.349999999999994</v>
      </c>
      <c r="AK174" s="24">
        <f ca="1">IFERROR(__xludf.DUMMYFUNCTION("""COMPUTED_VALUE"""),0)</f>
        <v>0</v>
      </c>
      <c r="AL174" s="24">
        <f ca="1">IFERROR(__xludf.DUMMYFUNCTION("""COMPUTED_VALUE"""),0)</f>
        <v>0</v>
      </c>
      <c r="AM174" s="20"/>
      <c r="AN174" s="20"/>
      <c r="AO174" s="20"/>
      <c r="AP174" s="20"/>
      <c r="AQ174" s="20"/>
      <c r="AR174" s="24">
        <f ca="1">IFERROR(__xludf.DUMMYFUNCTION("""COMPUTED_VALUE"""),0)</f>
        <v>0</v>
      </c>
      <c r="AS174" s="20"/>
      <c r="AT174" s="20"/>
      <c r="AU174" s="20"/>
      <c r="AV174" s="20"/>
      <c r="AW174" s="20"/>
      <c r="AX174" s="24">
        <f ca="1">IFERROR(__xludf.DUMMYFUNCTION("""COMPUTED_VALUE"""),1586.49)</f>
        <v>1586.49</v>
      </c>
      <c r="AY174" s="24">
        <f ca="1">IFERROR(__xludf.DUMMYFUNCTION("""COMPUTED_VALUE"""),0)</f>
        <v>0</v>
      </c>
      <c r="AZ174" s="24">
        <f ca="1">IFERROR(__xludf.DUMMYFUNCTION("""COMPUTED_VALUE"""),0)</f>
        <v>0</v>
      </c>
      <c r="BA174" s="24">
        <f ca="1">IFERROR(__xludf.DUMMYFUNCTION("""COMPUTED_VALUE"""),1507.14)</f>
        <v>1507.14</v>
      </c>
      <c r="BB174" s="24">
        <f ca="1">IFERROR(__xludf.DUMMYFUNCTION("""COMPUTED_VALUE"""),79.35)</f>
        <v>79.349999999999994</v>
      </c>
      <c r="BC174" s="20"/>
      <c r="BD174" s="24">
        <f ca="1">IFERROR(__xludf.DUMMYFUNCTION("""COMPUTED_VALUE"""),0)</f>
        <v>0</v>
      </c>
      <c r="BE174" s="24">
        <f ca="1">IFERROR(__xludf.DUMMYFUNCTION("""COMPUTED_VALUE"""),0)</f>
        <v>0</v>
      </c>
      <c r="BF174" s="24">
        <f ca="1">IFERROR(__xludf.DUMMYFUNCTION("""COMPUTED_VALUE"""),0)</f>
        <v>0</v>
      </c>
      <c r="BG174" s="24">
        <f ca="1">IFERROR(__xludf.DUMMYFUNCTION("""COMPUTED_VALUE"""),0)</f>
        <v>0</v>
      </c>
      <c r="BH174" s="24">
        <f ca="1">IFERROR(__xludf.DUMMYFUNCTION("""COMPUTED_VALUE"""),0)</f>
        <v>0</v>
      </c>
      <c r="BI174" s="20"/>
      <c r="BJ174" s="24">
        <f ca="1">IFERROR(__xludf.DUMMYFUNCTION("""COMPUTED_VALUE"""),0)</f>
        <v>0</v>
      </c>
      <c r="BK174" s="24">
        <f ca="1">IFERROR(__xludf.DUMMYFUNCTION("""COMPUTED_VALUE"""),0)</f>
        <v>0</v>
      </c>
      <c r="BL174" s="24">
        <f ca="1">IFERROR(__xludf.DUMMYFUNCTION("""COMPUTED_VALUE"""),0)</f>
        <v>0</v>
      </c>
      <c r="BM174" s="24">
        <f ca="1">IFERROR(__xludf.DUMMYFUNCTION("""COMPUTED_VALUE"""),0)</f>
        <v>0</v>
      </c>
      <c r="BN174" s="24">
        <f ca="1">IFERROR(__xludf.DUMMYFUNCTION("""COMPUTED_VALUE"""),0)</f>
        <v>0</v>
      </c>
      <c r="BO174" s="20"/>
      <c r="BP174" s="24">
        <f ca="1">IFERROR(__xludf.DUMMYFUNCTION("""COMPUTED_VALUE"""),0)</f>
        <v>0</v>
      </c>
      <c r="BQ174" s="24">
        <f ca="1">IFERROR(__xludf.DUMMYFUNCTION("""COMPUTED_VALUE"""),0)</f>
        <v>0</v>
      </c>
      <c r="BR174" s="24">
        <f ca="1">IFERROR(__xludf.DUMMYFUNCTION("""COMPUTED_VALUE"""),0)</f>
        <v>0</v>
      </c>
      <c r="BS174" s="24">
        <f ca="1">IFERROR(__xludf.DUMMYFUNCTION("""COMPUTED_VALUE"""),0)</f>
        <v>0</v>
      </c>
      <c r="BT174" s="24">
        <f ca="1">IFERROR(__xludf.DUMMYFUNCTION("""COMPUTED_VALUE"""),0)</f>
        <v>0</v>
      </c>
      <c r="BU174" s="20"/>
      <c r="BV174" s="24">
        <f ca="1">IFERROR(__xludf.DUMMYFUNCTION("""COMPUTED_VALUE"""),0)</f>
        <v>0</v>
      </c>
      <c r="BW174" s="24">
        <f ca="1">IFERROR(__xludf.DUMMYFUNCTION("""COMPUTED_VALUE"""),0)</f>
        <v>0</v>
      </c>
      <c r="BX174" s="24">
        <f ca="1">IFERROR(__xludf.DUMMYFUNCTION("""COMPUTED_VALUE"""),0)</f>
        <v>0</v>
      </c>
      <c r="BY174" s="24">
        <f ca="1">IFERROR(__xludf.DUMMYFUNCTION("""COMPUTED_VALUE"""),0)</f>
        <v>0</v>
      </c>
      <c r="BZ174" s="24">
        <f ca="1">IFERROR(__xludf.DUMMYFUNCTION("""COMPUTED_VALUE"""),0)</f>
        <v>0</v>
      </c>
      <c r="CA174" s="20"/>
      <c r="CB174" s="20"/>
      <c r="CC174" s="20"/>
      <c r="CD174" s="20"/>
      <c r="CE174" s="20"/>
      <c r="CF174" s="20"/>
      <c r="CG174" s="20"/>
      <c r="CH174" s="20"/>
      <c r="CI174" s="20"/>
      <c r="CJ174" s="20"/>
      <c r="CK174" s="20"/>
      <c r="CL174" s="20"/>
      <c r="CM174" s="20"/>
      <c r="CN174" s="20"/>
      <c r="CO174" s="20"/>
      <c r="CP174" s="20"/>
      <c r="CQ174" s="20"/>
      <c r="CR174" s="20"/>
      <c r="CS174" s="20"/>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row>
    <row r="175" spans="1:123" ht="64.5" customHeight="1" x14ac:dyDescent="0.2">
      <c r="A175" s="19"/>
      <c r="B175" s="20" t="str">
        <f ca="1">IFERROR(__xludf.DUMMYFUNCTION("""COMPUTED_VALUE"""),"г.о. Коломенский")</f>
        <v>г.о. Коломенский</v>
      </c>
      <c r="C17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5" s="20" t="str">
        <f ca="1">IFERROR(__xludf.DUMMYFUNCTION("""COMPUTED_VALUE"""),"МинЖКХ")</f>
        <v>МинЖКХ</v>
      </c>
      <c r="E175" s="20" t="str">
        <f ca="1">IFERROR(__xludf.DUMMYFUNCTION("""COMPUTED_VALUE"""),"Приобретение, монтаж и ввод в эксплуатацию станции  очистки воды на ВЗУ в п. Запрудный, Коломенский г.о.")</f>
        <v>Приобретение, монтаж и ввод в эксплуатацию станции  очистки воды на ВЗУ в п. Запрудный, Коломенский г.о.</v>
      </c>
      <c r="F175" s="32" t="str">
        <f ca="1">IFERROR(__xludf.DUMMYFUNCTION("""COMPUTED_VALUE"""),"ВЗУ")</f>
        <v>ВЗУ</v>
      </c>
      <c r="G175" s="20">
        <f ca="1">IFERROR(__xludf.DUMMYFUNCTION("""COMPUTED_VALUE"""),2020)</f>
        <v>2020</v>
      </c>
      <c r="H175" s="20" t="str">
        <f ca="1">IFERROR(__xludf.DUMMYFUNCTION("""COMPUTED_VALUE"""),"Приобретение, монтаж")</f>
        <v>Приобретение, монтаж</v>
      </c>
      <c r="I175" s="23">
        <f ca="1">IFERROR(__xludf.DUMMYFUNCTION("""COMPUTED_VALUE"""),0.5)</f>
        <v>0.5</v>
      </c>
      <c r="J175" s="20" t="str">
        <f ca="1">IFERROR(__xludf.DUMMYFUNCTION("""COMPUTED_VALUE"""),"Доставка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f>
        <v>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v>
      </c>
      <c r="K175" s="20"/>
      <c r="L175" s="20"/>
      <c r="M175" s="20"/>
      <c r="N175" s="24">
        <f ca="1">IFERROR(__xludf.DUMMYFUNCTION("""COMPUTED_VALUE"""),1723.52)</f>
        <v>1723.52</v>
      </c>
      <c r="O175" s="20"/>
      <c r="P175" s="24">
        <f ca="1">IFERROR(__xludf.DUMMYFUNCTION("""COMPUTED_VALUE"""),0)</f>
        <v>0</v>
      </c>
      <c r="Q175" s="24">
        <f ca="1">IFERROR(__xludf.DUMMYFUNCTION("""COMPUTED_VALUE"""),1723.52)</f>
        <v>1723.52</v>
      </c>
      <c r="R175" s="20"/>
      <c r="S175" s="20"/>
      <c r="T175" s="20"/>
      <c r="U175" s="24">
        <f ca="1">IFERROR(__xludf.DUMMYFUNCTION("""COMPUTED_VALUE"""),991.81)</f>
        <v>991.81</v>
      </c>
      <c r="V175" s="24">
        <f ca="1">IFERROR(__xludf.DUMMYFUNCTION("""COMPUTED_VALUE"""),0)</f>
        <v>0</v>
      </c>
      <c r="W175" s="24">
        <f ca="1">IFERROR(__xludf.DUMMYFUNCTION("""COMPUTED_VALUE"""),0)</f>
        <v>0</v>
      </c>
      <c r="X175" s="24">
        <f ca="1">IFERROR(__xludf.DUMMYFUNCTION("""COMPUTED_VALUE"""),855.98)</f>
        <v>855.98</v>
      </c>
      <c r="Y175" s="24">
        <f ca="1">IFERROR(__xludf.DUMMYFUNCTION("""COMPUTED_VALUE"""),135.83)</f>
        <v>135.83000000000001</v>
      </c>
      <c r="Z175" s="24">
        <f ca="1">IFERROR(__xludf.DUMMYFUNCTION("""COMPUTED_VALUE"""),0)</f>
        <v>0</v>
      </c>
      <c r="AA175" s="20" t="str">
        <f ca="1">IFERROR(__xludf.DUMMYFUNCTION("""COMPUTED_VALUE"""),"10 1 02 60330")</f>
        <v>10 1 02 60330</v>
      </c>
      <c r="AB175" s="20">
        <f ca="1">IFERROR(__xludf.DUMMYFUNCTION("""COMPUTED_VALUE"""),520)</f>
        <v>520</v>
      </c>
      <c r="AC175" s="20" t="str">
        <f ca="1">IFERROR(__xludf.DUMMYFUNCTION("""COMPUTED_VALUE"""),"Не требуется")</f>
        <v>Не требуется</v>
      </c>
      <c r="AD175" s="20" t="str">
        <f ca="1">IFERROR(__xludf.DUMMYFUNCTION("""COMPUTED_VALUE"""),"-")</f>
        <v>-</v>
      </c>
      <c r="AE175" s="20" t="str">
        <f ca="1">IFERROR(__xludf.DUMMYFUNCTION("""COMPUTED_VALUE"""),"-")</f>
        <v>-</v>
      </c>
      <c r="AF175" s="24">
        <f ca="1">IFERROR(__xludf.DUMMYFUNCTION("""COMPUTED_VALUE"""),2715.33)</f>
        <v>2715.33</v>
      </c>
      <c r="AG175" s="24">
        <f ca="1">IFERROR(__xludf.DUMMYFUNCTION("""COMPUTED_VALUE"""),0)</f>
        <v>0</v>
      </c>
      <c r="AH175" s="24">
        <f ca="1">IFERROR(__xludf.DUMMYFUNCTION("""COMPUTED_VALUE"""),0)</f>
        <v>0</v>
      </c>
      <c r="AI175" s="24">
        <f ca="1">IFERROR(__xludf.DUMMYFUNCTION("""COMPUTED_VALUE"""),2579.5)</f>
        <v>2579.5</v>
      </c>
      <c r="AJ175" s="24">
        <f ca="1">IFERROR(__xludf.DUMMYFUNCTION("""COMPUTED_VALUE"""),135.83)</f>
        <v>135.83000000000001</v>
      </c>
      <c r="AK175" s="24">
        <f ca="1">IFERROR(__xludf.DUMMYFUNCTION("""COMPUTED_VALUE"""),0)</f>
        <v>0</v>
      </c>
      <c r="AL175" s="24">
        <f ca="1">IFERROR(__xludf.DUMMYFUNCTION("""COMPUTED_VALUE"""),0)</f>
        <v>0</v>
      </c>
      <c r="AM175" s="20"/>
      <c r="AN175" s="20"/>
      <c r="AO175" s="20"/>
      <c r="AP175" s="20"/>
      <c r="AQ175" s="20"/>
      <c r="AR175" s="24">
        <f ca="1">IFERROR(__xludf.DUMMYFUNCTION("""COMPUTED_VALUE"""),0)</f>
        <v>0</v>
      </c>
      <c r="AS175" s="20"/>
      <c r="AT175" s="20"/>
      <c r="AU175" s="20"/>
      <c r="AV175" s="20"/>
      <c r="AW175" s="20"/>
      <c r="AX175" s="24">
        <f ca="1">IFERROR(__xludf.DUMMYFUNCTION("""COMPUTED_VALUE"""),2715.33)</f>
        <v>2715.33</v>
      </c>
      <c r="AY175" s="24">
        <f ca="1">IFERROR(__xludf.DUMMYFUNCTION("""COMPUTED_VALUE"""),0)</f>
        <v>0</v>
      </c>
      <c r="AZ175" s="24">
        <f ca="1">IFERROR(__xludf.DUMMYFUNCTION("""COMPUTED_VALUE"""),0)</f>
        <v>0</v>
      </c>
      <c r="BA175" s="24">
        <f ca="1">IFERROR(__xludf.DUMMYFUNCTION("""COMPUTED_VALUE"""),2579.5)</f>
        <v>2579.5</v>
      </c>
      <c r="BB175" s="24">
        <f ca="1">IFERROR(__xludf.DUMMYFUNCTION("""COMPUTED_VALUE"""),135.83)</f>
        <v>135.83000000000001</v>
      </c>
      <c r="BC175" s="20"/>
      <c r="BD175" s="24">
        <f ca="1">IFERROR(__xludf.DUMMYFUNCTION("""COMPUTED_VALUE"""),0)</f>
        <v>0</v>
      </c>
      <c r="BE175" s="24">
        <f ca="1">IFERROR(__xludf.DUMMYFUNCTION("""COMPUTED_VALUE"""),0)</f>
        <v>0</v>
      </c>
      <c r="BF175" s="24">
        <f ca="1">IFERROR(__xludf.DUMMYFUNCTION("""COMPUTED_VALUE"""),0)</f>
        <v>0</v>
      </c>
      <c r="BG175" s="24">
        <f ca="1">IFERROR(__xludf.DUMMYFUNCTION("""COMPUTED_VALUE"""),0)</f>
        <v>0</v>
      </c>
      <c r="BH175" s="24">
        <f ca="1">IFERROR(__xludf.DUMMYFUNCTION("""COMPUTED_VALUE"""),0)</f>
        <v>0</v>
      </c>
      <c r="BI175" s="20"/>
      <c r="BJ175" s="24">
        <f ca="1">IFERROR(__xludf.DUMMYFUNCTION("""COMPUTED_VALUE"""),0)</f>
        <v>0</v>
      </c>
      <c r="BK175" s="24">
        <f ca="1">IFERROR(__xludf.DUMMYFUNCTION("""COMPUTED_VALUE"""),0)</f>
        <v>0</v>
      </c>
      <c r="BL175" s="24">
        <f ca="1">IFERROR(__xludf.DUMMYFUNCTION("""COMPUTED_VALUE"""),0)</f>
        <v>0</v>
      </c>
      <c r="BM175" s="24">
        <f ca="1">IFERROR(__xludf.DUMMYFUNCTION("""COMPUTED_VALUE"""),0)</f>
        <v>0</v>
      </c>
      <c r="BN175" s="24">
        <f ca="1">IFERROR(__xludf.DUMMYFUNCTION("""COMPUTED_VALUE"""),0)</f>
        <v>0</v>
      </c>
      <c r="BO175" s="20"/>
      <c r="BP175" s="24">
        <f ca="1">IFERROR(__xludf.DUMMYFUNCTION("""COMPUTED_VALUE"""),0)</f>
        <v>0</v>
      </c>
      <c r="BQ175" s="24">
        <f ca="1">IFERROR(__xludf.DUMMYFUNCTION("""COMPUTED_VALUE"""),0)</f>
        <v>0</v>
      </c>
      <c r="BR175" s="24">
        <f ca="1">IFERROR(__xludf.DUMMYFUNCTION("""COMPUTED_VALUE"""),0)</f>
        <v>0</v>
      </c>
      <c r="BS175" s="24">
        <f ca="1">IFERROR(__xludf.DUMMYFUNCTION("""COMPUTED_VALUE"""),0)</f>
        <v>0</v>
      </c>
      <c r="BT175" s="24">
        <f ca="1">IFERROR(__xludf.DUMMYFUNCTION("""COMPUTED_VALUE"""),0)</f>
        <v>0</v>
      </c>
      <c r="BU175" s="20"/>
      <c r="BV175" s="24">
        <f ca="1">IFERROR(__xludf.DUMMYFUNCTION("""COMPUTED_VALUE"""),0)</f>
        <v>0</v>
      </c>
      <c r="BW175" s="24">
        <f ca="1">IFERROR(__xludf.DUMMYFUNCTION("""COMPUTED_VALUE"""),0)</f>
        <v>0</v>
      </c>
      <c r="BX175" s="24">
        <f ca="1">IFERROR(__xludf.DUMMYFUNCTION("""COMPUTED_VALUE"""),0)</f>
        <v>0</v>
      </c>
      <c r="BY175" s="24">
        <f ca="1">IFERROR(__xludf.DUMMYFUNCTION("""COMPUTED_VALUE"""),0)</f>
        <v>0</v>
      </c>
      <c r="BZ175" s="24">
        <f ca="1">IFERROR(__xludf.DUMMYFUNCTION("""COMPUTED_VALUE"""),0)</f>
        <v>0</v>
      </c>
      <c r="CA175" s="20"/>
      <c r="CB175" s="20"/>
      <c r="CC175" s="20"/>
      <c r="CD175" s="20"/>
      <c r="CE175" s="20"/>
      <c r="CF175" s="20"/>
      <c r="CG175" s="20"/>
      <c r="CH175" s="20"/>
      <c r="CI175" s="20"/>
      <c r="CJ175" s="20"/>
      <c r="CK175" s="20"/>
      <c r="CL175" s="20"/>
      <c r="CM175" s="20"/>
      <c r="CN175" s="20"/>
      <c r="CO175" s="20"/>
      <c r="CP175" s="20"/>
      <c r="CQ175" s="20"/>
      <c r="CR175" s="20"/>
      <c r="CS175" s="20"/>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row>
    <row r="176" spans="1:123" ht="64.5" customHeight="1" x14ac:dyDescent="0.2">
      <c r="A176" s="19"/>
      <c r="B176" s="20" t="str">
        <f ca="1">IFERROR(__xludf.DUMMYFUNCTION("""COMPUTED_VALUE"""),"г.о. Коломенский")</f>
        <v>г.о. Коломенский</v>
      </c>
      <c r="C17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6" s="20" t="str">
        <f ca="1">IFERROR(__xludf.DUMMYFUNCTION("""COMPUTED_VALUE"""),"МинЖКХ")</f>
        <v>МинЖКХ</v>
      </c>
      <c r="E176" s="20" t="str">
        <f ca="1">IFERROR(__xludf.DUMMYFUNCTION("""COMPUTED_VALUE"""),"Приобретение, монтаж и ввод в эксплуатацию станции  очистки воды на ВЗУ в с. Горки, Коломенский г.о.")</f>
        <v>Приобретение, монтаж и ввод в эксплуатацию станции  очистки воды на ВЗУ в с. Горки, Коломенский г.о.</v>
      </c>
      <c r="F176" s="32" t="str">
        <f ca="1">IFERROR(__xludf.DUMMYFUNCTION("""COMPUTED_VALUE"""),"ВЗУ")</f>
        <v>ВЗУ</v>
      </c>
      <c r="G176" s="20">
        <f ca="1">IFERROR(__xludf.DUMMYFUNCTION("""COMPUTED_VALUE"""),2020)</f>
        <v>2020</v>
      </c>
      <c r="H176" s="20" t="str">
        <f ca="1">IFERROR(__xludf.DUMMYFUNCTION("""COMPUTED_VALUE"""),"Приобретение, монтаж")</f>
        <v>Приобретение, монтаж</v>
      </c>
      <c r="I176" s="23">
        <f ca="1">IFERROR(__xludf.DUMMYFUNCTION("""COMPUTED_VALUE"""),0.8)</f>
        <v>0.8</v>
      </c>
      <c r="J176" s="20" t="str">
        <f ca="1">IFERROR(__xludf.DUMMYFUNCTION("""COMPUTED_VALUE"""),"Осуществлена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f>
        <v>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v>
      </c>
      <c r="K176" s="20"/>
      <c r="L176" s="20"/>
      <c r="M176" s="20"/>
      <c r="N176" s="24">
        <f ca="1">IFERROR(__xludf.DUMMYFUNCTION("""COMPUTED_VALUE"""),1723.39)</f>
        <v>1723.39</v>
      </c>
      <c r="O176" s="20"/>
      <c r="P176" s="24">
        <f ca="1">IFERROR(__xludf.DUMMYFUNCTION("""COMPUTED_VALUE"""),0)</f>
        <v>0</v>
      </c>
      <c r="Q176" s="24">
        <f ca="1">IFERROR(__xludf.DUMMYFUNCTION("""COMPUTED_VALUE"""),1723.39)</f>
        <v>1723.39</v>
      </c>
      <c r="R176" s="20"/>
      <c r="S176" s="20"/>
      <c r="T176" s="20"/>
      <c r="U176" s="24">
        <f ca="1">IFERROR(__xludf.DUMMYFUNCTION("""COMPUTED_VALUE"""),1025.27999999999)</f>
        <v>1025.27999999999</v>
      </c>
      <c r="V176" s="24">
        <f ca="1">IFERROR(__xludf.DUMMYFUNCTION("""COMPUTED_VALUE"""),0)</f>
        <v>0</v>
      </c>
      <c r="W176" s="24">
        <f ca="1">IFERROR(__xludf.DUMMYFUNCTION("""COMPUTED_VALUE"""),0)</f>
        <v>0</v>
      </c>
      <c r="X176" s="24">
        <f ca="1">IFERROR(__xludf.DUMMYFUNCTION("""COMPUTED_VALUE"""),887.809999999999)</f>
        <v>887.80999999999904</v>
      </c>
      <c r="Y176" s="24">
        <f ca="1">IFERROR(__xludf.DUMMYFUNCTION("""COMPUTED_VALUE"""),137.47)</f>
        <v>137.47</v>
      </c>
      <c r="Z176" s="24">
        <f ca="1">IFERROR(__xludf.DUMMYFUNCTION("""COMPUTED_VALUE"""),0)</f>
        <v>0</v>
      </c>
      <c r="AA176" s="20" t="str">
        <f ca="1">IFERROR(__xludf.DUMMYFUNCTION("""COMPUTED_VALUE"""),"10 1 02 60330")</f>
        <v>10 1 02 60330</v>
      </c>
      <c r="AB176" s="20">
        <f ca="1">IFERROR(__xludf.DUMMYFUNCTION("""COMPUTED_VALUE"""),520)</f>
        <v>520</v>
      </c>
      <c r="AC176" s="20" t="str">
        <f ca="1">IFERROR(__xludf.DUMMYFUNCTION("""COMPUTED_VALUE"""),"Не требуется")</f>
        <v>Не требуется</v>
      </c>
      <c r="AD176" s="20" t="str">
        <f ca="1">IFERROR(__xludf.DUMMYFUNCTION("""COMPUTED_VALUE"""),"-")</f>
        <v>-</v>
      </c>
      <c r="AE176" s="20" t="str">
        <f ca="1">IFERROR(__xludf.DUMMYFUNCTION("""COMPUTED_VALUE"""),"-")</f>
        <v>-</v>
      </c>
      <c r="AF176" s="24">
        <f ca="1">IFERROR(__xludf.DUMMYFUNCTION("""COMPUTED_VALUE"""),2748.66999999999)</f>
        <v>2748.6699999999901</v>
      </c>
      <c r="AG176" s="24">
        <f ca="1">IFERROR(__xludf.DUMMYFUNCTION("""COMPUTED_VALUE"""),0)</f>
        <v>0</v>
      </c>
      <c r="AH176" s="24">
        <f ca="1">IFERROR(__xludf.DUMMYFUNCTION("""COMPUTED_VALUE"""),0)</f>
        <v>0</v>
      </c>
      <c r="AI176" s="24">
        <f ca="1">IFERROR(__xludf.DUMMYFUNCTION("""COMPUTED_VALUE"""),2611.2)</f>
        <v>2611.1999999999998</v>
      </c>
      <c r="AJ176" s="24">
        <f ca="1">IFERROR(__xludf.DUMMYFUNCTION("""COMPUTED_VALUE"""),137.47)</f>
        <v>137.47</v>
      </c>
      <c r="AK176" s="24">
        <f ca="1">IFERROR(__xludf.DUMMYFUNCTION("""COMPUTED_VALUE"""),0)</f>
        <v>0</v>
      </c>
      <c r="AL176" s="24">
        <f ca="1">IFERROR(__xludf.DUMMYFUNCTION("""COMPUTED_VALUE"""),0)</f>
        <v>0</v>
      </c>
      <c r="AM176" s="20"/>
      <c r="AN176" s="20"/>
      <c r="AO176" s="20"/>
      <c r="AP176" s="20"/>
      <c r="AQ176" s="20"/>
      <c r="AR176" s="24">
        <f ca="1">IFERROR(__xludf.DUMMYFUNCTION("""COMPUTED_VALUE"""),0)</f>
        <v>0</v>
      </c>
      <c r="AS176" s="20"/>
      <c r="AT176" s="20"/>
      <c r="AU176" s="20"/>
      <c r="AV176" s="20"/>
      <c r="AW176" s="20"/>
      <c r="AX176" s="24">
        <f ca="1">IFERROR(__xludf.DUMMYFUNCTION("""COMPUTED_VALUE"""),2748.66999999999)</f>
        <v>2748.6699999999901</v>
      </c>
      <c r="AY176" s="24">
        <f ca="1">IFERROR(__xludf.DUMMYFUNCTION("""COMPUTED_VALUE"""),0)</f>
        <v>0</v>
      </c>
      <c r="AZ176" s="24">
        <f ca="1">IFERROR(__xludf.DUMMYFUNCTION("""COMPUTED_VALUE"""),0)</f>
        <v>0</v>
      </c>
      <c r="BA176" s="24">
        <f ca="1">IFERROR(__xludf.DUMMYFUNCTION("""COMPUTED_VALUE"""),2611.2)</f>
        <v>2611.1999999999998</v>
      </c>
      <c r="BB176" s="24">
        <f ca="1">IFERROR(__xludf.DUMMYFUNCTION("""COMPUTED_VALUE"""),137.47)</f>
        <v>137.47</v>
      </c>
      <c r="BC176" s="20"/>
      <c r="BD176" s="24">
        <f ca="1">IFERROR(__xludf.DUMMYFUNCTION("""COMPUTED_VALUE"""),0)</f>
        <v>0</v>
      </c>
      <c r="BE176" s="24">
        <f ca="1">IFERROR(__xludf.DUMMYFUNCTION("""COMPUTED_VALUE"""),0)</f>
        <v>0</v>
      </c>
      <c r="BF176" s="24">
        <f ca="1">IFERROR(__xludf.DUMMYFUNCTION("""COMPUTED_VALUE"""),0)</f>
        <v>0</v>
      </c>
      <c r="BG176" s="24">
        <f ca="1">IFERROR(__xludf.DUMMYFUNCTION("""COMPUTED_VALUE"""),0)</f>
        <v>0</v>
      </c>
      <c r="BH176" s="24">
        <f ca="1">IFERROR(__xludf.DUMMYFUNCTION("""COMPUTED_VALUE"""),0)</f>
        <v>0</v>
      </c>
      <c r="BI176" s="20"/>
      <c r="BJ176" s="24">
        <f ca="1">IFERROR(__xludf.DUMMYFUNCTION("""COMPUTED_VALUE"""),0)</f>
        <v>0</v>
      </c>
      <c r="BK176" s="24">
        <f ca="1">IFERROR(__xludf.DUMMYFUNCTION("""COMPUTED_VALUE"""),0)</f>
        <v>0</v>
      </c>
      <c r="BL176" s="24">
        <f ca="1">IFERROR(__xludf.DUMMYFUNCTION("""COMPUTED_VALUE"""),0)</f>
        <v>0</v>
      </c>
      <c r="BM176" s="24">
        <f ca="1">IFERROR(__xludf.DUMMYFUNCTION("""COMPUTED_VALUE"""),0)</f>
        <v>0</v>
      </c>
      <c r="BN176" s="24">
        <f ca="1">IFERROR(__xludf.DUMMYFUNCTION("""COMPUTED_VALUE"""),0)</f>
        <v>0</v>
      </c>
      <c r="BO176" s="20"/>
      <c r="BP176" s="24">
        <f ca="1">IFERROR(__xludf.DUMMYFUNCTION("""COMPUTED_VALUE"""),0)</f>
        <v>0</v>
      </c>
      <c r="BQ176" s="24">
        <f ca="1">IFERROR(__xludf.DUMMYFUNCTION("""COMPUTED_VALUE"""),0)</f>
        <v>0</v>
      </c>
      <c r="BR176" s="24">
        <f ca="1">IFERROR(__xludf.DUMMYFUNCTION("""COMPUTED_VALUE"""),0)</f>
        <v>0</v>
      </c>
      <c r="BS176" s="24">
        <f ca="1">IFERROR(__xludf.DUMMYFUNCTION("""COMPUTED_VALUE"""),0)</f>
        <v>0</v>
      </c>
      <c r="BT176" s="24">
        <f ca="1">IFERROR(__xludf.DUMMYFUNCTION("""COMPUTED_VALUE"""),0)</f>
        <v>0</v>
      </c>
      <c r="BU176" s="20"/>
      <c r="BV176" s="24">
        <f ca="1">IFERROR(__xludf.DUMMYFUNCTION("""COMPUTED_VALUE"""),0)</f>
        <v>0</v>
      </c>
      <c r="BW176" s="24">
        <f ca="1">IFERROR(__xludf.DUMMYFUNCTION("""COMPUTED_VALUE"""),0)</f>
        <v>0</v>
      </c>
      <c r="BX176" s="24">
        <f ca="1">IFERROR(__xludf.DUMMYFUNCTION("""COMPUTED_VALUE"""),0)</f>
        <v>0</v>
      </c>
      <c r="BY176" s="24">
        <f ca="1">IFERROR(__xludf.DUMMYFUNCTION("""COMPUTED_VALUE"""),0)</f>
        <v>0</v>
      </c>
      <c r="BZ176" s="24">
        <f ca="1">IFERROR(__xludf.DUMMYFUNCTION("""COMPUTED_VALUE"""),0)</f>
        <v>0</v>
      </c>
      <c r="CA176" s="20"/>
      <c r="CB176" s="20"/>
      <c r="CC176" s="20"/>
      <c r="CD176" s="20"/>
      <c r="CE176" s="20"/>
      <c r="CF176" s="20"/>
      <c r="CG176" s="20"/>
      <c r="CH176" s="20"/>
      <c r="CI176" s="20"/>
      <c r="CJ176" s="20"/>
      <c r="CK176" s="20"/>
      <c r="CL176" s="20"/>
      <c r="CM176" s="20"/>
      <c r="CN176" s="20"/>
      <c r="CO176" s="20"/>
      <c r="CP176" s="20"/>
      <c r="CQ176" s="20"/>
      <c r="CR176" s="20"/>
      <c r="CS176" s="20"/>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row>
    <row r="177" spans="1:123" ht="64.5" customHeight="1" x14ac:dyDescent="0.2">
      <c r="A177" s="19"/>
      <c r="B177" s="20" t="str">
        <f ca="1">IFERROR(__xludf.DUMMYFUNCTION("""COMPUTED_VALUE"""),"г.о. Коломенский")</f>
        <v>г.о. Коломенский</v>
      </c>
      <c r="C17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7" s="20" t="str">
        <f ca="1">IFERROR(__xludf.DUMMYFUNCTION("""COMPUTED_VALUE"""),"МинЖКХ")</f>
        <v>МинЖКХ</v>
      </c>
      <c r="E177" s="20" t="str">
        <f ca="1">IFERROR(__xludf.DUMMYFUNCTION("""COMPUTED_VALUE"""),"Приобретение, монтаж и ввод в эксплуатацию станции  очистки воды на ВЗУ в с. Макшеево, Коломенский г.о.")</f>
        <v>Приобретение, монтаж и ввод в эксплуатацию станции  очистки воды на ВЗУ в с. Макшеево, Коломенский г.о.</v>
      </c>
      <c r="F177" s="32" t="str">
        <f ca="1">IFERROR(__xludf.DUMMYFUNCTION("""COMPUTED_VALUE"""),"ВЗУ")</f>
        <v>ВЗУ</v>
      </c>
      <c r="G177" s="20">
        <f ca="1">IFERROR(__xludf.DUMMYFUNCTION("""COMPUTED_VALUE"""),2020)</f>
        <v>2020</v>
      </c>
      <c r="H177" s="20" t="str">
        <f ca="1">IFERROR(__xludf.DUMMYFUNCTION("""COMPUTED_VALUE"""),"Приобретение, монтаж")</f>
        <v>Приобретение, монтаж</v>
      </c>
      <c r="I177" s="23">
        <f ca="1">IFERROR(__xludf.DUMMYFUNCTION("""COMPUTED_VALUE"""),0.8)</f>
        <v>0.8</v>
      </c>
      <c r="J177" s="20" t="str">
        <f ca="1">IFERROR(__xludf.DUMMYFUNCTION("""COMPUTED_VALUE"""),"Осуществлена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f>
        <v>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v>
      </c>
      <c r="K177" s="20"/>
      <c r="L177" s="20"/>
      <c r="M177" s="20"/>
      <c r="N177" s="24">
        <f ca="1">IFERROR(__xludf.DUMMYFUNCTION("""COMPUTED_VALUE"""),1728.28)</f>
        <v>1728.28</v>
      </c>
      <c r="O177" s="20"/>
      <c r="P177" s="24">
        <f ca="1">IFERROR(__xludf.DUMMYFUNCTION("""COMPUTED_VALUE"""),0)</f>
        <v>0</v>
      </c>
      <c r="Q177" s="24">
        <f ca="1">IFERROR(__xludf.DUMMYFUNCTION("""COMPUTED_VALUE"""),1728.28)</f>
        <v>1728.28</v>
      </c>
      <c r="R177" s="20"/>
      <c r="S177" s="20"/>
      <c r="T177" s="20"/>
      <c r="U177" s="24">
        <f ca="1">IFERROR(__xludf.DUMMYFUNCTION("""COMPUTED_VALUE"""),987.08)</f>
        <v>987.08</v>
      </c>
      <c r="V177" s="24">
        <f ca="1">IFERROR(__xludf.DUMMYFUNCTION("""COMPUTED_VALUE"""),0)</f>
        <v>0</v>
      </c>
      <c r="W177" s="24">
        <f ca="1">IFERROR(__xludf.DUMMYFUNCTION("""COMPUTED_VALUE"""),0)</f>
        <v>0</v>
      </c>
      <c r="X177" s="24">
        <f ca="1">IFERROR(__xludf.DUMMYFUNCTION("""COMPUTED_VALUE"""),851.26)</f>
        <v>851.26</v>
      </c>
      <c r="Y177" s="24">
        <f ca="1">IFERROR(__xludf.DUMMYFUNCTION("""COMPUTED_VALUE"""),135.82)</f>
        <v>135.82</v>
      </c>
      <c r="Z177" s="24">
        <f ca="1">IFERROR(__xludf.DUMMYFUNCTION("""COMPUTED_VALUE"""),0)</f>
        <v>0</v>
      </c>
      <c r="AA177" s="20" t="str">
        <f ca="1">IFERROR(__xludf.DUMMYFUNCTION("""COMPUTED_VALUE"""),"10 1 02 60330")</f>
        <v>10 1 02 60330</v>
      </c>
      <c r="AB177" s="20">
        <f ca="1">IFERROR(__xludf.DUMMYFUNCTION("""COMPUTED_VALUE"""),520)</f>
        <v>520</v>
      </c>
      <c r="AC177" s="20" t="str">
        <f ca="1">IFERROR(__xludf.DUMMYFUNCTION("""COMPUTED_VALUE"""),"Не требуется")</f>
        <v>Не требуется</v>
      </c>
      <c r="AD177" s="20" t="str">
        <f ca="1">IFERROR(__xludf.DUMMYFUNCTION("""COMPUTED_VALUE"""),"-")</f>
        <v>-</v>
      </c>
      <c r="AE177" s="20" t="str">
        <f ca="1">IFERROR(__xludf.DUMMYFUNCTION("""COMPUTED_VALUE"""),"-")</f>
        <v>-</v>
      </c>
      <c r="AF177" s="24">
        <f ca="1">IFERROR(__xludf.DUMMYFUNCTION("""COMPUTED_VALUE"""),2715.36)</f>
        <v>2715.36</v>
      </c>
      <c r="AG177" s="24">
        <f ca="1">IFERROR(__xludf.DUMMYFUNCTION("""COMPUTED_VALUE"""),0)</f>
        <v>0</v>
      </c>
      <c r="AH177" s="24">
        <f ca="1">IFERROR(__xludf.DUMMYFUNCTION("""COMPUTED_VALUE"""),0)</f>
        <v>0</v>
      </c>
      <c r="AI177" s="24">
        <f ca="1">IFERROR(__xludf.DUMMYFUNCTION("""COMPUTED_VALUE"""),2579.54)</f>
        <v>2579.54</v>
      </c>
      <c r="AJ177" s="24">
        <f ca="1">IFERROR(__xludf.DUMMYFUNCTION("""COMPUTED_VALUE"""),135.82)</f>
        <v>135.82</v>
      </c>
      <c r="AK177" s="24">
        <f ca="1">IFERROR(__xludf.DUMMYFUNCTION("""COMPUTED_VALUE"""),0)</f>
        <v>0</v>
      </c>
      <c r="AL177" s="24">
        <f ca="1">IFERROR(__xludf.DUMMYFUNCTION("""COMPUTED_VALUE"""),0)</f>
        <v>0</v>
      </c>
      <c r="AM177" s="20"/>
      <c r="AN177" s="20"/>
      <c r="AO177" s="20"/>
      <c r="AP177" s="20"/>
      <c r="AQ177" s="20"/>
      <c r="AR177" s="24">
        <f ca="1">IFERROR(__xludf.DUMMYFUNCTION("""COMPUTED_VALUE"""),0)</f>
        <v>0</v>
      </c>
      <c r="AS177" s="20"/>
      <c r="AT177" s="20"/>
      <c r="AU177" s="20"/>
      <c r="AV177" s="20"/>
      <c r="AW177" s="20"/>
      <c r="AX177" s="24">
        <f ca="1">IFERROR(__xludf.DUMMYFUNCTION("""COMPUTED_VALUE"""),2715.36)</f>
        <v>2715.36</v>
      </c>
      <c r="AY177" s="24">
        <f ca="1">IFERROR(__xludf.DUMMYFUNCTION("""COMPUTED_VALUE"""),0)</f>
        <v>0</v>
      </c>
      <c r="AZ177" s="24">
        <f ca="1">IFERROR(__xludf.DUMMYFUNCTION("""COMPUTED_VALUE"""),0)</f>
        <v>0</v>
      </c>
      <c r="BA177" s="24">
        <f ca="1">IFERROR(__xludf.DUMMYFUNCTION("""COMPUTED_VALUE"""),2579.54)</f>
        <v>2579.54</v>
      </c>
      <c r="BB177" s="24">
        <f ca="1">IFERROR(__xludf.DUMMYFUNCTION("""COMPUTED_VALUE"""),135.82)</f>
        <v>135.82</v>
      </c>
      <c r="BC177" s="20"/>
      <c r="BD177" s="24">
        <f ca="1">IFERROR(__xludf.DUMMYFUNCTION("""COMPUTED_VALUE"""),0)</f>
        <v>0</v>
      </c>
      <c r="BE177" s="24">
        <f ca="1">IFERROR(__xludf.DUMMYFUNCTION("""COMPUTED_VALUE"""),0)</f>
        <v>0</v>
      </c>
      <c r="BF177" s="24">
        <f ca="1">IFERROR(__xludf.DUMMYFUNCTION("""COMPUTED_VALUE"""),0)</f>
        <v>0</v>
      </c>
      <c r="BG177" s="24">
        <f ca="1">IFERROR(__xludf.DUMMYFUNCTION("""COMPUTED_VALUE"""),0)</f>
        <v>0</v>
      </c>
      <c r="BH177" s="24">
        <f ca="1">IFERROR(__xludf.DUMMYFUNCTION("""COMPUTED_VALUE"""),0)</f>
        <v>0</v>
      </c>
      <c r="BI177" s="20"/>
      <c r="BJ177" s="24">
        <f ca="1">IFERROR(__xludf.DUMMYFUNCTION("""COMPUTED_VALUE"""),0)</f>
        <v>0</v>
      </c>
      <c r="BK177" s="24">
        <f ca="1">IFERROR(__xludf.DUMMYFUNCTION("""COMPUTED_VALUE"""),0)</f>
        <v>0</v>
      </c>
      <c r="BL177" s="24">
        <f ca="1">IFERROR(__xludf.DUMMYFUNCTION("""COMPUTED_VALUE"""),0)</f>
        <v>0</v>
      </c>
      <c r="BM177" s="24">
        <f ca="1">IFERROR(__xludf.DUMMYFUNCTION("""COMPUTED_VALUE"""),0)</f>
        <v>0</v>
      </c>
      <c r="BN177" s="24">
        <f ca="1">IFERROR(__xludf.DUMMYFUNCTION("""COMPUTED_VALUE"""),0)</f>
        <v>0</v>
      </c>
      <c r="BO177" s="20"/>
      <c r="BP177" s="24">
        <f ca="1">IFERROR(__xludf.DUMMYFUNCTION("""COMPUTED_VALUE"""),0)</f>
        <v>0</v>
      </c>
      <c r="BQ177" s="24">
        <f ca="1">IFERROR(__xludf.DUMMYFUNCTION("""COMPUTED_VALUE"""),0)</f>
        <v>0</v>
      </c>
      <c r="BR177" s="24">
        <f ca="1">IFERROR(__xludf.DUMMYFUNCTION("""COMPUTED_VALUE"""),0)</f>
        <v>0</v>
      </c>
      <c r="BS177" s="24">
        <f ca="1">IFERROR(__xludf.DUMMYFUNCTION("""COMPUTED_VALUE"""),0)</f>
        <v>0</v>
      </c>
      <c r="BT177" s="24">
        <f ca="1">IFERROR(__xludf.DUMMYFUNCTION("""COMPUTED_VALUE"""),0)</f>
        <v>0</v>
      </c>
      <c r="BU177" s="20"/>
      <c r="BV177" s="24">
        <f ca="1">IFERROR(__xludf.DUMMYFUNCTION("""COMPUTED_VALUE"""),0)</f>
        <v>0</v>
      </c>
      <c r="BW177" s="24">
        <f ca="1">IFERROR(__xludf.DUMMYFUNCTION("""COMPUTED_VALUE"""),0)</f>
        <v>0</v>
      </c>
      <c r="BX177" s="24">
        <f ca="1">IFERROR(__xludf.DUMMYFUNCTION("""COMPUTED_VALUE"""),0)</f>
        <v>0</v>
      </c>
      <c r="BY177" s="24">
        <f ca="1">IFERROR(__xludf.DUMMYFUNCTION("""COMPUTED_VALUE"""),0)</f>
        <v>0</v>
      </c>
      <c r="BZ177" s="24">
        <f ca="1">IFERROR(__xludf.DUMMYFUNCTION("""COMPUTED_VALUE"""),0)</f>
        <v>0</v>
      </c>
      <c r="CA177" s="20"/>
      <c r="CB177" s="20"/>
      <c r="CC177" s="20"/>
      <c r="CD177" s="20"/>
      <c r="CE177" s="20"/>
      <c r="CF177" s="20"/>
      <c r="CG177" s="20"/>
      <c r="CH177" s="20"/>
      <c r="CI177" s="20"/>
      <c r="CJ177" s="20"/>
      <c r="CK177" s="20"/>
      <c r="CL177" s="20"/>
      <c r="CM177" s="20"/>
      <c r="CN177" s="20"/>
      <c r="CO177" s="20"/>
      <c r="CP177" s="20"/>
      <c r="CQ177" s="20"/>
      <c r="CR177" s="20"/>
      <c r="CS177" s="20"/>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row>
    <row r="178" spans="1:123" ht="64.5" customHeight="1" x14ac:dyDescent="0.2">
      <c r="A178" s="19"/>
      <c r="B178" s="20" t="str">
        <f ca="1">IFERROR(__xludf.DUMMYFUNCTION("""COMPUTED_VALUE"""),"г.о. Коломенский")</f>
        <v>г.о. Коломенский</v>
      </c>
      <c r="C17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8" s="20" t="str">
        <f ca="1">IFERROR(__xludf.DUMMYFUNCTION("""COMPUTED_VALUE"""),"МинЖКХ")</f>
        <v>МинЖКХ</v>
      </c>
      <c r="E178" s="20" t="str">
        <f ca="1">IFERROR(__xludf.DUMMYFUNCTION("""COMPUTED_VALUE"""),"Приобретение, монтаж и ввод в эксплуатацию станции  очистки воды на ВЗУ в д. Молитвино, Коломенский г.о.")</f>
        <v>Приобретение, монтаж и ввод в эксплуатацию станции  очистки воды на ВЗУ в д. Молитвино, Коломенский г.о.</v>
      </c>
      <c r="F178" s="32" t="str">
        <f ca="1">IFERROR(__xludf.DUMMYFUNCTION("""COMPUTED_VALUE"""),"ВЗУ")</f>
        <v>ВЗУ</v>
      </c>
      <c r="G178" s="20">
        <f ca="1">IFERROR(__xludf.DUMMYFUNCTION("""COMPUTED_VALUE"""),2020)</f>
        <v>2020</v>
      </c>
      <c r="H178" s="20" t="str">
        <f ca="1">IFERROR(__xludf.DUMMYFUNCTION("""COMPUTED_VALUE"""),"Приобретение, монтаж")</f>
        <v>Приобретение, монтаж</v>
      </c>
      <c r="I178" s="23">
        <f ca="1">IFERROR(__xludf.DUMMYFUNCTION("""COMPUTED_VALUE"""),0.5)</f>
        <v>0.5</v>
      </c>
      <c r="J178" s="20" t="str">
        <f ca="1">IFERROR(__xludf.DUMMYFUNCTION("""COMPUTED_VALUE"""),"Доставка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f>
        <v>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v>
      </c>
      <c r="K178" s="20"/>
      <c r="L178" s="20"/>
      <c r="M178" s="20"/>
      <c r="N178" s="24">
        <f ca="1">IFERROR(__xludf.DUMMYFUNCTION("""COMPUTED_VALUE"""),1637.04)</f>
        <v>1637.04</v>
      </c>
      <c r="O178" s="20"/>
      <c r="P178" s="24">
        <f ca="1">IFERROR(__xludf.DUMMYFUNCTION("""COMPUTED_VALUE"""),0)</f>
        <v>0</v>
      </c>
      <c r="Q178" s="24">
        <f ca="1">IFERROR(__xludf.DUMMYFUNCTION("""COMPUTED_VALUE"""),1637.04)</f>
        <v>1637.04</v>
      </c>
      <c r="R178" s="20"/>
      <c r="S178" s="20"/>
      <c r="T178" s="20"/>
      <c r="U178" s="24">
        <f ca="1">IFERROR(__xludf.DUMMYFUNCTION("""COMPUTED_VALUE"""),1214.36)</f>
        <v>1214.3599999999999</v>
      </c>
      <c r="V178" s="24">
        <f ca="1">IFERROR(__xludf.DUMMYFUNCTION("""COMPUTED_VALUE"""),0)</f>
        <v>0</v>
      </c>
      <c r="W178" s="24">
        <f ca="1">IFERROR(__xludf.DUMMYFUNCTION("""COMPUTED_VALUE"""),0)</f>
        <v>0</v>
      </c>
      <c r="X178" s="24">
        <f ca="1">IFERROR(__xludf.DUMMYFUNCTION("""COMPUTED_VALUE"""),1071.79)</f>
        <v>1071.79</v>
      </c>
      <c r="Y178" s="24">
        <f ca="1">IFERROR(__xludf.DUMMYFUNCTION("""COMPUTED_VALUE"""),142.57)</f>
        <v>142.57</v>
      </c>
      <c r="Z178" s="24">
        <f ca="1">IFERROR(__xludf.DUMMYFUNCTION("""COMPUTED_VALUE"""),0)</f>
        <v>0</v>
      </c>
      <c r="AA178" s="20" t="str">
        <f ca="1">IFERROR(__xludf.DUMMYFUNCTION("""COMPUTED_VALUE"""),"10 1 02 60330")</f>
        <v>10 1 02 60330</v>
      </c>
      <c r="AB178" s="20">
        <f ca="1">IFERROR(__xludf.DUMMYFUNCTION("""COMPUTED_VALUE"""),520)</f>
        <v>520</v>
      </c>
      <c r="AC178" s="20" t="str">
        <f ca="1">IFERROR(__xludf.DUMMYFUNCTION("""COMPUTED_VALUE"""),"Не требуется")</f>
        <v>Не требуется</v>
      </c>
      <c r="AD178" s="20" t="str">
        <f ca="1">IFERROR(__xludf.DUMMYFUNCTION("""COMPUTED_VALUE"""),"-")</f>
        <v>-</v>
      </c>
      <c r="AE178" s="20" t="str">
        <f ca="1">IFERROR(__xludf.DUMMYFUNCTION("""COMPUTED_VALUE"""),"-")</f>
        <v>-</v>
      </c>
      <c r="AF178" s="24">
        <f ca="1">IFERROR(__xludf.DUMMYFUNCTION("""COMPUTED_VALUE"""),2851.4)</f>
        <v>2851.4</v>
      </c>
      <c r="AG178" s="24">
        <f ca="1">IFERROR(__xludf.DUMMYFUNCTION("""COMPUTED_VALUE"""),0)</f>
        <v>0</v>
      </c>
      <c r="AH178" s="24">
        <f ca="1">IFERROR(__xludf.DUMMYFUNCTION("""COMPUTED_VALUE"""),0)</f>
        <v>0</v>
      </c>
      <c r="AI178" s="24">
        <f ca="1">IFERROR(__xludf.DUMMYFUNCTION("""COMPUTED_VALUE"""),2708.83)</f>
        <v>2708.83</v>
      </c>
      <c r="AJ178" s="24">
        <f ca="1">IFERROR(__xludf.DUMMYFUNCTION("""COMPUTED_VALUE"""),142.57)</f>
        <v>142.57</v>
      </c>
      <c r="AK178" s="24">
        <f ca="1">IFERROR(__xludf.DUMMYFUNCTION("""COMPUTED_VALUE"""),0)</f>
        <v>0</v>
      </c>
      <c r="AL178" s="24">
        <f ca="1">IFERROR(__xludf.DUMMYFUNCTION("""COMPUTED_VALUE"""),0)</f>
        <v>0</v>
      </c>
      <c r="AM178" s="20"/>
      <c r="AN178" s="20"/>
      <c r="AO178" s="20"/>
      <c r="AP178" s="20"/>
      <c r="AQ178" s="20"/>
      <c r="AR178" s="24">
        <f ca="1">IFERROR(__xludf.DUMMYFUNCTION("""COMPUTED_VALUE"""),0)</f>
        <v>0</v>
      </c>
      <c r="AS178" s="20"/>
      <c r="AT178" s="20"/>
      <c r="AU178" s="20"/>
      <c r="AV178" s="20"/>
      <c r="AW178" s="20"/>
      <c r="AX178" s="24">
        <f ca="1">IFERROR(__xludf.DUMMYFUNCTION("""COMPUTED_VALUE"""),2851.4)</f>
        <v>2851.4</v>
      </c>
      <c r="AY178" s="24">
        <f ca="1">IFERROR(__xludf.DUMMYFUNCTION("""COMPUTED_VALUE"""),0)</f>
        <v>0</v>
      </c>
      <c r="AZ178" s="24">
        <f ca="1">IFERROR(__xludf.DUMMYFUNCTION("""COMPUTED_VALUE"""),0)</f>
        <v>0</v>
      </c>
      <c r="BA178" s="24">
        <f ca="1">IFERROR(__xludf.DUMMYFUNCTION("""COMPUTED_VALUE"""),2708.83)</f>
        <v>2708.83</v>
      </c>
      <c r="BB178" s="24">
        <f ca="1">IFERROR(__xludf.DUMMYFUNCTION("""COMPUTED_VALUE"""),142.57)</f>
        <v>142.57</v>
      </c>
      <c r="BC178" s="20"/>
      <c r="BD178" s="24">
        <f ca="1">IFERROR(__xludf.DUMMYFUNCTION("""COMPUTED_VALUE"""),0)</f>
        <v>0</v>
      </c>
      <c r="BE178" s="24">
        <f ca="1">IFERROR(__xludf.DUMMYFUNCTION("""COMPUTED_VALUE"""),0)</f>
        <v>0</v>
      </c>
      <c r="BF178" s="24">
        <f ca="1">IFERROR(__xludf.DUMMYFUNCTION("""COMPUTED_VALUE"""),0)</f>
        <v>0</v>
      </c>
      <c r="BG178" s="24">
        <f ca="1">IFERROR(__xludf.DUMMYFUNCTION("""COMPUTED_VALUE"""),0)</f>
        <v>0</v>
      </c>
      <c r="BH178" s="24">
        <f ca="1">IFERROR(__xludf.DUMMYFUNCTION("""COMPUTED_VALUE"""),0)</f>
        <v>0</v>
      </c>
      <c r="BI178" s="20"/>
      <c r="BJ178" s="24">
        <f ca="1">IFERROR(__xludf.DUMMYFUNCTION("""COMPUTED_VALUE"""),0)</f>
        <v>0</v>
      </c>
      <c r="BK178" s="24">
        <f ca="1">IFERROR(__xludf.DUMMYFUNCTION("""COMPUTED_VALUE"""),0)</f>
        <v>0</v>
      </c>
      <c r="BL178" s="24">
        <f ca="1">IFERROR(__xludf.DUMMYFUNCTION("""COMPUTED_VALUE"""),0)</f>
        <v>0</v>
      </c>
      <c r="BM178" s="24">
        <f ca="1">IFERROR(__xludf.DUMMYFUNCTION("""COMPUTED_VALUE"""),0)</f>
        <v>0</v>
      </c>
      <c r="BN178" s="24">
        <f ca="1">IFERROR(__xludf.DUMMYFUNCTION("""COMPUTED_VALUE"""),0)</f>
        <v>0</v>
      </c>
      <c r="BO178" s="20"/>
      <c r="BP178" s="24">
        <f ca="1">IFERROR(__xludf.DUMMYFUNCTION("""COMPUTED_VALUE"""),0)</f>
        <v>0</v>
      </c>
      <c r="BQ178" s="24">
        <f ca="1">IFERROR(__xludf.DUMMYFUNCTION("""COMPUTED_VALUE"""),0)</f>
        <v>0</v>
      </c>
      <c r="BR178" s="24">
        <f ca="1">IFERROR(__xludf.DUMMYFUNCTION("""COMPUTED_VALUE"""),0)</f>
        <v>0</v>
      </c>
      <c r="BS178" s="24">
        <f ca="1">IFERROR(__xludf.DUMMYFUNCTION("""COMPUTED_VALUE"""),0)</f>
        <v>0</v>
      </c>
      <c r="BT178" s="24">
        <f ca="1">IFERROR(__xludf.DUMMYFUNCTION("""COMPUTED_VALUE"""),0)</f>
        <v>0</v>
      </c>
      <c r="BU178" s="20"/>
      <c r="BV178" s="24">
        <f ca="1">IFERROR(__xludf.DUMMYFUNCTION("""COMPUTED_VALUE"""),0)</f>
        <v>0</v>
      </c>
      <c r="BW178" s="24">
        <f ca="1">IFERROR(__xludf.DUMMYFUNCTION("""COMPUTED_VALUE"""),0)</f>
        <v>0</v>
      </c>
      <c r="BX178" s="24">
        <f ca="1">IFERROR(__xludf.DUMMYFUNCTION("""COMPUTED_VALUE"""),0)</f>
        <v>0</v>
      </c>
      <c r="BY178" s="24">
        <f ca="1">IFERROR(__xludf.DUMMYFUNCTION("""COMPUTED_VALUE"""),0)</f>
        <v>0</v>
      </c>
      <c r="BZ178" s="24">
        <f ca="1">IFERROR(__xludf.DUMMYFUNCTION("""COMPUTED_VALUE"""),0)</f>
        <v>0</v>
      </c>
      <c r="CA178" s="20"/>
      <c r="CB178" s="20"/>
      <c r="CC178" s="20"/>
      <c r="CD178" s="20"/>
      <c r="CE178" s="20"/>
      <c r="CF178" s="20"/>
      <c r="CG178" s="20"/>
      <c r="CH178" s="20"/>
      <c r="CI178" s="20"/>
      <c r="CJ178" s="20"/>
      <c r="CK178" s="20"/>
      <c r="CL178" s="20"/>
      <c r="CM178" s="20"/>
      <c r="CN178" s="20"/>
      <c r="CO178" s="20"/>
      <c r="CP178" s="20"/>
      <c r="CQ178" s="20"/>
      <c r="CR178" s="20"/>
      <c r="CS178" s="20"/>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row>
    <row r="179" spans="1:123" ht="64.5" customHeight="1" x14ac:dyDescent="0.2">
      <c r="A179" s="19"/>
      <c r="B179" s="20" t="str">
        <f ca="1">IFERROR(__xludf.DUMMYFUNCTION("""COMPUTED_VALUE"""),"г.о. Коломенский")</f>
        <v>г.о. Коломенский</v>
      </c>
      <c r="C17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9" s="20" t="str">
        <f ca="1">IFERROR(__xludf.DUMMYFUNCTION("""COMPUTED_VALUE"""),"МинЖКХ")</f>
        <v>МинЖКХ</v>
      </c>
      <c r="E179" s="20" t="str">
        <f ca="1">IFERROR(__xludf.DUMMYFUNCTION("""COMPUTED_VALUE"""),"Приобретение, монтаж и ввод в эксплуатацию станции  очистки воды на ВЗУ в с. Андреевское, Коломенский г.о.")</f>
        <v>Приобретение, монтаж и ввод в эксплуатацию станции  очистки воды на ВЗУ в с. Андреевское, Коломенский г.о.</v>
      </c>
      <c r="F179" s="32" t="str">
        <f ca="1">IFERROR(__xludf.DUMMYFUNCTION("""COMPUTED_VALUE"""),"ВЗУ")</f>
        <v>ВЗУ</v>
      </c>
      <c r="G179" s="20">
        <f ca="1">IFERROR(__xludf.DUMMYFUNCTION("""COMPUTED_VALUE"""),2020)</f>
        <v>2020</v>
      </c>
      <c r="H179" s="20" t="str">
        <f ca="1">IFERROR(__xludf.DUMMYFUNCTION("""COMPUTED_VALUE"""),"Приобретение, монтаж")</f>
        <v>Приобретение, монтаж</v>
      </c>
      <c r="I179" s="23">
        <f ca="1">IFERROR(__xludf.DUMMYFUNCTION("""COMPUTED_VALUE"""),0.8)</f>
        <v>0.8</v>
      </c>
      <c r="J179" s="20" t="str">
        <f ca="1">IFERROR(__xludf.DUMMYFUNCTION("""COMPUTED_VALUE"""),"Осуществлена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f>
        <v>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v>
      </c>
      <c r="K179" s="20"/>
      <c r="L179" s="20"/>
      <c r="M179" s="20"/>
      <c r="N179" s="24">
        <f ca="1">IFERROR(__xludf.DUMMYFUNCTION("""COMPUTED_VALUE"""),1757.36)</f>
        <v>1757.36</v>
      </c>
      <c r="O179" s="20"/>
      <c r="P179" s="24">
        <f ca="1">IFERROR(__xludf.DUMMYFUNCTION("""COMPUTED_VALUE"""),0)</f>
        <v>0</v>
      </c>
      <c r="Q179" s="24">
        <f ca="1">IFERROR(__xludf.DUMMYFUNCTION("""COMPUTED_VALUE"""),1757.36)</f>
        <v>1757.36</v>
      </c>
      <c r="R179" s="20"/>
      <c r="S179" s="20"/>
      <c r="T179" s="20"/>
      <c r="U179" s="24">
        <f ca="1">IFERROR(__xludf.DUMMYFUNCTION("""COMPUTED_VALUE"""),1024.64)</f>
        <v>1024.6400000000001</v>
      </c>
      <c r="V179" s="24">
        <f ca="1">IFERROR(__xludf.DUMMYFUNCTION("""COMPUTED_VALUE"""),0)</f>
        <v>0</v>
      </c>
      <c r="W179" s="24">
        <f ca="1">IFERROR(__xludf.DUMMYFUNCTION("""COMPUTED_VALUE"""),0)</f>
        <v>0</v>
      </c>
      <c r="X179" s="24">
        <f ca="1">IFERROR(__xludf.DUMMYFUNCTION("""COMPUTED_VALUE"""),885.42)</f>
        <v>885.42</v>
      </c>
      <c r="Y179" s="24">
        <f ca="1">IFERROR(__xludf.DUMMYFUNCTION("""COMPUTED_VALUE"""),139.22)</f>
        <v>139.22</v>
      </c>
      <c r="Z179" s="24">
        <f ca="1">IFERROR(__xludf.DUMMYFUNCTION("""COMPUTED_VALUE"""),0)</f>
        <v>0</v>
      </c>
      <c r="AA179" s="20" t="str">
        <f ca="1">IFERROR(__xludf.DUMMYFUNCTION("""COMPUTED_VALUE"""),"10 1 02 60330")</f>
        <v>10 1 02 60330</v>
      </c>
      <c r="AB179" s="20">
        <f ca="1">IFERROR(__xludf.DUMMYFUNCTION("""COMPUTED_VALUE"""),520)</f>
        <v>520</v>
      </c>
      <c r="AC179" s="20" t="str">
        <f ca="1">IFERROR(__xludf.DUMMYFUNCTION("""COMPUTED_VALUE"""),"Не требуется")</f>
        <v>Не требуется</v>
      </c>
      <c r="AD179" s="20" t="str">
        <f ca="1">IFERROR(__xludf.DUMMYFUNCTION("""COMPUTED_VALUE"""),"-")</f>
        <v>-</v>
      </c>
      <c r="AE179" s="20" t="str">
        <f ca="1">IFERROR(__xludf.DUMMYFUNCTION("""COMPUTED_VALUE"""),"-")</f>
        <v>-</v>
      </c>
      <c r="AF179" s="24">
        <f ca="1">IFERROR(__xludf.DUMMYFUNCTION("""COMPUTED_VALUE"""),2782)</f>
        <v>2782</v>
      </c>
      <c r="AG179" s="24">
        <f ca="1">IFERROR(__xludf.DUMMYFUNCTION("""COMPUTED_VALUE"""),0)</f>
        <v>0</v>
      </c>
      <c r="AH179" s="24">
        <f ca="1">IFERROR(__xludf.DUMMYFUNCTION("""COMPUTED_VALUE"""),0)</f>
        <v>0</v>
      </c>
      <c r="AI179" s="24">
        <f ca="1">IFERROR(__xludf.DUMMYFUNCTION("""COMPUTED_VALUE"""),2642.78)</f>
        <v>2642.78</v>
      </c>
      <c r="AJ179" s="24">
        <f ca="1">IFERROR(__xludf.DUMMYFUNCTION("""COMPUTED_VALUE"""),139.22)</f>
        <v>139.22</v>
      </c>
      <c r="AK179" s="24">
        <f ca="1">IFERROR(__xludf.DUMMYFUNCTION("""COMPUTED_VALUE"""),0)</f>
        <v>0</v>
      </c>
      <c r="AL179" s="24">
        <f ca="1">IFERROR(__xludf.DUMMYFUNCTION("""COMPUTED_VALUE"""),0)</f>
        <v>0</v>
      </c>
      <c r="AM179" s="20"/>
      <c r="AN179" s="20"/>
      <c r="AO179" s="20"/>
      <c r="AP179" s="20"/>
      <c r="AQ179" s="20"/>
      <c r="AR179" s="24">
        <f ca="1">IFERROR(__xludf.DUMMYFUNCTION("""COMPUTED_VALUE"""),0)</f>
        <v>0</v>
      </c>
      <c r="AS179" s="20"/>
      <c r="AT179" s="20"/>
      <c r="AU179" s="20"/>
      <c r="AV179" s="20"/>
      <c r="AW179" s="20"/>
      <c r="AX179" s="24">
        <f ca="1">IFERROR(__xludf.DUMMYFUNCTION("""COMPUTED_VALUE"""),2782)</f>
        <v>2782</v>
      </c>
      <c r="AY179" s="24">
        <f ca="1">IFERROR(__xludf.DUMMYFUNCTION("""COMPUTED_VALUE"""),0)</f>
        <v>0</v>
      </c>
      <c r="AZ179" s="24">
        <f ca="1">IFERROR(__xludf.DUMMYFUNCTION("""COMPUTED_VALUE"""),0)</f>
        <v>0</v>
      </c>
      <c r="BA179" s="24">
        <f ca="1">IFERROR(__xludf.DUMMYFUNCTION("""COMPUTED_VALUE"""),2642.78)</f>
        <v>2642.78</v>
      </c>
      <c r="BB179" s="24">
        <f ca="1">IFERROR(__xludf.DUMMYFUNCTION("""COMPUTED_VALUE"""),139.22)</f>
        <v>139.22</v>
      </c>
      <c r="BC179" s="20"/>
      <c r="BD179" s="24">
        <f ca="1">IFERROR(__xludf.DUMMYFUNCTION("""COMPUTED_VALUE"""),0)</f>
        <v>0</v>
      </c>
      <c r="BE179" s="24">
        <f ca="1">IFERROR(__xludf.DUMMYFUNCTION("""COMPUTED_VALUE"""),0)</f>
        <v>0</v>
      </c>
      <c r="BF179" s="24">
        <f ca="1">IFERROR(__xludf.DUMMYFUNCTION("""COMPUTED_VALUE"""),0)</f>
        <v>0</v>
      </c>
      <c r="BG179" s="24">
        <f ca="1">IFERROR(__xludf.DUMMYFUNCTION("""COMPUTED_VALUE"""),0)</f>
        <v>0</v>
      </c>
      <c r="BH179" s="24">
        <f ca="1">IFERROR(__xludf.DUMMYFUNCTION("""COMPUTED_VALUE"""),0)</f>
        <v>0</v>
      </c>
      <c r="BI179" s="20"/>
      <c r="BJ179" s="24">
        <f ca="1">IFERROR(__xludf.DUMMYFUNCTION("""COMPUTED_VALUE"""),0)</f>
        <v>0</v>
      </c>
      <c r="BK179" s="24">
        <f ca="1">IFERROR(__xludf.DUMMYFUNCTION("""COMPUTED_VALUE"""),0)</f>
        <v>0</v>
      </c>
      <c r="BL179" s="24">
        <f ca="1">IFERROR(__xludf.DUMMYFUNCTION("""COMPUTED_VALUE"""),0)</f>
        <v>0</v>
      </c>
      <c r="BM179" s="24">
        <f ca="1">IFERROR(__xludf.DUMMYFUNCTION("""COMPUTED_VALUE"""),0)</f>
        <v>0</v>
      </c>
      <c r="BN179" s="24">
        <f ca="1">IFERROR(__xludf.DUMMYFUNCTION("""COMPUTED_VALUE"""),0)</f>
        <v>0</v>
      </c>
      <c r="BO179" s="20"/>
      <c r="BP179" s="24">
        <f ca="1">IFERROR(__xludf.DUMMYFUNCTION("""COMPUTED_VALUE"""),0)</f>
        <v>0</v>
      </c>
      <c r="BQ179" s="24">
        <f ca="1">IFERROR(__xludf.DUMMYFUNCTION("""COMPUTED_VALUE"""),0)</f>
        <v>0</v>
      </c>
      <c r="BR179" s="24">
        <f ca="1">IFERROR(__xludf.DUMMYFUNCTION("""COMPUTED_VALUE"""),0)</f>
        <v>0</v>
      </c>
      <c r="BS179" s="24">
        <f ca="1">IFERROR(__xludf.DUMMYFUNCTION("""COMPUTED_VALUE"""),0)</f>
        <v>0</v>
      </c>
      <c r="BT179" s="24">
        <f ca="1">IFERROR(__xludf.DUMMYFUNCTION("""COMPUTED_VALUE"""),0)</f>
        <v>0</v>
      </c>
      <c r="BU179" s="20"/>
      <c r="BV179" s="24">
        <f ca="1">IFERROR(__xludf.DUMMYFUNCTION("""COMPUTED_VALUE"""),0)</f>
        <v>0</v>
      </c>
      <c r="BW179" s="24">
        <f ca="1">IFERROR(__xludf.DUMMYFUNCTION("""COMPUTED_VALUE"""),0)</f>
        <v>0</v>
      </c>
      <c r="BX179" s="24">
        <f ca="1">IFERROR(__xludf.DUMMYFUNCTION("""COMPUTED_VALUE"""),0)</f>
        <v>0</v>
      </c>
      <c r="BY179" s="24">
        <f ca="1">IFERROR(__xludf.DUMMYFUNCTION("""COMPUTED_VALUE"""),0)</f>
        <v>0</v>
      </c>
      <c r="BZ179" s="24">
        <f ca="1">IFERROR(__xludf.DUMMYFUNCTION("""COMPUTED_VALUE"""),0)</f>
        <v>0</v>
      </c>
      <c r="CA179" s="20"/>
      <c r="CB179" s="20"/>
      <c r="CC179" s="20"/>
      <c r="CD179" s="20"/>
      <c r="CE179" s="20"/>
      <c r="CF179" s="20"/>
      <c r="CG179" s="20"/>
      <c r="CH179" s="20"/>
      <c r="CI179" s="20"/>
      <c r="CJ179" s="20"/>
      <c r="CK179" s="20"/>
      <c r="CL179" s="20"/>
      <c r="CM179" s="20"/>
      <c r="CN179" s="20"/>
      <c r="CO179" s="20"/>
      <c r="CP179" s="20"/>
      <c r="CQ179" s="20"/>
      <c r="CR179" s="20"/>
      <c r="CS179" s="20"/>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row>
    <row r="180" spans="1:123" ht="64.5" customHeight="1" x14ac:dyDescent="0.2">
      <c r="A180" s="19"/>
      <c r="B180" s="20" t="str">
        <f ca="1">IFERROR(__xludf.DUMMYFUNCTION("""COMPUTED_VALUE"""),"г.о. Коломенский")</f>
        <v>г.о. Коломенский</v>
      </c>
      <c r="C18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0" s="20" t="str">
        <f ca="1">IFERROR(__xludf.DUMMYFUNCTION("""COMPUTED_VALUE"""),"МинЖКХ")</f>
        <v>МинЖКХ</v>
      </c>
      <c r="E180" s="20" t="str">
        <f ca="1">IFERROR(__xludf.DUMMYFUNCTION("""COMPUTED_VALUE"""),"Приобретение, монтаж и ввод в эксплуатацию станции  очистки воды на ВЗУ в д. Новая, Коломенский г.о.")</f>
        <v>Приобретение, монтаж и ввод в эксплуатацию станции  очистки воды на ВЗУ в д. Новая, Коломенский г.о.</v>
      </c>
      <c r="F180" s="32" t="str">
        <f ca="1">IFERROR(__xludf.DUMMYFUNCTION("""COMPUTED_VALUE"""),"ВЗУ")</f>
        <v>ВЗУ</v>
      </c>
      <c r="G180" s="20">
        <f ca="1">IFERROR(__xludf.DUMMYFUNCTION("""COMPUTED_VALUE"""),2020)</f>
        <v>2020</v>
      </c>
      <c r="H180" s="20" t="str">
        <f ca="1">IFERROR(__xludf.DUMMYFUNCTION("""COMPUTED_VALUE"""),"Приобретение, монтаж")</f>
        <v>Приобретение, монтаж</v>
      </c>
      <c r="I180" s="20"/>
      <c r="J180" s="20"/>
      <c r="K180" s="20"/>
      <c r="L180" s="20"/>
      <c r="M180" s="20"/>
      <c r="N180" s="24">
        <f ca="1">IFERROR(__xludf.DUMMYFUNCTION("""COMPUTED_VALUE"""),0)</f>
        <v>0</v>
      </c>
      <c r="O180" s="20"/>
      <c r="P180" s="20"/>
      <c r="Q180" s="20"/>
      <c r="R180" s="20"/>
      <c r="S180" s="20"/>
      <c r="T180" s="20"/>
      <c r="U180" s="24">
        <f ca="1">IFERROR(__xludf.DUMMYFUNCTION("""COMPUTED_VALUE"""),2703.37)</f>
        <v>2703.37</v>
      </c>
      <c r="V180" s="24">
        <f ca="1">IFERROR(__xludf.DUMMYFUNCTION("""COMPUTED_VALUE"""),0)</f>
        <v>0</v>
      </c>
      <c r="W180" s="24">
        <f ca="1">IFERROR(__xludf.DUMMYFUNCTION("""COMPUTED_VALUE"""),0)</f>
        <v>0</v>
      </c>
      <c r="X180" s="24">
        <f ca="1">IFERROR(__xludf.DUMMYFUNCTION("""COMPUTED_VALUE"""),0)</f>
        <v>0</v>
      </c>
      <c r="Y180" s="24">
        <f ca="1">IFERROR(__xludf.DUMMYFUNCTION("""COMPUTED_VALUE"""),0)</f>
        <v>0</v>
      </c>
      <c r="Z180" s="24">
        <f ca="1">IFERROR(__xludf.DUMMYFUNCTION("""COMPUTED_VALUE"""),2703.37)</f>
        <v>2703.37</v>
      </c>
      <c r="AA180" s="20" t="str">
        <f ca="1">IFERROR(__xludf.DUMMYFUNCTION("""COMPUTED_VALUE"""),"10 1 02 60330")</f>
        <v>10 1 02 60330</v>
      </c>
      <c r="AB180" s="20">
        <f ca="1">IFERROR(__xludf.DUMMYFUNCTION("""COMPUTED_VALUE"""),520)</f>
        <v>520</v>
      </c>
      <c r="AC180" s="20" t="str">
        <f ca="1">IFERROR(__xludf.DUMMYFUNCTION("""COMPUTED_VALUE"""),"Не требуется")</f>
        <v>Не требуется</v>
      </c>
      <c r="AD180" s="20" t="str">
        <f ca="1">IFERROR(__xludf.DUMMYFUNCTION("""COMPUTED_VALUE"""),"-")</f>
        <v>-</v>
      </c>
      <c r="AE180" s="20" t="str">
        <f ca="1">IFERROR(__xludf.DUMMYFUNCTION("""COMPUTED_VALUE"""),"-")</f>
        <v>-</v>
      </c>
      <c r="AF180" s="24">
        <f ca="1">IFERROR(__xludf.DUMMYFUNCTION("""COMPUTED_VALUE"""),2703.37)</f>
        <v>2703.37</v>
      </c>
      <c r="AG180" s="24">
        <f ca="1">IFERROR(__xludf.DUMMYFUNCTION("""COMPUTED_VALUE"""),0)</f>
        <v>0</v>
      </c>
      <c r="AH180" s="24">
        <f ca="1">IFERROR(__xludf.DUMMYFUNCTION("""COMPUTED_VALUE"""),0)</f>
        <v>0</v>
      </c>
      <c r="AI180" s="24">
        <f ca="1">IFERROR(__xludf.DUMMYFUNCTION("""COMPUTED_VALUE"""),0)</f>
        <v>0</v>
      </c>
      <c r="AJ180" s="24">
        <f ca="1">IFERROR(__xludf.DUMMYFUNCTION("""COMPUTED_VALUE"""),0)</f>
        <v>0</v>
      </c>
      <c r="AK180" s="24">
        <f ca="1">IFERROR(__xludf.DUMMYFUNCTION("""COMPUTED_VALUE"""),2703.37)</f>
        <v>2703.37</v>
      </c>
      <c r="AL180" s="24">
        <f ca="1">IFERROR(__xludf.DUMMYFUNCTION("""COMPUTED_VALUE"""),0)</f>
        <v>0</v>
      </c>
      <c r="AM180" s="20"/>
      <c r="AN180" s="20"/>
      <c r="AO180" s="20"/>
      <c r="AP180" s="20"/>
      <c r="AQ180" s="20"/>
      <c r="AR180" s="24">
        <f ca="1">IFERROR(__xludf.DUMMYFUNCTION("""COMPUTED_VALUE"""),0)</f>
        <v>0</v>
      </c>
      <c r="AS180" s="20"/>
      <c r="AT180" s="20"/>
      <c r="AU180" s="20"/>
      <c r="AV180" s="20"/>
      <c r="AW180" s="20"/>
      <c r="AX180" s="24">
        <f ca="1">IFERROR(__xludf.DUMMYFUNCTION("""COMPUTED_VALUE"""),2703.37)</f>
        <v>2703.37</v>
      </c>
      <c r="AY180" s="24">
        <f ca="1">IFERROR(__xludf.DUMMYFUNCTION("""COMPUTED_VALUE"""),0)</f>
        <v>0</v>
      </c>
      <c r="AZ180" s="24">
        <f ca="1">IFERROR(__xludf.DUMMYFUNCTION("""COMPUTED_VALUE"""),0)</f>
        <v>0</v>
      </c>
      <c r="BA180" s="24">
        <f ca="1">IFERROR(__xludf.DUMMYFUNCTION("""COMPUTED_VALUE"""),0)</f>
        <v>0</v>
      </c>
      <c r="BB180" s="24">
        <f ca="1">IFERROR(__xludf.DUMMYFUNCTION("""COMPUTED_VALUE"""),0)</f>
        <v>0</v>
      </c>
      <c r="BC180" s="24">
        <f ca="1">IFERROR(__xludf.DUMMYFUNCTION("""COMPUTED_VALUE"""),2703.37)</f>
        <v>2703.37</v>
      </c>
      <c r="BD180" s="24">
        <f ca="1">IFERROR(__xludf.DUMMYFUNCTION("""COMPUTED_VALUE"""),0)</f>
        <v>0</v>
      </c>
      <c r="BE180" s="24">
        <f ca="1">IFERROR(__xludf.DUMMYFUNCTION("""COMPUTED_VALUE"""),0)</f>
        <v>0</v>
      </c>
      <c r="BF180" s="24">
        <f ca="1">IFERROR(__xludf.DUMMYFUNCTION("""COMPUTED_VALUE"""),0)</f>
        <v>0</v>
      </c>
      <c r="BG180" s="24">
        <f ca="1">IFERROR(__xludf.DUMMYFUNCTION("""COMPUTED_VALUE"""),0)</f>
        <v>0</v>
      </c>
      <c r="BH180" s="24">
        <f ca="1">IFERROR(__xludf.DUMMYFUNCTION("""COMPUTED_VALUE"""),0)</f>
        <v>0</v>
      </c>
      <c r="BI180" s="20"/>
      <c r="BJ180" s="24">
        <f ca="1">IFERROR(__xludf.DUMMYFUNCTION("""COMPUTED_VALUE"""),0)</f>
        <v>0</v>
      </c>
      <c r="BK180" s="24">
        <f ca="1">IFERROR(__xludf.DUMMYFUNCTION("""COMPUTED_VALUE"""),0)</f>
        <v>0</v>
      </c>
      <c r="BL180" s="24">
        <f ca="1">IFERROR(__xludf.DUMMYFUNCTION("""COMPUTED_VALUE"""),0)</f>
        <v>0</v>
      </c>
      <c r="BM180" s="24">
        <f ca="1">IFERROR(__xludf.DUMMYFUNCTION("""COMPUTED_VALUE"""),0)</f>
        <v>0</v>
      </c>
      <c r="BN180" s="24">
        <f ca="1">IFERROR(__xludf.DUMMYFUNCTION("""COMPUTED_VALUE"""),0)</f>
        <v>0</v>
      </c>
      <c r="BO180" s="20"/>
      <c r="BP180" s="24">
        <f ca="1">IFERROR(__xludf.DUMMYFUNCTION("""COMPUTED_VALUE"""),0)</f>
        <v>0</v>
      </c>
      <c r="BQ180" s="24">
        <f ca="1">IFERROR(__xludf.DUMMYFUNCTION("""COMPUTED_VALUE"""),0)</f>
        <v>0</v>
      </c>
      <c r="BR180" s="24">
        <f ca="1">IFERROR(__xludf.DUMMYFUNCTION("""COMPUTED_VALUE"""),0)</f>
        <v>0</v>
      </c>
      <c r="BS180" s="24">
        <f ca="1">IFERROR(__xludf.DUMMYFUNCTION("""COMPUTED_VALUE"""),0)</f>
        <v>0</v>
      </c>
      <c r="BT180" s="24">
        <f ca="1">IFERROR(__xludf.DUMMYFUNCTION("""COMPUTED_VALUE"""),0)</f>
        <v>0</v>
      </c>
      <c r="BU180" s="20"/>
      <c r="BV180" s="24">
        <f ca="1">IFERROR(__xludf.DUMMYFUNCTION("""COMPUTED_VALUE"""),0)</f>
        <v>0</v>
      </c>
      <c r="BW180" s="24">
        <f ca="1">IFERROR(__xludf.DUMMYFUNCTION("""COMPUTED_VALUE"""),0)</f>
        <v>0</v>
      </c>
      <c r="BX180" s="24">
        <f ca="1">IFERROR(__xludf.DUMMYFUNCTION("""COMPUTED_VALUE"""),0)</f>
        <v>0</v>
      </c>
      <c r="BY180" s="24">
        <f ca="1">IFERROR(__xludf.DUMMYFUNCTION("""COMPUTED_VALUE"""),0)</f>
        <v>0</v>
      </c>
      <c r="BZ180" s="24">
        <f ca="1">IFERROR(__xludf.DUMMYFUNCTION("""COMPUTED_VALUE"""),0)</f>
        <v>0</v>
      </c>
      <c r="CA180" s="20"/>
      <c r="CB180" s="20"/>
      <c r="CC180" s="20"/>
      <c r="CD180" s="20"/>
      <c r="CE180" s="20"/>
      <c r="CF180" s="20"/>
      <c r="CG180" s="20"/>
      <c r="CH180" s="20"/>
      <c r="CI180" s="20"/>
      <c r="CJ180" s="20"/>
      <c r="CK180" s="20"/>
      <c r="CL180" s="20"/>
      <c r="CM180" s="20"/>
      <c r="CN180" s="20"/>
      <c r="CO180" s="20"/>
      <c r="CP180" s="20"/>
      <c r="CQ180" s="20"/>
      <c r="CR180" s="20"/>
      <c r="CS180" s="20"/>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row>
    <row r="181" spans="1:123" ht="64.5" customHeight="1" x14ac:dyDescent="0.2">
      <c r="A181" s="19"/>
      <c r="B181" s="20" t="str">
        <f ca="1">IFERROR(__xludf.DUMMYFUNCTION("""COMPUTED_VALUE"""),"г.о. Коломенский")</f>
        <v>г.о. Коломенский</v>
      </c>
      <c r="C18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1" s="20" t="str">
        <f ca="1">IFERROR(__xludf.DUMMYFUNCTION("""COMPUTED_VALUE"""),"МинЖКХ")</f>
        <v>МинЖКХ</v>
      </c>
      <c r="E181" s="20" t="str">
        <f ca="1">IFERROR(__xludf.DUMMYFUNCTION("""COMPUTED_VALUE"""),"Приобретение, монтаж и ввод в эксплуатацию станции  очистки воды на ВЗУ в д. Молодинки (Новопокровское), Коломенский г.о.")</f>
        <v>Приобретение, монтаж и ввод в эксплуатацию станции  очистки воды на ВЗУ в д. Молодинки (Новопокровское), Коломенский г.о.</v>
      </c>
      <c r="F181" s="32" t="str">
        <f ca="1">IFERROR(__xludf.DUMMYFUNCTION("""COMPUTED_VALUE"""),"ВЗУ")</f>
        <v>ВЗУ</v>
      </c>
      <c r="G181" s="20">
        <f ca="1">IFERROR(__xludf.DUMMYFUNCTION("""COMPUTED_VALUE"""),2020)</f>
        <v>2020</v>
      </c>
      <c r="H181" s="20" t="str">
        <f ca="1">IFERROR(__xludf.DUMMYFUNCTION("""COMPUTED_VALUE"""),"Приобретение, монтаж")</f>
        <v>Приобретение, монтаж</v>
      </c>
      <c r="I181" s="20"/>
      <c r="J181" s="20"/>
      <c r="K181" s="20"/>
      <c r="L181" s="20"/>
      <c r="M181" s="20"/>
      <c r="N181" s="24">
        <f ca="1">IFERROR(__xludf.DUMMYFUNCTION("""COMPUTED_VALUE"""),0)</f>
        <v>0</v>
      </c>
      <c r="O181" s="20"/>
      <c r="P181" s="20"/>
      <c r="Q181" s="20"/>
      <c r="R181" s="20"/>
      <c r="S181" s="20"/>
      <c r="T181" s="20"/>
      <c r="U181" s="24">
        <f ca="1">IFERROR(__xludf.DUMMYFUNCTION("""COMPUTED_VALUE"""),1600)</f>
        <v>1600</v>
      </c>
      <c r="V181" s="24">
        <f ca="1">IFERROR(__xludf.DUMMYFUNCTION("""COMPUTED_VALUE"""),0)</f>
        <v>0</v>
      </c>
      <c r="W181" s="24">
        <f ca="1">IFERROR(__xludf.DUMMYFUNCTION("""COMPUTED_VALUE"""),0)</f>
        <v>0</v>
      </c>
      <c r="X181" s="24">
        <f ca="1">IFERROR(__xludf.DUMMYFUNCTION("""COMPUTED_VALUE"""),0)</f>
        <v>0</v>
      </c>
      <c r="Y181" s="24">
        <f ca="1">IFERROR(__xludf.DUMMYFUNCTION("""COMPUTED_VALUE"""),0)</f>
        <v>0</v>
      </c>
      <c r="Z181" s="24">
        <f ca="1">IFERROR(__xludf.DUMMYFUNCTION("""COMPUTED_VALUE"""),1600)</f>
        <v>1600</v>
      </c>
      <c r="AA181" s="20" t="str">
        <f ca="1">IFERROR(__xludf.DUMMYFUNCTION("""COMPUTED_VALUE"""),"10 1 02 60330")</f>
        <v>10 1 02 60330</v>
      </c>
      <c r="AB181" s="20">
        <f ca="1">IFERROR(__xludf.DUMMYFUNCTION("""COMPUTED_VALUE"""),520)</f>
        <v>520</v>
      </c>
      <c r="AC181" s="20" t="str">
        <f ca="1">IFERROR(__xludf.DUMMYFUNCTION("""COMPUTED_VALUE"""),"Не требуется")</f>
        <v>Не требуется</v>
      </c>
      <c r="AD181" s="20" t="str">
        <f ca="1">IFERROR(__xludf.DUMMYFUNCTION("""COMPUTED_VALUE"""),"-")</f>
        <v>-</v>
      </c>
      <c r="AE181" s="20" t="str">
        <f ca="1">IFERROR(__xludf.DUMMYFUNCTION("""COMPUTED_VALUE"""),"-")</f>
        <v>-</v>
      </c>
      <c r="AF181" s="24">
        <f ca="1">IFERROR(__xludf.DUMMYFUNCTION("""COMPUTED_VALUE"""),1600)</f>
        <v>1600</v>
      </c>
      <c r="AG181" s="24">
        <f ca="1">IFERROR(__xludf.DUMMYFUNCTION("""COMPUTED_VALUE"""),0)</f>
        <v>0</v>
      </c>
      <c r="AH181" s="24">
        <f ca="1">IFERROR(__xludf.DUMMYFUNCTION("""COMPUTED_VALUE"""),0)</f>
        <v>0</v>
      </c>
      <c r="AI181" s="24">
        <f ca="1">IFERROR(__xludf.DUMMYFUNCTION("""COMPUTED_VALUE"""),0)</f>
        <v>0</v>
      </c>
      <c r="AJ181" s="24">
        <f ca="1">IFERROR(__xludf.DUMMYFUNCTION("""COMPUTED_VALUE"""),0)</f>
        <v>0</v>
      </c>
      <c r="AK181" s="24">
        <f ca="1">IFERROR(__xludf.DUMMYFUNCTION("""COMPUTED_VALUE"""),1600)</f>
        <v>1600</v>
      </c>
      <c r="AL181" s="24">
        <f ca="1">IFERROR(__xludf.DUMMYFUNCTION("""COMPUTED_VALUE"""),0)</f>
        <v>0</v>
      </c>
      <c r="AM181" s="20"/>
      <c r="AN181" s="20"/>
      <c r="AO181" s="20"/>
      <c r="AP181" s="20"/>
      <c r="AQ181" s="20"/>
      <c r="AR181" s="24">
        <f ca="1">IFERROR(__xludf.DUMMYFUNCTION("""COMPUTED_VALUE"""),0)</f>
        <v>0</v>
      </c>
      <c r="AS181" s="20"/>
      <c r="AT181" s="20"/>
      <c r="AU181" s="20"/>
      <c r="AV181" s="20"/>
      <c r="AW181" s="20"/>
      <c r="AX181" s="24">
        <f ca="1">IFERROR(__xludf.DUMMYFUNCTION("""COMPUTED_VALUE"""),1600)</f>
        <v>1600</v>
      </c>
      <c r="AY181" s="24">
        <f ca="1">IFERROR(__xludf.DUMMYFUNCTION("""COMPUTED_VALUE"""),0)</f>
        <v>0</v>
      </c>
      <c r="AZ181" s="24">
        <f ca="1">IFERROR(__xludf.DUMMYFUNCTION("""COMPUTED_VALUE"""),0)</f>
        <v>0</v>
      </c>
      <c r="BA181" s="24">
        <f ca="1">IFERROR(__xludf.DUMMYFUNCTION("""COMPUTED_VALUE"""),0)</f>
        <v>0</v>
      </c>
      <c r="BB181" s="24">
        <f ca="1">IFERROR(__xludf.DUMMYFUNCTION("""COMPUTED_VALUE"""),0)</f>
        <v>0</v>
      </c>
      <c r="BC181" s="24">
        <f ca="1">IFERROR(__xludf.DUMMYFUNCTION("""COMPUTED_VALUE"""),1600)</f>
        <v>1600</v>
      </c>
      <c r="BD181" s="24">
        <f ca="1">IFERROR(__xludf.DUMMYFUNCTION("""COMPUTED_VALUE"""),0)</f>
        <v>0</v>
      </c>
      <c r="BE181" s="24">
        <f ca="1">IFERROR(__xludf.DUMMYFUNCTION("""COMPUTED_VALUE"""),0)</f>
        <v>0</v>
      </c>
      <c r="BF181" s="24">
        <f ca="1">IFERROR(__xludf.DUMMYFUNCTION("""COMPUTED_VALUE"""),0)</f>
        <v>0</v>
      </c>
      <c r="BG181" s="24">
        <f ca="1">IFERROR(__xludf.DUMMYFUNCTION("""COMPUTED_VALUE"""),0)</f>
        <v>0</v>
      </c>
      <c r="BH181" s="24">
        <f ca="1">IFERROR(__xludf.DUMMYFUNCTION("""COMPUTED_VALUE"""),0)</f>
        <v>0</v>
      </c>
      <c r="BI181" s="20"/>
      <c r="BJ181" s="24">
        <f ca="1">IFERROR(__xludf.DUMMYFUNCTION("""COMPUTED_VALUE"""),0)</f>
        <v>0</v>
      </c>
      <c r="BK181" s="24">
        <f ca="1">IFERROR(__xludf.DUMMYFUNCTION("""COMPUTED_VALUE"""),0)</f>
        <v>0</v>
      </c>
      <c r="BL181" s="24">
        <f ca="1">IFERROR(__xludf.DUMMYFUNCTION("""COMPUTED_VALUE"""),0)</f>
        <v>0</v>
      </c>
      <c r="BM181" s="24">
        <f ca="1">IFERROR(__xludf.DUMMYFUNCTION("""COMPUTED_VALUE"""),0)</f>
        <v>0</v>
      </c>
      <c r="BN181" s="24">
        <f ca="1">IFERROR(__xludf.DUMMYFUNCTION("""COMPUTED_VALUE"""),0)</f>
        <v>0</v>
      </c>
      <c r="BO181" s="20"/>
      <c r="BP181" s="24">
        <f ca="1">IFERROR(__xludf.DUMMYFUNCTION("""COMPUTED_VALUE"""),0)</f>
        <v>0</v>
      </c>
      <c r="BQ181" s="24">
        <f ca="1">IFERROR(__xludf.DUMMYFUNCTION("""COMPUTED_VALUE"""),0)</f>
        <v>0</v>
      </c>
      <c r="BR181" s="24">
        <f ca="1">IFERROR(__xludf.DUMMYFUNCTION("""COMPUTED_VALUE"""),0)</f>
        <v>0</v>
      </c>
      <c r="BS181" s="24">
        <f ca="1">IFERROR(__xludf.DUMMYFUNCTION("""COMPUTED_VALUE"""),0)</f>
        <v>0</v>
      </c>
      <c r="BT181" s="24">
        <f ca="1">IFERROR(__xludf.DUMMYFUNCTION("""COMPUTED_VALUE"""),0)</f>
        <v>0</v>
      </c>
      <c r="BU181" s="20"/>
      <c r="BV181" s="24">
        <f ca="1">IFERROR(__xludf.DUMMYFUNCTION("""COMPUTED_VALUE"""),0)</f>
        <v>0</v>
      </c>
      <c r="BW181" s="24">
        <f ca="1">IFERROR(__xludf.DUMMYFUNCTION("""COMPUTED_VALUE"""),0)</f>
        <v>0</v>
      </c>
      <c r="BX181" s="24">
        <f ca="1">IFERROR(__xludf.DUMMYFUNCTION("""COMPUTED_VALUE"""),0)</f>
        <v>0</v>
      </c>
      <c r="BY181" s="24">
        <f ca="1">IFERROR(__xludf.DUMMYFUNCTION("""COMPUTED_VALUE"""),0)</f>
        <v>0</v>
      </c>
      <c r="BZ181" s="24">
        <f ca="1">IFERROR(__xludf.DUMMYFUNCTION("""COMPUTED_VALUE"""),0)</f>
        <v>0</v>
      </c>
      <c r="CA181" s="20"/>
      <c r="CB181" s="20"/>
      <c r="CC181" s="20"/>
      <c r="CD181" s="20"/>
      <c r="CE181" s="20"/>
      <c r="CF181" s="20"/>
      <c r="CG181" s="20"/>
      <c r="CH181" s="20"/>
      <c r="CI181" s="20"/>
      <c r="CJ181" s="20"/>
      <c r="CK181" s="20"/>
      <c r="CL181" s="20"/>
      <c r="CM181" s="20"/>
      <c r="CN181" s="20"/>
      <c r="CO181" s="20"/>
      <c r="CP181" s="20"/>
      <c r="CQ181" s="20"/>
      <c r="CR181" s="20"/>
      <c r="CS181" s="20"/>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row>
    <row r="182" spans="1:123" ht="64.5" customHeight="1" x14ac:dyDescent="0.2">
      <c r="A182" s="19"/>
      <c r="B182" s="20" t="str">
        <f ca="1">IFERROR(__xludf.DUMMYFUNCTION("""COMPUTED_VALUE"""),"г.о. Коломенский")</f>
        <v>г.о. Коломенский</v>
      </c>
      <c r="C18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2" s="20" t="str">
        <f ca="1">IFERROR(__xludf.DUMMYFUNCTION("""COMPUTED_VALUE"""),"МинЖКХ")</f>
        <v>МинЖКХ</v>
      </c>
      <c r="E182" s="20" t="str">
        <f ca="1">IFERROR(__xludf.DUMMYFUNCTION("""COMPUTED_VALUE"""),"Приобретение, монтаж и ввод в эксплуатацию станции  очистки воды на ВЗУ в д. Колодкино, Коломенский г.о.")</f>
        <v>Приобретение, монтаж и ввод в эксплуатацию станции  очистки воды на ВЗУ в д. Колодкино, Коломенский г.о.</v>
      </c>
      <c r="F182" s="32" t="str">
        <f ca="1">IFERROR(__xludf.DUMMYFUNCTION("""COMPUTED_VALUE"""),"ВЗУ")</f>
        <v>ВЗУ</v>
      </c>
      <c r="G182" s="20">
        <f ca="1">IFERROR(__xludf.DUMMYFUNCTION("""COMPUTED_VALUE"""),2020)</f>
        <v>2020</v>
      </c>
      <c r="H182" s="20" t="str">
        <f ca="1">IFERROR(__xludf.DUMMYFUNCTION("""COMPUTED_VALUE"""),"Приобретение, монтаж")</f>
        <v>Приобретение, монтаж</v>
      </c>
      <c r="I182" s="23">
        <f ca="1">IFERROR(__xludf.DUMMYFUNCTION("""COMPUTED_VALUE"""),0.6)</f>
        <v>0.6</v>
      </c>
      <c r="J182" s="20" t="str">
        <f ca="1">IFERROR(__xludf.DUMMYFUNCTION("""COMPUTED_VALUE"""),"Доставка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f>
        <v>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v>
      </c>
      <c r="K182" s="20"/>
      <c r="L182" s="20"/>
      <c r="M182" s="20"/>
      <c r="N182" s="24">
        <f ca="1">IFERROR(__xludf.DUMMYFUNCTION("""COMPUTED_VALUE"""),1715.37)</f>
        <v>1715.37</v>
      </c>
      <c r="O182" s="20"/>
      <c r="P182" s="24">
        <f ca="1">IFERROR(__xludf.DUMMYFUNCTION("""COMPUTED_VALUE"""),0)</f>
        <v>0</v>
      </c>
      <c r="Q182" s="24">
        <f ca="1">IFERROR(__xludf.DUMMYFUNCTION("""COMPUTED_VALUE"""),1715.37)</f>
        <v>1715.37</v>
      </c>
      <c r="R182" s="20"/>
      <c r="S182" s="20"/>
      <c r="T182" s="20"/>
      <c r="U182" s="24">
        <f ca="1">IFERROR(__xludf.DUMMYFUNCTION("""COMPUTED_VALUE"""),999.96)</f>
        <v>999.96</v>
      </c>
      <c r="V182" s="24">
        <f ca="1">IFERROR(__xludf.DUMMYFUNCTION("""COMPUTED_VALUE"""),0)</f>
        <v>0</v>
      </c>
      <c r="W182" s="24">
        <f ca="1">IFERROR(__xludf.DUMMYFUNCTION("""COMPUTED_VALUE"""),0)</f>
        <v>0</v>
      </c>
      <c r="X182" s="24">
        <f ca="1">IFERROR(__xludf.DUMMYFUNCTION("""COMPUTED_VALUE"""),864.13)</f>
        <v>864.13</v>
      </c>
      <c r="Y182" s="24">
        <f ca="1">IFERROR(__xludf.DUMMYFUNCTION("""COMPUTED_VALUE"""),135.83)</f>
        <v>135.83000000000001</v>
      </c>
      <c r="Z182" s="24">
        <f ca="1">IFERROR(__xludf.DUMMYFUNCTION("""COMPUTED_VALUE"""),0)</f>
        <v>0</v>
      </c>
      <c r="AA182" s="20" t="str">
        <f ca="1">IFERROR(__xludf.DUMMYFUNCTION("""COMPUTED_VALUE"""),"10 1 02 60330")</f>
        <v>10 1 02 60330</v>
      </c>
      <c r="AB182" s="20">
        <f ca="1">IFERROR(__xludf.DUMMYFUNCTION("""COMPUTED_VALUE"""),520)</f>
        <v>520</v>
      </c>
      <c r="AC182" s="20" t="str">
        <f ca="1">IFERROR(__xludf.DUMMYFUNCTION("""COMPUTED_VALUE"""),"Не требуется")</f>
        <v>Не требуется</v>
      </c>
      <c r="AD182" s="20" t="str">
        <f ca="1">IFERROR(__xludf.DUMMYFUNCTION("""COMPUTED_VALUE"""),"-")</f>
        <v>-</v>
      </c>
      <c r="AE182" s="20" t="str">
        <f ca="1">IFERROR(__xludf.DUMMYFUNCTION("""COMPUTED_VALUE"""),"-")</f>
        <v>-</v>
      </c>
      <c r="AF182" s="24">
        <f ca="1">IFERROR(__xludf.DUMMYFUNCTION("""COMPUTED_VALUE"""),2715.33)</f>
        <v>2715.33</v>
      </c>
      <c r="AG182" s="24">
        <f ca="1">IFERROR(__xludf.DUMMYFUNCTION("""COMPUTED_VALUE"""),0)</f>
        <v>0</v>
      </c>
      <c r="AH182" s="24">
        <f ca="1">IFERROR(__xludf.DUMMYFUNCTION("""COMPUTED_VALUE"""),0)</f>
        <v>0</v>
      </c>
      <c r="AI182" s="24">
        <f ca="1">IFERROR(__xludf.DUMMYFUNCTION("""COMPUTED_VALUE"""),2579.5)</f>
        <v>2579.5</v>
      </c>
      <c r="AJ182" s="24">
        <f ca="1">IFERROR(__xludf.DUMMYFUNCTION("""COMPUTED_VALUE"""),135.83)</f>
        <v>135.83000000000001</v>
      </c>
      <c r="AK182" s="24">
        <f ca="1">IFERROR(__xludf.DUMMYFUNCTION("""COMPUTED_VALUE"""),0)</f>
        <v>0</v>
      </c>
      <c r="AL182" s="24">
        <f ca="1">IFERROR(__xludf.DUMMYFUNCTION("""COMPUTED_VALUE"""),0)</f>
        <v>0</v>
      </c>
      <c r="AM182" s="20"/>
      <c r="AN182" s="20"/>
      <c r="AO182" s="20"/>
      <c r="AP182" s="20"/>
      <c r="AQ182" s="20"/>
      <c r="AR182" s="24">
        <f ca="1">IFERROR(__xludf.DUMMYFUNCTION("""COMPUTED_VALUE"""),0)</f>
        <v>0</v>
      </c>
      <c r="AS182" s="20"/>
      <c r="AT182" s="20"/>
      <c r="AU182" s="20"/>
      <c r="AV182" s="20"/>
      <c r="AW182" s="20"/>
      <c r="AX182" s="24">
        <f ca="1">IFERROR(__xludf.DUMMYFUNCTION("""COMPUTED_VALUE"""),2715.33)</f>
        <v>2715.33</v>
      </c>
      <c r="AY182" s="24">
        <f ca="1">IFERROR(__xludf.DUMMYFUNCTION("""COMPUTED_VALUE"""),0)</f>
        <v>0</v>
      </c>
      <c r="AZ182" s="24">
        <f ca="1">IFERROR(__xludf.DUMMYFUNCTION("""COMPUTED_VALUE"""),0)</f>
        <v>0</v>
      </c>
      <c r="BA182" s="24">
        <f ca="1">IFERROR(__xludf.DUMMYFUNCTION("""COMPUTED_VALUE"""),2579.5)</f>
        <v>2579.5</v>
      </c>
      <c r="BB182" s="24">
        <f ca="1">IFERROR(__xludf.DUMMYFUNCTION("""COMPUTED_VALUE"""),135.83)</f>
        <v>135.83000000000001</v>
      </c>
      <c r="BC182" s="20"/>
      <c r="BD182" s="24">
        <f ca="1">IFERROR(__xludf.DUMMYFUNCTION("""COMPUTED_VALUE"""),0)</f>
        <v>0</v>
      </c>
      <c r="BE182" s="24">
        <f ca="1">IFERROR(__xludf.DUMMYFUNCTION("""COMPUTED_VALUE"""),0)</f>
        <v>0</v>
      </c>
      <c r="BF182" s="24">
        <f ca="1">IFERROR(__xludf.DUMMYFUNCTION("""COMPUTED_VALUE"""),0)</f>
        <v>0</v>
      </c>
      <c r="BG182" s="24">
        <f ca="1">IFERROR(__xludf.DUMMYFUNCTION("""COMPUTED_VALUE"""),0)</f>
        <v>0</v>
      </c>
      <c r="BH182" s="24">
        <f ca="1">IFERROR(__xludf.DUMMYFUNCTION("""COMPUTED_VALUE"""),0)</f>
        <v>0</v>
      </c>
      <c r="BI182" s="20"/>
      <c r="BJ182" s="24">
        <f ca="1">IFERROR(__xludf.DUMMYFUNCTION("""COMPUTED_VALUE"""),0)</f>
        <v>0</v>
      </c>
      <c r="BK182" s="24">
        <f ca="1">IFERROR(__xludf.DUMMYFUNCTION("""COMPUTED_VALUE"""),0)</f>
        <v>0</v>
      </c>
      <c r="BL182" s="24">
        <f ca="1">IFERROR(__xludf.DUMMYFUNCTION("""COMPUTED_VALUE"""),0)</f>
        <v>0</v>
      </c>
      <c r="BM182" s="24">
        <f ca="1">IFERROR(__xludf.DUMMYFUNCTION("""COMPUTED_VALUE"""),0)</f>
        <v>0</v>
      </c>
      <c r="BN182" s="24">
        <f ca="1">IFERROR(__xludf.DUMMYFUNCTION("""COMPUTED_VALUE"""),0)</f>
        <v>0</v>
      </c>
      <c r="BO182" s="20"/>
      <c r="BP182" s="24">
        <f ca="1">IFERROR(__xludf.DUMMYFUNCTION("""COMPUTED_VALUE"""),0)</f>
        <v>0</v>
      </c>
      <c r="BQ182" s="24">
        <f ca="1">IFERROR(__xludf.DUMMYFUNCTION("""COMPUTED_VALUE"""),0)</f>
        <v>0</v>
      </c>
      <c r="BR182" s="24">
        <f ca="1">IFERROR(__xludf.DUMMYFUNCTION("""COMPUTED_VALUE"""),0)</f>
        <v>0</v>
      </c>
      <c r="BS182" s="24">
        <f ca="1">IFERROR(__xludf.DUMMYFUNCTION("""COMPUTED_VALUE"""),0)</f>
        <v>0</v>
      </c>
      <c r="BT182" s="24">
        <f ca="1">IFERROR(__xludf.DUMMYFUNCTION("""COMPUTED_VALUE"""),0)</f>
        <v>0</v>
      </c>
      <c r="BU182" s="20"/>
      <c r="BV182" s="24">
        <f ca="1">IFERROR(__xludf.DUMMYFUNCTION("""COMPUTED_VALUE"""),0)</f>
        <v>0</v>
      </c>
      <c r="BW182" s="24">
        <f ca="1">IFERROR(__xludf.DUMMYFUNCTION("""COMPUTED_VALUE"""),0)</f>
        <v>0</v>
      </c>
      <c r="BX182" s="24">
        <f ca="1">IFERROR(__xludf.DUMMYFUNCTION("""COMPUTED_VALUE"""),0)</f>
        <v>0</v>
      </c>
      <c r="BY182" s="24">
        <f ca="1">IFERROR(__xludf.DUMMYFUNCTION("""COMPUTED_VALUE"""),0)</f>
        <v>0</v>
      </c>
      <c r="BZ182" s="24">
        <f ca="1">IFERROR(__xludf.DUMMYFUNCTION("""COMPUTED_VALUE"""),0)</f>
        <v>0</v>
      </c>
      <c r="CA182" s="20"/>
      <c r="CB182" s="20"/>
      <c r="CC182" s="20"/>
      <c r="CD182" s="20"/>
      <c r="CE182" s="20"/>
      <c r="CF182" s="20"/>
      <c r="CG182" s="20"/>
      <c r="CH182" s="20"/>
      <c r="CI182" s="20"/>
      <c r="CJ182" s="20"/>
      <c r="CK182" s="20"/>
      <c r="CL182" s="20"/>
      <c r="CM182" s="20"/>
      <c r="CN182" s="20"/>
      <c r="CO182" s="20"/>
      <c r="CP182" s="20"/>
      <c r="CQ182" s="20"/>
      <c r="CR182" s="20"/>
      <c r="CS182" s="20"/>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row>
    <row r="183" spans="1:123" ht="64.5" customHeight="1" x14ac:dyDescent="0.2">
      <c r="A183" s="19"/>
      <c r="B183" s="20" t="str">
        <f ca="1">IFERROR(__xludf.DUMMYFUNCTION("""COMPUTED_VALUE"""),"г.о. Коломенский")</f>
        <v>г.о. Коломенский</v>
      </c>
      <c r="C18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3" s="20" t="str">
        <f ca="1">IFERROR(__xludf.DUMMYFUNCTION("""COMPUTED_VALUE"""),"МинЖКХ")</f>
        <v>МинЖКХ</v>
      </c>
      <c r="E183" s="20" t="str">
        <f ca="1">IFERROR(__xludf.DUMMYFUNCTION("""COMPUTED_VALUE"""),"Приобретение, монтаж и ввод в эксплуатацию станции  очистки воды на ВЗУ в д. Туменское, Коломенский г.о.")</f>
        <v>Приобретение, монтаж и ввод в эксплуатацию станции  очистки воды на ВЗУ в д. Туменское, Коломенский г.о.</v>
      </c>
      <c r="F183" s="32" t="str">
        <f ca="1">IFERROR(__xludf.DUMMYFUNCTION("""COMPUTED_VALUE"""),"ВЗУ")</f>
        <v>ВЗУ</v>
      </c>
      <c r="G183" s="20">
        <f ca="1">IFERROR(__xludf.DUMMYFUNCTION("""COMPUTED_VALUE"""),2020)</f>
        <v>2020</v>
      </c>
      <c r="H183" s="20" t="str">
        <f ca="1">IFERROR(__xludf.DUMMYFUNCTION("""COMPUTED_VALUE"""),"Приобретение, монтаж")</f>
        <v>Приобретение, монтаж</v>
      </c>
      <c r="I183" s="23">
        <f ca="1">IFERROR(__xludf.DUMMYFUNCTION("""COMPUTED_VALUE"""),0.5)</f>
        <v>0.5</v>
      </c>
      <c r="J183" s="20" t="str">
        <f ca="1">IFERROR(__xludf.DUMMYFUNCTION("""COMPUTED_VALUE"""),"Доставка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f>
        <v>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v>
      </c>
      <c r="K183" s="20"/>
      <c r="L183" s="20"/>
      <c r="M183" s="20"/>
      <c r="N183" s="24">
        <f ca="1">IFERROR(__xludf.DUMMYFUNCTION("""COMPUTED_VALUE"""),1633.28)</f>
        <v>1633.28</v>
      </c>
      <c r="O183" s="20"/>
      <c r="P183" s="24">
        <f ca="1">IFERROR(__xludf.DUMMYFUNCTION("""COMPUTED_VALUE"""),0)</f>
        <v>0</v>
      </c>
      <c r="Q183" s="24">
        <f ca="1">IFERROR(__xludf.DUMMYFUNCTION("""COMPUTED_VALUE"""),1633.28)</f>
        <v>1633.28</v>
      </c>
      <c r="R183" s="20"/>
      <c r="S183" s="20"/>
      <c r="T183" s="20"/>
      <c r="U183" s="24">
        <f ca="1">IFERROR(__xludf.DUMMYFUNCTION("""COMPUTED_VALUE"""),971.75)</f>
        <v>971.75</v>
      </c>
      <c r="V183" s="24">
        <f ca="1">IFERROR(__xludf.DUMMYFUNCTION("""COMPUTED_VALUE"""),0)</f>
        <v>0</v>
      </c>
      <c r="W183" s="24">
        <f ca="1">IFERROR(__xludf.DUMMYFUNCTION("""COMPUTED_VALUE"""),0)</f>
        <v>0</v>
      </c>
      <c r="X183" s="24">
        <f ca="1">IFERROR(__xludf.DUMMYFUNCTION("""COMPUTED_VALUE"""),841.39)</f>
        <v>841.39</v>
      </c>
      <c r="Y183" s="24">
        <f ca="1">IFERROR(__xludf.DUMMYFUNCTION("""COMPUTED_VALUE"""),130.36)</f>
        <v>130.36000000000001</v>
      </c>
      <c r="Z183" s="24">
        <f ca="1">IFERROR(__xludf.DUMMYFUNCTION("""COMPUTED_VALUE"""),0)</f>
        <v>0</v>
      </c>
      <c r="AA183" s="20" t="str">
        <f ca="1">IFERROR(__xludf.DUMMYFUNCTION("""COMPUTED_VALUE"""),"10 1 02 60330")</f>
        <v>10 1 02 60330</v>
      </c>
      <c r="AB183" s="20">
        <f ca="1">IFERROR(__xludf.DUMMYFUNCTION("""COMPUTED_VALUE"""),520)</f>
        <v>520</v>
      </c>
      <c r="AC183" s="20" t="str">
        <f ca="1">IFERROR(__xludf.DUMMYFUNCTION("""COMPUTED_VALUE"""),"Не требуется")</f>
        <v>Не требуется</v>
      </c>
      <c r="AD183" s="20" t="str">
        <f ca="1">IFERROR(__xludf.DUMMYFUNCTION("""COMPUTED_VALUE"""),"-")</f>
        <v>-</v>
      </c>
      <c r="AE183" s="20" t="str">
        <f ca="1">IFERROR(__xludf.DUMMYFUNCTION("""COMPUTED_VALUE"""),"-")</f>
        <v>-</v>
      </c>
      <c r="AF183" s="24">
        <f ca="1">IFERROR(__xludf.DUMMYFUNCTION("""COMPUTED_VALUE"""),2605.03)</f>
        <v>2605.0300000000002</v>
      </c>
      <c r="AG183" s="24">
        <f ca="1">IFERROR(__xludf.DUMMYFUNCTION("""COMPUTED_VALUE"""),0)</f>
        <v>0</v>
      </c>
      <c r="AH183" s="24">
        <f ca="1">IFERROR(__xludf.DUMMYFUNCTION("""COMPUTED_VALUE"""),0)</f>
        <v>0</v>
      </c>
      <c r="AI183" s="24">
        <f ca="1">IFERROR(__xludf.DUMMYFUNCTION("""COMPUTED_VALUE"""),2474.67)</f>
        <v>2474.67</v>
      </c>
      <c r="AJ183" s="24">
        <f ca="1">IFERROR(__xludf.DUMMYFUNCTION("""COMPUTED_VALUE"""),130.36)</f>
        <v>130.36000000000001</v>
      </c>
      <c r="AK183" s="24">
        <f ca="1">IFERROR(__xludf.DUMMYFUNCTION("""COMPUTED_VALUE"""),0)</f>
        <v>0</v>
      </c>
      <c r="AL183" s="24">
        <f ca="1">IFERROR(__xludf.DUMMYFUNCTION("""COMPUTED_VALUE"""),0)</f>
        <v>0</v>
      </c>
      <c r="AM183" s="20"/>
      <c r="AN183" s="20"/>
      <c r="AO183" s="20"/>
      <c r="AP183" s="20"/>
      <c r="AQ183" s="20"/>
      <c r="AR183" s="24">
        <f ca="1">IFERROR(__xludf.DUMMYFUNCTION("""COMPUTED_VALUE"""),0)</f>
        <v>0</v>
      </c>
      <c r="AS183" s="20"/>
      <c r="AT183" s="20"/>
      <c r="AU183" s="20"/>
      <c r="AV183" s="20"/>
      <c r="AW183" s="20"/>
      <c r="AX183" s="24">
        <f ca="1">IFERROR(__xludf.DUMMYFUNCTION("""COMPUTED_VALUE"""),2605.03)</f>
        <v>2605.0300000000002</v>
      </c>
      <c r="AY183" s="24">
        <f ca="1">IFERROR(__xludf.DUMMYFUNCTION("""COMPUTED_VALUE"""),0)</f>
        <v>0</v>
      </c>
      <c r="AZ183" s="24">
        <f ca="1">IFERROR(__xludf.DUMMYFUNCTION("""COMPUTED_VALUE"""),0)</f>
        <v>0</v>
      </c>
      <c r="BA183" s="24">
        <f ca="1">IFERROR(__xludf.DUMMYFUNCTION("""COMPUTED_VALUE"""),2474.67)</f>
        <v>2474.67</v>
      </c>
      <c r="BB183" s="24">
        <f ca="1">IFERROR(__xludf.DUMMYFUNCTION("""COMPUTED_VALUE"""),130.36)</f>
        <v>130.36000000000001</v>
      </c>
      <c r="BC183" s="20"/>
      <c r="BD183" s="24">
        <f ca="1">IFERROR(__xludf.DUMMYFUNCTION("""COMPUTED_VALUE"""),0)</f>
        <v>0</v>
      </c>
      <c r="BE183" s="24">
        <f ca="1">IFERROR(__xludf.DUMMYFUNCTION("""COMPUTED_VALUE"""),0)</f>
        <v>0</v>
      </c>
      <c r="BF183" s="24">
        <f ca="1">IFERROR(__xludf.DUMMYFUNCTION("""COMPUTED_VALUE"""),0)</f>
        <v>0</v>
      </c>
      <c r="BG183" s="24">
        <f ca="1">IFERROR(__xludf.DUMMYFUNCTION("""COMPUTED_VALUE"""),0)</f>
        <v>0</v>
      </c>
      <c r="BH183" s="24">
        <f ca="1">IFERROR(__xludf.DUMMYFUNCTION("""COMPUTED_VALUE"""),0)</f>
        <v>0</v>
      </c>
      <c r="BI183" s="20"/>
      <c r="BJ183" s="24">
        <f ca="1">IFERROR(__xludf.DUMMYFUNCTION("""COMPUTED_VALUE"""),0)</f>
        <v>0</v>
      </c>
      <c r="BK183" s="24">
        <f ca="1">IFERROR(__xludf.DUMMYFUNCTION("""COMPUTED_VALUE"""),0)</f>
        <v>0</v>
      </c>
      <c r="BL183" s="24">
        <f ca="1">IFERROR(__xludf.DUMMYFUNCTION("""COMPUTED_VALUE"""),0)</f>
        <v>0</v>
      </c>
      <c r="BM183" s="24">
        <f ca="1">IFERROR(__xludf.DUMMYFUNCTION("""COMPUTED_VALUE"""),0)</f>
        <v>0</v>
      </c>
      <c r="BN183" s="24">
        <f ca="1">IFERROR(__xludf.DUMMYFUNCTION("""COMPUTED_VALUE"""),0)</f>
        <v>0</v>
      </c>
      <c r="BO183" s="20"/>
      <c r="BP183" s="24">
        <f ca="1">IFERROR(__xludf.DUMMYFUNCTION("""COMPUTED_VALUE"""),0)</f>
        <v>0</v>
      </c>
      <c r="BQ183" s="24">
        <f ca="1">IFERROR(__xludf.DUMMYFUNCTION("""COMPUTED_VALUE"""),0)</f>
        <v>0</v>
      </c>
      <c r="BR183" s="24">
        <f ca="1">IFERROR(__xludf.DUMMYFUNCTION("""COMPUTED_VALUE"""),0)</f>
        <v>0</v>
      </c>
      <c r="BS183" s="24">
        <f ca="1">IFERROR(__xludf.DUMMYFUNCTION("""COMPUTED_VALUE"""),0)</f>
        <v>0</v>
      </c>
      <c r="BT183" s="24">
        <f ca="1">IFERROR(__xludf.DUMMYFUNCTION("""COMPUTED_VALUE"""),0)</f>
        <v>0</v>
      </c>
      <c r="BU183" s="20"/>
      <c r="BV183" s="24">
        <f ca="1">IFERROR(__xludf.DUMMYFUNCTION("""COMPUTED_VALUE"""),0)</f>
        <v>0</v>
      </c>
      <c r="BW183" s="24">
        <f ca="1">IFERROR(__xludf.DUMMYFUNCTION("""COMPUTED_VALUE"""),0)</f>
        <v>0</v>
      </c>
      <c r="BX183" s="24">
        <f ca="1">IFERROR(__xludf.DUMMYFUNCTION("""COMPUTED_VALUE"""),0)</f>
        <v>0</v>
      </c>
      <c r="BY183" s="24">
        <f ca="1">IFERROR(__xludf.DUMMYFUNCTION("""COMPUTED_VALUE"""),0)</f>
        <v>0</v>
      </c>
      <c r="BZ183" s="24">
        <f ca="1">IFERROR(__xludf.DUMMYFUNCTION("""COMPUTED_VALUE"""),0)</f>
        <v>0</v>
      </c>
      <c r="CA183" s="20"/>
      <c r="CB183" s="20"/>
      <c r="CC183" s="20"/>
      <c r="CD183" s="20"/>
      <c r="CE183" s="20"/>
      <c r="CF183" s="20"/>
      <c r="CG183" s="20"/>
      <c r="CH183" s="20"/>
      <c r="CI183" s="20"/>
      <c r="CJ183" s="20"/>
      <c r="CK183" s="20"/>
      <c r="CL183" s="20"/>
      <c r="CM183" s="20"/>
      <c r="CN183" s="20"/>
      <c r="CO183" s="20"/>
      <c r="CP183" s="20"/>
      <c r="CQ183" s="20"/>
      <c r="CR183" s="20"/>
      <c r="CS183" s="20"/>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row>
    <row r="184" spans="1:123" ht="64.5" customHeight="1" x14ac:dyDescent="0.2">
      <c r="A184" s="19"/>
      <c r="B184" s="20" t="str">
        <f ca="1">IFERROR(__xludf.DUMMYFUNCTION("""COMPUTED_VALUE"""),"г.о. Коломенский")</f>
        <v>г.о. Коломенский</v>
      </c>
      <c r="C18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4" s="20" t="str">
        <f ca="1">IFERROR(__xludf.DUMMYFUNCTION("""COMPUTED_VALUE"""),"МинЖКХ")</f>
        <v>МинЖКХ</v>
      </c>
      <c r="E184" s="20" t="str">
        <f ca="1">IFERROR(__xludf.DUMMYFUNCTION("""COMPUTED_VALUE"""),"Приобретение, монтаж и ввод в эксплуатацию станции  очистки воды на ВЗУ в с. Никульское, Коломенский г.о.")</f>
        <v>Приобретение, монтаж и ввод в эксплуатацию станции  очистки воды на ВЗУ в с. Никульское, Коломенский г.о.</v>
      </c>
      <c r="F184" s="32" t="str">
        <f ca="1">IFERROR(__xludf.DUMMYFUNCTION("""COMPUTED_VALUE"""),"ВЗУ")</f>
        <v>ВЗУ</v>
      </c>
      <c r="G184" s="20">
        <f ca="1">IFERROR(__xludf.DUMMYFUNCTION("""COMPUTED_VALUE"""),2020)</f>
        <v>2020</v>
      </c>
      <c r="H184" s="20" t="str">
        <f ca="1">IFERROR(__xludf.DUMMYFUNCTION("""COMPUTED_VALUE"""),"Приобретение, монтаж")</f>
        <v>Приобретение, монтаж</v>
      </c>
      <c r="I184" s="23">
        <f ca="1">IFERROR(__xludf.DUMMYFUNCTION("""COMPUTED_VALUE"""),0.95)</f>
        <v>0.95</v>
      </c>
      <c r="J184" s="20" t="str">
        <f ca="1">IFERROR(__xludf.DUMMYFUNCTION("""COMPUTED_VALUE"""),"Монтаж станции осуществлен. Решается вопрос замены насосного оборудования для достижения плановой производительности.")</f>
        <v>Монтаж станции осуществлен. Решается вопрос замены насосного оборудования для достижения плановой производительности.</v>
      </c>
      <c r="K184" s="20"/>
      <c r="L184" s="20"/>
      <c r="M184" s="20"/>
      <c r="N184" s="24">
        <f ca="1">IFERROR(__xludf.DUMMYFUNCTION("""COMPUTED_VALUE"""),1493.71)</f>
        <v>1493.71</v>
      </c>
      <c r="O184" s="20"/>
      <c r="P184" s="24">
        <f ca="1">IFERROR(__xludf.DUMMYFUNCTION("""COMPUTED_VALUE"""),0)</f>
        <v>0</v>
      </c>
      <c r="Q184" s="24">
        <f ca="1">IFERROR(__xludf.DUMMYFUNCTION("""COMPUTED_VALUE"""),1493.71)</f>
        <v>1493.71</v>
      </c>
      <c r="R184" s="20"/>
      <c r="S184" s="20"/>
      <c r="T184" s="20"/>
      <c r="U184" s="24">
        <f ca="1">IFERROR(__xludf.DUMMYFUNCTION("""COMPUTED_VALUE"""),78.68)</f>
        <v>78.680000000000007</v>
      </c>
      <c r="V184" s="24">
        <f ca="1">IFERROR(__xludf.DUMMYFUNCTION("""COMPUTED_VALUE"""),0)</f>
        <v>0</v>
      </c>
      <c r="W184" s="24">
        <f ca="1">IFERROR(__xludf.DUMMYFUNCTION("""COMPUTED_VALUE"""),0)</f>
        <v>0</v>
      </c>
      <c r="X184" s="24">
        <f ca="1">IFERROR(__xludf.DUMMYFUNCTION("""COMPUTED_VALUE"""),0.0299999999999727)</f>
        <v>2.9999999999972701E-2</v>
      </c>
      <c r="Y184" s="24">
        <f ca="1">IFERROR(__xludf.DUMMYFUNCTION("""COMPUTED_VALUE"""),78.65)</f>
        <v>78.650000000000006</v>
      </c>
      <c r="Z184" s="24">
        <f ca="1">IFERROR(__xludf.DUMMYFUNCTION("""COMPUTED_VALUE"""),0)</f>
        <v>0</v>
      </c>
      <c r="AA184" s="20" t="str">
        <f ca="1">IFERROR(__xludf.DUMMYFUNCTION("""COMPUTED_VALUE"""),"10 1 02 60330")</f>
        <v>10 1 02 60330</v>
      </c>
      <c r="AB184" s="20">
        <f ca="1">IFERROR(__xludf.DUMMYFUNCTION("""COMPUTED_VALUE"""),520)</f>
        <v>520</v>
      </c>
      <c r="AC184" s="20" t="str">
        <f ca="1">IFERROR(__xludf.DUMMYFUNCTION("""COMPUTED_VALUE"""),"Не требуется")</f>
        <v>Не требуется</v>
      </c>
      <c r="AD184" s="20" t="str">
        <f ca="1">IFERROR(__xludf.DUMMYFUNCTION("""COMPUTED_VALUE"""),"-")</f>
        <v>-</v>
      </c>
      <c r="AE184" s="20" t="str">
        <f ca="1">IFERROR(__xludf.DUMMYFUNCTION("""COMPUTED_VALUE"""),"-")</f>
        <v>-</v>
      </c>
      <c r="AF184" s="24">
        <f ca="1">IFERROR(__xludf.DUMMYFUNCTION("""COMPUTED_VALUE"""),1572.39)</f>
        <v>1572.39</v>
      </c>
      <c r="AG184" s="24">
        <f ca="1">IFERROR(__xludf.DUMMYFUNCTION("""COMPUTED_VALUE"""),0)</f>
        <v>0</v>
      </c>
      <c r="AH184" s="24">
        <f ca="1">IFERROR(__xludf.DUMMYFUNCTION("""COMPUTED_VALUE"""),0)</f>
        <v>0</v>
      </c>
      <c r="AI184" s="24">
        <f ca="1">IFERROR(__xludf.DUMMYFUNCTION("""COMPUTED_VALUE"""),1493.74)</f>
        <v>1493.74</v>
      </c>
      <c r="AJ184" s="24">
        <f ca="1">IFERROR(__xludf.DUMMYFUNCTION("""COMPUTED_VALUE"""),78.65)</f>
        <v>78.650000000000006</v>
      </c>
      <c r="AK184" s="24">
        <f ca="1">IFERROR(__xludf.DUMMYFUNCTION("""COMPUTED_VALUE"""),0)</f>
        <v>0</v>
      </c>
      <c r="AL184" s="24">
        <f ca="1">IFERROR(__xludf.DUMMYFUNCTION("""COMPUTED_VALUE"""),0)</f>
        <v>0</v>
      </c>
      <c r="AM184" s="20"/>
      <c r="AN184" s="20"/>
      <c r="AO184" s="20"/>
      <c r="AP184" s="20"/>
      <c r="AQ184" s="20"/>
      <c r="AR184" s="24">
        <f ca="1">IFERROR(__xludf.DUMMYFUNCTION("""COMPUTED_VALUE"""),0)</f>
        <v>0</v>
      </c>
      <c r="AS184" s="20"/>
      <c r="AT184" s="20"/>
      <c r="AU184" s="20"/>
      <c r="AV184" s="20"/>
      <c r="AW184" s="20"/>
      <c r="AX184" s="24">
        <f ca="1">IFERROR(__xludf.DUMMYFUNCTION("""COMPUTED_VALUE"""),1572.39)</f>
        <v>1572.39</v>
      </c>
      <c r="AY184" s="24">
        <f ca="1">IFERROR(__xludf.DUMMYFUNCTION("""COMPUTED_VALUE"""),0)</f>
        <v>0</v>
      </c>
      <c r="AZ184" s="24">
        <f ca="1">IFERROR(__xludf.DUMMYFUNCTION("""COMPUTED_VALUE"""),0)</f>
        <v>0</v>
      </c>
      <c r="BA184" s="24">
        <f ca="1">IFERROR(__xludf.DUMMYFUNCTION("""COMPUTED_VALUE"""),1493.74)</f>
        <v>1493.74</v>
      </c>
      <c r="BB184" s="24">
        <f ca="1">IFERROR(__xludf.DUMMYFUNCTION("""COMPUTED_VALUE"""),78.65)</f>
        <v>78.650000000000006</v>
      </c>
      <c r="BC184" s="20"/>
      <c r="BD184" s="24">
        <f ca="1">IFERROR(__xludf.DUMMYFUNCTION("""COMPUTED_VALUE"""),0)</f>
        <v>0</v>
      </c>
      <c r="BE184" s="24">
        <f ca="1">IFERROR(__xludf.DUMMYFUNCTION("""COMPUTED_VALUE"""),0)</f>
        <v>0</v>
      </c>
      <c r="BF184" s="24">
        <f ca="1">IFERROR(__xludf.DUMMYFUNCTION("""COMPUTED_VALUE"""),0)</f>
        <v>0</v>
      </c>
      <c r="BG184" s="24">
        <f ca="1">IFERROR(__xludf.DUMMYFUNCTION("""COMPUTED_VALUE"""),0)</f>
        <v>0</v>
      </c>
      <c r="BH184" s="24">
        <f ca="1">IFERROR(__xludf.DUMMYFUNCTION("""COMPUTED_VALUE"""),0)</f>
        <v>0</v>
      </c>
      <c r="BI184" s="20"/>
      <c r="BJ184" s="24">
        <f ca="1">IFERROR(__xludf.DUMMYFUNCTION("""COMPUTED_VALUE"""),0)</f>
        <v>0</v>
      </c>
      <c r="BK184" s="24">
        <f ca="1">IFERROR(__xludf.DUMMYFUNCTION("""COMPUTED_VALUE"""),0)</f>
        <v>0</v>
      </c>
      <c r="BL184" s="24">
        <f ca="1">IFERROR(__xludf.DUMMYFUNCTION("""COMPUTED_VALUE"""),0)</f>
        <v>0</v>
      </c>
      <c r="BM184" s="24">
        <f ca="1">IFERROR(__xludf.DUMMYFUNCTION("""COMPUTED_VALUE"""),0)</f>
        <v>0</v>
      </c>
      <c r="BN184" s="24">
        <f ca="1">IFERROR(__xludf.DUMMYFUNCTION("""COMPUTED_VALUE"""),0)</f>
        <v>0</v>
      </c>
      <c r="BO184" s="20"/>
      <c r="BP184" s="24">
        <f ca="1">IFERROR(__xludf.DUMMYFUNCTION("""COMPUTED_VALUE"""),0)</f>
        <v>0</v>
      </c>
      <c r="BQ184" s="24">
        <f ca="1">IFERROR(__xludf.DUMMYFUNCTION("""COMPUTED_VALUE"""),0)</f>
        <v>0</v>
      </c>
      <c r="BR184" s="24">
        <f ca="1">IFERROR(__xludf.DUMMYFUNCTION("""COMPUTED_VALUE"""),0)</f>
        <v>0</v>
      </c>
      <c r="BS184" s="24">
        <f ca="1">IFERROR(__xludf.DUMMYFUNCTION("""COMPUTED_VALUE"""),0)</f>
        <v>0</v>
      </c>
      <c r="BT184" s="24">
        <f ca="1">IFERROR(__xludf.DUMMYFUNCTION("""COMPUTED_VALUE"""),0)</f>
        <v>0</v>
      </c>
      <c r="BU184" s="20"/>
      <c r="BV184" s="24">
        <f ca="1">IFERROR(__xludf.DUMMYFUNCTION("""COMPUTED_VALUE"""),0)</f>
        <v>0</v>
      </c>
      <c r="BW184" s="24">
        <f ca="1">IFERROR(__xludf.DUMMYFUNCTION("""COMPUTED_VALUE"""),0)</f>
        <v>0</v>
      </c>
      <c r="BX184" s="24">
        <f ca="1">IFERROR(__xludf.DUMMYFUNCTION("""COMPUTED_VALUE"""),0)</f>
        <v>0</v>
      </c>
      <c r="BY184" s="24">
        <f ca="1">IFERROR(__xludf.DUMMYFUNCTION("""COMPUTED_VALUE"""),0)</f>
        <v>0</v>
      </c>
      <c r="BZ184" s="24">
        <f ca="1">IFERROR(__xludf.DUMMYFUNCTION("""COMPUTED_VALUE"""),0)</f>
        <v>0</v>
      </c>
      <c r="CA184" s="20"/>
      <c r="CB184" s="20"/>
      <c r="CC184" s="20"/>
      <c r="CD184" s="20"/>
      <c r="CE184" s="20"/>
      <c r="CF184" s="20"/>
      <c r="CG184" s="20"/>
      <c r="CH184" s="20"/>
      <c r="CI184" s="20"/>
      <c r="CJ184" s="20"/>
      <c r="CK184" s="20"/>
      <c r="CL184" s="20"/>
      <c r="CM184" s="20"/>
      <c r="CN184" s="20"/>
      <c r="CO184" s="20"/>
      <c r="CP184" s="20"/>
      <c r="CQ184" s="20"/>
      <c r="CR184" s="20"/>
      <c r="CS184" s="20"/>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row>
    <row r="185" spans="1:123" ht="64.5" customHeight="1" x14ac:dyDescent="0.2">
      <c r="A185" s="19"/>
      <c r="B185" s="20" t="str">
        <f ca="1">IFERROR(__xludf.DUMMYFUNCTION("""COMPUTED_VALUE"""),"г.о. Коломенский")</f>
        <v>г.о. Коломенский</v>
      </c>
      <c r="C18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5" s="20" t="str">
        <f ca="1">IFERROR(__xludf.DUMMYFUNCTION("""COMPUTED_VALUE"""),"МинЖКХ")</f>
        <v>МинЖКХ</v>
      </c>
      <c r="E185" s="20" t="str">
        <f ca="1">IFERROR(__xludf.DUMMYFUNCTION("""COMPUTED_VALUE"""),"Приобретение, монтаж и ввод в эксплуатацию станции  очистки воды на ВЗУ в д. Лыково, Коломенский г.о.")</f>
        <v>Приобретение, монтаж и ввод в эксплуатацию станции  очистки воды на ВЗУ в д. Лыково, Коломенский г.о.</v>
      </c>
      <c r="F185" s="32" t="str">
        <f ca="1">IFERROR(__xludf.DUMMYFUNCTION("""COMPUTED_VALUE"""),"ВЗУ")</f>
        <v>ВЗУ</v>
      </c>
      <c r="G185" s="20">
        <f ca="1">IFERROR(__xludf.DUMMYFUNCTION("""COMPUTED_VALUE"""),2020)</f>
        <v>2020</v>
      </c>
      <c r="H185" s="20" t="str">
        <f ca="1">IFERROR(__xludf.DUMMYFUNCTION("""COMPUTED_VALUE"""),"Приобретение, монтаж")</f>
        <v>Приобретение, монтаж</v>
      </c>
      <c r="I185" s="23">
        <f ca="1">IFERROR(__xludf.DUMMYFUNCTION("""COMPUTED_VALUE"""),0.5)</f>
        <v>0.5</v>
      </c>
      <c r="J185" s="20" t="str">
        <f ca="1">IFERROR(__xludf.DUMMYFUNCTION("""COMPUTED_VALUE"""),"Доставка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f>
        <v>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v>
      </c>
      <c r="K185" s="20"/>
      <c r="L185" s="20"/>
      <c r="M185" s="20"/>
      <c r="N185" s="24">
        <f ca="1">IFERROR(__xludf.DUMMYFUNCTION("""COMPUTED_VALUE"""),1721.91)</f>
        <v>1721.91</v>
      </c>
      <c r="O185" s="20"/>
      <c r="P185" s="24">
        <f ca="1">IFERROR(__xludf.DUMMYFUNCTION("""COMPUTED_VALUE"""),0)</f>
        <v>0</v>
      </c>
      <c r="Q185" s="24">
        <f ca="1">IFERROR(__xludf.DUMMYFUNCTION("""COMPUTED_VALUE"""),1721.91)</f>
        <v>1721.91</v>
      </c>
      <c r="R185" s="20"/>
      <c r="S185" s="20"/>
      <c r="T185" s="20"/>
      <c r="U185" s="24">
        <f ca="1">IFERROR(__xludf.DUMMYFUNCTION("""COMPUTED_VALUE"""),1026.72999999999)</f>
        <v>1026.72999999999</v>
      </c>
      <c r="V185" s="24">
        <f ca="1">IFERROR(__xludf.DUMMYFUNCTION("""COMPUTED_VALUE"""),0)</f>
        <v>0</v>
      </c>
      <c r="W185" s="24">
        <f ca="1">IFERROR(__xludf.DUMMYFUNCTION("""COMPUTED_VALUE"""),0)</f>
        <v>0</v>
      </c>
      <c r="X185" s="24">
        <f ca="1">IFERROR(__xludf.DUMMYFUNCTION("""COMPUTED_VALUE"""),889.26)</f>
        <v>889.26</v>
      </c>
      <c r="Y185" s="24">
        <f ca="1">IFERROR(__xludf.DUMMYFUNCTION("""COMPUTED_VALUE"""),137.47)</f>
        <v>137.47</v>
      </c>
      <c r="Z185" s="24">
        <f ca="1">IFERROR(__xludf.DUMMYFUNCTION("""COMPUTED_VALUE"""),0)</f>
        <v>0</v>
      </c>
      <c r="AA185" s="20" t="str">
        <f ca="1">IFERROR(__xludf.DUMMYFUNCTION("""COMPUTED_VALUE"""),"10 1 02 60330")</f>
        <v>10 1 02 60330</v>
      </c>
      <c r="AB185" s="20">
        <f ca="1">IFERROR(__xludf.DUMMYFUNCTION("""COMPUTED_VALUE"""),520)</f>
        <v>520</v>
      </c>
      <c r="AC185" s="20" t="str">
        <f ca="1">IFERROR(__xludf.DUMMYFUNCTION("""COMPUTED_VALUE"""),"Не требуется")</f>
        <v>Не требуется</v>
      </c>
      <c r="AD185" s="20" t="str">
        <f ca="1">IFERROR(__xludf.DUMMYFUNCTION("""COMPUTED_VALUE"""),"-")</f>
        <v>-</v>
      </c>
      <c r="AE185" s="20" t="str">
        <f ca="1">IFERROR(__xludf.DUMMYFUNCTION("""COMPUTED_VALUE"""),"-")</f>
        <v>-</v>
      </c>
      <c r="AF185" s="24">
        <f ca="1">IFERROR(__xludf.DUMMYFUNCTION("""COMPUTED_VALUE"""),2748.64)</f>
        <v>2748.64</v>
      </c>
      <c r="AG185" s="24">
        <f ca="1">IFERROR(__xludf.DUMMYFUNCTION("""COMPUTED_VALUE"""),0)</f>
        <v>0</v>
      </c>
      <c r="AH185" s="24">
        <f ca="1">IFERROR(__xludf.DUMMYFUNCTION("""COMPUTED_VALUE"""),0)</f>
        <v>0</v>
      </c>
      <c r="AI185" s="24">
        <f ca="1">IFERROR(__xludf.DUMMYFUNCTION("""COMPUTED_VALUE"""),2611.17)</f>
        <v>2611.17</v>
      </c>
      <c r="AJ185" s="24">
        <f ca="1">IFERROR(__xludf.DUMMYFUNCTION("""COMPUTED_VALUE"""),137.47)</f>
        <v>137.47</v>
      </c>
      <c r="AK185" s="24">
        <f ca="1">IFERROR(__xludf.DUMMYFUNCTION("""COMPUTED_VALUE"""),0)</f>
        <v>0</v>
      </c>
      <c r="AL185" s="24">
        <f ca="1">IFERROR(__xludf.DUMMYFUNCTION("""COMPUTED_VALUE"""),0)</f>
        <v>0</v>
      </c>
      <c r="AM185" s="20"/>
      <c r="AN185" s="20"/>
      <c r="AO185" s="20"/>
      <c r="AP185" s="20"/>
      <c r="AQ185" s="20"/>
      <c r="AR185" s="24">
        <f ca="1">IFERROR(__xludf.DUMMYFUNCTION("""COMPUTED_VALUE"""),0)</f>
        <v>0</v>
      </c>
      <c r="AS185" s="20"/>
      <c r="AT185" s="20"/>
      <c r="AU185" s="20"/>
      <c r="AV185" s="20"/>
      <c r="AW185" s="20"/>
      <c r="AX185" s="24">
        <f ca="1">IFERROR(__xludf.DUMMYFUNCTION("""COMPUTED_VALUE"""),2748.64)</f>
        <v>2748.64</v>
      </c>
      <c r="AY185" s="24">
        <f ca="1">IFERROR(__xludf.DUMMYFUNCTION("""COMPUTED_VALUE"""),0)</f>
        <v>0</v>
      </c>
      <c r="AZ185" s="24">
        <f ca="1">IFERROR(__xludf.DUMMYFUNCTION("""COMPUTED_VALUE"""),0)</f>
        <v>0</v>
      </c>
      <c r="BA185" s="24">
        <f ca="1">IFERROR(__xludf.DUMMYFUNCTION("""COMPUTED_VALUE"""),2611.17)</f>
        <v>2611.17</v>
      </c>
      <c r="BB185" s="24">
        <f ca="1">IFERROR(__xludf.DUMMYFUNCTION("""COMPUTED_VALUE"""),137.47)</f>
        <v>137.47</v>
      </c>
      <c r="BC185" s="20"/>
      <c r="BD185" s="24">
        <f ca="1">IFERROR(__xludf.DUMMYFUNCTION("""COMPUTED_VALUE"""),0)</f>
        <v>0</v>
      </c>
      <c r="BE185" s="24">
        <f ca="1">IFERROR(__xludf.DUMMYFUNCTION("""COMPUTED_VALUE"""),0)</f>
        <v>0</v>
      </c>
      <c r="BF185" s="24">
        <f ca="1">IFERROR(__xludf.DUMMYFUNCTION("""COMPUTED_VALUE"""),0)</f>
        <v>0</v>
      </c>
      <c r="BG185" s="24">
        <f ca="1">IFERROR(__xludf.DUMMYFUNCTION("""COMPUTED_VALUE"""),0)</f>
        <v>0</v>
      </c>
      <c r="BH185" s="24">
        <f ca="1">IFERROR(__xludf.DUMMYFUNCTION("""COMPUTED_VALUE"""),0)</f>
        <v>0</v>
      </c>
      <c r="BI185" s="20"/>
      <c r="BJ185" s="24">
        <f ca="1">IFERROR(__xludf.DUMMYFUNCTION("""COMPUTED_VALUE"""),0)</f>
        <v>0</v>
      </c>
      <c r="BK185" s="24">
        <f ca="1">IFERROR(__xludf.DUMMYFUNCTION("""COMPUTED_VALUE"""),0)</f>
        <v>0</v>
      </c>
      <c r="BL185" s="24">
        <f ca="1">IFERROR(__xludf.DUMMYFUNCTION("""COMPUTED_VALUE"""),0)</f>
        <v>0</v>
      </c>
      <c r="BM185" s="24">
        <f ca="1">IFERROR(__xludf.DUMMYFUNCTION("""COMPUTED_VALUE"""),0)</f>
        <v>0</v>
      </c>
      <c r="BN185" s="24">
        <f ca="1">IFERROR(__xludf.DUMMYFUNCTION("""COMPUTED_VALUE"""),0)</f>
        <v>0</v>
      </c>
      <c r="BO185" s="20"/>
      <c r="BP185" s="24">
        <f ca="1">IFERROR(__xludf.DUMMYFUNCTION("""COMPUTED_VALUE"""),0)</f>
        <v>0</v>
      </c>
      <c r="BQ185" s="24">
        <f ca="1">IFERROR(__xludf.DUMMYFUNCTION("""COMPUTED_VALUE"""),0)</f>
        <v>0</v>
      </c>
      <c r="BR185" s="24">
        <f ca="1">IFERROR(__xludf.DUMMYFUNCTION("""COMPUTED_VALUE"""),0)</f>
        <v>0</v>
      </c>
      <c r="BS185" s="24">
        <f ca="1">IFERROR(__xludf.DUMMYFUNCTION("""COMPUTED_VALUE"""),0)</f>
        <v>0</v>
      </c>
      <c r="BT185" s="24">
        <f ca="1">IFERROR(__xludf.DUMMYFUNCTION("""COMPUTED_VALUE"""),0)</f>
        <v>0</v>
      </c>
      <c r="BU185" s="20"/>
      <c r="BV185" s="24">
        <f ca="1">IFERROR(__xludf.DUMMYFUNCTION("""COMPUTED_VALUE"""),0)</f>
        <v>0</v>
      </c>
      <c r="BW185" s="24">
        <f ca="1">IFERROR(__xludf.DUMMYFUNCTION("""COMPUTED_VALUE"""),0)</f>
        <v>0</v>
      </c>
      <c r="BX185" s="24">
        <f ca="1">IFERROR(__xludf.DUMMYFUNCTION("""COMPUTED_VALUE"""),0)</f>
        <v>0</v>
      </c>
      <c r="BY185" s="24">
        <f ca="1">IFERROR(__xludf.DUMMYFUNCTION("""COMPUTED_VALUE"""),0)</f>
        <v>0</v>
      </c>
      <c r="BZ185" s="24">
        <f ca="1">IFERROR(__xludf.DUMMYFUNCTION("""COMPUTED_VALUE"""),0)</f>
        <v>0</v>
      </c>
      <c r="CA185" s="20"/>
      <c r="CB185" s="20"/>
      <c r="CC185" s="20"/>
      <c r="CD185" s="20"/>
      <c r="CE185" s="20"/>
      <c r="CF185" s="20"/>
      <c r="CG185" s="20"/>
      <c r="CH185" s="20"/>
      <c r="CI185" s="20"/>
      <c r="CJ185" s="20"/>
      <c r="CK185" s="20"/>
      <c r="CL185" s="20"/>
      <c r="CM185" s="20"/>
      <c r="CN185" s="20"/>
      <c r="CO185" s="20"/>
      <c r="CP185" s="20"/>
      <c r="CQ185" s="20"/>
      <c r="CR185" s="20"/>
      <c r="CS185" s="20"/>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row>
    <row r="186" spans="1:123" ht="64.5" customHeight="1" x14ac:dyDescent="0.2">
      <c r="A186" s="19"/>
      <c r="B186" s="20" t="str">
        <f ca="1">IFERROR(__xludf.DUMMYFUNCTION("""COMPUTED_VALUE"""),"г.о. Пушкинский")</f>
        <v>г.о. Пушкинский</v>
      </c>
      <c r="C18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6" s="20" t="str">
        <f ca="1">IFERROR(__xludf.DUMMYFUNCTION("""COMPUTED_VALUE"""),"МинЖКХ")</f>
        <v>МинЖКХ</v>
      </c>
      <c r="E186" s="20" t="str">
        <f ca="1">IFERROR(__xludf.DUMMYFUNCTION("""COMPUTED_VALUE"""),"Приобретение, монтаж и ввод в эксплуатацию станции водоочистки на ВЗУ №9, по ажресу: Московская обл., г. Пушкино, мкр. Серебрянка")</f>
        <v>Приобретение, монтаж и ввод в эксплуатацию станции водоочистки на ВЗУ №9, по ажресу: Московская обл., г. Пушкино, мкр. Серебрянка</v>
      </c>
      <c r="F186" s="32" t="str">
        <f ca="1">IFERROR(__xludf.DUMMYFUNCTION("""COMPUTED_VALUE"""),"ВЗУ")</f>
        <v>ВЗУ</v>
      </c>
      <c r="G186" s="20">
        <f ca="1">IFERROR(__xludf.DUMMYFUNCTION("""COMPUTED_VALUE"""),2020)</f>
        <v>2020</v>
      </c>
      <c r="H186" s="20" t="str">
        <f ca="1">IFERROR(__xludf.DUMMYFUNCTION("""COMPUTED_VALUE"""),"Приобретение, монтаж")</f>
        <v>Приобретение, монтаж</v>
      </c>
      <c r="I186" s="23">
        <f ca="1">IFERROR(__xludf.DUMMYFUNCTION("""COMPUTED_VALUE"""),0.7)</f>
        <v>0.7</v>
      </c>
      <c r="J186" s="20" t="str">
        <f ca="1">IFERROR(__xludf.DUMMYFUNCTION("""COMPUTED_VALUE"""),"Завершены работы по вырубке зеленых насаждений и устройству фундамента. Осуществлен монтаж модульной станции для системы обезжелезивания. Вырыта траншея под укладку инженерных сетей. Устройство шкафа управления насосами с последующей пусконаладкой будет о"&amp;"существлен до 20.11.2020. Завершены работы на первой линии. Возможен забор проб воды для сдачи анализов в случае подачи водоснабжения.")</f>
        <v>Завершены работы по вырубке зеленых насаждений и устройству фундамента. Осуществлен монтаж модульной станции для системы обезжелезивания. Вырыта траншея под укладку инженерных сетей. Устройство шкафа управления насосами с последующей пусконаладкой будет осуществлен до 20.11.2020. Завершены работы на первой линии. Возможен забор проб воды для сдачи анализов в случае подачи водоснабжения.</v>
      </c>
      <c r="K186" s="20">
        <f ca="1">IFERROR(__xludf.DUMMYFUNCTION("""COMPUTED_VALUE"""),18000)</f>
        <v>18000</v>
      </c>
      <c r="L186" s="20">
        <f ca="1">IFERROR(__xludf.DUMMYFUNCTION("""COMPUTED_VALUE"""),18000)</f>
        <v>18000</v>
      </c>
      <c r="M186" s="20"/>
      <c r="N186" s="24">
        <f ca="1">IFERROR(__xludf.DUMMYFUNCTION("""COMPUTED_VALUE"""),7450.5)</f>
        <v>7450.5</v>
      </c>
      <c r="O186" s="20"/>
      <c r="P186" s="24">
        <f ca="1">IFERROR(__xludf.DUMMYFUNCTION("""COMPUTED_VALUE"""),5632.58)</f>
        <v>5632.58</v>
      </c>
      <c r="Q186" s="20"/>
      <c r="R186" s="24">
        <f ca="1">IFERROR(__xludf.DUMMYFUNCTION("""COMPUTED_VALUE"""),1817.92)</f>
        <v>1817.92</v>
      </c>
      <c r="S186" s="20"/>
      <c r="T186" s="20"/>
      <c r="U186" s="24">
        <f ca="1">IFERROR(__xludf.DUMMYFUNCTION("""COMPUTED_VALUE"""),0)</f>
        <v>0</v>
      </c>
      <c r="V186" s="24">
        <f ca="1">IFERROR(__xludf.DUMMYFUNCTION("""COMPUTED_VALUE"""),0)</f>
        <v>0</v>
      </c>
      <c r="W186" s="24">
        <f ca="1">IFERROR(__xludf.DUMMYFUNCTION("""COMPUTED_VALUE"""),0)</f>
        <v>0</v>
      </c>
      <c r="X186" s="24">
        <f ca="1">IFERROR(__xludf.DUMMYFUNCTION("""COMPUTED_VALUE"""),0)</f>
        <v>0</v>
      </c>
      <c r="Y186" s="24">
        <f ca="1">IFERROR(__xludf.DUMMYFUNCTION("""COMPUTED_VALUE"""),0)</f>
        <v>0</v>
      </c>
      <c r="Z186" s="24">
        <f ca="1">IFERROR(__xludf.DUMMYFUNCTION("""COMPUTED_VALUE"""),0)</f>
        <v>0</v>
      </c>
      <c r="AA186" s="20" t="str">
        <f ca="1">IFERROR(__xludf.DUMMYFUNCTION("""COMPUTED_VALUE"""),"10 1 02 60330")</f>
        <v>10 1 02 60330</v>
      </c>
      <c r="AB186" s="20">
        <f ca="1">IFERROR(__xludf.DUMMYFUNCTION("""COMPUTED_VALUE"""),520)</f>
        <v>520</v>
      </c>
      <c r="AC186" s="20" t="str">
        <f ca="1">IFERROR(__xludf.DUMMYFUNCTION("""COMPUTED_VALUE"""),"Не требуется")</f>
        <v>Не требуется</v>
      </c>
      <c r="AD186" s="20" t="str">
        <f ca="1">IFERROR(__xludf.DUMMYFUNCTION("""COMPUTED_VALUE"""),"-")</f>
        <v>-</v>
      </c>
      <c r="AE186" s="20" t="str">
        <f ca="1">IFERROR(__xludf.DUMMYFUNCTION("""COMPUTED_VALUE"""),"-")</f>
        <v>-</v>
      </c>
      <c r="AF186" s="24">
        <f ca="1">IFERROR(__xludf.DUMMYFUNCTION("""COMPUTED_VALUE"""),7450.5)</f>
        <v>7450.5</v>
      </c>
      <c r="AG186" s="24">
        <f ca="1">IFERROR(__xludf.DUMMYFUNCTION("""COMPUTED_VALUE"""),0)</f>
        <v>0</v>
      </c>
      <c r="AH186" s="24">
        <f ca="1">IFERROR(__xludf.DUMMYFUNCTION("""COMPUTED_VALUE"""),5632.58)</f>
        <v>5632.58</v>
      </c>
      <c r="AI186" s="24">
        <f ca="1">IFERROR(__xludf.DUMMYFUNCTION("""COMPUTED_VALUE"""),0)</f>
        <v>0</v>
      </c>
      <c r="AJ186" s="24">
        <f ca="1">IFERROR(__xludf.DUMMYFUNCTION("""COMPUTED_VALUE"""),1817.92)</f>
        <v>1817.92</v>
      </c>
      <c r="AK186" s="24">
        <f ca="1">IFERROR(__xludf.DUMMYFUNCTION("""COMPUTED_VALUE"""),0)</f>
        <v>0</v>
      </c>
      <c r="AL186" s="24">
        <f ca="1">IFERROR(__xludf.DUMMYFUNCTION("""COMPUTED_VALUE"""),0)</f>
        <v>0</v>
      </c>
      <c r="AM186" s="20"/>
      <c r="AN186" s="20"/>
      <c r="AO186" s="20"/>
      <c r="AP186" s="20"/>
      <c r="AQ186" s="20"/>
      <c r="AR186" s="24">
        <f ca="1">IFERROR(__xludf.DUMMYFUNCTION("""COMPUTED_VALUE"""),0)</f>
        <v>0</v>
      </c>
      <c r="AS186" s="20"/>
      <c r="AT186" s="20"/>
      <c r="AU186" s="20"/>
      <c r="AV186" s="20"/>
      <c r="AW186" s="20"/>
      <c r="AX186" s="24">
        <f ca="1">IFERROR(__xludf.DUMMYFUNCTION("""COMPUTED_VALUE"""),7450.5)</f>
        <v>7450.5</v>
      </c>
      <c r="AY186" s="24">
        <f ca="1">IFERROR(__xludf.DUMMYFUNCTION("""COMPUTED_VALUE"""),0)</f>
        <v>0</v>
      </c>
      <c r="AZ186" s="24">
        <f ca="1">IFERROR(__xludf.DUMMYFUNCTION("""COMPUTED_VALUE"""),5632.58)</f>
        <v>5632.58</v>
      </c>
      <c r="BA186" s="24">
        <f ca="1">IFERROR(__xludf.DUMMYFUNCTION("""COMPUTED_VALUE"""),0)</f>
        <v>0</v>
      </c>
      <c r="BB186" s="24">
        <f ca="1">IFERROR(__xludf.DUMMYFUNCTION("""COMPUTED_VALUE"""),1817.92)</f>
        <v>1817.92</v>
      </c>
      <c r="BC186" s="20"/>
      <c r="BD186" s="24">
        <f ca="1">IFERROR(__xludf.DUMMYFUNCTION("""COMPUTED_VALUE"""),0)</f>
        <v>0</v>
      </c>
      <c r="BE186" s="24">
        <f ca="1">IFERROR(__xludf.DUMMYFUNCTION("""COMPUTED_VALUE"""),0)</f>
        <v>0</v>
      </c>
      <c r="BF186" s="24">
        <f ca="1">IFERROR(__xludf.DUMMYFUNCTION("""COMPUTED_VALUE"""),0)</f>
        <v>0</v>
      </c>
      <c r="BG186" s="24">
        <f ca="1">IFERROR(__xludf.DUMMYFUNCTION("""COMPUTED_VALUE"""),0)</f>
        <v>0</v>
      </c>
      <c r="BH186" s="24">
        <f ca="1">IFERROR(__xludf.DUMMYFUNCTION("""COMPUTED_VALUE"""),0)</f>
        <v>0</v>
      </c>
      <c r="BI186" s="20"/>
      <c r="BJ186" s="24">
        <f ca="1">IFERROR(__xludf.DUMMYFUNCTION("""COMPUTED_VALUE"""),0)</f>
        <v>0</v>
      </c>
      <c r="BK186" s="24">
        <f ca="1">IFERROR(__xludf.DUMMYFUNCTION("""COMPUTED_VALUE"""),0)</f>
        <v>0</v>
      </c>
      <c r="BL186" s="24">
        <f ca="1">IFERROR(__xludf.DUMMYFUNCTION("""COMPUTED_VALUE"""),0)</f>
        <v>0</v>
      </c>
      <c r="BM186" s="24">
        <f ca="1">IFERROR(__xludf.DUMMYFUNCTION("""COMPUTED_VALUE"""),0)</f>
        <v>0</v>
      </c>
      <c r="BN186" s="24">
        <f ca="1">IFERROR(__xludf.DUMMYFUNCTION("""COMPUTED_VALUE"""),0)</f>
        <v>0</v>
      </c>
      <c r="BO186" s="20"/>
      <c r="BP186" s="24">
        <f ca="1">IFERROR(__xludf.DUMMYFUNCTION("""COMPUTED_VALUE"""),0)</f>
        <v>0</v>
      </c>
      <c r="BQ186" s="24">
        <f ca="1">IFERROR(__xludf.DUMMYFUNCTION("""COMPUTED_VALUE"""),0)</f>
        <v>0</v>
      </c>
      <c r="BR186" s="24">
        <f ca="1">IFERROR(__xludf.DUMMYFUNCTION("""COMPUTED_VALUE"""),0)</f>
        <v>0</v>
      </c>
      <c r="BS186" s="24">
        <f ca="1">IFERROR(__xludf.DUMMYFUNCTION("""COMPUTED_VALUE"""),0)</f>
        <v>0</v>
      </c>
      <c r="BT186" s="24">
        <f ca="1">IFERROR(__xludf.DUMMYFUNCTION("""COMPUTED_VALUE"""),0)</f>
        <v>0</v>
      </c>
      <c r="BU186" s="20"/>
      <c r="BV186" s="24">
        <f ca="1">IFERROR(__xludf.DUMMYFUNCTION("""COMPUTED_VALUE"""),0)</f>
        <v>0</v>
      </c>
      <c r="BW186" s="24">
        <f ca="1">IFERROR(__xludf.DUMMYFUNCTION("""COMPUTED_VALUE"""),0)</f>
        <v>0</v>
      </c>
      <c r="BX186" s="24">
        <f ca="1">IFERROR(__xludf.DUMMYFUNCTION("""COMPUTED_VALUE"""),0)</f>
        <v>0</v>
      </c>
      <c r="BY186" s="24">
        <f ca="1">IFERROR(__xludf.DUMMYFUNCTION("""COMPUTED_VALUE"""),0)</f>
        <v>0</v>
      </c>
      <c r="BZ186" s="24">
        <f ca="1">IFERROR(__xludf.DUMMYFUNCTION("""COMPUTED_VALUE"""),0)</f>
        <v>0</v>
      </c>
      <c r="CA186" s="20"/>
      <c r="CB186" s="20"/>
      <c r="CC186" s="20"/>
      <c r="CD186" s="20"/>
      <c r="CE186" s="20"/>
      <c r="CF186" s="20"/>
      <c r="CG186" s="20"/>
      <c r="CH186" s="20"/>
      <c r="CI186" s="20"/>
      <c r="CJ186" s="20"/>
      <c r="CK186" s="20"/>
      <c r="CL186" s="20"/>
      <c r="CM186" s="20"/>
      <c r="CN186" s="20"/>
      <c r="CO186" s="20"/>
      <c r="CP186" s="20"/>
      <c r="CQ186" s="20"/>
      <c r="CR186" s="20"/>
      <c r="CS186" s="20"/>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row>
    <row r="187" spans="1:123" ht="64.5" customHeight="1" x14ac:dyDescent="0.2">
      <c r="A187" s="19"/>
      <c r="B187" s="20" t="str">
        <f ca="1">IFERROR(__xludf.DUMMYFUNCTION("""COMPUTED_VALUE"""),"г.о. Рузский")</f>
        <v>г.о. Рузский</v>
      </c>
      <c r="C18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7" s="20" t="str">
        <f ca="1">IFERROR(__xludf.DUMMYFUNCTION("""COMPUTED_VALUE"""),"МинЖКХ")</f>
        <v>МинЖКХ</v>
      </c>
      <c r="E187" s="20" t="str">
        <f ca="1">IFERROR(__xludf.DUMMYFUNCTION("""COMPUTED_VALUE"""),"Приобретение, монтаж и ввод в эксплуатацию станции водоочистки на ВЗУв д. Лидино, Рузский г.о.")</f>
        <v>Приобретение, монтаж и ввод в эксплуатацию станции водоочистки на ВЗУв д. Лидино, Рузский г.о.</v>
      </c>
      <c r="F187" s="32" t="str">
        <f ca="1">IFERROR(__xludf.DUMMYFUNCTION("""COMPUTED_VALUE"""),"ВЗУ")</f>
        <v>ВЗУ</v>
      </c>
      <c r="G187" s="20">
        <f ca="1">IFERROR(__xludf.DUMMYFUNCTION("""COMPUTED_VALUE"""),2020)</f>
        <v>2020</v>
      </c>
      <c r="H187" s="20" t="str">
        <f ca="1">IFERROR(__xludf.DUMMYFUNCTION("""COMPUTED_VALUE"""),"Приобретение, монтаж")</f>
        <v>Приобретение, монтаж</v>
      </c>
      <c r="I187" s="23">
        <f ca="1">IFERROR(__xludf.DUMMYFUNCTION("""COMPUTED_VALUE"""),1)</f>
        <v>1</v>
      </c>
      <c r="J187" s="20" t="str">
        <f ca="1">IFERROR(__xludf.DUMMYFUNCTION("""COMPUTED_VALUE"""),"ЗАВЕРШЕНО")</f>
        <v>ЗАВЕРШЕНО</v>
      </c>
      <c r="K187" s="20">
        <f ca="1">IFERROR(__xludf.DUMMYFUNCTION("""COMPUTED_VALUE"""),696)</f>
        <v>696</v>
      </c>
      <c r="L187" s="20">
        <f ca="1">IFERROR(__xludf.DUMMYFUNCTION("""COMPUTED_VALUE"""),696)</f>
        <v>696</v>
      </c>
      <c r="M187" s="20"/>
      <c r="N187" s="24">
        <f ca="1">IFERROR(__xludf.DUMMYFUNCTION("""COMPUTED_VALUE"""),2489)</f>
        <v>2489</v>
      </c>
      <c r="O187" s="20"/>
      <c r="P187" s="24">
        <f ca="1">IFERROR(__xludf.DUMMYFUNCTION("""COMPUTED_VALUE"""),1874.22)</f>
        <v>1874.22</v>
      </c>
      <c r="Q187" s="20"/>
      <c r="R187" s="24">
        <f ca="1">IFERROR(__xludf.DUMMYFUNCTION("""COMPUTED_VALUE"""),614.78)</f>
        <v>614.78</v>
      </c>
      <c r="S187" s="20"/>
      <c r="T187" s="20"/>
      <c r="U187" s="24">
        <f ca="1">IFERROR(__xludf.DUMMYFUNCTION("""COMPUTED_VALUE"""),0.25)</f>
        <v>0.25</v>
      </c>
      <c r="V187" s="24">
        <f ca="1">IFERROR(__xludf.DUMMYFUNCTION("""COMPUTED_VALUE"""),0)</f>
        <v>0</v>
      </c>
      <c r="W187" s="24">
        <f ca="1">IFERROR(__xludf.DUMMYFUNCTION("""COMPUTED_VALUE"""),0.180000000000063)</f>
        <v>0.180000000000063</v>
      </c>
      <c r="X187" s="24">
        <f ca="1">IFERROR(__xludf.DUMMYFUNCTION("""COMPUTED_VALUE"""),0)</f>
        <v>0</v>
      </c>
      <c r="Y187" s="24">
        <f ca="1">IFERROR(__xludf.DUMMYFUNCTION("""COMPUTED_VALUE"""),0.07000000000005)</f>
        <v>7.0000000000049994E-2</v>
      </c>
      <c r="Z187" s="24">
        <f ca="1">IFERROR(__xludf.DUMMYFUNCTION("""COMPUTED_VALUE"""),0)</f>
        <v>0</v>
      </c>
      <c r="AA187" s="20" t="str">
        <f ca="1">IFERROR(__xludf.DUMMYFUNCTION("""COMPUTED_VALUE"""),"10 1 02 60330")</f>
        <v>10 1 02 60330</v>
      </c>
      <c r="AB187" s="20">
        <f ca="1">IFERROR(__xludf.DUMMYFUNCTION("""COMPUTED_VALUE"""),520)</f>
        <v>520</v>
      </c>
      <c r="AC187" s="20" t="str">
        <f ca="1">IFERROR(__xludf.DUMMYFUNCTION("""COMPUTED_VALUE"""),"Не требуется")</f>
        <v>Не требуется</v>
      </c>
      <c r="AD187" s="20" t="str">
        <f ca="1">IFERROR(__xludf.DUMMYFUNCTION("""COMPUTED_VALUE"""),"-")</f>
        <v>-</v>
      </c>
      <c r="AE187" s="20" t="str">
        <f ca="1">IFERROR(__xludf.DUMMYFUNCTION("""COMPUTED_VALUE"""),"-")</f>
        <v>-</v>
      </c>
      <c r="AF187" s="24">
        <f ca="1">IFERROR(__xludf.DUMMYFUNCTION("""COMPUTED_VALUE"""),2489.25)</f>
        <v>2489.25</v>
      </c>
      <c r="AG187" s="24">
        <f ca="1">IFERROR(__xludf.DUMMYFUNCTION("""COMPUTED_VALUE"""),0)</f>
        <v>0</v>
      </c>
      <c r="AH187" s="24">
        <f ca="1">IFERROR(__xludf.DUMMYFUNCTION("""COMPUTED_VALUE"""),1874.4)</f>
        <v>1874.4</v>
      </c>
      <c r="AI187" s="24">
        <f ca="1">IFERROR(__xludf.DUMMYFUNCTION("""COMPUTED_VALUE"""),0)</f>
        <v>0</v>
      </c>
      <c r="AJ187" s="24">
        <f ca="1">IFERROR(__xludf.DUMMYFUNCTION("""COMPUTED_VALUE"""),614.85)</f>
        <v>614.85</v>
      </c>
      <c r="AK187" s="24">
        <f ca="1">IFERROR(__xludf.DUMMYFUNCTION("""COMPUTED_VALUE"""),0)</f>
        <v>0</v>
      </c>
      <c r="AL187" s="24">
        <f ca="1">IFERROR(__xludf.DUMMYFUNCTION("""COMPUTED_VALUE"""),0)</f>
        <v>0</v>
      </c>
      <c r="AM187" s="20"/>
      <c r="AN187" s="20"/>
      <c r="AO187" s="20"/>
      <c r="AP187" s="20"/>
      <c r="AQ187" s="20"/>
      <c r="AR187" s="24">
        <f ca="1">IFERROR(__xludf.DUMMYFUNCTION("""COMPUTED_VALUE"""),0)</f>
        <v>0</v>
      </c>
      <c r="AS187" s="20"/>
      <c r="AT187" s="20"/>
      <c r="AU187" s="20"/>
      <c r="AV187" s="20"/>
      <c r="AW187" s="20"/>
      <c r="AX187" s="24">
        <f ca="1">IFERROR(__xludf.DUMMYFUNCTION("""COMPUTED_VALUE"""),2489.25)</f>
        <v>2489.25</v>
      </c>
      <c r="AY187" s="24">
        <f ca="1">IFERROR(__xludf.DUMMYFUNCTION("""COMPUTED_VALUE"""),0)</f>
        <v>0</v>
      </c>
      <c r="AZ187" s="24">
        <f ca="1">IFERROR(__xludf.DUMMYFUNCTION("""COMPUTED_VALUE"""),1874.4)</f>
        <v>1874.4</v>
      </c>
      <c r="BA187" s="24">
        <f ca="1">IFERROR(__xludf.DUMMYFUNCTION("""COMPUTED_VALUE"""),0)</f>
        <v>0</v>
      </c>
      <c r="BB187" s="24">
        <f ca="1">IFERROR(__xludf.DUMMYFUNCTION("""COMPUTED_VALUE"""),614.85)</f>
        <v>614.85</v>
      </c>
      <c r="BC187" s="20"/>
      <c r="BD187" s="24">
        <f ca="1">IFERROR(__xludf.DUMMYFUNCTION("""COMPUTED_VALUE"""),0)</f>
        <v>0</v>
      </c>
      <c r="BE187" s="24">
        <f ca="1">IFERROR(__xludf.DUMMYFUNCTION("""COMPUTED_VALUE"""),0)</f>
        <v>0</v>
      </c>
      <c r="BF187" s="24">
        <f ca="1">IFERROR(__xludf.DUMMYFUNCTION("""COMPUTED_VALUE"""),0)</f>
        <v>0</v>
      </c>
      <c r="BG187" s="24">
        <f ca="1">IFERROR(__xludf.DUMMYFUNCTION("""COMPUTED_VALUE"""),0)</f>
        <v>0</v>
      </c>
      <c r="BH187" s="24">
        <f ca="1">IFERROR(__xludf.DUMMYFUNCTION("""COMPUTED_VALUE"""),0)</f>
        <v>0</v>
      </c>
      <c r="BI187" s="20"/>
      <c r="BJ187" s="24">
        <f ca="1">IFERROR(__xludf.DUMMYFUNCTION("""COMPUTED_VALUE"""),0)</f>
        <v>0</v>
      </c>
      <c r="BK187" s="24">
        <f ca="1">IFERROR(__xludf.DUMMYFUNCTION("""COMPUTED_VALUE"""),0)</f>
        <v>0</v>
      </c>
      <c r="BL187" s="24">
        <f ca="1">IFERROR(__xludf.DUMMYFUNCTION("""COMPUTED_VALUE"""),0)</f>
        <v>0</v>
      </c>
      <c r="BM187" s="24">
        <f ca="1">IFERROR(__xludf.DUMMYFUNCTION("""COMPUTED_VALUE"""),0)</f>
        <v>0</v>
      </c>
      <c r="BN187" s="24">
        <f ca="1">IFERROR(__xludf.DUMMYFUNCTION("""COMPUTED_VALUE"""),0)</f>
        <v>0</v>
      </c>
      <c r="BO187" s="20"/>
      <c r="BP187" s="24">
        <f ca="1">IFERROR(__xludf.DUMMYFUNCTION("""COMPUTED_VALUE"""),0)</f>
        <v>0</v>
      </c>
      <c r="BQ187" s="24">
        <f ca="1">IFERROR(__xludf.DUMMYFUNCTION("""COMPUTED_VALUE"""),0)</f>
        <v>0</v>
      </c>
      <c r="BR187" s="24">
        <f ca="1">IFERROR(__xludf.DUMMYFUNCTION("""COMPUTED_VALUE"""),0)</f>
        <v>0</v>
      </c>
      <c r="BS187" s="24">
        <f ca="1">IFERROR(__xludf.DUMMYFUNCTION("""COMPUTED_VALUE"""),0)</f>
        <v>0</v>
      </c>
      <c r="BT187" s="24">
        <f ca="1">IFERROR(__xludf.DUMMYFUNCTION("""COMPUTED_VALUE"""),0)</f>
        <v>0</v>
      </c>
      <c r="BU187" s="20"/>
      <c r="BV187" s="24">
        <f ca="1">IFERROR(__xludf.DUMMYFUNCTION("""COMPUTED_VALUE"""),0)</f>
        <v>0</v>
      </c>
      <c r="BW187" s="24">
        <f ca="1">IFERROR(__xludf.DUMMYFUNCTION("""COMPUTED_VALUE"""),0)</f>
        <v>0</v>
      </c>
      <c r="BX187" s="24">
        <f ca="1">IFERROR(__xludf.DUMMYFUNCTION("""COMPUTED_VALUE"""),0)</f>
        <v>0</v>
      </c>
      <c r="BY187" s="24">
        <f ca="1">IFERROR(__xludf.DUMMYFUNCTION("""COMPUTED_VALUE"""),0)</f>
        <v>0</v>
      </c>
      <c r="BZ187" s="24">
        <f ca="1">IFERROR(__xludf.DUMMYFUNCTION("""COMPUTED_VALUE"""),0)</f>
        <v>0</v>
      </c>
      <c r="CA187" s="20"/>
      <c r="CB187" s="20"/>
      <c r="CC187" s="20"/>
      <c r="CD187" s="20"/>
      <c r="CE187" s="20"/>
      <c r="CF187" s="20"/>
      <c r="CG187" s="20"/>
      <c r="CH187" s="20"/>
      <c r="CI187" s="20"/>
      <c r="CJ187" s="20"/>
      <c r="CK187" s="20"/>
      <c r="CL187" s="20"/>
      <c r="CM187" s="20"/>
      <c r="CN187" s="20"/>
      <c r="CO187" s="20"/>
      <c r="CP187" s="20"/>
      <c r="CQ187" s="20"/>
      <c r="CR187" s="20"/>
      <c r="CS187" s="20"/>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row>
    <row r="188" spans="1:123" ht="64.5" customHeight="1" x14ac:dyDescent="0.2">
      <c r="A188" s="19"/>
      <c r="B188" s="20" t="str">
        <f ca="1">IFERROR(__xludf.DUMMYFUNCTION("""COMPUTED_VALUE"""),"г.о. Рузский")</f>
        <v>г.о. Рузский</v>
      </c>
      <c r="C18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8" s="20" t="str">
        <f ca="1">IFERROR(__xludf.DUMMYFUNCTION("""COMPUTED_VALUE"""),"МинЖКХ")</f>
        <v>МинЖКХ</v>
      </c>
      <c r="E188" s="20" t="str">
        <f ca="1">IFERROR(__xludf.DUMMYFUNCTION("""COMPUTED_VALUE"""),"Приобретение, монтаж и ввод в эксплуатацию станции водоочистки на ВЗУв с. Никольское, соор.64,, Рузский г.о.")</f>
        <v>Приобретение, монтаж и ввод в эксплуатацию станции водоочистки на ВЗУв с. Никольское, соор.64,, Рузский г.о.</v>
      </c>
      <c r="F188" s="32" t="str">
        <f ca="1">IFERROR(__xludf.DUMMYFUNCTION("""COMPUTED_VALUE"""),"ВЗУ")</f>
        <v>ВЗУ</v>
      </c>
      <c r="G188" s="20">
        <f ca="1">IFERROR(__xludf.DUMMYFUNCTION("""COMPUTED_VALUE"""),2020)</f>
        <v>2020</v>
      </c>
      <c r="H188" s="20" t="str">
        <f ca="1">IFERROR(__xludf.DUMMYFUNCTION("""COMPUTED_VALUE"""),"Приобретение, монтаж")</f>
        <v>Приобретение, монтаж</v>
      </c>
      <c r="I188" s="23">
        <f ca="1">IFERROR(__xludf.DUMMYFUNCTION("""COMPUTED_VALUE"""),1)</f>
        <v>1</v>
      </c>
      <c r="J188" s="20" t="str">
        <f ca="1">IFERROR(__xludf.DUMMYFUNCTION("""COMPUTED_VALUE"""),"ЗАВЕРШЕНО")</f>
        <v>ЗАВЕРШЕНО</v>
      </c>
      <c r="K188" s="20">
        <f ca="1">IFERROR(__xludf.DUMMYFUNCTION("""COMPUTED_VALUE"""),685)</f>
        <v>685</v>
      </c>
      <c r="L188" s="20">
        <f ca="1">IFERROR(__xludf.DUMMYFUNCTION("""COMPUTED_VALUE"""),685)</f>
        <v>685</v>
      </c>
      <c r="M188" s="20"/>
      <c r="N188" s="24">
        <f ca="1">IFERROR(__xludf.DUMMYFUNCTION("""COMPUTED_VALUE"""),2448.52999999999)</f>
        <v>2448.5299999999902</v>
      </c>
      <c r="O188" s="20"/>
      <c r="P188" s="24">
        <f ca="1">IFERROR(__xludf.DUMMYFUNCTION("""COMPUTED_VALUE"""),1843.74)</f>
        <v>1843.74</v>
      </c>
      <c r="Q188" s="20"/>
      <c r="R188" s="24">
        <f ca="1">IFERROR(__xludf.DUMMYFUNCTION("""COMPUTED_VALUE"""),604.79)</f>
        <v>604.79</v>
      </c>
      <c r="S188" s="20"/>
      <c r="T188" s="20"/>
      <c r="U188" s="24">
        <f ca="1">IFERROR(__xludf.DUMMYFUNCTION("""COMPUTED_VALUE"""),0)</f>
        <v>0</v>
      </c>
      <c r="V188" s="24">
        <f ca="1">IFERROR(__xludf.DUMMYFUNCTION("""COMPUTED_VALUE"""),0)</f>
        <v>0</v>
      </c>
      <c r="W188" s="24">
        <f ca="1">IFERROR(__xludf.DUMMYFUNCTION("""COMPUTED_VALUE"""),0)</f>
        <v>0</v>
      </c>
      <c r="X188" s="24">
        <f ca="1">IFERROR(__xludf.DUMMYFUNCTION("""COMPUTED_VALUE"""),0)</f>
        <v>0</v>
      </c>
      <c r="Y188" s="24">
        <f ca="1">IFERROR(__xludf.DUMMYFUNCTION("""COMPUTED_VALUE"""),0)</f>
        <v>0</v>
      </c>
      <c r="Z188" s="24">
        <f ca="1">IFERROR(__xludf.DUMMYFUNCTION("""COMPUTED_VALUE"""),0)</f>
        <v>0</v>
      </c>
      <c r="AA188" s="20" t="str">
        <f ca="1">IFERROR(__xludf.DUMMYFUNCTION("""COMPUTED_VALUE"""),"10 1 02 60330")</f>
        <v>10 1 02 60330</v>
      </c>
      <c r="AB188" s="20">
        <f ca="1">IFERROR(__xludf.DUMMYFUNCTION("""COMPUTED_VALUE"""),520)</f>
        <v>520</v>
      </c>
      <c r="AC188" s="20" t="str">
        <f ca="1">IFERROR(__xludf.DUMMYFUNCTION("""COMPUTED_VALUE"""),"Не требуется")</f>
        <v>Не требуется</v>
      </c>
      <c r="AD188" s="20" t="str">
        <f ca="1">IFERROR(__xludf.DUMMYFUNCTION("""COMPUTED_VALUE"""),"-")</f>
        <v>-</v>
      </c>
      <c r="AE188" s="20" t="str">
        <f ca="1">IFERROR(__xludf.DUMMYFUNCTION("""COMPUTED_VALUE"""),"-")</f>
        <v>-</v>
      </c>
      <c r="AF188" s="24">
        <f ca="1">IFERROR(__xludf.DUMMYFUNCTION("""COMPUTED_VALUE"""),2448.52999999999)</f>
        <v>2448.5299999999902</v>
      </c>
      <c r="AG188" s="24">
        <f ca="1">IFERROR(__xludf.DUMMYFUNCTION("""COMPUTED_VALUE"""),0)</f>
        <v>0</v>
      </c>
      <c r="AH188" s="24">
        <f ca="1">IFERROR(__xludf.DUMMYFUNCTION("""COMPUTED_VALUE"""),1843.74)</f>
        <v>1843.74</v>
      </c>
      <c r="AI188" s="24">
        <f ca="1">IFERROR(__xludf.DUMMYFUNCTION("""COMPUTED_VALUE"""),0)</f>
        <v>0</v>
      </c>
      <c r="AJ188" s="24">
        <f ca="1">IFERROR(__xludf.DUMMYFUNCTION("""COMPUTED_VALUE"""),604.79)</f>
        <v>604.79</v>
      </c>
      <c r="AK188" s="24">
        <f ca="1">IFERROR(__xludf.DUMMYFUNCTION("""COMPUTED_VALUE"""),0)</f>
        <v>0</v>
      </c>
      <c r="AL188" s="24">
        <f ca="1">IFERROR(__xludf.DUMMYFUNCTION("""COMPUTED_VALUE"""),0)</f>
        <v>0</v>
      </c>
      <c r="AM188" s="20"/>
      <c r="AN188" s="20"/>
      <c r="AO188" s="20"/>
      <c r="AP188" s="20"/>
      <c r="AQ188" s="20"/>
      <c r="AR188" s="24">
        <f ca="1">IFERROR(__xludf.DUMMYFUNCTION("""COMPUTED_VALUE"""),0)</f>
        <v>0</v>
      </c>
      <c r="AS188" s="20"/>
      <c r="AT188" s="20"/>
      <c r="AU188" s="20"/>
      <c r="AV188" s="20"/>
      <c r="AW188" s="20"/>
      <c r="AX188" s="24">
        <f ca="1">IFERROR(__xludf.DUMMYFUNCTION("""COMPUTED_VALUE"""),2448.52999999999)</f>
        <v>2448.5299999999902</v>
      </c>
      <c r="AY188" s="24">
        <f ca="1">IFERROR(__xludf.DUMMYFUNCTION("""COMPUTED_VALUE"""),0)</f>
        <v>0</v>
      </c>
      <c r="AZ188" s="24">
        <f ca="1">IFERROR(__xludf.DUMMYFUNCTION("""COMPUTED_VALUE"""),1843.74)</f>
        <v>1843.74</v>
      </c>
      <c r="BA188" s="24">
        <f ca="1">IFERROR(__xludf.DUMMYFUNCTION("""COMPUTED_VALUE"""),0)</f>
        <v>0</v>
      </c>
      <c r="BB188" s="24">
        <f ca="1">IFERROR(__xludf.DUMMYFUNCTION("""COMPUTED_VALUE"""),604.79)</f>
        <v>604.79</v>
      </c>
      <c r="BC188" s="20"/>
      <c r="BD188" s="24">
        <f ca="1">IFERROR(__xludf.DUMMYFUNCTION("""COMPUTED_VALUE"""),0)</f>
        <v>0</v>
      </c>
      <c r="BE188" s="24">
        <f ca="1">IFERROR(__xludf.DUMMYFUNCTION("""COMPUTED_VALUE"""),0)</f>
        <v>0</v>
      </c>
      <c r="BF188" s="24">
        <f ca="1">IFERROR(__xludf.DUMMYFUNCTION("""COMPUTED_VALUE"""),0)</f>
        <v>0</v>
      </c>
      <c r="BG188" s="24">
        <f ca="1">IFERROR(__xludf.DUMMYFUNCTION("""COMPUTED_VALUE"""),0)</f>
        <v>0</v>
      </c>
      <c r="BH188" s="24">
        <f ca="1">IFERROR(__xludf.DUMMYFUNCTION("""COMPUTED_VALUE"""),0)</f>
        <v>0</v>
      </c>
      <c r="BI188" s="20"/>
      <c r="BJ188" s="24">
        <f ca="1">IFERROR(__xludf.DUMMYFUNCTION("""COMPUTED_VALUE"""),0)</f>
        <v>0</v>
      </c>
      <c r="BK188" s="24">
        <f ca="1">IFERROR(__xludf.DUMMYFUNCTION("""COMPUTED_VALUE"""),0)</f>
        <v>0</v>
      </c>
      <c r="BL188" s="24">
        <f ca="1">IFERROR(__xludf.DUMMYFUNCTION("""COMPUTED_VALUE"""),0)</f>
        <v>0</v>
      </c>
      <c r="BM188" s="24">
        <f ca="1">IFERROR(__xludf.DUMMYFUNCTION("""COMPUTED_VALUE"""),0)</f>
        <v>0</v>
      </c>
      <c r="BN188" s="24">
        <f ca="1">IFERROR(__xludf.DUMMYFUNCTION("""COMPUTED_VALUE"""),0)</f>
        <v>0</v>
      </c>
      <c r="BO188" s="20"/>
      <c r="BP188" s="24">
        <f ca="1">IFERROR(__xludf.DUMMYFUNCTION("""COMPUTED_VALUE"""),0)</f>
        <v>0</v>
      </c>
      <c r="BQ188" s="24">
        <f ca="1">IFERROR(__xludf.DUMMYFUNCTION("""COMPUTED_VALUE"""),0)</f>
        <v>0</v>
      </c>
      <c r="BR188" s="24">
        <f ca="1">IFERROR(__xludf.DUMMYFUNCTION("""COMPUTED_VALUE"""),0)</f>
        <v>0</v>
      </c>
      <c r="BS188" s="24">
        <f ca="1">IFERROR(__xludf.DUMMYFUNCTION("""COMPUTED_VALUE"""),0)</f>
        <v>0</v>
      </c>
      <c r="BT188" s="24">
        <f ca="1">IFERROR(__xludf.DUMMYFUNCTION("""COMPUTED_VALUE"""),0)</f>
        <v>0</v>
      </c>
      <c r="BU188" s="20"/>
      <c r="BV188" s="24">
        <f ca="1">IFERROR(__xludf.DUMMYFUNCTION("""COMPUTED_VALUE"""),0)</f>
        <v>0</v>
      </c>
      <c r="BW188" s="24">
        <f ca="1">IFERROR(__xludf.DUMMYFUNCTION("""COMPUTED_VALUE"""),0)</f>
        <v>0</v>
      </c>
      <c r="BX188" s="24">
        <f ca="1">IFERROR(__xludf.DUMMYFUNCTION("""COMPUTED_VALUE"""),0)</f>
        <v>0</v>
      </c>
      <c r="BY188" s="24">
        <f ca="1">IFERROR(__xludf.DUMMYFUNCTION("""COMPUTED_VALUE"""),0)</f>
        <v>0</v>
      </c>
      <c r="BZ188" s="24">
        <f ca="1">IFERROR(__xludf.DUMMYFUNCTION("""COMPUTED_VALUE"""),0)</f>
        <v>0</v>
      </c>
      <c r="CA188" s="20"/>
      <c r="CB188" s="20"/>
      <c r="CC188" s="20"/>
      <c r="CD188" s="20"/>
      <c r="CE188" s="20"/>
      <c r="CF188" s="20"/>
      <c r="CG188" s="20"/>
      <c r="CH188" s="20"/>
      <c r="CI188" s="20"/>
      <c r="CJ188" s="20"/>
      <c r="CK188" s="20"/>
      <c r="CL188" s="20"/>
      <c r="CM188" s="20"/>
      <c r="CN188" s="20"/>
      <c r="CO188" s="20"/>
      <c r="CP188" s="20"/>
      <c r="CQ188" s="20"/>
      <c r="CR188" s="20"/>
      <c r="CS188" s="20"/>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row>
    <row r="189" spans="1:123" ht="64.5" hidden="1" customHeight="1" x14ac:dyDescent="0.2">
      <c r="A189" s="19"/>
      <c r="B189" s="20" t="str">
        <f ca="1">IFERROR(__xludf.DUMMYFUNCTION("""COMPUTED_VALUE"""),"г.о. Рузский")</f>
        <v>г.о. Рузский</v>
      </c>
      <c r="C18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9" s="20" t="str">
        <f ca="1">IFERROR(__xludf.DUMMYFUNCTION("""COMPUTED_VALUE"""),"МинЖКХ")</f>
        <v>МинЖКХ</v>
      </c>
      <c r="E189" s="20" t="str">
        <f ca="1">IFERROR(__xludf.DUMMYFUNCTION("""COMPUTED_VALUE"""),"Приобретение, монтаж и ввод в эксплуатацию станции водоочистки на ВЗУв д. Колодкино, ул. Верейская д.176, Рузский г.о.")</f>
        <v>Приобретение, монтаж и ввод в эксплуатацию станции водоочистки на ВЗУв д. Колодкино, ул. Верейская д.176, Рузский г.о.</v>
      </c>
      <c r="F189" s="32" t="str">
        <f ca="1">IFERROR(__xludf.DUMMYFUNCTION("""COMPUTED_VALUE"""),"ВЗУ")</f>
        <v>ВЗУ</v>
      </c>
      <c r="G189" s="20">
        <f ca="1">IFERROR(__xludf.DUMMYFUNCTION("""COMPUTED_VALUE"""),2021)</f>
        <v>2021</v>
      </c>
      <c r="H189" s="20" t="str">
        <f ca="1">IFERROR(__xludf.DUMMYFUNCTION("""COMPUTED_VALUE"""),"Приобретение, монтаж")</f>
        <v>Приобретение, монтаж</v>
      </c>
      <c r="I189" s="20"/>
      <c r="J189" s="20"/>
      <c r="K189" s="20"/>
      <c r="L189" s="20"/>
      <c r="M189" s="20"/>
      <c r="N189" s="24">
        <f ca="1">IFERROR(__xludf.DUMMYFUNCTION("""COMPUTED_VALUE"""),0)</f>
        <v>0</v>
      </c>
      <c r="O189" s="20"/>
      <c r="P189" s="20"/>
      <c r="Q189" s="20"/>
      <c r="R189" s="20"/>
      <c r="S189" s="20"/>
      <c r="T189" s="20"/>
      <c r="U189" s="24">
        <f ca="1">IFERROR(__xludf.DUMMYFUNCTION("""COMPUTED_VALUE"""),0)</f>
        <v>0</v>
      </c>
      <c r="V189" s="24">
        <f ca="1">IFERROR(__xludf.DUMMYFUNCTION("""COMPUTED_VALUE"""),0)</f>
        <v>0</v>
      </c>
      <c r="W189" s="24">
        <f ca="1">IFERROR(__xludf.DUMMYFUNCTION("""COMPUTED_VALUE"""),0)</f>
        <v>0</v>
      </c>
      <c r="X189" s="24">
        <f ca="1">IFERROR(__xludf.DUMMYFUNCTION("""COMPUTED_VALUE"""),0)</f>
        <v>0</v>
      </c>
      <c r="Y189" s="24">
        <f ca="1">IFERROR(__xludf.DUMMYFUNCTION("""COMPUTED_VALUE"""),0)</f>
        <v>0</v>
      </c>
      <c r="Z189" s="24">
        <f ca="1">IFERROR(__xludf.DUMMYFUNCTION("""COMPUTED_VALUE"""),0)</f>
        <v>0</v>
      </c>
      <c r="AA189" s="20" t="str">
        <f ca="1">IFERROR(__xludf.DUMMYFUNCTION("""COMPUTED_VALUE"""),"10 1 02 60330")</f>
        <v>10 1 02 60330</v>
      </c>
      <c r="AB189" s="20">
        <f ca="1">IFERROR(__xludf.DUMMYFUNCTION("""COMPUTED_VALUE"""),520)</f>
        <v>520</v>
      </c>
      <c r="AC189" s="20" t="str">
        <f ca="1">IFERROR(__xludf.DUMMYFUNCTION("""COMPUTED_VALUE"""),"Не требуется")</f>
        <v>Не требуется</v>
      </c>
      <c r="AD189" s="20" t="str">
        <f ca="1">IFERROR(__xludf.DUMMYFUNCTION("""COMPUTED_VALUE"""),"-")</f>
        <v>-</v>
      </c>
      <c r="AE189" s="20" t="str">
        <f ca="1">IFERROR(__xludf.DUMMYFUNCTION("""COMPUTED_VALUE"""),"-")</f>
        <v>-</v>
      </c>
      <c r="AF189" s="24">
        <f ca="1">IFERROR(__xludf.DUMMYFUNCTION("""COMPUTED_VALUE"""),2200)</f>
        <v>2200</v>
      </c>
      <c r="AG189" s="24">
        <f ca="1">IFERROR(__xludf.DUMMYFUNCTION("""COMPUTED_VALUE"""),0)</f>
        <v>0</v>
      </c>
      <c r="AH189" s="24">
        <f ca="1">IFERROR(__xludf.DUMMYFUNCTION("""COMPUTED_VALUE"""),1656.6)</f>
        <v>1656.6</v>
      </c>
      <c r="AI189" s="24">
        <f ca="1">IFERROR(__xludf.DUMMYFUNCTION("""COMPUTED_VALUE"""),0)</f>
        <v>0</v>
      </c>
      <c r="AJ189" s="24">
        <f ca="1">IFERROR(__xludf.DUMMYFUNCTION("""COMPUTED_VALUE"""),543.4)</f>
        <v>543.4</v>
      </c>
      <c r="AK189" s="24">
        <f ca="1">IFERROR(__xludf.DUMMYFUNCTION("""COMPUTED_VALUE"""),0)</f>
        <v>0</v>
      </c>
      <c r="AL189" s="24">
        <f ca="1">IFERROR(__xludf.DUMMYFUNCTION("""COMPUTED_VALUE"""),0)</f>
        <v>0</v>
      </c>
      <c r="AM189" s="20"/>
      <c r="AN189" s="20"/>
      <c r="AO189" s="20"/>
      <c r="AP189" s="20"/>
      <c r="AQ189" s="20"/>
      <c r="AR189" s="24">
        <f ca="1">IFERROR(__xludf.DUMMYFUNCTION("""COMPUTED_VALUE"""),0)</f>
        <v>0</v>
      </c>
      <c r="AS189" s="20"/>
      <c r="AT189" s="20"/>
      <c r="AU189" s="20"/>
      <c r="AV189" s="20"/>
      <c r="AW189" s="20"/>
      <c r="AX189" s="24">
        <f ca="1">IFERROR(__xludf.DUMMYFUNCTION("""COMPUTED_VALUE"""),0)</f>
        <v>0</v>
      </c>
      <c r="AY189" s="24">
        <f ca="1">IFERROR(__xludf.DUMMYFUNCTION("""COMPUTED_VALUE"""),0)</f>
        <v>0</v>
      </c>
      <c r="AZ189" s="24">
        <f ca="1">IFERROR(__xludf.DUMMYFUNCTION("""COMPUTED_VALUE"""),0)</f>
        <v>0</v>
      </c>
      <c r="BA189" s="24">
        <f ca="1">IFERROR(__xludf.DUMMYFUNCTION("""COMPUTED_VALUE"""),0)</f>
        <v>0</v>
      </c>
      <c r="BB189" s="24">
        <f ca="1">IFERROR(__xludf.DUMMYFUNCTION("""COMPUTED_VALUE"""),0)</f>
        <v>0</v>
      </c>
      <c r="BC189" s="20"/>
      <c r="BD189" s="24">
        <f ca="1">IFERROR(__xludf.DUMMYFUNCTION("""COMPUTED_VALUE"""),0)</f>
        <v>0</v>
      </c>
      <c r="BE189" s="24">
        <f ca="1">IFERROR(__xludf.DUMMYFUNCTION("""COMPUTED_VALUE"""),0)</f>
        <v>0</v>
      </c>
      <c r="BF189" s="24">
        <f ca="1">IFERROR(__xludf.DUMMYFUNCTION("""COMPUTED_VALUE"""),0)</f>
        <v>0</v>
      </c>
      <c r="BG189" s="24">
        <f ca="1">IFERROR(__xludf.DUMMYFUNCTION("""COMPUTED_VALUE"""),0)</f>
        <v>0</v>
      </c>
      <c r="BH189" s="24">
        <f ca="1">IFERROR(__xludf.DUMMYFUNCTION("""COMPUTED_VALUE"""),0)</f>
        <v>0</v>
      </c>
      <c r="BI189" s="20"/>
      <c r="BJ189" s="24">
        <f ca="1">IFERROR(__xludf.DUMMYFUNCTION("""COMPUTED_VALUE"""),2200)</f>
        <v>2200</v>
      </c>
      <c r="BK189" s="24">
        <f ca="1">IFERROR(__xludf.DUMMYFUNCTION("""COMPUTED_VALUE"""),0)</f>
        <v>0</v>
      </c>
      <c r="BL189" s="24">
        <f ca="1">IFERROR(__xludf.DUMMYFUNCTION("""COMPUTED_VALUE"""),1656.6)</f>
        <v>1656.6</v>
      </c>
      <c r="BM189" s="24">
        <f ca="1">IFERROR(__xludf.DUMMYFUNCTION("""COMPUTED_VALUE"""),0)</f>
        <v>0</v>
      </c>
      <c r="BN189" s="24">
        <f ca="1">IFERROR(__xludf.DUMMYFUNCTION("""COMPUTED_VALUE"""),543.4)</f>
        <v>543.4</v>
      </c>
      <c r="BO189" s="20"/>
      <c r="BP189" s="24">
        <f ca="1">IFERROR(__xludf.DUMMYFUNCTION("""COMPUTED_VALUE"""),0)</f>
        <v>0</v>
      </c>
      <c r="BQ189" s="24">
        <f ca="1">IFERROR(__xludf.DUMMYFUNCTION("""COMPUTED_VALUE"""),0)</f>
        <v>0</v>
      </c>
      <c r="BR189" s="24">
        <f ca="1">IFERROR(__xludf.DUMMYFUNCTION("""COMPUTED_VALUE"""),0)</f>
        <v>0</v>
      </c>
      <c r="BS189" s="24">
        <f ca="1">IFERROR(__xludf.DUMMYFUNCTION("""COMPUTED_VALUE"""),0)</f>
        <v>0</v>
      </c>
      <c r="BT189" s="24">
        <f ca="1">IFERROR(__xludf.DUMMYFUNCTION("""COMPUTED_VALUE"""),0)</f>
        <v>0</v>
      </c>
      <c r="BU189" s="20"/>
      <c r="BV189" s="24">
        <f ca="1">IFERROR(__xludf.DUMMYFUNCTION("""COMPUTED_VALUE"""),0)</f>
        <v>0</v>
      </c>
      <c r="BW189" s="24">
        <f ca="1">IFERROR(__xludf.DUMMYFUNCTION("""COMPUTED_VALUE"""),0)</f>
        <v>0</v>
      </c>
      <c r="BX189" s="24">
        <f ca="1">IFERROR(__xludf.DUMMYFUNCTION("""COMPUTED_VALUE"""),0)</f>
        <v>0</v>
      </c>
      <c r="BY189" s="24">
        <f ca="1">IFERROR(__xludf.DUMMYFUNCTION("""COMPUTED_VALUE"""),0)</f>
        <v>0</v>
      </c>
      <c r="BZ189" s="24">
        <f ca="1">IFERROR(__xludf.DUMMYFUNCTION("""COMPUTED_VALUE"""),0)</f>
        <v>0</v>
      </c>
      <c r="CA189" s="20"/>
      <c r="CB189" s="20"/>
      <c r="CC189" s="20"/>
      <c r="CD189" s="20"/>
      <c r="CE189" s="20"/>
      <c r="CF189" s="20"/>
      <c r="CG189" s="20"/>
      <c r="CH189" s="20"/>
      <c r="CI189" s="20"/>
      <c r="CJ189" s="20"/>
      <c r="CK189" s="20"/>
      <c r="CL189" s="20"/>
      <c r="CM189" s="20"/>
      <c r="CN189" s="20"/>
      <c r="CO189" s="20"/>
      <c r="CP189" s="20"/>
      <c r="CQ189" s="20"/>
      <c r="CR189" s="20"/>
      <c r="CS189" s="20"/>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row>
    <row r="190" spans="1:123" ht="64.5" hidden="1" customHeight="1" x14ac:dyDescent="0.2">
      <c r="A190" s="19"/>
      <c r="B190" s="20" t="str">
        <f ca="1">IFERROR(__xludf.DUMMYFUNCTION("""COMPUTED_VALUE"""),"г.о. Рузский")</f>
        <v>г.о. Рузский</v>
      </c>
      <c r="C19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0" s="20" t="str">
        <f ca="1">IFERROR(__xludf.DUMMYFUNCTION("""COMPUTED_VALUE"""),"МинЖКХ")</f>
        <v>МинЖКХ</v>
      </c>
      <c r="E190" s="20" t="str">
        <f ca="1">IFERROR(__xludf.DUMMYFUNCTION("""COMPUTED_VALUE"""),"Приобретение, монтаж и ввод в эксплуатацию станции водоочистки на ВЗУв д. Грибцово, ул. Больничная д.138, Рузский г.о.")</f>
        <v>Приобретение, монтаж и ввод в эксплуатацию станции водоочистки на ВЗУв д. Грибцово, ул. Больничная д.138, Рузский г.о.</v>
      </c>
      <c r="F190" s="32" t="str">
        <f ca="1">IFERROR(__xludf.DUMMYFUNCTION("""COMPUTED_VALUE"""),"ВЗУ")</f>
        <v>ВЗУ</v>
      </c>
      <c r="G190" s="20">
        <f ca="1">IFERROR(__xludf.DUMMYFUNCTION("""COMPUTED_VALUE"""),2021)</f>
        <v>2021</v>
      </c>
      <c r="H190" s="20" t="str">
        <f ca="1">IFERROR(__xludf.DUMMYFUNCTION("""COMPUTED_VALUE"""),"Приобретение, монтаж")</f>
        <v>Приобретение, монтаж</v>
      </c>
      <c r="I190" s="20"/>
      <c r="J190" s="20"/>
      <c r="K190" s="20"/>
      <c r="L190" s="20"/>
      <c r="M190" s="20"/>
      <c r="N190" s="24">
        <f ca="1">IFERROR(__xludf.DUMMYFUNCTION("""COMPUTED_VALUE"""),0)</f>
        <v>0</v>
      </c>
      <c r="O190" s="20"/>
      <c r="P190" s="20"/>
      <c r="Q190" s="20"/>
      <c r="R190" s="20"/>
      <c r="S190" s="20"/>
      <c r="T190" s="20"/>
      <c r="U190" s="24">
        <f ca="1">IFERROR(__xludf.DUMMYFUNCTION("""COMPUTED_VALUE"""),0)</f>
        <v>0</v>
      </c>
      <c r="V190" s="24">
        <f ca="1">IFERROR(__xludf.DUMMYFUNCTION("""COMPUTED_VALUE"""),0)</f>
        <v>0</v>
      </c>
      <c r="W190" s="24">
        <f ca="1">IFERROR(__xludf.DUMMYFUNCTION("""COMPUTED_VALUE"""),0)</f>
        <v>0</v>
      </c>
      <c r="X190" s="24">
        <f ca="1">IFERROR(__xludf.DUMMYFUNCTION("""COMPUTED_VALUE"""),0)</f>
        <v>0</v>
      </c>
      <c r="Y190" s="24">
        <f ca="1">IFERROR(__xludf.DUMMYFUNCTION("""COMPUTED_VALUE"""),0)</f>
        <v>0</v>
      </c>
      <c r="Z190" s="24">
        <f ca="1">IFERROR(__xludf.DUMMYFUNCTION("""COMPUTED_VALUE"""),0)</f>
        <v>0</v>
      </c>
      <c r="AA190" s="20" t="str">
        <f ca="1">IFERROR(__xludf.DUMMYFUNCTION("""COMPUTED_VALUE"""),"10 1 02 60330")</f>
        <v>10 1 02 60330</v>
      </c>
      <c r="AB190" s="20">
        <f ca="1">IFERROR(__xludf.DUMMYFUNCTION("""COMPUTED_VALUE"""),520)</f>
        <v>520</v>
      </c>
      <c r="AC190" s="20" t="str">
        <f ca="1">IFERROR(__xludf.DUMMYFUNCTION("""COMPUTED_VALUE"""),"Не требуется")</f>
        <v>Не требуется</v>
      </c>
      <c r="AD190" s="20" t="str">
        <f ca="1">IFERROR(__xludf.DUMMYFUNCTION("""COMPUTED_VALUE"""),"-")</f>
        <v>-</v>
      </c>
      <c r="AE190" s="20" t="str">
        <f ca="1">IFERROR(__xludf.DUMMYFUNCTION("""COMPUTED_VALUE"""),"-")</f>
        <v>-</v>
      </c>
      <c r="AF190" s="24">
        <f ca="1">IFERROR(__xludf.DUMMYFUNCTION("""COMPUTED_VALUE"""),2206)</f>
        <v>2206</v>
      </c>
      <c r="AG190" s="24">
        <f ca="1">IFERROR(__xludf.DUMMYFUNCTION("""COMPUTED_VALUE"""),0)</f>
        <v>0</v>
      </c>
      <c r="AH190" s="24">
        <f ca="1">IFERROR(__xludf.DUMMYFUNCTION("""COMPUTED_VALUE"""),1661.1)</f>
        <v>1661.1</v>
      </c>
      <c r="AI190" s="24">
        <f ca="1">IFERROR(__xludf.DUMMYFUNCTION("""COMPUTED_VALUE"""),0)</f>
        <v>0</v>
      </c>
      <c r="AJ190" s="24">
        <f ca="1">IFERROR(__xludf.DUMMYFUNCTION("""COMPUTED_VALUE"""),544.9)</f>
        <v>544.9</v>
      </c>
      <c r="AK190" s="24">
        <f ca="1">IFERROR(__xludf.DUMMYFUNCTION("""COMPUTED_VALUE"""),0)</f>
        <v>0</v>
      </c>
      <c r="AL190" s="24">
        <f ca="1">IFERROR(__xludf.DUMMYFUNCTION("""COMPUTED_VALUE"""),0)</f>
        <v>0</v>
      </c>
      <c r="AM190" s="20"/>
      <c r="AN190" s="20"/>
      <c r="AO190" s="20"/>
      <c r="AP190" s="20"/>
      <c r="AQ190" s="20"/>
      <c r="AR190" s="24">
        <f ca="1">IFERROR(__xludf.DUMMYFUNCTION("""COMPUTED_VALUE"""),0)</f>
        <v>0</v>
      </c>
      <c r="AS190" s="20"/>
      <c r="AT190" s="20"/>
      <c r="AU190" s="20"/>
      <c r="AV190" s="20"/>
      <c r="AW190" s="20"/>
      <c r="AX190" s="24">
        <f ca="1">IFERROR(__xludf.DUMMYFUNCTION("""COMPUTED_VALUE"""),0)</f>
        <v>0</v>
      </c>
      <c r="AY190" s="24">
        <f ca="1">IFERROR(__xludf.DUMMYFUNCTION("""COMPUTED_VALUE"""),0)</f>
        <v>0</v>
      </c>
      <c r="AZ190" s="24">
        <f ca="1">IFERROR(__xludf.DUMMYFUNCTION("""COMPUTED_VALUE"""),0)</f>
        <v>0</v>
      </c>
      <c r="BA190" s="24">
        <f ca="1">IFERROR(__xludf.DUMMYFUNCTION("""COMPUTED_VALUE"""),0)</f>
        <v>0</v>
      </c>
      <c r="BB190" s="24">
        <f ca="1">IFERROR(__xludf.DUMMYFUNCTION("""COMPUTED_VALUE"""),0)</f>
        <v>0</v>
      </c>
      <c r="BC190" s="20"/>
      <c r="BD190" s="24">
        <f ca="1">IFERROR(__xludf.DUMMYFUNCTION("""COMPUTED_VALUE"""),0)</f>
        <v>0</v>
      </c>
      <c r="BE190" s="24">
        <f ca="1">IFERROR(__xludf.DUMMYFUNCTION("""COMPUTED_VALUE"""),0)</f>
        <v>0</v>
      </c>
      <c r="BF190" s="24">
        <f ca="1">IFERROR(__xludf.DUMMYFUNCTION("""COMPUTED_VALUE"""),0)</f>
        <v>0</v>
      </c>
      <c r="BG190" s="24">
        <f ca="1">IFERROR(__xludf.DUMMYFUNCTION("""COMPUTED_VALUE"""),0)</f>
        <v>0</v>
      </c>
      <c r="BH190" s="24">
        <f ca="1">IFERROR(__xludf.DUMMYFUNCTION("""COMPUTED_VALUE"""),0)</f>
        <v>0</v>
      </c>
      <c r="BI190" s="20"/>
      <c r="BJ190" s="24">
        <f ca="1">IFERROR(__xludf.DUMMYFUNCTION("""COMPUTED_VALUE"""),2206)</f>
        <v>2206</v>
      </c>
      <c r="BK190" s="24">
        <f ca="1">IFERROR(__xludf.DUMMYFUNCTION("""COMPUTED_VALUE"""),0)</f>
        <v>0</v>
      </c>
      <c r="BL190" s="24">
        <f ca="1">IFERROR(__xludf.DUMMYFUNCTION("""COMPUTED_VALUE"""),1661.1)</f>
        <v>1661.1</v>
      </c>
      <c r="BM190" s="24">
        <f ca="1">IFERROR(__xludf.DUMMYFUNCTION("""COMPUTED_VALUE"""),0)</f>
        <v>0</v>
      </c>
      <c r="BN190" s="24">
        <f ca="1">IFERROR(__xludf.DUMMYFUNCTION("""COMPUTED_VALUE"""),544.9)</f>
        <v>544.9</v>
      </c>
      <c r="BO190" s="20"/>
      <c r="BP190" s="24">
        <f ca="1">IFERROR(__xludf.DUMMYFUNCTION("""COMPUTED_VALUE"""),0)</f>
        <v>0</v>
      </c>
      <c r="BQ190" s="24">
        <f ca="1">IFERROR(__xludf.DUMMYFUNCTION("""COMPUTED_VALUE"""),0)</f>
        <v>0</v>
      </c>
      <c r="BR190" s="24">
        <f ca="1">IFERROR(__xludf.DUMMYFUNCTION("""COMPUTED_VALUE"""),0)</f>
        <v>0</v>
      </c>
      <c r="BS190" s="24">
        <f ca="1">IFERROR(__xludf.DUMMYFUNCTION("""COMPUTED_VALUE"""),0)</f>
        <v>0</v>
      </c>
      <c r="BT190" s="24">
        <f ca="1">IFERROR(__xludf.DUMMYFUNCTION("""COMPUTED_VALUE"""),0)</f>
        <v>0</v>
      </c>
      <c r="BU190" s="20"/>
      <c r="BV190" s="24">
        <f ca="1">IFERROR(__xludf.DUMMYFUNCTION("""COMPUTED_VALUE"""),0)</f>
        <v>0</v>
      </c>
      <c r="BW190" s="24">
        <f ca="1">IFERROR(__xludf.DUMMYFUNCTION("""COMPUTED_VALUE"""),0)</f>
        <v>0</v>
      </c>
      <c r="BX190" s="24">
        <f ca="1">IFERROR(__xludf.DUMMYFUNCTION("""COMPUTED_VALUE"""),0)</f>
        <v>0</v>
      </c>
      <c r="BY190" s="24">
        <f ca="1">IFERROR(__xludf.DUMMYFUNCTION("""COMPUTED_VALUE"""),0)</f>
        <v>0</v>
      </c>
      <c r="BZ190" s="24">
        <f ca="1">IFERROR(__xludf.DUMMYFUNCTION("""COMPUTED_VALUE"""),0)</f>
        <v>0</v>
      </c>
      <c r="CA190" s="20"/>
      <c r="CB190" s="20"/>
      <c r="CC190" s="20"/>
      <c r="CD190" s="20"/>
      <c r="CE190" s="20"/>
      <c r="CF190" s="20"/>
      <c r="CG190" s="20"/>
      <c r="CH190" s="20"/>
      <c r="CI190" s="20"/>
      <c r="CJ190" s="20"/>
      <c r="CK190" s="20"/>
      <c r="CL190" s="20"/>
      <c r="CM190" s="20"/>
      <c r="CN190" s="20"/>
      <c r="CO190" s="20"/>
      <c r="CP190" s="20"/>
      <c r="CQ190" s="20"/>
      <c r="CR190" s="20"/>
      <c r="CS190" s="20"/>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row>
    <row r="191" spans="1:123" ht="64.5" hidden="1" customHeight="1" x14ac:dyDescent="0.2">
      <c r="A191" s="19"/>
      <c r="B191" s="20" t="str">
        <f ca="1">IFERROR(__xludf.DUMMYFUNCTION("""COMPUTED_VALUE"""),"г.о. Рузский")</f>
        <v>г.о. Рузский</v>
      </c>
      <c r="C19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1" s="20" t="str">
        <f ca="1">IFERROR(__xludf.DUMMYFUNCTION("""COMPUTED_VALUE"""),"МинЖКХ")</f>
        <v>МинЖКХ</v>
      </c>
      <c r="E191" s="20" t="str">
        <f ca="1">IFERROR(__xludf.DUMMYFUNCTION("""COMPUTED_VALUE"""),"Приобретение, монтаж и ввод в эксплуатацию станции водоочистки на ВЗУв д. Новоивановское,  д.81, Рузский г.о.")</f>
        <v>Приобретение, монтаж и ввод в эксплуатацию станции водоочистки на ВЗУв д. Новоивановское,  д.81, Рузский г.о.</v>
      </c>
      <c r="F191" s="32" t="str">
        <f ca="1">IFERROR(__xludf.DUMMYFUNCTION("""COMPUTED_VALUE"""),"ВЗУ")</f>
        <v>ВЗУ</v>
      </c>
      <c r="G191" s="20">
        <f ca="1">IFERROR(__xludf.DUMMYFUNCTION("""COMPUTED_VALUE"""),2021)</f>
        <v>2021</v>
      </c>
      <c r="H191" s="20" t="str">
        <f ca="1">IFERROR(__xludf.DUMMYFUNCTION("""COMPUTED_VALUE"""),"Приобретение, монтаж")</f>
        <v>Приобретение, монтаж</v>
      </c>
      <c r="I191" s="20"/>
      <c r="J191" s="20"/>
      <c r="K191" s="20"/>
      <c r="L191" s="20"/>
      <c r="M191" s="20"/>
      <c r="N191" s="24">
        <f ca="1">IFERROR(__xludf.DUMMYFUNCTION("""COMPUTED_VALUE"""),0)</f>
        <v>0</v>
      </c>
      <c r="O191" s="20"/>
      <c r="P191" s="20"/>
      <c r="Q191" s="20"/>
      <c r="R191" s="20"/>
      <c r="S191" s="20"/>
      <c r="T191" s="20"/>
      <c r="U191" s="24">
        <f ca="1">IFERROR(__xludf.DUMMYFUNCTION("""COMPUTED_VALUE"""),0)</f>
        <v>0</v>
      </c>
      <c r="V191" s="24">
        <f ca="1">IFERROR(__xludf.DUMMYFUNCTION("""COMPUTED_VALUE"""),0)</f>
        <v>0</v>
      </c>
      <c r="W191" s="24">
        <f ca="1">IFERROR(__xludf.DUMMYFUNCTION("""COMPUTED_VALUE"""),0)</f>
        <v>0</v>
      </c>
      <c r="X191" s="24">
        <f ca="1">IFERROR(__xludf.DUMMYFUNCTION("""COMPUTED_VALUE"""),0)</f>
        <v>0</v>
      </c>
      <c r="Y191" s="24">
        <f ca="1">IFERROR(__xludf.DUMMYFUNCTION("""COMPUTED_VALUE"""),0)</f>
        <v>0</v>
      </c>
      <c r="Z191" s="24">
        <f ca="1">IFERROR(__xludf.DUMMYFUNCTION("""COMPUTED_VALUE"""),0)</f>
        <v>0</v>
      </c>
      <c r="AA191" s="20" t="str">
        <f ca="1">IFERROR(__xludf.DUMMYFUNCTION("""COMPUTED_VALUE"""),"10 1 02 60330")</f>
        <v>10 1 02 60330</v>
      </c>
      <c r="AB191" s="20">
        <f ca="1">IFERROR(__xludf.DUMMYFUNCTION("""COMPUTED_VALUE"""),520)</f>
        <v>520</v>
      </c>
      <c r="AC191" s="20" t="str">
        <f ca="1">IFERROR(__xludf.DUMMYFUNCTION("""COMPUTED_VALUE"""),"Не требуется")</f>
        <v>Не требуется</v>
      </c>
      <c r="AD191" s="20" t="str">
        <f ca="1">IFERROR(__xludf.DUMMYFUNCTION("""COMPUTED_VALUE"""),"-")</f>
        <v>-</v>
      </c>
      <c r="AE191" s="20" t="str">
        <f ca="1">IFERROR(__xludf.DUMMYFUNCTION("""COMPUTED_VALUE"""),"-")</f>
        <v>-</v>
      </c>
      <c r="AF191" s="24">
        <f ca="1">IFERROR(__xludf.DUMMYFUNCTION("""COMPUTED_VALUE"""),2700)</f>
        <v>2700</v>
      </c>
      <c r="AG191" s="24">
        <f ca="1">IFERROR(__xludf.DUMMYFUNCTION("""COMPUTED_VALUE"""),0)</f>
        <v>0</v>
      </c>
      <c r="AH191" s="24">
        <f ca="1">IFERROR(__xludf.DUMMYFUNCTION("""COMPUTED_VALUE"""),2033.1)</f>
        <v>2033.1</v>
      </c>
      <c r="AI191" s="24">
        <f ca="1">IFERROR(__xludf.DUMMYFUNCTION("""COMPUTED_VALUE"""),0)</f>
        <v>0</v>
      </c>
      <c r="AJ191" s="24">
        <f ca="1">IFERROR(__xludf.DUMMYFUNCTION("""COMPUTED_VALUE"""),666.9)</f>
        <v>666.9</v>
      </c>
      <c r="AK191" s="24">
        <f ca="1">IFERROR(__xludf.DUMMYFUNCTION("""COMPUTED_VALUE"""),0)</f>
        <v>0</v>
      </c>
      <c r="AL191" s="24">
        <f ca="1">IFERROR(__xludf.DUMMYFUNCTION("""COMPUTED_VALUE"""),0)</f>
        <v>0</v>
      </c>
      <c r="AM191" s="20"/>
      <c r="AN191" s="20"/>
      <c r="AO191" s="20"/>
      <c r="AP191" s="20"/>
      <c r="AQ191" s="20"/>
      <c r="AR191" s="24">
        <f ca="1">IFERROR(__xludf.DUMMYFUNCTION("""COMPUTED_VALUE"""),0)</f>
        <v>0</v>
      </c>
      <c r="AS191" s="20"/>
      <c r="AT191" s="20"/>
      <c r="AU191" s="20"/>
      <c r="AV191" s="20"/>
      <c r="AW191" s="20"/>
      <c r="AX191" s="24">
        <f ca="1">IFERROR(__xludf.DUMMYFUNCTION("""COMPUTED_VALUE"""),0)</f>
        <v>0</v>
      </c>
      <c r="AY191" s="24">
        <f ca="1">IFERROR(__xludf.DUMMYFUNCTION("""COMPUTED_VALUE"""),0)</f>
        <v>0</v>
      </c>
      <c r="AZ191" s="24">
        <f ca="1">IFERROR(__xludf.DUMMYFUNCTION("""COMPUTED_VALUE"""),0)</f>
        <v>0</v>
      </c>
      <c r="BA191" s="24">
        <f ca="1">IFERROR(__xludf.DUMMYFUNCTION("""COMPUTED_VALUE"""),0)</f>
        <v>0</v>
      </c>
      <c r="BB191" s="24">
        <f ca="1">IFERROR(__xludf.DUMMYFUNCTION("""COMPUTED_VALUE"""),0)</f>
        <v>0</v>
      </c>
      <c r="BC191" s="20"/>
      <c r="BD191" s="24">
        <f ca="1">IFERROR(__xludf.DUMMYFUNCTION("""COMPUTED_VALUE"""),0)</f>
        <v>0</v>
      </c>
      <c r="BE191" s="24">
        <f ca="1">IFERROR(__xludf.DUMMYFUNCTION("""COMPUTED_VALUE"""),0)</f>
        <v>0</v>
      </c>
      <c r="BF191" s="24">
        <f ca="1">IFERROR(__xludf.DUMMYFUNCTION("""COMPUTED_VALUE"""),0)</f>
        <v>0</v>
      </c>
      <c r="BG191" s="24">
        <f ca="1">IFERROR(__xludf.DUMMYFUNCTION("""COMPUTED_VALUE"""),0)</f>
        <v>0</v>
      </c>
      <c r="BH191" s="24">
        <f ca="1">IFERROR(__xludf.DUMMYFUNCTION("""COMPUTED_VALUE"""),0)</f>
        <v>0</v>
      </c>
      <c r="BI191" s="20"/>
      <c r="BJ191" s="24">
        <f ca="1">IFERROR(__xludf.DUMMYFUNCTION("""COMPUTED_VALUE"""),2700)</f>
        <v>2700</v>
      </c>
      <c r="BK191" s="24">
        <f ca="1">IFERROR(__xludf.DUMMYFUNCTION("""COMPUTED_VALUE"""),0)</f>
        <v>0</v>
      </c>
      <c r="BL191" s="24">
        <f ca="1">IFERROR(__xludf.DUMMYFUNCTION("""COMPUTED_VALUE"""),2033.1)</f>
        <v>2033.1</v>
      </c>
      <c r="BM191" s="24">
        <f ca="1">IFERROR(__xludf.DUMMYFUNCTION("""COMPUTED_VALUE"""),0)</f>
        <v>0</v>
      </c>
      <c r="BN191" s="24">
        <f ca="1">IFERROR(__xludf.DUMMYFUNCTION("""COMPUTED_VALUE"""),666.9)</f>
        <v>666.9</v>
      </c>
      <c r="BO191" s="20"/>
      <c r="BP191" s="24">
        <f ca="1">IFERROR(__xludf.DUMMYFUNCTION("""COMPUTED_VALUE"""),0)</f>
        <v>0</v>
      </c>
      <c r="BQ191" s="24">
        <f ca="1">IFERROR(__xludf.DUMMYFUNCTION("""COMPUTED_VALUE"""),0)</f>
        <v>0</v>
      </c>
      <c r="BR191" s="24">
        <f ca="1">IFERROR(__xludf.DUMMYFUNCTION("""COMPUTED_VALUE"""),0)</f>
        <v>0</v>
      </c>
      <c r="BS191" s="24">
        <f ca="1">IFERROR(__xludf.DUMMYFUNCTION("""COMPUTED_VALUE"""),0)</f>
        <v>0</v>
      </c>
      <c r="BT191" s="24">
        <f ca="1">IFERROR(__xludf.DUMMYFUNCTION("""COMPUTED_VALUE"""),0)</f>
        <v>0</v>
      </c>
      <c r="BU191" s="20"/>
      <c r="BV191" s="24">
        <f ca="1">IFERROR(__xludf.DUMMYFUNCTION("""COMPUTED_VALUE"""),0)</f>
        <v>0</v>
      </c>
      <c r="BW191" s="24">
        <f ca="1">IFERROR(__xludf.DUMMYFUNCTION("""COMPUTED_VALUE"""),0)</f>
        <v>0</v>
      </c>
      <c r="BX191" s="24">
        <f ca="1">IFERROR(__xludf.DUMMYFUNCTION("""COMPUTED_VALUE"""),0)</f>
        <v>0</v>
      </c>
      <c r="BY191" s="24">
        <f ca="1">IFERROR(__xludf.DUMMYFUNCTION("""COMPUTED_VALUE"""),0)</f>
        <v>0</v>
      </c>
      <c r="BZ191" s="24">
        <f ca="1">IFERROR(__xludf.DUMMYFUNCTION("""COMPUTED_VALUE"""),0)</f>
        <v>0</v>
      </c>
      <c r="CA191" s="20"/>
      <c r="CB191" s="20"/>
      <c r="CC191" s="20"/>
      <c r="CD191" s="20"/>
      <c r="CE191" s="20"/>
      <c r="CF191" s="20"/>
      <c r="CG191" s="20"/>
      <c r="CH191" s="20"/>
      <c r="CI191" s="20"/>
      <c r="CJ191" s="20"/>
      <c r="CK191" s="20"/>
      <c r="CL191" s="20"/>
      <c r="CM191" s="20"/>
      <c r="CN191" s="20"/>
      <c r="CO191" s="20"/>
      <c r="CP191" s="20"/>
      <c r="CQ191" s="20"/>
      <c r="CR191" s="20"/>
      <c r="CS191" s="20"/>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row>
    <row r="192" spans="1:123" ht="64.5" hidden="1" customHeight="1" x14ac:dyDescent="0.2">
      <c r="A192" s="19"/>
      <c r="B192" s="20" t="str">
        <f ca="1">IFERROR(__xludf.DUMMYFUNCTION("""COMPUTED_VALUE"""),"г.о. Рузский")</f>
        <v>г.о. Рузский</v>
      </c>
      <c r="C19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2" s="20" t="str">
        <f ca="1">IFERROR(__xludf.DUMMYFUNCTION("""COMPUTED_VALUE"""),"МинЖКХ")</f>
        <v>МинЖКХ</v>
      </c>
      <c r="E192" s="20" t="str">
        <f ca="1">IFERROR(__xludf.DUMMYFUNCTION("""COMPUTED_VALUE"""),"Приобретение, монтаж и ввод в эксплуатацию станции водоочистки на ВЗУв д. Филатово  д.1, стр.2, Рузский г.о.")</f>
        <v>Приобретение, монтаж и ввод в эксплуатацию станции водоочистки на ВЗУв д. Филатово  д.1, стр.2, Рузский г.о.</v>
      </c>
      <c r="F192" s="32" t="str">
        <f ca="1">IFERROR(__xludf.DUMMYFUNCTION("""COMPUTED_VALUE"""),"ВЗУ")</f>
        <v>ВЗУ</v>
      </c>
      <c r="G192" s="20">
        <f ca="1">IFERROR(__xludf.DUMMYFUNCTION("""COMPUTED_VALUE"""),2021)</f>
        <v>2021</v>
      </c>
      <c r="H192" s="20" t="str">
        <f ca="1">IFERROR(__xludf.DUMMYFUNCTION("""COMPUTED_VALUE"""),"Приобретение, монтаж")</f>
        <v>Приобретение, монтаж</v>
      </c>
      <c r="I192" s="20"/>
      <c r="J192" s="20"/>
      <c r="K192" s="20"/>
      <c r="L192" s="20"/>
      <c r="M192" s="20"/>
      <c r="N192" s="24">
        <f ca="1">IFERROR(__xludf.DUMMYFUNCTION("""COMPUTED_VALUE"""),0)</f>
        <v>0</v>
      </c>
      <c r="O192" s="20"/>
      <c r="P192" s="20"/>
      <c r="Q192" s="20"/>
      <c r="R192" s="20"/>
      <c r="S192" s="20"/>
      <c r="T192" s="20"/>
      <c r="U192" s="24">
        <f ca="1">IFERROR(__xludf.DUMMYFUNCTION("""COMPUTED_VALUE"""),0)</f>
        <v>0</v>
      </c>
      <c r="V192" s="24">
        <f ca="1">IFERROR(__xludf.DUMMYFUNCTION("""COMPUTED_VALUE"""),0)</f>
        <v>0</v>
      </c>
      <c r="W192" s="24">
        <f ca="1">IFERROR(__xludf.DUMMYFUNCTION("""COMPUTED_VALUE"""),0)</f>
        <v>0</v>
      </c>
      <c r="X192" s="24">
        <f ca="1">IFERROR(__xludf.DUMMYFUNCTION("""COMPUTED_VALUE"""),0)</f>
        <v>0</v>
      </c>
      <c r="Y192" s="24">
        <f ca="1">IFERROR(__xludf.DUMMYFUNCTION("""COMPUTED_VALUE"""),0)</f>
        <v>0</v>
      </c>
      <c r="Z192" s="24">
        <f ca="1">IFERROR(__xludf.DUMMYFUNCTION("""COMPUTED_VALUE"""),0)</f>
        <v>0</v>
      </c>
      <c r="AA192" s="20" t="str">
        <f ca="1">IFERROR(__xludf.DUMMYFUNCTION("""COMPUTED_VALUE"""),"10 1 02 60330")</f>
        <v>10 1 02 60330</v>
      </c>
      <c r="AB192" s="20">
        <f ca="1">IFERROR(__xludf.DUMMYFUNCTION("""COMPUTED_VALUE"""),520)</f>
        <v>520</v>
      </c>
      <c r="AC192" s="20" t="str">
        <f ca="1">IFERROR(__xludf.DUMMYFUNCTION("""COMPUTED_VALUE"""),"Не требуется")</f>
        <v>Не требуется</v>
      </c>
      <c r="AD192" s="20" t="str">
        <f ca="1">IFERROR(__xludf.DUMMYFUNCTION("""COMPUTED_VALUE"""),"-")</f>
        <v>-</v>
      </c>
      <c r="AE192" s="20" t="str">
        <f ca="1">IFERROR(__xludf.DUMMYFUNCTION("""COMPUTED_VALUE"""),"-")</f>
        <v>-</v>
      </c>
      <c r="AF192" s="24">
        <f ca="1">IFERROR(__xludf.DUMMYFUNCTION("""COMPUTED_VALUE"""),2306)</f>
        <v>2306</v>
      </c>
      <c r="AG192" s="24">
        <f ca="1">IFERROR(__xludf.DUMMYFUNCTION("""COMPUTED_VALUE"""),0)</f>
        <v>0</v>
      </c>
      <c r="AH192" s="24">
        <f ca="1">IFERROR(__xludf.DUMMYFUNCTION("""COMPUTED_VALUE"""),1736.4)</f>
        <v>1736.4</v>
      </c>
      <c r="AI192" s="24">
        <f ca="1">IFERROR(__xludf.DUMMYFUNCTION("""COMPUTED_VALUE"""),0)</f>
        <v>0</v>
      </c>
      <c r="AJ192" s="24">
        <f ca="1">IFERROR(__xludf.DUMMYFUNCTION("""COMPUTED_VALUE"""),569.6)</f>
        <v>569.6</v>
      </c>
      <c r="AK192" s="24">
        <f ca="1">IFERROR(__xludf.DUMMYFUNCTION("""COMPUTED_VALUE"""),0)</f>
        <v>0</v>
      </c>
      <c r="AL192" s="24">
        <f ca="1">IFERROR(__xludf.DUMMYFUNCTION("""COMPUTED_VALUE"""),0)</f>
        <v>0</v>
      </c>
      <c r="AM192" s="20"/>
      <c r="AN192" s="20"/>
      <c r="AO192" s="20"/>
      <c r="AP192" s="20"/>
      <c r="AQ192" s="20"/>
      <c r="AR192" s="24">
        <f ca="1">IFERROR(__xludf.DUMMYFUNCTION("""COMPUTED_VALUE"""),0)</f>
        <v>0</v>
      </c>
      <c r="AS192" s="20"/>
      <c r="AT192" s="20"/>
      <c r="AU192" s="20"/>
      <c r="AV192" s="20"/>
      <c r="AW192" s="20"/>
      <c r="AX192" s="24">
        <f ca="1">IFERROR(__xludf.DUMMYFUNCTION("""COMPUTED_VALUE"""),0)</f>
        <v>0</v>
      </c>
      <c r="AY192" s="24">
        <f ca="1">IFERROR(__xludf.DUMMYFUNCTION("""COMPUTED_VALUE"""),0)</f>
        <v>0</v>
      </c>
      <c r="AZ192" s="24">
        <f ca="1">IFERROR(__xludf.DUMMYFUNCTION("""COMPUTED_VALUE"""),0)</f>
        <v>0</v>
      </c>
      <c r="BA192" s="24">
        <f ca="1">IFERROR(__xludf.DUMMYFUNCTION("""COMPUTED_VALUE"""),0)</f>
        <v>0</v>
      </c>
      <c r="BB192" s="24">
        <f ca="1">IFERROR(__xludf.DUMMYFUNCTION("""COMPUTED_VALUE"""),0)</f>
        <v>0</v>
      </c>
      <c r="BC192" s="20"/>
      <c r="BD192" s="24">
        <f ca="1">IFERROR(__xludf.DUMMYFUNCTION("""COMPUTED_VALUE"""),0)</f>
        <v>0</v>
      </c>
      <c r="BE192" s="24">
        <f ca="1">IFERROR(__xludf.DUMMYFUNCTION("""COMPUTED_VALUE"""),0)</f>
        <v>0</v>
      </c>
      <c r="BF192" s="24">
        <f ca="1">IFERROR(__xludf.DUMMYFUNCTION("""COMPUTED_VALUE"""),0)</f>
        <v>0</v>
      </c>
      <c r="BG192" s="24">
        <f ca="1">IFERROR(__xludf.DUMMYFUNCTION("""COMPUTED_VALUE"""),0)</f>
        <v>0</v>
      </c>
      <c r="BH192" s="24">
        <f ca="1">IFERROR(__xludf.DUMMYFUNCTION("""COMPUTED_VALUE"""),0)</f>
        <v>0</v>
      </c>
      <c r="BI192" s="20"/>
      <c r="BJ192" s="24">
        <f ca="1">IFERROR(__xludf.DUMMYFUNCTION("""COMPUTED_VALUE"""),2306)</f>
        <v>2306</v>
      </c>
      <c r="BK192" s="24">
        <f ca="1">IFERROR(__xludf.DUMMYFUNCTION("""COMPUTED_VALUE"""),0)</f>
        <v>0</v>
      </c>
      <c r="BL192" s="24">
        <f ca="1">IFERROR(__xludf.DUMMYFUNCTION("""COMPUTED_VALUE"""),1736.4)</f>
        <v>1736.4</v>
      </c>
      <c r="BM192" s="24">
        <f ca="1">IFERROR(__xludf.DUMMYFUNCTION("""COMPUTED_VALUE"""),0)</f>
        <v>0</v>
      </c>
      <c r="BN192" s="24">
        <f ca="1">IFERROR(__xludf.DUMMYFUNCTION("""COMPUTED_VALUE"""),569.6)</f>
        <v>569.6</v>
      </c>
      <c r="BO192" s="20"/>
      <c r="BP192" s="24">
        <f ca="1">IFERROR(__xludf.DUMMYFUNCTION("""COMPUTED_VALUE"""),0)</f>
        <v>0</v>
      </c>
      <c r="BQ192" s="24">
        <f ca="1">IFERROR(__xludf.DUMMYFUNCTION("""COMPUTED_VALUE"""),0)</f>
        <v>0</v>
      </c>
      <c r="BR192" s="24">
        <f ca="1">IFERROR(__xludf.DUMMYFUNCTION("""COMPUTED_VALUE"""),0)</f>
        <v>0</v>
      </c>
      <c r="BS192" s="24">
        <f ca="1">IFERROR(__xludf.DUMMYFUNCTION("""COMPUTED_VALUE"""),0)</f>
        <v>0</v>
      </c>
      <c r="BT192" s="24">
        <f ca="1">IFERROR(__xludf.DUMMYFUNCTION("""COMPUTED_VALUE"""),0)</f>
        <v>0</v>
      </c>
      <c r="BU192" s="20"/>
      <c r="BV192" s="24">
        <f ca="1">IFERROR(__xludf.DUMMYFUNCTION("""COMPUTED_VALUE"""),0)</f>
        <v>0</v>
      </c>
      <c r="BW192" s="24">
        <f ca="1">IFERROR(__xludf.DUMMYFUNCTION("""COMPUTED_VALUE"""),0)</f>
        <v>0</v>
      </c>
      <c r="BX192" s="24">
        <f ca="1">IFERROR(__xludf.DUMMYFUNCTION("""COMPUTED_VALUE"""),0)</f>
        <v>0</v>
      </c>
      <c r="BY192" s="24">
        <f ca="1">IFERROR(__xludf.DUMMYFUNCTION("""COMPUTED_VALUE"""),0)</f>
        <v>0</v>
      </c>
      <c r="BZ192" s="24">
        <f ca="1">IFERROR(__xludf.DUMMYFUNCTION("""COMPUTED_VALUE"""),0)</f>
        <v>0</v>
      </c>
      <c r="CA192" s="20"/>
      <c r="CB192" s="20"/>
      <c r="CC192" s="20"/>
      <c r="CD192" s="20"/>
      <c r="CE192" s="20"/>
      <c r="CF192" s="20"/>
      <c r="CG192" s="20"/>
      <c r="CH192" s="20"/>
      <c r="CI192" s="20"/>
      <c r="CJ192" s="20"/>
      <c r="CK192" s="20"/>
      <c r="CL192" s="20"/>
      <c r="CM192" s="20"/>
      <c r="CN192" s="20"/>
      <c r="CO192" s="20"/>
      <c r="CP192" s="20"/>
      <c r="CQ192" s="20"/>
      <c r="CR192" s="20"/>
      <c r="CS192" s="20"/>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row>
    <row r="193" spans="1:123" ht="64.5" customHeight="1" x14ac:dyDescent="0.2">
      <c r="A193" s="19"/>
      <c r="B193" s="20" t="str">
        <f ca="1">IFERROR(__xludf.DUMMYFUNCTION("""COMPUTED_VALUE"""),"г.о. Рузский")</f>
        <v>г.о. Рузский</v>
      </c>
      <c r="C19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3" s="20" t="str">
        <f ca="1">IFERROR(__xludf.DUMMYFUNCTION("""COMPUTED_VALUE"""),"МинЖКХ")</f>
        <v>МинЖКХ</v>
      </c>
      <c r="E193" s="20" t="str">
        <f ca="1">IFERROR(__xludf.DUMMYFUNCTION("""COMPUTED_VALUE"""),"Приобретение, монтаж и ввод в эксплуатацию станции водоочистки на ВЗУв д. Леньково  д.2, стр.2, Рузский г.о.")</f>
        <v>Приобретение, монтаж и ввод в эксплуатацию станции водоочистки на ВЗУв д. Леньково  д.2, стр.2, Рузский г.о.</v>
      </c>
      <c r="F193" s="32" t="str">
        <f ca="1">IFERROR(__xludf.DUMMYFUNCTION("""COMPUTED_VALUE"""),"ВЗУ")</f>
        <v>ВЗУ</v>
      </c>
      <c r="G193" s="20">
        <f ca="1">IFERROR(__xludf.DUMMYFUNCTION("""COMPUTED_VALUE"""),2020)</f>
        <v>2020</v>
      </c>
      <c r="H193" s="20" t="str">
        <f ca="1">IFERROR(__xludf.DUMMYFUNCTION("""COMPUTED_VALUE"""),"Приобретение, монтаж")</f>
        <v>Приобретение, монтаж</v>
      </c>
      <c r="I193" s="23">
        <f ca="1">IFERROR(__xludf.DUMMYFUNCTION("""COMPUTED_VALUE"""),1)</f>
        <v>1</v>
      </c>
      <c r="J193" s="20" t="str">
        <f ca="1">IFERROR(__xludf.DUMMYFUNCTION("""COMPUTED_VALUE"""),"ЗАВЕРШЕНО")</f>
        <v>ЗАВЕРШЕНО</v>
      </c>
      <c r="K193" s="20">
        <f ca="1">IFERROR(__xludf.DUMMYFUNCTION("""COMPUTED_VALUE"""),57)</f>
        <v>57</v>
      </c>
      <c r="L193" s="20">
        <f ca="1">IFERROR(__xludf.DUMMYFUNCTION("""COMPUTED_VALUE"""),57)</f>
        <v>57</v>
      </c>
      <c r="M193" s="20"/>
      <c r="N193" s="24">
        <f ca="1">IFERROR(__xludf.DUMMYFUNCTION("""COMPUTED_VALUE"""),430.07)</f>
        <v>430.07</v>
      </c>
      <c r="O193" s="20"/>
      <c r="P193" s="24">
        <f ca="1">IFERROR(__xludf.DUMMYFUNCTION("""COMPUTED_VALUE"""),430.07)</f>
        <v>430.07</v>
      </c>
      <c r="Q193" s="20"/>
      <c r="R193" s="20"/>
      <c r="S193" s="20"/>
      <c r="T193" s="20"/>
      <c r="U193" s="24">
        <f ca="1">IFERROR(__xludf.DUMMYFUNCTION("""COMPUTED_VALUE"""),363.18)</f>
        <v>363.18</v>
      </c>
      <c r="V193" s="24">
        <f ca="1">IFERROR(__xludf.DUMMYFUNCTION("""COMPUTED_VALUE"""),0)</f>
        <v>0</v>
      </c>
      <c r="W193" s="24">
        <f ca="1">IFERROR(__xludf.DUMMYFUNCTION("""COMPUTED_VALUE"""),167.349999999999)</f>
        <v>167.349999999999</v>
      </c>
      <c r="X193" s="24">
        <f ca="1">IFERROR(__xludf.DUMMYFUNCTION("""COMPUTED_VALUE"""),0)</f>
        <v>0</v>
      </c>
      <c r="Y193" s="24">
        <f ca="1">IFERROR(__xludf.DUMMYFUNCTION("""COMPUTED_VALUE"""),195.83)</f>
        <v>195.83</v>
      </c>
      <c r="Z193" s="24">
        <f ca="1">IFERROR(__xludf.DUMMYFUNCTION("""COMPUTED_VALUE"""),0)</f>
        <v>0</v>
      </c>
      <c r="AA193" s="20" t="str">
        <f ca="1">IFERROR(__xludf.DUMMYFUNCTION("""COMPUTED_VALUE"""),"10 1 02 60330")</f>
        <v>10 1 02 60330</v>
      </c>
      <c r="AB193" s="20">
        <f ca="1">IFERROR(__xludf.DUMMYFUNCTION("""COMPUTED_VALUE"""),520)</f>
        <v>520</v>
      </c>
      <c r="AC193" s="20" t="str">
        <f ca="1">IFERROR(__xludf.DUMMYFUNCTION("""COMPUTED_VALUE"""),"Не требуется")</f>
        <v>Не требуется</v>
      </c>
      <c r="AD193" s="20" t="str">
        <f ca="1">IFERROR(__xludf.DUMMYFUNCTION("""COMPUTED_VALUE"""),"-")</f>
        <v>-</v>
      </c>
      <c r="AE193" s="20" t="str">
        <f ca="1">IFERROR(__xludf.DUMMYFUNCTION("""COMPUTED_VALUE"""),"-")</f>
        <v>-</v>
      </c>
      <c r="AF193" s="24">
        <f ca="1">IFERROR(__xludf.DUMMYFUNCTION("""COMPUTED_VALUE"""),793.25)</f>
        <v>793.25</v>
      </c>
      <c r="AG193" s="24">
        <f ca="1">IFERROR(__xludf.DUMMYFUNCTION("""COMPUTED_VALUE"""),0)</f>
        <v>0</v>
      </c>
      <c r="AH193" s="24">
        <f ca="1">IFERROR(__xludf.DUMMYFUNCTION("""COMPUTED_VALUE"""),597.42)</f>
        <v>597.41999999999996</v>
      </c>
      <c r="AI193" s="24">
        <f ca="1">IFERROR(__xludf.DUMMYFUNCTION("""COMPUTED_VALUE"""),0)</f>
        <v>0</v>
      </c>
      <c r="AJ193" s="24">
        <f ca="1">IFERROR(__xludf.DUMMYFUNCTION("""COMPUTED_VALUE"""),195.83)</f>
        <v>195.83</v>
      </c>
      <c r="AK193" s="24">
        <f ca="1">IFERROR(__xludf.DUMMYFUNCTION("""COMPUTED_VALUE"""),0)</f>
        <v>0</v>
      </c>
      <c r="AL193" s="24">
        <f ca="1">IFERROR(__xludf.DUMMYFUNCTION("""COMPUTED_VALUE"""),0)</f>
        <v>0</v>
      </c>
      <c r="AM193" s="20"/>
      <c r="AN193" s="20"/>
      <c r="AO193" s="20"/>
      <c r="AP193" s="20"/>
      <c r="AQ193" s="20"/>
      <c r="AR193" s="24">
        <f ca="1">IFERROR(__xludf.DUMMYFUNCTION("""COMPUTED_VALUE"""),0)</f>
        <v>0</v>
      </c>
      <c r="AS193" s="20"/>
      <c r="AT193" s="20"/>
      <c r="AU193" s="20"/>
      <c r="AV193" s="20"/>
      <c r="AW193" s="20"/>
      <c r="AX193" s="24">
        <f ca="1">IFERROR(__xludf.DUMMYFUNCTION("""COMPUTED_VALUE"""),793.25)</f>
        <v>793.25</v>
      </c>
      <c r="AY193" s="24">
        <f ca="1">IFERROR(__xludf.DUMMYFUNCTION("""COMPUTED_VALUE"""),0)</f>
        <v>0</v>
      </c>
      <c r="AZ193" s="24">
        <f ca="1">IFERROR(__xludf.DUMMYFUNCTION("""COMPUTED_VALUE"""),597.42)</f>
        <v>597.41999999999996</v>
      </c>
      <c r="BA193" s="24">
        <f ca="1">IFERROR(__xludf.DUMMYFUNCTION("""COMPUTED_VALUE"""),0)</f>
        <v>0</v>
      </c>
      <c r="BB193" s="24">
        <f ca="1">IFERROR(__xludf.DUMMYFUNCTION("""COMPUTED_VALUE"""),195.83)</f>
        <v>195.83</v>
      </c>
      <c r="BC193" s="20"/>
      <c r="BD193" s="24">
        <f ca="1">IFERROR(__xludf.DUMMYFUNCTION("""COMPUTED_VALUE"""),0)</f>
        <v>0</v>
      </c>
      <c r="BE193" s="24">
        <f ca="1">IFERROR(__xludf.DUMMYFUNCTION("""COMPUTED_VALUE"""),0)</f>
        <v>0</v>
      </c>
      <c r="BF193" s="24">
        <f ca="1">IFERROR(__xludf.DUMMYFUNCTION("""COMPUTED_VALUE"""),0)</f>
        <v>0</v>
      </c>
      <c r="BG193" s="24">
        <f ca="1">IFERROR(__xludf.DUMMYFUNCTION("""COMPUTED_VALUE"""),0)</f>
        <v>0</v>
      </c>
      <c r="BH193" s="24">
        <f ca="1">IFERROR(__xludf.DUMMYFUNCTION("""COMPUTED_VALUE"""),0)</f>
        <v>0</v>
      </c>
      <c r="BI193" s="20"/>
      <c r="BJ193" s="24">
        <f ca="1">IFERROR(__xludf.DUMMYFUNCTION("""COMPUTED_VALUE"""),0)</f>
        <v>0</v>
      </c>
      <c r="BK193" s="24">
        <f ca="1">IFERROR(__xludf.DUMMYFUNCTION("""COMPUTED_VALUE"""),0)</f>
        <v>0</v>
      </c>
      <c r="BL193" s="24">
        <f ca="1">IFERROR(__xludf.DUMMYFUNCTION("""COMPUTED_VALUE"""),0)</f>
        <v>0</v>
      </c>
      <c r="BM193" s="24">
        <f ca="1">IFERROR(__xludf.DUMMYFUNCTION("""COMPUTED_VALUE"""),0)</f>
        <v>0</v>
      </c>
      <c r="BN193" s="24">
        <f ca="1">IFERROR(__xludf.DUMMYFUNCTION("""COMPUTED_VALUE"""),0)</f>
        <v>0</v>
      </c>
      <c r="BO193" s="20"/>
      <c r="BP193" s="24">
        <f ca="1">IFERROR(__xludf.DUMMYFUNCTION("""COMPUTED_VALUE"""),0)</f>
        <v>0</v>
      </c>
      <c r="BQ193" s="24">
        <f ca="1">IFERROR(__xludf.DUMMYFUNCTION("""COMPUTED_VALUE"""),0)</f>
        <v>0</v>
      </c>
      <c r="BR193" s="24">
        <f ca="1">IFERROR(__xludf.DUMMYFUNCTION("""COMPUTED_VALUE"""),0)</f>
        <v>0</v>
      </c>
      <c r="BS193" s="24">
        <f ca="1">IFERROR(__xludf.DUMMYFUNCTION("""COMPUTED_VALUE"""),0)</f>
        <v>0</v>
      </c>
      <c r="BT193" s="24">
        <f ca="1">IFERROR(__xludf.DUMMYFUNCTION("""COMPUTED_VALUE"""),0)</f>
        <v>0</v>
      </c>
      <c r="BU193" s="20"/>
      <c r="BV193" s="24">
        <f ca="1">IFERROR(__xludf.DUMMYFUNCTION("""COMPUTED_VALUE"""),0)</f>
        <v>0</v>
      </c>
      <c r="BW193" s="24">
        <f ca="1">IFERROR(__xludf.DUMMYFUNCTION("""COMPUTED_VALUE"""),0)</f>
        <v>0</v>
      </c>
      <c r="BX193" s="24">
        <f ca="1">IFERROR(__xludf.DUMMYFUNCTION("""COMPUTED_VALUE"""),0)</f>
        <v>0</v>
      </c>
      <c r="BY193" s="24">
        <f ca="1">IFERROR(__xludf.DUMMYFUNCTION("""COMPUTED_VALUE"""),0)</f>
        <v>0</v>
      </c>
      <c r="BZ193" s="24">
        <f ca="1">IFERROR(__xludf.DUMMYFUNCTION("""COMPUTED_VALUE"""),0)</f>
        <v>0</v>
      </c>
      <c r="CA193" s="20"/>
      <c r="CB193" s="20"/>
      <c r="CC193" s="20"/>
      <c r="CD193" s="20"/>
      <c r="CE193" s="20"/>
      <c r="CF193" s="20"/>
      <c r="CG193" s="20"/>
      <c r="CH193" s="20"/>
      <c r="CI193" s="20"/>
      <c r="CJ193" s="20"/>
      <c r="CK193" s="20"/>
      <c r="CL193" s="20"/>
      <c r="CM193" s="20"/>
      <c r="CN193" s="20"/>
      <c r="CO193" s="20"/>
      <c r="CP193" s="20"/>
      <c r="CQ193" s="20"/>
      <c r="CR193" s="20"/>
      <c r="CS193" s="20"/>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row>
    <row r="194" spans="1:123" ht="64.5" customHeight="1" x14ac:dyDescent="0.2">
      <c r="A194" s="19"/>
      <c r="B194" s="20" t="str">
        <f ca="1">IFERROR(__xludf.DUMMYFUNCTION("""COMPUTED_VALUE"""),"г.о. Рузский")</f>
        <v>г.о. Рузский</v>
      </c>
      <c r="C19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4" s="20" t="str">
        <f ca="1">IFERROR(__xludf.DUMMYFUNCTION("""COMPUTED_VALUE"""),"МинЖКХ")</f>
        <v>МинЖКХ</v>
      </c>
      <c r="E194" s="20" t="str">
        <f ca="1">IFERROR(__xludf.DUMMYFUNCTION("""COMPUTED_VALUE"""),"Приобретение, монтаж и ввод в эксплуатацию станции водоочистки на ВЗУв д. Лихачево  д.108, Рузский г.о.")</f>
        <v>Приобретение, монтаж и ввод в эксплуатацию станции водоочистки на ВЗУв д. Лихачево  д.108, Рузский г.о.</v>
      </c>
      <c r="F194" s="32" t="str">
        <f ca="1">IFERROR(__xludf.DUMMYFUNCTION("""COMPUTED_VALUE"""),"ВЗУ")</f>
        <v>ВЗУ</v>
      </c>
      <c r="G194" s="20">
        <f ca="1">IFERROR(__xludf.DUMMYFUNCTION("""COMPUTED_VALUE"""),2020)</f>
        <v>2020</v>
      </c>
      <c r="H194" s="20" t="str">
        <f ca="1">IFERROR(__xludf.DUMMYFUNCTION("""COMPUTED_VALUE"""),"Приобретение, монтаж")</f>
        <v>Приобретение, монтаж</v>
      </c>
      <c r="I194" s="23">
        <f ca="1">IFERROR(__xludf.DUMMYFUNCTION("""COMPUTED_VALUE"""),0.9)</f>
        <v>0.9</v>
      </c>
      <c r="J194" s="20" t="str">
        <f ca="1">IFERROR(__xludf.DUMMYFUNCTION("""COMPUTED_VALUE"""),"Монтаж станций водоочистки осуществлен, станции не введены в эксплуатацию. Заказчиком ведется претензионная работа.")</f>
        <v>Монтаж станций водоочистки осуществлен, станции не введены в эксплуатацию. Заказчиком ведется претензионная работа.</v>
      </c>
      <c r="K194" s="20">
        <f ca="1">IFERROR(__xludf.DUMMYFUNCTION("""COMPUTED_VALUE"""),142)</f>
        <v>142</v>
      </c>
      <c r="L194" s="20">
        <f ca="1">IFERROR(__xludf.DUMMYFUNCTION("""COMPUTED_VALUE"""),142)</f>
        <v>142</v>
      </c>
      <c r="M194" s="20"/>
      <c r="N194" s="24">
        <f ca="1">IFERROR(__xludf.DUMMYFUNCTION("""COMPUTED_VALUE"""),1560.09)</f>
        <v>1560.09</v>
      </c>
      <c r="O194" s="20"/>
      <c r="P194" s="24">
        <f ca="1">IFERROR(__xludf.DUMMYFUNCTION("""COMPUTED_VALUE"""),1560.09)</f>
        <v>1560.09</v>
      </c>
      <c r="Q194" s="20"/>
      <c r="R194" s="20"/>
      <c r="S194" s="20"/>
      <c r="T194" s="20"/>
      <c r="U194" s="24">
        <f ca="1">IFERROR(__xludf.DUMMYFUNCTION("""COMPUTED_VALUE"""),765.94)</f>
        <v>765.94</v>
      </c>
      <c r="V194" s="24">
        <f ca="1">IFERROR(__xludf.DUMMYFUNCTION("""COMPUTED_VALUE"""),0)</f>
        <v>0</v>
      </c>
      <c r="W194" s="24">
        <f ca="1">IFERROR(__xludf.DUMMYFUNCTION("""COMPUTED_VALUE"""),192.33)</f>
        <v>192.33</v>
      </c>
      <c r="X194" s="24">
        <f ca="1">IFERROR(__xludf.DUMMYFUNCTION("""COMPUTED_VALUE"""),0)</f>
        <v>0</v>
      </c>
      <c r="Y194" s="24">
        <f ca="1">IFERROR(__xludf.DUMMYFUNCTION("""COMPUTED_VALUE"""),573.61)</f>
        <v>573.61</v>
      </c>
      <c r="Z194" s="24">
        <f ca="1">IFERROR(__xludf.DUMMYFUNCTION("""COMPUTED_VALUE"""),0)</f>
        <v>0</v>
      </c>
      <c r="AA194" s="20" t="str">
        <f ca="1">IFERROR(__xludf.DUMMYFUNCTION("""COMPUTED_VALUE"""),"10 1 02 60330")</f>
        <v>10 1 02 60330</v>
      </c>
      <c r="AB194" s="20">
        <f ca="1">IFERROR(__xludf.DUMMYFUNCTION("""COMPUTED_VALUE"""),520)</f>
        <v>520</v>
      </c>
      <c r="AC194" s="20" t="str">
        <f ca="1">IFERROR(__xludf.DUMMYFUNCTION("""COMPUTED_VALUE"""),"Не требуется")</f>
        <v>Не требуется</v>
      </c>
      <c r="AD194" s="20" t="str">
        <f ca="1">IFERROR(__xludf.DUMMYFUNCTION("""COMPUTED_VALUE"""),"-")</f>
        <v>-</v>
      </c>
      <c r="AE194" s="20" t="str">
        <f ca="1">IFERROR(__xludf.DUMMYFUNCTION("""COMPUTED_VALUE"""),"-")</f>
        <v>-</v>
      </c>
      <c r="AF194" s="24">
        <f ca="1">IFERROR(__xludf.DUMMYFUNCTION("""COMPUTED_VALUE"""),2326.03)</f>
        <v>2326.0300000000002</v>
      </c>
      <c r="AG194" s="24">
        <f ca="1">IFERROR(__xludf.DUMMYFUNCTION("""COMPUTED_VALUE"""),0)</f>
        <v>0</v>
      </c>
      <c r="AH194" s="24">
        <f ca="1">IFERROR(__xludf.DUMMYFUNCTION("""COMPUTED_VALUE"""),1752.42)</f>
        <v>1752.42</v>
      </c>
      <c r="AI194" s="24">
        <f ca="1">IFERROR(__xludf.DUMMYFUNCTION("""COMPUTED_VALUE"""),0)</f>
        <v>0</v>
      </c>
      <c r="AJ194" s="24">
        <f ca="1">IFERROR(__xludf.DUMMYFUNCTION("""COMPUTED_VALUE"""),573.61)</f>
        <v>573.61</v>
      </c>
      <c r="AK194" s="24">
        <f ca="1">IFERROR(__xludf.DUMMYFUNCTION("""COMPUTED_VALUE"""),0)</f>
        <v>0</v>
      </c>
      <c r="AL194" s="24">
        <f ca="1">IFERROR(__xludf.DUMMYFUNCTION("""COMPUTED_VALUE"""),0)</f>
        <v>0</v>
      </c>
      <c r="AM194" s="20"/>
      <c r="AN194" s="20"/>
      <c r="AO194" s="20"/>
      <c r="AP194" s="20"/>
      <c r="AQ194" s="20"/>
      <c r="AR194" s="24">
        <f ca="1">IFERROR(__xludf.DUMMYFUNCTION("""COMPUTED_VALUE"""),0)</f>
        <v>0</v>
      </c>
      <c r="AS194" s="20"/>
      <c r="AT194" s="20"/>
      <c r="AU194" s="20"/>
      <c r="AV194" s="20"/>
      <c r="AW194" s="20"/>
      <c r="AX194" s="24">
        <f ca="1">IFERROR(__xludf.DUMMYFUNCTION("""COMPUTED_VALUE"""),2326.03)</f>
        <v>2326.0300000000002</v>
      </c>
      <c r="AY194" s="24">
        <f ca="1">IFERROR(__xludf.DUMMYFUNCTION("""COMPUTED_VALUE"""),0)</f>
        <v>0</v>
      </c>
      <c r="AZ194" s="24">
        <f ca="1">IFERROR(__xludf.DUMMYFUNCTION("""COMPUTED_VALUE"""),1752.42)</f>
        <v>1752.42</v>
      </c>
      <c r="BA194" s="24">
        <f ca="1">IFERROR(__xludf.DUMMYFUNCTION("""COMPUTED_VALUE"""),0)</f>
        <v>0</v>
      </c>
      <c r="BB194" s="24">
        <f ca="1">IFERROR(__xludf.DUMMYFUNCTION("""COMPUTED_VALUE"""),573.61)</f>
        <v>573.61</v>
      </c>
      <c r="BC194" s="20"/>
      <c r="BD194" s="24">
        <f ca="1">IFERROR(__xludf.DUMMYFUNCTION("""COMPUTED_VALUE"""),0)</f>
        <v>0</v>
      </c>
      <c r="BE194" s="24">
        <f ca="1">IFERROR(__xludf.DUMMYFUNCTION("""COMPUTED_VALUE"""),0)</f>
        <v>0</v>
      </c>
      <c r="BF194" s="24">
        <f ca="1">IFERROR(__xludf.DUMMYFUNCTION("""COMPUTED_VALUE"""),0)</f>
        <v>0</v>
      </c>
      <c r="BG194" s="24">
        <f ca="1">IFERROR(__xludf.DUMMYFUNCTION("""COMPUTED_VALUE"""),0)</f>
        <v>0</v>
      </c>
      <c r="BH194" s="24">
        <f ca="1">IFERROR(__xludf.DUMMYFUNCTION("""COMPUTED_VALUE"""),0)</f>
        <v>0</v>
      </c>
      <c r="BI194" s="20"/>
      <c r="BJ194" s="24">
        <f ca="1">IFERROR(__xludf.DUMMYFUNCTION("""COMPUTED_VALUE"""),0)</f>
        <v>0</v>
      </c>
      <c r="BK194" s="24">
        <f ca="1">IFERROR(__xludf.DUMMYFUNCTION("""COMPUTED_VALUE"""),0)</f>
        <v>0</v>
      </c>
      <c r="BL194" s="24">
        <f ca="1">IFERROR(__xludf.DUMMYFUNCTION("""COMPUTED_VALUE"""),0)</f>
        <v>0</v>
      </c>
      <c r="BM194" s="24">
        <f ca="1">IFERROR(__xludf.DUMMYFUNCTION("""COMPUTED_VALUE"""),0)</f>
        <v>0</v>
      </c>
      <c r="BN194" s="24">
        <f ca="1">IFERROR(__xludf.DUMMYFUNCTION("""COMPUTED_VALUE"""),0)</f>
        <v>0</v>
      </c>
      <c r="BO194" s="20"/>
      <c r="BP194" s="24">
        <f ca="1">IFERROR(__xludf.DUMMYFUNCTION("""COMPUTED_VALUE"""),0)</f>
        <v>0</v>
      </c>
      <c r="BQ194" s="24">
        <f ca="1">IFERROR(__xludf.DUMMYFUNCTION("""COMPUTED_VALUE"""),0)</f>
        <v>0</v>
      </c>
      <c r="BR194" s="24">
        <f ca="1">IFERROR(__xludf.DUMMYFUNCTION("""COMPUTED_VALUE"""),0)</f>
        <v>0</v>
      </c>
      <c r="BS194" s="24">
        <f ca="1">IFERROR(__xludf.DUMMYFUNCTION("""COMPUTED_VALUE"""),0)</f>
        <v>0</v>
      </c>
      <c r="BT194" s="24">
        <f ca="1">IFERROR(__xludf.DUMMYFUNCTION("""COMPUTED_VALUE"""),0)</f>
        <v>0</v>
      </c>
      <c r="BU194" s="20"/>
      <c r="BV194" s="24">
        <f ca="1">IFERROR(__xludf.DUMMYFUNCTION("""COMPUTED_VALUE"""),0)</f>
        <v>0</v>
      </c>
      <c r="BW194" s="24">
        <f ca="1">IFERROR(__xludf.DUMMYFUNCTION("""COMPUTED_VALUE"""),0)</f>
        <v>0</v>
      </c>
      <c r="BX194" s="24">
        <f ca="1">IFERROR(__xludf.DUMMYFUNCTION("""COMPUTED_VALUE"""),0)</f>
        <v>0</v>
      </c>
      <c r="BY194" s="24">
        <f ca="1">IFERROR(__xludf.DUMMYFUNCTION("""COMPUTED_VALUE"""),0)</f>
        <v>0</v>
      </c>
      <c r="BZ194" s="24">
        <f ca="1">IFERROR(__xludf.DUMMYFUNCTION("""COMPUTED_VALUE"""),0)</f>
        <v>0</v>
      </c>
      <c r="CA194" s="20"/>
      <c r="CB194" s="20"/>
      <c r="CC194" s="20"/>
      <c r="CD194" s="20"/>
      <c r="CE194" s="20"/>
      <c r="CF194" s="20"/>
      <c r="CG194" s="20"/>
      <c r="CH194" s="20"/>
      <c r="CI194" s="20"/>
      <c r="CJ194" s="20"/>
      <c r="CK194" s="20"/>
      <c r="CL194" s="20"/>
      <c r="CM194" s="20"/>
      <c r="CN194" s="20"/>
      <c r="CO194" s="20"/>
      <c r="CP194" s="20"/>
      <c r="CQ194" s="20"/>
      <c r="CR194" s="20"/>
      <c r="CS194" s="20"/>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row>
    <row r="195" spans="1:123" ht="64.5" customHeight="1" x14ac:dyDescent="0.2">
      <c r="A195" s="19"/>
      <c r="B195" s="20" t="str">
        <f ca="1">IFERROR(__xludf.DUMMYFUNCTION("""COMPUTED_VALUE"""),"г.о. Рузский")</f>
        <v>г.о. Рузский</v>
      </c>
      <c r="C19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5" s="20" t="str">
        <f ca="1">IFERROR(__xludf.DUMMYFUNCTION("""COMPUTED_VALUE"""),"МинЖКХ")</f>
        <v>МинЖКХ</v>
      </c>
      <c r="E195" s="20" t="str">
        <f ca="1">IFERROR(__xludf.DUMMYFUNCTION("""COMPUTED_VALUE"""),"Приобретение, монтаж и ввод в эксплуатацию станции водоочистки на ВЗУв д. Ивойлово, соор.19, Рузский г.о.")</f>
        <v>Приобретение, монтаж и ввод в эксплуатацию станции водоочистки на ВЗУв д. Ивойлово, соор.19, Рузский г.о.</v>
      </c>
      <c r="F195" s="32" t="str">
        <f ca="1">IFERROR(__xludf.DUMMYFUNCTION("""COMPUTED_VALUE"""),"ВЗУ")</f>
        <v>ВЗУ</v>
      </c>
      <c r="G195" s="20">
        <f ca="1">IFERROR(__xludf.DUMMYFUNCTION("""COMPUTED_VALUE"""),2020)</f>
        <v>2020</v>
      </c>
      <c r="H195" s="20" t="str">
        <f ca="1">IFERROR(__xludf.DUMMYFUNCTION("""COMPUTED_VALUE"""),"Приобретение, монтаж")</f>
        <v>Приобретение, монтаж</v>
      </c>
      <c r="I195" s="23">
        <f ca="1">IFERROR(__xludf.DUMMYFUNCTION("""COMPUTED_VALUE"""),0.9)</f>
        <v>0.9</v>
      </c>
      <c r="J195" s="20" t="str">
        <f ca="1">IFERROR(__xludf.DUMMYFUNCTION("""COMPUTED_VALUE"""),"Монтаж станций водоочистки осуществлен, станции не введены в эксплуатацию. Заказчиком ведется претензионная работа.")</f>
        <v>Монтаж станций водоочистки осуществлен, станции не введены в эксплуатацию. Заказчиком ведется претензионная работа.</v>
      </c>
      <c r="K195" s="20">
        <f ca="1">IFERROR(__xludf.DUMMYFUNCTION("""COMPUTED_VALUE"""),316)</f>
        <v>316</v>
      </c>
      <c r="L195" s="20">
        <f ca="1">IFERROR(__xludf.DUMMYFUNCTION("""COMPUTED_VALUE"""),316)</f>
        <v>316</v>
      </c>
      <c r="M195" s="20"/>
      <c r="N195" s="24">
        <f ca="1">IFERROR(__xludf.DUMMYFUNCTION("""COMPUTED_VALUE"""),1559.39)</f>
        <v>1559.39</v>
      </c>
      <c r="O195" s="20"/>
      <c r="P195" s="24">
        <f ca="1">IFERROR(__xludf.DUMMYFUNCTION("""COMPUTED_VALUE"""),1559.39)</f>
        <v>1559.39</v>
      </c>
      <c r="Q195" s="20"/>
      <c r="R195" s="20"/>
      <c r="S195" s="20"/>
      <c r="T195" s="20"/>
      <c r="U195" s="24">
        <f ca="1">IFERROR(__xludf.DUMMYFUNCTION("""COMPUTED_VALUE"""),779.519999999999)</f>
        <v>779.51999999999896</v>
      </c>
      <c r="V195" s="24">
        <f ca="1">IFERROR(__xludf.DUMMYFUNCTION("""COMPUTED_VALUE"""),0)</f>
        <v>0</v>
      </c>
      <c r="W195" s="24">
        <f ca="1">IFERROR(__xludf.DUMMYFUNCTION("""COMPUTED_VALUE"""),202.029999999999)</f>
        <v>202.02999999999901</v>
      </c>
      <c r="X195" s="24">
        <f ca="1">IFERROR(__xludf.DUMMYFUNCTION("""COMPUTED_VALUE"""),0)</f>
        <v>0</v>
      </c>
      <c r="Y195" s="24">
        <f ca="1">IFERROR(__xludf.DUMMYFUNCTION("""COMPUTED_VALUE"""),577.49)</f>
        <v>577.49</v>
      </c>
      <c r="Z195" s="24">
        <f ca="1">IFERROR(__xludf.DUMMYFUNCTION("""COMPUTED_VALUE"""),0)</f>
        <v>0</v>
      </c>
      <c r="AA195" s="20" t="str">
        <f ca="1">IFERROR(__xludf.DUMMYFUNCTION("""COMPUTED_VALUE"""),"10 1 02 60330")</f>
        <v>10 1 02 60330</v>
      </c>
      <c r="AB195" s="20">
        <f ca="1">IFERROR(__xludf.DUMMYFUNCTION("""COMPUTED_VALUE"""),520)</f>
        <v>520</v>
      </c>
      <c r="AC195" s="20" t="str">
        <f ca="1">IFERROR(__xludf.DUMMYFUNCTION("""COMPUTED_VALUE"""),"Не требуется")</f>
        <v>Не требуется</v>
      </c>
      <c r="AD195" s="20" t="str">
        <f ca="1">IFERROR(__xludf.DUMMYFUNCTION("""COMPUTED_VALUE"""),"-")</f>
        <v>-</v>
      </c>
      <c r="AE195" s="20" t="str">
        <f ca="1">IFERROR(__xludf.DUMMYFUNCTION("""COMPUTED_VALUE"""),"-")</f>
        <v>-</v>
      </c>
      <c r="AF195" s="24">
        <f ca="1">IFERROR(__xludf.DUMMYFUNCTION("""COMPUTED_VALUE"""),2338.91)</f>
        <v>2338.91</v>
      </c>
      <c r="AG195" s="24">
        <f ca="1">IFERROR(__xludf.DUMMYFUNCTION("""COMPUTED_VALUE"""),0)</f>
        <v>0</v>
      </c>
      <c r="AH195" s="24">
        <f ca="1">IFERROR(__xludf.DUMMYFUNCTION("""COMPUTED_VALUE"""),1761.42)</f>
        <v>1761.42</v>
      </c>
      <c r="AI195" s="24">
        <f ca="1">IFERROR(__xludf.DUMMYFUNCTION("""COMPUTED_VALUE"""),0)</f>
        <v>0</v>
      </c>
      <c r="AJ195" s="24">
        <f ca="1">IFERROR(__xludf.DUMMYFUNCTION("""COMPUTED_VALUE"""),577.49)</f>
        <v>577.49</v>
      </c>
      <c r="AK195" s="24">
        <f ca="1">IFERROR(__xludf.DUMMYFUNCTION("""COMPUTED_VALUE"""),0)</f>
        <v>0</v>
      </c>
      <c r="AL195" s="24">
        <f ca="1">IFERROR(__xludf.DUMMYFUNCTION("""COMPUTED_VALUE"""),0)</f>
        <v>0</v>
      </c>
      <c r="AM195" s="20"/>
      <c r="AN195" s="20"/>
      <c r="AO195" s="20"/>
      <c r="AP195" s="20"/>
      <c r="AQ195" s="20"/>
      <c r="AR195" s="24">
        <f ca="1">IFERROR(__xludf.DUMMYFUNCTION("""COMPUTED_VALUE"""),0)</f>
        <v>0</v>
      </c>
      <c r="AS195" s="20"/>
      <c r="AT195" s="20"/>
      <c r="AU195" s="20"/>
      <c r="AV195" s="20"/>
      <c r="AW195" s="20"/>
      <c r="AX195" s="24">
        <f ca="1">IFERROR(__xludf.DUMMYFUNCTION("""COMPUTED_VALUE"""),2338.91)</f>
        <v>2338.91</v>
      </c>
      <c r="AY195" s="24">
        <f ca="1">IFERROR(__xludf.DUMMYFUNCTION("""COMPUTED_VALUE"""),0)</f>
        <v>0</v>
      </c>
      <c r="AZ195" s="24">
        <f ca="1">IFERROR(__xludf.DUMMYFUNCTION("""COMPUTED_VALUE"""),1761.42)</f>
        <v>1761.42</v>
      </c>
      <c r="BA195" s="24">
        <f ca="1">IFERROR(__xludf.DUMMYFUNCTION("""COMPUTED_VALUE"""),0)</f>
        <v>0</v>
      </c>
      <c r="BB195" s="24">
        <f ca="1">IFERROR(__xludf.DUMMYFUNCTION("""COMPUTED_VALUE"""),577.49)</f>
        <v>577.49</v>
      </c>
      <c r="BC195" s="20"/>
      <c r="BD195" s="24">
        <f ca="1">IFERROR(__xludf.DUMMYFUNCTION("""COMPUTED_VALUE"""),0)</f>
        <v>0</v>
      </c>
      <c r="BE195" s="24">
        <f ca="1">IFERROR(__xludf.DUMMYFUNCTION("""COMPUTED_VALUE"""),0)</f>
        <v>0</v>
      </c>
      <c r="BF195" s="24">
        <f ca="1">IFERROR(__xludf.DUMMYFUNCTION("""COMPUTED_VALUE"""),0)</f>
        <v>0</v>
      </c>
      <c r="BG195" s="24">
        <f ca="1">IFERROR(__xludf.DUMMYFUNCTION("""COMPUTED_VALUE"""),0)</f>
        <v>0</v>
      </c>
      <c r="BH195" s="24">
        <f ca="1">IFERROR(__xludf.DUMMYFUNCTION("""COMPUTED_VALUE"""),0)</f>
        <v>0</v>
      </c>
      <c r="BI195" s="20"/>
      <c r="BJ195" s="24">
        <f ca="1">IFERROR(__xludf.DUMMYFUNCTION("""COMPUTED_VALUE"""),0)</f>
        <v>0</v>
      </c>
      <c r="BK195" s="24">
        <f ca="1">IFERROR(__xludf.DUMMYFUNCTION("""COMPUTED_VALUE"""),0)</f>
        <v>0</v>
      </c>
      <c r="BL195" s="24">
        <f ca="1">IFERROR(__xludf.DUMMYFUNCTION("""COMPUTED_VALUE"""),0)</f>
        <v>0</v>
      </c>
      <c r="BM195" s="24">
        <f ca="1">IFERROR(__xludf.DUMMYFUNCTION("""COMPUTED_VALUE"""),0)</f>
        <v>0</v>
      </c>
      <c r="BN195" s="24">
        <f ca="1">IFERROR(__xludf.DUMMYFUNCTION("""COMPUTED_VALUE"""),0)</f>
        <v>0</v>
      </c>
      <c r="BO195" s="20"/>
      <c r="BP195" s="24">
        <f ca="1">IFERROR(__xludf.DUMMYFUNCTION("""COMPUTED_VALUE"""),0)</f>
        <v>0</v>
      </c>
      <c r="BQ195" s="24">
        <f ca="1">IFERROR(__xludf.DUMMYFUNCTION("""COMPUTED_VALUE"""),0)</f>
        <v>0</v>
      </c>
      <c r="BR195" s="24">
        <f ca="1">IFERROR(__xludf.DUMMYFUNCTION("""COMPUTED_VALUE"""),0)</f>
        <v>0</v>
      </c>
      <c r="BS195" s="24">
        <f ca="1">IFERROR(__xludf.DUMMYFUNCTION("""COMPUTED_VALUE"""),0)</f>
        <v>0</v>
      </c>
      <c r="BT195" s="24">
        <f ca="1">IFERROR(__xludf.DUMMYFUNCTION("""COMPUTED_VALUE"""),0)</f>
        <v>0</v>
      </c>
      <c r="BU195" s="20"/>
      <c r="BV195" s="24">
        <f ca="1">IFERROR(__xludf.DUMMYFUNCTION("""COMPUTED_VALUE"""),0)</f>
        <v>0</v>
      </c>
      <c r="BW195" s="24">
        <f ca="1">IFERROR(__xludf.DUMMYFUNCTION("""COMPUTED_VALUE"""),0)</f>
        <v>0</v>
      </c>
      <c r="BX195" s="24">
        <f ca="1">IFERROR(__xludf.DUMMYFUNCTION("""COMPUTED_VALUE"""),0)</f>
        <v>0</v>
      </c>
      <c r="BY195" s="24">
        <f ca="1">IFERROR(__xludf.DUMMYFUNCTION("""COMPUTED_VALUE"""),0)</f>
        <v>0</v>
      </c>
      <c r="BZ195" s="24">
        <f ca="1">IFERROR(__xludf.DUMMYFUNCTION("""COMPUTED_VALUE"""),0)</f>
        <v>0</v>
      </c>
      <c r="CA195" s="20"/>
      <c r="CB195" s="20"/>
      <c r="CC195" s="20"/>
      <c r="CD195" s="20"/>
      <c r="CE195" s="20"/>
      <c r="CF195" s="20"/>
      <c r="CG195" s="20"/>
      <c r="CH195" s="20"/>
      <c r="CI195" s="20"/>
      <c r="CJ195" s="20"/>
      <c r="CK195" s="20"/>
      <c r="CL195" s="20"/>
      <c r="CM195" s="20"/>
      <c r="CN195" s="20"/>
      <c r="CO195" s="20"/>
      <c r="CP195" s="20"/>
      <c r="CQ195" s="20"/>
      <c r="CR195" s="20"/>
      <c r="CS195" s="20"/>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row>
    <row r="196" spans="1:123" ht="64.5" hidden="1" customHeight="1" x14ac:dyDescent="0.2">
      <c r="A196" s="19"/>
      <c r="B196" s="20" t="str">
        <f ca="1">IFERROR(__xludf.DUMMYFUNCTION("""COMPUTED_VALUE"""),"г.о. Рузский")</f>
        <v>г.о. Рузский</v>
      </c>
      <c r="C19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6" s="20" t="str">
        <f ca="1">IFERROR(__xludf.DUMMYFUNCTION("""COMPUTED_VALUE"""),"МинЖКХ")</f>
        <v>МинЖКХ</v>
      </c>
      <c r="E196" s="20" t="str">
        <f ca="1">IFERROR(__xludf.DUMMYFUNCTION("""COMPUTED_VALUE"""),"Приобретение, монтаж и ввод в эксплуатацию станции водоочистки на ВЗУв д. Комлево,  Рузский г.о.")</f>
        <v>Приобретение, монтаж и ввод в эксплуатацию станции водоочистки на ВЗУв д. Комлево,  Рузский г.о.</v>
      </c>
      <c r="F196" s="32" t="str">
        <f ca="1">IFERROR(__xludf.DUMMYFUNCTION("""COMPUTED_VALUE"""),"ВЗУ")</f>
        <v>ВЗУ</v>
      </c>
      <c r="G196" s="20">
        <f ca="1">IFERROR(__xludf.DUMMYFUNCTION("""COMPUTED_VALUE"""),2021)</f>
        <v>2021</v>
      </c>
      <c r="H196" s="20" t="str">
        <f ca="1">IFERROR(__xludf.DUMMYFUNCTION("""COMPUTED_VALUE"""),"Приобретение, монтаж")</f>
        <v>Приобретение, монтаж</v>
      </c>
      <c r="I196" s="20"/>
      <c r="J196" s="20"/>
      <c r="K196" s="20"/>
      <c r="L196" s="20"/>
      <c r="M196" s="20"/>
      <c r="N196" s="24">
        <f ca="1">IFERROR(__xludf.DUMMYFUNCTION("""COMPUTED_VALUE"""),0)</f>
        <v>0</v>
      </c>
      <c r="O196" s="20"/>
      <c r="P196" s="20"/>
      <c r="Q196" s="20"/>
      <c r="R196" s="20"/>
      <c r="S196" s="20"/>
      <c r="T196" s="20"/>
      <c r="U196" s="24">
        <f ca="1">IFERROR(__xludf.DUMMYFUNCTION("""COMPUTED_VALUE"""),0)</f>
        <v>0</v>
      </c>
      <c r="V196" s="24">
        <f ca="1">IFERROR(__xludf.DUMMYFUNCTION("""COMPUTED_VALUE"""),0)</f>
        <v>0</v>
      </c>
      <c r="W196" s="24">
        <f ca="1">IFERROR(__xludf.DUMMYFUNCTION("""COMPUTED_VALUE"""),0)</f>
        <v>0</v>
      </c>
      <c r="X196" s="24">
        <f ca="1">IFERROR(__xludf.DUMMYFUNCTION("""COMPUTED_VALUE"""),0)</f>
        <v>0</v>
      </c>
      <c r="Y196" s="24">
        <f ca="1">IFERROR(__xludf.DUMMYFUNCTION("""COMPUTED_VALUE"""),0)</f>
        <v>0</v>
      </c>
      <c r="Z196" s="24">
        <f ca="1">IFERROR(__xludf.DUMMYFUNCTION("""COMPUTED_VALUE"""),0)</f>
        <v>0</v>
      </c>
      <c r="AA196" s="20" t="str">
        <f ca="1">IFERROR(__xludf.DUMMYFUNCTION("""COMPUTED_VALUE"""),"10 1 02 60330")</f>
        <v>10 1 02 60330</v>
      </c>
      <c r="AB196" s="20">
        <f ca="1">IFERROR(__xludf.DUMMYFUNCTION("""COMPUTED_VALUE"""),520)</f>
        <v>520</v>
      </c>
      <c r="AC196" s="20" t="str">
        <f ca="1">IFERROR(__xludf.DUMMYFUNCTION("""COMPUTED_VALUE"""),"Не требуется")</f>
        <v>Не требуется</v>
      </c>
      <c r="AD196" s="20" t="str">
        <f ca="1">IFERROR(__xludf.DUMMYFUNCTION("""COMPUTED_VALUE"""),"-")</f>
        <v>-</v>
      </c>
      <c r="AE196" s="20" t="str">
        <f ca="1">IFERROR(__xludf.DUMMYFUNCTION("""COMPUTED_VALUE"""),"-")</f>
        <v>-</v>
      </c>
      <c r="AF196" s="24">
        <f ca="1">IFERROR(__xludf.DUMMYFUNCTION("""COMPUTED_VALUE"""),2306)</f>
        <v>2306</v>
      </c>
      <c r="AG196" s="24">
        <f ca="1">IFERROR(__xludf.DUMMYFUNCTION("""COMPUTED_VALUE"""),0)</f>
        <v>0</v>
      </c>
      <c r="AH196" s="24">
        <f ca="1">IFERROR(__xludf.DUMMYFUNCTION("""COMPUTED_VALUE"""),1736.4)</f>
        <v>1736.4</v>
      </c>
      <c r="AI196" s="24">
        <f ca="1">IFERROR(__xludf.DUMMYFUNCTION("""COMPUTED_VALUE"""),0)</f>
        <v>0</v>
      </c>
      <c r="AJ196" s="24">
        <f ca="1">IFERROR(__xludf.DUMMYFUNCTION("""COMPUTED_VALUE"""),569.6)</f>
        <v>569.6</v>
      </c>
      <c r="AK196" s="24">
        <f ca="1">IFERROR(__xludf.DUMMYFUNCTION("""COMPUTED_VALUE"""),0)</f>
        <v>0</v>
      </c>
      <c r="AL196" s="24">
        <f ca="1">IFERROR(__xludf.DUMMYFUNCTION("""COMPUTED_VALUE"""),0)</f>
        <v>0</v>
      </c>
      <c r="AM196" s="20"/>
      <c r="AN196" s="20"/>
      <c r="AO196" s="20"/>
      <c r="AP196" s="20"/>
      <c r="AQ196" s="20"/>
      <c r="AR196" s="24">
        <f ca="1">IFERROR(__xludf.DUMMYFUNCTION("""COMPUTED_VALUE"""),0)</f>
        <v>0</v>
      </c>
      <c r="AS196" s="20"/>
      <c r="AT196" s="20"/>
      <c r="AU196" s="20"/>
      <c r="AV196" s="20"/>
      <c r="AW196" s="20"/>
      <c r="AX196" s="24">
        <f ca="1">IFERROR(__xludf.DUMMYFUNCTION("""COMPUTED_VALUE"""),0)</f>
        <v>0</v>
      </c>
      <c r="AY196" s="24">
        <f ca="1">IFERROR(__xludf.DUMMYFUNCTION("""COMPUTED_VALUE"""),0)</f>
        <v>0</v>
      </c>
      <c r="AZ196" s="24">
        <f ca="1">IFERROR(__xludf.DUMMYFUNCTION("""COMPUTED_VALUE"""),0)</f>
        <v>0</v>
      </c>
      <c r="BA196" s="24">
        <f ca="1">IFERROR(__xludf.DUMMYFUNCTION("""COMPUTED_VALUE"""),0)</f>
        <v>0</v>
      </c>
      <c r="BB196" s="24">
        <f ca="1">IFERROR(__xludf.DUMMYFUNCTION("""COMPUTED_VALUE"""),0)</f>
        <v>0</v>
      </c>
      <c r="BC196" s="20"/>
      <c r="BD196" s="24">
        <f ca="1">IFERROR(__xludf.DUMMYFUNCTION("""COMPUTED_VALUE"""),0)</f>
        <v>0</v>
      </c>
      <c r="BE196" s="24">
        <f ca="1">IFERROR(__xludf.DUMMYFUNCTION("""COMPUTED_VALUE"""),0)</f>
        <v>0</v>
      </c>
      <c r="BF196" s="24">
        <f ca="1">IFERROR(__xludf.DUMMYFUNCTION("""COMPUTED_VALUE"""),0)</f>
        <v>0</v>
      </c>
      <c r="BG196" s="24">
        <f ca="1">IFERROR(__xludf.DUMMYFUNCTION("""COMPUTED_VALUE"""),0)</f>
        <v>0</v>
      </c>
      <c r="BH196" s="24">
        <f ca="1">IFERROR(__xludf.DUMMYFUNCTION("""COMPUTED_VALUE"""),0)</f>
        <v>0</v>
      </c>
      <c r="BI196" s="20"/>
      <c r="BJ196" s="24">
        <f ca="1">IFERROR(__xludf.DUMMYFUNCTION("""COMPUTED_VALUE"""),2306)</f>
        <v>2306</v>
      </c>
      <c r="BK196" s="24">
        <f ca="1">IFERROR(__xludf.DUMMYFUNCTION("""COMPUTED_VALUE"""),0)</f>
        <v>0</v>
      </c>
      <c r="BL196" s="24">
        <f ca="1">IFERROR(__xludf.DUMMYFUNCTION("""COMPUTED_VALUE"""),1736.4)</f>
        <v>1736.4</v>
      </c>
      <c r="BM196" s="24">
        <f ca="1">IFERROR(__xludf.DUMMYFUNCTION("""COMPUTED_VALUE"""),0)</f>
        <v>0</v>
      </c>
      <c r="BN196" s="24">
        <f ca="1">IFERROR(__xludf.DUMMYFUNCTION("""COMPUTED_VALUE"""),569.6)</f>
        <v>569.6</v>
      </c>
      <c r="BO196" s="20"/>
      <c r="BP196" s="24">
        <f ca="1">IFERROR(__xludf.DUMMYFUNCTION("""COMPUTED_VALUE"""),0)</f>
        <v>0</v>
      </c>
      <c r="BQ196" s="24">
        <f ca="1">IFERROR(__xludf.DUMMYFUNCTION("""COMPUTED_VALUE"""),0)</f>
        <v>0</v>
      </c>
      <c r="BR196" s="24">
        <f ca="1">IFERROR(__xludf.DUMMYFUNCTION("""COMPUTED_VALUE"""),0)</f>
        <v>0</v>
      </c>
      <c r="BS196" s="24">
        <f ca="1">IFERROR(__xludf.DUMMYFUNCTION("""COMPUTED_VALUE"""),0)</f>
        <v>0</v>
      </c>
      <c r="BT196" s="24">
        <f ca="1">IFERROR(__xludf.DUMMYFUNCTION("""COMPUTED_VALUE"""),0)</f>
        <v>0</v>
      </c>
      <c r="BU196" s="20"/>
      <c r="BV196" s="24">
        <f ca="1">IFERROR(__xludf.DUMMYFUNCTION("""COMPUTED_VALUE"""),0)</f>
        <v>0</v>
      </c>
      <c r="BW196" s="24">
        <f ca="1">IFERROR(__xludf.DUMMYFUNCTION("""COMPUTED_VALUE"""),0)</f>
        <v>0</v>
      </c>
      <c r="BX196" s="24">
        <f ca="1">IFERROR(__xludf.DUMMYFUNCTION("""COMPUTED_VALUE"""),0)</f>
        <v>0</v>
      </c>
      <c r="BY196" s="24">
        <f ca="1">IFERROR(__xludf.DUMMYFUNCTION("""COMPUTED_VALUE"""),0)</f>
        <v>0</v>
      </c>
      <c r="BZ196" s="24">
        <f ca="1">IFERROR(__xludf.DUMMYFUNCTION("""COMPUTED_VALUE"""),0)</f>
        <v>0</v>
      </c>
      <c r="CA196" s="20"/>
      <c r="CB196" s="20"/>
      <c r="CC196" s="20"/>
      <c r="CD196" s="20"/>
      <c r="CE196" s="20"/>
      <c r="CF196" s="20"/>
      <c r="CG196" s="20"/>
      <c r="CH196" s="20"/>
      <c r="CI196" s="20"/>
      <c r="CJ196" s="20"/>
      <c r="CK196" s="20"/>
      <c r="CL196" s="20"/>
      <c r="CM196" s="20"/>
      <c r="CN196" s="20"/>
      <c r="CO196" s="20"/>
      <c r="CP196" s="20"/>
      <c r="CQ196" s="20"/>
      <c r="CR196" s="20"/>
      <c r="CS196" s="20"/>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row>
    <row r="197" spans="1:123" ht="64.5" hidden="1" customHeight="1" x14ac:dyDescent="0.2">
      <c r="A197" s="19"/>
      <c r="B197" s="20" t="str">
        <f ca="1">IFERROR(__xludf.DUMMYFUNCTION("""COMPUTED_VALUE"""),"г.о. Рузский")</f>
        <v>г.о. Рузский</v>
      </c>
      <c r="C19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7" s="20" t="str">
        <f ca="1">IFERROR(__xludf.DUMMYFUNCTION("""COMPUTED_VALUE"""),"МинЖКХ")</f>
        <v>МинЖКХ</v>
      </c>
      <c r="E197" s="20" t="str">
        <f ca="1">IFERROR(__xludf.DUMMYFUNCTION("""COMPUTED_VALUE"""),"Приобретение, монтаж и ввод в эксплуатацию станции водоочистки на ВЗУв д. Городище, п/ст151, соор.2В,  Рузский г.о.")</f>
        <v>Приобретение, монтаж и ввод в эксплуатацию станции водоочистки на ВЗУв д. Городище, п/ст151, соор.2В,  Рузский г.о.</v>
      </c>
      <c r="F197" s="32" t="str">
        <f ca="1">IFERROR(__xludf.DUMMYFUNCTION("""COMPUTED_VALUE"""),"ВЗУ")</f>
        <v>ВЗУ</v>
      </c>
      <c r="G197" s="20">
        <f ca="1">IFERROR(__xludf.DUMMYFUNCTION("""COMPUTED_VALUE"""),2021)</f>
        <v>2021</v>
      </c>
      <c r="H197" s="20" t="str">
        <f ca="1">IFERROR(__xludf.DUMMYFUNCTION("""COMPUTED_VALUE"""),"Приобретение, монтаж")</f>
        <v>Приобретение, монтаж</v>
      </c>
      <c r="I197" s="20"/>
      <c r="J197" s="20"/>
      <c r="K197" s="20"/>
      <c r="L197" s="20"/>
      <c r="M197" s="20"/>
      <c r="N197" s="24">
        <f ca="1">IFERROR(__xludf.DUMMYFUNCTION("""COMPUTED_VALUE"""),0)</f>
        <v>0</v>
      </c>
      <c r="O197" s="20"/>
      <c r="P197" s="20"/>
      <c r="Q197" s="20"/>
      <c r="R197" s="20"/>
      <c r="S197" s="20"/>
      <c r="T197" s="20"/>
      <c r="U197" s="24">
        <f ca="1">IFERROR(__xludf.DUMMYFUNCTION("""COMPUTED_VALUE"""),0)</f>
        <v>0</v>
      </c>
      <c r="V197" s="24">
        <f ca="1">IFERROR(__xludf.DUMMYFUNCTION("""COMPUTED_VALUE"""),0)</f>
        <v>0</v>
      </c>
      <c r="W197" s="24">
        <f ca="1">IFERROR(__xludf.DUMMYFUNCTION("""COMPUTED_VALUE"""),0)</f>
        <v>0</v>
      </c>
      <c r="X197" s="24">
        <f ca="1">IFERROR(__xludf.DUMMYFUNCTION("""COMPUTED_VALUE"""),0)</f>
        <v>0</v>
      </c>
      <c r="Y197" s="24">
        <f ca="1">IFERROR(__xludf.DUMMYFUNCTION("""COMPUTED_VALUE"""),0)</f>
        <v>0</v>
      </c>
      <c r="Z197" s="24">
        <f ca="1">IFERROR(__xludf.DUMMYFUNCTION("""COMPUTED_VALUE"""),0)</f>
        <v>0</v>
      </c>
      <c r="AA197" s="20" t="str">
        <f ca="1">IFERROR(__xludf.DUMMYFUNCTION("""COMPUTED_VALUE"""),"10 1 02 60330")</f>
        <v>10 1 02 60330</v>
      </c>
      <c r="AB197" s="20">
        <f ca="1">IFERROR(__xludf.DUMMYFUNCTION("""COMPUTED_VALUE"""),520)</f>
        <v>520</v>
      </c>
      <c r="AC197" s="20" t="str">
        <f ca="1">IFERROR(__xludf.DUMMYFUNCTION("""COMPUTED_VALUE"""),"Не требуется")</f>
        <v>Не требуется</v>
      </c>
      <c r="AD197" s="20" t="str">
        <f ca="1">IFERROR(__xludf.DUMMYFUNCTION("""COMPUTED_VALUE"""),"-")</f>
        <v>-</v>
      </c>
      <c r="AE197" s="20" t="str">
        <f ca="1">IFERROR(__xludf.DUMMYFUNCTION("""COMPUTED_VALUE"""),"-")</f>
        <v>-</v>
      </c>
      <c r="AF197" s="24">
        <f ca="1">IFERROR(__xludf.DUMMYFUNCTION("""COMPUTED_VALUE"""),2306)</f>
        <v>2306</v>
      </c>
      <c r="AG197" s="24">
        <f ca="1">IFERROR(__xludf.DUMMYFUNCTION("""COMPUTED_VALUE"""),0)</f>
        <v>0</v>
      </c>
      <c r="AH197" s="24">
        <f ca="1">IFERROR(__xludf.DUMMYFUNCTION("""COMPUTED_VALUE"""),1736.4)</f>
        <v>1736.4</v>
      </c>
      <c r="AI197" s="24">
        <f ca="1">IFERROR(__xludf.DUMMYFUNCTION("""COMPUTED_VALUE"""),0)</f>
        <v>0</v>
      </c>
      <c r="AJ197" s="24">
        <f ca="1">IFERROR(__xludf.DUMMYFUNCTION("""COMPUTED_VALUE"""),569.6)</f>
        <v>569.6</v>
      </c>
      <c r="AK197" s="24">
        <f ca="1">IFERROR(__xludf.DUMMYFUNCTION("""COMPUTED_VALUE"""),0)</f>
        <v>0</v>
      </c>
      <c r="AL197" s="24">
        <f ca="1">IFERROR(__xludf.DUMMYFUNCTION("""COMPUTED_VALUE"""),0)</f>
        <v>0</v>
      </c>
      <c r="AM197" s="20"/>
      <c r="AN197" s="20"/>
      <c r="AO197" s="20"/>
      <c r="AP197" s="20"/>
      <c r="AQ197" s="20"/>
      <c r="AR197" s="24">
        <f ca="1">IFERROR(__xludf.DUMMYFUNCTION("""COMPUTED_VALUE"""),0)</f>
        <v>0</v>
      </c>
      <c r="AS197" s="20"/>
      <c r="AT197" s="20"/>
      <c r="AU197" s="20"/>
      <c r="AV197" s="20"/>
      <c r="AW197" s="20"/>
      <c r="AX197" s="24">
        <f ca="1">IFERROR(__xludf.DUMMYFUNCTION("""COMPUTED_VALUE"""),0)</f>
        <v>0</v>
      </c>
      <c r="AY197" s="24">
        <f ca="1">IFERROR(__xludf.DUMMYFUNCTION("""COMPUTED_VALUE"""),0)</f>
        <v>0</v>
      </c>
      <c r="AZ197" s="24">
        <f ca="1">IFERROR(__xludf.DUMMYFUNCTION("""COMPUTED_VALUE"""),0)</f>
        <v>0</v>
      </c>
      <c r="BA197" s="24">
        <f ca="1">IFERROR(__xludf.DUMMYFUNCTION("""COMPUTED_VALUE"""),0)</f>
        <v>0</v>
      </c>
      <c r="BB197" s="24">
        <f ca="1">IFERROR(__xludf.DUMMYFUNCTION("""COMPUTED_VALUE"""),0)</f>
        <v>0</v>
      </c>
      <c r="BC197" s="20"/>
      <c r="BD197" s="24">
        <f ca="1">IFERROR(__xludf.DUMMYFUNCTION("""COMPUTED_VALUE"""),0)</f>
        <v>0</v>
      </c>
      <c r="BE197" s="24">
        <f ca="1">IFERROR(__xludf.DUMMYFUNCTION("""COMPUTED_VALUE"""),0)</f>
        <v>0</v>
      </c>
      <c r="BF197" s="24">
        <f ca="1">IFERROR(__xludf.DUMMYFUNCTION("""COMPUTED_VALUE"""),0)</f>
        <v>0</v>
      </c>
      <c r="BG197" s="24">
        <f ca="1">IFERROR(__xludf.DUMMYFUNCTION("""COMPUTED_VALUE"""),0)</f>
        <v>0</v>
      </c>
      <c r="BH197" s="24">
        <f ca="1">IFERROR(__xludf.DUMMYFUNCTION("""COMPUTED_VALUE"""),0)</f>
        <v>0</v>
      </c>
      <c r="BI197" s="20"/>
      <c r="BJ197" s="24">
        <f ca="1">IFERROR(__xludf.DUMMYFUNCTION("""COMPUTED_VALUE"""),2306)</f>
        <v>2306</v>
      </c>
      <c r="BK197" s="24">
        <f ca="1">IFERROR(__xludf.DUMMYFUNCTION("""COMPUTED_VALUE"""),0)</f>
        <v>0</v>
      </c>
      <c r="BL197" s="24">
        <f ca="1">IFERROR(__xludf.DUMMYFUNCTION("""COMPUTED_VALUE"""),1736.4)</f>
        <v>1736.4</v>
      </c>
      <c r="BM197" s="24">
        <f ca="1">IFERROR(__xludf.DUMMYFUNCTION("""COMPUTED_VALUE"""),0)</f>
        <v>0</v>
      </c>
      <c r="BN197" s="24">
        <f ca="1">IFERROR(__xludf.DUMMYFUNCTION("""COMPUTED_VALUE"""),569.6)</f>
        <v>569.6</v>
      </c>
      <c r="BO197" s="20"/>
      <c r="BP197" s="24">
        <f ca="1">IFERROR(__xludf.DUMMYFUNCTION("""COMPUTED_VALUE"""),0)</f>
        <v>0</v>
      </c>
      <c r="BQ197" s="24">
        <f ca="1">IFERROR(__xludf.DUMMYFUNCTION("""COMPUTED_VALUE"""),0)</f>
        <v>0</v>
      </c>
      <c r="BR197" s="24">
        <f ca="1">IFERROR(__xludf.DUMMYFUNCTION("""COMPUTED_VALUE"""),0)</f>
        <v>0</v>
      </c>
      <c r="BS197" s="24">
        <f ca="1">IFERROR(__xludf.DUMMYFUNCTION("""COMPUTED_VALUE"""),0)</f>
        <v>0</v>
      </c>
      <c r="BT197" s="24">
        <f ca="1">IFERROR(__xludf.DUMMYFUNCTION("""COMPUTED_VALUE"""),0)</f>
        <v>0</v>
      </c>
      <c r="BU197" s="20"/>
      <c r="BV197" s="24">
        <f ca="1">IFERROR(__xludf.DUMMYFUNCTION("""COMPUTED_VALUE"""),0)</f>
        <v>0</v>
      </c>
      <c r="BW197" s="24">
        <f ca="1">IFERROR(__xludf.DUMMYFUNCTION("""COMPUTED_VALUE"""),0)</f>
        <v>0</v>
      </c>
      <c r="BX197" s="24">
        <f ca="1">IFERROR(__xludf.DUMMYFUNCTION("""COMPUTED_VALUE"""),0)</f>
        <v>0</v>
      </c>
      <c r="BY197" s="24">
        <f ca="1">IFERROR(__xludf.DUMMYFUNCTION("""COMPUTED_VALUE"""),0)</f>
        <v>0</v>
      </c>
      <c r="BZ197" s="24">
        <f ca="1">IFERROR(__xludf.DUMMYFUNCTION("""COMPUTED_VALUE"""),0)</f>
        <v>0</v>
      </c>
      <c r="CA197" s="20"/>
      <c r="CB197" s="20"/>
      <c r="CC197" s="20"/>
      <c r="CD197" s="20"/>
      <c r="CE197" s="20"/>
      <c r="CF197" s="20"/>
      <c r="CG197" s="20"/>
      <c r="CH197" s="20"/>
      <c r="CI197" s="20"/>
      <c r="CJ197" s="20"/>
      <c r="CK197" s="20"/>
      <c r="CL197" s="20"/>
      <c r="CM197" s="20"/>
      <c r="CN197" s="20"/>
      <c r="CO197" s="20"/>
      <c r="CP197" s="20"/>
      <c r="CQ197" s="20"/>
      <c r="CR197" s="20"/>
      <c r="CS197" s="20"/>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row>
    <row r="198" spans="1:123" ht="64.5" customHeight="1" x14ac:dyDescent="0.2">
      <c r="A198" s="19"/>
      <c r="B198" s="20" t="str">
        <f ca="1">IFERROR(__xludf.DUMMYFUNCTION("""COMPUTED_VALUE"""),"г.о. Рузский")</f>
        <v>г.о. Рузский</v>
      </c>
      <c r="C19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8" s="20" t="str">
        <f ca="1">IFERROR(__xludf.DUMMYFUNCTION("""COMPUTED_VALUE"""),"МинЖКХ")</f>
        <v>МинЖКХ</v>
      </c>
      <c r="E198" s="20" t="str">
        <f ca="1">IFERROR(__xludf.DUMMYFUNCTION("""COMPUTED_VALUE"""),"Приобретение, монтаж и ввод в эксплуатацию станции водоочистки на ВЗУв с. Покровское, ДОХБ, соор.22,  Рузский г.о.")</f>
        <v>Приобретение, монтаж и ввод в эксплуатацию станции водоочистки на ВЗУв с. Покровское, ДОХБ, соор.22,  Рузский г.о.</v>
      </c>
      <c r="F198" s="32" t="str">
        <f ca="1">IFERROR(__xludf.DUMMYFUNCTION("""COMPUTED_VALUE"""),"ВЗУ")</f>
        <v>ВЗУ</v>
      </c>
      <c r="G198" s="20">
        <f ca="1">IFERROR(__xludf.DUMMYFUNCTION("""COMPUTED_VALUE"""),2020)</f>
        <v>2020</v>
      </c>
      <c r="H198" s="20" t="str">
        <f ca="1">IFERROR(__xludf.DUMMYFUNCTION("""COMPUTED_VALUE"""),"Приобретение, монтаж")</f>
        <v>Приобретение, монтаж</v>
      </c>
      <c r="I198" s="23">
        <f ca="1">IFERROR(__xludf.DUMMYFUNCTION("""COMPUTED_VALUE"""),1)</f>
        <v>1</v>
      </c>
      <c r="J198" s="20" t="str">
        <f ca="1">IFERROR(__xludf.DUMMYFUNCTION("""COMPUTED_VALUE"""),"ЗАВЕРШЕНО")</f>
        <v>ЗАВЕРШЕНО</v>
      </c>
      <c r="K198" s="20">
        <f ca="1">IFERROR(__xludf.DUMMYFUNCTION("""COMPUTED_VALUE"""),446)</f>
        <v>446</v>
      </c>
      <c r="L198" s="20">
        <f ca="1">IFERROR(__xludf.DUMMYFUNCTION("""COMPUTED_VALUE"""),446)</f>
        <v>446</v>
      </c>
      <c r="M198" s="20"/>
      <c r="N198" s="24">
        <f ca="1">IFERROR(__xludf.DUMMYFUNCTION("""COMPUTED_VALUE"""),2489)</f>
        <v>2489</v>
      </c>
      <c r="O198" s="20"/>
      <c r="P198" s="24">
        <f ca="1">IFERROR(__xludf.DUMMYFUNCTION("""COMPUTED_VALUE"""),1874.22)</f>
        <v>1874.22</v>
      </c>
      <c r="Q198" s="20"/>
      <c r="R198" s="24">
        <f ca="1">IFERROR(__xludf.DUMMYFUNCTION("""COMPUTED_VALUE"""),614.78)</f>
        <v>614.78</v>
      </c>
      <c r="S198" s="20"/>
      <c r="T198" s="20"/>
      <c r="U198" s="24">
        <f ca="1">IFERROR(__xludf.DUMMYFUNCTION("""COMPUTED_VALUE"""),0.25)</f>
        <v>0.25</v>
      </c>
      <c r="V198" s="24">
        <f ca="1">IFERROR(__xludf.DUMMYFUNCTION("""COMPUTED_VALUE"""),0)</f>
        <v>0</v>
      </c>
      <c r="W198" s="24">
        <f ca="1">IFERROR(__xludf.DUMMYFUNCTION("""COMPUTED_VALUE"""),0.180000000000063)</f>
        <v>0.180000000000063</v>
      </c>
      <c r="X198" s="24">
        <f ca="1">IFERROR(__xludf.DUMMYFUNCTION("""COMPUTED_VALUE"""),0)</f>
        <v>0</v>
      </c>
      <c r="Y198" s="24">
        <f ca="1">IFERROR(__xludf.DUMMYFUNCTION("""COMPUTED_VALUE"""),0.07000000000005)</f>
        <v>7.0000000000049994E-2</v>
      </c>
      <c r="Z198" s="24">
        <f ca="1">IFERROR(__xludf.DUMMYFUNCTION("""COMPUTED_VALUE"""),0)</f>
        <v>0</v>
      </c>
      <c r="AA198" s="20" t="str">
        <f ca="1">IFERROR(__xludf.DUMMYFUNCTION("""COMPUTED_VALUE"""),"10 1 02 60330")</f>
        <v>10 1 02 60330</v>
      </c>
      <c r="AB198" s="20">
        <f ca="1">IFERROR(__xludf.DUMMYFUNCTION("""COMPUTED_VALUE"""),520)</f>
        <v>520</v>
      </c>
      <c r="AC198" s="20" t="str">
        <f ca="1">IFERROR(__xludf.DUMMYFUNCTION("""COMPUTED_VALUE"""),"Не требуется")</f>
        <v>Не требуется</v>
      </c>
      <c r="AD198" s="20" t="str">
        <f ca="1">IFERROR(__xludf.DUMMYFUNCTION("""COMPUTED_VALUE"""),"-")</f>
        <v>-</v>
      </c>
      <c r="AE198" s="20" t="str">
        <f ca="1">IFERROR(__xludf.DUMMYFUNCTION("""COMPUTED_VALUE"""),"-")</f>
        <v>-</v>
      </c>
      <c r="AF198" s="24">
        <f ca="1">IFERROR(__xludf.DUMMYFUNCTION("""COMPUTED_VALUE"""),2489.25)</f>
        <v>2489.25</v>
      </c>
      <c r="AG198" s="24">
        <f ca="1">IFERROR(__xludf.DUMMYFUNCTION("""COMPUTED_VALUE"""),0)</f>
        <v>0</v>
      </c>
      <c r="AH198" s="24">
        <f ca="1">IFERROR(__xludf.DUMMYFUNCTION("""COMPUTED_VALUE"""),1874.4)</f>
        <v>1874.4</v>
      </c>
      <c r="AI198" s="24">
        <f ca="1">IFERROR(__xludf.DUMMYFUNCTION("""COMPUTED_VALUE"""),0)</f>
        <v>0</v>
      </c>
      <c r="AJ198" s="24">
        <f ca="1">IFERROR(__xludf.DUMMYFUNCTION("""COMPUTED_VALUE"""),614.85)</f>
        <v>614.85</v>
      </c>
      <c r="AK198" s="24">
        <f ca="1">IFERROR(__xludf.DUMMYFUNCTION("""COMPUTED_VALUE"""),0)</f>
        <v>0</v>
      </c>
      <c r="AL198" s="24">
        <f ca="1">IFERROR(__xludf.DUMMYFUNCTION("""COMPUTED_VALUE"""),0)</f>
        <v>0</v>
      </c>
      <c r="AM198" s="20"/>
      <c r="AN198" s="20"/>
      <c r="AO198" s="20"/>
      <c r="AP198" s="20"/>
      <c r="AQ198" s="20"/>
      <c r="AR198" s="24">
        <f ca="1">IFERROR(__xludf.DUMMYFUNCTION("""COMPUTED_VALUE"""),0)</f>
        <v>0</v>
      </c>
      <c r="AS198" s="20"/>
      <c r="AT198" s="20"/>
      <c r="AU198" s="20"/>
      <c r="AV198" s="20"/>
      <c r="AW198" s="20"/>
      <c r="AX198" s="24">
        <f ca="1">IFERROR(__xludf.DUMMYFUNCTION("""COMPUTED_VALUE"""),2489.25)</f>
        <v>2489.25</v>
      </c>
      <c r="AY198" s="24">
        <f ca="1">IFERROR(__xludf.DUMMYFUNCTION("""COMPUTED_VALUE"""),0)</f>
        <v>0</v>
      </c>
      <c r="AZ198" s="24">
        <f ca="1">IFERROR(__xludf.DUMMYFUNCTION("""COMPUTED_VALUE"""),1874.4)</f>
        <v>1874.4</v>
      </c>
      <c r="BA198" s="24">
        <f ca="1">IFERROR(__xludf.DUMMYFUNCTION("""COMPUTED_VALUE"""),0)</f>
        <v>0</v>
      </c>
      <c r="BB198" s="24">
        <f ca="1">IFERROR(__xludf.DUMMYFUNCTION("""COMPUTED_VALUE"""),614.85)</f>
        <v>614.85</v>
      </c>
      <c r="BC198" s="20"/>
      <c r="BD198" s="24">
        <f ca="1">IFERROR(__xludf.DUMMYFUNCTION("""COMPUTED_VALUE"""),0)</f>
        <v>0</v>
      </c>
      <c r="BE198" s="24">
        <f ca="1">IFERROR(__xludf.DUMMYFUNCTION("""COMPUTED_VALUE"""),0)</f>
        <v>0</v>
      </c>
      <c r="BF198" s="24">
        <f ca="1">IFERROR(__xludf.DUMMYFUNCTION("""COMPUTED_VALUE"""),0)</f>
        <v>0</v>
      </c>
      <c r="BG198" s="24">
        <f ca="1">IFERROR(__xludf.DUMMYFUNCTION("""COMPUTED_VALUE"""),0)</f>
        <v>0</v>
      </c>
      <c r="BH198" s="24">
        <f ca="1">IFERROR(__xludf.DUMMYFUNCTION("""COMPUTED_VALUE"""),0)</f>
        <v>0</v>
      </c>
      <c r="BI198" s="20"/>
      <c r="BJ198" s="24">
        <f ca="1">IFERROR(__xludf.DUMMYFUNCTION("""COMPUTED_VALUE"""),0)</f>
        <v>0</v>
      </c>
      <c r="BK198" s="24">
        <f ca="1">IFERROR(__xludf.DUMMYFUNCTION("""COMPUTED_VALUE"""),0)</f>
        <v>0</v>
      </c>
      <c r="BL198" s="24">
        <f ca="1">IFERROR(__xludf.DUMMYFUNCTION("""COMPUTED_VALUE"""),0)</f>
        <v>0</v>
      </c>
      <c r="BM198" s="24">
        <f ca="1">IFERROR(__xludf.DUMMYFUNCTION("""COMPUTED_VALUE"""),0)</f>
        <v>0</v>
      </c>
      <c r="BN198" s="24">
        <f ca="1">IFERROR(__xludf.DUMMYFUNCTION("""COMPUTED_VALUE"""),0)</f>
        <v>0</v>
      </c>
      <c r="BO198" s="20"/>
      <c r="BP198" s="24">
        <f ca="1">IFERROR(__xludf.DUMMYFUNCTION("""COMPUTED_VALUE"""),0)</f>
        <v>0</v>
      </c>
      <c r="BQ198" s="24">
        <f ca="1">IFERROR(__xludf.DUMMYFUNCTION("""COMPUTED_VALUE"""),0)</f>
        <v>0</v>
      </c>
      <c r="BR198" s="24">
        <f ca="1">IFERROR(__xludf.DUMMYFUNCTION("""COMPUTED_VALUE"""),0)</f>
        <v>0</v>
      </c>
      <c r="BS198" s="24">
        <f ca="1">IFERROR(__xludf.DUMMYFUNCTION("""COMPUTED_VALUE"""),0)</f>
        <v>0</v>
      </c>
      <c r="BT198" s="24">
        <f ca="1">IFERROR(__xludf.DUMMYFUNCTION("""COMPUTED_VALUE"""),0)</f>
        <v>0</v>
      </c>
      <c r="BU198" s="20"/>
      <c r="BV198" s="24">
        <f ca="1">IFERROR(__xludf.DUMMYFUNCTION("""COMPUTED_VALUE"""),0)</f>
        <v>0</v>
      </c>
      <c r="BW198" s="24">
        <f ca="1">IFERROR(__xludf.DUMMYFUNCTION("""COMPUTED_VALUE"""),0)</f>
        <v>0</v>
      </c>
      <c r="BX198" s="24">
        <f ca="1">IFERROR(__xludf.DUMMYFUNCTION("""COMPUTED_VALUE"""),0)</f>
        <v>0</v>
      </c>
      <c r="BY198" s="24">
        <f ca="1">IFERROR(__xludf.DUMMYFUNCTION("""COMPUTED_VALUE"""),0)</f>
        <v>0</v>
      </c>
      <c r="BZ198" s="24">
        <f ca="1">IFERROR(__xludf.DUMMYFUNCTION("""COMPUTED_VALUE"""),0)</f>
        <v>0</v>
      </c>
      <c r="CA198" s="20"/>
      <c r="CB198" s="20"/>
      <c r="CC198" s="20"/>
      <c r="CD198" s="20"/>
      <c r="CE198" s="20"/>
      <c r="CF198" s="20"/>
      <c r="CG198" s="20"/>
      <c r="CH198" s="20"/>
      <c r="CI198" s="20"/>
      <c r="CJ198" s="20"/>
      <c r="CK198" s="20"/>
      <c r="CL198" s="20"/>
      <c r="CM198" s="20"/>
      <c r="CN198" s="20"/>
      <c r="CO198" s="20"/>
      <c r="CP198" s="20"/>
      <c r="CQ198" s="20"/>
      <c r="CR198" s="20"/>
      <c r="CS198" s="20"/>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row>
    <row r="199" spans="1:123" ht="64.5" hidden="1" customHeight="1" x14ac:dyDescent="0.2">
      <c r="A199" s="19"/>
      <c r="B199" s="20" t="str">
        <f ca="1">IFERROR(__xludf.DUMMYFUNCTION("""COMPUTED_VALUE"""),"г.о. Шатура")</f>
        <v>г.о. Шатура</v>
      </c>
      <c r="C19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9" s="20" t="str">
        <f ca="1">IFERROR(__xludf.DUMMYFUNCTION("""COMPUTED_VALUE"""),"МинЖКХ")</f>
        <v>МинЖКХ</v>
      </c>
      <c r="E199" s="20" t="str">
        <f ca="1">IFERROR(__xludf.DUMMYFUNCTION("""COMPUTED_VALUE"""),"Приобретение, монтаж и ввод в эксплуатацию станции водоочистки на ВЗУв д. Маврино, г.о. Шатура")</f>
        <v>Приобретение, монтаж и ввод в эксплуатацию станции водоочистки на ВЗУв д. Маврино, г.о. Шатура</v>
      </c>
      <c r="F199" s="32" t="str">
        <f ca="1">IFERROR(__xludf.DUMMYFUNCTION("""COMPUTED_VALUE"""),"ВЗУ")</f>
        <v>ВЗУ</v>
      </c>
      <c r="G199" s="20">
        <f ca="1">IFERROR(__xludf.DUMMYFUNCTION("""COMPUTED_VALUE"""),2021)</f>
        <v>2021</v>
      </c>
      <c r="H199" s="20" t="str">
        <f ca="1">IFERROR(__xludf.DUMMYFUNCTION("""COMPUTED_VALUE"""),"Приобретение, монтаж")</f>
        <v>Приобретение, монтаж</v>
      </c>
      <c r="I199" s="20"/>
      <c r="J199" s="20"/>
      <c r="K199" s="20"/>
      <c r="L199" s="20"/>
      <c r="M199" s="20"/>
      <c r="N199" s="24">
        <f ca="1">IFERROR(__xludf.DUMMYFUNCTION("""COMPUTED_VALUE"""),0)</f>
        <v>0</v>
      </c>
      <c r="O199" s="20"/>
      <c r="P199" s="20"/>
      <c r="Q199" s="20"/>
      <c r="R199" s="20"/>
      <c r="S199" s="20"/>
      <c r="T199" s="20"/>
      <c r="U199" s="24">
        <f ca="1">IFERROR(__xludf.DUMMYFUNCTION("""COMPUTED_VALUE"""),0)</f>
        <v>0</v>
      </c>
      <c r="V199" s="24">
        <f ca="1">IFERROR(__xludf.DUMMYFUNCTION("""COMPUTED_VALUE"""),0)</f>
        <v>0</v>
      </c>
      <c r="W199" s="24">
        <f ca="1">IFERROR(__xludf.DUMMYFUNCTION("""COMPUTED_VALUE"""),0)</f>
        <v>0</v>
      </c>
      <c r="X199" s="24">
        <f ca="1">IFERROR(__xludf.DUMMYFUNCTION("""COMPUTED_VALUE"""),0)</f>
        <v>0</v>
      </c>
      <c r="Y199" s="24">
        <f ca="1">IFERROR(__xludf.DUMMYFUNCTION("""COMPUTED_VALUE"""),0)</f>
        <v>0</v>
      </c>
      <c r="Z199" s="24">
        <f ca="1">IFERROR(__xludf.DUMMYFUNCTION("""COMPUTED_VALUE"""),0)</f>
        <v>0</v>
      </c>
      <c r="AA199" s="20" t="str">
        <f ca="1">IFERROR(__xludf.DUMMYFUNCTION("""COMPUTED_VALUE"""),"10 1 02 60330")</f>
        <v>10 1 02 60330</v>
      </c>
      <c r="AB199" s="20">
        <f ca="1">IFERROR(__xludf.DUMMYFUNCTION("""COMPUTED_VALUE"""),520)</f>
        <v>520</v>
      </c>
      <c r="AC199" s="20" t="str">
        <f ca="1">IFERROR(__xludf.DUMMYFUNCTION("""COMPUTED_VALUE"""),"Не требуется")</f>
        <v>Не требуется</v>
      </c>
      <c r="AD199" s="20" t="str">
        <f ca="1">IFERROR(__xludf.DUMMYFUNCTION("""COMPUTED_VALUE"""),"-")</f>
        <v>-</v>
      </c>
      <c r="AE199" s="20" t="str">
        <f ca="1">IFERROR(__xludf.DUMMYFUNCTION("""COMPUTED_VALUE"""),"-")</f>
        <v>-</v>
      </c>
      <c r="AF199" s="24">
        <f ca="1">IFERROR(__xludf.DUMMYFUNCTION("""COMPUTED_VALUE"""),7506.08)</f>
        <v>7506.08</v>
      </c>
      <c r="AG199" s="24">
        <f ca="1">IFERROR(__xludf.DUMMYFUNCTION("""COMPUTED_VALUE"""),0)</f>
        <v>0</v>
      </c>
      <c r="AH199" s="24">
        <f ca="1">IFERROR(__xludf.DUMMYFUNCTION("""COMPUTED_VALUE"""),5869.68)</f>
        <v>5869.68</v>
      </c>
      <c r="AI199" s="24">
        <f ca="1">IFERROR(__xludf.DUMMYFUNCTION("""COMPUTED_VALUE"""),0)</f>
        <v>0</v>
      </c>
      <c r="AJ199" s="24">
        <f ca="1">IFERROR(__xludf.DUMMYFUNCTION("""COMPUTED_VALUE"""),1636.4)</f>
        <v>1636.4</v>
      </c>
      <c r="AK199" s="24">
        <f ca="1">IFERROR(__xludf.DUMMYFUNCTION("""COMPUTED_VALUE"""),0)</f>
        <v>0</v>
      </c>
      <c r="AL199" s="24">
        <f ca="1">IFERROR(__xludf.DUMMYFUNCTION("""COMPUTED_VALUE"""),0)</f>
        <v>0</v>
      </c>
      <c r="AM199" s="20"/>
      <c r="AN199" s="20"/>
      <c r="AO199" s="20"/>
      <c r="AP199" s="20"/>
      <c r="AQ199" s="20"/>
      <c r="AR199" s="24">
        <f ca="1">IFERROR(__xludf.DUMMYFUNCTION("""COMPUTED_VALUE"""),0)</f>
        <v>0</v>
      </c>
      <c r="AS199" s="20"/>
      <c r="AT199" s="20"/>
      <c r="AU199" s="20"/>
      <c r="AV199" s="20"/>
      <c r="AW199" s="20"/>
      <c r="AX199" s="24">
        <f ca="1">IFERROR(__xludf.DUMMYFUNCTION("""COMPUTED_VALUE"""),0)</f>
        <v>0</v>
      </c>
      <c r="AY199" s="24">
        <f ca="1">IFERROR(__xludf.DUMMYFUNCTION("""COMPUTED_VALUE"""),0)</f>
        <v>0</v>
      </c>
      <c r="AZ199" s="24">
        <f ca="1">IFERROR(__xludf.DUMMYFUNCTION("""COMPUTED_VALUE"""),0)</f>
        <v>0</v>
      </c>
      <c r="BA199" s="24">
        <f ca="1">IFERROR(__xludf.DUMMYFUNCTION("""COMPUTED_VALUE"""),0)</f>
        <v>0</v>
      </c>
      <c r="BB199" s="24">
        <f ca="1">IFERROR(__xludf.DUMMYFUNCTION("""COMPUTED_VALUE"""),0)</f>
        <v>0</v>
      </c>
      <c r="BC199" s="20"/>
      <c r="BD199" s="24">
        <f ca="1">IFERROR(__xludf.DUMMYFUNCTION("""COMPUTED_VALUE"""),0)</f>
        <v>0</v>
      </c>
      <c r="BE199" s="24">
        <f ca="1">IFERROR(__xludf.DUMMYFUNCTION("""COMPUTED_VALUE"""),0)</f>
        <v>0</v>
      </c>
      <c r="BF199" s="24">
        <f ca="1">IFERROR(__xludf.DUMMYFUNCTION("""COMPUTED_VALUE"""),0)</f>
        <v>0</v>
      </c>
      <c r="BG199" s="24">
        <f ca="1">IFERROR(__xludf.DUMMYFUNCTION("""COMPUTED_VALUE"""),0)</f>
        <v>0</v>
      </c>
      <c r="BH199" s="24">
        <f ca="1">IFERROR(__xludf.DUMMYFUNCTION("""COMPUTED_VALUE"""),0)</f>
        <v>0</v>
      </c>
      <c r="BI199" s="20"/>
      <c r="BJ199" s="24">
        <f ca="1">IFERROR(__xludf.DUMMYFUNCTION("""COMPUTED_VALUE"""),7506.08)</f>
        <v>7506.08</v>
      </c>
      <c r="BK199" s="24">
        <f ca="1">IFERROR(__xludf.DUMMYFUNCTION("""COMPUTED_VALUE"""),0)</f>
        <v>0</v>
      </c>
      <c r="BL199" s="24">
        <f ca="1">IFERROR(__xludf.DUMMYFUNCTION("""COMPUTED_VALUE"""),5869.68)</f>
        <v>5869.68</v>
      </c>
      <c r="BM199" s="24">
        <f ca="1">IFERROR(__xludf.DUMMYFUNCTION("""COMPUTED_VALUE"""),0)</f>
        <v>0</v>
      </c>
      <c r="BN199" s="24">
        <f ca="1">IFERROR(__xludf.DUMMYFUNCTION("""COMPUTED_VALUE"""),1636.4)</f>
        <v>1636.4</v>
      </c>
      <c r="BO199" s="20"/>
      <c r="BP199" s="24">
        <f ca="1">IFERROR(__xludf.DUMMYFUNCTION("""COMPUTED_VALUE"""),0)</f>
        <v>0</v>
      </c>
      <c r="BQ199" s="24">
        <f ca="1">IFERROR(__xludf.DUMMYFUNCTION("""COMPUTED_VALUE"""),0)</f>
        <v>0</v>
      </c>
      <c r="BR199" s="24">
        <f ca="1">IFERROR(__xludf.DUMMYFUNCTION("""COMPUTED_VALUE"""),0)</f>
        <v>0</v>
      </c>
      <c r="BS199" s="24">
        <f ca="1">IFERROR(__xludf.DUMMYFUNCTION("""COMPUTED_VALUE"""),0)</f>
        <v>0</v>
      </c>
      <c r="BT199" s="24">
        <f ca="1">IFERROR(__xludf.DUMMYFUNCTION("""COMPUTED_VALUE"""),0)</f>
        <v>0</v>
      </c>
      <c r="BU199" s="20"/>
      <c r="BV199" s="24">
        <f ca="1">IFERROR(__xludf.DUMMYFUNCTION("""COMPUTED_VALUE"""),0)</f>
        <v>0</v>
      </c>
      <c r="BW199" s="24">
        <f ca="1">IFERROR(__xludf.DUMMYFUNCTION("""COMPUTED_VALUE"""),0)</f>
        <v>0</v>
      </c>
      <c r="BX199" s="24">
        <f ca="1">IFERROR(__xludf.DUMMYFUNCTION("""COMPUTED_VALUE"""),0)</f>
        <v>0</v>
      </c>
      <c r="BY199" s="24">
        <f ca="1">IFERROR(__xludf.DUMMYFUNCTION("""COMPUTED_VALUE"""),0)</f>
        <v>0</v>
      </c>
      <c r="BZ199" s="24">
        <f ca="1">IFERROR(__xludf.DUMMYFUNCTION("""COMPUTED_VALUE"""),0)</f>
        <v>0</v>
      </c>
      <c r="CA199" s="20"/>
      <c r="CB199" s="20"/>
      <c r="CC199" s="20"/>
      <c r="CD199" s="20"/>
      <c r="CE199" s="20"/>
      <c r="CF199" s="20"/>
      <c r="CG199" s="20"/>
      <c r="CH199" s="20"/>
      <c r="CI199" s="20"/>
      <c r="CJ199" s="20"/>
      <c r="CK199" s="20"/>
      <c r="CL199" s="20"/>
      <c r="CM199" s="20"/>
      <c r="CN199" s="20"/>
      <c r="CO199" s="20"/>
      <c r="CP199" s="20"/>
      <c r="CQ199" s="20"/>
      <c r="CR199" s="20"/>
      <c r="CS199" s="20"/>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row>
    <row r="200" spans="1:123" ht="64.5" hidden="1" customHeight="1" x14ac:dyDescent="0.2">
      <c r="A200" s="19"/>
      <c r="B200" s="20" t="str">
        <f ca="1">IFERROR(__xludf.DUMMYFUNCTION("""COMPUTED_VALUE"""),"г.о. Шатура")</f>
        <v>г.о. Шатура</v>
      </c>
      <c r="C20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0" s="20" t="str">
        <f ca="1">IFERROR(__xludf.DUMMYFUNCTION("""COMPUTED_VALUE"""),"МинЖКХ")</f>
        <v>МинЖКХ</v>
      </c>
      <c r="E200" s="20" t="str">
        <f ca="1">IFERROR(__xludf.DUMMYFUNCTION("""COMPUTED_VALUE"""),"Приобретение, монтаж и ввод в эксплуатацию станции водоочистки на ВЗУв д. Самойлиха, г.о. Шатура")</f>
        <v>Приобретение, монтаж и ввод в эксплуатацию станции водоочистки на ВЗУв д. Самойлиха, г.о. Шатура</v>
      </c>
      <c r="F200" s="32" t="str">
        <f ca="1">IFERROR(__xludf.DUMMYFUNCTION("""COMPUTED_VALUE"""),"ВЗУ")</f>
        <v>ВЗУ</v>
      </c>
      <c r="G200" s="20">
        <f ca="1">IFERROR(__xludf.DUMMYFUNCTION("""COMPUTED_VALUE"""),2021)</f>
        <v>2021</v>
      </c>
      <c r="H200" s="20" t="str">
        <f ca="1">IFERROR(__xludf.DUMMYFUNCTION("""COMPUTED_VALUE"""),"Приобретение, монтаж")</f>
        <v>Приобретение, монтаж</v>
      </c>
      <c r="I200" s="20"/>
      <c r="J200" s="20"/>
      <c r="K200" s="20"/>
      <c r="L200" s="20"/>
      <c r="M200" s="20"/>
      <c r="N200" s="24">
        <f ca="1">IFERROR(__xludf.DUMMYFUNCTION("""COMPUTED_VALUE"""),0)</f>
        <v>0</v>
      </c>
      <c r="O200" s="20"/>
      <c r="P200" s="20"/>
      <c r="Q200" s="20"/>
      <c r="R200" s="20"/>
      <c r="S200" s="20"/>
      <c r="T200" s="20"/>
      <c r="U200" s="24">
        <f ca="1">IFERROR(__xludf.DUMMYFUNCTION("""COMPUTED_VALUE"""),0)</f>
        <v>0</v>
      </c>
      <c r="V200" s="24">
        <f ca="1">IFERROR(__xludf.DUMMYFUNCTION("""COMPUTED_VALUE"""),0)</f>
        <v>0</v>
      </c>
      <c r="W200" s="24">
        <f ca="1">IFERROR(__xludf.DUMMYFUNCTION("""COMPUTED_VALUE"""),0)</f>
        <v>0</v>
      </c>
      <c r="X200" s="24">
        <f ca="1">IFERROR(__xludf.DUMMYFUNCTION("""COMPUTED_VALUE"""),0)</f>
        <v>0</v>
      </c>
      <c r="Y200" s="24">
        <f ca="1">IFERROR(__xludf.DUMMYFUNCTION("""COMPUTED_VALUE"""),0)</f>
        <v>0</v>
      </c>
      <c r="Z200" s="24">
        <f ca="1">IFERROR(__xludf.DUMMYFUNCTION("""COMPUTED_VALUE"""),0)</f>
        <v>0</v>
      </c>
      <c r="AA200" s="20" t="str">
        <f ca="1">IFERROR(__xludf.DUMMYFUNCTION("""COMPUTED_VALUE"""),"10 1 02 60330")</f>
        <v>10 1 02 60330</v>
      </c>
      <c r="AB200" s="20">
        <f ca="1">IFERROR(__xludf.DUMMYFUNCTION("""COMPUTED_VALUE"""),520)</f>
        <v>520</v>
      </c>
      <c r="AC200" s="20" t="str">
        <f ca="1">IFERROR(__xludf.DUMMYFUNCTION("""COMPUTED_VALUE"""),"Не требуется")</f>
        <v>Не требуется</v>
      </c>
      <c r="AD200" s="20" t="str">
        <f ca="1">IFERROR(__xludf.DUMMYFUNCTION("""COMPUTED_VALUE"""),"-")</f>
        <v>-</v>
      </c>
      <c r="AE200" s="20" t="str">
        <f ca="1">IFERROR(__xludf.DUMMYFUNCTION("""COMPUTED_VALUE"""),"-")</f>
        <v>-</v>
      </c>
      <c r="AF200" s="24">
        <f ca="1">IFERROR(__xludf.DUMMYFUNCTION("""COMPUTED_VALUE"""),3827.85)</f>
        <v>3827.85</v>
      </c>
      <c r="AG200" s="24">
        <f ca="1">IFERROR(__xludf.DUMMYFUNCTION("""COMPUTED_VALUE"""),0)</f>
        <v>0</v>
      </c>
      <c r="AH200" s="24">
        <f ca="1">IFERROR(__xludf.DUMMYFUNCTION("""COMPUTED_VALUE"""),2993.32)</f>
        <v>2993.32</v>
      </c>
      <c r="AI200" s="24">
        <f ca="1">IFERROR(__xludf.DUMMYFUNCTION("""COMPUTED_VALUE"""),0)</f>
        <v>0</v>
      </c>
      <c r="AJ200" s="24">
        <f ca="1">IFERROR(__xludf.DUMMYFUNCTION("""COMPUTED_VALUE"""),834.53)</f>
        <v>834.53</v>
      </c>
      <c r="AK200" s="24">
        <f ca="1">IFERROR(__xludf.DUMMYFUNCTION("""COMPUTED_VALUE"""),0)</f>
        <v>0</v>
      </c>
      <c r="AL200" s="24">
        <f ca="1">IFERROR(__xludf.DUMMYFUNCTION("""COMPUTED_VALUE"""),0)</f>
        <v>0</v>
      </c>
      <c r="AM200" s="20"/>
      <c r="AN200" s="20"/>
      <c r="AO200" s="20"/>
      <c r="AP200" s="20"/>
      <c r="AQ200" s="20"/>
      <c r="AR200" s="24">
        <f ca="1">IFERROR(__xludf.DUMMYFUNCTION("""COMPUTED_VALUE"""),0)</f>
        <v>0</v>
      </c>
      <c r="AS200" s="20"/>
      <c r="AT200" s="20"/>
      <c r="AU200" s="20"/>
      <c r="AV200" s="20"/>
      <c r="AW200" s="20"/>
      <c r="AX200" s="24">
        <f ca="1">IFERROR(__xludf.DUMMYFUNCTION("""COMPUTED_VALUE"""),0)</f>
        <v>0</v>
      </c>
      <c r="AY200" s="24">
        <f ca="1">IFERROR(__xludf.DUMMYFUNCTION("""COMPUTED_VALUE"""),0)</f>
        <v>0</v>
      </c>
      <c r="AZ200" s="24">
        <f ca="1">IFERROR(__xludf.DUMMYFUNCTION("""COMPUTED_VALUE"""),0)</f>
        <v>0</v>
      </c>
      <c r="BA200" s="24">
        <f ca="1">IFERROR(__xludf.DUMMYFUNCTION("""COMPUTED_VALUE"""),0)</f>
        <v>0</v>
      </c>
      <c r="BB200" s="24">
        <f ca="1">IFERROR(__xludf.DUMMYFUNCTION("""COMPUTED_VALUE"""),0)</f>
        <v>0</v>
      </c>
      <c r="BC200" s="20"/>
      <c r="BD200" s="24">
        <f ca="1">IFERROR(__xludf.DUMMYFUNCTION("""COMPUTED_VALUE"""),0)</f>
        <v>0</v>
      </c>
      <c r="BE200" s="24">
        <f ca="1">IFERROR(__xludf.DUMMYFUNCTION("""COMPUTED_VALUE"""),0)</f>
        <v>0</v>
      </c>
      <c r="BF200" s="24">
        <f ca="1">IFERROR(__xludf.DUMMYFUNCTION("""COMPUTED_VALUE"""),0)</f>
        <v>0</v>
      </c>
      <c r="BG200" s="24">
        <f ca="1">IFERROR(__xludf.DUMMYFUNCTION("""COMPUTED_VALUE"""),0)</f>
        <v>0</v>
      </c>
      <c r="BH200" s="24">
        <f ca="1">IFERROR(__xludf.DUMMYFUNCTION("""COMPUTED_VALUE"""),0)</f>
        <v>0</v>
      </c>
      <c r="BI200" s="20"/>
      <c r="BJ200" s="24">
        <f ca="1">IFERROR(__xludf.DUMMYFUNCTION("""COMPUTED_VALUE"""),3827.85)</f>
        <v>3827.85</v>
      </c>
      <c r="BK200" s="24">
        <f ca="1">IFERROR(__xludf.DUMMYFUNCTION("""COMPUTED_VALUE"""),0)</f>
        <v>0</v>
      </c>
      <c r="BL200" s="24">
        <f ca="1">IFERROR(__xludf.DUMMYFUNCTION("""COMPUTED_VALUE"""),2993.32)</f>
        <v>2993.32</v>
      </c>
      <c r="BM200" s="24">
        <f ca="1">IFERROR(__xludf.DUMMYFUNCTION("""COMPUTED_VALUE"""),0)</f>
        <v>0</v>
      </c>
      <c r="BN200" s="24">
        <f ca="1">IFERROR(__xludf.DUMMYFUNCTION("""COMPUTED_VALUE"""),834.53)</f>
        <v>834.53</v>
      </c>
      <c r="BO200" s="20"/>
      <c r="BP200" s="24">
        <f ca="1">IFERROR(__xludf.DUMMYFUNCTION("""COMPUTED_VALUE"""),0)</f>
        <v>0</v>
      </c>
      <c r="BQ200" s="24">
        <f ca="1">IFERROR(__xludf.DUMMYFUNCTION("""COMPUTED_VALUE"""),0)</f>
        <v>0</v>
      </c>
      <c r="BR200" s="24">
        <f ca="1">IFERROR(__xludf.DUMMYFUNCTION("""COMPUTED_VALUE"""),0)</f>
        <v>0</v>
      </c>
      <c r="BS200" s="24">
        <f ca="1">IFERROR(__xludf.DUMMYFUNCTION("""COMPUTED_VALUE"""),0)</f>
        <v>0</v>
      </c>
      <c r="BT200" s="24">
        <f ca="1">IFERROR(__xludf.DUMMYFUNCTION("""COMPUTED_VALUE"""),0)</f>
        <v>0</v>
      </c>
      <c r="BU200" s="20"/>
      <c r="BV200" s="24">
        <f ca="1">IFERROR(__xludf.DUMMYFUNCTION("""COMPUTED_VALUE"""),0)</f>
        <v>0</v>
      </c>
      <c r="BW200" s="24">
        <f ca="1">IFERROR(__xludf.DUMMYFUNCTION("""COMPUTED_VALUE"""),0)</f>
        <v>0</v>
      </c>
      <c r="BX200" s="24">
        <f ca="1">IFERROR(__xludf.DUMMYFUNCTION("""COMPUTED_VALUE"""),0)</f>
        <v>0</v>
      </c>
      <c r="BY200" s="24">
        <f ca="1">IFERROR(__xludf.DUMMYFUNCTION("""COMPUTED_VALUE"""),0)</f>
        <v>0</v>
      </c>
      <c r="BZ200" s="24">
        <f ca="1">IFERROR(__xludf.DUMMYFUNCTION("""COMPUTED_VALUE"""),0)</f>
        <v>0</v>
      </c>
      <c r="CA200" s="20"/>
      <c r="CB200" s="20"/>
      <c r="CC200" s="20"/>
      <c r="CD200" s="20"/>
      <c r="CE200" s="20"/>
      <c r="CF200" s="20"/>
      <c r="CG200" s="20"/>
      <c r="CH200" s="20"/>
      <c r="CI200" s="20"/>
      <c r="CJ200" s="20"/>
      <c r="CK200" s="20"/>
      <c r="CL200" s="20"/>
      <c r="CM200" s="20"/>
      <c r="CN200" s="20"/>
      <c r="CO200" s="20"/>
      <c r="CP200" s="20"/>
      <c r="CQ200" s="20"/>
      <c r="CR200" s="20"/>
      <c r="CS200" s="20"/>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row>
    <row r="201" spans="1:123" ht="64.5" hidden="1" customHeight="1" x14ac:dyDescent="0.2">
      <c r="A201" s="19"/>
      <c r="B201" s="20" t="str">
        <f ca="1">IFERROR(__xludf.DUMMYFUNCTION("""COMPUTED_VALUE"""),"г.о. Электросталь")</f>
        <v>г.о. Электросталь</v>
      </c>
      <c r="C20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1" s="20" t="str">
        <f ca="1">IFERROR(__xludf.DUMMYFUNCTION("""COMPUTED_VALUE"""),"МинЖКХ")</f>
        <v>МинЖКХ</v>
      </c>
      <c r="E201" s="20" t="str">
        <f ca="1">IFERROR(__xludf.DUMMYFUNCTION("""COMPUTED_VALUE"""),"Приобретение, монтаж и ввод в эксплуатацию станции водоочистки на ВЗУв с. Иванисово, ул. Центральная усадьба, д.1, г.о. Электросталь")</f>
        <v>Приобретение, монтаж и ввод в эксплуатацию станции водоочистки на ВЗУв с. Иванисово, ул. Центральная усадьба, д.1, г.о. Электросталь</v>
      </c>
      <c r="F201" s="32" t="str">
        <f ca="1">IFERROR(__xludf.DUMMYFUNCTION("""COMPUTED_VALUE"""),"ВЗУ")</f>
        <v>ВЗУ</v>
      </c>
      <c r="G201" s="20">
        <f ca="1">IFERROR(__xludf.DUMMYFUNCTION("""COMPUTED_VALUE"""),2021)</f>
        <v>2021</v>
      </c>
      <c r="H201" s="20" t="str">
        <f ca="1">IFERROR(__xludf.DUMMYFUNCTION("""COMPUTED_VALUE"""),"Приобретение, монтаж")</f>
        <v>Приобретение, монтаж</v>
      </c>
      <c r="I201" s="20"/>
      <c r="J201" s="20"/>
      <c r="K201" s="20"/>
      <c r="L201" s="20"/>
      <c r="M201" s="20"/>
      <c r="N201" s="24">
        <f ca="1">IFERROR(__xludf.DUMMYFUNCTION("""COMPUTED_VALUE"""),0)</f>
        <v>0</v>
      </c>
      <c r="O201" s="20"/>
      <c r="P201" s="20"/>
      <c r="Q201" s="20"/>
      <c r="R201" s="20"/>
      <c r="S201" s="20"/>
      <c r="T201" s="20"/>
      <c r="U201" s="24">
        <f ca="1">IFERROR(__xludf.DUMMYFUNCTION("""COMPUTED_VALUE"""),0)</f>
        <v>0</v>
      </c>
      <c r="V201" s="24">
        <f ca="1">IFERROR(__xludf.DUMMYFUNCTION("""COMPUTED_VALUE"""),0)</f>
        <v>0</v>
      </c>
      <c r="W201" s="24">
        <f ca="1">IFERROR(__xludf.DUMMYFUNCTION("""COMPUTED_VALUE"""),0)</f>
        <v>0</v>
      </c>
      <c r="X201" s="24">
        <f ca="1">IFERROR(__xludf.DUMMYFUNCTION("""COMPUTED_VALUE"""),0)</f>
        <v>0</v>
      </c>
      <c r="Y201" s="24">
        <f ca="1">IFERROR(__xludf.DUMMYFUNCTION("""COMPUTED_VALUE"""),0)</f>
        <v>0</v>
      </c>
      <c r="Z201" s="24">
        <f ca="1">IFERROR(__xludf.DUMMYFUNCTION("""COMPUTED_VALUE"""),0)</f>
        <v>0</v>
      </c>
      <c r="AA201" s="20" t="str">
        <f ca="1">IFERROR(__xludf.DUMMYFUNCTION("""COMPUTED_VALUE"""),"10 1 02 60330")</f>
        <v>10 1 02 60330</v>
      </c>
      <c r="AB201" s="20">
        <f ca="1">IFERROR(__xludf.DUMMYFUNCTION("""COMPUTED_VALUE"""),520)</f>
        <v>520</v>
      </c>
      <c r="AC201" s="20" t="str">
        <f ca="1">IFERROR(__xludf.DUMMYFUNCTION("""COMPUTED_VALUE"""),"Не требуется")</f>
        <v>Не требуется</v>
      </c>
      <c r="AD201" s="20" t="str">
        <f ca="1">IFERROR(__xludf.DUMMYFUNCTION("""COMPUTED_VALUE"""),"-")</f>
        <v>-</v>
      </c>
      <c r="AE201" s="20" t="str">
        <f ca="1">IFERROR(__xludf.DUMMYFUNCTION("""COMPUTED_VALUE"""),"-")</f>
        <v>-</v>
      </c>
      <c r="AF201" s="24">
        <f ca="1">IFERROR(__xludf.DUMMYFUNCTION("""COMPUTED_VALUE"""),9300)</f>
        <v>9300</v>
      </c>
      <c r="AG201" s="24">
        <f ca="1">IFERROR(__xludf.DUMMYFUNCTION("""COMPUTED_VALUE"""),0)</f>
        <v>0</v>
      </c>
      <c r="AH201" s="24">
        <f ca="1">IFERROR(__xludf.DUMMYFUNCTION("""COMPUTED_VALUE"""),7393.5)</f>
        <v>7393.5</v>
      </c>
      <c r="AI201" s="24">
        <f ca="1">IFERROR(__xludf.DUMMYFUNCTION("""COMPUTED_VALUE"""),0)</f>
        <v>0</v>
      </c>
      <c r="AJ201" s="24">
        <f ca="1">IFERROR(__xludf.DUMMYFUNCTION("""COMPUTED_VALUE"""),1906.5)</f>
        <v>1906.5</v>
      </c>
      <c r="AK201" s="24">
        <f ca="1">IFERROR(__xludf.DUMMYFUNCTION("""COMPUTED_VALUE"""),0)</f>
        <v>0</v>
      </c>
      <c r="AL201" s="24">
        <f ca="1">IFERROR(__xludf.DUMMYFUNCTION("""COMPUTED_VALUE"""),0)</f>
        <v>0</v>
      </c>
      <c r="AM201" s="20"/>
      <c r="AN201" s="20"/>
      <c r="AO201" s="20"/>
      <c r="AP201" s="20"/>
      <c r="AQ201" s="20"/>
      <c r="AR201" s="24">
        <f ca="1">IFERROR(__xludf.DUMMYFUNCTION("""COMPUTED_VALUE"""),0)</f>
        <v>0</v>
      </c>
      <c r="AS201" s="20"/>
      <c r="AT201" s="20"/>
      <c r="AU201" s="20"/>
      <c r="AV201" s="20"/>
      <c r="AW201" s="20"/>
      <c r="AX201" s="24">
        <f ca="1">IFERROR(__xludf.DUMMYFUNCTION("""COMPUTED_VALUE"""),0)</f>
        <v>0</v>
      </c>
      <c r="AY201" s="24">
        <f ca="1">IFERROR(__xludf.DUMMYFUNCTION("""COMPUTED_VALUE"""),0)</f>
        <v>0</v>
      </c>
      <c r="AZ201" s="24">
        <f ca="1">IFERROR(__xludf.DUMMYFUNCTION("""COMPUTED_VALUE"""),0)</f>
        <v>0</v>
      </c>
      <c r="BA201" s="24">
        <f ca="1">IFERROR(__xludf.DUMMYFUNCTION("""COMPUTED_VALUE"""),0)</f>
        <v>0</v>
      </c>
      <c r="BB201" s="24">
        <f ca="1">IFERROR(__xludf.DUMMYFUNCTION("""COMPUTED_VALUE"""),0)</f>
        <v>0</v>
      </c>
      <c r="BC201" s="20"/>
      <c r="BD201" s="24">
        <f ca="1">IFERROR(__xludf.DUMMYFUNCTION("""COMPUTED_VALUE"""),0)</f>
        <v>0</v>
      </c>
      <c r="BE201" s="24">
        <f ca="1">IFERROR(__xludf.DUMMYFUNCTION("""COMPUTED_VALUE"""),0)</f>
        <v>0</v>
      </c>
      <c r="BF201" s="24">
        <f ca="1">IFERROR(__xludf.DUMMYFUNCTION("""COMPUTED_VALUE"""),0)</f>
        <v>0</v>
      </c>
      <c r="BG201" s="24">
        <f ca="1">IFERROR(__xludf.DUMMYFUNCTION("""COMPUTED_VALUE"""),0)</f>
        <v>0</v>
      </c>
      <c r="BH201" s="24">
        <f ca="1">IFERROR(__xludf.DUMMYFUNCTION("""COMPUTED_VALUE"""),0)</f>
        <v>0</v>
      </c>
      <c r="BI201" s="20"/>
      <c r="BJ201" s="24">
        <f ca="1">IFERROR(__xludf.DUMMYFUNCTION("""COMPUTED_VALUE"""),9300)</f>
        <v>9300</v>
      </c>
      <c r="BK201" s="24">
        <f ca="1">IFERROR(__xludf.DUMMYFUNCTION("""COMPUTED_VALUE"""),0)</f>
        <v>0</v>
      </c>
      <c r="BL201" s="24">
        <f ca="1">IFERROR(__xludf.DUMMYFUNCTION("""COMPUTED_VALUE"""),7393.5)</f>
        <v>7393.5</v>
      </c>
      <c r="BM201" s="24">
        <f ca="1">IFERROR(__xludf.DUMMYFUNCTION("""COMPUTED_VALUE"""),0)</f>
        <v>0</v>
      </c>
      <c r="BN201" s="24">
        <f ca="1">IFERROR(__xludf.DUMMYFUNCTION("""COMPUTED_VALUE"""),1906.5)</f>
        <v>1906.5</v>
      </c>
      <c r="BO201" s="20"/>
      <c r="BP201" s="24">
        <f ca="1">IFERROR(__xludf.DUMMYFUNCTION("""COMPUTED_VALUE"""),0)</f>
        <v>0</v>
      </c>
      <c r="BQ201" s="24">
        <f ca="1">IFERROR(__xludf.DUMMYFUNCTION("""COMPUTED_VALUE"""),0)</f>
        <v>0</v>
      </c>
      <c r="BR201" s="24">
        <f ca="1">IFERROR(__xludf.DUMMYFUNCTION("""COMPUTED_VALUE"""),0)</f>
        <v>0</v>
      </c>
      <c r="BS201" s="24">
        <f ca="1">IFERROR(__xludf.DUMMYFUNCTION("""COMPUTED_VALUE"""),0)</f>
        <v>0</v>
      </c>
      <c r="BT201" s="24">
        <f ca="1">IFERROR(__xludf.DUMMYFUNCTION("""COMPUTED_VALUE"""),0)</f>
        <v>0</v>
      </c>
      <c r="BU201" s="20"/>
      <c r="BV201" s="24">
        <f ca="1">IFERROR(__xludf.DUMMYFUNCTION("""COMPUTED_VALUE"""),0)</f>
        <v>0</v>
      </c>
      <c r="BW201" s="24">
        <f ca="1">IFERROR(__xludf.DUMMYFUNCTION("""COMPUTED_VALUE"""),0)</f>
        <v>0</v>
      </c>
      <c r="BX201" s="24">
        <f ca="1">IFERROR(__xludf.DUMMYFUNCTION("""COMPUTED_VALUE"""),0)</f>
        <v>0</v>
      </c>
      <c r="BY201" s="24">
        <f ca="1">IFERROR(__xludf.DUMMYFUNCTION("""COMPUTED_VALUE"""),0)</f>
        <v>0</v>
      </c>
      <c r="BZ201" s="24">
        <f ca="1">IFERROR(__xludf.DUMMYFUNCTION("""COMPUTED_VALUE"""),0)</f>
        <v>0</v>
      </c>
      <c r="CA201" s="20"/>
      <c r="CB201" s="20"/>
      <c r="CC201" s="20"/>
      <c r="CD201" s="20"/>
      <c r="CE201" s="20"/>
      <c r="CF201" s="20"/>
      <c r="CG201" s="20"/>
      <c r="CH201" s="20"/>
      <c r="CI201" s="20"/>
      <c r="CJ201" s="20"/>
      <c r="CK201" s="20"/>
      <c r="CL201" s="20"/>
      <c r="CM201" s="20"/>
      <c r="CN201" s="20"/>
      <c r="CO201" s="20"/>
      <c r="CP201" s="20"/>
      <c r="CQ201" s="20"/>
      <c r="CR201" s="20"/>
      <c r="CS201" s="20"/>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row>
    <row r="202" spans="1:123" ht="64.5" customHeight="1" x14ac:dyDescent="0.2">
      <c r="A202" s="19"/>
      <c r="B202" s="20" t="str">
        <f ca="1">IFERROR(__xludf.DUMMYFUNCTION("""COMPUTED_VALUE"""),"г.о. Воскресенск")</f>
        <v>г.о. Воскресенск</v>
      </c>
      <c r="C20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2" s="20" t="str">
        <f ca="1">IFERROR(__xludf.DUMMYFUNCTION("""COMPUTED_VALUE"""),"МинЖКХ")</f>
        <v>МинЖКХ</v>
      </c>
      <c r="E202" s="20" t="str">
        <f ca="1">IFERROR(__xludf.DUMMYFUNCTION("""COMPUTED_VALUE"""),"Приобретение,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тыс.ру"&amp;"б. средства бюджета Московской области)")</f>
        <v>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тыс.руб. средства бюджета Московской области)</v>
      </c>
      <c r="F202" s="32" t="str">
        <f ca="1">IFERROR(__xludf.DUMMYFUNCTION("""COMPUTED_VALUE"""),"ВЗУ")</f>
        <v>ВЗУ</v>
      </c>
      <c r="G202" s="20">
        <f ca="1">IFERROR(__xludf.DUMMYFUNCTION("""COMPUTED_VALUE"""),2020)</f>
        <v>2020</v>
      </c>
      <c r="H202" s="20" t="str">
        <f ca="1">IFERROR(__xludf.DUMMYFUNCTION("""COMPUTED_VALUE"""),"Приобретение, монтаж")</f>
        <v>Приобретение, монтаж</v>
      </c>
      <c r="I202" s="23">
        <f ca="1">IFERROR(__xludf.DUMMYFUNCTION("""COMPUTED_VALUE"""),1)</f>
        <v>1</v>
      </c>
      <c r="J202" s="20" t="str">
        <f ca="1">IFERROR(__xludf.DUMMYFUNCTION("""COMPUTED_VALUE"""),"Завершено в 2019 году. Кредиторка оплачена.")</f>
        <v>Завершено в 2019 году. Кредиторка оплачена.</v>
      </c>
      <c r="K202" s="20">
        <f ca="1">IFERROR(__xludf.DUMMYFUNCTION("""COMPUTED_VALUE"""),3500)</f>
        <v>3500</v>
      </c>
      <c r="L202" s="20">
        <f ca="1">IFERROR(__xludf.DUMMYFUNCTION("""COMPUTED_VALUE"""),3500)</f>
        <v>3500</v>
      </c>
      <c r="M202" s="20"/>
      <c r="N202" s="24">
        <f ca="1">IFERROR(__xludf.DUMMYFUNCTION("""COMPUTED_VALUE"""),7943)</f>
        <v>7943</v>
      </c>
      <c r="O202" s="20"/>
      <c r="P202" s="24">
        <f ca="1">IFERROR(__xludf.DUMMYFUNCTION("""COMPUTED_VALUE"""),7943)</f>
        <v>7943</v>
      </c>
      <c r="Q202" s="20"/>
      <c r="R202" s="20"/>
      <c r="S202" s="20"/>
      <c r="T202" s="20"/>
      <c r="U202" s="24">
        <f ca="1">IFERROR(__xludf.DUMMYFUNCTION("""COMPUTED_VALUE"""),0)</f>
        <v>0</v>
      </c>
      <c r="V202" s="24">
        <f ca="1">IFERROR(__xludf.DUMMYFUNCTION("""COMPUTED_VALUE"""),0)</f>
        <v>0</v>
      </c>
      <c r="W202" s="24">
        <f ca="1">IFERROR(__xludf.DUMMYFUNCTION("""COMPUTED_VALUE"""),0)</f>
        <v>0</v>
      </c>
      <c r="X202" s="24">
        <f ca="1">IFERROR(__xludf.DUMMYFUNCTION("""COMPUTED_VALUE"""),0)</f>
        <v>0</v>
      </c>
      <c r="Y202" s="24">
        <f ca="1">IFERROR(__xludf.DUMMYFUNCTION("""COMPUTED_VALUE"""),0)</f>
        <v>0</v>
      </c>
      <c r="Z202" s="24">
        <f ca="1">IFERROR(__xludf.DUMMYFUNCTION("""COMPUTED_VALUE"""),0)</f>
        <v>0</v>
      </c>
      <c r="AA202" s="20" t="str">
        <f ca="1">IFERROR(__xludf.DUMMYFUNCTION("""COMPUTED_VALUE"""),"10 1 02 60330")</f>
        <v>10 1 02 60330</v>
      </c>
      <c r="AB202" s="20">
        <f ca="1">IFERROR(__xludf.DUMMYFUNCTION("""COMPUTED_VALUE"""),520)</f>
        <v>520</v>
      </c>
      <c r="AC202" s="20" t="str">
        <f ca="1">IFERROR(__xludf.DUMMYFUNCTION("""COMPUTED_VALUE"""),"Не требуется")</f>
        <v>Не требуется</v>
      </c>
      <c r="AD202" s="20" t="str">
        <f ca="1">IFERROR(__xludf.DUMMYFUNCTION("""COMPUTED_VALUE"""),"-")</f>
        <v>-</v>
      </c>
      <c r="AE202" s="20" t="str">
        <f ca="1">IFERROR(__xludf.DUMMYFUNCTION("""COMPUTED_VALUE"""),"-")</f>
        <v>-</v>
      </c>
      <c r="AF202" s="24">
        <f ca="1">IFERROR(__xludf.DUMMYFUNCTION("""COMPUTED_VALUE"""),7943)</f>
        <v>7943</v>
      </c>
      <c r="AG202" s="24">
        <f ca="1">IFERROR(__xludf.DUMMYFUNCTION("""COMPUTED_VALUE"""),0)</f>
        <v>0</v>
      </c>
      <c r="AH202" s="24">
        <f ca="1">IFERROR(__xludf.DUMMYFUNCTION("""COMPUTED_VALUE"""),7943)</f>
        <v>7943</v>
      </c>
      <c r="AI202" s="24">
        <f ca="1">IFERROR(__xludf.DUMMYFUNCTION("""COMPUTED_VALUE"""),0)</f>
        <v>0</v>
      </c>
      <c r="AJ202" s="24">
        <f ca="1">IFERROR(__xludf.DUMMYFUNCTION("""COMPUTED_VALUE"""),0)</f>
        <v>0</v>
      </c>
      <c r="AK202" s="24">
        <f ca="1">IFERROR(__xludf.DUMMYFUNCTION("""COMPUTED_VALUE"""),0)</f>
        <v>0</v>
      </c>
      <c r="AL202" s="24">
        <f ca="1">IFERROR(__xludf.DUMMYFUNCTION("""COMPUTED_VALUE"""),0)</f>
        <v>0</v>
      </c>
      <c r="AM202" s="20"/>
      <c r="AN202" s="20"/>
      <c r="AO202" s="20"/>
      <c r="AP202" s="20"/>
      <c r="AQ202" s="20"/>
      <c r="AR202" s="24">
        <f ca="1">IFERROR(__xludf.DUMMYFUNCTION("""COMPUTED_VALUE"""),0)</f>
        <v>0</v>
      </c>
      <c r="AS202" s="20"/>
      <c r="AT202" s="20"/>
      <c r="AU202" s="20"/>
      <c r="AV202" s="20"/>
      <c r="AW202" s="20"/>
      <c r="AX202" s="24">
        <f ca="1">IFERROR(__xludf.DUMMYFUNCTION("""COMPUTED_VALUE"""),7943)</f>
        <v>7943</v>
      </c>
      <c r="AY202" s="24">
        <f ca="1">IFERROR(__xludf.DUMMYFUNCTION("""COMPUTED_VALUE"""),0)</f>
        <v>0</v>
      </c>
      <c r="AZ202" s="24">
        <f ca="1">IFERROR(__xludf.DUMMYFUNCTION("""COMPUTED_VALUE"""),7943)</f>
        <v>7943</v>
      </c>
      <c r="BA202" s="24">
        <f ca="1">IFERROR(__xludf.DUMMYFUNCTION("""COMPUTED_VALUE"""),0)</f>
        <v>0</v>
      </c>
      <c r="BB202" s="24">
        <f ca="1">IFERROR(__xludf.DUMMYFUNCTION("""COMPUTED_VALUE"""),0)</f>
        <v>0</v>
      </c>
      <c r="BC202" s="20"/>
      <c r="BD202" s="24">
        <f ca="1">IFERROR(__xludf.DUMMYFUNCTION("""COMPUTED_VALUE"""),0)</f>
        <v>0</v>
      </c>
      <c r="BE202" s="24">
        <f ca="1">IFERROR(__xludf.DUMMYFUNCTION("""COMPUTED_VALUE"""),0)</f>
        <v>0</v>
      </c>
      <c r="BF202" s="24">
        <f ca="1">IFERROR(__xludf.DUMMYFUNCTION("""COMPUTED_VALUE"""),0)</f>
        <v>0</v>
      </c>
      <c r="BG202" s="24">
        <f ca="1">IFERROR(__xludf.DUMMYFUNCTION("""COMPUTED_VALUE"""),0)</f>
        <v>0</v>
      </c>
      <c r="BH202" s="24">
        <f ca="1">IFERROR(__xludf.DUMMYFUNCTION("""COMPUTED_VALUE"""),0)</f>
        <v>0</v>
      </c>
      <c r="BI202" s="20"/>
      <c r="BJ202" s="24">
        <f ca="1">IFERROR(__xludf.DUMMYFUNCTION("""COMPUTED_VALUE"""),0)</f>
        <v>0</v>
      </c>
      <c r="BK202" s="24">
        <f ca="1">IFERROR(__xludf.DUMMYFUNCTION("""COMPUTED_VALUE"""),0)</f>
        <v>0</v>
      </c>
      <c r="BL202" s="24">
        <f ca="1">IFERROR(__xludf.DUMMYFUNCTION("""COMPUTED_VALUE"""),0)</f>
        <v>0</v>
      </c>
      <c r="BM202" s="24">
        <f ca="1">IFERROR(__xludf.DUMMYFUNCTION("""COMPUTED_VALUE"""),0)</f>
        <v>0</v>
      </c>
      <c r="BN202" s="24">
        <f ca="1">IFERROR(__xludf.DUMMYFUNCTION("""COMPUTED_VALUE"""),0)</f>
        <v>0</v>
      </c>
      <c r="BO202" s="20"/>
      <c r="BP202" s="24">
        <f ca="1">IFERROR(__xludf.DUMMYFUNCTION("""COMPUTED_VALUE"""),0)</f>
        <v>0</v>
      </c>
      <c r="BQ202" s="24">
        <f ca="1">IFERROR(__xludf.DUMMYFUNCTION("""COMPUTED_VALUE"""),0)</f>
        <v>0</v>
      </c>
      <c r="BR202" s="24">
        <f ca="1">IFERROR(__xludf.DUMMYFUNCTION("""COMPUTED_VALUE"""),0)</f>
        <v>0</v>
      </c>
      <c r="BS202" s="24">
        <f ca="1">IFERROR(__xludf.DUMMYFUNCTION("""COMPUTED_VALUE"""),0)</f>
        <v>0</v>
      </c>
      <c r="BT202" s="24">
        <f ca="1">IFERROR(__xludf.DUMMYFUNCTION("""COMPUTED_VALUE"""),0)</f>
        <v>0</v>
      </c>
      <c r="BU202" s="20"/>
      <c r="BV202" s="24">
        <f ca="1">IFERROR(__xludf.DUMMYFUNCTION("""COMPUTED_VALUE"""),0)</f>
        <v>0</v>
      </c>
      <c r="BW202" s="24">
        <f ca="1">IFERROR(__xludf.DUMMYFUNCTION("""COMPUTED_VALUE"""),0)</f>
        <v>0</v>
      </c>
      <c r="BX202" s="24">
        <f ca="1">IFERROR(__xludf.DUMMYFUNCTION("""COMPUTED_VALUE"""),0)</f>
        <v>0</v>
      </c>
      <c r="BY202" s="24">
        <f ca="1">IFERROR(__xludf.DUMMYFUNCTION("""COMPUTED_VALUE"""),0)</f>
        <v>0</v>
      </c>
      <c r="BZ202" s="24">
        <f ca="1">IFERROR(__xludf.DUMMYFUNCTION("""COMPUTED_VALUE"""),0)</f>
        <v>0</v>
      </c>
      <c r="CA202" s="20"/>
      <c r="CB202" s="20"/>
      <c r="CC202" s="20"/>
      <c r="CD202" s="20"/>
      <c r="CE202" s="20"/>
      <c r="CF202" s="20"/>
      <c r="CG202" s="20"/>
      <c r="CH202" s="20"/>
      <c r="CI202" s="20"/>
      <c r="CJ202" s="20"/>
      <c r="CK202" s="20"/>
      <c r="CL202" s="20"/>
      <c r="CM202" s="20"/>
      <c r="CN202" s="20"/>
      <c r="CO202" s="20"/>
      <c r="CP202" s="20"/>
      <c r="CQ202" s="20"/>
      <c r="CR202" s="20"/>
      <c r="CS202" s="20"/>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row>
    <row r="203" spans="1:123" ht="64.5" hidden="1" customHeight="1" x14ac:dyDescent="0.2">
      <c r="A203" s="19"/>
      <c r="B203" s="20" t="str">
        <f ca="1">IFERROR(__xludf.DUMMYFUNCTION("""COMPUTED_VALUE"""),"г.о. Зарайск")</f>
        <v>г.о. Зарайск</v>
      </c>
      <c r="C20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3" s="20" t="str">
        <f ca="1">IFERROR(__xludf.DUMMYFUNCTION("""COMPUTED_VALUE"""),"МинЖКХ")</f>
        <v>МинЖКХ</v>
      </c>
      <c r="E203" s="20" t="str">
        <f ca="1">IFERROR(__xludf.DUMMYFUNCTION("""COMPUTED_VALUE"""),"Приобретение, монтаж и ввод в эксплуатцию станций водоочистки на ВЗУ по адресу: п. Зарайский, г.о. Зарайск")</f>
        <v>Приобретение, монтаж и ввод в эксплуатцию станций водоочистки на ВЗУ по адресу: п. Зарайский, г.о. Зарайск</v>
      </c>
      <c r="F203" s="32" t="str">
        <f ca="1">IFERROR(__xludf.DUMMYFUNCTION("""COMPUTED_VALUE"""),"ВЗУ")</f>
        <v>ВЗУ</v>
      </c>
      <c r="G203" s="20">
        <f ca="1">IFERROR(__xludf.DUMMYFUNCTION("""COMPUTED_VALUE"""),2021)</f>
        <v>2021</v>
      </c>
      <c r="H203" s="20" t="str">
        <f ca="1">IFERROR(__xludf.DUMMYFUNCTION("""COMPUTED_VALUE"""),"Приобретение, монтаж")</f>
        <v>Приобретение, монтаж</v>
      </c>
      <c r="I203" s="20"/>
      <c r="J203" s="20"/>
      <c r="K203" s="20"/>
      <c r="L203" s="20"/>
      <c r="M203" s="20"/>
      <c r="N203" s="24">
        <f ca="1">IFERROR(__xludf.DUMMYFUNCTION("""COMPUTED_VALUE"""),0)</f>
        <v>0</v>
      </c>
      <c r="O203" s="20"/>
      <c r="P203" s="20"/>
      <c r="Q203" s="20"/>
      <c r="R203" s="20"/>
      <c r="S203" s="20"/>
      <c r="T203" s="20"/>
      <c r="U203" s="24">
        <f ca="1">IFERROR(__xludf.DUMMYFUNCTION("""COMPUTED_VALUE"""),0)</f>
        <v>0</v>
      </c>
      <c r="V203" s="24">
        <f ca="1">IFERROR(__xludf.DUMMYFUNCTION("""COMPUTED_VALUE"""),0)</f>
        <v>0</v>
      </c>
      <c r="W203" s="24">
        <f ca="1">IFERROR(__xludf.DUMMYFUNCTION("""COMPUTED_VALUE"""),0)</f>
        <v>0</v>
      </c>
      <c r="X203" s="24">
        <f ca="1">IFERROR(__xludf.DUMMYFUNCTION("""COMPUTED_VALUE"""),0)</f>
        <v>0</v>
      </c>
      <c r="Y203" s="24">
        <f ca="1">IFERROR(__xludf.DUMMYFUNCTION("""COMPUTED_VALUE"""),0)</f>
        <v>0</v>
      </c>
      <c r="Z203" s="24">
        <f ca="1">IFERROR(__xludf.DUMMYFUNCTION("""COMPUTED_VALUE"""),0)</f>
        <v>0</v>
      </c>
      <c r="AA203" s="20" t="str">
        <f ca="1">IFERROR(__xludf.DUMMYFUNCTION("""COMPUTED_VALUE"""),"10 1 02 60330")</f>
        <v>10 1 02 60330</v>
      </c>
      <c r="AB203" s="20">
        <f ca="1">IFERROR(__xludf.DUMMYFUNCTION("""COMPUTED_VALUE"""),520)</f>
        <v>520</v>
      </c>
      <c r="AC203" s="20" t="str">
        <f ca="1">IFERROR(__xludf.DUMMYFUNCTION("""COMPUTED_VALUE"""),"Не требуется")</f>
        <v>Не требуется</v>
      </c>
      <c r="AD203" s="20" t="str">
        <f ca="1">IFERROR(__xludf.DUMMYFUNCTION("""COMPUTED_VALUE"""),"-")</f>
        <v>-</v>
      </c>
      <c r="AE203" s="20" t="str">
        <f ca="1">IFERROR(__xludf.DUMMYFUNCTION("""COMPUTED_VALUE"""),"-")</f>
        <v>-</v>
      </c>
      <c r="AF203" s="24">
        <f ca="1">IFERROR(__xludf.DUMMYFUNCTION("""COMPUTED_VALUE"""),2778)</f>
        <v>2778</v>
      </c>
      <c r="AG203" s="24">
        <f ca="1">IFERROR(__xludf.DUMMYFUNCTION("""COMPUTED_VALUE"""),0)</f>
        <v>0</v>
      </c>
      <c r="AH203" s="24">
        <f ca="1">IFERROR(__xludf.DUMMYFUNCTION("""COMPUTED_VALUE"""),0)</f>
        <v>0</v>
      </c>
      <c r="AI203" s="24">
        <f ca="1">IFERROR(__xludf.DUMMYFUNCTION("""COMPUTED_VALUE"""),2572.43)</f>
        <v>2572.4299999999998</v>
      </c>
      <c r="AJ203" s="24">
        <f ca="1">IFERROR(__xludf.DUMMYFUNCTION("""COMPUTED_VALUE"""),205.57)</f>
        <v>205.57</v>
      </c>
      <c r="AK203" s="24">
        <f ca="1">IFERROR(__xludf.DUMMYFUNCTION("""COMPUTED_VALUE"""),0)</f>
        <v>0</v>
      </c>
      <c r="AL203" s="24">
        <f ca="1">IFERROR(__xludf.DUMMYFUNCTION("""COMPUTED_VALUE"""),0)</f>
        <v>0</v>
      </c>
      <c r="AM203" s="20"/>
      <c r="AN203" s="20"/>
      <c r="AO203" s="20"/>
      <c r="AP203" s="20"/>
      <c r="AQ203" s="20"/>
      <c r="AR203" s="24">
        <f ca="1">IFERROR(__xludf.DUMMYFUNCTION("""COMPUTED_VALUE"""),0)</f>
        <v>0</v>
      </c>
      <c r="AS203" s="20"/>
      <c r="AT203" s="20"/>
      <c r="AU203" s="20"/>
      <c r="AV203" s="20"/>
      <c r="AW203" s="20"/>
      <c r="AX203" s="24">
        <f ca="1">IFERROR(__xludf.DUMMYFUNCTION("""COMPUTED_VALUE"""),0)</f>
        <v>0</v>
      </c>
      <c r="AY203" s="24">
        <f ca="1">IFERROR(__xludf.DUMMYFUNCTION("""COMPUTED_VALUE"""),0)</f>
        <v>0</v>
      </c>
      <c r="AZ203" s="24">
        <f ca="1">IFERROR(__xludf.DUMMYFUNCTION("""COMPUTED_VALUE"""),0)</f>
        <v>0</v>
      </c>
      <c r="BA203" s="24">
        <f ca="1">IFERROR(__xludf.DUMMYFUNCTION("""COMPUTED_VALUE"""),0)</f>
        <v>0</v>
      </c>
      <c r="BB203" s="24">
        <f ca="1">IFERROR(__xludf.DUMMYFUNCTION("""COMPUTED_VALUE"""),0)</f>
        <v>0</v>
      </c>
      <c r="BC203" s="20"/>
      <c r="BD203" s="24">
        <f ca="1">IFERROR(__xludf.DUMMYFUNCTION("""COMPUTED_VALUE"""),2778)</f>
        <v>2778</v>
      </c>
      <c r="BE203" s="24">
        <f ca="1">IFERROR(__xludf.DUMMYFUNCTION("""COMPUTED_VALUE"""),0)</f>
        <v>0</v>
      </c>
      <c r="BF203" s="24">
        <f ca="1">IFERROR(__xludf.DUMMYFUNCTION("""COMPUTED_VALUE"""),0)</f>
        <v>0</v>
      </c>
      <c r="BG203" s="24">
        <f ca="1">IFERROR(__xludf.DUMMYFUNCTION("""COMPUTED_VALUE"""),2572.43)</f>
        <v>2572.4299999999998</v>
      </c>
      <c r="BH203" s="24">
        <f ca="1">IFERROR(__xludf.DUMMYFUNCTION("""COMPUTED_VALUE"""),205.57)</f>
        <v>205.57</v>
      </c>
      <c r="BI203" s="20"/>
      <c r="BJ203" s="24">
        <f ca="1">IFERROR(__xludf.DUMMYFUNCTION("""COMPUTED_VALUE"""),0)</f>
        <v>0</v>
      </c>
      <c r="BK203" s="24">
        <f ca="1">IFERROR(__xludf.DUMMYFUNCTION("""COMPUTED_VALUE"""),0)</f>
        <v>0</v>
      </c>
      <c r="BL203" s="24">
        <f ca="1">IFERROR(__xludf.DUMMYFUNCTION("""COMPUTED_VALUE"""),0)</f>
        <v>0</v>
      </c>
      <c r="BM203" s="24">
        <f ca="1">IFERROR(__xludf.DUMMYFUNCTION("""COMPUTED_VALUE"""),0)</f>
        <v>0</v>
      </c>
      <c r="BN203" s="24">
        <f ca="1">IFERROR(__xludf.DUMMYFUNCTION("""COMPUTED_VALUE"""),0)</f>
        <v>0</v>
      </c>
      <c r="BO203" s="20"/>
      <c r="BP203" s="24">
        <f ca="1">IFERROR(__xludf.DUMMYFUNCTION("""COMPUTED_VALUE"""),0)</f>
        <v>0</v>
      </c>
      <c r="BQ203" s="24">
        <f ca="1">IFERROR(__xludf.DUMMYFUNCTION("""COMPUTED_VALUE"""),0)</f>
        <v>0</v>
      </c>
      <c r="BR203" s="24">
        <f ca="1">IFERROR(__xludf.DUMMYFUNCTION("""COMPUTED_VALUE"""),0)</f>
        <v>0</v>
      </c>
      <c r="BS203" s="24">
        <f ca="1">IFERROR(__xludf.DUMMYFUNCTION("""COMPUTED_VALUE"""),0)</f>
        <v>0</v>
      </c>
      <c r="BT203" s="24">
        <f ca="1">IFERROR(__xludf.DUMMYFUNCTION("""COMPUTED_VALUE"""),0)</f>
        <v>0</v>
      </c>
      <c r="BU203" s="20"/>
      <c r="BV203" s="24">
        <f ca="1">IFERROR(__xludf.DUMMYFUNCTION("""COMPUTED_VALUE"""),0)</f>
        <v>0</v>
      </c>
      <c r="BW203" s="24">
        <f ca="1">IFERROR(__xludf.DUMMYFUNCTION("""COMPUTED_VALUE"""),0)</f>
        <v>0</v>
      </c>
      <c r="BX203" s="24">
        <f ca="1">IFERROR(__xludf.DUMMYFUNCTION("""COMPUTED_VALUE"""),0)</f>
        <v>0</v>
      </c>
      <c r="BY203" s="24">
        <f ca="1">IFERROR(__xludf.DUMMYFUNCTION("""COMPUTED_VALUE"""),0)</f>
        <v>0</v>
      </c>
      <c r="BZ203" s="24">
        <f ca="1">IFERROR(__xludf.DUMMYFUNCTION("""COMPUTED_VALUE"""),0)</f>
        <v>0</v>
      </c>
      <c r="CA203" s="20"/>
      <c r="CB203" s="20"/>
      <c r="CC203" s="20"/>
      <c r="CD203" s="20"/>
      <c r="CE203" s="20"/>
      <c r="CF203" s="20"/>
      <c r="CG203" s="20"/>
      <c r="CH203" s="20"/>
      <c r="CI203" s="20"/>
      <c r="CJ203" s="20"/>
      <c r="CK203" s="20"/>
      <c r="CL203" s="20"/>
      <c r="CM203" s="20"/>
      <c r="CN203" s="20"/>
      <c r="CO203" s="20"/>
      <c r="CP203" s="20"/>
      <c r="CQ203" s="20"/>
      <c r="CR203" s="20"/>
      <c r="CS203" s="20"/>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row>
    <row r="204" spans="1:123" ht="64.5" hidden="1" customHeight="1" x14ac:dyDescent="0.2">
      <c r="A204" s="19"/>
      <c r="B204" s="20" t="str">
        <f ca="1">IFERROR(__xludf.DUMMYFUNCTION("""COMPUTED_VALUE"""),"г.о. Зарайск")</f>
        <v>г.о. Зарайск</v>
      </c>
      <c r="C20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4" s="20" t="str">
        <f ca="1">IFERROR(__xludf.DUMMYFUNCTION("""COMPUTED_VALUE"""),"МинЖКХ")</f>
        <v>МинЖКХ</v>
      </c>
      <c r="E204" s="20" t="str">
        <f ca="1">IFERROR(__xludf.DUMMYFUNCTION("""COMPUTED_VALUE"""),"Приобретение, монтаж и ввод в эксплуатцию станций водоочистки на ВЗУ по адресу: 2-е отделение с/з Зарайский г.о. Зарайск")</f>
        <v>Приобретение, монтаж и ввод в эксплуатцию станций водоочистки на ВЗУ по адресу: 2-е отделение с/з Зарайский г.о. Зарайск</v>
      </c>
      <c r="F204" s="32" t="str">
        <f ca="1">IFERROR(__xludf.DUMMYFUNCTION("""COMPUTED_VALUE"""),"ВЗУ")</f>
        <v>ВЗУ</v>
      </c>
      <c r="G204" s="20">
        <f ca="1">IFERROR(__xludf.DUMMYFUNCTION("""COMPUTED_VALUE"""),2021)</f>
        <v>2021</v>
      </c>
      <c r="H204" s="20" t="str">
        <f ca="1">IFERROR(__xludf.DUMMYFUNCTION("""COMPUTED_VALUE"""),"Приобретение, монтаж")</f>
        <v>Приобретение, монтаж</v>
      </c>
      <c r="I204" s="20"/>
      <c r="J204" s="20"/>
      <c r="K204" s="20"/>
      <c r="L204" s="20"/>
      <c r="M204" s="20"/>
      <c r="N204" s="24">
        <f ca="1">IFERROR(__xludf.DUMMYFUNCTION("""COMPUTED_VALUE"""),0)</f>
        <v>0</v>
      </c>
      <c r="O204" s="20"/>
      <c r="P204" s="20"/>
      <c r="Q204" s="20"/>
      <c r="R204" s="20"/>
      <c r="S204" s="20"/>
      <c r="T204" s="20"/>
      <c r="U204" s="24">
        <f ca="1">IFERROR(__xludf.DUMMYFUNCTION("""COMPUTED_VALUE"""),0)</f>
        <v>0</v>
      </c>
      <c r="V204" s="24">
        <f ca="1">IFERROR(__xludf.DUMMYFUNCTION("""COMPUTED_VALUE"""),0)</f>
        <v>0</v>
      </c>
      <c r="W204" s="24">
        <f ca="1">IFERROR(__xludf.DUMMYFUNCTION("""COMPUTED_VALUE"""),0)</f>
        <v>0</v>
      </c>
      <c r="X204" s="24">
        <f ca="1">IFERROR(__xludf.DUMMYFUNCTION("""COMPUTED_VALUE"""),0)</f>
        <v>0</v>
      </c>
      <c r="Y204" s="24">
        <f ca="1">IFERROR(__xludf.DUMMYFUNCTION("""COMPUTED_VALUE"""),0)</f>
        <v>0</v>
      </c>
      <c r="Z204" s="24">
        <f ca="1">IFERROR(__xludf.DUMMYFUNCTION("""COMPUTED_VALUE"""),0)</f>
        <v>0</v>
      </c>
      <c r="AA204" s="20" t="str">
        <f ca="1">IFERROR(__xludf.DUMMYFUNCTION("""COMPUTED_VALUE"""),"10 1 02 60330")</f>
        <v>10 1 02 60330</v>
      </c>
      <c r="AB204" s="20">
        <f ca="1">IFERROR(__xludf.DUMMYFUNCTION("""COMPUTED_VALUE"""),520)</f>
        <v>520</v>
      </c>
      <c r="AC204" s="20" t="str">
        <f ca="1">IFERROR(__xludf.DUMMYFUNCTION("""COMPUTED_VALUE"""),"Не требуется")</f>
        <v>Не требуется</v>
      </c>
      <c r="AD204" s="20" t="str">
        <f ca="1">IFERROR(__xludf.DUMMYFUNCTION("""COMPUTED_VALUE"""),"-")</f>
        <v>-</v>
      </c>
      <c r="AE204" s="20" t="str">
        <f ca="1">IFERROR(__xludf.DUMMYFUNCTION("""COMPUTED_VALUE"""),"-")</f>
        <v>-</v>
      </c>
      <c r="AF204" s="24">
        <f ca="1">IFERROR(__xludf.DUMMYFUNCTION("""COMPUTED_VALUE"""),1578.01)</f>
        <v>1578.01</v>
      </c>
      <c r="AG204" s="24">
        <f ca="1">IFERROR(__xludf.DUMMYFUNCTION("""COMPUTED_VALUE"""),0)</f>
        <v>0</v>
      </c>
      <c r="AH204" s="24">
        <f ca="1">IFERROR(__xludf.DUMMYFUNCTION("""COMPUTED_VALUE"""),0)</f>
        <v>0</v>
      </c>
      <c r="AI204" s="24">
        <f ca="1">IFERROR(__xludf.DUMMYFUNCTION("""COMPUTED_VALUE"""),1461.23)</f>
        <v>1461.23</v>
      </c>
      <c r="AJ204" s="24">
        <f ca="1">IFERROR(__xludf.DUMMYFUNCTION("""COMPUTED_VALUE"""),116.78)</f>
        <v>116.78</v>
      </c>
      <c r="AK204" s="24">
        <f ca="1">IFERROR(__xludf.DUMMYFUNCTION("""COMPUTED_VALUE"""),0)</f>
        <v>0</v>
      </c>
      <c r="AL204" s="24">
        <f ca="1">IFERROR(__xludf.DUMMYFUNCTION("""COMPUTED_VALUE"""),0)</f>
        <v>0</v>
      </c>
      <c r="AM204" s="20"/>
      <c r="AN204" s="20"/>
      <c r="AO204" s="20"/>
      <c r="AP204" s="20"/>
      <c r="AQ204" s="20"/>
      <c r="AR204" s="24">
        <f ca="1">IFERROR(__xludf.DUMMYFUNCTION("""COMPUTED_VALUE"""),0)</f>
        <v>0</v>
      </c>
      <c r="AS204" s="20"/>
      <c r="AT204" s="20"/>
      <c r="AU204" s="20"/>
      <c r="AV204" s="20"/>
      <c r="AW204" s="20"/>
      <c r="AX204" s="24">
        <f ca="1">IFERROR(__xludf.DUMMYFUNCTION("""COMPUTED_VALUE"""),0)</f>
        <v>0</v>
      </c>
      <c r="AY204" s="24">
        <f ca="1">IFERROR(__xludf.DUMMYFUNCTION("""COMPUTED_VALUE"""),0)</f>
        <v>0</v>
      </c>
      <c r="AZ204" s="24">
        <f ca="1">IFERROR(__xludf.DUMMYFUNCTION("""COMPUTED_VALUE"""),0)</f>
        <v>0</v>
      </c>
      <c r="BA204" s="24">
        <f ca="1">IFERROR(__xludf.DUMMYFUNCTION("""COMPUTED_VALUE"""),0)</f>
        <v>0</v>
      </c>
      <c r="BB204" s="24">
        <f ca="1">IFERROR(__xludf.DUMMYFUNCTION("""COMPUTED_VALUE"""),0)</f>
        <v>0</v>
      </c>
      <c r="BC204" s="20"/>
      <c r="BD204" s="24">
        <f ca="1">IFERROR(__xludf.DUMMYFUNCTION("""COMPUTED_VALUE"""),1578.01)</f>
        <v>1578.01</v>
      </c>
      <c r="BE204" s="24">
        <f ca="1">IFERROR(__xludf.DUMMYFUNCTION("""COMPUTED_VALUE"""),0)</f>
        <v>0</v>
      </c>
      <c r="BF204" s="24">
        <f ca="1">IFERROR(__xludf.DUMMYFUNCTION("""COMPUTED_VALUE"""),0)</f>
        <v>0</v>
      </c>
      <c r="BG204" s="24">
        <f ca="1">IFERROR(__xludf.DUMMYFUNCTION("""COMPUTED_VALUE"""),1461.23)</f>
        <v>1461.23</v>
      </c>
      <c r="BH204" s="24">
        <f ca="1">IFERROR(__xludf.DUMMYFUNCTION("""COMPUTED_VALUE"""),116.78)</f>
        <v>116.78</v>
      </c>
      <c r="BI204" s="20"/>
      <c r="BJ204" s="24">
        <f ca="1">IFERROR(__xludf.DUMMYFUNCTION("""COMPUTED_VALUE"""),0)</f>
        <v>0</v>
      </c>
      <c r="BK204" s="24">
        <f ca="1">IFERROR(__xludf.DUMMYFUNCTION("""COMPUTED_VALUE"""),0)</f>
        <v>0</v>
      </c>
      <c r="BL204" s="24">
        <f ca="1">IFERROR(__xludf.DUMMYFUNCTION("""COMPUTED_VALUE"""),0)</f>
        <v>0</v>
      </c>
      <c r="BM204" s="24">
        <f ca="1">IFERROR(__xludf.DUMMYFUNCTION("""COMPUTED_VALUE"""),0)</f>
        <v>0</v>
      </c>
      <c r="BN204" s="24">
        <f ca="1">IFERROR(__xludf.DUMMYFUNCTION("""COMPUTED_VALUE"""),0)</f>
        <v>0</v>
      </c>
      <c r="BO204" s="20"/>
      <c r="BP204" s="24">
        <f ca="1">IFERROR(__xludf.DUMMYFUNCTION("""COMPUTED_VALUE"""),0)</f>
        <v>0</v>
      </c>
      <c r="BQ204" s="24">
        <f ca="1">IFERROR(__xludf.DUMMYFUNCTION("""COMPUTED_VALUE"""),0)</f>
        <v>0</v>
      </c>
      <c r="BR204" s="24">
        <f ca="1">IFERROR(__xludf.DUMMYFUNCTION("""COMPUTED_VALUE"""),0)</f>
        <v>0</v>
      </c>
      <c r="BS204" s="24">
        <f ca="1">IFERROR(__xludf.DUMMYFUNCTION("""COMPUTED_VALUE"""),0)</f>
        <v>0</v>
      </c>
      <c r="BT204" s="24">
        <f ca="1">IFERROR(__xludf.DUMMYFUNCTION("""COMPUTED_VALUE"""),0)</f>
        <v>0</v>
      </c>
      <c r="BU204" s="20"/>
      <c r="BV204" s="24">
        <f ca="1">IFERROR(__xludf.DUMMYFUNCTION("""COMPUTED_VALUE"""),0)</f>
        <v>0</v>
      </c>
      <c r="BW204" s="24">
        <f ca="1">IFERROR(__xludf.DUMMYFUNCTION("""COMPUTED_VALUE"""),0)</f>
        <v>0</v>
      </c>
      <c r="BX204" s="24">
        <f ca="1">IFERROR(__xludf.DUMMYFUNCTION("""COMPUTED_VALUE"""),0)</f>
        <v>0</v>
      </c>
      <c r="BY204" s="24">
        <f ca="1">IFERROR(__xludf.DUMMYFUNCTION("""COMPUTED_VALUE"""),0)</f>
        <v>0</v>
      </c>
      <c r="BZ204" s="24">
        <f ca="1">IFERROR(__xludf.DUMMYFUNCTION("""COMPUTED_VALUE"""),0)</f>
        <v>0</v>
      </c>
      <c r="CA204" s="20"/>
      <c r="CB204" s="20"/>
      <c r="CC204" s="20"/>
      <c r="CD204" s="20"/>
      <c r="CE204" s="20"/>
      <c r="CF204" s="20"/>
      <c r="CG204" s="20"/>
      <c r="CH204" s="20"/>
      <c r="CI204" s="20"/>
      <c r="CJ204" s="20"/>
      <c r="CK204" s="20"/>
      <c r="CL204" s="20"/>
      <c r="CM204" s="20"/>
      <c r="CN204" s="20"/>
      <c r="CO204" s="20"/>
      <c r="CP204" s="20"/>
      <c r="CQ204" s="20"/>
      <c r="CR204" s="20"/>
      <c r="CS204" s="20"/>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row>
    <row r="205" spans="1:123" ht="64.5" hidden="1" customHeight="1" x14ac:dyDescent="0.2">
      <c r="A205" s="19"/>
      <c r="B205" s="20" t="str">
        <f ca="1">IFERROR(__xludf.DUMMYFUNCTION("""COMPUTED_VALUE"""),"г.о. Зарайск")</f>
        <v>г.о. Зарайск</v>
      </c>
      <c r="C20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5" s="20" t="str">
        <f ca="1">IFERROR(__xludf.DUMMYFUNCTION("""COMPUTED_VALUE"""),"МинЖКХ")</f>
        <v>МинЖКХ</v>
      </c>
      <c r="E205" s="20" t="str">
        <f ca="1">IFERROR(__xludf.DUMMYFUNCTION("""COMPUTED_VALUE"""),"Приобретение, монтаж и ввод в эксплуатцию станций водоочистки на ВЗУ в д. Титово г.о. Зарайск")</f>
        <v>Приобретение, монтаж и ввод в эксплуатцию станций водоочистки на ВЗУ в д. Титово г.о. Зарайск</v>
      </c>
      <c r="F205" s="32" t="str">
        <f ca="1">IFERROR(__xludf.DUMMYFUNCTION("""COMPUTED_VALUE"""),"ВЗУ")</f>
        <v>ВЗУ</v>
      </c>
      <c r="G205" s="20">
        <f ca="1">IFERROR(__xludf.DUMMYFUNCTION("""COMPUTED_VALUE"""),2021)</f>
        <v>2021</v>
      </c>
      <c r="H205" s="20" t="str">
        <f ca="1">IFERROR(__xludf.DUMMYFUNCTION("""COMPUTED_VALUE"""),"Приобретение, монтаж")</f>
        <v>Приобретение, монтаж</v>
      </c>
      <c r="I205" s="20"/>
      <c r="J205" s="20"/>
      <c r="K205" s="20"/>
      <c r="L205" s="20"/>
      <c r="M205" s="20"/>
      <c r="N205" s="24">
        <f ca="1">IFERROR(__xludf.DUMMYFUNCTION("""COMPUTED_VALUE"""),0)</f>
        <v>0</v>
      </c>
      <c r="O205" s="20"/>
      <c r="P205" s="20"/>
      <c r="Q205" s="20"/>
      <c r="R205" s="20"/>
      <c r="S205" s="20"/>
      <c r="T205" s="20"/>
      <c r="U205" s="24">
        <f ca="1">IFERROR(__xludf.DUMMYFUNCTION("""COMPUTED_VALUE"""),0)</f>
        <v>0</v>
      </c>
      <c r="V205" s="24">
        <f ca="1">IFERROR(__xludf.DUMMYFUNCTION("""COMPUTED_VALUE"""),0)</f>
        <v>0</v>
      </c>
      <c r="W205" s="24">
        <f ca="1">IFERROR(__xludf.DUMMYFUNCTION("""COMPUTED_VALUE"""),0)</f>
        <v>0</v>
      </c>
      <c r="X205" s="24">
        <f ca="1">IFERROR(__xludf.DUMMYFUNCTION("""COMPUTED_VALUE"""),0)</f>
        <v>0</v>
      </c>
      <c r="Y205" s="24">
        <f ca="1">IFERROR(__xludf.DUMMYFUNCTION("""COMPUTED_VALUE"""),0)</f>
        <v>0</v>
      </c>
      <c r="Z205" s="24">
        <f ca="1">IFERROR(__xludf.DUMMYFUNCTION("""COMPUTED_VALUE"""),0)</f>
        <v>0</v>
      </c>
      <c r="AA205" s="20" t="str">
        <f ca="1">IFERROR(__xludf.DUMMYFUNCTION("""COMPUTED_VALUE"""),"10 1 02 60330")</f>
        <v>10 1 02 60330</v>
      </c>
      <c r="AB205" s="20">
        <f ca="1">IFERROR(__xludf.DUMMYFUNCTION("""COMPUTED_VALUE"""),520)</f>
        <v>520</v>
      </c>
      <c r="AC205" s="20" t="str">
        <f ca="1">IFERROR(__xludf.DUMMYFUNCTION("""COMPUTED_VALUE"""),"Не требуется")</f>
        <v>Не требуется</v>
      </c>
      <c r="AD205" s="20" t="str">
        <f ca="1">IFERROR(__xludf.DUMMYFUNCTION("""COMPUTED_VALUE"""),"-")</f>
        <v>-</v>
      </c>
      <c r="AE205" s="20" t="str">
        <f ca="1">IFERROR(__xludf.DUMMYFUNCTION("""COMPUTED_VALUE"""),"-")</f>
        <v>-</v>
      </c>
      <c r="AF205" s="24">
        <f ca="1">IFERROR(__xludf.DUMMYFUNCTION("""COMPUTED_VALUE"""),1741.76)</f>
        <v>1741.76</v>
      </c>
      <c r="AG205" s="24">
        <f ca="1">IFERROR(__xludf.DUMMYFUNCTION("""COMPUTED_VALUE"""),0)</f>
        <v>0</v>
      </c>
      <c r="AH205" s="24">
        <f ca="1">IFERROR(__xludf.DUMMYFUNCTION("""COMPUTED_VALUE"""),0)</f>
        <v>0</v>
      </c>
      <c r="AI205" s="24">
        <f ca="1">IFERROR(__xludf.DUMMYFUNCTION("""COMPUTED_VALUE"""),1461.34)</f>
        <v>1461.34</v>
      </c>
      <c r="AJ205" s="24">
        <f ca="1">IFERROR(__xludf.DUMMYFUNCTION("""COMPUTED_VALUE"""),280.42)</f>
        <v>280.42</v>
      </c>
      <c r="AK205" s="24">
        <f ca="1">IFERROR(__xludf.DUMMYFUNCTION("""COMPUTED_VALUE"""),0)</f>
        <v>0</v>
      </c>
      <c r="AL205" s="24">
        <f ca="1">IFERROR(__xludf.DUMMYFUNCTION("""COMPUTED_VALUE"""),0)</f>
        <v>0</v>
      </c>
      <c r="AM205" s="20"/>
      <c r="AN205" s="20"/>
      <c r="AO205" s="20"/>
      <c r="AP205" s="20"/>
      <c r="AQ205" s="20"/>
      <c r="AR205" s="24">
        <f ca="1">IFERROR(__xludf.DUMMYFUNCTION("""COMPUTED_VALUE"""),0)</f>
        <v>0</v>
      </c>
      <c r="AS205" s="20"/>
      <c r="AT205" s="20"/>
      <c r="AU205" s="20"/>
      <c r="AV205" s="20"/>
      <c r="AW205" s="20"/>
      <c r="AX205" s="24">
        <f ca="1">IFERROR(__xludf.DUMMYFUNCTION("""COMPUTED_VALUE"""),0)</f>
        <v>0</v>
      </c>
      <c r="AY205" s="24">
        <f ca="1">IFERROR(__xludf.DUMMYFUNCTION("""COMPUTED_VALUE"""),0)</f>
        <v>0</v>
      </c>
      <c r="AZ205" s="24">
        <f ca="1">IFERROR(__xludf.DUMMYFUNCTION("""COMPUTED_VALUE"""),0)</f>
        <v>0</v>
      </c>
      <c r="BA205" s="24">
        <f ca="1">IFERROR(__xludf.DUMMYFUNCTION("""COMPUTED_VALUE"""),0)</f>
        <v>0</v>
      </c>
      <c r="BB205" s="24">
        <f ca="1">IFERROR(__xludf.DUMMYFUNCTION("""COMPUTED_VALUE"""),0)</f>
        <v>0</v>
      </c>
      <c r="BC205" s="20"/>
      <c r="BD205" s="24">
        <f ca="1">IFERROR(__xludf.DUMMYFUNCTION("""COMPUTED_VALUE"""),1741.76)</f>
        <v>1741.76</v>
      </c>
      <c r="BE205" s="24">
        <f ca="1">IFERROR(__xludf.DUMMYFUNCTION("""COMPUTED_VALUE"""),0)</f>
        <v>0</v>
      </c>
      <c r="BF205" s="24">
        <f ca="1">IFERROR(__xludf.DUMMYFUNCTION("""COMPUTED_VALUE"""),0)</f>
        <v>0</v>
      </c>
      <c r="BG205" s="24">
        <f ca="1">IFERROR(__xludf.DUMMYFUNCTION("""COMPUTED_VALUE"""),1461.34)</f>
        <v>1461.34</v>
      </c>
      <c r="BH205" s="24">
        <f ca="1">IFERROR(__xludf.DUMMYFUNCTION("""COMPUTED_VALUE"""),280.42)</f>
        <v>280.42</v>
      </c>
      <c r="BI205" s="20"/>
      <c r="BJ205" s="24">
        <f ca="1">IFERROR(__xludf.DUMMYFUNCTION("""COMPUTED_VALUE"""),0)</f>
        <v>0</v>
      </c>
      <c r="BK205" s="24">
        <f ca="1">IFERROR(__xludf.DUMMYFUNCTION("""COMPUTED_VALUE"""),0)</f>
        <v>0</v>
      </c>
      <c r="BL205" s="24">
        <f ca="1">IFERROR(__xludf.DUMMYFUNCTION("""COMPUTED_VALUE"""),0)</f>
        <v>0</v>
      </c>
      <c r="BM205" s="24">
        <f ca="1">IFERROR(__xludf.DUMMYFUNCTION("""COMPUTED_VALUE"""),0)</f>
        <v>0</v>
      </c>
      <c r="BN205" s="24">
        <f ca="1">IFERROR(__xludf.DUMMYFUNCTION("""COMPUTED_VALUE"""),0)</f>
        <v>0</v>
      </c>
      <c r="BO205" s="20"/>
      <c r="BP205" s="24">
        <f ca="1">IFERROR(__xludf.DUMMYFUNCTION("""COMPUTED_VALUE"""),0)</f>
        <v>0</v>
      </c>
      <c r="BQ205" s="24">
        <f ca="1">IFERROR(__xludf.DUMMYFUNCTION("""COMPUTED_VALUE"""),0)</f>
        <v>0</v>
      </c>
      <c r="BR205" s="24">
        <f ca="1">IFERROR(__xludf.DUMMYFUNCTION("""COMPUTED_VALUE"""),0)</f>
        <v>0</v>
      </c>
      <c r="BS205" s="24">
        <f ca="1">IFERROR(__xludf.DUMMYFUNCTION("""COMPUTED_VALUE"""),0)</f>
        <v>0</v>
      </c>
      <c r="BT205" s="24">
        <f ca="1">IFERROR(__xludf.DUMMYFUNCTION("""COMPUTED_VALUE"""),0)</f>
        <v>0</v>
      </c>
      <c r="BU205" s="20"/>
      <c r="BV205" s="24">
        <f ca="1">IFERROR(__xludf.DUMMYFUNCTION("""COMPUTED_VALUE"""),0)</f>
        <v>0</v>
      </c>
      <c r="BW205" s="24">
        <f ca="1">IFERROR(__xludf.DUMMYFUNCTION("""COMPUTED_VALUE"""),0)</f>
        <v>0</v>
      </c>
      <c r="BX205" s="24">
        <f ca="1">IFERROR(__xludf.DUMMYFUNCTION("""COMPUTED_VALUE"""),0)</f>
        <v>0</v>
      </c>
      <c r="BY205" s="24">
        <f ca="1">IFERROR(__xludf.DUMMYFUNCTION("""COMPUTED_VALUE"""),0)</f>
        <v>0</v>
      </c>
      <c r="BZ205" s="24">
        <f ca="1">IFERROR(__xludf.DUMMYFUNCTION("""COMPUTED_VALUE"""),0)</f>
        <v>0</v>
      </c>
      <c r="CA205" s="20"/>
      <c r="CB205" s="20"/>
      <c r="CC205" s="20"/>
      <c r="CD205" s="20"/>
      <c r="CE205" s="20"/>
      <c r="CF205" s="20"/>
      <c r="CG205" s="20"/>
      <c r="CH205" s="20"/>
      <c r="CI205" s="20"/>
      <c r="CJ205" s="20"/>
      <c r="CK205" s="20"/>
      <c r="CL205" s="20"/>
      <c r="CM205" s="20"/>
      <c r="CN205" s="20"/>
      <c r="CO205" s="20"/>
      <c r="CP205" s="20"/>
      <c r="CQ205" s="20"/>
      <c r="CR205" s="20"/>
      <c r="CS205" s="20"/>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row>
    <row r="206" spans="1:123" ht="64.5" customHeight="1" x14ac:dyDescent="0.2">
      <c r="A206" s="19"/>
      <c r="B206" s="20" t="str">
        <f ca="1">IFERROR(__xludf.DUMMYFUNCTION("""COMPUTED_VALUE"""),"г.о. Егорьевск")</f>
        <v>г.о. Егорьевск</v>
      </c>
      <c r="C20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6" s="20" t="str">
        <f ca="1">IFERROR(__xludf.DUMMYFUNCTION("""COMPUTED_VALUE"""),"МинЖКХ")</f>
        <v>МинЖКХ</v>
      </c>
      <c r="E206" s="20" t="str">
        <f ca="1">IFERROR(__xludf.DUMMYFUNCTION("""COMPUTED_VALUE"""),"Приобретение, монтаж и ввод в эксплуатацию станции обезжелезивания на ВЗУ, п. Павлово, г.о.  Егорьевск")</f>
        <v>Приобретение, монтаж и ввод в эксплуатацию станции обезжелезивания на ВЗУ, п. Павлово, г.о.  Егорьевск</v>
      </c>
      <c r="F206" s="32" t="str">
        <f ca="1">IFERROR(__xludf.DUMMYFUNCTION("""COMPUTED_VALUE"""),"ВЗУ")</f>
        <v>ВЗУ</v>
      </c>
      <c r="G206" s="20">
        <f ca="1">IFERROR(__xludf.DUMMYFUNCTION("""COMPUTED_VALUE"""),2020)</f>
        <v>2020</v>
      </c>
      <c r="H206" s="20" t="str">
        <f ca="1">IFERROR(__xludf.DUMMYFUNCTION("""COMPUTED_VALUE"""),"Приобретение, монтаж")</f>
        <v>Приобретение, монтаж</v>
      </c>
      <c r="I206" s="23">
        <f ca="1">IFERROR(__xludf.DUMMYFUNCTION("""COMPUTED_VALUE"""),0.7)</f>
        <v>0.7</v>
      </c>
      <c r="J206" s="20" t="str">
        <f ca="1">IFERROR(__xludf.DUMMYFUNCTION("""COMPUTED_VALUE"""),"Осуществлен монтаж модульной станции. Ведется укомплектование станции водоочистки для дальнейшего ПНР.")</f>
        <v>Осуществлен монтаж модульной станции. Ведется укомплектование станции водоочистки для дальнейшего ПНР.</v>
      </c>
      <c r="K206" s="20"/>
      <c r="L206" s="20"/>
      <c r="M206" s="20"/>
      <c r="N206" s="24">
        <f ca="1">IFERROR(__xludf.DUMMYFUNCTION("""COMPUTED_VALUE"""),3710.65)</f>
        <v>3710.65</v>
      </c>
      <c r="O206" s="20"/>
      <c r="P206" s="20"/>
      <c r="Q206" s="24">
        <f ca="1">IFERROR(__xludf.DUMMYFUNCTION("""COMPUTED_VALUE"""),3710.65)</f>
        <v>3710.65</v>
      </c>
      <c r="R206" s="20"/>
      <c r="S206" s="20"/>
      <c r="T206" s="20"/>
      <c r="U206" s="24">
        <f ca="1">IFERROR(__xludf.DUMMYFUNCTION("""COMPUTED_VALUE"""),939.349999999999)</f>
        <v>939.349999999999</v>
      </c>
      <c r="V206" s="24">
        <f ca="1">IFERROR(__xludf.DUMMYFUNCTION("""COMPUTED_VALUE"""),0)</f>
        <v>0</v>
      </c>
      <c r="W206" s="24">
        <f ca="1">IFERROR(__xludf.DUMMYFUNCTION("""COMPUTED_VALUE"""),0)</f>
        <v>0</v>
      </c>
      <c r="X206" s="24">
        <f ca="1">IFERROR(__xludf.DUMMYFUNCTION("""COMPUTED_VALUE"""),553.349999999999)</f>
        <v>553.349999999999</v>
      </c>
      <c r="Y206" s="24">
        <f ca="1">IFERROR(__xludf.DUMMYFUNCTION("""COMPUTED_VALUE"""),386)</f>
        <v>386</v>
      </c>
      <c r="Z206" s="24">
        <f ca="1">IFERROR(__xludf.DUMMYFUNCTION("""COMPUTED_VALUE"""),0)</f>
        <v>0</v>
      </c>
      <c r="AA206" s="20" t="str">
        <f ca="1">IFERROR(__xludf.DUMMYFUNCTION("""COMPUTED_VALUE"""),"10 1 02 60330")</f>
        <v>10 1 02 60330</v>
      </c>
      <c r="AB206" s="20">
        <f ca="1">IFERROR(__xludf.DUMMYFUNCTION("""COMPUTED_VALUE"""),520)</f>
        <v>520</v>
      </c>
      <c r="AC206" s="20" t="str">
        <f ca="1">IFERROR(__xludf.DUMMYFUNCTION("""COMPUTED_VALUE"""),"Не требуется")</f>
        <v>Не требуется</v>
      </c>
      <c r="AD206" s="20" t="str">
        <f ca="1">IFERROR(__xludf.DUMMYFUNCTION("""COMPUTED_VALUE"""),"-")</f>
        <v>-</v>
      </c>
      <c r="AE206" s="20" t="str">
        <f ca="1">IFERROR(__xludf.DUMMYFUNCTION("""COMPUTED_VALUE"""),"-")</f>
        <v>-</v>
      </c>
      <c r="AF206" s="24">
        <f ca="1">IFERROR(__xludf.DUMMYFUNCTION("""COMPUTED_VALUE"""),4650)</f>
        <v>4650</v>
      </c>
      <c r="AG206" s="24">
        <f ca="1">IFERROR(__xludf.DUMMYFUNCTION("""COMPUTED_VALUE"""),0)</f>
        <v>0</v>
      </c>
      <c r="AH206" s="24">
        <f ca="1">IFERROR(__xludf.DUMMYFUNCTION("""COMPUTED_VALUE"""),0)</f>
        <v>0</v>
      </c>
      <c r="AI206" s="24">
        <f ca="1">IFERROR(__xludf.DUMMYFUNCTION("""COMPUTED_VALUE"""),4264)</f>
        <v>4264</v>
      </c>
      <c r="AJ206" s="24">
        <f ca="1">IFERROR(__xludf.DUMMYFUNCTION("""COMPUTED_VALUE"""),386)</f>
        <v>386</v>
      </c>
      <c r="AK206" s="24">
        <f ca="1">IFERROR(__xludf.DUMMYFUNCTION("""COMPUTED_VALUE"""),0)</f>
        <v>0</v>
      </c>
      <c r="AL206" s="24">
        <f ca="1">IFERROR(__xludf.DUMMYFUNCTION("""COMPUTED_VALUE"""),0)</f>
        <v>0</v>
      </c>
      <c r="AM206" s="20"/>
      <c r="AN206" s="20"/>
      <c r="AO206" s="20"/>
      <c r="AP206" s="20"/>
      <c r="AQ206" s="20"/>
      <c r="AR206" s="24">
        <f ca="1">IFERROR(__xludf.DUMMYFUNCTION("""COMPUTED_VALUE"""),0)</f>
        <v>0</v>
      </c>
      <c r="AS206" s="20"/>
      <c r="AT206" s="20"/>
      <c r="AU206" s="20"/>
      <c r="AV206" s="20"/>
      <c r="AW206" s="20"/>
      <c r="AX206" s="24">
        <f ca="1">IFERROR(__xludf.DUMMYFUNCTION("""COMPUTED_VALUE"""),4650)</f>
        <v>4650</v>
      </c>
      <c r="AY206" s="24">
        <f ca="1">IFERROR(__xludf.DUMMYFUNCTION("""COMPUTED_VALUE"""),0)</f>
        <v>0</v>
      </c>
      <c r="AZ206" s="24">
        <f ca="1">IFERROR(__xludf.DUMMYFUNCTION("""COMPUTED_VALUE"""),0)</f>
        <v>0</v>
      </c>
      <c r="BA206" s="24">
        <f ca="1">IFERROR(__xludf.DUMMYFUNCTION("""COMPUTED_VALUE"""),4264)</f>
        <v>4264</v>
      </c>
      <c r="BB206" s="24">
        <f ca="1">IFERROR(__xludf.DUMMYFUNCTION("""COMPUTED_VALUE"""),386)</f>
        <v>386</v>
      </c>
      <c r="BC206" s="20"/>
      <c r="BD206" s="24">
        <f ca="1">IFERROR(__xludf.DUMMYFUNCTION("""COMPUTED_VALUE"""),0)</f>
        <v>0</v>
      </c>
      <c r="BE206" s="24">
        <f ca="1">IFERROR(__xludf.DUMMYFUNCTION("""COMPUTED_VALUE"""),0)</f>
        <v>0</v>
      </c>
      <c r="BF206" s="24">
        <f ca="1">IFERROR(__xludf.DUMMYFUNCTION("""COMPUTED_VALUE"""),0)</f>
        <v>0</v>
      </c>
      <c r="BG206" s="24">
        <f ca="1">IFERROR(__xludf.DUMMYFUNCTION("""COMPUTED_VALUE"""),0)</f>
        <v>0</v>
      </c>
      <c r="BH206" s="24">
        <f ca="1">IFERROR(__xludf.DUMMYFUNCTION("""COMPUTED_VALUE"""),0)</f>
        <v>0</v>
      </c>
      <c r="BI206" s="20"/>
      <c r="BJ206" s="24">
        <f ca="1">IFERROR(__xludf.DUMMYFUNCTION("""COMPUTED_VALUE"""),0)</f>
        <v>0</v>
      </c>
      <c r="BK206" s="24">
        <f ca="1">IFERROR(__xludf.DUMMYFUNCTION("""COMPUTED_VALUE"""),0)</f>
        <v>0</v>
      </c>
      <c r="BL206" s="24">
        <f ca="1">IFERROR(__xludf.DUMMYFUNCTION("""COMPUTED_VALUE"""),0)</f>
        <v>0</v>
      </c>
      <c r="BM206" s="24">
        <f ca="1">IFERROR(__xludf.DUMMYFUNCTION("""COMPUTED_VALUE"""),0)</f>
        <v>0</v>
      </c>
      <c r="BN206" s="24">
        <f ca="1">IFERROR(__xludf.DUMMYFUNCTION("""COMPUTED_VALUE"""),0)</f>
        <v>0</v>
      </c>
      <c r="BO206" s="20"/>
      <c r="BP206" s="24">
        <f ca="1">IFERROR(__xludf.DUMMYFUNCTION("""COMPUTED_VALUE"""),0)</f>
        <v>0</v>
      </c>
      <c r="BQ206" s="24">
        <f ca="1">IFERROR(__xludf.DUMMYFUNCTION("""COMPUTED_VALUE"""),0)</f>
        <v>0</v>
      </c>
      <c r="BR206" s="24">
        <f ca="1">IFERROR(__xludf.DUMMYFUNCTION("""COMPUTED_VALUE"""),0)</f>
        <v>0</v>
      </c>
      <c r="BS206" s="24">
        <f ca="1">IFERROR(__xludf.DUMMYFUNCTION("""COMPUTED_VALUE"""),0)</f>
        <v>0</v>
      </c>
      <c r="BT206" s="24">
        <f ca="1">IFERROR(__xludf.DUMMYFUNCTION("""COMPUTED_VALUE"""),0)</f>
        <v>0</v>
      </c>
      <c r="BU206" s="20"/>
      <c r="BV206" s="24">
        <f ca="1">IFERROR(__xludf.DUMMYFUNCTION("""COMPUTED_VALUE"""),0)</f>
        <v>0</v>
      </c>
      <c r="BW206" s="24">
        <f ca="1">IFERROR(__xludf.DUMMYFUNCTION("""COMPUTED_VALUE"""),0)</f>
        <v>0</v>
      </c>
      <c r="BX206" s="24">
        <f ca="1">IFERROR(__xludf.DUMMYFUNCTION("""COMPUTED_VALUE"""),0)</f>
        <v>0</v>
      </c>
      <c r="BY206" s="24">
        <f ca="1">IFERROR(__xludf.DUMMYFUNCTION("""COMPUTED_VALUE"""),0)</f>
        <v>0</v>
      </c>
      <c r="BZ206" s="24">
        <f ca="1">IFERROR(__xludf.DUMMYFUNCTION("""COMPUTED_VALUE"""),0)</f>
        <v>0</v>
      </c>
      <c r="CA206" s="20"/>
      <c r="CB206" s="20"/>
      <c r="CC206" s="20"/>
      <c r="CD206" s="20"/>
      <c r="CE206" s="20"/>
      <c r="CF206" s="20"/>
      <c r="CG206" s="20"/>
      <c r="CH206" s="20"/>
      <c r="CI206" s="20"/>
      <c r="CJ206" s="20"/>
      <c r="CK206" s="20"/>
      <c r="CL206" s="20"/>
      <c r="CM206" s="20"/>
      <c r="CN206" s="20"/>
      <c r="CO206" s="20"/>
      <c r="CP206" s="20"/>
      <c r="CQ206" s="20"/>
      <c r="CR206" s="20"/>
      <c r="CS206" s="20"/>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row>
    <row r="207" spans="1:123" ht="64.5" hidden="1" customHeight="1" x14ac:dyDescent="0.2">
      <c r="A207" s="19"/>
      <c r="B207" s="20" t="str">
        <f ca="1">IFERROR(__xludf.DUMMYFUNCTION("""COMPUTED_VALUE"""),"г.о. Егорьевск")</f>
        <v>г.о. Егорьевск</v>
      </c>
      <c r="C20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7" s="20" t="str">
        <f ca="1">IFERROR(__xludf.DUMMYFUNCTION("""COMPUTED_VALUE"""),"МинЖКХ")</f>
        <v>МинЖКХ</v>
      </c>
      <c r="E207" s="20" t="str">
        <f ca="1">IFERROR(__xludf.DUMMYFUNCTION("""COMPUTED_VALUE"""),"Приобретение, монтаж и ввод в эксплуатацию станции обезжелезивания на ВЗУ, п. Шувое, г.о. Егорьевск")</f>
        <v>Приобретение, монтаж и ввод в эксплуатацию станции обезжелезивания на ВЗУ, п. Шувое, г.о. Егорьевск</v>
      </c>
      <c r="F207" s="32" t="str">
        <f ca="1">IFERROR(__xludf.DUMMYFUNCTION("""COMPUTED_VALUE"""),"ВЗУ")</f>
        <v>ВЗУ</v>
      </c>
      <c r="G207" s="20" t="str">
        <f ca="1">IFERROR(__xludf.DUMMYFUNCTION("""COMPUTED_VALUE"""),"Н/Л")</f>
        <v>Н/Л</v>
      </c>
      <c r="H207" s="20" t="str">
        <f ca="1">IFERROR(__xludf.DUMMYFUNCTION("""COMPUTED_VALUE"""),"Приобретение, монтаж")</f>
        <v>Приобретение, монтаж</v>
      </c>
      <c r="I207" s="20"/>
      <c r="J207" s="20"/>
      <c r="K207" s="20"/>
      <c r="L207" s="20"/>
      <c r="M207" s="20"/>
      <c r="N207" s="24">
        <f ca="1">IFERROR(__xludf.DUMMYFUNCTION("""COMPUTED_VALUE"""),0)</f>
        <v>0</v>
      </c>
      <c r="O207" s="20"/>
      <c r="P207" s="20"/>
      <c r="Q207" s="20"/>
      <c r="R207" s="20"/>
      <c r="S207" s="20"/>
      <c r="T207" s="20"/>
      <c r="U207" s="24">
        <f ca="1">IFERROR(__xludf.DUMMYFUNCTION("""COMPUTED_VALUE"""),0)</f>
        <v>0</v>
      </c>
      <c r="V207" s="24">
        <f ca="1">IFERROR(__xludf.DUMMYFUNCTION("""COMPUTED_VALUE"""),0)</f>
        <v>0</v>
      </c>
      <c r="W207" s="24">
        <f ca="1">IFERROR(__xludf.DUMMYFUNCTION("""COMPUTED_VALUE"""),0)</f>
        <v>0</v>
      </c>
      <c r="X207" s="24">
        <f ca="1">IFERROR(__xludf.DUMMYFUNCTION("""COMPUTED_VALUE"""),0)</f>
        <v>0</v>
      </c>
      <c r="Y207" s="24">
        <f ca="1">IFERROR(__xludf.DUMMYFUNCTION("""COMPUTED_VALUE"""),0)</f>
        <v>0</v>
      </c>
      <c r="Z207" s="24">
        <f ca="1">IFERROR(__xludf.DUMMYFUNCTION("""COMPUTED_VALUE"""),0)</f>
        <v>0</v>
      </c>
      <c r="AA207" s="20" t="str">
        <f ca="1">IFERROR(__xludf.DUMMYFUNCTION("""COMPUTED_VALUE"""),"10 1 02 60330")</f>
        <v>10 1 02 60330</v>
      </c>
      <c r="AB207" s="20">
        <f ca="1">IFERROR(__xludf.DUMMYFUNCTION("""COMPUTED_VALUE"""),520)</f>
        <v>520</v>
      </c>
      <c r="AC207" s="20" t="str">
        <f ca="1">IFERROR(__xludf.DUMMYFUNCTION("""COMPUTED_VALUE"""),"Не требуется")</f>
        <v>Не требуется</v>
      </c>
      <c r="AD207" s="20" t="str">
        <f ca="1">IFERROR(__xludf.DUMMYFUNCTION("""COMPUTED_VALUE"""),"-")</f>
        <v>-</v>
      </c>
      <c r="AE207" s="20" t="str">
        <f ca="1">IFERROR(__xludf.DUMMYFUNCTION("""COMPUTED_VALUE"""),"-")</f>
        <v>-</v>
      </c>
      <c r="AF207" s="24">
        <f ca="1">IFERROR(__xludf.DUMMYFUNCTION("""COMPUTED_VALUE"""),6513.67)</f>
        <v>6513.67</v>
      </c>
      <c r="AG207" s="24">
        <f ca="1">IFERROR(__xludf.DUMMYFUNCTION("""COMPUTED_VALUE"""),0)</f>
        <v>0</v>
      </c>
      <c r="AH207" s="24">
        <f ca="1">IFERROR(__xludf.DUMMYFUNCTION("""COMPUTED_VALUE"""),5478)</f>
        <v>5478</v>
      </c>
      <c r="AI207" s="24">
        <f ca="1">IFERROR(__xludf.DUMMYFUNCTION("""COMPUTED_VALUE"""),0)</f>
        <v>0</v>
      </c>
      <c r="AJ207" s="24">
        <f ca="1">IFERROR(__xludf.DUMMYFUNCTION("""COMPUTED_VALUE"""),1035.67)</f>
        <v>1035.67</v>
      </c>
      <c r="AK207" s="24">
        <f ca="1">IFERROR(__xludf.DUMMYFUNCTION("""COMPUTED_VALUE"""),0)</f>
        <v>0</v>
      </c>
      <c r="AL207" s="24">
        <f ca="1">IFERROR(__xludf.DUMMYFUNCTION("""COMPUTED_VALUE"""),0)</f>
        <v>0</v>
      </c>
      <c r="AM207" s="20"/>
      <c r="AN207" s="20"/>
      <c r="AO207" s="20"/>
      <c r="AP207" s="20"/>
      <c r="AQ207" s="20"/>
      <c r="AR207" s="24">
        <f ca="1">IFERROR(__xludf.DUMMYFUNCTION("""COMPUTED_VALUE"""),0)</f>
        <v>0</v>
      </c>
      <c r="AS207" s="20"/>
      <c r="AT207" s="20"/>
      <c r="AU207" s="20"/>
      <c r="AV207" s="20"/>
      <c r="AW207" s="20"/>
      <c r="AX207" s="24">
        <f ca="1">IFERROR(__xludf.DUMMYFUNCTION("""COMPUTED_VALUE"""),0)</f>
        <v>0</v>
      </c>
      <c r="AY207" s="24">
        <f ca="1">IFERROR(__xludf.DUMMYFUNCTION("""COMPUTED_VALUE"""),0)</f>
        <v>0</v>
      </c>
      <c r="AZ207" s="24">
        <f ca="1">IFERROR(__xludf.DUMMYFUNCTION("""COMPUTED_VALUE"""),0)</f>
        <v>0</v>
      </c>
      <c r="BA207" s="24">
        <f ca="1">IFERROR(__xludf.DUMMYFUNCTION("""COMPUTED_VALUE"""),0)</f>
        <v>0</v>
      </c>
      <c r="BB207" s="24">
        <f ca="1">IFERROR(__xludf.DUMMYFUNCTION("""COMPUTED_VALUE"""),0)</f>
        <v>0</v>
      </c>
      <c r="BC207" s="20"/>
      <c r="BD207" s="24">
        <f ca="1">IFERROR(__xludf.DUMMYFUNCTION("""COMPUTED_VALUE"""),0)</f>
        <v>0</v>
      </c>
      <c r="BE207" s="24">
        <f ca="1">IFERROR(__xludf.DUMMYFUNCTION("""COMPUTED_VALUE"""),0)</f>
        <v>0</v>
      </c>
      <c r="BF207" s="24">
        <f ca="1">IFERROR(__xludf.DUMMYFUNCTION("""COMPUTED_VALUE"""),0)</f>
        <v>0</v>
      </c>
      <c r="BG207" s="24">
        <f ca="1">IFERROR(__xludf.DUMMYFUNCTION("""COMPUTED_VALUE"""),0)</f>
        <v>0</v>
      </c>
      <c r="BH207" s="24">
        <f ca="1">IFERROR(__xludf.DUMMYFUNCTION("""COMPUTED_VALUE"""),0)</f>
        <v>0</v>
      </c>
      <c r="BI207" s="20"/>
      <c r="BJ207" s="24">
        <f ca="1">IFERROR(__xludf.DUMMYFUNCTION("""COMPUTED_VALUE"""),0)</f>
        <v>0</v>
      </c>
      <c r="BK207" s="24">
        <f ca="1">IFERROR(__xludf.DUMMYFUNCTION("""COMPUTED_VALUE"""),0)</f>
        <v>0</v>
      </c>
      <c r="BL207" s="24">
        <f ca="1">IFERROR(__xludf.DUMMYFUNCTION("""COMPUTED_VALUE"""),0)</f>
        <v>0</v>
      </c>
      <c r="BM207" s="24">
        <f ca="1">IFERROR(__xludf.DUMMYFUNCTION("""COMPUTED_VALUE"""),0)</f>
        <v>0</v>
      </c>
      <c r="BN207" s="24">
        <f ca="1">IFERROR(__xludf.DUMMYFUNCTION("""COMPUTED_VALUE"""),0)</f>
        <v>0</v>
      </c>
      <c r="BO207" s="20"/>
      <c r="BP207" s="24">
        <f ca="1">IFERROR(__xludf.DUMMYFUNCTION("""COMPUTED_VALUE"""),6513.67)</f>
        <v>6513.67</v>
      </c>
      <c r="BQ207" s="24">
        <f ca="1">IFERROR(__xludf.DUMMYFUNCTION("""COMPUTED_VALUE"""),0)</f>
        <v>0</v>
      </c>
      <c r="BR207" s="24">
        <f ca="1">IFERROR(__xludf.DUMMYFUNCTION("""COMPUTED_VALUE"""),5478)</f>
        <v>5478</v>
      </c>
      <c r="BS207" s="24">
        <f ca="1">IFERROR(__xludf.DUMMYFUNCTION("""COMPUTED_VALUE"""),0)</f>
        <v>0</v>
      </c>
      <c r="BT207" s="24">
        <f ca="1">IFERROR(__xludf.DUMMYFUNCTION("""COMPUTED_VALUE"""),1035.67)</f>
        <v>1035.67</v>
      </c>
      <c r="BU207" s="20"/>
      <c r="BV207" s="24">
        <f ca="1">IFERROR(__xludf.DUMMYFUNCTION("""COMPUTED_VALUE"""),0)</f>
        <v>0</v>
      </c>
      <c r="BW207" s="24">
        <f ca="1">IFERROR(__xludf.DUMMYFUNCTION("""COMPUTED_VALUE"""),0)</f>
        <v>0</v>
      </c>
      <c r="BX207" s="24">
        <f ca="1">IFERROR(__xludf.DUMMYFUNCTION("""COMPUTED_VALUE"""),0)</f>
        <v>0</v>
      </c>
      <c r="BY207" s="24">
        <f ca="1">IFERROR(__xludf.DUMMYFUNCTION("""COMPUTED_VALUE"""),0)</f>
        <v>0</v>
      </c>
      <c r="BZ207" s="24">
        <f ca="1">IFERROR(__xludf.DUMMYFUNCTION("""COMPUTED_VALUE"""),0)</f>
        <v>0</v>
      </c>
      <c r="CA207" s="20"/>
      <c r="CB207" s="20"/>
      <c r="CC207" s="20"/>
      <c r="CD207" s="20"/>
      <c r="CE207" s="20"/>
      <c r="CF207" s="20"/>
      <c r="CG207" s="20"/>
      <c r="CH207" s="20"/>
      <c r="CI207" s="20"/>
      <c r="CJ207" s="20"/>
      <c r="CK207" s="20"/>
      <c r="CL207" s="20"/>
      <c r="CM207" s="20"/>
      <c r="CN207" s="20"/>
      <c r="CO207" s="20"/>
      <c r="CP207" s="20"/>
      <c r="CQ207" s="20"/>
      <c r="CR207" s="20"/>
      <c r="CS207" s="20"/>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row>
    <row r="208" spans="1:123" ht="64.5" customHeight="1" x14ac:dyDescent="0.2">
      <c r="A208" s="19"/>
      <c r="B208" s="20" t="str">
        <f ca="1">IFERROR(__xludf.DUMMYFUNCTION("""COMPUTED_VALUE"""),"г.о. Коломенский")</f>
        <v>г.о. Коломенский</v>
      </c>
      <c r="C20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8" s="20" t="str">
        <f ca="1">IFERROR(__xludf.DUMMYFUNCTION("""COMPUTED_VALUE"""),"МинЖКХ")</f>
        <v>МинЖКХ</v>
      </c>
      <c r="E208" s="20" t="str">
        <f ca="1">IFERROR(__xludf.DUMMYFUNCTION("""COMPUTED_VALUE"""),"Приобретение, монтаж и ввод в эксплуатацию станции  очистки воды на ВЗУ в п. Лесной, Коломенский г.о.")</f>
        <v>Приобретение, монтаж и ввод в эксплуатацию станции  очистки воды на ВЗУ в п. Лесной, Коломенский г.о.</v>
      </c>
      <c r="F208" s="32" t="str">
        <f ca="1">IFERROR(__xludf.DUMMYFUNCTION("""COMPUTED_VALUE"""),"ВЗУ")</f>
        <v>ВЗУ</v>
      </c>
      <c r="G208" s="20">
        <f ca="1">IFERROR(__xludf.DUMMYFUNCTION("""COMPUTED_VALUE"""),2020)</f>
        <v>2020</v>
      </c>
      <c r="H208" s="20" t="str">
        <f ca="1">IFERROR(__xludf.DUMMYFUNCTION("""COMPUTED_VALUE"""),"Приобретение, монтаж")</f>
        <v>Приобретение, монтаж</v>
      </c>
      <c r="I208" s="23">
        <f ca="1">IFERROR(__xludf.DUMMYFUNCTION("""COMPUTED_VALUE"""),1)</f>
        <v>1</v>
      </c>
      <c r="J208" s="20" t="str">
        <f ca="1">IFERROR(__xludf.DUMMYFUNCTION("""COMPUTED_VALUE"""),"ЗАВЕРШЕНО")</f>
        <v>ЗАВЕРШЕНО</v>
      </c>
      <c r="K208" s="20"/>
      <c r="L208" s="20"/>
      <c r="M208" s="20"/>
      <c r="N208" s="24">
        <f ca="1">IFERROR(__xludf.DUMMYFUNCTION("""COMPUTED_VALUE"""),3110.16)</f>
        <v>3110.16</v>
      </c>
      <c r="O208" s="20"/>
      <c r="P208" s="24">
        <f ca="1">IFERROR(__xludf.DUMMYFUNCTION("""COMPUTED_VALUE"""),0)</f>
        <v>0</v>
      </c>
      <c r="Q208" s="24">
        <f ca="1">IFERROR(__xludf.DUMMYFUNCTION("""COMPUTED_VALUE"""),3110.16)</f>
        <v>3110.16</v>
      </c>
      <c r="R208" s="20"/>
      <c r="S208" s="20"/>
      <c r="T208" s="20"/>
      <c r="U208" s="24">
        <f ca="1">IFERROR(__xludf.DUMMYFUNCTION("""COMPUTED_VALUE"""),568.79)</f>
        <v>568.79</v>
      </c>
      <c r="V208" s="24">
        <f ca="1">IFERROR(__xludf.DUMMYFUNCTION("""COMPUTED_VALUE"""),0)</f>
        <v>0</v>
      </c>
      <c r="W208" s="24">
        <f ca="1">IFERROR(__xludf.DUMMYFUNCTION("""COMPUTED_VALUE"""),0)</f>
        <v>0</v>
      </c>
      <c r="X208" s="24">
        <f ca="1">IFERROR(__xludf.DUMMYFUNCTION("""COMPUTED_VALUE"""),384.84)</f>
        <v>384.84</v>
      </c>
      <c r="Y208" s="24">
        <f ca="1">IFERROR(__xludf.DUMMYFUNCTION("""COMPUTED_VALUE"""),183.95)</f>
        <v>183.95</v>
      </c>
      <c r="Z208" s="24">
        <f ca="1">IFERROR(__xludf.DUMMYFUNCTION("""COMPUTED_VALUE"""),0)</f>
        <v>0</v>
      </c>
      <c r="AA208" s="20" t="str">
        <f ca="1">IFERROR(__xludf.DUMMYFUNCTION("""COMPUTED_VALUE"""),"10 1 02 60330")</f>
        <v>10 1 02 60330</v>
      </c>
      <c r="AB208" s="20">
        <f ca="1">IFERROR(__xludf.DUMMYFUNCTION("""COMPUTED_VALUE"""),520)</f>
        <v>520</v>
      </c>
      <c r="AC208" s="20" t="str">
        <f ca="1">IFERROR(__xludf.DUMMYFUNCTION("""COMPUTED_VALUE"""),"Не требуется")</f>
        <v>Не требуется</v>
      </c>
      <c r="AD208" s="20" t="str">
        <f ca="1">IFERROR(__xludf.DUMMYFUNCTION("""COMPUTED_VALUE"""),"-")</f>
        <v>-</v>
      </c>
      <c r="AE208" s="20" t="str">
        <f ca="1">IFERROR(__xludf.DUMMYFUNCTION("""COMPUTED_VALUE"""),"-")</f>
        <v>-</v>
      </c>
      <c r="AF208" s="24">
        <f ca="1">IFERROR(__xludf.DUMMYFUNCTION("""COMPUTED_VALUE"""),3678.95)</f>
        <v>3678.95</v>
      </c>
      <c r="AG208" s="24">
        <f ca="1">IFERROR(__xludf.DUMMYFUNCTION("""COMPUTED_VALUE"""),0)</f>
        <v>0</v>
      </c>
      <c r="AH208" s="24">
        <f ca="1">IFERROR(__xludf.DUMMYFUNCTION("""COMPUTED_VALUE"""),0)</f>
        <v>0</v>
      </c>
      <c r="AI208" s="24">
        <f ca="1">IFERROR(__xludf.DUMMYFUNCTION("""COMPUTED_VALUE"""),3495)</f>
        <v>3495</v>
      </c>
      <c r="AJ208" s="24">
        <f ca="1">IFERROR(__xludf.DUMMYFUNCTION("""COMPUTED_VALUE"""),183.95)</f>
        <v>183.95</v>
      </c>
      <c r="AK208" s="24">
        <f ca="1">IFERROR(__xludf.DUMMYFUNCTION("""COMPUTED_VALUE"""),0)</f>
        <v>0</v>
      </c>
      <c r="AL208" s="24">
        <f ca="1">IFERROR(__xludf.DUMMYFUNCTION("""COMPUTED_VALUE"""),0)</f>
        <v>0</v>
      </c>
      <c r="AM208" s="20"/>
      <c r="AN208" s="20"/>
      <c r="AO208" s="20"/>
      <c r="AP208" s="20"/>
      <c r="AQ208" s="20"/>
      <c r="AR208" s="24">
        <f ca="1">IFERROR(__xludf.DUMMYFUNCTION("""COMPUTED_VALUE"""),0)</f>
        <v>0</v>
      </c>
      <c r="AS208" s="20"/>
      <c r="AT208" s="20"/>
      <c r="AU208" s="20"/>
      <c r="AV208" s="20"/>
      <c r="AW208" s="20"/>
      <c r="AX208" s="24">
        <f ca="1">IFERROR(__xludf.DUMMYFUNCTION("""COMPUTED_VALUE"""),3678.95)</f>
        <v>3678.95</v>
      </c>
      <c r="AY208" s="24">
        <f ca="1">IFERROR(__xludf.DUMMYFUNCTION("""COMPUTED_VALUE"""),0)</f>
        <v>0</v>
      </c>
      <c r="AZ208" s="24">
        <f ca="1">IFERROR(__xludf.DUMMYFUNCTION("""COMPUTED_VALUE"""),0)</f>
        <v>0</v>
      </c>
      <c r="BA208" s="24">
        <f ca="1">IFERROR(__xludf.DUMMYFUNCTION("""COMPUTED_VALUE"""),3495)</f>
        <v>3495</v>
      </c>
      <c r="BB208" s="24">
        <f ca="1">IFERROR(__xludf.DUMMYFUNCTION("""COMPUTED_VALUE"""),183.95)</f>
        <v>183.95</v>
      </c>
      <c r="BC208" s="20"/>
      <c r="BD208" s="24">
        <f ca="1">IFERROR(__xludf.DUMMYFUNCTION("""COMPUTED_VALUE"""),0)</f>
        <v>0</v>
      </c>
      <c r="BE208" s="24">
        <f ca="1">IFERROR(__xludf.DUMMYFUNCTION("""COMPUTED_VALUE"""),0)</f>
        <v>0</v>
      </c>
      <c r="BF208" s="24">
        <f ca="1">IFERROR(__xludf.DUMMYFUNCTION("""COMPUTED_VALUE"""),0)</f>
        <v>0</v>
      </c>
      <c r="BG208" s="24">
        <f ca="1">IFERROR(__xludf.DUMMYFUNCTION("""COMPUTED_VALUE"""),0)</f>
        <v>0</v>
      </c>
      <c r="BH208" s="24">
        <f ca="1">IFERROR(__xludf.DUMMYFUNCTION("""COMPUTED_VALUE"""),0)</f>
        <v>0</v>
      </c>
      <c r="BI208" s="20"/>
      <c r="BJ208" s="24">
        <f ca="1">IFERROR(__xludf.DUMMYFUNCTION("""COMPUTED_VALUE"""),0)</f>
        <v>0</v>
      </c>
      <c r="BK208" s="24">
        <f ca="1">IFERROR(__xludf.DUMMYFUNCTION("""COMPUTED_VALUE"""),0)</f>
        <v>0</v>
      </c>
      <c r="BL208" s="24">
        <f ca="1">IFERROR(__xludf.DUMMYFUNCTION("""COMPUTED_VALUE"""),0)</f>
        <v>0</v>
      </c>
      <c r="BM208" s="24">
        <f ca="1">IFERROR(__xludf.DUMMYFUNCTION("""COMPUTED_VALUE"""),0)</f>
        <v>0</v>
      </c>
      <c r="BN208" s="24">
        <f ca="1">IFERROR(__xludf.DUMMYFUNCTION("""COMPUTED_VALUE"""),0)</f>
        <v>0</v>
      </c>
      <c r="BO208" s="20"/>
      <c r="BP208" s="24">
        <f ca="1">IFERROR(__xludf.DUMMYFUNCTION("""COMPUTED_VALUE"""),0)</f>
        <v>0</v>
      </c>
      <c r="BQ208" s="24">
        <f ca="1">IFERROR(__xludf.DUMMYFUNCTION("""COMPUTED_VALUE"""),0)</f>
        <v>0</v>
      </c>
      <c r="BR208" s="24">
        <f ca="1">IFERROR(__xludf.DUMMYFUNCTION("""COMPUTED_VALUE"""),0)</f>
        <v>0</v>
      </c>
      <c r="BS208" s="24">
        <f ca="1">IFERROR(__xludf.DUMMYFUNCTION("""COMPUTED_VALUE"""),0)</f>
        <v>0</v>
      </c>
      <c r="BT208" s="24">
        <f ca="1">IFERROR(__xludf.DUMMYFUNCTION("""COMPUTED_VALUE"""),0)</f>
        <v>0</v>
      </c>
      <c r="BU208" s="20"/>
      <c r="BV208" s="24">
        <f ca="1">IFERROR(__xludf.DUMMYFUNCTION("""COMPUTED_VALUE"""),0)</f>
        <v>0</v>
      </c>
      <c r="BW208" s="24">
        <f ca="1">IFERROR(__xludf.DUMMYFUNCTION("""COMPUTED_VALUE"""),0)</f>
        <v>0</v>
      </c>
      <c r="BX208" s="24">
        <f ca="1">IFERROR(__xludf.DUMMYFUNCTION("""COMPUTED_VALUE"""),0)</f>
        <v>0</v>
      </c>
      <c r="BY208" s="24">
        <f ca="1">IFERROR(__xludf.DUMMYFUNCTION("""COMPUTED_VALUE"""),0)</f>
        <v>0</v>
      </c>
      <c r="BZ208" s="24">
        <f ca="1">IFERROR(__xludf.DUMMYFUNCTION("""COMPUTED_VALUE"""),0)</f>
        <v>0</v>
      </c>
      <c r="CA208" s="20"/>
      <c r="CB208" s="20"/>
      <c r="CC208" s="20"/>
      <c r="CD208" s="20"/>
      <c r="CE208" s="20"/>
      <c r="CF208" s="20"/>
      <c r="CG208" s="20"/>
      <c r="CH208" s="20"/>
      <c r="CI208" s="20"/>
      <c r="CJ208" s="20"/>
      <c r="CK208" s="20"/>
      <c r="CL208" s="20"/>
      <c r="CM208" s="20"/>
      <c r="CN208" s="20"/>
      <c r="CO208" s="20"/>
      <c r="CP208" s="20"/>
      <c r="CQ208" s="20"/>
      <c r="CR208" s="20"/>
      <c r="CS208" s="20"/>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row>
    <row r="209" spans="1:123" ht="64.5" hidden="1" customHeight="1" x14ac:dyDescent="0.2">
      <c r="A209" s="19"/>
      <c r="B209" s="20" t="str">
        <f ca="1">IFERROR(__xludf.DUMMYFUNCTION("""COMPUTED_VALUE"""),"г.о. Истра")</f>
        <v>г.о. Истра</v>
      </c>
      <c r="C20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9" s="20" t="str">
        <f ca="1">IFERROR(__xludf.DUMMYFUNCTION("""COMPUTED_VALUE"""),"МинЖКХ")</f>
        <v>МинЖКХ</v>
      </c>
      <c r="E209" s="20" t="str">
        <f ca="1">IFERROR(__xludf.DUMMYFUNCTION("""COMPUTED_VALUE"""),"Приобретение, монтаж и ввод в эксплуатацию станций водоочитски ВЗУ д. Алехново  г.о. Истра")</f>
        <v>Приобретение, монтаж и ввод в эксплуатацию станций водоочитски ВЗУ д. Алехново  г.о. Истра</v>
      </c>
      <c r="F209" s="32" t="str">
        <f ca="1">IFERROR(__xludf.DUMMYFUNCTION("""COMPUTED_VALUE"""),"ВЗУ")</f>
        <v>ВЗУ</v>
      </c>
      <c r="G209" s="20" t="str">
        <f ca="1">IFERROR(__xludf.DUMMYFUNCTION("""COMPUTED_VALUE"""),"Н/Л")</f>
        <v>Н/Л</v>
      </c>
      <c r="H209" s="20" t="str">
        <f ca="1">IFERROR(__xludf.DUMMYFUNCTION("""COMPUTED_VALUE"""),"Приобретение, монтаж")</f>
        <v>Приобретение, монтаж</v>
      </c>
      <c r="I209" s="20"/>
      <c r="J209" s="20"/>
      <c r="K209" s="20"/>
      <c r="L209" s="20"/>
      <c r="M209" s="20"/>
      <c r="N209" s="24">
        <f ca="1">IFERROR(__xludf.DUMMYFUNCTION("""COMPUTED_VALUE"""),0)</f>
        <v>0</v>
      </c>
      <c r="O209" s="20"/>
      <c r="P209" s="20"/>
      <c r="Q209" s="20"/>
      <c r="R209" s="20"/>
      <c r="S209" s="20"/>
      <c r="T209" s="20"/>
      <c r="U209" s="24">
        <f ca="1">IFERROR(__xludf.DUMMYFUNCTION("""COMPUTED_VALUE"""),0)</f>
        <v>0</v>
      </c>
      <c r="V209" s="24">
        <f ca="1">IFERROR(__xludf.DUMMYFUNCTION("""COMPUTED_VALUE"""),0)</f>
        <v>0</v>
      </c>
      <c r="W209" s="24">
        <f ca="1">IFERROR(__xludf.DUMMYFUNCTION("""COMPUTED_VALUE"""),0)</f>
        <v>0</v>
      </c>
      <c r="X209" s="24">
        <f ca="1">IFERROR(__xludf.DUMMYFUNCTION("""COMPUTED_VALUE"""),0)</f>
        <v>0</v>
      </c>
      <c r="Y209" s="24">
        <f ca="1">IFERROR(__xludf.DUMMYFUNCTION("""COMPUTED_VALUE"""),0)</f>
        <v>0</v>
      </c>
      <c r="Z209" s="24">
        <f ca="1">IFERROR(__xludf.DUMMYFUNCTION("""COMPUTED_VALUE"""),0)</f>
        <v>0</v>
      </c>
      <c r="AA209" s="20" t="str">
        <f ca="1">IFERROR(__xludf.DUMMYFUNCTION("""COMPUTED_VALUE"""),"10 1 02 60330")</f>
        <v>10 1 02 60330</v>
      </c>
      <c r="AB209" s="20">
        <f ca="1">IFERROR(__xludf.DUMMYFUNCTION("""COMPUTED_VALUE"""),520)</f>
        <v>520</v>
      </c>
      <c r="AC209" s="20" t="str">
        <f ca="1">IFERROR(__xludf.DUMMYFUNCTION("""COMPUTED_VALUE"""),"Не требуется")</f>
        <v>Не требуется</v>
      </c>
      <c r="AD209" s="20" t="str">
        <f ca="1">IFERROR(__xludf.DUMMYFUNCTION("""COMPUTED_VALUE"""),"-")</f>
        <v>-</v>
      </c>
      <c r="AE209" s="20" t="str">
        <f ca="1">IFERROR(__xludf.DUMMYFUNCTION("""COMPUTED_VALUE"""),"-")</f>
        <v>-</v>
      </c>
      <c r="AF209" s="24">
        <f ca="1">IFERROR(__xludf.DUMMYFUNCTION("""COMPUTED_VALUE"""),9995)</f>
        <v>9995</v>
      </c>
      <c r="AG209" s="24">
        <f ca="1">IFERROR(__xludf.DUMMYFUNCTION("""COMPUTED_VALUE"""),0)</f>
        <v>0</v>
      </c>
      <c r="AH209" s="24">
        <f ca="1">IFERROR(__xludf.DUMMYFUNCTION("""COMPUTED_VALUE"""),6336.77)</f>
        <v>6336.77</v>
      </c>
      <c r="AI209" s="24">
        <f ca="1">IFERROR(__xludf.DUMMYFUNCTION("""COMPUTED_VALUE"""),0)</f>
        <v>0</v>
      </c>
      <c r="AJ209" s="24">
        <f ca="1">IFERROR(__xludf.DUMMYFUNCTION("""COMPUTED_VALUE"""),3658.23)</f>
        <v>3658.23</v>
      </c>
      <c r="AK209" s="24">
        <f ca="1">IFERROR(__xludf.DUMMYFUNCTION("""COMPUTED_VALUE"""),0)</f>
        <v>0</v>
      </c>
      <c r="AL209" s="24">
        <f ca="1">IFERROR(__xludf.DUMMYFUNCTION("""COMPUTED_VALUE"""),0)</f>
        <v>0</v>
      </c>
      <c r="AM209" s="20"/>
      <c r="AN209" s="20"/>
      <c r="AO209" s="20"/>
      <c r="AP209" s="20"/>
      <c r="AQ209" s="20"/>
      <c r="AR209" s="24">
        <f ca="1">IFERROR(__xludf.DUMMYFUNCTION("""COMPUTED_VALUE"""),0)</f>
        <v>0</v>
      </c>
      <c r="AS209" s="20"/>
      <c r="AT209" s="20"/>
      <c r="AU209" s="20"/>
      <c r="AV209" s="20"/>
      <c r="AW209" s="20"/>
      <c r="AX209" s="24">
        <f ca="1">IFERROR(__xludf.DUMMYFUNCTION("""COMPUTED_VALUE"""),0)</f>
        <v>0</v>
      </c>
      <c r="AY209" s="24">
        <f ca="1">IFERROR(__xludf.DUMMYFUNCTION("""COMPUTED_VALUE"""),0)</f>
        <v>0</v>
      </c>
      <c r="AZ209" s="24">
        <f ca="1">IFERROR(__xludf.DUMMYFUNCTION("""COMPUTED_VALUE"""),0)</f>
        <v>0</v>
      </c>
      <c r="BA209" s="24">
        <f ca="1">IFERROR(__xludf.DUMMYFUNCTION("""COMPUTED_VALUE"""),0)</f>
        <v>0</v>
      </c>
      <c r="BB209" s="24">
        <f ca="1">IFERROR(__xludf.DUMMYFUNCTION("""COMPUTED_VALUE"""),0)</f>
        <v>0</v>
      </c>
      <c r="BC209" s="20"/>
      <c r="BD209" s="24">
        <f ca="1">IFERROR(__xludf.DUMMYFUNCTION("""COMPUTED_VALUE"""),0)</f>
        <v>0</v>
      </c>
      <c r="BE209" s="24">
        <f ca="1">IFERROR(__xludf.DUMMYFUNCTION("""COMPUTED_VALUE"""),0)</f>
        <v>0</v>
      </c>
      <c r="BF209" s="24">
        <f ca="1">IFERROR(__xludf.DUMMYFUNCTION("""COMPUTED_VALUE"""),0)</f>
        <v>0</v>
      </c>
      <c r="BG209" s="24">
        <f ca="1">IFERROR(__xludf.DUMMYFUNCTION("""COMPUTED_VALUE"""),0)</f>
        <v>0</v>
      </c>
      <c r="BH209" s="24">
        <f ca="1">IFERROR(__xludf.DUMMYFUNCTION("""COMPUTED_VALUE"""),0)</f>
        <v>0</v>
      </c>
      <c r="BI209" s="20"/>
      <c r="BJ209" s="24">
        <f ca="1">IFERROR(__xludf.DUMMYFUNCTION("""COMPUTED_VALUE"""),9995)</f>
        <v>9995</v>
      </c>
      <c r="BK209" s="24">
        <f ca="1">IFERROR(__xludf.DUMMYFUNCTION("""COMPUTED_VALUE"""),0)</f>
        <v>0</v>
      </c>
      <c r="BL209" s="24">
        <f ca="1">IFERROR(__xludf.DUMMYFUNCTION("""COMPUTED_VALUE"""),6336.77)</f>
        <v>6336.77</v>
      </c>
      <c r="BM209" s="24">
        <f ca="1">IFERROR(__xludf.DUMMYFUNCTION("""COMPUTED_VALUE"""),0)</f>
        <v>0</v>
      </c>
      <c r="BN209" s="24">
        <f ca="1">IFERROR(__xludf.DUMMYFUNCTION("""COMPUTED_VALUE"""),3658.23)</f>
        <v>3658.23</v>
      </c>
      <c r="BO209" s="24">
        <f ca="1">IFERROR(__xludf.DUMMYFUNCTION("""COMPUTED_VALUE"""),0)</f>
        <v>0</v>
      </c>
      <c r="BP209" s="24">
        <f ca="1">IFERROR(__xludf.DUMMYFUNCTION("""COMPUTED_VALUE"""),0)</f>
        <v>0</v>
      </c>
      <c r="BQ209" s="24">
        <f ca="1">IFERROR(__xludf.DUMMYFUNCTION("""COMPUTED_VALUE"""),0)</f>
        <v>0</v>
      </c>
      <c r="BR209" s="24">
        <f ca="1">IFERROR(__xludf.DUMMYFUNCTION("""COMPUTED_VALUE"""),0)</f>
        <v>0</v>
      </c>
      <c r="BS209" s="24">
        <f ca="1">IFERROR(__xludf.DUMMYFUNCTION("""COMPUTED_VALUE"""),0)</f>
        <v>0</v>
      </c>
      <c r="BT209" s="24">
        <f ca="1">IFERROR(__xludf.DUMMYFUNCTION("""COMPUTED_VALUE"""),0)</f>
        <v>0</v>
      </c>
      <c r="BU209" s="20"/>
      <c r="BV209" s="24">
        <f ca="1">IFERROR(__xludf.DUMMYFUNCTION("""COMPUTED_VALUE"""),0)</f>
        <v>0</v>
      </c>
      <c r="BW209" s="24">
        <f ca="1">IFERROR(__xludf.DUMMYFUNCTION("""COMPUTED_VALUE"""),0)</f>
        <v>0</v>
      </c>
      <c r="BX209" s="24">
        <f ca="1">IFERROR(__xludf.DUMMYFUNCTION("""COMPUTED_VALUE"""),0)</f>
        <v>0</v>
      </c>
      <c r="BY209" s="24">
        <f ca="1">IFERROR(__xludf.DUMMYFUNCTION("""COMPUTED_VALUE"""),0)</f>
        <v>0</v>
      </c>
      <c r="BZ209" s="24">
        <f ca="1">IFERROR(__xludf.DUMMYFUNCTION("""COMPUTED_VALUE"""),0)</f>
        <v>0</v>
      </c>
      <c r="CA209" s="20"/>
      <c r="CB209" s="20"/>
      <c r="CC209" s="20"/>
      <c r="CD209" s="20"/>
      <c r="CE209" s="20"/>
      <c r="CF209" s="20"/>
      <c r="CG209" s="20"/>
      <c r="CH209" s="20"/>
      <c r="CI209" s="20"/>
      <c r="CJ209" s="20"/>
      <c r="CK209" s="20"/>
      <c r="CL209" s="20"/>
      <c r="CM209" s="20"/>
      <c r="CN209" s="20"/>
      <c r="CO209" s="20"/>
      <c r="CP209" s="20"/>
      <c r="CQ209" s="20"/>
      <c r="CR209" s="20"/>
      <c r="CS209" s="20"/>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row>
    <row r="210" spans="1:123" ht="64.5" hidden="1" customHeight="1" x14ac:dyDescent="0.2">
      <c r="A210" s="19"/>
      <c r="B210" s="20" t="str">
        <f ca="1">IFERROR(__xludf.DUMMYFUNCTION("""COMPUTED_VALUE"""),"г.о. Истра")</f>
        <v>г.о. Истра</v>
      </c>
      <c r="C21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0" s="20" t="str">
        <f ca="1">IFERROR(__xludf.DUMMYFUNCTION("""COMPUTED_VALUE"""),"МинЖКХ")</f>
        <v>МинЖКХ</v>
      </c>
      <c r="E210" s="20" t="str">
        <f ca="1">IFERROR(__xludf.DUMMYFUNCTION("""COMPUTED_VALUE"""),"Приобретение, монтаж и ввод в эксплуатацию станций водоочитски ВЗУ д. Лечищево  г.о. Истра")</f>
        <v>Приобретение, монтаж и ввод в эксплуатацию станций водоочитски ВЗУ д. Лечищево  г.о. Истра</v>
      </c>
      <c r="F210" s="32" t="str">
        <f ca="1">IFERROR(__xludf.DUMMYFUNCTION("""COMPUTED_VALUE"""),"ВЗУ")</f>
        <v>ВЗУ</v>
      </c>
      <c r="G210" s="20" t="str">
        <f ca="1">IFERROR(__xludf.DUMMYFUNCTION("""COMPUTED_VALUE"""),"Н/Л")</f>
        <v>Н/Л</v>
      </c>
      <c r="H210" s="20" t="str">
        <f ca="1">IFERROR(__xludf.DUMMYFUNCTION("""COMPUTED_VALUE"""),"Приобретение, монтаж")</f>
        <v>Приобретение, монтаж</v>
      </c>
      <c r="I210" s="20"/>
      <c r="J210" s="20"/>
      <c r="K210" s="20"/>
      <c r="L210" s="20"/>
      <c r="M210" s="20"/>
      <c r="N210" s="24">
        <f ca="1">IFERROR(__xludf.DUMMYFUNCTION("""COMPUTED_VALUE"""),0)</f>
        <v>0</v>
      </c>
      <c r="O210" s="20"/>
      <c r="P210" s="20"/>
      <c r="Q210" s="20"/>
      <c r="R210" s="20"/>
      <c r="S210" s="20"/>
      <c r="T210" s="20"/>
      <c r="U210" s="24">
        <f ca="1">IFERROR(__xludf.DUMMYFUNCTION("""COMPUTED_VALUE"""),0)</f>
        <v>0</v>
      </c>
      <c r="V210" s="24">
        <f ca="1">IFERROR(__xludf.DUMMYFUNCTION("""COMPUTED_VALUE"""),0)</f>
        <v>0</v>
      </c>
      <c r="W210" s="24">
        <f ca="1">IFERROR(__xludf.DUMMYFUNCTION("""COMPUTED_VALUE"""),0)</f>
        <v>0</v>
      </c>
      <c r="X210" s="24">
        <f ca="1">IFERROR(__xludf.DUMMYFUNCTION("""COMPUTED_VALUE"""),0)</f>
        <v>0</v>
      </c>
      <c r="Y210" s="24">
        <f ca="1">IFERROR(__xludf.DUMMYFUNCTION("""COMPUTED_VALUE"""),0)</f>
        <v>0</v>
      </c>
      <c r="Z210" s="24">
        <f ca="1">IFERROR(__xludf.DUMMYFUNCTION("""COMPUTED_VALUE"""),0)</f>
        <v>0</v>
      </c>
      <c r="AA210" s="20" t="str">
        <f ca="1">IFERROR(__xludf.DUMMYFUNCTION("""COMPUTED_VALUE"""),"10 1 02 60330")</f>
        <v>10 1 02 60330</v>
      </c>
      <c r="AB210" s="20">
        <f ca="1">IFERROR(__xludf.DUMMYFUNCTION("""COMPUTED_VALUE"""),520)</f>
        <v>520</v>
      </c>
      <c r="AC210" s="20" t="str">
        <f ca="1">IFERROR(__xludf.DUMMYFUNCTION("""COMPUTED_VALUE"""),"Не требуется")</f>
        <v>Не требуется</v>
      </c>
      <c r="AD210" s="20" t="str">
        <f ca="1">IFERROR(__xludf.DUMMYFUNCTION("""COMPUTED_VALUE"""),"-")</f>
        <v>-</v>
      </c>
      <c r="AE210" s="20" t="str">
        <f ca="1">IFERROR(__xludf.DUMMYFUNCTION("""COMPUTED_VALUE"""),"-")</f>
        <v>-</v>
      </c>
      <c r="AF210" s="24">
        <f ca="1">IFERROR(__xludf.DUMMYFUNCTION("""COMPUTED_VALUE"""),9960)</f>
        <v>9960</v>
      </c>
      <c r="AG210" s="24">
        <f ca="1">IFERROR(__xludf.DUMMYFUNCTION("""COMPUTED_VALUE"""),0)</f>
        <v>0</v>
      </c>
      <c r="AH210" s="24">
        <f ca="1">IFERROR(__xludf.DUMMYFUNCTION("""COMPUTED_VALUE"""),6314.64)</f>
        <v>6314.64</v>
      </c>
      <c r="AI210" s="24">
        <f ca="1">IFERROR(__xludf.DUMMYFUNCTION("""COMPUTED_VALUE"""),0)</f>
        <v>0</v>
      </c>
      <c r="AJ210" s="24">
        <f ca="1">IFERROR(__xludf.DUMMYFUNCTION("""COMPUTED_VALUE"""),3645.36)</f>
        <v>3645.36</v>
      </c>
      <c r="AK210" s="24">
        <f ca="1">IFERROR(__xludf.DUMMYFUNCTION("""COMPUTED_VALUE"""),0)</f>
        <v>0</v>
      </c>
      <c r="AL210" s="24">
        <f ca="1">IFERROR(__xludf.DUMMYFUNCTION("""COMPUTED_VALUE"""),0)</f>
        <v>0</v>
      </c>
      <c r="AM210" s="20"/>
      <c r="AN210" s="20"/>
      <c r="AO210" s="20"/>
      <c r="AP210" s="20"/>
      <c r="AQ210" s="20"/>
      <c r="AR210" s="24">
        <f ca="1">IFERROR(__xludf.DUMMYFUNCTION("""COMPUTED_VALUE"""),0)</f>
        <v>0</v>
      </c>
      <c r="AS210" s="20"/>
      <c r="AT210" s="20"/>
      <c r="AU210" s="20"/>
      <c r="AV210" s="20"/>
      <c r="AW210" s="20"/>
      <c r="AX210" s="24">
        <f ca="1">IFERROR(__xludf.DUMMYFUNCTION("""COMPUTED_VALUE"""),0)</f>
        <v>0</v>
      </c>
      <c r="AY210" s="24">
        <f ca="1">IFERROR(__xludf.DUMMYFUNCTION("""COMPUTED_VALUE"""),0)</f>
        <v>0</v>
      </c>
      <c r="AZ210" s="24">
        <f ca="1">IFERROR(__xludf.DUMMYFUNCTION("""COMPUTED_VALUE"""),0)</f>
        <v>0</v>
      </c>
      <c r="BA210" s="24">
        <f ca="1">IFERROR(__xludf.DUMMYFUNCTION("""COMPUTED_VALUE"""),0)</f>
        <v>0</v>
      </c>
      <c r="BB210" s="24">
        <f ca="1">IFERROR(__xludf.DUMMYFUNCTION("""COMPUTED_VALUE"""),0)</f>
        <v>0</v>
      </c>
      <c r="BC210" s="20"/>
      <c r="BD210" s="24">
        <f ca="1">IFERROR(__xludf.DUMMYFUNCTION("""COMPUTED_VALUE"""),0)</f>
        <v>0</v>
      </c>
      <c r="BE210" s="24">
        <f ca="1">IFERROR(__xludf.DUMMYFUNCTION("""COMPUTED_VALUE"""),0)</f>
        <v>0</v>
      </c>
      <c r="BF210" s="24">
        <f ca="1">IFERROR(__xludf.DUMMYFUNCTION("""COMPUTED_VALUE"""),0)</f>
        <v>0</v>
      </c>
      <c r="BG210" s="24">
        <f ca="1">IFERROR(__xludf.DUMMYFUNCTION("""COMPUTED_VALUE"""),0)</f>
        <v>0</v>
      </c>
      <c r="BH210" s="24">
        <f ca="1">IFERROR(__xludf.DUMMYFUNCTION("""COMPUTED_VALUE"""),0)</f>
        <v>0</v>
      </c>
      <c r="BI210" s="20"/>
      <c r="BJ210" s="24">
        <f ca="1">IFERROR(__xludf.DUMMYFUNCTION("""COMPUTED_VALUE"""),9960)</f>
        <v>9960</v>
      </c>
      <c r="BK210" s="24">
        <f ca="1">IFERROR(__xludf.DUMMYFUNCTION("""COMPUTED_VALUE"""),0)</f>
        <v>0</v>
      </c>
      <c r="BL210" s="24">
        <f ca="1">IFERROR(__xludf.DUMMYFUNCTION("""COMPUTED_VALUE"""),6314.64)</f>
        <v>6314.64</v>
      </c>
      <c r="BM210" s="24">
        <f ca="1">IFERROR(__xludf.DUMMYFUNCTION("""COMPUTED_VALUE"""),0)</f>
        <v>0</v>
      </c>
      <c r="BN210" s="24">
        <f ca="1">IFERROR(__xludf.DUMMYFUNCTION("""COMPUTED_VALUE"""),3645.36)</f>
        <v>3645.36</v>
      </c>
      <c r="BO210" s="24">
        <f ca="1">IFERROR(__xludf.DUMMYFUNCTION("""COMPUTED_VALUE"""),0)</f>
        <v>0</v>
      </c>
      <c r="BP210" s="24">
        <f ca="1">IFERROR(__xludf.DUMMYFUNCTION("""COMPUTED_VALUE"""),0)</f>
        <v>0</v>
      </c>
      <c r="BQ210" s="24">
        <f ca="1">IFERROR(__xludf.DUMMYFUNCTION("""COMPUTED_VALUE"""),0)</f>
        <v>0</v>
      </c>
      <c r="BR210" s="24">
        <f ca="1">IFERROR(__xludf.DUMMYFUNCTION("""COMPUTED_VALUE"""),0)</f>
        <v>0</v>
      </c>
      <c r="BS210" s="24">
        <f ca="1">IFERROR(__xludf.DUMMYFUNCTION("""COMPUTED_VALUE"""),0)</f>
        <v>0</v>
      </c>
      <c r="BT210" s="24">
        <f ca="1">IFERROR(__xludf.DUMMYFUNCTION("""COMPUTED_VALUE"""),0)</f>
        <v>0</v>
      </c>
      <c r="BU210" s="20"/>
      <c r="BV210" s="24">
        <f ca="1">IFERROR(__xludf.DUMMYFUNCTION("""COMPUTED_VALUE"""),0)</f>
        <v>0</v>
      </c>
      <c r="BW210" s="24">
        <f ca="1">IFERROR(__xludf.DUMMYFUNCTION("""COMPUTED_VALUE"""),0)</f>
        <v>0</v>
      </c>
      <c r="BX210" s="24">
        <f ca="1">IFERROR(__xludf.DUMMYFUNCTION("""COMPUTED_VALUE"""),0)</f>
        <v>0</v>
      </c>
      <c r="BY210" s="24">
        <f ca="1">IFERROR(__xludf.DUMMYFUNCTION("""COMPUTED_VALUE"""),0)</f>
        <v>0</v>
      </c>
      <c r="BZ210" s="24">
        <f ca="1">IFERROR(__xludf.DUMMYFUNCTION("""COMPUTED_VALUE"""),0)</f>
        <v>0</v>
      </c>
      <c r="CA210" s="20"/>
      <c r="CB210" s="20"/>
      <c r="CC210" s="20"/>
      <c r="CD210" s="20"/>
      <c r="CE210" s="20"/>
      <c r="CF210" s="20"/>
      <c r="CG210" s="20"/>
      <c r="CH210" s="20"/>
      <c r="CI210" s="20"/>
      <c r="CJ210" s="20"/>
      <c r="CK210" s="20"/>
      <c r="CL210" s="20"/>
      <c r="CM210" s="20"/>
      <c r="CN210" s="20"/>
      <c r="CO210" s="20"/>
      <c r="CP210" s="20"/>
      <c r="CQ210" s="20"/>
      <c r="CR210" s="20"/>
      <c r="CS210" s="20"/>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row>
    <row r="211" spans="1:123" ht="64.5" hidden="1" customHeight="1" x14ac:dyDescent="0.2">
      <c r="A211" s="19"/>
      <c r="B211" s="20" t="str">
        <f ca="1">IFERROR(__xludf.DUMMYFUNCTION("""COMPUTED_VALUE"""),"г.о. Истра")</f>
        <v>г.о. Истра</v>
      </c>
      <c r="C21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1" s="20" t="str">
        <f ca="1">IFERROR(__xludf.DUMMYFUNCTION("""COMPUTED_VALUE"""),"МинЖКХ")</f>
        <v>МинЖКХ</v>
      </c>
      <c r="E211" s="20" t="str">
        <f ca="1">IFERROR(__xludf.DUMMYFUNCTION("""COMPUTED_VALUE"""),"Приобретение, монтаж и ввод в эксплуатацию станций водоочитски ВЗУ п. Румянцево, ул. Садовая  г.о. Истра")</f>
        <v>Приобретение, монтаж и ввод в эксплуатацию станций водоочитски ВЗУ п. Румянцево, ул. Садовая  г.о. Истра</v>
      </c>
      <c r="F211" s="32" t="str">
        <f ca="1">IFERROR(__xludf.DUMMYFUNCTION("""COMPUTED_VALUE"""),"ВЗУ")</f>
        <v>ВЗУ</v>
      </c>
      <c r="G211" s="20" t="str">
        <f ca="1">IFERROR(__xludf.DUMMYFUNCTION("""COMPUTED_VALUE"""),"Н/Л")</f>
        <v>Н/Л</v>
      </c>
      <c r="H211" s="20" t="str">
        <f ca="1">IFERROR(__xludf.DUMMYFUNCTION("""COMPUTED_VALUE"""),"Приобретение, монтаж")</f>
        <v>Приобретение, монтаж</v>
      </c>
      <c r="I211" s="20"/>
      <c r="J211" s="20"/>
      <c r="K211" s="20"/>
      <c r="L211" s="20"/>
      <c r="M211" s="20"/>
      <c r="N211" s="24">
        <f ca="1">IFERROR(__xludf.DUMMYFUNCTION("""COMPUTED_VALUE"""),0)</f>
        <v>0</v>
      </c>
      <c r="O211" s="20"/>
      <c r="P211" s="20"/>
      <c r="Q211" s="20"/>
      <c r="R211" s="20"/>
      <c r="S211" s="20"/>
      <c r="T211" s="20"/>
      <c r="U211" s="24">
        <f ca="1">IFERROR(__xludf.DUMMYFUNCTION("""COMPUTED_VALUE"""),0)</f>
        <v>0</v>
      </c>
      <c r="V211" s="24">
        <f ca="1">IFERROR(__xludf.DUMMYFUNCTION("""COMPUTED_VALUE"""),0)</f>
        <v>0</v>
      </c>
      <c r="W211" s="24">
        <f ca="1">IFERROR(__xludf.DUMMYFUNCTION("""COMPUTED_VALUE"""),0)</f>
        <v>0</v>
      </c>
      <c r="X211" s="24">
        <f ca="1">IFERROR(__xludf.DUMMYFUNCTION("""COMPUTED_VALUE"""),0)</f>
        <v>0</v>
      </c>
      <c r="Y211" s="24">
        <f ca="1">IFERROR(__xludf.DUMMYFUNCTION("""COMPUTED_VALUE"""),0)</f>
        <v>0</v>
      </c>
      <c r="Z211" s="24">
        <f ca="1">IFERROR(__xludf.DUMMYFUNCTION("""COMPUTED_VALUE"""),0)</f>
        <v>0</v>
      </c>
      <c r="AA211" s="20" t="str">
        <f ca="1">IFERROR(__xludf.DUMMYFUNCTION("""COMPUTED_VALUE"""),"10 1 02 60330")</f>
        <v>10 1 02 60330</v>
      </c>
      <c r="AB211" s="20">
        <f ca="1">IFERROR(__xludf.DUMMYFUNCTION("""COMPUTED_VALUE"""),520)</f>
        <v>520</v>
      </c>
      <c r="AC211" s="20" t="str">
        <f ca="1">IFERROR(__xludf.DUMMYFUNCTION("""COMPUTED_VALUE"""),"Не требуется")</f>
        <v>Не требуется</v>
      </c>
      <c r="AD211" s="20" t="str">
        <f ca="1">IFERROR(__xludf.DUMMYFUNCTION("""COMPUTED_VALUE"""),"-")</f>
        <v>-</v>
      </c>
      <c r="AE211" s="20" t="str">
        <f ca="1">IFERROR(__xludf.DUMMYFUNCTION("""COMPUTED_VALUE"""),"-")</f>
        <v>-</v>
      </c>
      <c r="AF211" s="24">
        <f ca="1">IFERROR(__xludf.DUMMYFUNCTION("""COMPUTED_VALUE"""),7941)</f>
        <v>7941</v>
      </c>
      <c r="AG211" s="24">
        <f ca="1">IFERROR(__xludf.DUMMYFUNCTION("""COMPUTED_VALUE"""),0)</f>
        <v>0</v>
      </c>
      <c r="AH211" s="24">
        <f ca="1">IFERROR(__xludf.DUMMYFUNCTION("""COMPUTED_VALUE"""),5034.5)</f>
        <v>5034.5</v>
      </c>
      <c r="AI211" s="24">
        <f ca="1">IFERROR(__xludf.DUMMYFUNCTION("""COMPUTED_VALUE"""),0)</f>
        <v>0</v>
      </c>
      <c r="AJ211" s="24">
        <f ca="1">IFERROR(__xludf.DUMMYFUNCTION("""COMPUTED_VALUE"""),2906.5)</f>
        <v>2906.5</v>
      </c>
      <c r="AK211" s="24">
        <f ca="1">IFERROR(__xludf.DUMMYFUNCTION("""COMPUTED_VALUE"""),0)</f>
        <v>0</v>
      </c>
      <c r="AL211" s="24">
        <f ca="1">IFERROR(__xludf.DUMMYFUNCTION("""COMPUTED_VALUE"""),0)</f>
        <v>0</v>
      </c>
      <c r="AM211" s="20"/>
      <c r="AN211" s="20"/>
      <c r="AO211" s="20"/>
      <c r="AP211" s="20"/>
      <c r="AQ211" s="20"/>
      <c r="AR211" s="24">
        <f ca="1">IFERROR(__xludf.DUMMYFUNCTION("""COMPUTED_VALUE"""),0)</f>
        <v>0</v>
      </c>
      <c r="AS211" s="20"/>
      <c r="AT211" s="20"/>
      <c r="AU211" s="20"/>
      <c r="AV211" s="20"/>
      <c r="AW211" s="20"/>
      <c r="AX211" s="24">
        <f ca="1">IFERROR(__xludf.DUMMYFUNCTION("""COMPUTED_VALUE"""),0)</f>
        <v>0</v>
      </c>
      <c r="AY211" s="24">
        <f ca="1">IFERROR(__xludf.DUMMYFUNCTION("""COMPUTED_VALUE"""),0)</f>
        <v>0</v>
      </c>
      <c r="AZ211" s="24">
        <f ca="1">IFERROR(__xludf.DUMMYFUNCTION("""COMPUTED_VALUE"""),0)</f>
        <v>0</v>
      </c>
      <c r="BA211" s="24">
        <f ca="1">IFERROR(__xludf.DUMMYFUNCTION("""COMPUTED_VALUE"""),0)</f>
        <v>0</v>
      </c>
      <c r="BB211" s="24">
        <f ca="1">IFERROR(__xludf.DUMMYFUNCTION("""COMPUTED_VALUE"""),0)</f>
        <v>0</v>
      </c>
      <c r="BC211" s="20"/>
      <c r="BD211" s="24">
        <f ca="1">IFERROR(__xludf.DUMMYFUNCTION("""COMPUTED_VALUE"""),0)</f>
        <v>0</v>
      </c>
      <c r="BE211" s="24">
        <f ca="1">IFERROR(__xludf.DUMMYFUNCTION("""COMPUTED_VALUE"""),0)</f>
        <v>0</v>
      </c>
      <c r="BF211" s="24">
        <f ca="1">IFERROR(__xludf.DUMMYFUNCTION("""COMPUTED_VALUE"""),0)</f>
        <v>0</v>
      </c>
      <c r="BG211" s="24">
        <f ca="1">IFERROR(__xludf.DUMMYFUNCTION("""COMPUTED_VALUE"""),0)</f>
        <v>0</v>
      </c>
      <c r="BH211" s="24">
        <f ca="1">IFERROR(__xludf.DUMMYFUNCTION("""COMPUTED_VALUE"""),0)</f>
        <v>0</v>
      </c>
      <c r="BI211" s="20"/>
      <c r="BJ211" s="24">
        <f ca="1">IFERROR(__xludf.DUMMYFUNCTION("""COMPUTED_VALUE"""),7941)</f>
        <v>7941</v>
      </c>
      <c r="BK211" s="24">
        <f ca="1">IFERROR(__xludf.DUMMYFUNCTION("""COMPUTED_VALUE"""),0)</f>
        <v>0</v>
      </c>
      <c r="BL211" s="24">
        <f ca="1">IFERROR(__xludf.DUMMYFUNCTION("""COMPUTED_VALUE"""),5034.5)</f>
        <v>5034.5</v>
      </c>
      <c r="BM211" s="24">
        <f ca="1">IFERROR(__xludf.DUMMYFUNCTION("""COMPUTED_VALUE"""),0)</f>
        <v>0</v>
      </c>
      <c r="BN211" s="24">
        <f ca="1">IFERROR(__xludf.DUMMYFUNCTION("""COMPUTED_VALUE"""),2906.5)</f>
        <v>2906.5</v>
      </c>
      <c r="BO211" s="24">
        <f ca="1">IFERROR(__xludf.DUMMYFUNCTION("""COMPUTED_VALUE"""),0)</f>
        <v>0</v>
      </c>
      <c r="BP211" s="24">
        <f ca="1">IFERROR(__xludf.DUMMYFUNCTION("""COMPUTED_VALUE"""),0)</f>
        <v>0</v>
      </c>
      <c r="BQ211" s="24">
        <f ca="1">IFERROR(__xludf.DUMMYFUNCTION("""COMPUTED_VALUE"""),0)</f>
        <v>0</v>
      </c>
      <c r="BR211" s="24">
        <f ca="1">IFERROR(__xludf.DUMMYFUNCTION("""COMPUTED_VALUE"""),0)</f>
        <v>0</v>
      </c>
      <c r="BS211" s="24">
        <f ca="1">IFERROR(__xludf.DUMMYFUNCTION("""COMPUTED_VALUE"""),0)</f>
        <v>0</v>
      </c>
      <c r="BT211" s="24">
        <f ca="1">IFERROR(__xludf.DUMMYFUNCTION("""COMPUTED_VALUE"""),0)</f>
        <v>0</v>
      </c>
      <c r="BU211" s="20"/>
      <c r="BV211" s="24">
        <f ca="1">IFERROR(__xludf.DUMMYFUNCTION("""COMPUTED_VALUE"""),0)</f>
        <v>0</v>
      </c>
      <c r="BW211" s="24">
        <f ca="1">IFERROR(__xludf.DUMMYFUNCTION("""COMPUTED_VALUE"""),0)</f>
        <v>0</v>
      </c>
      <c r="BX211" s="24">
        <f ca="1">IFERROR(__xludf.DUMMYFUNCTION("""COMPUTED_VALUE"""),0)</f>
        <v>0</v>
      </c>
      <c r="BY211" s="24">
        <f ca="1">IFERROR(__xludf.DUMMYFUNCTION("""COMPUTED_VALUE"""),0)</f>
        <v>0</v>
      </c>
      <c r="BZ211" s="24">
        <f ca="1">IFERROR(__xludf.DUMMYFUNCTION("""COMPUTED_VALUE"""),0)</f>
        <v>0</v>
      </c>
      <c r="CA211" s="20"/>
      <c r="CB211" s="20"/>
      <c r="CC211" s="20"/>
      <c r="CD211" s="20"/>
      <c r="CE211" s="20"/>
      <c r="CF211" s="20"/>
      <c r="CG211" s="20"/>
      <c r="CH211" s="20"/>
      <c r="CI211" s="20"/>
      <c r="CJ211" s="20"/>
      <c r="CK211" s="20"/>
      <c r="CL211" s="20"/>
      <c r="CM211" s="20"/>
      <c r="CN211" s="20"/>
      <c r="CO211" s="20"/>
      <c r="CP211" s="20"/>
      <c r="CQ211" s="20"/>
      <c r="CR211" s="20"/>
      <c r="CS211" s="20"/>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row>
    <row r="212" spans="1:123" ht="64.5" hidden="1" customHeight="1" x14ac:dyDescent="0.2">
      <c r="A212" s="19"/>
      <c r="B212" s="20" t="str">
        <f ca="1">IFERROR(__xludf.DUMMYFUNCTION("""COMPUTED_VALUE"""),"г.о. Истра")</f>
        <v>г.о. Истра</v>
      </c>
      <c r="C21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2" s="20" t="str">
        <f ca="1">IFERROR(__xludf.DUMMYFUNCTION("""COMPUTED_VALUE"""),"МинЖКХ")</f>
        <v>МинЖКХ</v>
      </c>
      <c r="E212" s="20" t="str">
        <f ca="1">IFERROR(__xludf.DUMMYFUNCTION("""COMPUTED_VALUE"""),"Приобретение, монтаж и ввод в эксплуатацию станций водоочитски ВЗУ д. Дарна  г.о. Истра")</f>
        <v>Приобретение, монтаж и ввод в эксплуатацию станций водоочитски ВЗУ д. Дарна  г.о. Истра</v>
      </c>
      <c r="F212" s="32" t="str">
        <f ca="1">IFERROR(__xludf.DUMMYFUNCTION("""COMPUTED_VALUE"""),"ВЗУ")</f>
        <v>ВЗУ</v>
      </c>
      <c r="G212" s="20" t="str">
        <f ca="1">IFERROR(__xludf.DUMMYFUNCTION("""COMPUTED_VALUE"""),"Н/Л")</f>
        <v>Н/Л</v>
      </c>
      <c r="H212" s="20" t="str">
        <f ca="1">IFERROR(__xludf.DUMMYFUNCTION("""COMPUTED_VALUE"""),"Приобретение, монтаж")</f>
        <v>Приобретение, монтаж</v>
      </c>
      <c r="I212" s="20"/>
      <c r="J212" s="20"/>
      <c r="K212" s="20"/>
      <c r="L212" s="20"/>
      <c r="M212" s="20"/>
      <c r="N212" s="24">
        <f ca="1">IFERROR(__xludf.DUMMYFUNCTION("""COMPUTED_VALUE"""),0)</f>
        <v>0</v>
      </c>
      <c r="O212" s="20"/>
      <c r="P212" s="20"/>
      <c r="Q212" s="20"/>
      <c r="R212" s="20"/>
      <c r="S212" s="20"/>
      <c r="T212" s="20"/>
      <c r="U212" s="24">
        <f ca="1">IFERROR(__xludf.DUMMYFUNCTION("""COMPUTED_VALUE"""),0)</f>
        <v>0</v>
      </c>
      <c r="V212" s="24">
        <f ca="1">IFERROR(__xludf.DUMMYFUNCTION("""COMPUTED_VALUE"""),0)</f>
        <v>0</v>
      </c>
      <c r="W212" s="24">
        <f ca="1">IFERROR(__xludf.DUMMYFUNCTION("""COMPUTED_VALUE"""),0)</f>
        <v>0</v>
      </c>
      <c r="X212" s="24">
        <f ca="1">IFERROR(__xludf.DUMMYFUNCTION("""COMPUTED_VALUE"""),0)</f>
        <v>0</v>
      </c>
      <c r="Y212" s="24">
        <f ca="1">IFERROR(__xludf.DUMMYFUNCTION("""COMPUTED_VALUE"""),0)</f>
        <v>0</v>
      </c>
      <c r="Z212" s="24">
        <f ca="1">IFERROR(__xludf.DUMMYFUNCTION("""COMPUTED_VALUE"""),0)</f>
        <v>0</v>
      </c>
      <c r="AA212" s="20" t="str">
        <f ca="1">IFERROR(__xludf.DUMMYFUNCTION("""COMPUTED_VALUE"""),"10 1 02 60330")</f>
        <v>10 1 02 60330</v>
      </c>
      <c r="AB212" s="20">
        <f ca="1">IFERROR(__xludf.DUMMYFUNCTION("""COMPUTED_VALUE"""),520)</f>
        <v>520</v>
      </c>
      <c r="AC212" s="20" t="str">
        <f ca="1">IFERROR(__xludf.DUMMYFUNCTION("""COMPUTED_VALUE"""),"Не требуется")</f>
        <v>Не требуется</v>
      </c>
      <c r="AD212" s="20" t="str">
        <f ca="1">IFERROR(__xludf.DUMMYFUNCTION("""COMPUTED_VALUE"""),"-")</f>
        <v>-</v>
      </c>
      <c r="AE212" s="20" t="str">
        <f ca="1">IFERROR(__xludf.DUMMYFUNCTION("""COMPUTED_VALUE"""),"-")</f>
        <v>-</v>
      </c>
      <c r="AF212" s="24">
        <f ca="1">IFERROR(__xludf.DUMMYFUNCTION("""COMPUTED_VALUE"""),7940.94)</f>
        <v>7940.94</v>
      </c>
      <c r="AG212" s="24">
        <f ca="1">IFERROR(__xludf.DUMMYFUNCTION("""COMPUTED_VALUE"""),0)</f>
        <v>0</v>
      </c>
      <c r="AH212" s="24">
        <f ca="1">IFERROR(__xludf.DUMMYFUNCTION("""COMPUTED_VALUE"""),5034.59)</f>
        <v>5034.59</v>
      </c>
      <c r="AI212" s="24">
        <f ca="1">IFERROR(__xludf.DUMMYFUNCTION("""COMPUTED_VALUE"""),0)</f>
        <v>0</v>
      </c>
      <c r="AJ212" s="24">
        <f ca="1">IFERROR(__xludf.DUMMYFUNCTION("""COMPUTED_VALUE"""),2906.35)</f>
        <v>2906.35</v>
      </c>
      <c r="AK212" s="24">
        <f ca="1">IFERROR(__xludf.DUMMYFUNCTION("""COMPUTED_VALUE"""),0)</f>
        <v>0</v>
      </c>
      <c r="AL212" s="24">
        <f ca="1">IFERROR(__xludf.DUMMYFUNCTION("""COMPUTED_VALUE"""),0)</f>
        <v>0</v>
      </c>
      <c r="AM212" s="20"/>
      <c r="AN212" s="20"/>
      <c r="AO212" s="20"/>
      <c r="AP212" s="20"/>
      <c r="AQ212" s="20"/>
      <c r="AR212" s="24">
        <f ca="1">IFERROR(__xludf.DUMMYFUNCTION("""COMPUTED_VALUE"""),0)</f>
        <v>0</v>
      </c>
      <c r="AS212" s="20"/>
      <c r="AT212" s="20"/>
      <c r="AU212" s="20"/>
      <c r="AV212" s="20"/>
      <c r="AW212" s="20"/>
      <c r="AX212" s="24">
        <f ca="1">IFERROR(__xludf.DUMMYFUNCTION("""COMPUTED_VALUE"""),0)</f>
        <v>0</v>
      </c>
      <c r="AY212" s="24">
        <f ca="1">IFERROR(__xludf.DUMMYFUNCTION("""COMPUTED_VALUE"""),0)</f>
        <v>0</v>
      </c>
      <c r="AZ212" s="24">
        <f ca="1">IFERROR(__xludf.DUMMYFUNCTION("""COMPUTED_VALUE"""),0)</f>
        <v>0</v>
      </c>
      <c r="BA212" s="24">
        <f ca="1">IFERROR(__xludf.DUMMYFUNCTION("""COMPUTED_VALUE"""),0)</f>
        <v>0</v>
      </c>
      <c r="BB212" s="24">
        <f ca="1">IFERROR(__xludf.DUMMYFUNCTION("""COMPUTED_VALUE"""),0)</f>
        <v>0</v>
      </c>
      <c r="BC212" s="20"/>
      <c r="BD212" s="24">
        <f ca="1">IFERROR(__xludf.DUMMYFUNCTION("""COMPUTED_VALUE"""),0)</f>
        <v>0</v>
      </c>
      <c r="BE212" s="24">
        <f ca="1">IFERROR(__xludf.DUMMYFUNCTION("""COMPUTED_VALUE"""),0)</f>
        <v>0</v>
      </c>
      <c r="BF212" s="24">
        <f ca="1">IFERROR(__xludf.DUMMYFUNCTION("""COMPUTED_VALUE"""),0)</f>
        <v>0</v>
      </c>
      <c r="BG212" s="24">
        <f ca="1">IFERROR(__xludf.DUMMYFUNCTION("""COMPUTED_VALUE"""),0)</f>
        <v>0</v>
      </c>
      <c r="BH212" s="24">
        <f ca="1">IFERROR(__xludf.DUMMYFUNCTION("""COMPUTED_VALUE"""),0)</f>
        <v>0</v>
      </c>
      <c r="BI212" s="20"/>
      <c r="BJ212" s="24">
        <f ca="1">IFERROR(__xludf.DUMMYFUNCTION("""COMPUTED_VALUE"""),7940.94)</f>
        <v>7940.94</v>
      </c>
      <c r="BK212" s="24">
        <f ca="1">IFERROR(__xludf.DUMMYFUNCTION("""COMPUTED_VALUE"""),0)</f>
        <v>0</v>
      </c>
      <c r="BL212" s="24">
        <f ca="1">IFERROR(__xludf.DUMMYFUNCTION("""COMPUTED_VALUE"""),5034.59)</f>
        <v>5034.59</v>
      </c>
      <c r="BM212" s="24">
        <f ca="1">IFERROR(__xludf.DUMMYFUNCTION("""COMPUTED_VALUE"""),0)</f>
        <v>0</v>
      </c>
      <c r="BN212" s="24">
        <f ca="1">IFERROR(__xludf.DUMMYFUNCTION("""COMPUTED_VALUE"""),2906.35)</f>
        <v>2906.35</v>
      </c>
      <c r="BO212" s="24">
        <f ca="1">IFERROR(__xludf.DUMMYFUNCTION("""COMPUTED_VALUE"""),0)</f>
        <v>0</v>
      </c>
      <c r="BP212" s="24">
        <f ca="1">IFERROR(__xludf.DUMMYFUNCTION("""COMPUTED_VALUE"""),0)</f>
        <v>0</v>
      </c>
      <c r="BQ212" s="24">
        <f ca="1">IFERROR(__xludf.DUMMYFUNCTION("""COMPUTED_VALUE"""),0)</f>
        <v>0</v>
      </c>
      <c r="BR212" s="24">
        <f ca="1">IFERROR(__xludf.DUMMYFUNCTION("""COMPUTED_VALUE"""),0)</f>
        <v>0</v>
      </c>
      <c r="BS212" s="24">
        <f ca="1">IFERROR(__xludf.DUMMYFUNCTION("""COMPUTED_VALUE"""),0)</f>
        <v>0</v>
      </c>
      <c r="BT212" s="24">
        <f ca="1">IFERROR(__xludf.DUMMYFUNCTION("""COMPUTED_VALUE"""),0)</f>
        <v>0</v>
      </c>
      <c r="BU212" s="20"/>
      <c r="BV212" s="24">
        <f ca="1">IFERROR(__xludf.DUMMYFUNCTION("""COMPUTED_VALUE"""),0)</f>
        <v>0</v>
      </c>
      <c r="BW212" s="24">
        <f ca="1">IFERROR(__xludf.DUMMYFUNCTION("""COMPUTED_VALUE"""),0)</f>
        <v>0</v>
      </c>
      <c r="BX212" s="24">
        <f ca="1">IFERROR(__xludf.DUMMYFUNCTION("""COMPUTED_VALUE"""),0)</f>
        <v>0</v>
      </c>
      <c r="BY212" s="24">
        <f ca="1">IFERROR(__xludf.DUMMYFUNCTION("""COMPUTED_VALUE"""),0)</f>
        <v>0</v>
      </c>
      <c r="BZ212" s="24">
        <f ca="1">IFERROR(__xludf.DUMMYFUNCTION("""COMPUTED_VALUE"""),0)</f>
        <v>0</v>
      </c>
      <c r="CA212" s="20"/>
      <c r="CB212" s="20"/>
      <c r="CC212" s="20"/>
      <c r="CD212" s="20"/>
      <c r="CE212" s="20"/>
      <c r="CF212" s="20"/>
      <c r="CG212" s="20"/>
      <c r="CH212" s="20"/>
      <c r="CI212" s="20"/>
      <c r="CJ212" s="20"/>
      <c r="CK212" s="20"/>
      <c r="CL212" s="20"/>
      <c r="CM212" s="20"/>
      <c r="CN212" s="20"/>
      <c r="CO212" s="20"/>
      <c r="CP212" s="20"/>
      <c r="CQ212" s="20"/>
      <c r="CR212" s="20"/>
      <c r="CS212" s="20"/>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row>
    <row r="213" spans="1:123" ht="64.5" hidden="1" customHeight="1" x14ac:dyDescent="0.2">
      <c r="A213" s="19"/>
      <c r="B213" s="20" t="str">
        <f ca="1">IFERROR(__xludf.DUMMYFUNCTION("""COMPUTED_VALUE"""),"г.о. Истра")</f>
        <v>г.о. Истра</v>
      </c>
      <c r="C21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3" s="20" t="str">
        <f ca="1">IFERROR(__xludf.DUMMYFUNCTION("""COMPUTED_VALUE"""),"МинЖКХ")</f>
        <v>МинЖКХ</v>
      </c>
      <c r="E213" s="20" t="str">
        <f ca="1">IFERROR(__xludf.DUMMYFUNCTION("""COMPUTED_VALUE"""),"Приобретение, монтаж и ввод в эксплуатацию станций водоочитски на ВЗУ д. Буньково г.о. Истра")</f>
        <v>Приобретение, монтаж и ввод в эксплуатацию станций водоочитски на ВЗУ д. Буньково г.о. Истра</v>
      </c>
      <c r="F213" s="32" t="str">
        <f ca="1">IFERROR(__xludf.DUMMYFUNCTION("""COMPUTED_VALUE"""),"ВЗУ")</f>
        <v>ВЗУ</v>
      </c>
      <c r="G213" s="20" t="str">
        <f ca="1">IFERROR(__xludf.DUMMYFUNCTION("""COMPUTED_VALUE"""),"Н/Л")</f>
        <v>Н/Л</v>
      </c>
      <c r="H213" s="20" t="str">
        <f ca="1">IFERROR(__xludf.DUMMYFUNCTION("""COMPUTED_VALUE"""),"Приобретение, монтаж")</f>
        <v>Приобретение, монтаж</v>
      </c>
      <c r="I213" s="20"/>
      <c r="J213" s="20"/>
      <c r="K213" s="20"/>
      <c r="L213" s="20"/>
      <c r="M213" s="20"/>
      <c r="N213" s="24">
        <f ca="1">IFERROR(__xludf.DUMMYFUNCTION("""COMPUTED_VALUE"""),0)</f>
        <v>0</v>
      </c>
      <c r="O213" s="20"/>
      <c r="P213" s="20"/>
      <c r="Q213" s="20"/>
      <c r="R213" s="20"/>
      <c r="S213" s="20"/>
      <c r="T213" s="20"/>
      <c r="U213" s="24">
        <f ca="1">IFERROR(__xludf.DUMMYFUNCTION("""COMPUTED_VALUE"""),0)</f>
        <v>0</v>
      </c>
      <c r="V213" s="24">
        <f ca="1">IFERROR(__xludf.DUMMYFUNCTION("""COMPUTED_VALUE"""),0)</f>
        <v>0</v>
      </c>
      <c r="W213" s="24">
        <f ca="1">IFERROR(__xludf.DUMMYFUNCTION("""COMPUTED_VALUE"""),0)</f>
        <v>0</v>
      </c>
      <c r="X213" s="24">
        <f ca="1">IFERROR(__xludf.DUMMYFUNCTION("""COMPUTED_VALUE"""),0)</f>
        <v>0</v>
      </c>
      <c r="Y213" s="24">
        <f ca="1">IFERROR(__xludf.DUMMYFUNCTION("""COMPUTED_VALUE"""),0)</f>
        <v>0</v>
      </c>
      <c r="Z213" s="24">
        <f ca="1">IFERROR(__xludf.DUMMYFUNCTION("""COMPUTED_VALUE"""),0)</f>
        <v>0</v>
      </c>
      <c r="AA213" s="20" t="str">
        <f ca="1">IFERROR(__xludf.DUMMYFUNCTION("""COMPUTED_VALUE"""),"10 1 02 60330")</f>
        <v>10 1 02 60330</v>
      </c>
      <c r="AB213" s="20">
        <f ca="1">IFERROR(__xludf.DUMMYFUNCTION("""COMPUTED_VALUE"""),520)</f>
        <v>520</v>
      </c>
      <c r="AC213" s="20" t="str">
        <f ca="1">IFERROR(__xludf.DUMMYFUNCTION("""COMPUTED_VALUE"""),"Не требуется")</f>
        <v>Не требуется</v>
      </c>
      <c r="AD213" s="20" t="str">
        <f ca="1">IFERROR(__xludf.DUMMYFUNCTION("""COMPUTED_VALUE"""),"-")</f>
        <v>-</v>
      </c>
      <c r="AE213" s="20" t="str">
        <f ca="1">IFERROR(__xludf.DUMMYFUNCTION("""COMPUTED_VALUE"""),"-")</f>
        <v>-</v>
      </c>
      <c r="AF213" s="24">
        <f ca="1">IFERROR(__xludf.DUMMYFUNCTION("""COMPUTED_VALUE"""),8301.34)</f>
        <v>8301.34</v>
      </c>
      <c r="AG213" s="20">
        <f ca="1">IFERROR(__xludf.DUMMYFUNCTION("""COMPUTED_VALUE"""),0)</f>
        <v>0</v>
      </c>
      <c r="AH213" s="20">
        <f ca="1">IFERROR(__xludf.DUMMYFUNCTION("""COMPUTED_VALUE"""),5263)</f>
        <v>5263</v>
      </c>
      <c r="AI213" s="20">
        <f ca="1">IFERROR(__xludf.DUMMYFUNCTION("""COMPUTED_VALUE"""),0)</f>
        <v>0</v>
      </c>
      <c r="AJ213" s="20">
        <f ca="1">IFERROR(__xludf.DUMMYFUNCTION("""COMPUTED_VALUE"""),3038.34)</f>
        <v>3038.34</v>
      </c>
      <c r="AK213" s="20">
        <f ca="1">IFERROR(__xludf.DUMMYFUNCTION("""COMPUTED_VALUE"""),0)</f>
        <v>0</v>
      </c>
      <c r="AL213" s="24">
        <f ca="1">IFERROR(__xludf.DUMMYFUNCTION("""COMPUTED_VALUE"""),0)</f>
        <v>0</v>
      </c>
      <c r="AM213" s="20"/>
      <c r="AN213" s="20"/>
      <c r="AO213" s="20"/>
      <c r="AP213" s="20"/>
      <c r="AQ213" s="20"/>
      <c r="AR213" s="24">
        <f ca="1">IFERROR(__xludf.DUMMYFUNCTION("""COMPUTED_VALUE"""),0)</f>
        <v>0</v>
      </c>
      <c r="AS213" s="20"/>
      <c r="AT213" s="20"/>
      <c r="AU213" s="20"/>
      <c r="AV213" s="20"/>
      <c r="AW213" s="20"/>
      <c r="AX213" s="24">
        <f ca="1">IFERROR(__xludf.DUMMYFUNCTION("""COMPUTED_VALUE"""),0)</f>
        <v>0</v>
      </c>
      <c r="AY213" s="24">
        <f ca="1">IFERROR(__xludf.DUMMYFUNCTION("""COMPUTED_VALUE"""),0)</f>
        <v>0</v>
      </c>
      <c r="AZ213" s="24">
        <f ca="1">IFERROR(__xludf.DUMMYFUNCTION("""COMPUTED_VALUE"""),0)</f>
        <v>0</v>
      </c>
      <c r="BA213" s="24">
        <f ca="1">IFERROR(__xludf.DUMMYFUNCTION("""COMPUTED_VALUE"""),0)</f>
        <v>0</v>
      </c>
      <c r="BB213" s="24">
        <f ca="1">IFERROR(__xludf.DUMMYFUNCTION("""COMPUTED_VALUE"""),0)</f>
        <v>0</v>
      </c>
      <c r="BC213" s="20"/>
      <c r="BD213" s="24">
        <f ca="1">IFERROR(__xludf.DUMMYFUNCTION("""COMPUTED_VALUE"""),0)</f>
        <v>0</v>
      </c>
      <c r="BE213" s="24">
        <f ca="1">IFERROR(__xludf.DUMMYFUNCTION("""COMPUTED_VALUE"""),0)</f>
        <v>0</v>
      </c>
      <c r="BF213" s="24">
        <f ca="1">IFERROR(__xludf.DUMMYFUNCTION("""COMPUTED_VALUE"""),0)</f>
        <v>0</v>
      </c>
      <c r="BG213" s="24">
        <f ca="1">IFERROR(__xludf.DUMMYFUNCTION("""COMPUTED_VALUE"""),0)</f>
        <v>0</v>
      </c>
      <c r="BH213" s="24">
        <f ca="1">IFERROR(__xludf.DUMMYFUNCTION("""COMPUTED_VALUE"""),0)</f>
        <v>0</v>
      </c>
      <c r="BI213" s="20"/>
      <c r="BJ213" s="24">
        <f ca="1">IFERROR(__xludf.DUMMYFUNCTION("""COMPUTED_VALUE"""),8301.34)</f>
        <v>8301.34</v>
      </c>
      <c r="BK213" s="24">
        <f ca="1">IFERROR(__xludf.DUMMYFUNCTION("""COMPUTED_VALUE"""),0)</f>
        <v>0</v>
      </c>
      <c r="BL213" s="24">
        <f ca="1">IFERROR(__xludf.DUMMYFUNCTION("""COMPUTED_VALUE"""),5263)</f>
        <v>5263</v>
      </c>
      <c r="BM213" s="24">
        <f ca="1">IFERROR(__xludf.DUMMYFUNCTION("""COMPUTED_VALUE"""),0)</f>
        <v>0</v>
      </c>
      <c r="BN213" s="24">
        <f ca="1">IFERROR(__xludf.DUMMYFUNCTION("""COMPUTED_VALUE"""),3038.34)</f>
        <v>3038.34</v>
      </c>
      <c r="BO213" s="24">
        <f ca="1">IFERROR(__xludf.DUMMYFUNCTION("""COMPUTED_VALUE"""),0)</f>
        <v>0</v>
      </c>
      <c r="BP213" s="24">
        <f ca="1">IFERROR(__xludf.DUMMYFUNCTION("""COMPUTED_VALUE"""),0)</f>
        <v>0</v>
      </c>
      <c r="BQ213" s="24">
        <f ca="1">IFERROR(__xludf.DUMMYFUNCTION("""COMPUTED_VALUE"""),0)</f>
        <v>0</v>
      </c>
      <c r="BR213" s="24">
        <f ca="1">IFERROR(__xludf.DUMMYFUNCTION("""COMPUTED_VALUE"""),0)</f>
        <v>0</v>
      </c>
      <c r="BS213" s="24">
        <f ca="1">IFERROR(__xludf.DUMMYFUNCTION("""COMPUTED_VALUE"""),0)</f>
        <v>0</v>
      </c>
      <c r="BT213" s="24">
        <f ca="1">IFERROR(__xludf.DUMMYFUNCTION("""COMPUTED_VALUE"""),0)</f>
        <v>0</v>
      </c>
      <c r="BU213" s="20"/>
      <c r="BV213" s="24">
        <f ca="1">IFERROR(__xludf.DUMMYFUNCTION("""COMPUTED_VALUE"""),0)</f>
        <v>0</v>
      </c>
      <c r="BW213" s="24">
        <f ca="1">IFERROR(__xludf.DUMMYFUNCTION("""COMPUTED_VALUE"""),0)</f>
        <v>0</v>
      </c>
      <c r="BX213" s="24">
        <f ca="1">IFERROR(__xludf.DUMMYFUNCTION("""COMPUTED_VALUE"""),0)</f>
        <v>0</v>
      </c>
      <c r="BY213" s="24">
        <f ca="1">IFERROR(__xludf.DUMMYFUNCTION("""COMPUTED_VALUE"""),0)</f>
        <v>0</v>
      </c>
      <c r="BZ213" s="24">
        <f ca="1">IFERROR(__xludf.DUMMYFUNCTION("""COMPUTED_VALUE"""),0)</f>
        <v>0</v>
      </c>
      <c r="CA213" s="20"/>
      <c r="CB213" s="20"/>
      <c r="CC213" s="20"/>
      <c r="CD213" s="20"/>
      <c r="CE213" s="20"/>
      <c r="CF213" s="20"/>
      <c r="CG213" s="20"/>
      <c r="CH213" s="20"/>
      <c r="CI213" s="20"/>
      <c r="CJ213" s="20"/>
      <c r="CK213" s="20"/>
      <c r="CL213" s="20"/>
      <c r="CM213" s="20"/>
      <c r="CN213" s="20"/>
      <c r="CO213" s="20"/>
      <c r="CP213" s="20"/>
      <c r="CQ213" s="20"/>
      <c r="CR213" s="20"/>
      <c r="CS213" s="20"/>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row>
    <row r="214" spans="1:123" ht="64.5" customHeight="1" x14ac:dyDescent="0.2">
      <c r="A214" s="19"/>
      <c r="B214" s="20" t="str">
        <f ca="1">IFERROR(__xludf.DUMMYFUNCTION("""COMPUTED_VALUE"""),"г.о. Пушкинский")</f>
        <v>г.о. Пушкинский</v>
      </c>
      <c r="C21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4" s="20" t="str">
        <f ca="1">IFERROR(__xludf.DUMMYFUNCTION("""COMPUTED_VALUE"""),"МинЖКХ")</f>
        <v>МинЖКХ</v>
      </c>
      <c r="E214" s="20" t="str">
        <f ca="1">IFERROR(__xludf.DUMMYFUNCTION("""COMPUTED_VALUE"""),"Приобретение, монтаж и ввод в эксплуатацию станции водоочистки на ВЗУ №27 по адресу: Московская область, Пушкинский городской округ, р.п. Софрино, ул. Сетевая")</f>
        <v>Приобретение, монтаж и ввод в эксплуатацию станции водоочистки на ВЗУ №27 по адресу: Московская область, Пушкинский городской округ, р.п. Софрино, ул. Сетевая</v>
      </c>
      <c r="F214" s="32" t="str">
        <f ca="1">IFERROR(__xludf.DUMMYFUNCTION("""COMPUTED_VALUE"""),"ВЗУ")</f>
        <v>ВЗУ</v>
      </c>
      <c r="G214" s="20">
        <f ca="1">IFERROR(__xludf.DUMMYFUNCTION("""COMPUTED_VALUE"""),2020)</f>
        <v>2020</v>
      </c>
      <c r="H214" s="20" t="str">
        <f ca="1">IFERROR(__xludf.DUMMYFUNCTION("""COMPUTED_VALUE"""),"Приобретение, монтаж")</f>
        <v>Приобретение, монтаж</v>
      </c>
      <c r="I214" s="23">
        <f ca="1">IFERROR(__xludf.DUMMYFUNCTION("""COMPUTED_VALUE"""),1)</f>
        <v>1</v>
      </c>
      <c r="J214" s="20" t="str">
        <f ca="1">IFERROR(__xludf.DUMMYFUNCTION("""COMPUTED_VALUE"""),"ЗАВЕРШЕНО
Аварийный контракт. Включено в ГП для возмещения затрат.")</f>
        <v>ЗАВЕРШЕНО
Аварийный контракт. Включено в ГП для возмещения затрат.</v>
      </c>
      <c r="K214" s="20">
        <f ca="1">IFERROR(__xludf.DUMMYFUNCTION("""COMPUTED_VALUE"""),559)</f>
        <v>559</v>
      </c>
      <c r="L214" s="20">
        <f ca="1">IFERROR(__xludf.DUMMYFUNCTION("""COMPUTED_VALUE"""),559)</f>
        <v>559</v>
      </c>
      <c r="M214" s="20"/>
      <c r="N214" s="24">
        <f ca="1">IFERROR(__xludf.DUMMYFUNCTION("""COMPUTED_VALUE"""),3987.93)</f>
        <v>3987.93</v>
      </c>
      <c r="O214" s="20"/>
      <c r="P214" s="24">
        <f ca="1">IFERROR(__xludf.DUMMYFUNCTION("""COMPUTED_VALUE"""),3014.93)</f>
        <v>3014.93</v>
      </c>
      <c r="Q214" s="20"/>
      <c r="R214" s="24">
        <f ca="1">IFERROR(__xludf.DUMMYFUNCTION("""COMPUTED_VALUE"""),973)</f>
        <v>973</v>
      </c>
      <c r="S214" s="20"/>
      <c r="T214" s="20"/>
      <c r="U214" s="24">
        <f ca="1">IFERROR(__xludf.DUMMYFUNCTION("""COMPUTED_VALUE"""),0.0700000000001637)</f>
        <v>7.0000000000163695E-2</v>
      </c>
      <c r="V214" s="24">
        <f ca="1">IFERROR(__xludf.DUMMYFUNCTION("""COMPUTED_VALUE"""),0)</f>
        <v>0</v>
      </c>
      <c r="W214" s="24">
        <f ca="1">IFERROR(__xludf.DUMMYFUNCTION("""COMPUTED_VALUE"""),0.0700000000001637)</f>
        <v>7.0000000000163695E-2</v>
      </c>
      <c r="X214" s="24">
        <f ca="1">IFERROR(__xludf.DUMMYFUNCTION("""COMPUTED_VALUE"""),0)</f>
        <v>0</v>
      </c>
      <c r="Y214" s="24">
        <f ca="1">IFERROR(__xludf.DUMMYFUNCTION("""COMPUTED_VALUE"""),0)</f>
        <v>0</v>
      </c>
      <c r="Z214" s="24">
        <f ca="1">IFERROR(__xludf.DUMMYFUNCTION("""COMPUTED_VALUE"""),0)</f>
        <v>0</v>
      </c>
      <c r="AA214" s="20" t="str">
        <f ca="1">IFERROR(__xludf.DUMMYFUNCTION("""COMPUTED_VALUE"""),"10 1 02 60330")</f>
        <v>10 1 02 60330</v>
      </c>
      <c r="AB214" s="20">
        <f ca="1">IFERROR(__xludf.DUMMYFUNCTION("""COMPUTED_VALUE"""),520)</f>
        <v>520</v>
      </c>
      <c r="AC214" s="20" t="str">
        <f ca="1">IFERROR(__xludf.DUMMYFUNCTION("""COMPUTED_VALUE"""),"Не требуется")</f>
        <v>Не требуется</v>
      </c>
      <c r="AD214" s="20" t="str">
        <f ca="1">IFERROR(__xludf.DUMMYFUNCTION("""COMPUTED_VALUE"""),"-")</f>
        <v>-</v>
      </c>
      <c r="AE214" s="20" t="str">
        <f ca="1">IFERROR(__xludf.DUMMYFUNCTION("""COMPUTED_VALUE"""),"-")</f>
        <v>-</v>
      </c>
      <c r="AF214" s="24">
        <f ca="1">IFERROR(__xludf.DUMMYFUNCTION("""COMPUTED_VALUE"""),3988)</f>
        <v>3988</v>
      </c>
      <c r="AG214" s="20">
        <f ca="1">IFERROR(__xludf.DUMMYFUNCTION("""COMPUTED_VALUE"""),0)</f>
        <v>0</v>
      </c>
      <c r="AH214" s="20">
        <f ca="1">IFERROR(__xludf.DUMMYFUNCTION("""COMPUTED_VALUE"""),3015)</f>
        <v>3015</v>
      </c>
      <c r="AI214" s="20">
        <f ca="1">IFERROR(__xludf.DUMMYFUNCTION("""COMPUTED_VALUE"""),0)</f>
        <v>0</v>
      </c>
      <c r="AJ214" s="20">
        <f ca="1">IFERROR(__xludf.DUMMYFUNCTION("""COMPUTED_VALUE"""),973)</f>
        <v>973</v>
      </c>
      <c r="AK214" s="20">
        <f ca="1">IFERROR(__xludf.DUMMYFUNCTION("""COMPUTED_VALUE"""),0)</f>
        <v>0</v>
      </c>
      <c r="AL214" s="24">
        <f ca="1">IFERROR(__xludf.DUMMYFUNCTION("""COMPUTED_VALUE"""),0)</f>
        <v>0</v>
      </c>
      <c r="AM214" s="20"/>
      <c r="AN214" s="20"/>
      <c r="AO214" s="20"/>
      <c r="AP214" s="20"/>
      <c r="AQ214" s="20"/>
      <c r="AR214" s="24">
        <f ca="1">IFERROR(__xludf.DUMMYFUNCTION("""COMPUTED_VALUE"""),0)</f>
        <v>0</v>
      </c>
      <c r="AS214" s="20"/>
      <c r="AT214" s="20"/>
      <c r="AU214" s="20"/>
      <c r="AV214" s="20"/>
      <c r="AW214" s="20"/>
      <c r="AX214" s="24">
        <f ca="1">IFERROR(__xludf.DUMMYFUNCTION("""COMPUTED_VALUE"""),3988)</f>
        <v>3988</v>
      </c>
      <c r="AY214" s="24">
        <f ca="1">IFERROR(__xludf.DUMMYFUNCTION("""COMPUTED_VALUE"""),0)</f>
        <v>0</v>
      </c>
      <c r="AZ214" s="24">
        <f ca="1">IFERROR(__xludf.DUMMYFUNCTION("""COMPUTED_VALUE"""),3015)</f>
        <v>3015</v>
      </c>
      <c r="BA214" s="24">
        <f ca="1">IFERROR(__xludf.DUMMYFUNCTION("""COMPUTED_VALUE"""),0)</f>
        <v>0</v>
      </c>
      <c r="BB214" s="24">
        <f ca="1">IFERROR(__xludf.DUMMYFUNCTION("""COMPUTED_VALUE"""),973)</f>
        <v>973</v>
      </c>
      <c r="BC214" s="20"/>
      <c r="BD214" s="24">
        <f ca="1">IFERROR(__xludf.DUMMYFUNCTION("""COMPUTED_VALUE"""),0)</f>
        <v>0</v>
      </c>
      <c r="BE214" s="24">
        <f ca="1">IFERROR(__xludf.DUMMYFUNCTION("""COMPUTED_VALUE"""),0)</f>
        <v>0</v>
      </c>
      <c r="BF214" s="24">
        <f ca="1">IFERROR(__xludf.DUMMYFUNCTION("""COMPUTED_VALUE"""),0)</f>
        <v>0</v>
      </c>
      <c r="BG214" s="24">
        <f ca="1">IFERROR(__xludf.DUMMYFUNCTION("""COMPUTED_VALUE"""),0)</f>
        <v>0</v>
      </c>
      <c r="BH214" s="24">
        <f ca="1">IFERROR(__xludf.DUMMYFUNCTION("""COMPUTED_VALUE"""),0)</f>
        <v>0</v>
      </c>
      <c r="BI214" s="20"/>
      <c r="BJ214" s="24">
        <f ca="1">IFERROR(__xludf.DUMMYFUNCTION("""COMPUTED_VALUE"""),0)</f>
        <v>0</v>
      </c>
      <c r="BK214" s="24">
        <f ca="1">IFERROR(__xludf.DUMMYFUNCTION("""COMPUTED_VALUE"""),0)</f>
        <v>0</v>
      </c>
      <c r="BL214" s="24">
        <f ca="1">IFERROR(__xludf.DUMMYFUNCTION("""COMPUTED_VALUE"""),0)</f>
        <v>0</v>
      </c>
      <c r="BM214" s="24">
        <f ca="1">IFERROR(__xludf.DUMMYFUNCTION("""COMPUTED_VALUE"""),0)</f>
        <v>0</v>
      </c>
      <c r="BN214" s="24">
        <f ca="1">IFERROR(__xludf.DUMMYFUNCTION("""COMPUTED_VALUE"""),0)</f>
        <v>0</v>
      </c>
      <c r="BO214" s="20"/>
      <c r="BP214" s="24">
        <f ca="1">IFERROR(__xludf.DUMMYFUNCTION("""COMPUTED_VALUE"""),0)</f>
        <v>0</v>
      </c>
      <c r="BQ214" s="24">
        <f ca="1">IFERROR(__xludf.DUMMYFUNCTION("""COMPUTED_VALUE"""),0)</f>
        <v>0</v>
      </c>
      <c r="BR214" s="24">
        <f ca="1">IFERROR(__xludf.DUMMYFUNCTION("""COMPUTED_VALUE"""),0)</f>
        <v>0</v>
      </c>
      <c r="BS214" s="24">
        <f ca="1">IFERROR(__xludf.DUMMYFUNCTION("""COMPUTED_VALUE"""),0)</f>
        <v>0</v>
      </c>
      <c r="BT214" s="24">
        <f ca="1">IFERROR(__xludf.DUMMYFUNCTION("""COMPUTED_VALUE"""),0)</f>
        <v>0</v>
      </c>
      <c r="BU214" s="20"/>
      <c r="BV214" s="24">
        <f ca="1">IFERROR(__xludf.DUMMYFUNCTION("""COMPUTED_VALUE"""),0)</f>
        <v>0</v>
      </c>
      <c r="BW214" s="24">
        <f ca="1">IFERROR(__xludf.DUMMYFUNCTION("""COMPUTED_VALUE"""),0)</f>
        <v>0</v>
      </c>
      <c r="BX214" s="24">
        <f ca="1">IFERROR(__xludf.DUMMYFUNCTION("""COMPUTED_VALUE"""),0)</f>
        <v>0</v>
      </c>
      <c r="BY214" s="24">
        <f ca="1">IFERROR(__xludf.DUMMYFUNCTION("""COMPUTED_VALUE"""),0)</f>
        <v>0</v>
      </c>
      <c r="BZ214" s="24">
        <f ca="1">IFERROR(__xludf.DUMMYFUNCTION("""COMPUTED_VALUE"""),0)</f>
        <v>0</v>
      </c>
      <c r="CA214" s="20"/>
      <c r="CB214" s="20"/>
      <c r="CC214" s="20"/>
      <c r="CD214" s="20"/>
      <c r="CE214" s="20"/>
      <c r="CF214" s="20"/>
      <c r="CG214" s="20"/>
      <c r="CH214" s="20"/>
      <c r="CI214" s="20"/>
      <c r="CJ214" s="20"/>
      <c r="CK214" s="20"/>
      <c r="CL214" s="20"/>
      <c r="CM214" s="20"/>
      <c r="CN214" s="20"/>
      <c r="CO214" s="20"/>
      <c r="CP214" s="20"/>
      <c r="CQ214" s="20"/>
      <c r="CR214" s="20"/>
      <c r="CS214" s="20"/>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row>
    <row r="215" spans="1:123" ht="64.5" customHeight="1" x14ac:dyDescent="0.2">
      <c r="A215" s="19"/>
      <c r="B215" s="20" t="str">
        <f ca="1">IFERROR(__xludf.DUMMYFUNCTION("""COMPUTED_VALUE"""),"МинЖКХ г.о. Можайск")</f>
        <v>МинЖКХ г.о. Можайск</v>
      </c>
      <c r="C215"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5" s="20" t="str">
        <f ca="1">IFERROR(__xludf.DUMMYFUNCTION("""COMPUTED_VALUE"""),"МинЖКХ")</f>
        <v>МинЖКХ</v>
      </c>
      <c r="E215" s="20" t="str">
        <f ca="1">IFERROR(__xludf.DUMMYFUNCTION("""COMPUTED_VALUE"""),"Реконструкция ВЗУ, расположенного по адресу: Московская область, Можайский район, с. Тропарево  (в т.ч. ПИР)")</f>
        <v>Реконструкция ВЗУ, расположенного по адресу: Московская область, Можайский район, с. Тропарево  (в т.ч. ПИР)</v>
      </c>
      <c r="F215" s="32" t="str">
        <f ca="1">IFERROR(__xludf.DUMMYFUNCTION("""COMPUTED_VALUE"""),"ВЗУ")</f>
        <v>ВЗУ</v>
      </c>
      <c r="G215" s="20" t="str">
        <f ca="1">IFERROR(__xludf.DUMMYFUNCTION("""COMPUTED_VALUE"""),"2020-2022")</f>
        <v>2020-2022</v>
      </c>
      <c r="H215" s="20" t="str">
        <f ca="1">IFERROR(__xludf.DUMMYFUNCTION("""COMPUTED_VALUE"""),"СМР")</f>
        <v>СМР</v>
      </c>
      <c r="I215" s="23">
        <f ca="1">IFERROR(__xludf.DUMMYFUNCTION("""COMPUTED_VALUE"""),0)</f>
        <v>0</v>
      </c>
      <c r="J215" s="20" t="str">
        <f ca="1">IFERROR(__xludf.DUMMYFUNCTION("""COMPUTED_VALUE"""),"Получение положительного заключения МОГЭ получено. Перенос лимитов на 2022 год.")</f>
        <v>Получение положительного заключения МОГЭ получено. Перенос лимитов на 2022 год.</v>
      </c>
      <c r="K215" s="20"/>
      <c r="L215" s="20"/>
      <c r="M215" s="20"/>
      <c r="N215" s="24">
        <f ca="1">IFERROR(__xludf.DUMMYFUNCTION("""COMPUTED_VALUE"""),4790)</f>
        <v>4790</v>
      </c>
      <c r="O215" s="20"/>
      <c r="P215" s="24">
        <f ca="1">IFERROR(__xludf.DUMMYFUNCTION("""COMPUTED_VALUE"""),4790)</f>
        <v>4790</v>
      </c>
      <c r="Q215" s="20"/>
      <c r="R215" s="20"/>
      <c r="S215" s="20"/>
      <c r="T215" s="20"/>
      <c r="U215" s="24">
        <f ca="1">IFERROR(__xludf.DUMMYFUNCTION("""COMPUTED_VALUE"""),0)</f>
        <v>0</v>
      </c>
      <c r="V215" s="24">
        <f ca="1">IFERROR(__xludf.DUMMYFUNCTION("""COMPUTED_VALUE"""),0)</f>
        <v>0</v>
      </c>
      <c r="W215" s="24">
        <f ca="1">IFERROR(__xludf.DUMMYFUNCTION("""COMPUTED_VALUE"""),0)</f>
        <v>0</v>
      </c>
      <c r="X215" s="24">
        <f ca="1">IFERROR(__xludf.DUMMYFUNCTION("""COMPUTED_VALUE"""),0)</f>
        <v>0</v>
      </c>
      <c r="Y215" s="24">
        <f ca="1">IFERROR(__xludf.DUMMYFUNCTION("""COMPUTED_VALUE"""),0)</f>
        <v>0</v>
      </c>
      <c r="Z215" s="24">
        <f ca="1">IFERROR(__xludf.DUMMYFUNCTION("""COMPUTED_VALUE"""),0)</f>
        <v>0</v>
      </c>
      <c r="AA215" s="20" t="str">
        <f ca="1">IFERROR(__xludf.DUMMYFUNCTION("""COMPUTED_VALUE"""),"10 2 01 40010")</f>
        <v>10 2 01 40010</v>
      </c>
      <c r="AB215" s="20">
        <f ca="1">IFERROR(__xludf.DUMMYFUNCTION("""COMPUTED_VALUE"""),414)</f>
        <v>414</v>
      </c>
      <c r="AC215" s="20" t="str">
        <f ca="1">IFERROR(__xludf.DUMMYFUNCTION("""COMPUTED_VALUE"""),"Нет")</f>
        <v>Нет</v>
      </c>
      <c r="AD215" s="25">
        <f ca="1">IFERROR(__xludf.DUMMYFUNCTION("""COMPUTED_VALUE"""),44175)</f>
        <v>44175</v>
      </c>
      <c r="AE215" s="20" t="str">
        <f ca="1">IFERROR(__xludf.DUMMYFUNCTION("""COMPUTED_VALUE"""),"Отсутствует")</f>
        <v>Отсутствует</v>
      </c>
      <c r="AF215" s="24">
        <f ca="1">IFERROR(__xludf.DUMMYFUNCTION("""COMPUTED_VALUE"""),88290)</f>
        <v>88290</v>
      </c>
      <c r="AG215" s="20">
        <f ca="1">IFERROR(__xludf.DUMMYFUNCTION("""COMPUTED_VALUE"""),0)</f>
        <v>0</v>
      </c>
      <c r="AH215" s="20">
        <f ca="1">IFERROR(__xludf.DUMMYFUNCTION("""COMPUTED_VALUE"""),88290)</f>
        <v>88290</v>
      </c>
      <c r="AI215" s="20">
        <f ca="1">IFERROR(__xludf.DUMMYFUNCTION("""COMPUTED_VALUE"""),0)</f>
        <v>0</v>
      </c>
      <c r="AJ215" s="20">
        <f ca="1">IFERROR(__xludf.DUMMYFUNCTION("""COMPUTED_VALUE"""),0)</f>
        <v>0</v>
      </c>
      <c r="AK215" s="20">
        <f ca="1">IFERROR(__xludf.DUMMYFUNCTION("""COMPUTED_VALUE"""),0)</f>
        <v>0</v>
      </c>
      <c r="AL215" s="24">
        <f ca="1">IFERROR(__xludf.DUMMYFUNCTION("""COMPUTED_VALUE"""),0)</f>
        <v>0</v>
      </c>
      <c r="AM215" s="20"/>
      <c r="AN215" s="20"/>
      <c r="AO215" s="20"/>
      <c r="AP215" s="20"/>
      <c r="AQ215" s="20"/>
      <c r="AR215" s="24">
        <f ca="1">IFERROR(__xludf.DUMMYFUNCTION("""COMPUTED_VALUE"""),0)</f>
        <v>0</v>
      </c>
      <c r="AS215" s="20"/>
      <c r="AT215" s="20"/>
      <c r="AU215" s="20"/>
      <c r="AV215" s="20"/>
      <c r="AW215" s="20"/>
      <c r="AX215" s="24">
        <f ca="1">IFERROR(__xludf.DUMMYFUNCTION("""COMPUTED_VALUE"""),4790)</f>
        <v>4790</v>
      </c>
      <c r="AY215" s="24">
        <f ca="1">IFERROR(__xludf.DUMMYFUNCTION("""COMPUTED_VALUE"""),0)</f>
        <v>0</v>
      </c>
      <c r="AZ215" s="24">
        <f ca="1">IFERROR(__xludf.DUMMYFUNCTION("""COMPUTED_VALUE"""),4790)</f>
        <v>4790</v>
      </c>
      <c r="BA215" s="24">
        <f ca="1">IFERROR(__xludf.DUMMYFUNCTION("""COMPUTED_VALUE"""),0)</f>
        <v>0</v>
      </c>
      <c r="BB215" s="24">
        <f ca="1">IFERROR(__xludf.DUMMYFUNCTION("""COMPUTED_VALUE"""),0)</f>
        <v>0</v>
      </c>
      <c r="BC215" s="20"/>
      <c r="BD215" s="24">
        <f ca="1">IFERROR(__xludf.DUMMYFUNCTION("""COMPUTED_VALUE"""),16700)</f>
        <v>16700</v>
      </c>
      <c r="BE215" s="24">
        <f ca="1">IFERROR(__xludf.DUMMYFUNCTION("""COMPUTED_VALUE"""),0)</f>
        <v>0</v>
      </c>
      <c r="BF215" s="24">
        <f ca="1">IFERROR(__xludf.DUMMYFUNCTION("""COMPUTED_VALUE"""),16700)</f>
        <v>16700</v>
      </c>
      <c r="BG215" s="24">
        <f ca="1">IFERROR(__xludf.DUMMYFUNCTION("""COMPUTED_VALUE"""),0)</f>
        <v>0</v>
      </c>
      <c r="BH215" s="24">
        <f ca="1">IFERROR(__xludf.DUMMYFUNCTION("""COMPUTED_VALUE"""),0)</f>
        <v>0</v>
      </c>
      <c r="BI215" s="20"/>
      <c r="BJ215" s="24">
        <f ca="1">IFERROR(__xludf.DUMMYFUNCTION("""COMPUTED_VALUE"""),66800)</f>
        <v>66800</v>
      </c>
      <c r="BK215" s="24">
        <f ca="1">IFERROR(__xludf.DUMMYFUNCTION("""COMPUTED_VALUE"""),0)</f>
        <v>0</v>
      </c>
      <c r="BL215" s="24">
        <f ca="1">IFERROR(__xludf.DUMMYFUNCTION("""COMPUTED_VALUE"""),66800)</f>
        <v>66800</v>
      </c>
      <c r="BM215" s="24">
        <f ca="1">IFERROR(__xludf.DUMMYFUNCTION("""COMPUTED_VALUE"""),0)</f>
        <v>0</v>
      </c>
      <c r="BN215" s="24">
        <f ca="1">IFERROR(__xludf.DUMMYFUNCTION("""COMPUTED_VALUE"""),0)</f>
        <v>0</v>
      </c>
      <c r="BO215" s="20"/>
      <c r="BP215" s="24">
        <f ca="1">IFERROR(__xludf.DUMMYFUNCTION("""COMPUTED_VALUE"""),0)</f>
        <v>0</v>
      </c>
      <c r="BQ215" s="24">
        <f ca="1">IFERROR(__xludf.DUMMYFUNCTION("""COMPUTED_VALUE"""),0)</f>
        <v>0</v>
      </c>
      <c r="BR215" s="24">
        <f ca="1">IFERROR(__xludf.DUMMYFUNCTION("""COMPUTED_VALUE"""),0)</f>
        <v>0</v>
      </c>
      <c r="BS215" s="24">
        <f ca="1">IFERROR(__xludf.DUMMYFUNCTION("""COMPUTED_VALUE"""),0)</f>
        <v>0</v>
      </c>
      <c r="BT215" s="24">
        <f ca="1">IFERROR(__xludf.DUMMYFUNCTION("""COMPUTED_VALUE"""),0)</f>
        <v>0</v>
      </c>
      <c r="BU215" s="20"/>
      <c r="BV215" s="24">
        <f ca="1">IFERROR(__xludf.DUMMYFUNCTION("""COMPUTED_VALUE"""),0)</f>
        <v>0</v>
      </c>
      <c r="BW215" s="24">
        <f ca="1">IFERROR(__xludf.DUMMYFUNCTION("""COMPUTED_VALUE"""),0)</f>
        <v>0</v>
      </c>
      <c r="BX215" s="24">
        <f ca="1">IFERROR(__xludf.DUMMYFUNCTION("""COMPUTED_VALUE"""),0)</f>
        <v>0</v>
      </c>
      <c r="BY215" s="24">
        <f ca="1">IFERROR(__xludf.DUMMYFUNCTION("""COMPUTED_VALUE"""),0)</f>
        <v>0</v>
      </c>
      <c r="BZ215" s="24">
        <f ca="1">IFERROR(__xludf.DUMMYFUNCTION("""COMPUTED_VALUE"""),0)</f>
        <v>0</v>
      </c>
      <c r="CA215" s="20"/>
      <c r="CB215" s="20"/>
      <c r="CC215" s="26">
        <f ca="1">IFERROR(__xludf.DUMMYFUNCTION("""COMPUTED_VALUE"""),43606)</f>
        <v>43606</v>
      </c>
      <c r="CD215" s="20" t="str">
        <f ca="1">IFERROR(__xludf.DUMMYFUNCTION("""COMPUTED_VALUE"""),"0148200005519000011")</f>
        <v>0148200005519000011</v>
      </c>
      <c r="CE215" s="26">
        <f ca="1">IFERROR(__xludf.DUMMYFUNCTION("""COMPUTED_VALUE"""),43649)</f>
        <v>43649</v>
      </c>
      <c r="CF215" s="20" t="str">
        <f ca="1">IFERROR(__xludf.DUMMYFUNCTION("""COMPUTED_VALUE"""),"170200-19")</f>
        <v>170200-19</v>
      </c>
      <c r="CG215" s="20" t="str">
        <f ca="1">IFERROR(__xludf.DUMMYFUNCTION("""COMPUTED_VALUE"""),"4 790 000,00 ")</f>
        <v xml:space="preserve">4 790 000,00 </v>
      </c>
      <c r="CH215" s="20" t="str">
        <f ca="1">IFERROR(__xludf.DUMMYFUNCTION("""COMPUTED_VALUE"""),"ООО «Горно-металлургический проект»")</f>
        <v>ООО «Горно-металлургический проект»</v>
      </c>
      <c r="CI215" s="27" t="str">
        <f ca="1">IFERROR(__xludf.DUMMYFUNCTION("""COMPUTED_VALUE"""),"https://zakupki.gov.ru/epz/contract/contractCard/common-info.html?reestrNumber=2502413966719000005&amp;backUrl=f5c9b410-aca6-45c3-9bce-09883b720338")</f>
        <v>https://zakupki.gov.ru/epz/contract/contractCard/common-info.html?reestrNumber=2502413966719000005&amp;backUrl=f5c9b410-aca6-45c3-9bce-09883b720338</v>
      </c>
      <c r="CJ215" s="26">
        <f ca="1">IFERROR(__xludf.DUMMYFUNCTION("""COMPUTED_VALUE"""),43922)</f>
        <v>43922</v>
      </c>
      <c r="CK215" s="26">
        <f ca="1">IFERROR(__xludf.DUMMYFUNCTION("""COMPUTED_VALUE"""),44070)</f>
        <v>44070</v>
      </c>
      <c r="CL215" s="20" t="str">
        <f ca="1">IFERROR(__xludf.DUMMYFUNCTION("""COMPUTED_VALUE"""),"50-1-1-3-1360-20")</f>
        <v>50-1-1-3-1360-20</v>
      </c>
      <c r="CM215" s="20"/>
      <c r="CN215" s="20"/>
      <c r="CO215" s="20"/>
      <c r="CP215" s="20"/>
      <c r="CQ215" s="20"/>
      <c r="CR215" s="20"/>
      <c r="CS215" s="20"/>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row>
    <row r="216" spans="1:123" ht="64.5" customHeight="1" x14ac:dyDescent="0.2">
      <c r="A216" s="19"/>
      <c r="B216" s="20" t="str">
        <f ca="1">IFERROR(__xludf.DUMMYFUNCTION("""COMPUTED_VALUE"""),"МинЖКХ г.о. Можайск")</f>
        <v>МинЖКХ г.о. Можайск</v>
      </c>
      <c r="C216"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6" s="20" t="str">
        <f ca="1">IFERROR(__xludf.DUMMYFUNCTION("""COMPUTED_VALUE"""),"МинЖКХ")</f>
        <v>МинЖКХ</v>
      </c>
      <c r="E216" s="20" t="str">
        <f ca="1">IFERROR(__xludf.DUMMYFUNCTION("""COMPUTED_VALUE"""),"Реконструкция   ВЗУ, расположенного по адресу: Московская область, Можайский район, Красный Балтиец  (в т.ч. ПИР)")</f>
        <v>Реконструкция   ВЗУ, расположенного по адресу: Московская область, Можайский район, Красный Балтиец  (в т.ч. ПИР)</v>
      </c>
      <c r="F216" s="32" t="str">
        <f ca="1">IFERROR(__xludf.DUMMYFUNCTION("""COMPUTED_VALUE"""),"ВЗУ")</f>
        <v>ВЗУ</v>
      </c>
      <c r="G216" s="20">
        <f ca="1">IFERROR(__xludf.DUMMYFUNCTION("""COMPUTED_VALUE"""),2020)</f>
        <v>2020</v>
      </c>
      <c r="H216" s="20" t="str">
        <f ca="1">IFERROR(__xludf.DUMMYFUNCTION("""COMPUTED_VALUE"""),"СМР")</f>
        <v>СМР</v>
      </c>
      <c r="I216" s="23">
        <f ca="1">IFERROR(__xludf.DUMMYFUNCTION("""COMPUTED_VALUE"""),0.6)</f>
        <v>0.6</v>
      </c>
      <c r="J216" s="20" t="str">
        <f ca="1">IFERROR(__xludf.DUMMYFUNCTION("""COMPUTED_VALUE"""),"Выполнен демонтаж водонапорной башни. Ведутся работы по монтажу ж/б основания и бурения скважины. Оборудование на ВЗУ закуплено. ")</f>
        <v xml:space="preserve">Выполнен демонтаж водонапорной башни. Ведутся работы по монтажу ж/б основания и бурения скважины. Оборудование на ВЗУ закуплено. </v>
      </c>
      <c r="K216" s="20"/>
      <c r="L216" s="20"/>
      <c r="M216" s="20"/>
      <c r="N216" s="24">
        <f ca="1">IFERROR(__xludf.DUMMYFUNCTION("""COMPUTED_VALUE"""),0)</f>
        <v>0</v>
      </c>
      <c r="O216" s="20"/>
      <c r="P216" s="24">
        <f ca="1">IFERROR(__xludf.DUMMYFUNCTION("""COMPUTED_VALUE"""),0)</f>
        <v>0</v>
      </c>
      <c r="Q216" s="20"/>
      <c r="R216" s="20"/>
      <c r="S216" s="20"/>
      <c r="T216" s="20"/>
      <c r="U216" s="24">
        <f ca="1">IFERROR(__xludf.DUMMYFUNCTION("""COMPUTED_VALUE"""),30025)</f>
        <v>30025</v>
      </c>
      <c r="V216" s="24">
        <f ca="1">IFERROR(__xludf.DUMMYFUNCTION("""COMPUTED_VALUE"""),0)</f>
        <v>0</v>
      </c>
      <c r="W216" s="24">
        <f ca="1">IFERROR(__xludf.DUMMYFUNCTION("""COMPUTED_VALUE"""),30025)</f>
        <v>30025</v>
      </c>
      <c r="X216" s="24">
        <f ca="1">IFERROR(__xludf.DUMMYFUNCTION("""COMPUTED_VALUE"""),0)</f>
        <v>0</v>
      </c>
      <c r="Y216" s="24">
        <f ca="1">IFERROR(__xludf.DUMMYFUNCTION("""COMPUTED_VALUE"""),0)</f>
        <v>0</v>
      </c>
      <c r="Z216" s="24">
        <f ca="1">IFERROR(__xludf.DUMMYFUNCTION("""COMPUTED_VALUE"""),0)</f>
        <v>0</v>
      </c>
      <c r="AA216" s="20" t="str">
        <f ca="1">IFERROR(__xludf.DUMMYFUNCTION("""COMPUTED_VALUE"""),"10 1 02 40010")</f>
        <v>10 1 02 40010</v>
      </c>
      <c r="AB216" s="20">
        <f ca="1">IFERROR(__xludf.DUMMYFUNCTION("""COMPUTED_VALUE"""),414)</f>
        <v>414</v>
      </c>
      <c r="AC216" s="20" t="str">
        <f ca="1">IFERROR(__xludf.DUMMYFUNCTION("""COMPUTED_VALUE"""),"Нет")</f>
        <v>Нет</v>
      </c>
      <c r="AD216" s="25">
        <f ca="1">IFERROR(__xludf.DUMMYFUNCTION("""COMPUTED_VALUE"""),44175)</f>
        <v>44175</v>
      </c>
      <c r="AE216" s="20" t="str">
        <f ca="1">IFERROR(__xludf.DUMMYFUNCTION("""COMPUTED_VALUE"""),"Отсутствует")</f>
        <v>Отсутствует</v>
      </c>
      <c r="AF216" s="24">
        <f ca="1">IFERROR(__xludf.DUMMYFUNCTION("""COMPUTED_VALUE"""),30025)</f>
        <v>30025</v>
      </c>
      <c r="AG216" s="20">
        <f ca="1">IFERROR(__xludf.DUMMYFUNCTION("""COMPUTED_VALUE"""),0)</f>
        <v>0</v>
      </c>
      <c r="AH216" s="20">
        <f ca="1">IFERROR(__xludf.DUMMYFUNCTION("""COMPUTED_VALUE"""),30025)</f>
        <v>30025</v>
      </c>
      <c r="AI216" s="20">
        <f ca="1">IFERROR(__xludf.DUMMYFUNCTION("""COMPUTED_VALUE"""),0)</f>
        <v>0</v>
      </c>
      <c r="AJ216" s="20">
        <f ca="1">IFERROR(__xludf.DUMMYFUNCTION("""COMPUTED_VALUE"""),0)</f>
        <v>0</v>
      </c>
      <c r="AK216" s="20">
        <f ca="1">IFERROR(__xludf.DUMMYFUNCTION("""COMPUTED_VALUE"""),0)</f>
        <v>0</v>
      </c>
      <c r="AL216" s="24">
        <f ca="1">IFERROR(__xludf.DUMMYFUNCTION("""COMPUTED_VALUE"""),0)</f>
        <v>0</v>
      </c>
      <c r="AM216" s="20"/>
      <c r="AN216" s="20"/>
      <c r="AO216" s="20"/>
      <c r="AP216" s="20"/>
      <c r="AQ216" s="20"/>
      <c r="AR216" s="24">
        <f ca="1">IFERROR(__xludf.DUMMYFUNCTION("""COMPUTED_VALUE"""),0)</f>
        <v>0</v>
      </c>
      <c r="AS216" s="20"/>
      <c r="AT216" s="20"/>
      <c r="AU216" s="20"/>
      <c r="AV216" s="20"/>
      <c r="AW216" s="20"/>
      <c r="AX216" s="24">
        <f ca="1">IFERROR(__xludf.DUMMYFUNCTION("""COMPUTED_VALUE"""),30025)</f>
        <v>30025</v>
      </c>
      <c r="AY216" s="24">
        <f ca="1">IFERROR(__xludf.DUMMYFUNCTION("""COMPUTED_VALUE"""),0)</f>
        <v>0</v>
      </c>
      <c r="AZ216" s="24">
        <f ca="1">IFERROR(__xludf.DUMMYFUNCTION("""COMPUTED_VALUE"""),30025)</f>
        <v>30025</v>
      </c>
      <c r="BA216" s="24">
        <f ca="1">IFERROR(__xludf.DUMMYFUNCTION("""COMPUTED_VALUE"""),0)</f>
        <v>0</v>
      </c>
      <c r="BB216" s="24">
        <f ca="1">IFERROR(__xludf.DUMMYFUNCTION("""COMPUTED_VALUE"""),0)</f>
        <v>0</v>
      </c>
      <c r="BC216" s="20"/>
      <c r="BD216" s="24">
        <f ca="1">IFERROR(__xludf.DUMMYFUNCTION("""COMPUTED_VALUE"""),0)</f>
        <v>0</v>
      </c>
      <c r="BE216" s="24">
        <f ca="1">IFERROR(__xludf.DUMMYFUNCTION("""COMPUTED_VALUE"""),0)</f>
        <v>0</v>
      </c>
      <c r="BF216" s="24">
        <f ca="1">IFERROR(__xludf.DUMMYFUNCTION("""COMPUTED_VALUE"""),0)</f>
        <v>0</v>
      </c>
      <c r="BG216" s="24">
        <f ca="1">IFERROR(__xludf.DUMMYFUNCTION("""COMPUTED_VALUE"""),0)</f>
        <v>0</v>
      </c>
      <c r="BH216" s="24">
        <f ca="1">IFERROR(__xludf.DUMMYFUNCTION("""COMPUTED_VALUE"""),0)</f>
        <v>0</v>
      </c>
      <c r="BI216" s="20"/>
      <c r="BJ216" s="24">
        <f ca="1">IFERROR(__xludf.DUMMYFUNCTION("""COMPUTED_VALUE"""),0)</f>
        <v>0</v>
      </c>
      <c r="BK216" s="24">
        <f ca="1">IFERROR(__xludf.DUMMYFUNCTION("""COMPUTED_VALUE"""),0)</f>
        <v>0</v>
      </c>
      <c r="BL216" s="24">
        <f ca="1">IFERROR(__xludf.DUMMYFUNCTION("""COMPUTED_VALUE"""),0)</f>
        <v>0</v>
      </c>
      <c r="BM216" s="24">
        <f ca="1">IFERROR(__xludf.DUMMYFUNCTION("""COMPUTED_VALUE"""),0)</f>
        <v>0</v>
      </c>
      <c r="BN216" s="24">
        <f ca="1">IFERROR(__xludf.DUMMYFUNCTION("""COMPUTED_VALUE"""),0)</f>
        <v>0</v>
      </c>
      <c r="BO216" s="20"/>
      <c r="BP216" s="24">
        <f ca="1">IFERROR(__xludf.DUMMYFUNCTION("""COMPUTED_VALUE"""),0)</f>
        <v>0</v>
      </c>
      <c r="BQ216" s="24">
        <f ca="1">IFERROR(__xludf.DUMMYFUNCTION("""COMPUTED_VALUE"""),0)</f>
        <v>0</v>
      </c>
      <c r="BR216" s="24">
        <f ca="1">IFERROR(__xludf.DUMMYFUNCTION("""COMPUTED_VALUE"""),0)</f>
        <v>0</v>
      </c>
      <c r="BS216" s="24">
        <f ca="1">IFERROR(__xludf.DUMMYFUNCTION("""COMPUTED_VALUE"""),0)</f>
        <v>0</v>
      </c>
      <c r="BT216" s="24">
        <f ca="1">IFERROR(__xludf.DUMMYFUNCTION("""COMPUTED_VALUE"""),0)</f>
        <v>0</v>
      </c>
      <c r="BU216" s="20"/>
      <c r="BV216" s="24">
        <f ca="1">IFERROR(__xludf.DUMMYFUNCTION("""COMPUTED_VALUE"""),0)</f>
        <v>0</v>
      </c>
      <c r="BW216" s="24">
        <f ca="1">IFERROR(__xludf.DUMMYFUNCTION("""COMPUTED_VALUE"""),0)</f>
        <v>0</v>
      </c>
      <c r="BX216" s="24">
        <f ca="1">IFERROR(__xludf.DUMMYFUNCTION("""COMPUTED_VALUE"""),0)</f>
        <v>0</v>
      </c>
      <c r="BY216" s="24">
        <f ca="1">IFERROR(__xludf.DUMMYFUNCTION("""COMPUTED_VALUE"""),0)</f>
        <v>0</v>
      </c>
      <c r="BZ216" s="24">
        <f ca="1">IFERROR(__xludf.DUMMYFUNCTION("""COMPUTED_VALUE"""),0)</f>
        <v>0</v>
      </c>
      <c r="CA216" s="20"/>
      <c r="CB216" s="20"/>
      <c r="CC216" s="20"/>
      <c r="CD216" s="20"/>
      <c r="CE216" s="20"/>
      <c r="CF216" s="20"/>
      <c r="CG216" s="20"/>
      <c r="CH216" s="20"/>
      <c r="CI216" s="20"/>
      <c r="CJ216" s="26">
        <f ca="1">IFERROR(__xludf.DUMMYFUNCTION("""COMPUTED_VALUE"""),43776)</f>
        <v>43776</v>
      </c>
      <c r="CK216" s="25">
        <f ca="1">IFERROR(__xludf.DUMMYFUNCTION("""COMPUTED_VALUE"""),43830)</f>
        <v>43830</v>
      </c>
      <c r="CL216" s="20" t="str">
        <f ca="1">IFERROR(__xludf.DUMMYFUNCTION("""COMPUTED_VALUE"""),"50-1-1-3-1878-19")</f>
        <v>50-1-1-3-1878-19</v>
      </c>
      <c r="CM216" s="26">
        <f ca="1">IFERROR(__xludf.DUMMYFUNCTION("""COMPUTED_VALUE"""),43606)</f>
        <v>43606</v>
      </c>
      <c r="CN216" s="20" t="str">
        <f ca="1">IFERROR(__xludf.DUMMYFUNCTION("""COMPUTED_VALUE"""),"0148200005519000012")</f>
        <v>0148200005519000012</v>
      </c>
      <c r="CO216" s="26">
        <f ca="1">IFERROR(__xludf.DUMMYFUNCTION("""COMPUTED_VALUE"""),43649)</f>
        <v>43649</v>
      </c>
      <c r="CP216" s="20" t="str">
        <f ca="1">IFERROR(__xludf.DUMMYFUNCTION("""COMPUTED_VALUE"""),"163720-19")</f>
        <v>163720-19</v>
      </c>
      <c r="CQ216" s="20">
        <f ca="1">IFERROR(__xludf.DUMMYFUNCTION("""COMPUTED_VALUE"""),3195000)</f>
        <v>3195000</v>
      </c>
      <c r="CR216" s="20" t="str">
        <f ca="1">IFERROR(__xludf.DUMMYFUNCTION("""COMPUTED_VALUE"""),"АКЦИОНЕРНОЕ ОБЩЕСТВО ""ФИНАНСОВО-ПРОЕКТНАЯ ЛИЗИНГОВАЯ КОМПАНИЯ МОСКОВСКОЙ ОБЛАСТИ")</f>
        <v>АКЦИОНЕРНОЕ ОБЩЕСТВО "ФИНАНСОВО-ПРОЕКТНАЯ ЛИЗИНГОВАЯ КОМПАНИЯ МОСКОВСКОЙ ОБЛАСТИ</v>
      </c>
      <c r="CS216" s="27" t="str">
        <f ca="1">IFERROR(__xludf.DUMMYFUNCTION("""COMPUTED_VALUE"""),"https://zakupki.gov.ru/epz/contract/contractCard/common-info.html?reestrNumber=2502413966719000008&amp;backUrl=f4bb9055-0be4-4b85-8756-61e439ed81cd")</f>
        <v>https://zakupki.gov.ru/epz/contract/contractCard/common-info.html?reestrNumber=2502413966719000008&amp;backUrl=f4bb9055-0be4-4b85-8756-61e439ed81cd</v>
      </c>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row>
    <row r="217" spans="1:123" ht="64.5" customHeight="1" x14ac:dyDescent="0.2">
      <c r="A217" s="19"/>
      <c r="B217" s="20" t="str">
        <f ca="1">IFERROR(__xludf.DUMMYFUNCTION("""COMPUTED_VALUE"""),"МинЖКХ г.о. Можайск")</f>
        <v>МинЖКХ г.о. Можайск</v>
      </c>
      <c r="C217"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7" s="20" t="str">
        <f ca="1">IFERROR(__xludf.DUMMYFUNCTION("""COMPUTED_VALUE"""),"МинЖКХ")</f>
        <v>МинЖКХ</v>
      </c>
      <c r="E217" s="20" t="str">
        <f ca="1">IFERROR(__xludf.DUMMYFUNCTION("""COMPUTED_VALUE"""),"Реконструкция   ВЗУ, расположенного по адресу: Московская область, Можайский район, п.Колычево  (в т.ч. ПИР)")</f>
        <v>Реконструкция   ВЗУ, расположенного по адресу: Московская область, Можайский район, п.Колычево  (в т.ч. ПИР)</v>
      </c>
      <c r="F217" s="32" t="str">
        <f ca="1">IFERROR(__xludf.DUMMYFUNCTION("""COMPUTED_VALUE"""),"ВЗУ")</f>
        <v>ВЗУ</v>
      </c>
      <c r="G217" s="20">
        <f ca="1">IFERROR(__xludf.DUMMYFUNCTION("""COMPUTED_VALUE"""),2020)</f>
        <v>2020</v>
      </c>
      <c r="H217" s="20" t="str">
        <f ca="1">IFERROR(__xludf.DUMMYFUNCTION("""COMPUTED_VALUE"""),"СМР")</f>
        <v>СМР</v>
      </c>
      <c r="I217" s="23">
        <f ca="1">IFERROR(__xludf.DUMMYFUNCTION("""COMPUTED_VALUE"""),0.7)</f>
        <v>0.7</v>
      </c>
      <c r="J217" s="20" t="str">
        <f ca="1">IFERROR(__xludf.DUMMYFUNCTION("""COMPUTED_VALUE"""),"Выполнены работы по капитальному ремонту РЧВ, монтажу внешних инженерных сетей, работы по укреплению и гидроизоляции фундамента станции обезжелезивания, монтаж кровли станции второго подъёма. Оборудование на ВЗУ закуплено. Ведется работа по внутренней отд"&amp;"елке станции второго подъёма и станции обезжелезивания, монтаж внутренних инженерных сетей, монтаж дверных блоков. ")</f>
        <v xml:space="preserve">Выполнены работы по капитальному ремонту РЧВ, монтажу внешних инженерных сетей, работы по укреплению и гидроизоляции фундамента станции обезжелезивания, монтаж кровли станции второго подъёма. Оборудование на ВЗУ закуплено. Ведется работа по внутренней отделке станции второго подъёма и станции обезжелезивания, монтаж внутренних инженерных сетей, монтаж дверных блоков. </v>
      </c>
      <c r="K217" s="20"/>
      <c r="L217" s="20"/>
      <c r="M217" s="20"/>
      <c r="N217" s="24">
        <f ca="1">IFERROR(__xludf.DUMMYFUNCTION("""COMPUTED_VALUE"""),42100.43)</f>
        <v>42100.43</v>
      </c>
      <c r="O217" s="20"/>
      <c r="P217" s="24">
        <f ca="1">IFERROR(__xludf.DUMMYFUNCTION("""COMPUTED_VALUE"""),42100.43)</f>
        <v>42100.43</v>
      </c>
      <c r="Q217" s="20"/>
      <c r="R217" s="20"/>
      <c r="S217" s="20"/>
      <c r="T217" s="20"/>
      <c r="U217" s="24">
        <f ca="1">IFERROR(__xludf.DUMMYFUNCTION("""COMPUTED_VALUE"""),11423.57)</f>
        <v>11423.57</v>
      </c>
      <c r="V217" s="24">
        <f ca="1">IFERROR(__xludf.DUMMYFUNCTION("""COMPUTED_VALUE"""),0)</f>
        <v>0</v>
      </c>
      <c r="W217" s="24">
        <f ca="1">IFERROR(__xludf.DUMMYFUNCTION("""COMPUTED_VALUE"""),11423.57)</f>
        <v>11423.57</v>
      </c>
      <c r="X217" s="24">
        <f ca="1">IFERROR(__xludf.DUMMYFUNCTION("""COMPUTED_VALUE"""),0)</f>
        <v>0</v>
      </c>
      <c r="Y217" s="24">
        <f ca="1">IFERROR(__xludf.DUMMYFUNCTION("""COMPUTED_VALUE"""),0)</f>
        <v>0</v>
      </c>
      <c r="Z217" s="24">
        <f ca="1">IFERROR(__xludf.DUMMYFUNCTION("""COMPUTED_VALUE"""),0)</f>
        <v>0</v>
      </c>
      <c r="AA217" s="20" t="str">
        <f ca="1">IFERROR(__xludf.DUMMYFUNCTION("""COMPUTED_VALUE"""),"10 1 02 40010")</f>
        <v>10 1 02 40010</v>
      </c>
      <c r="AB217" s="20">
        <f ca="1">IFERROR(__xludf.DUMMYFUNCTION("""COMPUTED_VALUE"""),414)</f>
        <v>414</v>
      </c>
      <c r="AC217" s="20" t="str">
        <f ca="1">IFERROR(__xludf.DUMMYFUNCTION("""COMPUTED_VALUE"""),"Нет")</f>
        <v>Нет</v>
      </c>
      <c r="AD217" s="25">
        <f ca="1">IFERROR(__xludf.DUMMYFUNCTION("""COMPUTED_VALUE"""),44175)</f>
        <v>44175</v>
      </c>
      <c r="AE217" s="20" t="str">
        <f ca="1">IFERROR(__xludf.DUMMYFUNCTION("""COMPUTED_VALUE"""),"Отсутствует")</f>
        <v>Отсутствует</v>
      </c>
      <c r="AF217" s="24">
        <f ca="1">IFERROR(__xludf.DUMMYFUNCTION("""COMPUTED_VALUE"""),53524)</f>
        <v>53524</v>
      </c>
      <c r="AG217" s="20">
        <f ca="1">IFERROR(__xludf.DUMMYFUNCTION("""COMPUTED_VALUE"""),0)</f>
        <v>0</v>
      </c>
      <c r="AH217" s="20">
        <f ca="1">IFERROR(__xludf.DUMMYFUNCTION("""COMPUTED_VALUE"""),53524)</f>
        <v>53524</v>
      </c>
      <c r="AI217" s="20">
        <f ca="1">IFERROR(__xludf.DUMMYFUNCTION("""COMPUTED_VALUE"""),0)</f>
        <v>0</v>
      </c>
      <c r="AJ217" s="20">
        <f ca="1">IFERROR(__xludf.DUMMYFUNCTION("""COMPUTED_VALUE"""),0)</f>
        <v>0</v>
      </c>
      <c r="AK217" s="20">
        <f ca="1">IFERROR(__xludf.DUMMYFUNCTION("""COMPUTED_VALUE"""),0)</f>
        <v>0</v>
      </c>
      <c r="AL217" s="24">
        <f ca="1">IFERROR(__xludf.DUMMYFUNCTION("""COMPUTED_VALUE"""),0)</f>
        <v>0</v>
      </c>
      <c r="AM217" s="20"/>
      <c r="AN217" s="20"/>
      <c r="AO217" s="20"/>
      <c r="AP217" s="20"/>
      <c r="AQ217" s="20"/>
      <c r="AR217" s="24">
        <f ca="1">IFERROR(__xludf.DUMMYFUNCTION("""COMPUTED_VALUE"""),0)</f>
        <v>0</v>
      </c>
      <c r="AS217" s="20"/>
      <c r="AT217" s="20"/>
      <c r="AU217" s="20"/>
      <c r="AV217" s="20"/>
      <c r="AW217" s="20"/>
      <c r="AX217" s="24">
        <f ca="1">IFERROR(__xludf.DUMMYFUNCTION("""COMPUTED_VALUE"""),53524)</f>
        <v>53524</v>
      </c>
      <c r="AY217" s="24">
        <f ca="1">IFERROR(__xludf.DUMMYFUNCTION("""COMPUTED_VALUE"""),0)</f>
        <v>0</v>
      </c>
      <c r="AZ217" s="24">
        <f ca="1">IFERROR(__xludf.DUMMYFUNCTION("""COMPUTED_VALUE"""),53524)</f>
        <v>53524</v>
      </c>
      <c r="BA217" s="24">
        <f ca="1">IFERROR(__xludf.DUMMYFUNCTION("""COMPUTED_VALUE"""),0)</f>
        <v>0</v>
      </c>
      <c r="BB217" s="24">
        <f ca="1">IFERROR(__xludf.DUMMYFUNCTION("""COMPUTED_VALUE"""),0)</f>
        <v>0</v>
      </c>
      <c r="BC217" s="20"/>
      <c r="BD217" s="24">
        <f ca="1">IFERROR(__xludf.DUMMYFUNCTION("""COMPUTED_VALUE"""),0)</f>
        <v>0</v>
      </c>
      <c r="BE217" s="24">
        <f ca="1">IFERROR(__xludf.DUMMYFUNCTION("""COMPUTED_VALUE"""),0)</f>
        <v>0</v>
      </c>
      <c r="BF217" s="24">
        <f ca="1">IFERROR(__xludf.DUMMYFUNCTION("""COMPUTED_VALUE"""),0)</f>
        <v>0</v>
      </c>
      <c r="BG217" s="24">
        <f ca="1">IFERROR(__xludf.DUMMYFUNCTION("""COMPUTED_VALUE"""),0)</f>
        <v>0</v>
      </c>
      <c r="BH217" s="24">
        <f ca="1">IFERROR(__xludf.DUMMYFUNCTION("""COMPUTED_VALUE"""),0)</f>
        <v>0</v>
      </c>
      <c r="BI217" s="20"/>
      <c r="BJ217" s="24">
        <f ca="1">IFERROR(__xludf.DUMMYFUNCTION("""COMPUTED_VALUE"""),0)</f>
        <v>0</v>
      </c>
      <c r="BK217" s="24">
        <f ca="1">IFERROR(__xludf.DUMMYFUNCTION("""COMPUTED_VALUE"""),0)</f>
        <v>0</v>
      </c>
      <c r="BL217" s="24">
        <f ca="1">IFERROR(__xludf.DUMMYFUNCTION("""COMPUTED_VALUE"""),0)</f>
        <v>0</v>
      </c>
      <c r="BM217" s="24">
        <f ca="1">IFERROR(__xludf.DUMMYFUNCTION("""COMPUTED_VALUE"""),0)</f>
        <v>0</v>
      </c>
      <c r="BN217" s="24">
        <f ca="1">IFERROR(__xludf.DUMMYFUNCTION("""COMPUTED_VALUE"""),0)</f>
        <v>0</v>
      </c>
      <c r="BO217" s="20"/>
      <c r="BP217" s="24">
        <f ca="1">IFERROR(__xludf.DUMMYFUNCTION("""COMPUTED_VALUE"""),0)</f>
        <v>0</v>
      </c>
      <c r="BQ217" s="24">
        <f ca="1">IFERROR(__xludf.DUMMYFUNCTION("""COMPUTED_VALUE"""),0)</f>
        <v>0</v>
      </c>
      <c r="BR217" s="24">
        <f ca="1">IFERROR(__xludf.DUMMYFUNCTION("""COMPUTED_VALUE"""),0)</f>
        <v>0</v>
      </c>
      <c r="BS217" s="24">
        <f ca="1">IFERROR(__xludf.DUMMYFUNCTION("""COMPUTED_VALUE"""),0)</f>
        <v>0</v>
      </c>
      <c r="BT217" s="24">
        <f ca="1">IFERROR(__xludf.DUMMYFUNCTION("""COMPUTED_VALUE"""),0)</f>
        <v>0</v>
      </c>
      <c r="BU217" s="20"/>
      <c r="BV217" s="24">
        <f ca="1">IFERROR(__xludf.DUMMYFUNCTION("""COMPUTED_VALUE"""),0)</f>
        <v>0</v>
      </c>
      <c r="BW217" s="24">
        <f ca="1">IFERROR(__xludf.DUMMYFUNCTION("""COMPUTED_VALUE"""),0)</f>
        <v>0</v>
      </c>
      <c r="BX217" s="24">
        <f ca="1">IFERROR(__xludf.DUMMYFUNCTION("""COMPUTED_VALUE"""),0)</f>
        <v>0</v>
      </c>
      <c r="BY217" s="24">
        <f ca="1">IFERROR(__xludf.DUMMYFUNCTION("""COMPUTED_VALUE"""),0)</f>
        <v>0</v>
      </c>
      <c r="BZ217" s="24">
        <f ca="1">IFERROR(__xludf.DUMMYFUNCTION("""COMPUTED_VALUE"""),0)</f>
        <v>0</v>
      </c>
      <c r="CA217" s="20"/>
      <c r="CB217" s="20"/>
      <c r="CC217" s="20"/>
      <c r="CD217" s="20"/>
      <c r="CE217" s="20"/>
      <c r="CF217" s="20"/>
      <c r="CG217" s="20"/>
      <c r="CH217" s="20"/>
      <c r="CI217" s="20"/>
      <c r="CJ217" s="26">
        <f ca="1">IFERROR(__xludf.DUMMYFUNCTION("""COMPUTED_VALUE"""),43742)</f>
        <v>43742</v>
      </c>
      <c r="CK217" s="25">
        <f ca="1">IFERROR(__xludf.DUMMYFUNCTION("""COMPUTED_VALUE"""),43822)</f>
        <v>43822</v>
      </c>
      <c r="CL217" s="20" t="str">
        <f ca="1">IFERROR(__xludf.DUMMYFUNCTION("""COMPUTED_VALUE"""),"50-1-1-3-1716-19")</f>
        <v>50-1-1-3-1716-19</v>
      </c>
      <c r="CM217" s="26">
        <f ca="1">IFERROR(__xludf.DUMMYFUNCTION("""COMPUTED_VALUE"""),43878)</f>
        <v>43878</v>
      </c>
      <c r="CN217" s="20" t="str">
        <f ca="1">IFERROR(__xludf.DUMMYFUNCTION("""COMPUTED_VALUE"""),"0148200005520000008")</f>
        <v>0148200005520000008</v>
      </c>
      <c r="CO217" s="26">
        <f ca="1">IFERROR(__xludf.DUMMYFUNCTION("""COMPUTED_VALUE"""),43913)</f>
        <v>43913</v>
      </c>
      <c r="CP217" s="20" t="str">
        <f ca="1">IFERROR(__xludf.DUMMYFUNCTION("""COMPUTED_VALUE"""),"080769-20")</f>
        <v>080769-20</v>
      </c>
      <c r="CQ217" s="20">
        <f ca="1">IFERROR(__xludf.DUMMYFUNCTION("""COMPUTED_VALUE"""),42979509)</f>
        <v>42979509</v>
      </c>
      <c r="CR217" s="20" t="str">
        <f ca="1">IFERROR(__xludf.DUMMYFUNCTION("""COMPUTED_VALUE"""),"ООО «МКСМ»")</f>
        <v>ООО «МКСМ»</v>
      </c>
      <c r="CS217" s="27" t="str">
        <f ca="1">IFERROR(__xludf.DUMMYFUNCTION("""COMPUTED_VALUE"""),"https://zakupki.gov.ru/epz/contract/contractCard/common-info.html?reestrNumber=2502413966720000001&amp;backUrl=4fde3531-56b7-42d3-bb0e-bcb844c2011f")</f>
        <v>https://zakupki.gov.ru/epz/contract/contractCard/common-info.html?reestrNumber=2502413966720000001&amp;backUrl=4fde3531-56b7-42d3-bb0e-bcb844c2011f</v>
      </c>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row>
    <row r="218" spans="1:123" ht="64.5" customHeight="1" x14ac:dyDescent="0.2">
      <c r="A218" s="19"/>
      <c r="B218" s="20" t="str">
        <f ca="1">IFERROR(__xludf.DUMMYFUNCTION("""COMPUTED_VALUE"""),"МинЖКХ г.о. Можайск")</f>
        <v>МинЖКХ г.о. Можайск</v>
      </c>
      <c r="C218"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8" s="20" t="str">
        <f ca="1">IFERROR(__xludf.DUMMYFUNCTION("""COMPUTED_VALUE"""),"МинЖКХ")</f>
        <v>МинЖКХ</v>
      </c>
      <c r="E218" s="20" t="str">
        <f ca="1">IFERROR(__xludf.DUMMYFUNCTION("""COMPUTED_VALUE"""),"Реконструкция  ВЗУ,  расположенного по адресу: Московская область, Можайский район, п.Поречье  (в т.ч. ПИР)")</f>
        <v>Реконструкция  ВЗУ,  расположенного по адресу: Московская область, Можайский район, п.Поречье  (в т.ч. ПИР)</v>
      </c>
      <c r="F218" s="32" t="str">
        <f ca="1">IFERROR(__xludf.DUMMYFUNCTION("""COMPUTED_VALUE"""),"ВЗУ")</f>
        <v>ВЗУ</v>
      </c>
      <c r="G218" s="20">
        <f ca="1">IFERROR(__xludf.DUMMYFUNCTION("""COMPUTED_VALUE"""),2020)</f>
        <v>2020</v>
      </c>
      <c r="H218" s="20" t="str">
        <f ca="1">IFERROR(__xludf.DUMMYFUNCTION("""COMPUTED_VALUE"""),"СМР")</f>
        <v>СМР</v>
      </c>
      <c r="I218" s="23">
        <f ca="1">IFERROR(__xludf.DUMMYFUNCTION("""COMPUTED_VALUE"""),0.4)</f>
        <v>0.4</v>
      </c>
      <c r="J218" s="20" t="str">
        <f ca="1">IFERROR(__xludf.DUMMYFUNCTION("""COMPUTED_VALUE"""),"Выполнены работы по демонтажу бака водонапорной башни и оборудования. Ведутся работы по ремонту водонапорной башни Оборудование на ВЗУ закуплено.")</f>
        <v>Выполнены работы по демонтажу бака водонапорной башни и оборудования. Ведутся работы по ремонту водонапорной башни Оборудование на ВЗУ закуплено.</v>
      </c>
      <c r="K218" s="20"/>
      <c r="L218" s="20"/>
      <c r="M218" s="20"/>
      <c r="N218" s="24">
        <f ca="1">IFERROR(__xludf.DUMMYFUNCTION("""COMPUTED_VALUE"""),20700)</f>
        <v>20700</v>
      </c>
      <c r="O218" s="20"/>
      <c r="P218" s="24">
        <f ca="1">IFERROR(__xludf.DUMMYFUNCTION("""COMPUTED_VALUE"""),20700)</f>
        <v>20700</v>
      </c>
      <c r="Q218" s="20"/>
      <c r="R218" s="20"/>
      <c r="S218" s="20"/>
      <c r="T218" s="20"/>
      <c r="U218" s="24">
        <f ca="1">IFERROR(__xludf.DUMMYFUNCTION("""COMPUTED_VALUE"""),560)</f>
        <v>560</v>
      </c>
      <c r="V218" s="24">
        <f ca="1">IFERROR(__xludf.DUMMYFUNCTION("""COMPUTED_VALUE"""),0)</f>
        <v>0</v>
      </c>
      <c r="W218" s="24">
        <f ca="1">IFERROR(__xludf.DUMMYFUNCTION("""COMPUTED_VALUE"""),560)</f>
        <v>560</v>
      </c>
      <c r="X218" s="24">
        <f ca="1">IFERROR(__xludf.DUMMYFUNCTION("""COMPUTED_VALUE"""),0)</f>
        <v>0</v>
      </c>
      <c r="Y218" s="24">
        <f ca="1">IFERROR(__xludf.DUMMYFUNCTION("""COMPUTED_VALUE"""),0)</f>
        <v>0</v>
      </c>
      <c r="Z218" s="24">
        <f ca="1">IFERROR(__xludf.DUMMYFUNCTION("""COMPUTED_VALUE"""),0)</f>
        <v>0</v>
      </c>
      <c r="AA218" s="20" t="str">
        <f ca="1">IFERROR(__xludf.DUMMYFUNCTION("""COMPUTED_VALUE"""),"10 1 02 40010")</f>
        <v>10 1 02 40010</v>
      </c>
      <c r="AB218" s="20">
        <f ca="1">IFERROR(__xludf.DUMMYFUNCTION("""COMPUTED_VALUE"""),414)</f>
        <v>414</v>
      </c>
      <c r="AC218" s="20" t="str">
        <f ca="1">IFERROR(__xludf.DUMMYFUNCTION("""COMPUTED_VALUE"""),"Нет")</f>
        <v>Нет</v>
      </c>
      <c r="AD218" s="25">
        <f ca="1">IFERROR(__xludf.DUMMYFUNCTION("""COMPUTED_VALUE"""),44175)</f>
        <v>44175</v>
      </c>
      <c r="AE218" s="20" t="str">
        <f ca="1">IFERROR(__xludf.DUMMYFUNCTION("""COMPUTED_VALUE"""),"Отсутствует")</f>
        <v>Отсутствует</v>
      </c>
      <c r="AF218" s="24">
        <f ca="1">IFERROR(__xludf.DUMMYFUNCTION("""COMPUTED_VALUE"""),21260)</f>
        <v>21260</v>
      </c>
      <c r="AG218" s="20">
        <f ca="1">IFERROR(__xludf.DUMMYFUNCTION("""COMPUTED_VALUE"""),0)</f>
        <v>0</v>
      </c>
      <c r="AH218" s="20">
        <f ca="1">IFERROR(__xludf.DUMMYFUNCTION("""COMPUTED_VALUE"""),21260)</f>
        <v>21260</v>
      </c>
      <c r="AI218" s="20">
        <f ca="1">IFERROR(__xludf.DUMMYFUNCTION("""COMPUTED_VALUE"""),0)</f>
        <v>0</v>
      </c>
      <c r="AJ218" s="20">
        <f ca="1">IFERROR(__xludf.DUMMYFUNCTION("""COMPUTED_VALUE"""),0)</f>
        <v>0</v>
      </c>
      <c r="AK218" s="20">
        <f ca="1">IFERROR(__xludf.DUMMYFUNCTION("""COMPUTED_VALUE"""),0)</f>
        <v>0</v>
      </c>
      <c r="AL218" s="24">
        <f ca="1">IFERROR(__xludf.DUMMYFUNCTION("""COMPUTED_VALUE"""),0)</f>
        <v>0</v>
      </c>
      <c r="AM218" s="20"/>
      <c r="AN218" s="20"/>
      <c r="AO218" s="20"/>
      <c r="AP218" s="20"/>
      <c r="AQ218" s="20"/>
      <c r="AR218" s="24">
        <f ca="1">IFERROR(__xludf.DUMMYFUNCTION("""COMPUTED_VALUE"""),0)</f>
        <v>0</v>
      </c>
      <c r="AS218" s="20"/>
      <c r="AT218" s="20"/>
      <c r="AU218" s="20"/>
      <c r="AV218" s="20"/>
      <c r="AW218" s="20"/>
      <c r="AX218" s="24">
        <f ca="1">IFERROR(__xludf.DUMMYFUNCTION("""COMPUTED_VALUE"""),21260)</f>
        <v>21260</v>
      </c>
      <c r="AY218" s="24">
        <f ca="1">IFERROR(__xludf.DUMMYFUNCTION("""COMPUTED_VALUE"""),0)</f>
        <v>0</v>
      </c>
      <c r="AZ218" s="24">
        <f ca="1">IFERROR(__xludf.DUMMYFUNCTION("""COMPUTED_VALUE"""),21260)</f>
        <v>21260</v>
      </c>
      <c r="BA218" s="24">
        <f ca="1">IFERROR(__xludf.DUMMYFUNCTION("""COMPUTED_VALUE"""),0)</f>
        <v>0</v>
      </c>
      <c r="BB218" s="24">
        <f ca="1">IFERROR(__xludf.DUMMYFUNCTION("""COMPUTED_VALUE"""),0)</f>
        <v>0</v>
      </c>
      <c r="BC218" s="20"/>
      <c r="BD218" s="24">
        <f ca="1">IFERROR(__xludf.DUMMYFUNCTION("""COMPUTED_VALUE"""),0)</f>
        <v>0</v>
      </c>
      <c r="BE218" s="24">
        <f ca="1">IFERROR(__xludf.DUMMYFUNCTION("""COMPUTED_VALUE"""),0)</f>
        <v>0</v>
      </c>
      <c r="BF218" s="24">
        <f ca="1">IFERROR(__xludf.DUMMYFUNCTION("""COMPUTED_VALUE"""),0)</f>
        <v>0</v>
      </c>
      <c r="BG218" s="24">
        <f ca="1">IFERROR(__xludf.DUMMYFUNCTION("""COMPUTED_VALUE"""),0)</f>
        <v>0</v>
      </c>
      <c r="BH218" s="24">
        <f ca="1">IFERROR(__xludf.DUMMYFUNCTION("""COMPUTED_VALUE"""),0)</f>
        <v>0</v>
      </c>
      <c r="BI218" s="20"/>
      <c r="BJ218" s="24">
        <f ca="1">IFERROR(__xludf.DUMMYFUNCTION("""COMPUTED_VALUE"""),0)</f>
        <v>0</v>
      </c>
      <c r="BK218" s="24">
        <f ca="1">IFERROR(__xludf.DUMMYFUNCTION("""COMPUTED_VALUE"""),0)</f>
        <v>0</v>
      </c>
      <c r="BL218" s="24">
        <f ca="1">IFERROR(__xludf.DUMMYFUNCTION("""COMPUTED_VALUE"""),0)</f>
        <v>0</v>
      </c>
      <c r="BM218" s="24">
        <f ca="1">IFERROR(__xludf.DUMMYFUNCTION("""COMPUTED_VALUE"""),0)</f>
        <v>0</v>
      </c>
      <c r="BN218" s="24">
        <f ca="1">IFERROR(__xludf.DUMMYFUNCTION("""COMPUTED_VALUE"""),0)</f>
        <v>0</v>
      </c>
      <c r="BO218" s="20"/>
      <c r="BP218" s="24">
        <f ca="1">IFERROR(__xludf.DUMMYFUNCTION("""COMPUTED_VALUE"""),0)</f>
        <v>0</v>
      </c>
      <c r="BQ218" s="24">
        <f ca="1">IFERROR(__xludf.DUMMYFUNCTION("""COMPUTED_VALUE"""),0)</f>
        <v>0</v>
      </c>
      <c r="BR218" s="24">
        <f ca="1">IFERROR(__xludf.DUMMYFUNCTION("""COMPUTED_VALUE"""),0)</f>
        <v>0</v>
      </c>
      <c r="BS218" s="24">
        <f ca="1">IFERROR(__xludf.DUMMYFUNCTION("""COMPUTED_VALUE"""),0)</f>
        <v>0</v>
      </c>
      <c r="BT218" s="24">
        <f ca="1">IFERROR(__xludf.DUMMYFUNCTION("""COMPUTED_VALUE"""),0)</f>
        <v>0</v>
      </c>
      <c r="BU218" s="20"/>
      <c r="BV218" s="24">
        <f ca="1">IFERROR(__xludf.DUMMYFUNCTION("""COMPUTED_VALUE"""),0)</f>
        <v>0</v>
      </c>
      <c r="BW218" s="24">
        <f ca="1">IFERROR(__xludf.DUMMYFUNCTION("""COMPUTED_VALUE"""),0)</f>
        <v>0</v>
      </c>
      <c r="BX218" s="24">
        <f ca="1">IFERROR(__xludf.DUMMYFUNCTION("""COMPUTED_VALUE"""),0)</f>
        <v>0</v>
      </c>
      <c r="BY218" s="24">
        <f ca="1">IFERROR(__xludf.DUMMYFUNCTION("""COMPUTED_VALUE"""),0)</f>
        <v>0</v>
      </c>
      <c r="BZ218" s="24">
        <f ca="1">IFERROR(__xludf.DUMMYFUNCTION("""COMPUTED_VALUE"""),0)</f>
        <v>0</v>
      </c>
      <c r="CA218" s="20"/>
      <c r="CB218" s="20"/>
      <c r="CC218" s="20"/>
      <c r="CD218" s="20"/>
      <c r="CE218" s="20"/>
      <c r="CF218" s="20"/>
      <c r="CG218" s="20"/>
      <c r="CH218" s="20"/>
      <c r="CI218" s="20"/>
      <c r="CJ218" s="33">
        <f ca="1">IFERROR(__xludf.DUMMYFUNCTION("""COMPUTED_VALUE"""),43740)</f>
        <v>43740</v>
      </c>
      <c r="CK218" s="33">
        <f ca="1">IFERROR(__xludf.DUMMYFUNCTION("""COMPUTED_VALUE"""),43822)</f>
        <v>43822</v>
      </c>
      <c r="CL218" s="20" t="str">
        <f ca="1">IFERROR(__xludf.DUMMYFUNCTION("""COMPUTED_VALUE"""),"50-1-1-3-1734-19")</f>
        <v>50-1-1-3-1734-19</v>
      </c>
      <c r="CM218" s="26">
        <f ca="1">IFERROR(__xludf.DUMMYFUNCTION("""COMPUTED_VALUE"""),43892)</f>
        <v>43892</v>
      </c>
      <c r="CN218" s="20" t="str">
        <f ca="1">IFERROR(__xludf.DUMMYFUNCTION("""COMPUTED_VALUE"""),"0148200005520000009")</f>
        <v>0148200005520000009</v>
      </c>
      <c r="CO218" s="26">
        <f ca="1">IFERROR(__xludf.DUMMYFUNCTION("""COMPUTED_VALUE"""),43944)</f>
        <v>43944</v>
      </c>
      <c r="CP218" s="20" t="str">
        <f ca="1">IFERROR(__xludf.DUMMYFUNCTION("""COMPUTED_VALUE"""),"104818-20")</f>
        <v>104818-20</v>
      </c>
      <c r="CQ218" s="20">
        <f ca="1">IFERROR(__xludf.DUMMYFUNCTION("""COMPUTED_VALUE"""),20700000)</f>
        <v>20700000</v>
      </c>
      <c r="CR218" s="20" t="str">
        <f ca="1">IFERROR(__xludf.DUMMYFUNCTION("""COMPUTED_VALUE"""),"ОБЩЕСТВО С ОГРАНИЧЕННОЙ ОТВЕТСТВЕННОСТЬЮ ""ГАЗТЕПЛОКОМПЛЕКС""")</f>
        <v>ОБЩЕСТВО С ОГРАНИЧЕННОЙ ОТВЕТСТВЕННОСТЬЮ "ГАЗТЕПЛОКОМПЛЕКС"</v>
      </c>
      <c r="CS218" s="27" t="str">
        <f ca="1">IFERROR(__xludf.DUMMYFUNCTION("""COMPUTED_VALUE"""),"https://zakupki.gov.ru/epz/contract/contractCard/common-info.html?reestrNumber=2502413966720000002&amp;backUrl=3a746daf-428b-421f-bf6e-ab578427b32e")</f>
        <v>https://zakupki.gov.ru/epz/contract/contractCard/common-info.html?reestrNumber=2502413966720000002&amp;backUrl=3a746daf-428b-421f-bf6e-ab578427b32e</v>
      </c>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row>
    <row r="219" spans="1:123" ht="64.5" hidden="1" customHeight="1" x14ac:dyDescent="0.2">
      <c r="A219" s="19"/>
      <c r="B219" s="20" t="str">
        <f ca="1">IFERROR(__xludf.DUMMYFUNCTION("""COMPUTED_VALUE"""),"г.о. Можайск")</f>
        <v>г.о. Можайск</v>
      </c>
      <c r="C219" s="20" t="str">
        <f ca="1">IFERROR(__xludf.DUMMYFUNCTION("""COMPUTED_VALUE"""),"Мероприятие 5 - Финансовое обеспечение (возмещение) затрат, связанных с капитальным ремонтом объектов водоснабжения")</f>
        <v>Мероприятие 5 - Финансовое обеспечение (возмещение) затрат, связанных с капитальным ремонтом объектов водоснабжения</v>
      </c>
      <c r="D219" s="20" t="str">
        <f ca="1">IFERROR(__xludf.DUMMYFUNCTION("""COMPUTED_VALUE"""),"МинЖКХ")</f>
        <v>МинЖКХ</v>
      </c>
      <c r="E219" s="20" t="str">
        <f ca="1">IFERROR(__xludf.DUMMYFUNCTION("""COMPUTED_VALUE"""),"Капитальный ремонт   ВЗУ расположенного по адресу: Московская область, Можайский г.о., п. Бородинское поле")</f>
        <v>Капитальный ремонт   ВЗУ расположенного по адресу: Московская область, Можайский г.о., п. Бородинское поле</v>
      </c>
      <c r="F219" s="32" t="str">
        <f ca="1">IFERROR(__xludf.DUMMYFUNCTION("""COMPUTED_VALUE"""),"ВЗУ")</f>
        <v>ВЗУ</v>
      </c>
      <c r="G219" s="20" t="str">
        <f ca="1">IFERROR(__xludf.DUMMYFUNCTION("""COMPUTED_VALUE"""),"Н/Л")</f>
        <v>Н/Л</v>
      </c>
      <c r="H219" s="20" t="str">
        <f ca="1">IFERROR(__xludf.DUMMYFUNCTION("""COMPUTED_VALUE"""),"СМР")</f>
        <v>СМР</v>
      </c>
      <c r="I219" s="20"/>
      <c r="J219" s="20"/>
      <c r="K219" s="20"/>
      <c r="L219" s="20"/>
      <c r="M219" s="20"/>
      <c r="N219" s="24">
        <f ca="1">IFERROR(__xludf.DUMMYFUNCTION("""COMPUTED_VALUE"""),0)</f>
        <v>0</v>
      </c>
      <c r="O219" s="20"/>
      <c r="P219" s="20"/>
      <c r="Q219" s="20"/>
      <c r="R219" s="20"/>
      <c r="S219" s="20"/>
      <c r="T219" s="20"/>
      <c r="U219" s="24">
        <f ca="1">IFERROR(__xludf.DUMMYFUNCTION("""COMPUTED_VALUE"""),0)</f>
        <v>0</v>
      </c>
      <c r="V219" s="24">
        <f ca="1">IFERROR(__xludf.DUMMYFUNCTION("""COMPUTED_VALUE"""),0)</f>
        <v>0</v>
      </c>
      <c r="W219" s="24">
        <f ca="1">IFERROR(__xludf.DUMMYFUNCTION("""COMPUTED_VALUE"""),0)</f>
        <v>0</v>
      </c>
      <c r="X219" s="24">
        <f ca="1">IFERROR(__xludf.DUMMYFUNCTION("""COMPUTED_VALUE"""),0)</f>
        <v>0</v>
      </c>
      <c r="Y219" s="24">
        <f ca="1">IFERROR(__xludf.DUMMYFUNCTION("""COMPUTED_VALUE"""),0)</f>
        <v>0</v>
      </c>
      <c r="Z219" s="24">
        <f ca="1">IFERROR(__xludf.DUMMYFUNCTION("""COMPUTED_VALUE"""),0)</f>
        <v>0</v>
      </c>
      <c r="AA219" s="20" t="str">
        <f ca="1">IFERROR(__xludf.DUMMYFUNCTION("""COMPUTED_VALUE"""),"10 1 01 00080")</f>
        <v>10 1 01 00080</v>
      </c>
      <c r="AB219" s="20">
        <f ca="1">IFERROR(__xludf.DUMMYFUNCTION("""COMPUTED_VALUE"""),812)</f>
        <v>812</v>
      </c>
      <c r="AC219" s="20" t="str">
        <f ca="1">IFERROR(__xludf.DUMMYFUNCTION("""COMPUTED_VALUE"""),"Не требуется")</f>
        <v>Не требуется</v>
      </c>
      <c r="AD219" s="20" t="str">
        <f ca="1">IFERROR(__xludf.DUMMYFUNCTION("""COMPUTED_VALUE"""),"-")</f>
        <v>-</v>
      </c>
      <c r="AE219" s="20" t="str">
        <f ca="1">IFERROR(__xludf.DUMMYFUNCTION("""COMPUTED_VALUE"""),"-")</f>
        <v>-</v>
      </c>
      <c r="AF219" s="24">
        <f ca="1">IFERROR(__xludf.DUMMYFUNCTION("""COMPUTED_VALUE"""),0)</f>
        <v>0</v>
      </c>
      <c r="AG219" s="20">
        <f ca="1">IFERROR(__xludf.DUMMYFUNCTION("""COMPUTED_VALUE"""),0)</f>
        <v>0</v>
      </c>
      <c r="AH219" s="20">
        <f ca="1">IFERROR(__xludf.DUMMYFUNCTION("""COMPUTED_VALUE"""),0)</f>
        <v>0</v>
      </c>
      <c r="AI219" s="20">
        <f ca="1">IFERROR(__xludf.DUMMYFUNCTION("""COMPUTED_VALUE"""),0)</f>
        <v>0</v>
      </c>
      <c r="AJ219" s="20">
        <f ca="1">IFERROR(__xludf.DUMMYFUNCTION("""COMPUTED_VALUE"""),0)</f>
        <v>0</v>
      </c>
      <c r="AK219" s="20">
        <f ca="1">IFERROR(__xludf.DUMMYFUNCTION("""COMPUTED_VALUE"""),0)</f>
        <v>0</v>
      </c>
      <c r="AL219" s="24">
        <f ca="1">IFERROR(__xludf.DUMMYFUNCTION("""COMPUTED_VALUE"""),0)</f>
        <v>0</v>
      </c>
      <c r="AM219" s="20"/>
      <c r="AN219" s="20"/>
      <c r="AO219" s="20"/>
      <c r="AP219" s="20"/>
      <c r="AQ219" s="20"/>
      <c r="AR219" s="24">
        <f ca="1">IFERROR(__xludf.DUMMYFUNCTION("""COMPUTED_VALUE"""),0)</f>
        <v>0</v>
      </c>
      <c r="AS219" s="20"/>
      <c r="AT219" s="20"/>
      <c r="AU219" s="20"/>
      <c r="AV219" s="20"/>
      <c r="AW219" s="20"/>
      <c r="AX219" s="24">
        <f ca="1">IFERROR(__xludf.DUMMYFUNCTION("""COMPUTED_VALUE"""),0)</f>
        <v>0</v>
      </c>
      <c r="AY219" s="24">
        <f ca="1">IFERROR(__xludf.DUMMYFUNCTION("""COMPUTED_VALUE"""),0)</f>
        <v>0</v>
      </c>
      <c r="AZ219" s="24">
        <f ca="1">IFERROR(__xludf.DUMMYFUNCTION("""COMPUTED_VALUE"""),0)</f>
        <v>0</v>
      </c>
      <c r="BA219" s="24">
        <f ca="1">IFERROR(__xludf.DUMMYFUNCTION("""COMPUTED_VALUE"""),0)</f>
        <v>0</v>
      </c>
      <c r="BB219" s="24">
        <f ca="1">IFERROR(__xludf.DUMMYFUNCTION("""COMPUTED_VALUE"""),0)</f>
        <v>0</v>
      </c>
      <c r="BC219" s="20"/>
      <c r="BD219" s="24">
        <f ca="1">IFERROR(__xludf.DUMMYFUNCTION("""COMPUTED_VALUE"""),0)</f>
        <v>0</v>
      </c>
      <c r="BE219" s="24">
        <f ca="1">IFERROR(__xludf.DUMMYFUNCTION("""COMPUTED_VALUE"""),0)</f>
        <v>0</v>
      </c>
      <c r="BF219" s="24">
        <f ca="1">IFERROR(__xludf.DUMMYFUNCTION("""COMPUTED_VALUE"""),0)</f>
        <v>0</v>
      </c>
      <c r="BG219" s="24">
        <f ca="1">IFERROR(__xludf.DUMMYFUNCTION("""COMPUTED_VALUE"""),0)</f>
        <v>0</v>
      </c>
      <c r="BH219" s="24">
        <f ca="1">IFERROR(__xludf.DUMMYFUNCTION("""COMPUTED_VALUE"""),0)</f>
        <v>0</v>
      </c>
      <c r="BI219" s="20"/>
      <c r="BJ219" s="24">
        <f ca="1">IFERROR(__xludf.DUMMYFUNCTION("""COMPUTED_VALUE"""),0)</f>
        <v>0</v>
      </c>
      <c r="BK219" s="24">
        <f ca="1">IFERROR(__xludf.DUMMYFUNCTION("""COMPUTED_VALUE"""),0)</f>
        <v>0</v>
      </c>
      <c r="BL219" s="24">
        <f ca="1">IFERROR(__xludf.DUMMYFUNCTION("""COMPUTED_VALUE"""),0)</f>
        <v>0</v>
      </c>
      <c r="BM219" s="24">
        <f ca="1">IFERROR(__xludf.DUMMYFUNCTION("""COMPUTED_VALUE"""),0)</f>
        <v>0</v>
      </c>
      <c r="BN219" s="24">
        <f ca="1">IFERROR(__xludf.DUMMYFUNCTION("""COMPUTED_VALUE"""),0)</f>
        <v>0</v>
      </c>
      <c r="BO219" s="20"/>
      <c r="BP219" s="24">
        <f ca="1">IFERROR(__xludf.DUMMYFUNCTION("""COMPUTED_VALUE"""),0)</f>
        <v>0</v>
      </c>
      <c r="BQ219" s="24">
        <f ca="1">IFERROR(__xludf.DUMMYFUNCTION("""COMPUTED_VALUE"""),0)</f>
        <v>0</v>
      </c>
      <c r="BR219" s="24">
        <f ca="1">IFERROR(__xludf.DUMMYFUNCTION("""COMPUTED_VALUE"""),0)</f>
        <v>0</v>
      </c>
      <c r="BS219" s="24">
        <f ca="1">IFERROR(__xludf.DUMMYFUNCTION("""COMPUTED_VALUE"""),0)</f>
        <v>0</v>
      </c>
      <c r="BT219" s="24">
        <f ca="1">IFERROR(__xludf.DUMMYFUNCTION("""COMPUTED_VALUE"""),0)</f>
        <v>0</v>
      </c>
      <c r="BU219" s="20"/>
      <c r="BV219" s="24">
        <f ca="1">IFERROR(__xludf.DUMMYFUNCTION("""COMPUTED_VALUE"""),0)</f>
        <v>0</v>
      </c>
      <c r="BW219" s="24">
        <f ca="1">IFERROR(__xludf.DUMMYFUNCTION("""COMPUTED_VALUE"""),0)</f>
        <v>0</v>
      </c>
      <c r="BX219" s="24">
        <f ca="1">IFERROR(__xludf.DUMMYFUNCTION("""COMPUTED_VALUE"""),0)</f>
        <v>0</v>
      </c>
      <c r="BY219" s="24">
        <f ca="1">IFERROR(__xludf.DUMMYFUNCTION("""COMPUTED_VALUE"""),0)</f>
        <v>0</v>
      </c>
      <c r="BZ219" s="24">
        <f ca="1">IFERROR(__xludf.DUMMYFUNCTION("""COMPUTED_VALUE"""),0)</f>
        <v>0</v>
      </c>
      <c r="CA219" s="20"/>
      <c r="CB219" s="20"/>
      <c r="CC219" s="20"/>
      <c r="CD219" s="20"/>
      <c r="CE219" s="20"/>
      <c r="CF219" s="20"/>
      <c r="CG219" s="20"/>
      <c r="CH219" s="20"/>
      <c r="CI219" s="20"/>
      <c r="CJ219" s="20"/>
      <c r="CK219" s="20"/>
      <c r="CL219" s="20"/>
      <c r="CM219" s="20"/>
      <c r="CN219" s="20"/>
      <c r="CO219" s="20"/>
      <c r="CP219" s="20"/>
      <c r="CQ219" s="20"/>
      <c r="CR219" s="20"/>
      <c r="CS219" s="20"/>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row>
    <row r="220" spans="1:123" ht="64.5" customHeight="1" x14ac:dyDescent="0.2">
      <c r="A220" s="19"/>
      <c r="B220" s="20" t="str">
        <f ca="1">IFERROR(__xludf.DUMMYFUNCTION("IMPORTRANGE(""https://docs.google.com/spreadsheets/d/1ZpB0joDVH_P6wgS1qdxv2Cg30eSt21FXcCJZMPEFRM4/edit#gid=371293563&amp;range=B5:DK9"", ""'ФП G6 Волга'!B5:DK9"")"),"г.о. Лыткарино")</f>
        <v>г.о. Лыткарино</v>
      </c>
      <c r="C22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0" s="20" t="str">
        <f ca="1">IFERROR(__xludf.DUMMYFUNCTION("""COMPUTED_VALUE"""),"МинЖКХ")</f>
        <v>МинЖКХ</v>
      </c>
      <c r="E220" s="20" t="str">
        <f ca="1">IFERROR(__xludf.DUMMYFUNCTION("""COMPUTED_VALUE"""),"Строительство городских канализационных очистных сооружений в г. Лыткарино производительностью 30 000 м куб. в сутки")</f>
        <v>Строительство городских канализационных очистных сооружений в г. Лыткарино производительностью 30 000 м куб. в сутки</v>
      </c>
      <c r="F220" s="32" t="str">
        <f ca="1">IFERROR(__xludf.DUMMYFUNCTION("""COMPUTED_VALUE"""),"ОС")</f>
        <v>ОС</v>
      </c>
      <c r="G220" s="20" t="str">
        <f ca="1">IFERROR(__xludf.DUMMYFUNCTION("""COMPUTED_VALUE"""),"2020-2022")</f>
        <v>2020-2022</v>
      </c>
      <c r="H220" s="20" t="str">
        <f ca="1">IFERROR(__xludf.DUMMYFUNCTION("""COMPUTED_VALUE"""),"СМР")</f>
        <v>СМР</v>
      </c>
      <c r="I220" s="20">
        <f ca="1">IFERROR(__xludf.DUMMYFUNCTION("""COMPUTED_VALUE"""),0)</f>
        <v>0</v>
      </c>
      <c r="J220" s="20" t="str">
        <f ca="1">IFERROR(__xludf.DUMMYFUNCTION("""COMPUTED_VALUE"""),"Мероприятия в стадии контрактации. закупка опубликована 02.11.2020. Окончание подачи заявок - 19.11.2020.  Заключение контракта - 10.12.2020. Оплата аванаса до 15.12.2020")</f>
        <v>Мероприятия в стадии контрактации. закупка опубликована 02.11.2020. Окончание подачи заявок - 19.11.2020.  Заключение контракта - 10.12.2020. Оплата аванаса до 15.12.2020</v>
      </c>
      <c r="K220" s="20">
        <f ca="1">IFERROR(__xludf.DUMMYFUNCTION("""COMPUTED_VALUE"""),59150)</f>
        <v>59150</v>
      </c>
      <c r="L220" s="20">
        <f ca="1">IFERROR(__xludf.DUMMYFUNCTION("""COMPUTED_VALUE"""),59150)</f>
        <v>59150</v>
      </c>
      <c r="M220" s="20"/>
      <c r="N220" s="24">
        <f ca="1">IFERROR(__xludf.DUMMYFUNCTION("""COMPUTED_VALUE"""),860870.65)</f>
        <v>860870.65</v>
      </c>
      <c r="O220" s="24">
        <f ca="1">IFERROR(__xludf.DUMMYFUNCTION("""COMPUTED_VALUE"""),645652.99)</f>
        <v>645652.99</v>
      </c>
      <c r="P220" s="24">
        <f ca="1">IFERROR(__xludf.DUMMYFUNCTION("""COMPUTED_VALUE"""),215217.66)</f>
        <v>215217.66</v>
      </c>
      <c r="Q220" s="24">
        <f ca="1">IFERROR(__xludf.DUMMYFUNCTION("""COMPUTED_VALUE"""),0)</f>
        <v>0</v>
      </c>
      <c r="R220" s="24">
        <f ca="1">IFERROR(__xludf.DUMMYFUNCTION("""COMPUTED_VALUE"""),0)</f>
        <v>0</v>
      </c>
      <c r="S220" s="24">
        <f ca="1">IFERROR(__xludf.DUMMYFUNCTION("""COMPUTED_VALUE"""),0)</f>
        <v>0</v>
      </c>
      <c r="T220" s="20" t="str">
        <f ca="1">IFERROR(__xludf.DUMMYFUNCTION("""COMPUTED_VALUE"""),"Проведён аукцион. Плановая дата заключения контракта 30.11.2020. Выплата аванса до 10.12.2020")</f>
        <v>Проведён аукцион. Плановая дата заключения контракта 30.11.2020. Выплата аванса до 10.12.2020</v>
      </c>
      <c r="U220" s="24">
        <f ca="1">IFERROR(__xludf.DUMMYFUNCTION("""COMPUTED_VALUE"""),8766.25)</f>
        <v>8766.25</v>
      </c>
      <c r="V220" s="24">
        <f ca="1">IFERROR(__xludf.DUMMYFUNCTION("""COMPUTED_VALUE"""),52.4100000000325)</f>
        <v>52.410000000032497</v>
      </c>
      <c r="W220" s="24">
        <f ca="1">IFERROR(__xludf.DUMMYFUNCTION("""COMPUTED_VALUE"""),17.4700000000011)</f>
        <v>17.4700000000011</v>
      </c>
      <c r="X220" s="24">
        <f ca="1">IFERROR(__xludf.DUMMYFUNCTION("""COMPUTED_VALUE"""),0)</f>
        <v>0</v>
      </c>
      <c r="Y220" s="24">
        <f ca="1">IFERROR(__xludf.DUMMYFUNCTION("""COMPUTED_VALUE"""),8696.37)</f>
        <v>8696.3700000000008</v>
      </c>
      <c r="Z220" s="24">
        <f ca="1">IFERROR(__xludf.DUMMYFUNCTION("""COMPUTED_VALUE"""),0)</f>
        <v>0</v>
      </c>
      <c r="AA220" s="20" t="str">
        <f ca="1">IFERROR(__xludf.DUMMYFUNCTION("""COMPUTED_VALUE"""),"10 2 G6 50130")</f>
        <v>10 2 G6 50130</v>
      </c>
      <c r="AB220" s="20">
        <f ca="1">IFERROR(__xludf.DUMMYFUNCTION("""COMPUTED_VALUE"""),522)</f>
        <v>522</v>
      </c>
      <c r="AC220" s="20" t="str">
        <f ca="1">IFERROR(__xludf.DUMMYFUNCTION("""COMPUTED_VALUE"""),"нет")</f>
        <v>нет</v>
      </c>
      <c r="AD220" s="20"/>
      <c r="AE220" s="20"/>
      <c r="AF220" s="24">
        <f ca="1">IFERROR(__xludf.DUMMYFUNCTION("""COMPUTED_VALUE"""),3233910.44)</f>
        <v>3233910.44</v>
      </c>
      <c r="AG220" s="24">
        <f ca="1">IFERROR(__xludf.DUMMYFUNCTION("""COMPUTED_VALUE"""),2401178.4)</f>
        <v>2401178.4</v>
      </c>
      <c r="AH220" s="24">
        <f ca="1">IFERROR(__xludf.DUMMYFUNCTION("""COMPUTED_VALUE"""),800392.83)</f>
        <v>800392.83</v>
      </c>
      <c r="AI220" s="24">
        <f ca="1">IFERROR(__xludf.DUMMYFUNCTION("""COMPUTED_VALUE"""),0)</f>
        <v>0</v>
      </c>
      <c r="AJ220" s="24">
        <f ca="1">IFERROR(__xludf.DUMMYFUNCTION("""COMPUTED_VALUE"""),32339.21)</f>
        <v>32339.21</v>
      </c>
      <c r="AK220" s="24">
        <f ca="1">IFERROR(__xludf.DUMMYFUNCTION("""COMPUTED_VALUE"""),0)</f>
        <v>0</v>
      </c>
      <c r="AL220" s="24">
        <f ca="1">IFERROR(__xludf.DUMMYFUNCTION("""COMPUTED_VALUE"""),0)</f>
        <v>0</v>
      </c>
      <c r="AM220" s="20"/>
      <c r="AN220" s="20"/>
      <c r="AO220" s="20"/>
      <c r="AP220" s="20"/>
      <c r="AQ220" s="20"/>
      <c r="AR220" s="24">
        <f ca="1">IFERROR(__xludf.DUMMYFUNCTION("""COMPUTED_VALUE"""),0)</f>
        <v>0</v>
      </c>
      <c r="AS220" s="20"/>
      <c r="AT220" s="20"/>
      <c r="AU220" s="20"/>
      <c r="AV220" s="20"/>
      <c r="AW220" s="20"/>
      <c r="AX220" s="24">
        <f ca="1">IFERROR(__xludf.DUMMYFUNCTION("""COMPUTED_VALUE"""),869636.9)</f>
        <v>869636.9</v>
      </c>
      <c r="AY220" s="24">
        <f ca="1">IFERROR(__xludf.DUMMYFUNCTION("""COMPUTED_VALUE"""),645705.4)</f>
        <v>645705.4</v>
      </c>
      <c r="AZ220" s="24">
        <f ca="1">IFERROR(__xludf.DUMMYFUNCTION("""COMPUTED_VALUE"""),215235.13)</f>
        <v>215235.13</v>
      </c>
      <c r="BA220" s="24">
        <f ca="1">IFERROR(__xludf.DUMMYFUNCTION("""COMPUTED_VALUE"""),0)</f>
        <v>0</v>
      </c>
      <c r="BB220" s="24">
        <f ca="1">IFERROR(__xludf.DUMMYFUNCTION("""COMPUTED_VALUE"""),8696.37)</f>
        <v>8696.3700000000008</v>
      </c>
      <c r="BC220" s="20"/>
      <c r="BD220" s="24">
        <f ca="1">IFERROR(__xludf.DUMMYFUNCTION("""COMPUTED_VALUE"""),1712875.89)</f>
        <v>1712875.89</v>
      </c>
      <c r="BE220" s="24">
        <f ca="1">IFERROR(__xludf.DUMMYFUNCTION("""COMPUTED_VALUE"""),1271810.3)</f>
        <v>1271810.3</v>
      </c>
      <c r="BF220" s="24">
        <f ca="1">IFERROR(__xludf.DUMMYFUNCTION("""COMPUTED_VALUE"""),423936.78)</f>
        <v>423936.78</v>
      </c>
      <c r="BG220" s="24">
        <f ca="1">IFERROR(__xludf.DUMMYFUNCTION("""COMPUTED_VALUE"""),0)</f>
        <v>0</v>
      </c>
      <c r="BH220" s="24">
        <f ca="1">IFERROR(__xludf.DUMMYFUNCTION("""COMPUTED_VALUE"""),17128.81)</f>
        <v>17128.810000000001</v>
      </c>
      <c r="BI220" s="20"/>
      <c r="BJ220" s="24">
        <f ca="1">IFERROR(__xludf.DUMMYFUNCTION("""COMPUTED_VALUE"""),651397.65)</f>
        <v>651397.65</v>
      </c>
      <c r="BK220" s="24">
        <f ca="1">IFERROR(__xludf.DUMMYFUNCTION("""COMPUTED_VALUE"""),483662.7)</f>
        <v>483662.7</v>
      </c>
      <c r="BL220" s="24">
        <f ca="1">IFERROR(__xludf.DUMMYFUNCTION("""COMPUTED_VALUE"""),161220.92)</f>
        <v>161220.92000000001</v>
      </c>
      <c r="BM220" s="24">
        <f ca="1">IFERROR(__xludf.DUMMYFUNCTION("""COMPUTED_VALUE"""),0)</f>
        <v>0</v>
      </c>
      <c r="BN220" s="24">
        <f ca="1">IFERROR(__xludf.DUMMYFUNCTION("""COMPUTED_VALUE"""),6514.03)</f>
        <v>6514.03</v>
      </c>
      <c r="BO220" s="20"/>
      <c r="BP220" s="24">
        <f ca="1">IFERROR(__xludf.DUMMYFUNCTION("""COMPUTED_VALUE"""),0)</f>
        <v>0</v>
      </c>
      <c r="BQ220" s="24">
        <f ca="1">IFERROR(__xludf.DUMMYFUNCTION("""COMPUTED_VALUE"""),0)</f>
        <v>0</v>
      </c>
      <c r="BR220" s="24">
        <f ca="1">IFERROR(__xludf.DUMMYFUNCTION("""COMPUTED_VALUE"""),0)</f>
        <v>0</v>
      </c>
      <c r="BS220" s="24">
        <f ca="1">IFERROR(__xludf.DUMMYFUNCTION("""COMPUTED_VALUE"""),0)</f>
        <v>0</v>
      </c>
      <c r="BT220" s="24">
        <f ca="1">IFERROR(__xludf.DUMMYFUNCTION("""COMPUTED_VALUE"""),0)</f>
        <v>0</v>
      </c>
      <c r="BU220" s="20"/>
      <c r="BV220" s="24">
        <f ca="1">IFERROR(__xludf.DUMMYFUNCTION("""COMPUTED_VALUE"""),0)</f>
        <v>0</v>
      </c>
      <c r="BW220" s="24">
        <f ca="1">IFERROR(__xludf.DUMMYFUNCTION("""COMPUTED_VALUE"""),0)</f>
        <v>0</v>
      </c>
      <c r="BX220" s="24">
        <f ca="1">IFERROR(__xludf.DUMMYFUNCTION("""COMPUTED_VALUE"""),0)</f>
        <v>0</v>
      </c>
      <c r="BY220" s="24">
        <f ca="1">IFERROR(__xludf.DUMMYFUNCTION("""COMPUTED_VALUE"""),0)</f>
        <v>0</v>
      </c>
      <c r="BZ220" s="24">
        <f ca="1">IFERROR(__xludf.DUMMYFUNCTION("""COMPUTED_VALUE"""),0)</f>
        <v>0</v>
      </c>
      <c r="CA220" s="20"/>
      <c r="CB220" s="20"/>
      <c r="CC220" s="20"/>
      <c r="CD220" s="20"/>
      <c r="CE220" s="20"/>
      <c r="CF220" s="20"/>
      <c r="CG220" s="20"/>
      <c r="CH220" s="20"/>
      <c r="CI220" s="20"/>
      <c r="CJ220" s="26">
        <f ca="1">IFERROR(__xludf.DUMMYFUNCTION("""COMPUTED_VALUE"""),43362)</f>
        <v>43362</v>
      </c>
      <c r="CK220" s="25">
        <f ca="1">IFERROR(__xludf.DUMMYFUNCTION("""COMPUTED_VALUE"""),43461)</f>
        <v>43461</v>
      </c>
      <c r="CL220" s="20" t="str">
        <f ca="1">IFERROR(__xludf.DUMMYFUNCTION("""COMPUTED_VALUE"""),"50-1-1-3-1984-18")</f>
        <v>50-1-1-3-1984-18</v>
      </c>
      <c r="CM220" s="26">
        <f ca="1">IFERROR(__xludf.DUMMYFUNCTION("""COMPUTED_VALUE"""),44137)</f>
        <v>44137</v>
      </c>
      <c r="CN220" s="20" t="str">
        <f ca="1">IFERROR(__xludf.DUMMYFUNCTION("""COMPUTED_VALUE"""),"0148200005420000398")</f>
        <v>0148200005420000398</v>
      </c>
      <c r="CO220" s="25">
        <f ca="1">IFERROR(__xludf.DUMMYFUNCTION("""COMPUTED_VALUE"""),44165)</f>
        <v>44165</v>
      </c>
      <c r="CP220" s="20" t="str">
        <f ca="1">IFERROR(__xludf.DUMMYFUNCTION("""COMPUTED_VALUE"""),"01482000054200003980001")</f>
        <v>01482000054200003980001</v>
      </c>
      <c r="CQ220" s="20">
        <f ca="1">IFERROR(__xludf.DUMMYFUNCTION("""COMPUTED_VALUE"""),3025098879.65)</f>
        <v>3025098879.6500001</v>
      </c>
      <c r="CR220" s="20" t="str">
        <f ca="1">IFERROR(__xludf.DUMMYFUNCTION("""COMPUTED_VALUE"""),"Акционерное общество ""Уральская энергетическая строительная компания""")</f>
        <v>Акционерное общество "Уральская энергетическая строительная компания"</v>
      </c>
      <c r="CS220" s="27" t="str">
        <f ca="1">IFERROR(__xludf.DUMMYFUNCTION("""COMPUTED_VALUE"""),"https://zakupki.gov.ru/epz/contract/contractCard/common-info.html?reestrNumber=3502611720320000054")</f>
        <v>https://zakupki.gov.ru/epz/contract/contractCard/common-info.html?reestrNumber=3502611720320000054</v>
      </c>
      <c r="CT220" s="34">
        <f ca="1">IFERROR(__xludf.DUMMYFUNCTION("""COMPUTED_VALUE"""),44146)</f>
        <v>44146</v>
      </c>
      <c r="CU220" s="35">
        <f ca="1">IFERROR(__xludf.DUMMYFUNCTION("""COMPUTED_VALUE"""),43831)</f>
        <v>43831</v>
      </c>
      <c r="CV220" s="36">
        <f ca="1">IFERROR(__xludf.DUMMYFUNCTION("""COMPUTED_VALUE"""),38827.59)</f>
        <v>38827.589999999997</v>
      </c>
      <c r="CW220" s="36">
        <f ca="1">IFERROR(__xludf.DUMMYFUNCTION("""COMPUTED_VALUE"""),28529.49)</f>
        <v>28529.49</v>
      </c>
      <c r="CX220" s="36">
        <f ca="1">IFERROR(__xludf.DUMMYFUNCTION("""COMPUTED_VALUE"""),9609.83)</f>
        <v>9609.83</v>
      </c>
      <c r="CY220" s="1">
        <f ca="1">IFERROR(__xludf.DUMMYFUNCTION("""COMPUTED_VALUE"""),0)</f>
        <v>0</v>
      </c>
      <c r="CZ220" s="36">
        <f ca="1">IFERROR(__xludf.DUMMYFUNCTION("""COMPUTED_VALUE"""),388.27)</f>
        <v>388.27</v>
      </c>
      <c r="DA220" s="1"/>
      <c r="DB220" s="1"/>
      <c r="DC220" s="1"/>
      <c r="DD220" s="1"/>
      <c r="DE220" s="1"/>
      <c r="DF220" s="1"/>
      <c r="DG220" s="1"/>
      <c r="DH220" s="1"/>
      <c r="DI220" s="1"/>
      <c r="DJ220" s="1"/>
      <c r="DK220" s="1"/>
      <c r="DL220" s="1"/>
      <c r="DM220" s="1"/>
      <c r="DN220" s="1"/>
      <c r="DO220" s="1"/>
      <c r="DP220" s="1"/>
      <c r="DQ220" s="1"/>
      <c r="DR220" s="1"/>
      <c r="DS220" s="1"/>
    </row>
    <row r="221" spans="1:123" ht="64.5" customHeight="1" x14ac:dyDescent="0.2">
      <c r="A221" s="19"/>
      <c r="B221" s="20" t="str">
        <f ca="1">IFERROR(__xludf.DUMMYFUNCTION("""COMPUTED_VALUE"""),"г.о. Подольск")</f>
        <v>г.о. Подольск</v>
      </c>
      <c r="C22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1" s="20" t="str">
        <f ca="1">IFERROR(__xludf.DUMMYFUNCTION("""COMPUTED_VALUE"""),"МинЖКХ")</f>
        <v>МинЖКХ</v>
      </c>
      <c r="E221" s="20" t="str">
        <f ca="1">IFERROR(__xludf.DUMMYFUNCTION("""COMPUTED_VALUE"""),"Реконструкция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f>
        <v>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v>
      </c>
      <c r="F221" s="32" t="str">
        <f ca="1">IFERROR(__xludf.DUMMYFUNCTION("""COMPUTED_VALUE"""),"ОС")</f>
        <v>ОС</v>
      </c>
      <c r="G221" s="20" t="str">
        <f ca="1">IFERROR(__xludf.DUMMYFUNCTION("""COMPUTED_VALUE"""),"2019-2020")</f>
        <v>2019-2020</v>
      </c>
      <c r="H221" s="20" t="str">
        <f ca="1">IFERROR(__xludf.DUMMYFUNCTION("""COMPUTED_VALUE"""),"СМР")</f>
        <v>СМР</v>
      </c>
      <c r="I221" s="20">
        <f ca="1">IFERROR(__xludf.DUMMYFUNCTION("""COMPUTED_VALUE"""),100)</f>
        <v>100</v>
      </c>
      <c r="J221" s="20" t="str">
        <f ca="1">IFERROR(__xludf.DUMMYFUNCTION("""COMPUTED_VALUE"""),"СМР завершены. Оплата оставшейся части до конца ноября")</f>
        <v>СМР завершены. Оплата оставшейся части до конца ноября</v>
      </c>
      <c r="K221" s="20">
        <f ca="1">IFERROR(__xludf.DUMMYFUNCTION("""COMPUTED_VALUE"""),329000)</f>
        <v>329000</v>
      </c>
      <c r="L221" s="20">
        <f ca="1">IFERROR(__xludf.DUMMYFUNCTION("""COMPUTED_VALUE"""),360000)</f>
        <v>360000</v>
      </c>
      <c r="M221" s="20"/>
      <c r="N221" s="24">
        <f ca="1">IFERROR(__xludf.DUMMYFUNCTION("""COMPUTED_VALUE"""),755444.168)</f>
        <v>755444.16799999995</v>
      </c>
      <c r="O221" s="24">
        <f ca="1">IFERROR(__xludf.DUMMYFUNCTION("""COMPUTED_VALUE"""),562567.39)</f>
        <v>562567.39</v>
      </c>
      <c r="P221" s="24">
        <f ca="1">IFERROR(__xludf.DUMMYFUNCTION("""COMPUTED_VALUE"""),0)</f>
        <v>0</v>
      </c>
      <c r="Q221" s="24">
        <f ca="1">IFERROR(__xludf.DUMMYFUNCTION("""COMPUTED_VALUE"""),187522.46)</f>
        <v>187522.46</v>
      </c>
      <c r="R221" s="24">
        <f ca="1">IFERROR(__xludf.DUMMYFUNCTION("""COMPUTED_VALUE"""),5354.318)</f>
        <v>5354.3180000000002</v>
      </c>
      <c r="S221" s="24">
        <f ca="1">IFERROR(__xludf.DUMMYFUNCTION("""COMPUTED_VALUE"""),0)</f>
        <v>0</v>
      </c>
      <c r="T221" s="20"/>
      <c r="U221" s="24">
        <f ca="1">IFERROR(__xludf.DUMMYFUNCTION("""COMPUTED_VALUE"""),14841.7419999999)</f>
        <v>14841.7419999999</v>
      </c>
      <c r="V221" s="24">
        <f ca="1">IFERROR(__xludf.DUMMYFUNCTION("""COMPUTED_VALUE"""),9369.90000000002)</f>
        <v>9369.9000000000196</v>
      </c>
      <c r="W221" s="24">
        <f ca="1">IFERROR(__xludf.DUMMYFUNCTION("""COMPUTED_VALUE"""),0)</f>
        <v>0</v>
      </c>
      <c r="X221" s="24">
        <f ca="1">IFERROR(__xludf.DUMMYFUNCTION("""COMPUTED_VALUE"""),3123.30000000001)</f>
        <v>3123.3000000000102</v>
      </c>
      <c r="Y221" s="24">
        <f ca="1">IFERROR(__xludf.DUMMYFUNCTION("""COMPUTED_VALUE"""),2348.54199999999)</f>
        <v>2348.5419999999899</v>
      </c>
      <c r="Z221" s="24">
        <f ca="1">IFERROR(__xludf.DUMMYFUNCTION("""COMPUTED_VALUE"""),0)</f>
        <v>0</v>
      </c>
      <c r="AA221" s="20" t="str">
        <f ca="1">IFERROR(__xludf.DUMMYFUNCTION("""COMPUTED_VALUE"""),"10 2 G6 50130")</f>
        <v>10 2 G6 50130</v>
      </c>
      <c r="AB221" s="20">
        <f ca="1">IFERROR(__xludf.DUMMYFUNCTION("""COMPUTED_VALUE"""),522)</f>
        <v>522</v>
      </c>
      <c r="AC221" s="20" t="str">
        <f ca="1">IFERROR(__xludf.DUMMYFUNCTION("""COMPUTED_VALUE"""),"да")</f>
        <v>да</v>
      </c>
      <c r="AD221" s="20"/>
      <c r="AE221" s="20" t="str">
        <f ca="1">IFERROR(__xludf.DUMMYFUNCTION("""COMPUTED_VALUE"""),"RU50-27-14791-2019 от 02.12.2019")</f>
        <v>RU50-27-14791-2019 от 02.12.2019</v>
      </c>
      <c r="AF221" s="24">
        <f ca="1">IFERROR(__xludf.DUMMYFUNCTION("""COMPUTED_VALUE"""),770285.91)</f>
        <v>770285.91</v>
      </c>
      <c r="AG221" s="24">
        <f ca="1">IFERROR(__xludf.DUMMYFUNCTION("""COMPUTED_VALUE"""),571937.29)</f>
        <v>571937.29</v>
      </c>
      <c r="AH221" s="24">
        <f ca="1">IFERROR(__xludf.DUMMYFUNCTION("""COMPUTED_VALUE"""),0)</f>
        <v>0</v>
      </c>
      <c r="AI221" s="24">
        <f ca="1">IFERROR(__xludf.DUMMYFUNCTION("""COMPUTED_VALUE"""),190645.76)</f>
        <v>190645.76000000001</v>
      </c>
      <c r="AJ221" s="24">
        <f ca="1">IFERROR(__xludf.DUMMYFUNCTION("""COMPUTED_VALUE"""),7702.86)</f>
        <v>7702.86</v>
      </c>
      <c r="AK221" s="24">
        <f ca="1">IFERROR(__xludf.DUMMYFUNCTION("""COMPUTED_VALUE"""),0)</f>
        <v>0</v>
      </c>
      <c r="AL221" s="24">
        <f ca="1">IFERROR(__xludf.DUMMYFUNCTION("""COMPUTED_VALUE"""),0)</f>
        <v>0</v>
      </c>
      <c r="AM221" s="20"/>
      <c r="AN221" s="20"/>
      <c r="AO221" s="20"/>
      <c r="AP221" s="20"/>
      <c r="AQ221" s="20"/>
      <c r="AR221" s="24">
        <f ca="1">IFERROR(__xludf.DUMMYFUNCTION("""COMPUTED_VALUE"""),0)</f>
        <v>0</v>
      </c>
      <c r="AS221" s="20"/>
      <c r="AT221" s="20"/>
      <c r="AU221" s="20"/>
      <c r="AV221" s="20"/>
      <c r="AW221" s="20"/>
      <c r="AX221" s="24">
        <f ca="1">IFERROR(__xludf.DUMMYFUNCTION("""COMPUTED_VALUE"""),770285.91)</f>
        <v>770285.91</v>
      </c>
      <c r="AY221" s="24">
        <f ca="1">IFERROR(__xludf.DUMMYFUNCTION("""COMPUTED_VALUE"""),571937.29)</f>
        <v>571937.29</v>
      </c>
      <c r="AZ221" s="24">
        <f ca="1">IFERROR(__xludf.DUMMYFUNCTION("""COMPUTED_VALUE"""),0)</f>
        <v>0</v>
      </c>
      <c r="BA221" s="24">
        <f ca="1">IFERROR(__xludf.DUMMYFUNCTION("""COMPUTED_VALUE"""),190645.76)</f>
        <v>190645.76000000001</v>
      </c>
      <c r="BB221" s="24">
        <f ca="1">IFERROR(__xludf.DUMMYFUNCTION("""COMPUTED_VALUE"""),7702.86)</f>
        <v>7702.86</v>
      </c>
      <c r="BC221" s="20"/>
      <c r="BD221" s="24">
        <f ca="1">IFERROR(__xludf.DUMMYFUNCTION("""COMPUTED_VALUE"""),0)</f>
        <v>0</v>
      </c>
      <c r="BE221" s="24">
        <f ca="1">IFERROR(__xludf.DUMMYFUNCTION("""COMPUTED_VALUE"""),0)</f>
        <v>0</v>
      </c>
      <c r="BF221" s="24">
        <f ca="1">IFERROR(__xludf.DUMMYFUNCTION("""COMPUTED_VALUE"""),0)</f>
        <v>0</v>
      </c>
      <c r="BG221" s="24">
        <f ca="1">IFERROR(__xludf.DUMMYFUNCTION("""COMPUTED_VALUE"""),0)</f>
        <v>0</v>
      </c>
      <c r="BH221" s="24">
        <f ca="1">IFERROR(__xludf.DUMMYFUNCTION("""COMPUTED_VALUE"""),0)</f>
        <v>0</v>
      </c>
      <c r="BI221" s="20"/>
      <c r="BJ221" s="24">
        <f ca="1">IFERROR(__xludf.DUMMYFUNCTION("""COMPUTED_VALUE"""),0)</f>
        <v>0</v>
      </c>
      <c r="BK221" s="24">
        <f ca="1">IFERROR(__xludf.DUMMYFUNCTION("""COMPUTED_VALUE"""),0)</f>
        <v>0</v>
      </c>
      <c r="BL221" s="24">
        <f ca="1">IFERROR(__xludf.DUMMYFUNCTION("""COMPUTED_VALUE"""),0)</f>
        <v>0</v>
      </c>
      <c r="BM221" s="24">
        <f ca="1">IFERROR(__xludf.DUMMYFUNCTION("""COMPUTED_VALUE"""),0)</f>
        <v>0</v>
      </c>
      <c r="BN221" s="24">
        <f ca="1">IFERROR(__xludf.DUMMYFUNCTION("""COMPUTED_VALUE"""),0)</f>
        <v>0</v>
      </c>
      <c r="BO221" s="20"/>
      <c r="BP221" s="24">
        <f ca="1">IFERROR(__xludf.DUMMYFUNCTION("""COMPUTED_VALUE"""),0)</f>
        <v>0</v>
      </c>
      <c r="BQ221" s="24">
        <f ca="1">IFERROR(__xludf.DUMMYFUNCTION("""COMPUTED_VALUE"""),0)</f>
        <v>0</v>
      </c>
      <c r="BR221" s="24">
        <f ca="1">IFERROR(__xludf.DUMMYFUNCTION("""COMPUTED_VALUE"""),0)</f>
        <v>0</v>
      </c>
      <c r="BS221" s="24">
        <f ca="1">IFERROR(__xludf.DUMMYFUNCTION("""COMPUTED_VALUE"""),0)</f>
        <v>0</v>
      </c>
      <c r="BT221" s="24">
        <f ca="1">IFERROR(__xludf.DUMMYFUNCTION("""COMPUTED_VALUE"""),0)</f>
        <v>0</v>
      </c>
      <c r="BU221" s="20"/>
      <c r="BV221" s="24">
        <f ca="1">IFERROR(__xludf.DUMMYFUNCTION("""COMPUTED_VALUE"""),0)</f>
        <v>0</v>
      </c>
      <c r="BW221" s="24">
        <f ca="1">IFERROR(__xludf.DUMMYFUNCTION("""COMPUTED_VALUE"""),0)</f>
        <v>0</v>
      </c>
      <c r="BX221" s="24">
        <f ca="1">IFERROR(__xludf.DUMMYFUNCTION("""COMPUTED_VALUE"""),0)</f>
        <v>0</v>
      </c>
      <c r="BY221" s="24">
        <f ca="1">IFERROR(__xludf.DUMMYFUNCTION("""COMPUTED_VALUE"""),0)</f>
        <v>0</v>
      </c>
      <c r="BZ221" s="24">
        <f ca="1">IFERROR(__xludf.DUMMYFUNCTION("""COMPUTED_VALUE"""),0)</f>
        <v>0</v>
      </c>
      <c r="CA221" s="20"/>
      <c r="CB221" s="20"/>
      <c r="CC221" s="20"/>
      <c r="CD221" s="20"/>
      <c r="CE221" s="20"/>
      <c r="CF221" s="20"/>
      <c r="CG221" s="20"/>
      <c r="CH221" s="20"/>
      <c r="CI221" s="20"/>
      <c r="CJ221" s="25">
        <f ca="1">IFERROR(__xludf.DUMMYFUNCTION("""COMPUTED_VALUE"""),43396)</f>
        <v>43396</v>
      </c>
      <c r="CK221" s="25">
        <f ca="1">IFERROR(__xludf.DUMMYFUNCTION("""COMPUTED_VALUE"""),43458)</f>
        <v>43458</v>
      </c>
      <c r="CL221" s="20" t="str">
        <f ca="1">IFERROR(__xludf.DUMMYFUNCTION("""COMPUTED_VALUE"""),"50-1-1-2-1847-18")</f>
        <v>50-1-1-2-1847-18</v>
      </c>
      <c r="CM221" s="26">
        <f ca="1">IFERROR(__xludf.DUMMYFUNCTION("""COMPUTED_VALUE"""),43682)</f>
        <v>43682</v>
      </c>
      <c r="CN221" s="20" t="str">
        <f ca="1">IFERROR(__xludf.DUMMYFUNCTION("""COMPUTED_VALUE"""),"0148200005419000396")</f>
        <v>0148200005419000396</v>
      </c>
      <c r="CO221" s="26">
        <f ca="1">IFERROR(__xludf.DUMMYFUNCTION("""COMPUTED_VALUE"""),43705)</f>
        <v>43705</v>
      </c>
      <c r="CP221" s="20" t="str">
        <f ca="1">IFERROR(__xludf.DUMMYFUNCTION("""COMPUTED_VALUE"""),"232739-19")</f>
        <v>232739-19</v>
      </c>
      <c r="CQ221" s="20">
        <f ca="1">IFERROR(__xludf.DUMMYFUNCTION("""COMPUTED_VALUE"""),1081050390.08)</f>
        <v>1081050390.0799999</v>
      </c>
      <c r="CR221" s="20" t="str">
        <f ca="1">IFERROR(__xludf.DUMMYFUNCTION("""COMPUTED_VALUE"""),"МУП "" Водоканал "" г. Подольска")</f>
        <v>МУП " Водоканал " г. Подольска</v>
      </c>
      <c r="CS221" s="27" t="str">
        <f ca="1">IFERROR(__xludf.DUMMYFUNCTION("""COMPUTED_VALUE"""),"https://zakupki.gov.ru/epz/contract/contractCard/common-info.html?reestrNumber=3503615528619000048&amp;backUrl=642ceed7-c226-4ce4-87aa-51b97a4a4007")</f>
        <v>https://zakupki.gov.ru/epz/contract/contractCard/common-info.html?reestrNumber=3503615528619000048&amp;backUrl=642ceed7-c226-4ce4-87aa-51b97a4a4007</v>
      </c>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row>
    <row r="222" spans="1:123" ht="64.5" customHeight="1" x14ac:dyDescent="0.2">
      <c r="A222" s="19"/>
      <c r="B222" s="20" t="str">
        <f ca="1">IFERROR(__xludf.DUMMYFUNCTION("""COMPUTED_VALUE"""),"г.о. Подольск")</f>
        <v>г.о. Подольск</v>
      </c>
      <c r="C22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2" s="20" t="str">
        <f ca="1">IFERROR(__xludf.DUMMYFUNCTION("""COMPUTED_VALUE"""),"МинЖКХ")</f>
        <v>МинЖКХ</v>
      </c>
      <c r="E222" s="20" t="str">
        <f ca="1">IFERROR(__xludf.DUMMYFUNCTION("""COMPUTED_VALUE"""),"Канализационный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f>
        <v>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v>
      </c>
      <c r="F222" s="32" t="str">
        <f ca="1">IFERROR(__xludf.DUMMYFUNCTION("""COMPUTED_VALUE"""),"КНК")</f>
        <v>КНК</v>
      </c>
      <c r="G222" s="20" t="str">
        <f ca="1">IFERROR(__xludf.DUMMYFUNCTION("""COMPUTED_VALUE"""),"2019-2020")</f>
        <v>2019-2020</v>
      </c>
      <c r="H222" s="20" t="str">
        <f ca="1">IFERROR(__xludf.DUMMYFUNCTION("""COMPUTED_VALUE"""),"СМР")</f>
        <v>СМР</v>
      </c>
      <c r="I222" s="20">
        <f ca="1">IFERROR(__xludf.DUMMYFUNCTION("""COMPUTED_VALUE"""),100)</f>
        <v>100</v>
      </c>
      <c r="J222" s="20" t="str">
        <f ca="1">IFERROR(__xludf.DUMMYFUNCTION("""COMPUTED_VALUE"""),"СМР завершены. Оплата оставшейся части до 20.11.2020")</f>
        <v>СМР завершены. Оплата оставшейся части до 20.11.2020</v>
      </c>
      <c r="K222" s="20">
        <f ca="1">IFERROR(__xludf.DUMMYFUNCTION("""COMPUTED_VALUE"""),30000)</f>
        <v>30000</v>
      </c>
      <c r="L222" s="20">
        <f ca="1">IFERROR(__xludf.DUMMYFUNCTION("""COMPUTED_VALUE"""),30000)</f>
        <v>30000</v>
      </c>
      <c r="M222" s="20"/>
      <c r="N222" s="24">
        <f ca="1">IFERROR(__xludf.DUMMYFUNCTION("""COMPUTED_VALUE"""),349881.93)</f>
        <v>349881.93</v>
      </c>
      <c r="O222" s="24">
        <f ca="1">IFERROR(__xludf.DUMMYFUNCTION("""COMPUTED_VALUE"""),259788.78)</f>
        <v>259788.78</v>
      </c>
      <c r="P222" s="24">
        <f ca="1">IFERROR(__xludf.DUMMYFUNCTION("""COMPUTED_VALUE"""),0)</f>
        <v>0</v>
      </c>
      <c r="Q222" s="24">
        <f ca="1">IFERROR(__xludf.DUMMYFUNCTION("""COMPUTED_VALUE"""),86596.26)</f>
        <v>86596.26</v>
      </c>
      <c r="R222" s="24">
        <f ca="1">IFERROR(__xludf.DUMMYFUNCTION("""COMPUTED_VALUE"""),3496.89)</f>
        <v>3496.89</v>
      </c>
      <c r="S222" s="24">
        <f ca="1">IFERROR(__xludf.DUMMYFUNCTION("""COMPUTED_VALUE"""),0)</f>
        <v>0</v>
      </c>
      <c r="T222" s="20"/>
      <c r="U222" s="24">
        <f ca="1">IFERROR(__xludf.DUMMYFUNCTION("""COMPUTED_VALUE"""),25522.1099999999)</f>
        <v>25522.109999999899</v>
      </c>
      <c r="V222" s="24">
        <f ca="1">IFERROR(__xludf.DUMMYFUNCTION("""COMPUTED_VALUE"""),18948.72)</f>
        <v>18948.72</v>
      </c>
      <c r="W222" s="24">
        <f ca="1">IFERROR(__xludf.DUMMYFUNCTION("""COMPUTED_VALUE"""),0)</f>
        <v>0</v>
      </c>
      <c r="X222" s="24">
        <f ca="1">IFERROR(__xludf.DUMMYFUNCTION("""COMPUTED_VALUE"""),6316.24)</f>
        <v>6316.24</v>
      </c>
      <c r="Y222" s="24">
        <f ca="1">IFERROR(__xludf.DUMMYFUNCTION("""COMPUTED_VALUE"""),257.15)</f>
        <v>257.14999999999998</v>
      </c>
      <c r="Z222" s="24">
        <f ca="1">IFERROR(__xludf.DUMMYFUNCTION("""COMPUTED_VALUE"""),0)</f>
        <v>0</v>
      </c>
      <c r="AA222" s="20" t="str">
        <f ca="1">IFERROR(__xludf.DUMMYFUNCTION("""COMPUTED_VALUE"""),"10 2 G6 50130")</f>
        <v>10 2 G6 50130</v>
      </c>
      <c r="AB222" s="20">
        <f ca="1">IFERROR(__xludf.DUMMYFUNCTION("""COMPUTED_VALUE"""),522)</f>
        <v>522</v>
      </c>
      <c r="AC222" s="20" t="str">
        <f ca="1">IFERROR(__xludf.DUMMYFUNCTION("""COMPUTED_VALUE"""),"не требуется")</f>
        <v>не требуется</v>
      </c>
      <c r="AD222" s="20"/>
      <c r="AE222" s="20"/>
      <c r="AF222" s="24">
        <f ca="1">IFERROR(__xludf.DUMMYFUNCTION("""COMPUTED_VALUE"""),375404.04)</f>
        <v>375404.04</v>
      </c>
      <c r="AG222" s="24">
        <f ca="1">IFERROR(__xludf.DUMMYFUNCTION("""COMPUTED_VALUE"""),278737.5)</f>
        <v>278737.5</v>
      </c>
      <c r="AH222" s="24">
        <f ca="1">IFERROR(__xludf.DUMMYFUNCTION("""COMPUTED_VALUE"""),0)</f>
        <v>0</v>
      </c>
      <c r="AI222" s="24">
        <f ca="1">IFERROR(__xludf.DUMMYFUNCTION("""COMPUTED_VALUE"""),92912.5)</f>
        <v>92912.5</v>
      </c>
      <c r="AJ222" s="24">
        <f ca="1">IFERROR(__xludf.DUMMYFUNCTION("""COMPUTED_VALUE"""),3754.04)</f>
        <v>3754.04</v>
      </c>
      <c r="AK222" s="24">
        <f ca="1">IFERROR(__xludf.DUMMYFUNCTION("""COMPUTED_VALUE"""),0)</f>
        <v>0</v>
      </c>
      <c r="AL222" s="24">
        <f ca="1">IFERROR(__xludf.DUMMYFUNCTION("""COMPUTED_VALUE"""),0)</f>
        <v>0</v>
      </c>
      <c r="AM222" s="20"/>
      <c r="AN222" s="20"/>
      <c r="AO222" s="20"/>
      <c r="AP222" s="20"/>
      <c r="AQ222" s="20"/>
      <c r="AR222" s="24">
        <f ca="1">IFERROR(__xludf.DUMMYFUNCTION("""COMPUTED_VALUE"""),0)</f>
        <v>0</v>
      </c>
      <c r="AS222" s="20"/>
      <c r="AT222" s="20"/>
      <c r="AU222" s="20"/>
      <c r="AV222" s="20"/>
      <c r="AW222" s="20"/>
      <c r="AX222" s="24">
        <f ca="1">IFERROR(__xludf.DUMMYFUNCTION("""COMPUTED_VALUE"""),375404.04)</f>
        <v>375404.04</v>
      </c>
      <c r="AY222" s="24">
        <f ca="1">IFERROR(__xludf.DUMMYFUNCTION("""COMPUTED_VALUE"""),278737.5)</f>
        <v>278737.5</v>
      </c>
      <c r="AZ222" s="24">
        <f ca="1">IFERROR(__xludf.DUMMYFUNCTION("""COMPUTED_VALUE"""),0)</f>
        <v>0</v>
      </c>
      <c r="BA222" s="24">
        <f ca="1">IFERROR(__xludf.DUMMYFUNCTION("""COMPUTED_VALUE"""),92912.5)</f>
        <v>92912.5</v>
      </c>
      <c r="BB222" s="24">
        <f ca="1">IFERROR(__xludf.DUMMYFUNCTION("""COMPUTED_VALUE"""),3754.04)</f>
        <v>3754.04</v>
      </c>
      <c r="BC222" s="20"/>
      <c r="BD222" s="24">
        <f ca="1">IFERROR(__xludf.DUMMYFUNCTION("""COMPUTED_VALUE"""),0)</f>
        <v>0</v>
      </c>
      <c r="BE222" s="24">
        <f ca="1">IFERROR(__xludf.DUMMYFUNCTION("""COMPUTED_VALUE"""),0)</f>
        <v>0</v>
      </c>
      <c r="BF222" s="24">
        <f ca="1">IFERROR(__xludf.DUMMYFUNCTION("""COMPUTED_VALUE"""),0)</f>
        <v>0</v>
      </c>
      <c r="BG222" s="24">
        <f ca="1">IFERROR(__xludf.DUMMYFUNCTION("""COMPUTED_VALUE"""),0)</f>
        <v>0</v>
      </c>
      <c r="BH222" s="24">
        <f ca="1">IFERROR(__xludf.DUMMYFUNCTION("""COMPUTED_VALUE"""),0)</f>
        <v>0</v>
      </c>
      <c r="BI222" s="20"/>
      <c r="BJ222" s="24">
        <f ca="1">IFERROR(__xludf.DUMMYFUNCTION("""COMPUTED_VALUE"""),0)</f>
        <v>0</v>
      </c>
      <c r="BK222" s="24">
        <f ca="1">IFERROR(__xludf.DUMMYFUNCTION("""COMPUTED_VALUE"""),0)</f>
        <v>0</v>
      </c>
      <c r="BL222" s="24">
        <f ca="1">IFERROR(__xludf.DUMMYFUNCTION("""COMPUTED_VALUE"""),0)</f>
        <v>0</v>
      </c>
      <c r="BM222" s="24">
        <f ca="1">IFERROR(__xludf.DUMMYFUNCTION("""COMPUTED_VALUE"""),0)</f>
        <v>0</v>
      </c>
      <c r="BN222" s="24">
        <f ca="1">IFERROR(__xludf.DUMMYFUNCTION("""COMPUTED_VALUE"""),0)</f>
        <v>0</v>
      </c>
      <c r="BO222" s="20"/>
      <c r="BP222" s="24">
        <f ca="1">IFERROR(__xludf.DUMMYFUNCTION("""COMPUTED_VALUE"""),0)</f>
        <v>0</v>
      </c>
      <c r="BQ222" s="24">
        <f ca="1">IFERROR(__xludf.DUMMYFUNCTION("""COMPUTED_VALUE"""),0)</f>
        <v>0</v>
      </c>
      <c r="BR222" s="24">
        <f ca="1">IFERROR(__xludf.DUMMYFUNCTION("""COMPUTED_VALUE"""),0)</f>
        <v>0</v>
      </c>
      <c r="BS222" s="24">
        <f ca="1">IFERROR(__xludf.DUMMYFUNCTION("""COMPUTED_VALUE"""),0)</f>
        <v>0</v>
      </c>
      <c r="BT222" s="24">
        <f ca="1">IFERROR(__xludf.DUMMYFUNCTION("""COMPUTED_VALUE"""),0)</f>
        <v>0</v>
      </c>
      <c r="BU222" s="20"/>
      <c r="BV222" s="24">
        <f ca="1">IFERROR(__xludf.DUMMYFUNCTION("""COMPUTED_VALUE"""),0)</f>
        <v>0</v>
      </c>
      <c r="BW222" s="24">
        <f ca="1">IFERROR(__xludf.DUMMYFUNCTION("""COMPUTED_VALUE"""),0)</f>
        <v>0</v>
      </c>
      <c r="BX222" s="24">
        <f ca="1">IFERROR(__xludf.DUMMYFUNCTION("""COMPUTED_VALUE"""),0)</f>
        <v>0</v>
      </c>
      <c r="BY222" s="24">
        <f ca="1">IFERROR(__xludf.DUMMYFUNCTION("""COMPUTED_VALUE"""),0)</f>
        <v>0</v>
      </c>
      <c r="BZ222" s="24">
        <f ca="1">IFERROR(__xludf.DUMMYFUNCTION("""COMPUTED_VALUE"""),0)</f>
        <v>0</v>
      </c>
      <c r="CA222" s="20"/>
      <c r="CB222" s="20"/>
      <c r="CC222" s="20"/>
      <c r="CD222" s="20"/>
      <c r="CE222" s="20"/>
      <c r="CF222" s="20"/>
      <c r="CG222" s="20"/>
      <c r="CH222" s="20"/>
      <c r="CI222" s="20"/>
      <c r="CJ222" s="25">
        <f ca="1">IFERROR(__xludf.DUMMYFUNCTION("""COMPUTED_VALUE"""),43389)</f>
        <v>43389</v>
      </c>
      <c r="CK222" s="25">
        <f ca="1">IFERROR(__xludf.DUMMYFUNCTION("""COMPUTED_VALUE"""),43480)</f>
        <v>43480</v>
      </c>
      <c r="CL222" s="20" t="str">
        <f ca="1">IFERROR(__xludf.DUMMYFUNCTION("""COMPUTED_VALUE"""),"50-1-13-0006-19")</f>
        <v>50-1-13-0006-19</v>
      </c>
      <c r="CM222" s="26">
        <f ca="1">IFERROR(__xludf.DUMMYFUNCTION("""COMPUTED_VALUE"""),43718)</f>
        <v>43718</v>
      </c>
      <c r="CN222" s="20" t="str">
        <f ca="1">IFERROR(__xludf.DUMMYFUNCTION("""COMPUTED_VALUE"""),"0148200005419000453")</f>
        <v>0148200005419000453</v>
      </c>
      <c r="CO222" s="25">
        <f ca="1">IFERROR(__xludf.DUMMYFUNCTION("""COMPUTED_VALUE"""),43748)</f>
        <v>43748</v>
      </c>
      <c r="CP222" s="20" t="str">
        <f ca="1">IFERROR(__xludf.DUMMYFUNCTION("""COMPUTED_VALUE"""),"264930-19")</f>
        <v>264930-19</v>
      </c>
      <c r="CQ222" s="20">
        <f ca="1">IFERROR(__xludf.DUMMYFUNCTION("""COMPUTED_VALUE"""),348658382.27)</f>
        <v>348658382.26999998</v>
      </c>
      <c r="CR222" s="20" t="str">
        <f ca="1">IFERROR(__xludf.DUMMYFUNCTION("""COMPUTED_VALUE"""),"МУП "" Водоканал "" г. Подольска")</f>
        <v>МУП " Водоканал " г. Подольска</v>
      </c>
      <c r="CS222" s="27" t="str">
        <f ca="1">IFERROR(__xludf.DUMMYFUNCTION("""COMPUTED_VALUE"""),"https://zakupki.gov.ru/epz/contract/contractCard/common-info.html?reestrNumber=3503615528619000054&amp;backUrl=480ac382-1635-409a-a3e4-0df246e810c5")</f>
        <v>https://zakupki.gov.ru/epz/contract/contractCard/common-info.html?reestrNumber=3503615528619000054&amp;backUrl=480ac382-1635-409a-a3e4-0df246e810c5</v>
      </c>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row>
    <row r="223" spans="1:123" ht="64.5" customHeight="1" x14ac:dyDescent="0.2">
      <c r="A223" s="19"/>
      <c r="B223" s="20" t="str">
        <f ca="1">IFERROR(__xludf.DUMMYFUNCTION("""COMPUTED_VALUE"""),"г.о. Шатура")</f>
        <v>г.о. Шатура</v>
      </c>
      <c r="C22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3" s="20" t="str">
        <f ca="1">IFERROR(__xludf.DUMMYFUNCTION("""COMPUTED_VALUE"""),"МинЖКХ")</f>
        <v>МинЖКХ</v>
      </c>
      <c r="E223" s="20" t="str">
        <f ca="1">IFERROR(__xludf.DUMMYFUNCTION("""COMPUTED_VALUE"""),"Строительство очистных сооружений г. Шатура ул. Малькина Грива ")</f>
        <v xml:space="preserve">Строительство очистных сооружений г. Шатура ул. Малькина Грива </v>
      </c>
      <c r="F223" s="32" t="str">
        <f ca="1">IFERROR(__xludf.DUMMYFUNCTION("""COMPUTED_VALUE"""),"ОС")</f>
        <v>ОС</v>
      </c>
      <c r="G223" s="20" t="str">
        <f ca="1">IFERROR(__xludf.DUMMYFUNCTION("""COMPUTED_VALUE"""),"2020-2021")</f>
        <v>2020-2021</v>
      </c>
      <c r="H223" s="20" t="str">
        <f ca="1">IFERROR(__xludf.DUMMYFUNCTION("""COMPUTED_VALUE"""),"СМР")</f>
        <v>СМР</v>
      </c>
      <c r="I223" s="20">
        <f ca="1">IFERROR(__xludf.DUMMYFUNCTION("""COMPUTED_VALUE"""),0)</f>
        <v>0</v>
      </c>
      <c r="J223" s="20" t="str">
        <f ca="1">IFERROR(__xludf.DUMMYFUNCTION("""COMPUTED_VALUE"""),"Частично закуплены материалы. Площадка передана подрядчику для проведения работ. Выполняются Зем работы. РС отсутвует. Заявка на увеличение мощности направлена в Мособлэнерго. ")</f>
        <v xml:space="preserve">Частично закуплены материалы. Площадка передана подрядчику для проведения работ. Выполняются Зем работы. РС отсутвует. Заявка на увеличение мощности направлена в Мособлэнерго. </v>
      </c>
      <c r="K223" s="20">
        <f ca="1">IFERROR(__xludf.DUMMYFUNCTION("""COMPUTED_VALUE"""),32400)</f>
        <v>32400</v>
      </c>
      <c r="L223" s="20">
        <f ca="1">IFERROR(__xludf.DUMMYFUNCTION("""COMPUTED_VALUE"""),32400)</f>
        <v>32400</v>
      </c>
      <c r="M223" s="20"/>
      <c r="N223" s="24">
        <f ca="1">IFERROR(__xludf.DUMMYFUNCTION("""COMPUTED_VALUE"""),487089.829999999)</f>
        <v>487089.82999999903</v>
      </c>
      <c r="O223" s="24">
        <f ca="1">IFERROR(__xludf.DUMMYFUNCTION("""COMPUTED_VALUE"""),361966.11)</f>
        <v>361966.11</v>
      </c>
      <c r="P223" s="24">
        <f ca="1">IFERROR(__xludf.DUMMYFUNCTION("""COMPUTED_VALUE"""),120655.37)</f>
        <v>120655.37</v>
      </c>
      <c r="Q223" s="24">
        <f ca="1">IFERROR(__xludf.DUMMYFUNCTION("""COMPUTED_VALUE"""),0)</f>
        <v>0</v>
      </c>
      <c r="R223" s="24">
        <f ca="1">IFERROR(__xludf.DUMMYFUNCTION("""COMPUTED_VALUE"""),4468.35)</f>
        <v>4468.3500000000004</v>
      </c>
      <c r="S223" s="24">
        <f ca="1">IFERROR(__xludf.DUMMYFUNCTION("""COMPUTED_VALUE"""),0)</f>
        <v>0</v>
      </c>
      <c r="T223" s="20" t="str">
        <f ca="1">IFERROR(__xludf.DUMMYFUNCTION("""COMPUTED_VALUE"""),"Перенос средств 2020 в размере 339 653,89 на ЩМОС в связи с риском неосвоения. Видео камеры не установлены. 18.11.2020 загрузили документацию в ИСОГД. 20.11.2020 получены замечания. ")</f>
        <v xml:space="preserve">Перенос средств 2020 в размере 339 653,89 на ЩМОС в связи с риском неосвоения. Видео камеры не установлены. 18.11.2020 загрузили документацию в ИСОГД. 20.11.2020 получены замечания. </v>
      </c>
      <c r="U223" s="24">
        <f ca="1">IFERROR(__xludf.DUMMYFUNCTION("""COMPUTED_VALUE"""),887.250000000058)</f>
        <v>887.25000000005798</v>
      </c>
      <c r="V223" s="24">
        <f ca="1">IFERROR(__xludf.DUMMYFUNCTION("""COMPUTED_VALUE"""),356.790000000037)</f>
        <v>356.79000000003703</v>
      </c>
      <c r="W223" s="24">
        <f ca="1">IFERROR(__xludf.DUMMYFUNCTION("""COMPUTED_VALUE"""),119.010000000009)</f>
        <v>119.010000000009</v>
      </c>
      <c r="X223" s="24">
        <f ca="1">IFERROR(__xludf.DUMMYFUNCTION("""COMPUTED_VALUE"""),0)</f>
        <v>0</v>
      </c>
      <c r="Y223" s="24">
        <f ca="1">IFERROR(__xludf.DUMMYFUNCTION("""COMPUTED_VALUE"""),411.449999999999)</f>
        <v>411.44999999999902</v>
      </c>
      <c r="Z223" s="24">
        <f ca="1">IFERROR(__xludf.DUMMYFUNCTION("""COMPUTED_VALUE"""),0)</f>
        <v>0</v>
      </c>
      <c r="AA223" s="20" t="str">
        <f ca="1">IFERROR(__xludf.DUMMYFUNCTION("""COMPUTED_VALUE"""),"10 2 G6 50130")</f>
        <v>10 2 G6 50130</v>
      </c>
      <c r="AB223" s="20">
        <f ca="1">IFERROR(__xludf.DUMMYFUNCTION("""COMPUTED_VALUE"""),522)</f>
        <v>522</v>
      </c>
      <c r="AC223" s="20" t="str">
        <f ca="1">IFERROR(__xludf.DUMMYFUNCTION("""COMPUTED_VALUE"""),"да")</f>
        <v>да</v>
      </c>
      <c r="AD223" s="20"/>
      <c r="AE223" s="20" t="str">
        <f ca="1">IFERROR(__xludf.DUMMYFUNCTION("""COMPUTED_VALUE"""),"RU50-25-17116-2020
 от 02.12.2020")</f>
        <v>RU50-25-17116-2020
 от 02.12.2020</v>
      </c>
      <c r="AF223" s="24">
        <f ca="1">IFERROR(__xludf.DUMMYFUNCTION("""COMPUTED_VALUE"""),578762.26)</f>
        <v>578762.26</v>
      </c>
      <c r="AG223" s="24">
        <f ca="1">IFERROR(__xludf.DUMMYFUNCTION("""COMPUTED_VALUE"""),429730.9)</f>
        <v>429730.9</v>
      </c>
      <c r="AH223" s="24">
        <f ca="1">IFERROR(__xludf.DUMMYFUNCTION("""COMPUTED_VALUE"""),143243.71)</f>
        <v>143243.71</v>
      </c>
      <c r="AI223" s="24">
        <f ca="1">IFERROR(__xludf.DUMMYFUNCTION("""COMPUTED_VALUE"""),0)</f>
        <v>0</v>
      </c>
      <c r="AJ223" s="24">
        <f ca="1">IFERROR(__xludf.DUMMYFUNCTION("""COMPUTED_VALUE"""),5787.65)</f>
        <v>5787.65</v>
      </c>
      <c r="AK223" s="24">
        <f ca="1">IFERROR(__xludf.DUMMYFUNCTION("""COMPUTED_VALUE"""),0)</f>
        <v>0</v>
      </c>
      <c r="AL223" s="24">
        <f ca="1">IFERROR(__xludf.DUMMYFUNCTION("""COMPUTED_VALUE"""),0)</f>
        <v>0</v>
      </c>
      <c r="AM223" s="20"/>
      <c r="AN223" s="20"/>
      <c r="AO223" s="20"/>
      <c r="AP223" s="20"/>
      <c r="AQ223" s="20"/>
      <c r="AR223" s="24">
        <f ca="1">IFERROR(__xludf.DUMMYFUNCTION("""COMPUTED_VALUE"""),0)</f>
        <v>0</v>
      </c>
      <c r="AS223" s="20"/>
      <c r="AT223" s="20"/>
      <c r="AU223" s="20"/>
      <c r="AV223" s="20"/>
      <c r="AW223" s="20"/>
      <c r="AX223" s="24">
        <f ca="1">IFERROR(__xludf.DUMMYFUNCTION("""COMPUTED_VALUE"""),487977.08)</f>
        <v>487977.08</v>
      </c>
      <c r="AY223" s="24">
        <f ca="1">IFERROR(__xludf.DUMMYFUNCTION("""COMPUTED_VALUE"""),362322.9)</f>
        <v>362322.9</v>
      </c>
      <c r="AZ223" s="24">
        <f ca="1">IFERROR(__xludf.DUMMYFUNCTION("""COMPUTED_VALUE"""),120774.38)</f>
        <v>120774.38</v>
      </c>
      <c r="BA223" s="24">
        <f ca="1">IFERROR(__xludf.DUMMYFUNCTION("""COMPUTED_VALUE"""),0)</f>
        <v>0</v>
      </c>
      <c r="BB223" s="24">
        <f ca="1">IFERROR(__xludf.DUMMYFUNCTION("""COMPUTED_VALUE"""),4879.8)</f>
        <v>4879.8</v>
      </c>
      <c r="BC223" s="20"/>
      <c r="BD223" s="24">
        <f ca="1">IFERROR(__xludf.DUMMYFUNCTION("""COMPUTED_VALUE"""),90785.18)</f>
        <v>90785.18</v>
      </c>
      <c r="BE223" s="24">
        <f ca="1">IFERROR(__xludf.DUMMYFUNCTION("""COMPUTED_VALUE"""),67408)</f>
        <v>67408</v>
      </c>
      <c r="BF223" s="24">
        <f ca="1">IFERROR(__xludf.DUMMYFUNCTION("""COMPUTED_VALUE"""),22469.33)</f>
        <v>22469.33</v>
      </c>
      <c r="BG223" s="24">
        <f ca="1">IFERROR(__xludf.DUMMYFUNCTION("""COMPUTED_VALUE"""),0)</f>
        <v>0</v>
      </c>
      <c r="BH223" s="24">
        <f ca="1">IFERROR(__xludf.DUMMYFUNCTION("""COMPUTED_VALUE"""),907.85)</f>
        <v>907.85</v>
      </c>
      <c r="BI223" s="20"/>
      <c r="BJ223" s="24">
        <f ca="1">IFERROR(__xludf.DUMMYFUNCTION("""COMPUTED_VALUE"""),0)</f>
        <v>0</v>
      </c>
      <c r="BK223" s="24">
        <f ca="1">IFERROR(__xludf.DUMMYFUNCTION("""COMPUTED_VALUE"""),0)</f>
        <v>0</v>
      </c>
      <c r="BL223" s="24">
        <f ca="1">IFERROR(__xludf.DUMMYFUNCTION("""COMPUTED_VALUE"""),0)</f>
        <v>0</v>
      </c>
      <c r="BM223" s="24">
        <f ca="1">IFERROR(__xludf.DUMMYFUNCTION("""COMPUTED_VALUE"""),0)</f>
        <v>0</v>
      </c>
      <c r="BN223" s="24">
        <f ca="1">IFERROR(__xludf.DUMMYFUNCTION("""COMPUTED_VALUE"""),0)</f>
        <v>0</v>
      </c>
      <c r="BO223" s="20"/>
      <c r="BP223" s="24">
        <f ca="1">IFERROR(__xludf.DUMMYFUNCTION("""COMPUTED_VALUE"""),0)</f>
        <v>0</v>
      </c>
      <c r="BQ223" s="24">
        <f ca="1">IFERROR(__xludf.DUMMYFUNCTION("""COMPUTED_VALUE"""),0)</f>
        <v>0</v>
      </c>
      <c r="BR223" s="24">
        <f ca="1">IFERROR(__xludf.DUMMYFUNCTION("""COMPUTED_VALUE"""),0)</f>
        <v>0</v>
      </c>
      <c r="BS223" s="24">
        <f ca="1">IFERROR(__xludf.DUMMYFUNCTION("""COMPUTED_VALUE"""),0)</f>
        <v>0</v>
      </c>
      <c r="BT223" s="24">
        <f ca="1">IFERROR(__xludf.DUMMYFUNCTION("""COMPUTED_VALUE"""),0)</f>
        <v>0</v>
      </c>
      <c r="BU223" s="20"/>
      <c r="BV223" s="24">
        <f ca="1">IFERROR(__xludf.DUMMYFUNCTION("""COMPUTED_VALUE"""),0)</f>
        <v>0</v>
      </c>
      <c r="BW223" s="24">
        <f ca="1">IFERROR(__xludf.DUMMYFUNCTION("""COMPUTED_VALUE"""),0)</f>
        <v>0</v>
      </c>
      <c r="BX223" s="24">
        <f ca="1">IFERROR(__xludf.DUMMYFUNCTION("""COMPUTED_VALUE"""),0)</f>
        <v>0</v>
      </c>
      <c r="BY223" s="24">
        <f ca="1">IFERROR(__xludf.DUMMYFUNCTION("""COMPUTED_VALUE"""),0)</f>
        <v>0</v>
      </c>
      <c r="BZ223" s="24">
        <f ca="1">IFERROR(__xludf.DUMMYFUNCTION("""COMPUTED_VALUE"""),0)</f>
        <v>0</v>
      </c>
      <c r="CA223" s="20"/>
      <c r="CB223" s="20"/>
      <c r="CC223" s="20"/>
      <c r="CD223" s="20"/>
      <c r="CE223" s="20"/>
      <c r="CF223" s="20"/>
      <c r="CG223" s="20"/>
      <c r="CH223" s="20"/>
      <c r="CI223" s="20"/>
      <c r="CJ223" s="26">
        <f ca="1">IFERROR(__xludf.DUMMYFUNCTION("""COMPUTED_VALUE"""),43741)</f>
        <v>43741</v>
      </c>
      <c r="CK223" s="25">
        <f ca="1">IFERROR(__xludf.DUMMYFUNCTION("""COMPUTED_VALUE"""),43829)</f>
        <v>43829</v>
      </c>
      <c r="CL223" s="20" t="str">
        <f ca="1">IFERROR(__xludf.DUMMYFUNCTION("""COMPUTED_VALUE"""),"50-1-13-1860-19")</f>
        <v>50-1-13-1860-19</v>
      </c>
      <c r="CM223" s="26">
        <f ca="1">IFERROR(__xludf.DUMMYFUNCTION("""COMPUTED_VALUE"""),44022)</f>
        <v>44022</v>
      </c>
      <c r="CN223" s="20" t="str">
        <f ca="1">IFERROR(__xludf.DUMMYFUNCTION("""COMPUTED_VALUE"""),"0148200005420000232")</f>
        <v>0148200005420000232</v>
      </c>
      <c r="CO223" s="26">
        <f ca="1">IFERROR(__xludf.DUMMYFUNCTION("""COMPUTED_VALUE"""),44109)</f>
        <v>44109</v>
      </c>
      <c r="CP223" s="20" t="str">
        <f ca="1">IFERROR(__xludf.DUMMYFUNCTION("""COMPUTED_VALUE"""),"01482000054200002320001")</f>
        <v>01482000054200002320001</v>
      </c>
      <c r="CQ223" s="20">
        <f ca="1">IFERROR(__xludf.DUMMYFUNCTION("""COMPUTED_VALUE"""),883080012)</f>
        <v>883080012</v>
      </c>
      <c r="CR223" s="20" t="str">
        <f ca="1">IFERROR(__xludf.DUMMYFUNCTION("""COMPUTED_VALUE"""),"АО ""ГК ""ЕКС""")</f>
        <v>АО "ГК "ЕКС"</v>
      </c>
      <c r="CS223" s="27" t="str">
        <f ca="1">IFERROR(__xludf.DUMMYFUNCTION("""COMPUTED_VALUE"""),"https://zakupki.gov.ru/epz/contract/contractCard/common-info.html?reestrNumber=3504900333020000104&amp;backUrl=5909e958-e70f-4813-9e9e-6688e94578d7")</f>
        <v>https://zakupki.gov.ru/epz/contract/contractCard/common-info.html?reestrNumber=3504900333020000104&amp;backUrl=5909e958-e70f-4813-9e9e-6688e94578d7</v>
      </c>
      <c r="CT223" s="37">
        <f ca="1">IFERROR(__xludf.DUMMYFUNCTION("""COMPUTED_VALUE"""),44105)</f>
        <v>44105</v>
      </c>
      <c r="CU223" s="1" t="str">
        <f ca="1">IFERROR(__xludf.DUMMYFUNCTION("""COMPUTED_VALUE"""),"230298-20")</f>
        <v>230298-20</v>
      </c>
      <c r="CV223" s="36">
        <f ca="1">IFERROR(__xludf.DUMMYFUNCTION("""COMPUTED_VALUE"""),15276494.39)</f>
        <v>15276494.390000001</v>
      </c>
      <c r="CW223" s="36">
        <f ca="1">IFERROR(__xludf.DUMMYFUNCTION("""COMPUTED_VALUE"""),11342797.2280391)</f>
        <v>11342797.228039101</v>
      </c>
      <c r="CX223" s="36">
        <f ca="1">IFERROR(__xludf.DUMMYFUNCTION("""COMPUTED_VALUE"""),3780932.40934637)</f>
        <v>3780932.40934637</v>
      </c>
      <c r="CY223" s="36">
        <f ca="1">IFERROR(__xludf.DUMMYFUNCTION("""COMPUTED_VALUE"""),0)</f>
        <v>0</v>
      </c>
      <c r="CZ223" s="36">
        <f ca="1">IFERROR(__xludf.DUMMYFUNCTION("""COMPUTED_VALUE"""),152764.752614507)</f>
        <v>152764.75261450699</v>
      </c>
      <c r="DA223" s="36">
        <f ca="1">IFERROR(__xludf.DUMMYFUNCTION("""COMPUTED_VALUE"""),0)</f>
        <v>0</v>
      </c>
      <c r="DB223" s="36">
        <f ca="1">IFERROR(__xludf.DUMMYFUNCTION("""COMPUTED_VALUE"""),5295851.39)</f>
        <v>5295851.3899999997</v>
      </c>
      <c r="DC223" s="34">
        <f ca="1">IFERROR(__xludf.DUMMYFUNCTION("""COMPUTED_VALUE"""),44152)</f>
        <v>44152</v>
      </c>
      <c r="DD223" s="1"/>
      <c r="DE223" s="36">
        <f ca="1">IFERROR(__xludf.DUMMYFUNCTION("""COMPUTED_VALUE"""),1766160.02)</f>
        <v>1766160.02</v>
      </c>
      <c r="DF223" s="36">
        <f ca="1">IFERROR(__xludf.DUMMYFUNCTION("""COMPUTED_VALUE"""),1311373.81485)</f>
        <v>1311373.81485</v>
      </c>
      <c r="DG223" s="36">
        <f ca="1">IFERROR(__xludf.DUMMYFUNCTION("""COMPUTED_VALUE"""),437124.60495)</f>
        <v>437124.60495000001</v>
      </c>
      <c r="DH223" s="36">
        <f ca="1">IFERROR(__xludf.DUMMYFUNCTION("""COMPUTED_VALUE"""),0)</f>
        <v>0</v>
      </c>
      <c r="DI223" s="36">
        <f ca="1">IFERROR(__xludf.DUMMYFUNCTION("""COMPUTED_VALUE"""),17661.6002)</f>
        <v>17661.600200000001</v>
      </c>
      <c r="DJ223" s="36">
        <f ca="1">IFERROR(__xludf.DUMMYFUNCTION("""COMPUTED_VALUE"""),0)</f>
        <v>0</v>
      </c>
      <c r="DK223" s="1"/>
      <c r="DL223" s="1"/>
      <c r="DM223" s="1"/>
      <c r="DN223" s="1"/>
      <c r="DO223" s="1"/>
      <c r="DP223" s="1"/>
      <c r="DQ223" s="1"/>
      <c r="DR223" s="1"/>
      <c r="DS223" s="1"/>
    </row>
    <row r="224" spans="1:123" ht="64.5" customHeight="1" x14ac:dyDescent="0.2">
      <c r="A224" s="19"/>
      <c r="B224" s="20" t="str">
        <f ca="1">IFERROR(__xludf.DUMMYFUNCTION("""COMPUTED_VALUE"""),"КСМО")</f>
        <v>КСМО</v>
      </c>
      <c r="C224" s="20" t="str">
        <f ca="1">IFERROR(__xludf.DUMMYFUNCTION("""COMPUTED_VALUE"""),"Субсидия  государственным унитарным предприятиям Московской области на осуществление строительства (реконструкции) объектов очистки сточных вод")</f>
        <v>Субсидия  государственным унитарным предприятиям Московской области на осуществление строительства (реконструкции) объектов очистки сточных вод</v>
      </c>
      <c r="D224" s="20" t="str">
        <f ca="1">IFERROR(__xludf.DUMMYFUNCTION("""COMPUTED_VALUE"""),"МинЖКХ")</f>
        <v>МинЖКХ</v>
      </c>
      <c r="E224" s="20" t="str">
        <f ca="1">IFERROR(__xludf.DUMMYFUNCTION("""COMPUTED_VALUE"""),"Реконструкция Щелковских межрайонных очистных сооружений ")</f>
        <v xml:space="preserve">Реконструкция Щелковских межрайонных очистных сооружений </v>
      </c>
      <c r="F224" s="32" t="str">
        <f ca="1">IFERROR(__xludf.DUMMYFUNCTION("""COMPUTED_VALUE"""),"ОС")</f>
        <v>ОС</v>
      </c>
      <c r="G224" s="20" t="str">
        <f ca="1">IFERROR(__xludf.DUMMYFUNCTION("""COMPUTED_VALUE"""),"2019-2024")</f>
        <v>2019-2024</v>
      </c>
      <c r="H224" s="20" t="str">
        <f ca="1">IFERROR(__xludf.DUMMYFUNCTION("""COMPUTED_VALUE"""),"СМР")</f>
        <v>СМР</v>
      </c>
      <c r="I224" s="20">
        <f ca="1">IFERROR(__xludf.DUMMYFUNCTION("""COMPUTED_VALUE"""),6)</f>
        <v>6</v>
      </c>
      <c r="J224" s="20" t="str">
        <f ca="1">IFERROR(__xludf.DUMMYFUNCTION("""COMPUTED_VALUE"""),"Проводятся СМР 1 этапа  строительства. Проект на корректировке, дата выхода из МОГЭ 30.11.2020.Оформление сервитута на зем участок под сбросной коллектор. Техприз в стадии проекта разногласий")</f>
        <v>Проводятся СМР 1 этапа  строительства. Проект на корректировке, дата выхода из МОГЭ 30.11.2020.Оформление сервитута на зем участок под сбросной коллектор. Техприз в стадии проекта разногласий</v>
      </c>
      <c r="K224" s="20">
        <f ca="1">IFERROR(__xludf.DUMMYFUNCTION("""COMPUTED_VALUE"""),700000)</f>
        <v>700000</v>
      </c>
      <c r="L224" s="20">
        <f ca="1">IFERROR(__xludf.DUMMYFUNCTION("""COMPUTED_VALUE"""),700000)</f>
        <v>700000</v>
      </c>
      <c r="M224" s="20"/>
      <c r="N224" s="24">
        <f ca="1">IFERROR(__xludf.DUMMYFUNCTION("""COMPUTED_VALUE"""),3234474.67)</f>
        <v>3234474.67</v>
      </c>
      <c r="O224" s="24">
        <f ca="1">IFERROR(__xludf.DUMMYFUNCTION("""COMPUTED_VALUE"""),2167296.5)</f>
        <v>2167296.5</v>
      </c>
      <c r="P224" s="24">
        <f ca="1">IFERROR(__xludf.DUMMYFUNCTION("""COMPUTED_VALUE"""),533862)</f>
        <v>533862</v>
      </c>
      <c r="Q224" s="24">
        <f ca="1">IFERROR(__xludf.DUMMYFUNCTION("""COMPUTED_VALUE"""),533316.17)</f>
        <v>533316.17000000004</v>
      </c>
      <c r="R224" s="24">
        <f ca="1">IFERROR(__xludf.DUMMYFUNCTION("""COMPUTED_VALUE"""),0)</f>
        <v>0</v>
      </c>
      <c r="S224" s="24">
        <f ca="1">IFERROR(__xludf.DUMMYFUNCTION("""COMPUTED_VALUE"""),0)</f>
        <v>0</v>
      </c>
      <c r="T224" s="20"/>
      <c r="U224" s="24">
        <f ca="1">IFERROR(__xludf.DUMMYFUNCTION("""COMPUTED_VALUE"""),0)</f>
        <v>0</v>
      </c>
      <c r="V224" s="24">
        <f ca="1">IFERROR(__xludf.DUMMYFUNCTION("""COMPUTED_VALUE"""),0)</f>
        <v>0</v>
      </c>
      <c r="W224" s="24">
        <f ca="1">IFERROR(__xludf.DUMMYFUNCTION("""COMPUTED_VALUE"""),0)</f>
        <v>0</v>
      </c>
      <c r="X224" s="24">
        <f ca="1">IFERROR(__xludf.DUMMYFUNCTION("""COMPUTED_VALUE"""),0)</f>
        <v>0</v>
      </c>
      <c r="Y224" s="24">
        <f ca="1">IFERROR(__xludf.DUMMYFUNCTION("""COMPUTED_VALUE"""),0)</f>
        <v>0</v>
      </c>
      <c r="Z224" s="24">
        <f ca="1">IFERROR(__xludf.DUMMYFUNCTION("""COMPUTED_VALUE"""),0)</f>
        <v>0</v>
      </c>
      <c r="AA224" s="20" t="str">
        <f ca="1">IFERROR(__xludf.DUMMYFUNCTION("""COMPUTED_VALUE"""),"10 2 G6 50130")</f>
        <v>10 2 G6 50130</v>
      </c>
      <c r="AB224" s="20">
        <f ca="1">IFERROR(__xludf.DUMMYFUNCTION("""COMPUTED_VALUE"""),466)</f>
        <v>466</v>
      </c>
      <c r="AC224" s="20" t="str">
        <f ca="1">IFERROR(__xludf.DUMMYFUNCTION("""COMPUTED_VALUE"""),"да")</f>
        <v>да</v>
      </c>
      <c r="AD224" s="20"/>
      <c r="AE224" s="20" t="str">
        <f ca="1">IFERROR(__xludf.DUMMYFUNCTION("""COMPUTED_VALUE"""),"RU50-14-14764-2019 от 28.11.2019")</f>
        <v>RU50-14-14764-2019 от 28.11.2019</v>
      </c>
      <c r="AF224" s="24">
        <f ca="1">IFERROR(__xludf.DUMMYFUNCTION("""COMPUTED_VALUE"""),15282678.9799999)</f>
        <v>15282678.9799999</v>
      </c>
      <c r="AG224" s="24">
        <f ca="1">IFERROR(__xludf.DUMMYFUNCTION("""COMPUTED_VALUE"""),9209699.1)</f>
        <v>9209699.0999999996</v>
      </c>
      <c r="AH224" s="24">
        <f ca="1">IFERROR(__xludf.DUMMYFUNCTION("""COMPUTED_VALUE"""),4989268.71)</f>
        <v>4989268.71</v>
      </c>
      <c r="AI224" s="24">
        <f ca="1">IFERROR(__xludf.DUMMYFUNCTION("""COMPUTED_VALUE"""),583711.17)</f>
        <v>583711.17000000004</v>
      </c>
      <c r="AJ224" s="24">
        <f ca="1">IFERROR(__xludf.DUMMYFUNCTION("""COMPUTED_VALUE"""),0)</f>
        <v>0</v>
      </c>
      <c r="AK224" s="24">
        <f ca="1">IFERROR(__xludf.DUMMYFUNCTION("""COMPUTED_VALUE"""),500000)</f>
        <v>500000</v>
      </c>
      <c r="AL224" s="24">
        <f ca="1">IFERROR(__xludf.DUMMYFUNCTION("""COMPUTED_VALUE"""),0)</f>
        <v>0</v>
      </c>
      <c r="AM224" s="20"/>
      <c r="AN224" s="20"/>
      <c r="AO224" s="20"/>
      <c r="AP224" s="20"/>
      <c r="AQ224" s="20"/>
      <c r="AR224" s="24">
        <f ca="1">IFERROR(__xludf.DUMMYFUNCTION("""COMPUTED_VALUE"""),3271240)</f>
        <v>3271240</v>
      </c>
      <c r="AS224" s="24">
        <f ca="1">IFERROR(__xludf.DUMMYFUNCTION("""COMPUTED_VALUE"""),2453430)</f>
        <v>2453430</v>
      </c>
      <c r="AT224" s="24">
        <f ca="1">IFERROR(__xludf.DUMMYFUNCTION("""COMPUTED_VALUE"""),817810)</f>
        <v>817810</v>
      </c>
      <c r="AU224" s="20"/>
      <c r="AV224" s="20"/>
      <c r="AW224" s="20"/>
      <c r="AX224" s="24">
        <f ca="1">IFERROR(__xludf.DUMMYFUNCTION("""COMPUTED_VALUE"""),3234474.67)</f>
        <v>3234474.67</v>
      </c>
      <c r="AY224" s="24">
        <f ca="1">IFERROR(__xludf.DUMMYFUNCTION("""COMPUTED_VALUE"""),2167296.5)</f>
        <v>2167296.5</v>
      </c>
      <c r="AZ224" s="24">
        <f ca="1">IFERROR(__xludf.DUMMYFUNCTION("""COMPUTED_VALUE"""),533862)</f>
        <v>533862</v>
      </c>
      <c r="BA224" s="24">
        <f ca="1">IFERROR(__xludf.DUMMYFUNCTION("""COMPUTED_VALUE"""),533316.17)</f>
        <v>533316.17000000004</v>
      </c>
      <c r="BB224" s="24">
        <f ca="1">IFERROR(__xludf.DUMMYFUNCTION("""COMPUTED_VALUE"""),0)</f>
        <v>0</v>
      </c>
      <c r="BC224" s="20"/>
      <c r="BD224" s="24">
        <f ca="1">IFERROR(__xludf.DUMMYFUNCTION("""COMPUTED_VALUE"""),1537049.14)</f>
        <v>1537049.14</v>
      </c>
      <c r="BE224" s="24">
        <f ca="1">IFERROR(__xludf.DUMMYFUNCTION("""COMPUTED_VALUE"""),1039990.6)</f>
        <v>1039990.6</v>
      </c>
      <c r="BF224" s="24">
        <f ca="1">IFERROR(__xludf.DUMMYFUNCTION("""COMPUTED_VALUE"""),346663.54)</f>
        <v>346663.54</v>
      </c>
      <c r="BG224" s="24">
        <f ca="1">IFERROR(__xludf.DUMMYFUNCTION("""COMPUTED_VALUE"""),50395)</f>
        <v>50395</v>
      </c>
      <c r="BH224" s="24">
        <f ca="1">IFERROR(__xludf.DUMMYFUNCTION("""COMPUTED_VALUE"""),0)</f>
        <v>0</v>
      </c>
      <c r="BI224" s="24">
        <f ca="1">IFERROR(__xludf.DUMMYFUNCTION("""COMPUTED_VALUE"""),100000)</f>
        <v>100000</v>
      </c>
      <c r="BJ224" s="24">
        <f ca="1">IFERROR(__xludf.DUMMYFUNCTION("""COMPUTED_VALUE"""),349662.07)</f>
        <v>349662.07</v>
      </c>
      <c r="BK224" s="24">
        <f ca="1">IFERROR(__xludf.DUMMYFUNCTION("""COMPUTED_VALUE"""),112245.8)</f>
        <v>112245.8</v>
      </c>
      <c r="BL224" s="24">
        <f ca="1">IFERROR(__xludf.DUMMYFUNCTION("""COMPUTED_VALUE"""),37416.27)</f>
        <v>37416.269999999997</v>
      </c>
      <c r="BM224" s="24">
        <f ca="1">IFERROR(__xludf.DUMMYFUNCTION("""COMPUTED_VALUE"""),0)</f>
        <v>0</v>
      </c>
      <c r="BN224" s="24">
        <f ca="1">IFERROR(__xludf.DUMMYFUNCTION("""COMPUTED_VALUE"""),0)</f>
        <v>0</v>
      </c>
      <c r="BO224" s="24">
        <f ca="1">IFERROR(__xludf.DUMMYFUNCTION("""COMPUTED_VALUE"""),200000)</f>
        <v>200000</v>
      </c>
      <c r="BP224" s="24">
        <f ca="1">IFERROR(__xludf.DUMMYFUNCTION("""COMPUTED_VALUE"""),1580941.6)</f>
        <v>1580941.6</v>
      </c>
      <c r="BQ224" s="24">
        <f ca="1">IFERROR(__xludf.DUMMYFUNCTION("""COMPUTED_VALUE"""),1035706.2)</f>
        <v>1035706.2</v>
      </c>
      <c r="BR224" s="24">
        <f ca="1">IFERROR(__xludf.DUMMYFUNCTION("""COMPUTED_VALUE"""),345235.4)</f>
        <v>345235.4</v>
      </c>
      <c r="BS224" s="24">
        <f ca="1">IFERROR(__xludf.DUMMYFUNCTION("""COMPUTED_VALUE"""),0)</f>
        <v>0</v>
      </c>
      <c r="BT224" s="24">
        <f ca="1">IFERROR(__xludf.DUMMYFUNCTION("""COMPUTED_VALUE"""),0)</f>
        <v>0</v>
      </c>
      <c r="BU224" s="24">
        <f ca="1">IFERROR(__xludf.DUMMYFUNCTION("""COMPUTED_VALUE"""),200000)</f>
        <v>200000</v>
      </c>
      <c r="BV224" s="24">
        <f ca="1">IFERROR(__xludf.DUMMYFUNCTION("""COMPUTED_VALUE"""),5309311.5)</f>
        <v>5309311.5</v>
      </c>
      <c r="BW224" s="24">
        <f ca="1">IFERROR(__xludf.DUMMYFUNCTION("""COMPUTED_VALUE"""),2401030)</f>
        <v>2401030</v>
      </c>
      <c r="BX224" s="24">
        <f ca="1">IFERROR(__xludf.DUMMYFUNCTION("""COMPUTED_VALUE"""),2908281.5)</f>
        <v>2908281.5</v>
      </c>
      <c r="BY224" s="24">
        <f ca="1">IFERROR(__xludf.DUMMYFUNCTION("""COMPUTED_VALUE"""),0)</f>
        <v>0</v>
      </c>
      <c r="BZ224" s="24">
        <f ca="1">IFERROR(__xludf.DUMMYFUNCTION("""COMPUTED_VALUE"""),0)</f>
        <v>0</v>
      </c>
      <c r="CA224" s="20"/>
      <c r="CB224" s="20"/>
      <c r="CC224" s="20"/>
      <c r="CD224" s="20"/>
      <c r="CE224" s="20"/>
      <c r="CF224" s="20"/>
      <c r="CG224" s="20"/>
      <c r="CH224" s="20"/>
      <c r="CI224" s="20"/>
      <c r="CJ224" s="26">
        <f ca="1">IFERROR(__xludf.DUMMYFUNCTION("""COMPUTED_VALUE"""),43664)</f>
        <v>43664</v>
      </c>
      <c r="CK224" s="26">
        <f ca="1">IFERROR(__xludf.DUMMYFUNCTION("""COMPUTED_VALUE"""),43727)</f>
        <v>43727</v>
      </c>
      <c r="CL224" s="20" t="str">
        <f ca="1">IFERROR(__xludf.DUMMYFUNCTION("""COMPUTED_VALUE"""),"50-1-1-3-1045-19")</f>
        <v>50-1-1-3-1045-19</v>
      </c>
      <c r="CM224" s="26">
        <f ca="1">IFERROR(__xludf.DUMMYFUNCTION("""COMPUTED_VALUE"""),43860)</f>
        <v>43860</v>
      </c>
      <c r="CN224" s="20" t="str">
        <f ca="1">IFERROR(__xludf.DUMMYFUNCTION("""COMPUTED_VALUE"""),"0548200001520000001")</f>
        <v>0548200001520000001</v>
      </c>
      <c r="CO224" s="26">
        <f ca="1">IFERROR(__xludf.DUMMYFUNCTION("""COMPUTED_VALUE"""),43892)</f>
        <v>43892</v>
      </c>
      <c r="CP224" s="20" t="str">
        <f ca="1">IFERROR(__xludf.DUMMYFUNCTION("""COMPUTED_VALUE"""),"1/20")</f>
        <v>1/20</v>
      </c>
      <c r="CQ224" s="20">
        <f ca="1">IFERROR(__xludf.DUMMYFUNCTION("""COMPUTED_VALUE"""),94137210)</f>
        <v>94137210</v>
      </c>
      <c r="CR224" s="20" t="str">
        <f ca="1">IFERROR(__xludf.DUMMYFUNCTION("""COMPUTED_VALUE"""),"ГОСУДАРСТВЕННОЕ БЮДЖЕТНОЕ УЧРЕЖДЕНИЕ МОСКОВСКОЙ ОБЛАСТИ ""УПРАВЛЕНИЕ ТЕХНИЧЕСКОГО НАДЗОРА КАПИТАЛЬНОГО РЕМОНТА""")</f>
        <v>ГОСУДАРСТВЕННОЕ БЮДЖЕТНОЕ УЧРЕЖДЕНИЕ МОСКОВСКОЙ ОБЛАСТИ "УПРАВЛЕНИЕ ТЕХНИЧЕСКОГО НАДЗОРА КАПИТАЛЬНОГО РЕМОНТА"</v>
      </c>
      <c r="CS224" s="27" t="str">
        <f ca="1">IFERROR(__xludf.DUMMYFUNCTION("""COMPUTED_VALUE"""),"https://zakupki.gov.ru/epz/contract/contractCard/common-info.html?reestrNumber=2503406517120000003&amp;backUrl=e9f17223-8b70-4be1-b0bc-633733b6edbd")</f>
        <v>https://zakupki.gov.ru/epz/contract/contractCard/common-info.html?reestrNumber=2503406517120000003&amp;backUrl=e9f17223-8b70-4be1-b0bc-633733b6edbd</v>
      </c>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row>
    <row r="225" spans="1:123" ht="64.5" hidden="1" customHeight="1" x14ac:dyDescent="0.2">
      <c r="A225" s="19"/>
      <c r="B225" s="20" t="str">
        <f ca="1">IFERROR(__xludf.DUMMYFUNCTION("IMPORTRANGE(""https://docs.google.com/spreadsheets/d/1ZpB0joDVH_P6wgS1qdxv2Cg30eSt21FXcCJZMPEFRM4/edit#gid=1390033389&amp;range=B5:CS27"", ""'ПП2 ОС'!B5:CS27"")"),"г.о. Воскресенск")</f>
        <v>г.о. Воскресенск</v>
      </c>
      <c r="C22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5" s="20" t="str">
        <f ca="1">IFERROR(__xludf.DUMMYFUNCTION("""COMPUTED_VALUE"""),"МинЖКХ")</f>
        <v>МинЖКХ</v>
      </c>
      <c r="E225" s="20" t="str">
        <f ca="1">IFERROR(__xludf.DUMMYFUNCTION("""COMPUTED_VALUE"""),"Реконструкция очистных сооружений биологической очистки, мощностью 500 м. куб. в сутки. дер. Степанщино, Воскресенский м.р. (в том числе ПИР)          ")</f>
        <v xml:space="preserve">Реконструкция очистных сооружений биологической очистки, мощностью 500 м. куб. в сутки. дер. Степанщино, Воскресенский м.р. (в том числе ПИР)          </v>
      </c>
      <c r="F225" s="32" t="str">
        <f ca="1">IFERROR(__xludf.DUMMYFUNCTION("""COMPUTED_VALUE"""),"ОС")</f>
        <v>ОС</v>
      </c>
      <c r="G225" s="20" t="str">
        <f ca="1">IFERROR(__xludf.DUMMYFUNCTION("""COMPUTED_VALUE"""),"2022-2023")</f>
        <v>2022-2023</v>
      </c>
      <c r="H225" s="20" t="str">
        <f ca="1">IFERROR(__xludf.DUMMYFUNCTION("""COMPUTED_VALUE"""),"СМР")</f>
        <v>СМР</v>
      </c>
      <c r="I225" s="20"/>
      <c r="J225" s="20"/>
      <c r="K225" s="20"/>
      <c r="L225" s="20"/>
      <c r="M225" s="20"/>
      <c r="N225" s="24">
        <f ca="1">IFERROR(__xludf.DUMMYFUNCTION("""COMPUTED_VALUE"""),0)</f>
        <v>0</v>
      </c>
      <c r="O225" s="20"/>
      <c r="P225" s="20"/>
      <c r="Q225" s="20"/>
      <c r="R225" s="20"/>
      <c r="S225" s="20"/>
      <c r="T225" s="20"/>
      <c r="U225" s="24">
        <f ca="1">IFERROR(__xludf.DUMMYFUNCTION("""COMPUTED_VALUE"""),0)</f>
        <v>0</v>
      </c>
      <c r="V225" s="24">
        <f ca="1">IFERROR(__xludf.DUMMYFUNCTION("""COMPUTED_VALUE"""),0)</f>
        <v>0</v>
      </c>
      <c r="W225" s="24">
        <f ca="1">IFERROR(__xludf.DUMMYFUNCTION("""COMPUTED_VALUE"""),0)</f>
        <v>0</v>
      </c>
      <c r="X225" s="24">
        <f ca="1">IFERROR(__xludf.DUMMYFUNCTION("""COMPUTED_VALUE"""),0)</f>
        <v>0</v>
      </c>
      <c r="Y225" s="24">
        <f ca="1">IFERROR(__xludf.DUMMYFUNCTION("""COMPUTED_VALUE"""),0)</f>
        <v>0</v>
      </c>
      <c r="Z225" s="24">
        <f ca="1">IFERROR(__xludf.DUMMYFUNCTION("""COMPUTED_VALUE"""),0)</f>
        <v>0</v>
      </c>
      <c r="AA225" s="20" t="str">
        <f ca="1">IFERROR(__xludf.DUMMYFUNCTION("""COMPUTED_VALUE"""),"10 2 01 64020")</f>
        <v>10 2 01 64020</v>
      </c>
      <c r="AB225" s="20">
        <f ca="1">IFERROR(__xludf.DUMMYFUNCTION("""COMPUTED_VALUE"""),522)</f>
        <v>522</v>
      </c>
      <c r="AC225" s="20" t="str">
        <f ca="1">IFERROR(__xludf.DUMMYFUNCTION("""COMPUTED_VALUE"""),"нет")</f>
        <v>нет</v>
      </c>
      <c r="AD225" s="20" t="str">
        <f ca="1">IFERROR(__xludf.DUMMYFUNCTION("""COMPUTED_VALUE"""),"нет")</f>
        <v>нет</v>
      </c>
      <c r="AE225" s="20" t="str">
        <f ca="1">IFERROR(__xludf.DUMMYFUNCTION("""COMPUTED_VALUE"""),"нет")</f>
        <v>нет</v>
      </c>
      <c r="AF225" s="24">
        <f ca="1">IFERROR(__xludf.DUMMYFUNCTION("""COMPUTED_VALUE"""),165463.38)</f>
        <v>165463.38</v>
      </c>
      <c r="AG225" s="24">
        <f ca="1">IFERROR(__xludf.DUMMYFUNCTION("""COMPUTED_VALUE"""),0)</f>
        <v>0</v>
      </c>
      <c r="AH225" s="24">
        <f ca="1">IFERROR(__xludf.DUMMYFUNCTION("""COMPUTED_VALUE"""),157190)</f>
        <v>157190</v>
      </c>
      <c r="AI225" s="24">
        <f ca="1">IFERROR(__xludf.DUMMYFUNCTION("""COMPUTED_VALUE"""),0)</f>
        <v>0</v>
      </c>
      <c r="AJ225" s="24">
        <f ca="1">IFERROR(__xludf.DUMMYFUNCTION("""COMPUTED_VALUE"""),8273.38)</f>
        <v>8273.3799999999992</v>
      </c>
      <c r="AK225" s="24">
        <f ca="1">IFERROR(__xludf.DUMMYFUNCTION("""COMPUTED_VALUE"""),0)</f>
        <v>0</v>
      </c>
      <c r="AL225" s="24">
        <f ca="1">IFERROR(__xludf.DUMMYFUNCTION("""COMPUTED_VALUE"""),0)</f>
        <v>0</v>
      </c>
      <c r="AM225" s="20"/>
      <c r="AN225" s="20"/>
      <c r="AO225" s="20"/>
      <c r="AP225" s="20"/>
      <c r="AQ225" s="20"/>
      <c r="AR225" s="24">
        <f ca="1">IFERROR(__xludf.DUMMYFUNCTION("""COMPUTED_VALUE"""),0)</f>
        <v>0</v>
      </c>
      <c r="AS225" s="20"/>
      <c r="AT225" s="20"/>
      <c r="AU225" s="20"/>
      <c r="AV225" s="20"/>
      <c r="AW225" s="20"/>
      <c r="AX225" s="24">
        <f ca="1">IFERROR(__xludf.DUMMYFUNCTION("""COMPUTED_VALUE"""),0)</f>
        <v>0</v>
      </c>
      <c r="AY225" s="24">
        <f ca="1">IFERROR(__xludf.DUMMYFUNCTION("""COMPUTED_VALUE"""),0)</f>
        <v>0</v>
      </c>
      <c r="AZ225" s="24">
        <f ca="1">IFERROR(__xludf.DUMMYFUNCTION("""COMPUTED_VALUE"""),0)</f>
        <v>0</v>
      </c>
      <c r="BA225" s="24">
        <f ca="1">IFERROR(__xludf.DUMMYFUNCTION("""COMPUTED_VALUE"""),0)</f>
        <v>0</v>
      </c>
      <c r="BB225" s="24">
        <f ca="1">IFERROR(__xludf.DUMMYFUNCTION("""COMPUTED_VALUE"""),0)</f>
        <v>0</v>
      </c>
      <c r="BC225" s="20"/>
      <c r="BD225" s="24">
        <f ca="1">IFERROR(__xludf.DUMMYFUNCTION("""COMPUTED_VALUE"""),0)</f>
        <v>0</v>
      </c>
      <c r="BE225" s="24">
        <f ca="1">IFERROR(__xludf.DUMMYFUNCTION("""COMPUTED_VALUE"""),0)</f>
        <v>0</v>
      </c>
      <c r="BF225" s="24">
        <f ca="1">IFERROR(__xludf.DUMMYFUNCTION("""COMPUTED_VALUE"""),0)</f>
        <v>0</v>
      </c>
      <c r="BG225" s="24">
        <f ca="1">IFERROR(__xludf.DUMMYFUNCTION("""COMPUTED_VALUE"""),0)</f>
        <v>0</v>
      </c>
      <c r="BH225" s="24">
        <f ca="1">IFERROR(__xludf.DUMMYFUNCTION("""COMPUTED_VALUE"""),0)</f>
        <v>0</v>
      </c>
      <c r="BI225" s="20"/>
      <c r="BJ225" s="24">
        <f ca="1">IFERROR(__xludf.DUMMYFUNCTION("""COMPUTED_VALUE"""),90163.38)</f>
        <v>90163.38</v>
      </c>
      <c r="BK225" s="24">
        <f ca="1">IFERROR(__xludf.DUMMYFUNCTION("""COMPUTED_VALUE"""),0)</f>
        <v>0</v>
      </c>
      <c r="BL225" s="24">
        <f ca="1">IFERROR(__xludf.DUMMYFUNCTION("""COMPUTED_VALUE"""),85655)</f>
        <v>85655</v>
      </c>
      <c r="BM225" s="24">
        <f ca="1">IFERROR(__xludf.DUMMYFUNCTION("""COMPUTED_VALUE"""),0)</f>
        <v>0</v>
      </c>
      <c r="BN225" s="24">
        <f ca="1">IFERROR(__xludf.DUMMYFUNCTION("""COMPUTED_VALUE"""),4508.38)</f>
        <v>4508.38</v>
      </c>
      <c r="BO225" s="20"/>
      <c r="BP225" s="24">
        <f ca="1">IFERROR(__xludf.DUMMYFUNCTION("""COMPUTED_VALUE"""),75300)</f>
        <v>75300</v>
      </c>
      <c r="BQ225" s="24">
        <f ca="1">IFERROR(__xludf.DUMMYFUNCTION("""COMPUTED_VALUE"""),0)</f>
        <v>0</v>
      </c>
      <c r="BR225" s="24">
        <f ca="1">IFERROR(__xludf.DUMMYFUNCTION("""COMPUTED_VALUE"""),71535)</f>
        <v>71535</v>
      </c>
      <c r="BS225" s="20"/>
      <c r="BT225" s="24">
        <f ca="1">IFERROR(__xludf.DUMMYFUNCTION("""COMPUTED_VALUE"""),3765)</f>
        <v>3765</v>
      </c>
      <c r="BU225" s="20"/>
      <c r="BV225" s="24">
        <f ca="1">IFERROR(__xludf.DUMMYFUNCTION("""COMPUTED_VALUE"""),0)</f>
        <v>0</v>
      </c>
      <c r="BW225" s="24">
        <f ca="1">IFERROR(__xludf.DUMMYFUNCTION("""COMPUTED_VALUE"""),0)</f>
        <v>0</v>
      </c>
      <c r="BX225" s="24">
        <f ca="1">IFERROR(__xludf.DUMMYFUNCTION("""COMPUTED_VALUE"""),0)</f>
        <v>0</v>
      </c>
      <c r="BY225" s="24">
        <f ca="1">IFERROR(__xludf.DUMMYFUNCTION("""COMPUTED_VALUE"""),0)</f>
        <v>0</v>
      </c>
      <c r="BZ225" s="24">
        <f ca="1">IFERROR(__xludf.DUMMYFUNCTION("""COMPUTED_VALUE"""),0)</f>
        <v>0</v>
      </c>
      <c r="CA225" s="20"/>
      <c r="CB225" s="20"/>
      <c r="CC225" s="20"/>
      <c r="CD225" s="20"/>
      <c r="CE225" s="20"/>
      <c r="CF225" s="20"/>
      <c r="CG225" s="20"/>
      <c r="CH225" s="20"/>
      <c r="CI225" s="20"/>
      <c r="CJ225" s="20"/>
      <c r="CK225" s="20"/>
      <c r="CL225" s="20"/>
      <c r="CM225" s="20"/>
      <c r="CN225" s="20"/>
      <c r="CO225" s="20"/>
      <c r="CP225" s="20"/>
      <c r="CQ225" s="20"/>
      <c r="CR225" s="20"/>
      <c r="CS225" s="20"/>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row>
    <row r="226" spans="1:123" ht="64.5" customHeight="1" x14ac:dyDescent="0.2">
      <c r="A226" s="19"/>
      <c r="B226" s="20" t="str">
        <f ca="1">IFERROR(__xludf.DUMMYFUNCTION("""COMPUTED_VALUE"""),"г.о. Коломенский")</f>
        <v>г.о. Коломенский</v>
      </c>
      <c r="C2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6" s="20" t="str">
        <f ca="1">IFERROR(__xludf.DUMMYFUNCTION("""COMPUTED_VALUE"""),"МинЖКХ")</f>
        <v>МинЖКХ</v>
      </c>
      <c r="E226" s="20" t="str">
        <f ca="1">IFERROR(__xludf.DUMMYFUNCTION("""COMPUTED_VALUE"""),"Реконструкция очистных сооружений, с. Непецино (в том числе ПИР) г.о. Коломенский")</f>
        <v>Реконструкция очистных сооружений, с. Непецино (в том числе ПИР) г.о. Коломенский</v>
      </c>
      <c r="F226" s="32" t="str">
        <f ca="1">IFERROR(__xludf.DUMMYFUNCTION("""COMPUTED_VALUE"""),"ОС")</f>
        <v>ОС</v>
      </c>
      <c r="G226" s="20" t="str">
        <f ca="1">IFERROR(__xludf.DUMMYFUNCTION("""COMPUTED_VALUE"""),"2020-2022")</f>
        <v>2020-2022</v>
      </c>
      <c r="H226" s="20" t="str">
        <f ca="1">IFERROR(__xludf.DUMMYFUNCTION("""COMPUTED_VALUE"""),"ПИР")</f>
        <v>ПИР</v>
      </c>
      <c r="I226" s="20">
        <f ca="1">IFERROR(__xludf.DUMMYFUNCTION("""COMPUTED_VALUE"""),100)</f>
        <v>100</v>
      </c>
      <c r="J226" s="20" t="str">
        <f ca="1">IFERROR(__xludf.DUMMYFUNCTION("""COMPUTED_VALUE"""),"Заключение МОГЭ получено")</f>
        <v>Заключение МОГЭ получено</v>
      </c>
      <c r="K226" s="20"/>
      <c r="L226" s="20"/>
      <c r="M226" s="20"/>
      <c r="N226" s="24">
        <f ca="1">IFERROR(__xludf.DUMMYFUNCTION("""COMPUTED_VALUE"""),7752.61)</f>
        <v>7752.61</v>
      </c>
      <c r="O226" s="20"/>
      <c r="P226" s="24">
        <f ca="1">IFERROR(__xludf.DUMMYFUNCTION("""COMPUTED_VALUE"""),7365)</f>
        <v>7365</v>
      </c>
      <c r="Q226" s="20"/>
      <c r="R226" s="24">
        <f ca="1">IFERROR(__xludf.DUMMYFUNCTION("""COMPUTED_VALUE"""),387.61)</f>
        <v>387.61</v>
      </c>
      <c r="S226" s="20"/>
      <c r="T226" s="20"/>
      <c r="U226" s="24">
        <f ca="1">IFERROR(__xludf.DUMMYFUNCTION("""COMPUTED_VALUE"""),0)</f>
        <v>0</v>
      </c>
      <c r="V226" s="24">
        <f ca="1">IFERROR(__xludf.DUMMYFUNCTION("""COMPUTED_VALUE"""),0)</f>
        <v>0</v>
      </c>
      <c r="W226" s="24">
        <f ca="1">IFERROR(__xludf.DUMMYFUNCTION("""COMPUTED_VALUE"""),0)</f>
        <v>0</v>
      </c>
      <c r="X226" s="24">
        <f ca="1">IFERROR(__xludf.DUMMYFUNCTION("""COMPUTED_VALUE"""),0)</f>
        <v>0</v>
      </c>
      <c r="Y226" s="24">
        <f ca="1">IFERROR(__xludf.DUMMYFUNCTION("""COMPUTED_VALUE"""),0)</f>
        <v>0</v>
      </c>
      <c r="Z226" s="24">
        <f ca="1">IFERROR(__xludf.DUMMYFUNCTION("""COMPUTED_VALUE"""),0)</f>
        <v>0</v>
      </c>
      <c r="AA226" s="20" t="str">
        <f ca="1">IFERROR(__xludf.DUMMYFUNCTION("""COMPUTED_VALUE"""),"10 2 01 64020")</f>
        <v>10 2 01 64020</v>
      </c>
      <c r="AB226" s="20">
        <f ca="1">IFERROR(__xludf.DUMMYFUNCTION("""COMPUTED_VALUE"""),522)</f>
        <v>522</v>
      </c>
      <c r="AC226" s="20" t="str">
        <f ca="1">IFERROR(__xludf.DUMMYFUNCTION("""COMPUTED_VALUE"""),"нет")</f>
        <v>нет</v>
      </c>
      <c r="AD226" s="20" t="str">
        <f ca="1">IFERROR(__xludf.DUMMYFUNCTION("""COMPUTED_VALUE"""),"нет")</f>
        <v>нет</v>
      </c>
      <c r="AE226" s="20" t="str">
        <f ca="1">IFERROR(__xludf.DUMMYFUNCTION("""COMPUTED_VALUE"""),"нет")</f>
        <v>нет</v>
      </c>
      <c r="AF226" s="24">
        <f ca="1">IFERROR(__xludf.DUMMYFUNCTION("""COMPUTED_VALUE"""),50600)</f>
        <v>50600</v>
      </c>
      <c r="AG226" s="24">
        <f ca="1">IFERROR(__xludf.DUMMYFUNCTION("""COMPUTED_VALUE"""),0)</f>
        <v>0</v>
      </c>
      <c r="AH226" s="24">
        <f ca="1">IFERROR(__xludf.DUMMYFUNCTION("""COMPUTED_VALUE"""),48070)</f>
        <v>48070</v>
      </c>
      <c r="AI226" s="24">
        <f ca="1">IFERROR(__xludf.DUMMYFUNCTION("""COMPUTED_VALUE"""),0)</f>
        <v>0</v>
      </c>
      <c r="AJ226" s="24">
        <f ca="1">IFERROR(__xludf.DUMMYFUNCTION("""COMPUTED_VALUE"""),2530)</f>
        <v>2530</v>
      </c>
      <c r="AK226" s="24">
        <f ca="1">IFERROR(__xludf.DUMMYFUNCTION("""COMPUTED_VALUE"""),0)</f>
        <v>0</v>
      </c>
      <c r="AL226" s="24">
        <f ca="1">IFERROR(__xludf.DUMMYFUNCTION("""COMPUTED_VALUE"""),0)</f>
        <v>0</v>
      </c>
      <c r="AM226" s="20"/>
      <c r="AN226" s="20"/>
      <c r="AO226" s="20"/>
      <c r="AP226" s="20"/>
      <c r="AQ226" s="20"/>
      <c r="AR226" s="24">
        <f ca="1">IFERROR(__xludf.DUMMYFUNCTION("""COMPUTED_VALUE"""),0)</f>
        <v>0</v>
      </c>
      <c r="AS226" s="20"/>
      <c r="AT226" s="20"/>
      <c r="AU226" s="20"/>
      <c r="AV226" s="20"/>
      <c r="AW226" s="20"/>
      <c r="AX226" s="24">
        <f ca="1">IFERROR(__xludf.DUMMYFUNCTION("""COMPUTED_VALUE"""),7752.61)</f>
        <v>7752.61</v>
      </c>
      <c r="AY226" s="24">
        <f ca="1">IFERROR(__xludf.DUMMYFUNCTION("""COMPUTED_VALUE"""),0)</f>
        <v>0</v>
      </c>
      <c r="AZ226" s="24">
        <f ca="1">IFERROR(__xludf.DUMMYFUNCTION("""COMPUTED_VALUE"""),7365)</f>
        <v>7365</v>
      </c>
      <c r="BA226" s="24">
        <f ca="1">IFERROR(__xludf.DUMMYFUNCTION("""COMPUTED_VALUE"""),0)</f>
        <v>0</v>
      </c>
      <c r="BB226" s="24">
        <f ca="1">IFERROR(__xludf.DUMMYFUNCTION("""COMPUTED_VALUE"""),387.61)</f>
        <v>387.61</v>
      </c>
      <c r="BC226" s="20"/>
      <c r="BD226" s="24">
        <f ca="1">IFERROR(__xludf.DUMMYFUNCTION("""COMPUTED_VALUE"""),0)</f>
        <v>0</v>
      </c>
      <c r="BE226" s="24">
        <f ca="1">IFERROR(__xludf.DUMMYFUNCTION("""COMPUTED_VALUE"""),0)</f>
        <v>0</v>
      </c>
      <c r="BF226" s="24">
        <f ca="1">IFERROR(__xludf.DUMMYFUNCTION("""COMPUTED_VALUE"""),0)</f>
        <v>0</v>
      </c>
      <c r="BG226" s="24">
        <f ca="1">IFERROR(__xludf.DUMMYFUNCTION("""COMPUTED_VALUE"""),0)</f>
        <v>0</v>
      </c>
      <c r="BH226" s="24">
        <f ca="1">IFERROR(__xludf.DUMMYFUNCTION("""COMPUTED_VALUE"""),0)</f>
        <v>0</v>
      </c>
      <c r="BI226" s="20"/>
      <c r="BJ226" s="24">
        <f ca="1">IFERROR(__xludf.DUMMYFUNCTION("""COMPUTED_VALUE"""),42847.39)</f>
        <v>42847.39</v>
      </c>
      <c r="BK226" s="24">
        <f ca="1">IFERROR(__xludf.DUMMYFUNCTION("""COMPUTED_VALUE"""),0)</f>
        <v>0</v>
      </c>
      <c r="BL226" s="24">
        <f ca="1">IFERROR(__xludf.DUMMYFUNCTION("""COMPUTED_VALUE"""),40705)</f>
        <v>40705</v>
      </c>
      <c r="BM226" s="24">
        <f ca="1">IFERROR(__xludf.DUMMYFUNCTION("""COMPUTED_VALUE"""),0)</f>
        <v>0</v>
      </c>
      <c r="BN226" s="24">
        <f ca="1">IFERROR(__xludf.DUMMYFUNCTION("""COMPUTED_VALUE"""),2142.39)</f>
        <v>2142.39</v>
      </c>
      <c r="BO226" s="20"/>
      <c r="BP226" s="24">
        <f ca="1">IFERROR(__xludf.DUMMYFUNCTION("""COMPUTED_VALUE"""),0)</f>
        <v>0</v>
      </c>
      <c r="BQ226" s="24">
        <f ca="1">IFERROR(__xludf.DUMMYFUNCTION("""COMPUTED_VALUE"""),0)</f>
        <v>0</v>
      </c>
      <c r="BR226" s="24">
        <f ca="1">IFERROR(__xludf.DUMMYFUNCTION("""COMPUTED_VALUE"""),0)</f>
        <v>0</v>
      </c>
      <c r="BS226" s="24">
        <f ca="1">IFERROR(__xludf.DUMMYFUNCTION("""COMPUTED_VALUE"""),0)</f>
        <v>0</v>
      </c>
      <c r="BT226" s="24">
        <f ca="1">IFERROR(__xludf.DUMMYFUNCTION("""COMPUTED_VALUE"""),0)</f>
        <v>0</v>
      </c>
      <c r="BU226" s="20"/>
      <c r="BV226" s="24">
        <f ca="1">IFERROR(__xludf.DUMMYFUNCTION("""COMPUTED_VALUE"""),0)</f>
        <v>0</v>
      </c>
      <c r="BW226" s="24">
        <f ca="1">IFERROR(__xludf.DUMMYFUNCTION("""COMPUTED_VALUE"""),0)</f>
        <v>0</v>
      </c>
      <c r="BX226" s="24">
        <f ca="1">IFERROR(__xludf.DUMMYFUNCTION("""COMPUTED_VALUE"""),0)</f>
        <v>0</v>
      </c>
      <c r="BY226" s="24">
        <f ca="1">IFERROR(__xludf.DUMMYFUNCTION("""COMPUTED_VALUE"""),0)</f>
        <v>0</v>
      </c>
      <c r="BZ226" s="24">
        <f ca="1">IFERROR(__xludf.DUMMYFUNCTION("""COMPUTED_VALUE"""),0)</f>
        <v>0</v>
      </c>
      <c r="CA226" s="20"/>
      <c r="CB226" s="20"/>
      <c r="CC226" s="20"/>
      <c r="CD226" s="20"/>
      <c r="CE226" s="20"/>
      <c r="CF226" s="20"/>
      <c r="CG226" s="20"/>
      <c r="CH226" s="20"/>
      <c r="CI226" s="20"/>
      <c r="CJ226" s="26">
        <f ca="1">IFERROR(__xludf.DUMMYFUNCTION("""COMPUTED_VALUE"""),43957)</f>
        <v>43957</v>
      </c>
      <c r="CK226" s="26">
        <f ca="1">IFERROR(__xludf.DUMMYFUNCTION("""COMPUTED_VALUE"""),44074)</f>
        <v>44074</v>
      </c>
      <c r="CL226" s="20" t="str">
        <f ca="1">IFERROR(__xludf.DUMMYFUNCTION("""COMPUTED_VALUE"""),"50-1-1-3-1380-20")</f>
        <v>50-1-1-3-1380-20</v>
      </c>
      <c r="CM226" s="20"/>
      <c r="CN226" s="20"/>
      <c r="CO226" s="20"/>
      <c r="CP226" s="20"/>
      <c r="CQ226" s="20"/>
      <c r="CR226" s="20"/>
      <c r="CS226" s="20"/>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row>
    <row r="227" spans="1:123" ht="64.5" customHeight="1" x14ac:dyDescent="0.2">
      <c r="A227" s="19"/>
      <c r="B227" s="20" t="str">
        <f ca="1">IFERROR(__xludf.DUMMYFUNCTION("""COMPUTED_VALUE"""),"г.о. Коломенский")</f>
        <v>г.о. Коломенский</v>
      </c>
      <c r="C2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7" s="20" t="str">
        <f ca="1">IFERROR(__xludf.DUMMYFUNCTION("""COMPUTED_VALUE"""),"МинЖКХ")</f>
        <v>МинЖКХ</v>
      </c>
      <c r="E227" s="20" t="str">
        <f ca="1">IFERROR(__xludf.DUMMYFUNCTION("""COMPUTED_VALUE"""),"Реконструкция очистных сооружений близ пос. Сергиевский Коломенского городского округа (ПИР) ")</f>
        <v xml:space="preserve">Реконструкция очистных сооружений близ пос. Сергиевский Коломенского городского округа (ПИР) </v>
      </c>
      <c r="F227" s="32" t="str">
        <f ca="1">IFERROR(__xludf.DUMMYFUNCTION("""COMPUTED_VALUE"""),"ОС")</f>
        <v>ОС</v>
      </c>
      <c r="G227" s="20">
        <f ca="1">IFERROR(__xludf.DUMMYFUNCTION("""COMPUTED_VALUE"""),2020)</f>
        <v>2020</v>
      </c>
      <c r="H227" s="20" t="str">
        <f ca="1">IFERROR(__xludf.DUMMYFUNCTION("""COMPUTED_VALUE"""),"ПИР")</f>
        <v>ПИР</v>
      </c>
      <c r="I227" s="20">
        <f ca="1">IFERROR(__xludf.DUMMYFUNCTION("""COMPUTED_VALUE"""),100)</f>
        <v>100</v>
      </c>
      <c r="J227" s="20" t="str">
        <f ca="1">IFERROR(__xludf.DUMMYFUNCTION("""COMPUTED_VALUE"""),"Заключение МОГЭ получено")</f>
        <v>Заключение МОГЭ получено</v>
      </c>
      <c r="K227" s="20"/>
      <c r="L227" s="20"/>
      <c r="M227" s="20"/>
      <c r="N227" s="24">
        <f ca="1">IFERROR(__xludf.DUMMYFUNCTION("""COMPUTED_VALUE"""),55556)</f>
        <v>55556</v>
      </c>
      <c r="O227" s="20"/>
      <c r="P227" s="20"/>
      <c r="Q227" s="24">
        <f ca="1">IFERROR(__xludf.DUMMYFUNCTION("""COMPUTED_VALUE"""),52778)</f>
        <v>52778</v>
      </c>
      <c r="R227" s="24">
        <f ca="1">IFERROR(__xludf.DUMMYFUNCTION("""COMPUTED_VALUE"""),2778)</f>
        <v>2778</v>
      </c>
      <c r="S227" s="20"/>
      <c r="T227" s="20"/>
      <c r="U227" s="24">
        <f ca="1">IFERROR(__xludf.DUMMYFUNCTION("""COMPUTED_VALUE"""),0)</f>
        <v>0</v>
      </c>
      <c r="V227" s="24">
        <f ca="1">IFERROR(__xludf.DUMMYFUNCTION("""COMPUTED_VALUE"""),0)</f>
        <v>0</v>
      </c>
      <c r="W227" s="24">
        <f ca="1">IFERROR(__xludf.DUMMYFUNCTION("""COMPUTED_VALUE"""),0)</f>
        <v>0</v>
      </c>
      <c r="X227" s="24">
        <f ca="1">IFERROR(__xludf.DUMMYFUNCTION("""COMPUTED_VALUE"""),0)</f>
        <v>0</v>
      </c>
      <c r="Y227" s="24">
        <f ca="1">IFERROR(__xludf.DUMMYFUNCTION("""COMPUTED_VALUE"""),0)</f>
        <v>0</v>
      </c>
      <c r="Z227" s="24">
        <f ca="1">IFERROR(__xludf.DUMMYFUNCTION("""COMPUTED_VALUE"""),0)</f>
        <v>0</v>
      </c>
      <c r="AA227" s="20" t="str">
        <f ca="1">IFERROR(__xludf.DUMMYFUNCTION("""COMPUTED_VALUE"""),"10 2 01 64020")</f>
        <v>10 2 01 64020</v>
      </c>
      <c r="AB227" s="20">
        <f ca="1">IFERROR(__xludf.DUMMYFUNCTION("""COMPUTED_VALUE"""),522)</f>
        <v>522</v>
      </c>
      <c r="AC227" s="20" t="str">
        <f ca="1">IFERROR(__xludf.DUMMYFUNCTION("""COMPUTED_VALUE"""),"нет")</f>
        <v>нет</v>
      </c>
      <c r="AD227" s="20" t="str">
        <f ca="1">IFERROR(__xludf.DUMMYFUNCTION("""COMPUTED_VALUE"""),"нет")</f>
        <v>нет</v>
      </c>
      <c r="AE227" s="20" t="str">
        <f ca="1">IFERROR(__xludf.DUMMYFUNCTION("""COMPUTED_VALUE"""),"нет")</f>
        <v>нет</v>
      </c>
      <c r="AF227" s="24">
        <f ca="1">IFERROR(__xludf.DUMMYFUNCTION("""COMPUTED_VALUE"""),55556)</f>
        <v>55556</v>
      </c>
      <c r="AG227" s="24">
        <f ca="1">IFERROR(__xludf.DUMMYFUNCTION("""COMPUTED_VALUE"""),0)</f>
        <v>0</v>
      </c>
      <c r="AH227" s="24">
        <f ca="1">IFERROR(__xludf.DUMMYFUNCTION("""COMPUTED_VALUE"""),0)</f>
        <v>0</v>
      </c>
      <c r="AI227" s="24">
        <f ca="1">IFERROR(__xludf.DUMMYFUNCTION("""COMPUTED_VALUE"""),52778)</f>
        <v>52778</v>
      </c>
      <c r="AJ227" s="24">
        <f ca="1">IFERROR(__xludf.DUMMYFUNCTION("""COMPUTED_VALUE"""),2778)</f>
        <v>2778</v>
      </c>
      <c r="AK227" s="24">
        <f ca="1">IFERROR(__xludf.DUMMYFUNCTION("""COMPUTED_VALUE"""),0)</f>
        <v>0</v>
      </c>
      <c r="AL227" s="24">
        <f ca="1">IFERROR(__xludf.DUMMYFUNCTION("""COMPUTED_VALUE"""),0)</f>
        <v>0</v>
      </c>
      <c r="AM227" s="20"/>
      <c r="AN227" s="20"/>
      <c r="AO227" s="20"/>
      <c r="AP227" s="20"/>
      <c r="AQ227" s="20"/>
      <c r="AR227" s="24">
        <f ca="1">IFERROR(__xludf.DUMMYFUNCTION("""COMPUTED_VALUE"""),0)</f>
        <v>0</v>
      </c>
      <c r="AS227" s="20"/>
      <c r="AT227" s="20"/>
      <c r="AU227" s="20"/>
      <c r="AV227" s="20"/>
      <c r="AW227" s="20"/>
      <c r="AX227" s="24">
        <f ca="1">IFERROR(__xludf.DUMMYFUNCTION("""COMPUTED_VALUE"""),55556)</f>
        <v>55556</v>
      </c>
      <c r="AY227" s="24">
        <f ca="1">IFERROR(__xludf.DUMMYFUNCTION("""COMPUTED_VALUE"""),0)</f>
        <v>0</v>
      </c>
      <c r="AZ227" s="24">
        <f ca="1">IFERROR(__xludf.DUMMYFUNCTION("""COMPUTED_VALUE"""),0)</f>
        <v>0</v>
      </c>
      <c r="BA227" s="24">
        <f ca="1">IFERROR(__xludf.DUMMYFUNCTION("""COMPUTED_VALUE"""),52778)</f>
        <v>52778</v>
      </c>
      <c r="BB227" s="24">
        <f ca="1">IFERROR(__xludf.DUMMYFUNCTION("""COMPUTED_VALUE"""),2778)</f>
        <v>2778</v>
      </c>
      <c r="BC227" s="20"/>
      <c r="BD227" s="24">
        <f ca="1">IFERROR(__xludf.DUMMYFUNCTION("""COMPUTED_VALUE"""),0)</f>
        <v>0</v>
      </c>
      <c r="BE227" s="24">
        <f ca="1">IFERROR(__xludf.DUMMYFUNCTION("""COMPUTED_VALUE"""),0)</f>
        <v>0</v>
      </c>
      <c r="BF227" s="24">
        <f ca="1">IFERROR(__xludf.DUMMYFUNCTION("""COMPUTED_VALUE"""),0)</f>
        <v>0</v>
      </c>
      <c r="BG227" s="24">
        <f ca="1">IFERROR(__xludf.DUMMYFUNCTION("""COMPUTED_VALUE"""),0)</f>
        <v>0</v>
      </c>
      <c r="BH227" s="24">
        <f ca="1">IFERROR(__xludf.DUMMYFUNCTION("""COMPUTED_VALUE"""),0)</f>
        <v>0</v>
      </c>
      <c r="BI227" s="20"/>
      <c r="BJ227" s="24">
        <f ca="1">IFERROR(__xludf.DUMMYFUNCTION("""COMPUTED_VALUE"""),0)</f>
        <v>0</v>
      </c>
      <c r="BK227" s="24">
        <f ca="1">IFERROR(__xludf.DUMMYFUNCTION("""COMPUTED_VALUE"""),0)</f>
        <v>0</v>
      </c>
      <c r="BL227" s="24">
        <f ca="1">IFERROR(__xludf.DUMMYFUNCTION("""COMPUTED_VALUE"""),0)</f>
        <v>0</v>
      </c>
      <c r="BM227" s="24">
        <f ca="1">IFERROR(__xludf.DUMMYFUNCTION("""COMPUTED_VALUE"""),0)</f>
        <v>0</v>
      </c>
      <c r="BN227" s="24">
        <f ca="1">IFERROR(__xludf.DUMMYFUNCTION("""COMPUTED_VALUE"""),0)</f>
        <v>0</v>
      </c>
      <c r="BO227" s="20"/>
      <c r="BP227" s="24">
        <f ca="1">IFERROR(__xludf.DUMMYFUNCTION("""COMPUTED_VALUE"""),0)</f>
        <v>0</v>
      </c>
      <c r="BQ227" s="24">
        <f ca="1">IFERROR(__xludf.DUMMYFUNCTION("""COMPUTED_VALUE"""),0)</f>
        <v>0</v>
      </c>
      <c r="BR227" s="24">
        <f ca="1">IFERROR(__xludf.DUMMYFUNCTION("""COMPUTED_VALUE"""),0)</f>
        <v>0</v>
      </c>
      <c r="BS227" s="24">
        <f ca="1">IFERROR(__xludf.DUMMYFUNCTION("""COMPUTED_VALUE"""),0)</f>
        <v>0</v>
      </c>
      <c r="BT227" s="24">
        <f ca="1">IFERROR(__xludf.DUMMYFUNCTION("""COMPUTED_VALUE"""),0)</f>
        <v>0</v>
      </c>
      <c r="BU227" s="20"/>
      <c r="BV227" s="24">
        <f ca="1">IFERROR(__xludf.DUMMYFUNCTION("""COMPUTED_VALUE"""),0)</f>
        <v>0</v>
      </c>
      <c r="BW227" s="24">
        <f ca="1">IFERROR(__xludf.DUMMYFUNCTION("""COMPUTED_VALUE"""),0)</f>
        <v>0</v>
      </c>
      <c r="BX227" s="24">
        <f ca="1">IFERROR(__xludf.DUMMYFUNCTION("""COMPUTED_VALUE"""),0)</f>
        <v>0</v>
      </c>
      <c r="BY227" s="24">
        <f ca="1">IFERROR(__xludf.DUMMYFUNCTION("""COMPUTED_VALUE"""),0)</f>
        <v>0</v>
      </c>
      <c r="BZ227" s="24">
        <f ca="1">IFERROR(__xludf.DUMMYFUNCTION("""COMPUTED_VALUE"""),0)</f>
        <v>0</v>
      </c>
      <c r="CA227" s="20"/>
      <c r="CB227" s="20" t="str">
        <f ca="1">IFERROR(__xludf.DUMMYFUNCTION("""COMPUTED_VALUE"""),"заключен")</f>
        <v>заключен</v>
      </c>
      <c r="CC227" s="26">
        <f ca="1">IFERROR(__xludf.DUMMYFUNCTION("""COMPUTED_VALUE"""),43539)</f>
        <v>43539</v>
      </c>
      <c r="CD227" s="20" t="str">
        <f ca="1">IFERROR(__xludf.DUMMYFUNCTION("""COMPUTED_VALUE"""),"0148200005419000061")</f>
        <v>0148200005419000061</v>
      </c>
      <c r="CE227" s="26">
        <f ca="1">IFERROR(__xludf.DUMMYFUNCTION("""COMPUTED_VALUE"""),43600)</f>
        <v>43600</v>
      </c>
      <c r="CF227" s="20" t="str">
        <f ca="1">IFERROR(__xludf.DUMMYFUNCTION("""COMPUTED_VALUE"""),"Ф.2019.222366")</f>
        <v>Ф.2019.222366</v>
      </c>
      <c r="CG227" s="20" t="str">
        <f ca="1">IFERROR(__xludf.DUMMYFUNCTION("""COMPUTED_VALUE"""),"55 555 555,00")</f>
        <v>55 555 555,00</v>
      </c>
      <c r="CH227" s="20" t="str">
        <f ca="1">IFERROR(__xludf.DUMMYFUNCTION("""COMPUTED_VALUE"""),"ООО ""ВЕЛЛКОМ-ГРУПП""")</f>
        <v>ООО "ВЕЛЛКОМ-ГРУПП"</v>
      </c>
      <c r="CI227" s="27" t="str">
        <f ca="1">IFERROR(__xludf.DUMMYFUNCTION("""COMPUTED_VALUE"""),"https://zakupki.gov.ru/epz/contract/contractCard/common-info.html?reestrNumber=3502205470719000053&amp;backUrl=38342cc5-e647-40ef-aa77-f3f8f6914c85")</f>
        <v>https://zakupki.gov.ru/epz/contract/contractCard/common-info.html?reestrNumber=3502205470719000053&amp;backUrl=38342cc5-e647-40ef-aa77-f3f8f6914c85</v>
      </c>
      <c r="CJ227" s="33">
        <f ca="1">IFERROR(__xludf.DUMMYFUNCTION("""COMPUTED_VALUE"""),43867)</f>
        <v>43867</v>
      </c>
      <c r="CK227" s="33">
        <f ca="1">IFERROR(__xludf.DUMMYFUNCTION("""COMPUTED_VALUE"""),43949)</f>
        <v>43949</v>
      </c>
      <c r="CL227" s="20" t="str">
        <f ca="1">IFERROR(__xludf.DUMMYFUNCTION("""COMPUTED_VALUE"""),"50-1-1-3-0858-20")</f>
        <v>50-1-1-3-0858-20</v>
      </c>
      <c r="CM227" s="20"/>
      <c r="CN227" s="20"/>
      <c r="CO227" s="20"/>
      <c r="CP227" s="20"/>
      <c r="CQ227" s="20"/>
      <c r="CR227" s="20"/>
      <c r="CS227" s="20"/>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row>
    <row r="228" spans="1:123" ht="64.5" hidden="1" customHeight="1" x14ac:dyDescent="0.2">
      <c r="A228" s="19"/>
      <c r="B228" s="20" t="str">
        <f ca="1">IFERROR(__xludf.DUMMYFUNCTION("""COMPUTED_VALUE"""),"г.о. Серпухов")</f>
        <v>г.о. Серпухов</v>
      </c>
      <c r="C2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8" s="20" t="str">
        <f ca="1">IFERROR(__xludf.DUMMYFUNCTION("""COMPUTED_VALUE"""),"МинЖКХ")</f>
        <v>МинЖКХ</v>
      </c>
      <c r="E228" s="20" t="str">
        <f ca="1">IFERROR(__xludf.DUMMYFUNCTION("""COMPUTED_VALUE"""),"Строительство блочно-модульной станции очистки хозяйственно-бытовых сточных вод, Серпуховский м.р., с. Райсеменовское ( в том числе ПИР) ")</f>
        <v xml:space="preserve">Строительство блочно-модульной станции очистки хозяйственно-бытовых сточных вод, Серпуховский м.р., с. Райсеменовское ( в том числе ПИР) </v>
      </c>
      <c r="F228" s="32" t="str">
        <f ca="1">IFERROR(__xludf.DUMMYFUNCTION("""COMPUTED_VALUE"""),"ОС")</f>
        <v>ОС</v>
      </c>
      <c r="G228" s="20" t="str">
        <f ca="1">IFERROR(__xludf.DUMMYFUNCTION("""COMPUTED_VALUE"""),"2022-2024")</f>
        <v>2022-2024</v>
      </c>
      <c r="H228" s="20" t="str">
        <f ca="1">IFERROR(__xludf.DUMMYFUNCTION("""COMPUTED_VALUE"""),"СМР")</f>
        <v>СМР</v>
      </c>
      <c r="I228" s="20"/>
      <c r="J228" s="20"/>
      <c r="K228" s="20"/>
      <c r="L228" s="20"/>
      <c r="M228" s="20"/>
      <c r="N228" s="24">
        <f ca="1">IFERROR(__xludf.DUMMYFUNCTION("""COMPUTED_VALUE"""),0)</f>
        <v>0</v>
      </c>
      <c r="O228" s="20"/>
      <c r="P228" s="20"/>
      <c r="Q228" s="20"/>
      <c r="R228" s="20"/>
      <c r="S228" s="20"/>
      <c r="T228" s="20"/>
      <c r="U228" s="24">
        <f ca="1">IFERROR(__xludf.DUMMYFUNCTION("""COMPUTED_VALUE"""),0)</f>
        <v>0</v>
      </c>
      <c r="V228" s="24">
        <f ca="1">IFERROR(__xludf.DUMMYFUNCTION("""COMPUTED_VALUE"""),0)</f>
        <v>0</v>
      </c>
      <c r="W228" s="24">
        <f ca="1">IFERROR(__xludf.DUMMYFUNCTION("""COMPUTED_VALUE"""),0)</f>
        <v>0</v>
      </c>
      <c r="X228" s="24">
        <f ca="1">IFERROR(__xludf.DUMMYFUNCTION("""COMPUTED_VALUE"""),0)</f>
        <v>0</v>
      </c>
      <c r="Y228" s="24">
        <f ca="1">IFERROR(__xludf.DUMMYFUNCTION("""COMPUTED_VALUE"""),0)</f>
        <v>0</v>
      </c>
      <c r="Z228" s="24">
        <f ca="1">IFERROR(__xludf.DUMMYFUNCTION("""COMPUTED_VALUE"""),0)</f>
        <v>0</v>
      </c>
      <c r="AA228" s="20" t="str">
        <f ca="1">IFERROR(__xludf.DUMMYFUNCTION("""COMPUTED_VALUE"""),"10 2 01 64020")</f>
        <v>10 2 01 64020</v>
      </c>
      <c r="AB228" s="20">
        <f ca="1">IFERROR(__xludf.DUMMYFUNCTION("""COMPUTED_VALUE"""),522)</f>
        <v>522</v>
      </c>
      <c r="AC228" s="20" t="str">
        <f ca="1">IFERROR(__xludf.DUMMYFUNCTION("""COMPUTED_VALUE"""),"нет")</f>
        <v>нет</v>
      </c>
      <c r="AD228" s="20"/>
      <c r="AE228" s="20"/>
      <c r="AF228" s="24">
        <f ca="1">IFERROR(__xludf.DUMMYFUNCTION("""COMPUTED_VALUE"""),54252)</f>
        <v>54252</v>
      </c>
      <c r="AG228" s="24">
        <f ca="1">IFERROR(__xludf.DUMMYFUNCTION("""COMPUTED_VALUE"""),0)</f>
        <v>0</v>
      </c>
      <c r="AH228" s="24">
        <f ca="1">IFERROR(__xludf.DUMMYFUNCTION("""COMPUTED_VALUE"""),44920)</f>
        <v>44920</v>
      </c>
      <c r="AI228" s="24">
        <f ca="1">IFERROR(__xludf.DUMMYFUNCTION("""COMPUTED_VALUE"""),1155)</f>
        <v>1155</v>
      </c>
      <c r="AJ228" s="24">
        <f ca="1">IFERROR(__xludf.DUMMYFUNCTION("""COMPUTED_VALUE"""),8177)</f>
        <v>8177</v>
      </c>
      <c r="AK228" s="24">
        <f ca="1">IFERROR(__xludf.DUMMYFUNCTION("""COMPUTED_VALUE"""),0)</f>
        <v>0</v>
      </c>
      <c r="AL228" s="24">
        <f ca="1">IFERROR(__xludf.DUMMYFUNCTION("""COMPUTED_VALUE"""),0)</f>
        <v>0</v>
      </c>
      <c r="AM228" s="20"/>
      <c r="AN228" s="20"/>
      <c r="AO228" s="20"/>
      <c r="AP228" s="20"/>
      <c r="AQ228" s="20"/>
      <c r="AR228" s="24">
        <f ca="1">IFERROR(__xludf.DUMMYFUNCTION("""COMPUTED_VALUE"""),0)</f>
        <v>0</v>
      </c>
      <c r="AS228" s="20"/>
      <c r="AT228" s="20"/>
      <c r="AU228" s="20"/>
      <c r="AV228" s="20"/>
      <c r="AW228" s="20"/>
      <c r="AX228" s="24">
        <f ca="1">IFERROR(__xludf.DUMMYFUNCTION("""COMPUTED_VALUE"""),0)</f>
        <v>0</v>
      </c>
      <c r="AY228" s="24">
        <f ca="1">IFERROR(__xludf.DUMMYFUNCTION("""COMPUTED_VALUE"""),0)</f>
        <v>0</v>
      </c>
      <c r="AZ228" s="24">
        <f ca="1">IFERROR(__xludf.DUMMYFUNCTION("""COMPUTED_VALUE"""),0)</f>
        <v>0</v>
      </c>
      <c r="BA228" s="24">
        <f ca="1">IFERROR(__xludf.DUMMYFUNCTION("""COMPUTED_VALUE"""),0)</f>
        <v>0</v>
      </c>
      <c r="BB228" s="24">
        <f ca="1">IFERROR(__xludf.DUMMYFUNCTION("""COMPUTED_VALUE"""),0)</f>
        <v>0</v>
      </c>
      <c r="BC228" s="20"/>
      <c r="BD228" s="24">
        <f ca="1">IFERROR(__xludf.DUMMYFUNCTION("""COMPUTED_VALUE"""),0)</f>
        <v>0</v>
      </c>
      <c r="BE228" s="24">
        <f ca="1">IFERROR(__xludf.DUMMYFUNCTION("""COMPUTED_VALUE"""),0)</f>
        <v>0</v>
      </c>
      <c r="BF228" s="24">
        <f ca="1">IFERROR(__xludf.DUMMYFUNCTION("""COMPUTED_VALUE"""),0)</f>
        <v>0</v>
      </c>
      <c r="BG228" s="24">
        <f ca="1">IFERROR(__xludf.DUMMYFUNCTION("""COMPUTED_VALUE"""),0)</f>
        <v>0</v>
      </c>
      <c r="BH228" s="24">
        <f ca="1">IFERROR(__xludf.DUMMYFUNCTION("""COMPUTED_VALUE"""),0)</f>
        <v>0</v>
      </c>
      <c r="BI228" s="20"/>
      <c r="BJ228" s="24">
        <f ca="1">IFERROR(__xludf.DUMMYFUNCTION("""COMPUTED_VALUE"""),6723)</f>
        <v>6723</v>
      </c>
      <c r="BK228" s="24">
        <f ca="1">IFERROR(__xludf.DUMMYFUNCTION("""COMPUTED_VALUE"""),0)</f>
        <v>0</v>
      </c>
      <c r="BL228" s="24">
        <f ca="1">IFERROR(__xludf.DUMMYFUNCTION("""COMPUTED_VALUE"""),5568)</f>
        <v>5568</v>
      </c>
      <c r="BM228" s="24">
        <f ca="1">IFERROR(__xludf.DUMMYFUNCTION("""COMPUTED_VALUE"""),1155)</f>
        <v>1155</v>
      </c>
      <c r="BN228" s="24">
        <f ca="1">IFERROR(__xludf.DUMMYFUNCTION("""COMPUTED_VALUE"""),0)</f>
        <v>0</v>
      </c>
      <c r="BO228" s="20"/>
      <c r="BP228" s="24">
        <f ca="1">IFERROR(__xludf.DUMMYFUNCTION("""COMPUTED_VALUE"""),27126)</f>
        <v>27126</v>
      </c>
      <c r="BQ228" s="24">
        <f ca="1">IFERROR(__xludf.DUMMYFUNCTION("""COMPUTED_VALUE"""),0)</f>
        <v>0</v>
      </c>
      <c r="BR228" s="24">
        <f ca="1">IFERROR(__xludf.DUMMYFUNCTION("""COMPUTED_VALUE"""),22460)</f>
        <v>22460</v>
      </c>
      <c r="BS228" s="20"/>
      <c r="BT228" s="24">
        <f ca="1">IFERROR(__xludf.DUMMYFUNCTION("""COMPUTED_VALUE"""),4666)</f>
        <v>4666</v>
      </c>
      <c r="BU228" s="20"/>
      <c r="BV228" s="24">
        <f ca="1">IFERROR(__xludf.DUMMYFUNCTION("""COMPUTED_VALUE"""),20403)</f>
        <v>20403</v>
      </c>
      <c r="BW228" s="24">
        <f ca="1">IFERROR(__xludf.DUMMYFUNCTION("""COMPUTED_VALUE"""),0)</f>
        <v>0</v>
      </c>
      <c r="BX228" s="24">
        <f ca="1">IFERROR(__xludf.DUMMYFUNCTION("""COMPUTED_VALUE"""),16892)</f>
        <v>16892</v>
      </c>
      <c r="BY228" s="24">
        <f ca="1">IFERROR(__xludf.DUMMYFUNCTION("""COMPUTED_VALUE"""),0)</f>
        <v>0</v>
      </c>
      <c r="BZ228" s="24">
        <f ca="1">IFERROR(__xludf.DUMMYFUNCTION("""COMPUTED_VALUE"""),3511)</f>
        <v>3511</v>
      </c>
      <c r="CA228" s="20"/>
      <c r="CB228" s="20"/>
      <c r="CC228" s="20"/>
      <c r="CD228" s="20"/>
      <c r="CE228" s="20"/>
      <c r="CF228" s="20"/>
      <c r="CG228" s="20"/>
      <c r="CH228" s="20"/>
      <c r="CI228" s="20"/>
      <c r="CJ228" s="20"/>
      <c r="CK228" s="20"/>
      <c r="CL228" s="20"/>
      <c r="CM228" s="20"/>
      <c r="CN228" s="20"/>
      <c r="CO228" s="20"/>
      <c r="CP228" s="20"/>
      <c r="CQ228" s="20"/>
      <c r="CR228" s="20"/>
      <c r="CS228" s="20"/>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row>
    <row r="229" spans="1:123" ht="64.5" customHeight="1" x14ac:dyDescent="0.2">
      <c r="A229" s="19"/>
      <c r="B229" s="20" t="str">
        <f ca="1">IFERROR(__xludf.DUMMYFUNCTION("""COMPUTED_VALUE"""),"г.о. Одинцово")</f>
        <v>г.о. Одинцово</v>
      </c>
      <c r="C2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9" s="20" t="str">
        <f ca="1">IFERROR(__xludf.DUMMYFUNCTION("""COMPUTED_VALUE"""),"МинЖКХ")</f>
        <v>МинЖКХ</v>
      </c>
      <c r="E229" s="20" t="str">
        <f ca="1">IFERROR(__xludf.DUMMYFUNCTION("""COMPUTED_VALUE"""),"Реконструкция очистных сооружений пос. Горки 10 Одинцовского г.о. ")</f>
        <v xml:space="preserve">Реконструкция очистных сооружений пос. Горки 10 Одинцовского г.о. </v>
      </c>
      <c r="F229" s="32" t="str">
        <f ca="1">IFERROR(__xludf.DUMMYFUNCTION("""COMPUTED_VALUE"""),"ОС")</f>
        <v>ОС</v>
      </c>
      <c r="G229" s="20" t="str">
        <f ca="1">IFERROR(__xludf.DUMMYFUNCTION("""COMPUTED_VALUE"""),"2020-2021")</f>
        <v>2020-2021</v>
      </c>
      <c r="H229" s="20" t="str">
        <f ca="1">IFERROR(__xludf.DUMMYFUNCTION("""COMPUTED_VALUE"""),"СМР")</f>
        <v>СМР</v>
      </c>
      <c r="I229" s="20">
        <f ca="1">IFERROR(__xludf.DUMMYFUNCTION("""COMPUTED_VALUE"""),25)</f>
        <v>25</v>
      </c>
      <c r="J229" s="20" t="str">
        <f ca="1">IFERROR(__xludf.DUMMYFUNCTION("""COMPUTED_VALUE"""),"Работы в соотвествии  в графиком. необходимо корректировка проекта. Получено письмо от ОМСУ о переносе лимитов финасирования 2020 года в размере 140 млн. руб.")</f>
        <v>Работы в соотвествии  в графиком. необходимо корректировка проекта. Получено письмо от ОМСУ о переносе лимитов финасирования 2020 года в размере 140 млн. руб.</v>
      </c>
      <c r="K229" s="20"/>
      <c r="L229" s="20"/>
      <c r="M229" s="20"/>
      <c r="N229" s="24">
        <f ca="1">IFERROR(__xludf.DUMMYFUNCTION("""COMPUTED_VALUE"""),197117.289999999)</f>
        <v>197117.28999999899</v>
      </c>
      <c r="O229" s="20"/>
      <c r="P229" s="24">
        <f ca="1">IFERROR(__xludf.DUMMYFUNCTION("""COMPUTED_VALUE"""),94968.98)</f>
        <v>94968.98</v>
      </c>
      <c r="Q229" s="24">
        <f ca="1">IFERROR(__xludf.DUMMYFUNCTION("""COMPUTED_VALUE"""),102148.31)</f>
        <v>102148.31</v>
      </c>
      <c r="R229" s="20"/>
      <c r="S229" s="20"/>
      <c r="T229" s="20" t="str">
        <f ca="1">IFERROR(__xludf.DUMMYFUNCTION("""COMPUTED_VALUE"""),"Риск неосвоения оставшейся части лимитов. Документация направлена в МОГЭ на корректировку. Увеличение стоимости мероприятия до 650 млн. руб. Админстрацией направлено письмо о переносе средств на 2021 г. в размере 140 млн. руб")</f>
        <v>Риск неосвоения оставшейся части лимитов. Документация направлена в МОГЭ на корректировку. Увеличение стоимости мероприятия до 650 млн. руб. Админстрацией направлено письмо о переносе средств на 2021 г. в размере 140 млн. руб</v>
      </c>
      <c r="U229" s="24">
        <f ca="1">IFERROR(__xludf.DUMMYFUNCTION("""COMPUTED_VALUE"""),175987.48)</f>
        <v>175987.48</v>
      </c>
      <c r="V229" s="24">
        <f ca="1">IFERROR(__xludf.DUMMYFUNCTION("""COMPUTED_VALUE"""),0)</f>
        <v>0</v>
      </c>
      <c r="W229" s="24">
        <f ca="1">IFERROR(__xludf.DUMMYFUNCTION("""COMPUTED_VALUE"""),0)</f>
        <v>0</v>
      </c>
      <c r="X229" s="24">
        <f ca="1">IFERROR(__xludf.DUMMYFUNCTION("""COMPUTED_VALUE"""),36073.69)</f>
        <v>36073.69</v>
      </c>
      <c r="Y229" s="24">
        <f ca="1">IFERROR(__xludf.DUMMYFUNCTION("""COMPUTED_VALUE"""),139913.79)</f>
        <v>139913.79</v>
      </c>
      <c r="Z229" s="24">
        <f ca="1">IFERROR(__xludf.DUMMYFUNCTION("""COMPUTED_VALUE"""),0)</f>
        <v>0</v>
      </c>
      <c r="AA229" s="20" t="str">
        <f ca="1">IFERROR(__xludf.DUMMYFUNCTION("""COMPUTED_VALUE"""),"10 2 01 64020")</f>
        <v>10 2 01 64020</v>
      </c>
      <c r="AB229" s="20">
        <f ca="1">IFERROR(__xludf.DUMMYFUNCTION("""COMPUTED_VALUE"""),522)</f>
        <v>522</v>
      </c>
      <c r="AC229" s="20" t="str">
        <f ca="1">IFERROR(__xludf.DUMMYFUNCTION("""COMPUTED_VALUE"""),"да")</f>
        <v>да</v>
      </c>
      <c r="AD229" s="20"/>
      <c r="AE229" s="20" t="str">
        <f ca="1">IFERROR(__xludf.DUMMYFUNCTION("""COMPUTED_VALUE"""),"RU50-20-16088-2020 от 03.07.2020")</f>
        <v>RU50-20-16088-2020 от 03.07.2020</v>
      </c>
      <c r="AF229" s="24">
        <f ca="1">IFERROR(__xludf.DUMMYFUNCTION("""COMPUTED_VALUE"""),407768.42)</f>
        <v>407768.42</v>
      </c>
      <c r="AG229" s="24">
        <f ca="1">IFERROR(__xludf.DUMMYFUNCTION("""COMPUTED_VALUE"""),0)</f>
        <v>0</v>
      </c>
      <c r="AH229" s="24">
        <f ca="1">IFERROR(__xludf.DUMMYFUNCTION("""COMPUTED_VALUE"""),116459.98)</f>
        <v>116459.98</v>
      </c>
      <c r="AI229" s="24">
        <f ca="1">IFERROR(__xludf.DUMMYFUNCTION("""COMPUTED_VALUE"""),138222)</f>
        <v>138222</v>
      </c>
      <c r="AJ229" s="24">
        <f ca="1">IFERROR(__xludf.DUMMYFUNCTION("""COMPUTED_VALUE"""),153086.44)</f>
        <v>153086.44</v>
      </c>
      <c r="AK229" s="24">
        <f ca="1">IFERROR(__xludf.DUMMYFUNCTION("""COMPUTED_VALUE"""),0)</f>
        <v>0</v>
      </c>
      <c r="AL229" s="24">
        <f ca="1">IFERROR(__xludf.DUMMYFUNCTION("""COMPUTED_VALUE"""),0)</f>
        <v>0</v>
      </c>
      <c r="AM229" s="20"/>
      <c r="AN229" s="20"/>
      <c r="AO229" s="20"/>
      <c r="AP229" s="20"/>
      <c r="AQ229" s="20"/>
      <c r="AR229" s="24">
        <f ca="1">IFERROR(__xludf.DUMMYFUNCTION("""COMPUTED_VALUE"""),0)</f>
        <v>0</v>
      </c>
      <c r="AS229" s="20"/>
      <c r="AT229" s="20"/>
      <c r="AU229" s="20"/>
      <c r="AV229" s="20"/>
      <c r="AW229" s="20"/>
      <c r="AX229" s="24">
        <f ca="1">IFERROR(__xludf.DUMMYFUNCTION("""COMPUTED_VALUE"""),373104.77)</f>
        <v>373104.77</v>
      </c>
      <c r="AY229" s="24">
        <f ca="1">IFERROR(__xludf.DUMMYFUNCTION("""COMPUTED_VALUE"""),0)</f>
        <v>0</v>
      </c>
      <c r="AZ229" s="24">
        <f ca="1">IFERROR(__xludf.DUMMYFUNCTION("""COMPUTED_VALUE"""),94968.98)</f>
        <v>94968.98</v>
      </c>
      <c r="BA229" s="24">
        <f ca="1">IFERROR(__xludf.DUMMYFUNCTION("""COMPUTED_VALUE"""),138222)</f>
        <v>138222</v>
      </c>
      <c r="BB229" s="24">
        <f ca="1">IFERROR(__xludf.DUMMYFUNCTION("""COMPUTED_VALUE"""),139913.79)</f>
        <v>139913.79</v>
      </c>
      <c r="BC229" s="20"/>
      <c r="BD229" s="24">
        <f ca="1">IFERROR(__xludf.DUMMYFUNCTION("""COMPUTED_VALUE"""),34663.65)</f>
        <v>34663.65</v>
      </c>
      <c r="BE229" s="24">
        <f ca="1">IFERROR(__xludf.DUMMYFUNCTION("""COMPUTED_VALUE"""),0)</f>
        <v>0</v>
      </c>
      <c r="BF229" s="24">
        <f ca="1">IFERROR(__xludf.DUMMYFUNCTION("""COMPUTED_VALUE"""),21491)</f>
        <v>21491</v>
      </c>
      <c r="BG229" s="24">
        <f ca="1">IFERROR(__xludf.DUMMYFUNCTION("""COMPUTED_VALUE"""),0)</f>
        <v>0</v>
      </c>
      <c r="BH229" s="24">
        <f ca="1">IFERROR(__xludf.DUMMYFUNCTION("""COMPUTED_VALUE"""),13172.65)</f>
        <v>13172.65</v>
      </c>
      <c r="BI229" s="20"/>
      <c r="BJ229" s="24">
        <f ca="1">IFERROR(__xludf.DUMMYFUNCTION("""COMPUTED_VALUE"""),0)</f>
        <v>0</v>
      </c>
      <c r="BK229" s="24">
        <f ca="1">IFERROR(__xludf.DUMMYFUNCTION("""COMPUTED_VALUE"""),0)</f>
        <v>0</v>
      </c>
      <c r="BL229" s="24">
        <f ca="1">IFERROR(__xludf.DUMMYFUNCTION("""COMPUTED_VALUE"""),0)</f>
        <v>0</v>
      </c>
      <c r="BM229" s="24">
        <f ca="1">IFERROR(__xludf.DUMMYFUNCTION("""COMPUTED_VALUE"""),0)</f>
        <v>0</v>
      </c>
      <c r="BN229" s="24">
        <f ca="1">IFERROR(__xludf.DUMMYFUNCTION("""COMPUTED_VALUE"""),0)</f>
        <v>0</v>
      </c>
      <c r="BO229" s="20"/>
      <c r="BP229" s="24">
        <f ca="1">IFERROR(__xludf.DUMMYFUNCTION("""COMPUTED_VALUE"""),0)</f>
        <v>0</v>
      </c>
      <c r="BQ229" s="24">
        <f ca="1">IFERROR(__xludf.DUMMYFUNCTION("""COMPUTED_VALUE"""),0)</f>
        <v>0</v>
      </c>
      <c r="BR229" s="24">
        <f ca="1">IFERROR(__xludf.DUMMYFUNCTION("""COMPUTED_VALUE"""),0)</f>
        <v>0</v>
      </c>
      <c r="BS229" s="24">
        <f ca="1">IFERROR(__xludf.DUMMYFUNCTION("""COMPUTED_VALUE"""),0)</f>
        <v>0</v>
      </c>
      <c r="BT229" s="24">
        <f ca="1">IFERROR(__xludf.DUMMYFUNCTION("""COMPUTED_VALUE"""),0)</f>
        <v>0</v>
      </c>
      <c r="BU229" s="20"/>
      <c r="BV229" s="24">
        <f ca="1">IFERROR(__xludf.DUMMYFUNCTION("""COMPUTED_VALUE"""),0)</f>
        <v>0</v>
      </c>
      <c r="BW229" s="24">
        <f ca="1">IFERROR(__xludf.DUMMYFUNCTION("""COMPUTED_VALUE"""),0)</f>
        <v>0</v>
      </c>
      <c r="BX229" s="24">
        <f ca="1">IFERROR(__xludf.DUMMYFUNCTION("""COMPUTED_VALUE"""),0)</f>
        <v>0</v>
      </c>
      <c r="BY229" s="24">
        <f ca="1">IFERROR(__xludf.DUMMYFUNCTION("""COMPUTED_VALUE"""),0)</f>
        <v>0</v>
      </c>
      <c r="BZ229" s="24">
        <f ca="1">IFERROR(__xludf.DUMMYFUNCTION("""COMPUTED_VALUE"""),0)</f>
        <v>0</v>
      </c>
      <c r="CA229" s="20"/>
      <c r="CB229" s="20"/>
      <c r="CC229" s="20"/>
      <c r="CD229" s="20"/>
      <c r="CE229" s="20"/>
      <c r="CF229" s="20"/>
      <c r="CG229" s="20"/>
      <c r="CH229" s="20"/>
      <c r="CI229" s="20"/>
      <c r="CJ229" s="33">
        <f ca="1">IFERROR(__xludf.DUMMYFUNCTION("""COMPUTED_VALUE"""),43389)</f>
        <v>43389</v>
      </c>
      <c r="CK229" s="20" t="str">
        <f ca="1">IFERROR(__xludf.DUMMYFUNCTION("""COMPUTED_VALUE"""),"03.12.2019     23.12.2020 (коррект)")</f>
        <v>03.12.2019     23.12.2020 (коррект)</v>
      </c>
      <c r="CL229" s="20" t="str">
        <f ca="1">IFERROR(__xludf.DUMMYFUNCTION("""COMPUTED_VALUE"""),"50-1-1-3-1563-19, 50-1-1-3-033984-2019              ")</f>
        <v xml:space="preserve">50-1-1-3-1563-19, 50-1-1-3-033984-2019              </v>
      </c>
      <c r="CM229" s="26">
        <f ca="1">IFERROR(__xludf.DUMMYFUNCTION("""COMPUTED_VALUE"""),43959)</f>
        <v>43959</v>
      </c>
      <c r="CN229" s="20" t="str">
        <f ca="1">IFERROR(__xludf.DUMMYFUNCTION("""COMPUTED_VALUE"""),"0148200005420000151")</f>
        <v>0148200005420000151</v>
      </c>
      <c r="CO229" s="26">
        <f ca="1">IFERROR(__xludf.DUMMYFUNCTION("""COMPUTED_VALUE"""),43997)</f>
        <v>43997</v>
      </c>
      <c r="CP229" s="20">
        <f ca="1">IFERROR(__xludf.DUMMYFUNCTION("""COMPUTED_VALUE"""),90)</f>
        <v>90</v>
      </c>
      <c r="CQ229" s="20">
        <f ca="1">IFERROR(__xludf.DUMMYFUNCTION("""COMPUTED_VALUE"""),341937656.74)</f>
        <v>341937656.74000001</v>
      </c>
      <c r="CR229" s="20" t="str">
        <f ca="1">IFERROR(__xludf.DUMMYFUNCTION("""COMPUTED_VALUE"""),"ООО «АСГ Техно Строй»")</f>
        <v>ООО «АСГ Техно Строй»</v>
      </c>
      <c r="CS229" s="27" t="str">
        <f ca="1">IFERROR(__xludf.DUMMYFUNCTION("""COMPUTED_VALUE"""),"https://zakupki.gov.ru/epz/contract/contractCard/common-info.html?reestrNumber=3503200422220000120&amp;backUrl=0a85df83-97d7-41b0-ad75-6d390cc53581")</f>
        <v>https://zakupki.gov.ru/epz/contract/contractCard/common-info.html?reestrNumber=3503200422220000120&amp;backUrl=0a85df83-97d7-41b0-ad75-6d390cc53581</v>
      </c>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row>
    <row r="230" spans="1:123" ht="64.5" customHeight="1" x14ac:dyDescent="0.2">
      <c r="A230" s="19"/>
      <c r="B230" s="20" t="str">
        <f ca="1">IFERROR(__xludf.DUMMYFUNCTION("""COMPUTED_VALUE"""),"г.о. Коломенский")</f>
        <v>г.о. Коломенский</v>
      </c>
      <c r="C2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0" s="20" t="str">
        <f ca="1">IFERROR(__xludf.DUMMYFUNCTION("""COMPUTED_VALUE"""),"МинЖКХ")</f>
        <v>МинЖКХ</v>
      </c>
      <c r="E230" s="20" t="str">
        <f ca="1">IFERROR(__xludf.DUMMYFUNCTION("""COMPUTED_VALUE"""),"Реконструкция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f>
        <v xml:space="preserv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v>
      </c>
      <c r="F230" s="32" t="str">
        <f ca="1">IFERROR(__xludf.DUMMYFUNCTION("""COMPUTED_VALUE"""),"ОС")</f>
        <v>ОС</v>
      </c>
      <c r="G230" s="20" t="str">
        <f ca="1">IFERROR(__xludf.DUMMYFUNCTION("""COMPUTED_VALUE"""),"2020-2021")</f>
        <v>2020-2021</v>
      </c>
      <c r="H230" s="20" t="str">
        <f ca="1">IFERROR(__xludf.DUMMYFUNCTION("""COMPUTED_VALUE"""),"СМР")</f>
        <v>СМР</v>
      </c>
      <c r="I230" s="20">
        <f ca="1">IFERROR(__xludf.DUMMYFUNCTION("""COMPUTED_VALUE"""),30)</f>
        <v>30</v>
      </c>
      <c r="J230" s="20" t="str">
        <f ca="1">IFERROR(__xludf.DUMMYFUNCTION("""COMPUTED_VALUE"""),"низкий темп раелизации.")</f>
        <v>низкий темп раелизации.</v>
      </c>
      <c r="K230" s="20"/>
      <c r="L230" s="20"/>
      <c r="M230" s="20"/>
      <c r="N230" s="24">
        <f ca="1">IFERROR(__xludf.DUMMYFUNCTION("""COMPUTED_VALUE"""),31644.1)</f>
        <v>31644.1</v>
      </c>
      <c r="O230" s="20"/>
      <c r="P230" s="24">
        <f ca="1">IFERROR(__xludf.DUMMYFUNCTION("""COMPUTED_VALUE"""),31644.1)</f>
        <v>31644.1</v>
      </c>
      <c r="Q230" s="20"/>
      <c r="R230" s="20"/>
      <c r="S230" s="20"/>
      <c r="T230" s="20" t="str">
        <f ca="1">IFERROR(__xludf.DUMMYFUNCTION("""COMPUTED_VALUE"""),"Низкий темп реализации, гарантийные письма не представлены, договора на оборудование отсутвуют. 
Низкий темп выполнения работ.
 Не представлена ДК согласованная с ДСРПИИ.")</f>
        <v>Низкий темп реализации, гарантийные письма не представлены, договора на оборудование отсутвуют. 
Низкий темп выполнения работ.
 Не представлена ДК согласованная с ДСРПИИ.</v>
      </c>
      <c r="U230" s="24">
        <f ca="1">IFERROR(__xludf.DUMMYFUNCTION("""COMPUTED_VALUE"""),37253.41)</f>
        <v>37253.410000000003</v>
      </c>
      <c r="V230" s="24">
        <f ca="1">IFERROR(__xludf.DUMMYFUNCTION("""COMPUTED_VALUE"""),0)</f>
        <v>0</v>
      </c>
      <c r="W230" s="24">
        <f ca="1">IFERROR(__xludf.DUMMYFUNCTION("""COMPUTED_VALUE"""),31415.2)</f>
        <v>31415.200000000001</v>
      </c>
      <c r="X230" s="24">
        <f ca="1">IFERROR(__xludf.DUMMYFUNCTION("""COMPUTED_VALUE"""),0)</f>
        <v>0</v>
      </c>
      <c r="Y230" s="24">
        <f ca="1">IFERROR(__xludf.DUMMYFUNCTION("""COMPUTED_VALUE"""),5838.21)</f>
        <v>5838.21</v>
      </c>
      <c r="Z230" s="24">
        <f ca="1">IFERROR(__xludf.DUMMYFUNCTION("""COMPUTED_VALUE"""),0)</f>
        <v>0</v>
      </c>
      <c r="AA230" s="20" t="str">
        <f ca="1">IFERROR(__xludf.DUMMYFUNCTION("""COMPUTED_VALUE"""),"10 2 01 64020")</f>
        <v>10 2 01 64020</v>
      </c>
      <c r="AB230" s="20">
        <f ca="1">IFERROR(__xludf.DUMMYFUNCTION("""COMPUTED_VALUE"""),522)</f>
        <v>522</v>
      </c>
      <c r="AC230" s="20" t="str">
        <f ca="1">IFERROR(__xludf.DUMMYFUNCTION("""COMPUTED_VALUE"""),"да")</f>
        <v>да</v>
      </c>
      <c r="AD230" s="20"/>
      <c r="AE230" s="20" t="str">
        <f ca="1">IFERROR(__xludf.DUMMYFUNCTION("""COMPUTED_VALUE"""),"RU№50-34-16056-2020 от 26.06.2020")</f>
        <v>RU№50-34-16056-2020 от 26.06.2020</v>
      </c>
      <c r="AF230" s="24">
        <f ca="1">IFERROR(__xludf.DUMMYFUNCTION("""COMPUTED_VALUE"""),152012.13)</f>
        <v>152012.13</v>
      </c>
      <c r="AG230" s="24">
        <f ca="1">IFERROR(__xludf.DUMMYFUNCTION("""COMPUTED_VALUE"""),0)</f>
        <v>0</v>
      </c>
      <c r="AH230" s="24">
        <f ca="1">IFERROR(__xludf.DUMMYFUNCTION("""COMPUTED_VALUE"""),126143.3)</f>
        <v>126143.3</v>
      </c>
      <c r="AI230" s="24">
        <f ca="1">IFERROR(__xludf.DUMMYFUNCTION("""COMPUTED_VALUE"""),0)</f>
        <v>0</v>
      </c>
      <c r="AJ230" s="24">
        <f ca="1">IFERROR(__xludf.DUMMYFUNCTION("""COMPUTED_VALUE"""),25868.8299999999)</f>
        <v>25868.8299999999</v>
      </c>
      <c r="AK230" s="24">
        <f ca="1">IFERROR(__xludf.DUMMYFUNCTION("""COMPUTED_VALUE"""),0)</f>
        <v>0</v>
      </c>
      <c r="AL230" s="24">
        <f ca="1">IFERROR(__xludf.DUMMYFUNCTION("""COMPUTED_VALUE"""),0)</f>
        <v>0</v>
      </c>
      <c r="AM230" s="20"/>
      <c r="AN230" s="20"/>
      <c r="AO230" s="20"/>
      <c r="AP230" s="20"/>
      <c r="AQ230" s="20"/>
      <c r="AR230" s="24">
        <f ca="1">IFERROR(__xludf.DUMMYFUNCTION("""COMPUTED_VALUE"""),0)</f>
        <v>0</v>
      </c>
      <c r="AS230" s="20"/>
      <c r="AT230" s="20"/>
      <c r="AU230" s="20"/>
      <c r="AV230" s="20"/>
      <c r="AW230" s="20"/>
      <c r="AX230" s="24">
        <f ca="1">IFERROR(__xludf.DUMMYFUNCTION("""COMPUTED_VALUE"""),68897.51)</f>
        <v>68897.509999999995</v>
      </c>
      <c r="AY230" s="24">
        <f ca="1">IFERROR(__xludf.DUMMYFUNCTION("""COMPUTED_VALUE"""),0)</f>
        <v>0</v>
      </c>
      <c r="AZ230" s="24">
        <f ca="1">IFERROR(__xludf.DUMMYFUNCTION("""COMPUTED_VALUE"""),63059.3)</f>
        <v>63059.3</v>
      </c>
      <c r="BA230" s="24">
        <f ca="1">IFERROR(__xludf.DUMMYFUNCTION("""COMPUTED_VALUE"""),0)</f>
        <v>0</v>
      </c>
      <c r="BB230" s="24">
        <f ca="1">IFERROR(__xludf.DUMMYFUNCTION("""COMPUTED_VALUE"""),5838.21)</f>
        <v>5838.21</v>
      </c>
      <c r="BC230" s="20"/>
      <c r="BD230" s="24">
        <f ca="1">IFERROR(__xludf.DUMMYFUNCTION("""COMPUTED_VALUE"""),83114.62)</f>
        <v>83114.62</v>
      </c>
      <c r="BE230" s="24">
        <f ca="1">IFERROR(__xludf.DUMMYFUNCTION("""COMPUTED_VALUE"""),0)</f>
        <v>0</v>
      </c>
      <c r="BF230" s="24">
        <f ca="1">IFERROR(__xludf.DUMMYFUNCTION("""COMPUTED_VALUE"""),63084)</f>
        <v>63084</v>
      </c>
      <c r="BG230" s="24">
        <f ca="1">IFERROR(__xludf.DUMMYFUNCTION("""COMPUTED_VALUE"""),0)</f>
        <v>0</v>
      </c>
      <c r="BH230" s="24">
        <f ca="1">IFERROR(__xludf.DUMMYFUNCTION("""COMPUTED_VALUE"""),20030.62)</f>
        <v>20030.62</v>
      </c>
      <c r="BI230" s="20"/>
      <c r="BJ230" s="24">
        <f ca="1">IFERROR(__xludf.DUMMYFUNCTION("""COMPUTED_VALUE"""),0)</f>
        <v>0</v>
      </c>
      <c r="BK230" s="24">
        <f ca="1">IFERROR(__xludf.DUMMYFUNCTION("""COMPUTED_VALUE"""),0)</f>
        <v>0</v>
      </c>
      <c r="BL230" s="24">
        <f ca="1">IFERROR(__xludf.DUMMYFUNCTION("""COMPUTED_VALUE"""),0)</f>
        <v>0</v>
      </c>
      <c r="BM230" s="24">
        <f ca="1">IFERROR(__xludf.DUMMYFUNCTION("""COMPUTED_VALUE"""),0)</f>
        <v>0</v>
      </c>
      <c r="BN230" s="24">
        <f ca="1">IFERROR(__xludf.DUMMYFUNCTION("""COMPUTED_VALUE"""),0)</f>
        <v>0</v>
      </c>
      <c r="BO230" s="20"/>
      <c r="BP230" s="24">
        <f ca="1">IFERROR(__xludf.DUMMYFUNCTION("""COMPUTED_VALUE"""),0)</f>
        <v>0</v>
      </c>
      <c r="BQ230" s="24">
        <f ca="1">IFERROR(__xludf.DUMMYFUNCTION("""COMPUTED_VALUE"""),0)</f>
        <v>0</v>
      </c>
      <c r="BR230" s="24">
        <f ca="1">IFERROR(__xludf.DUMMYFUNCTION("""COMPUTED_VALUE"""),0)</f>
        <v>0</v>
      </c>
      <c r="BS230" s="24">
        <f ca="1">IFERROR(__xludf.DUMMYFUNCTION("""COMPUTED_VALUE"""),0)</f>
        <v>0</v>
      </c>
      <c r="BT230" s="24">
        <f ca="1">IFERROR(__xludf.DUMMYFUNCTION("""COMPUTED_VALUE"""),0)</f>
        <v>0</v>
      </c>
      <c r="BU230" s="20"/>
      <c r="BV230" s="24">
        <f ca="1">IFERROR(__xludf.DUMMYFUNCTION("""COMPUTED_VALUE"""),0)</f>
        <v>0</v>
      </c>
      <c r="BW230" s="24">
        <f ca="1">IFERROR(__xludf.DUMMYFUNCTION("""COMPUTED_VALUE"""),0)</f>
        <v>0</v>
      </c>
      <c r="BX230" s="24">
        <f ca="1">IFERROR(__xludf.DUMMYFUNCTION("""COMPUTED_VALUE"""),0)</f>
        <v>0</v>
      </c>
      <c r="BY230" s="24">
        <f ca="1">IFERROR(__xludf.DUMMYFUNCTION("""COMPUTED_VALUE"""),0)</f>
        <v>0</v>
      </c>
      <c r="BZ230" s="24">
        <f ca="1">IFERROR(__xludf.DUMMYFUNCTION("""COMPUTED_VALUE"""),0)</f>
        <v>0</v>
      </c>
      <c r="CA230" s="20"/>
      <c r="CB230" s="20"/>
      <c r="CC230" s="20"/>
      <c r="CD230" s="20"/>
      <c r="CE230" s="20"/>
      <c r="CF230" s="20"/>
      <c r="CG230" s="20"/>
      <c r="CH230" s="20"/>
      <c r="CI230" s="20"/>
      <c r="CJ230" s="33">
        <f ca="1">IFERROR(__xludf.DUMMYFUNCTION("""COMPUTED_VALUE"""),43867)</f>
        <v>43867</v>
      </c>
      <c r="CK230" s="33">
        <f ca="1">IFERROR(__xludf.DUMMYFUNCTION("""COMPUTED_VALUE"""),43971)</f>
        <v>43971</v>
      </c>
      <c r="CL230" s="20" t="str">
        <f ca="1">IFERROR(__xludf.DUMMYFUNCTION("""COMPUTED_VALUE"""),"50-1-1-2-0931-20")</f>
        <v>50-1-1-2-0931-20</v>
      </c>
      <c r="CM230" s="26">
        <f ca="1">IFERROR(__xludf.DUMMYFUNCTION("""COMPUTED_VALUE"""),43637)</f>
        <v>43637</v>
      </c>
      <c r="CN230" s="20" t="str">
        <f ca="1">IFERROR(__xludf.DUMMYFUNCTION("""COMPUTED_VALUE"""),"0148200005419000284")</f>
        <v>0148200005419000284</v>
      </c>
      <c r="CO230" s="26">
        <f ca="1">IFERROR(__xludf.DUMMYFUNCTION("""COMPUTED_VALUE"""),43682)</f>
        <v>43682</v>
      </c>
      <c r="CP230" s="20" t="str">
        <f ca="1">IFERROR(__xludf.DUMMYFUNCTION("""COMPUTED_VALUE"""),"0148200005419000284")</f>
        <v>0148200005419000284</v>
      </c>
      <c r="CQ230" s="20">
        <f ca="1">IFERROR(__xludf.DUMMYFUNCTION("""COMPUTED_VALUE"""),134229276.21)</f>
        <v>134229276.21000001</v>
      </c>
      <c r="CR230" s="20" t="str">
        <f ca="1">IFERROR(__xludf.DUMMYFUNCTION("""COMPUTED_VALUE"""),"ООО ""Стройактив""")</f>
        <v>ООО "Стройактив"</v>
      </c>
      <c r="CS230" s="27" t="str">
        <f ca="1">IFERROR(__xludf.DUMMYFUNCTION("""COMPUTED_VALUE"""),"https://zakupki.gov.ru/epz/contract/contractCard/common-info.html?reestrNumber=3502205470719000127&amp;backUrl=30e1246d-b60f-4d72-a749-a0f94d538c0c")</f>
        <v>https://zakupki.gov.ru/epz/contract/contractCard/common-info.html?reestrNumber=3502205470719000127&amp;backUrl=30e1246d-b60f-4d72-a749-a0f94d538c0c</v>
      </c>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row>
    <row r="231" spans="1:123" ht="64.5" hidden="1" customHeight="1" x14ac:dyDescent="0.2">
      <c r="A231" s="19"/>
      <c r="B231" s="20" t="str">
        <f ca="1">IFERROR(__xludf.DUMMYFUNCTION("""COMPUTED_VALUE"""),"г.о. Электросталь")</f>
        <v>г.о. Электросталь</v>
      </c>
      <c r="C23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1" s="20" t="str">
        <f ca="1">IFERROR(__xludf.DUMMYFUNCTION("""COMPUTED_VALUE"""),"МинЖКХ")</f>
        <v>МинЖКХ</v>
      </c>
      <c r="E231" s="20" t="str">
        <f ca="1">IFERROR(__xludf.DUMMYFUNCTION("""COMPUTED_VALUE"""),"Реконструкция биологических очистных сооружений канализации по адресу: городской округ Электросталь, пос. Фрязево (в том числе ПИР)")</f>
        <v>Реконструкция биологических очистных сооружений канализации по адресу: городской округ Электросталь, пос. Фрязево (в том числе ПИР)</v>
      </c>
      <c r="F231" s="32" t="str">
        <f ca="1">IFERROR(__xludf.DUMMYFUNCTION("""COMPUTED_VALUE"""),"ОС")</f>
        <v>ОС</v>
      </c>
      <c r="G231" s="20" t="str">
        <f ca="1">IFERROR(__xludf.DUMMYFUNCTION("""COMPUTED_VALUE"""),"2021-2023")</f>
        <v>2021-2023</v>
      </c>
      <c r="H231" s="20" t="str">
        <f ca="1">IFERROR(__xludf.DUMMYFUNCTION("""COMPUTED_VALUE"""),"СМР")</f>
        <v>СМР</v>
      </c>
      <c r="I231" s="20"/>
      <c r="J231" s="20"/>
      <c r="K231" s="20"/>
      <c r="L231" s="20"/>
      <c r="M231" s="20"/>
      <c r="N231" s="24">
        <f ca="1">IFERROR(__xludf.DUMMYFUNCTION("""COMPUTED_VALUE"""),0)</f>
        <v>0</v>
      </c>
      <c r="O231" s="20"/>
      <c r="P231" s="20"/>
      <c r="Q231" s="20"/>
      <c r="R231" s="20"/>
      <c r="S231" s="20"/>
      <c r="T231" s="20"/>
      <c r="U231" s="24">
        <f ca="1">IFERROR(__xludf.DUMMYFUNCTION("""COMPUTED_VALUE"""),0)</f>
        <v>0</v>
      </c>
      <c r="V231" s="24">
        <f ca="1">IFERROR(__xludf.DUMMYFUNCTION("""COMPUTED_VALUE"""),0)</f>
        <v>0</v>
      </c>
      <c r="W231" s="24">
        <f ca="1">IFERROR(__xludf.DUMMYFUNCTION("""COMPUTED_VALUE"""),0)</f>
        <v>0</v>
      </c>
      <c r="X231" s="24">
        <f ca="1">IFERROR(__xludf.DUMMYFUNCTION("""COMPUTED_VALUE"""),0)</f>
        <v>0</v>
      </c>
      <c r="Y231" s="24">
        <f ca="1">IFERROR(__xludf.DUMMYFUNCTION("""COMPUTED_VALUE"""),0)</f>
        <v>0</v>
      </c>
      <c r="Z231" s="24">
        <f ca="1">IFERROR(__xludf.DUMMYFUNCTION("""COMPUTED_VALUE"""),0)</f>
        <v>0</v>
      </c>
      <c r="AA231" s="20" t="str">
        <f ca="1">IFERROR(__xludf.DUMMYFUNCTION("""COMPUTED_VALUE"""),"10 2 01 64020")</f>
        <v>10 2 01 64020</v>
      </c>
      <c r="AB231" s="20">
        <f ca="1">IFERROR(__xludf.DUMMYFUNCTION("""COMPUTED_VALUE"""),522)</f>
        <v>522</v>
      </c>
      <c r="AC231" s="20" t="str">
        <f ca="1">IFERROR(__xludf.DUMMYFUNCTION("""COMPUTED_VALUE"""),"не требуется")</f>
        <v>не требуется</v>
      </c>
      <c r="AD231" s="20" t="str">
        <f ca="1">IFERROR(__xludf.DUMMYFUNCTION("""COMPUTED_VALUE"""),"не требуется")</f>
        <v>не требуется</v>
      </c>
      <c r="AE231" s="20" t="str">
        <f ca="1">IFERROR(__xludf.DUMMYFUNCTION("""COMPUTED_VALUE"""),"не требуется")</f>
        <v>не требуется</v>
      </c>
      <c r="AF231" s="24">
        <f ca="1">IFERROR(__xludf.DUMMYFUNCTION("""COMPUTED_VALUE"""),42013.37)</f>
        <v>42013.37</v>
      </c>
      <c r="AG231" s="24">
        <f ca="1">IFERROR(__xludf.DUMMYFUNCTION("""COMPUTED_VALUE"""),0)</f>
        <v>0</v>
      </c>
      <c r="AH231" s="24">
        <f ca="1">IFERROR(__xludf.DUMMYFUNCTION("""COMPUTED_VALUE"""),37812)</f>
        <v>37812</v>
      </c>
      <c r="AI231" s="24">
        <f ca="1">IFERROR(__xludf.DUMMYFUNCTION("""COMPUTED_VALUE"""),0)</f>
        <v>0</v>
      </c>
      <c r="AJ231" s="24">
        <f ca="1">IFERROR(__xludf.DUMMYFUNCTION("""COMPUTED_VALUE"""),4201.37)</f>
        <v>4201.37</v>
      </c>
      <c r="AK231" s="24">
        <f ca="1">IFERROR(__xludf.DUMMYFUNCTION("""COMPUTED_VALUE"""),0)</f>
        <v>0</v>
      </c>
      <c r="AL231" s="24">
        <f ca="1">IFERROR(__xludf.DUMMYFUNCTION("""COMPUTED_VALUE"""),0)</f>
        <v>0</v>
      </c>
      <c r="AM231" s="20"/>
      <c r="AN231" s="20"/>
      <c r="AO231" s="20"/>
      <c r="AP231" s="20"/>
      <c r="AQ231" s="20"/>
      <c r="AR231" s="24">
        <f ca="1">IFERROR(__xludf.DUMMYFUNCTION("""COMPUTED_VALUE"""),0)</f>
        <v>0</v>
      </c>
      <c r="AS231" s="20"/>
      <c r="AT231" s="20"/>
      <c r="AU231" s="20"/>
      <c r="AV231" s="20"/>
      <c r="AW231" s="20"/>
      <c r="AX231" s="24">
        <f ca="1">IFERROR(__xludf.DUMMYFUNCTION("""COMPUTED_VALUE"""),0)</f>
        <v>0</v>
      </c>
      <c r="AY231" s="24">
        <f ca="1">IFERROR(__xludf.DUMMYFUNCTION("""COMPUTED_VALUE"""),0)</f>
        <v>0</v>
      </c>
      <c r="AZ231" s="24">
        <f ca="1">IFERROR(__xludf.DUMMYFUNCTION("""COMPUTED_VALUE"""),0)</f>
        <v>0</v>
      </c>
      <c r="BA231" s="24">
        <f ca="1">IFERROR(__xludf.DUMMYFUNCTION("""COMPUTED_VALUE"""),0)</f>
        <v>0</v>
      </c>
      <c r="BB231" s="24">
        <f ca="1">IFERROR(__xludf.DUMMYFUNCTION("""COMPUTED_VALUE"""),0)</f>
        <v>0</v>
      </c>
      <c r="BC231" s="20"/>
      <c r="BD231" s="24">
        <f ca="1">IFERROR(__xludf.DUMMYFUNCTION("""COMPUTED_VALUE"""),7986.63)</f>
        <v>7986.63</v>
      </c>
      <c r="BE231" s="24">
        <f ca="1">IFERROR(__xludf.DUMMYFUNCTION("""COMPUTED_VALUE"""),0)</f>
        <v>0</v>
      </c>
      <c r="BF231" s="24">
        <f ca="1">IFERROR(__xludf.DUMMYFUNCTION("""COMPUTED_VALUE"""),7188)</f>
        <v>7188</v>
      </c>
      <c r="BG231" s="24">
        <f ca="1">IFERROR(__xludf.DUMMYFUNCTION("""COMPUTED_VALUE"""),0)</f>
        <v>0</v>
      </c>
      <c r="BH231" s="24">
        <f ca="1">IFERROR(__xludf.DUMMYFUNCTION("""COMPUTED_VALUE"""),798.63)</f>
        <v>798.63</v>
      </c>
      <c r="BI231" s="20"/>
      <c r="BJ231" s="24">
        <f ca="1">IFERROR(__xludf.DUMMYFUNCTION("""COMPUTED_VALUE"""),34026.74)</f>
        <v>34026.74</v>
      </c>
      <c r="BK231" s="24">
        <f ca="1">IFERROR(__xludf.DUMMYFUNCTION("""COMPUTED_VALUE"""),0)</f>
        <v>0</v>
      </c>
      <c r="BL231" s="24">
        <f ca="1">IFERROR(__xludf.DUMMYFUNCTION("""COMPUTED_VALUE"""),30624)</f>
        <v>30624</v>
      </c>
      <c r="BM231" s="24">
        <f ca="1">IFERROR(__xludf.DUMMYFUNCTION("""COMPUTED_VALUE"""),0)</f>
        <v>0</v>
      </c>
      <c r="BN231" s="24">
        <f ca="1">IFERROR(__xludf.DUMMYFUNCTION("""COMPUTED_VALUE"""),3402.74)</f>
        <v>3402.74</v>
      </c>
      <c r="BO231" s="20"/>
      <c r="BP231" s="24">
        <f ca="1">IFERROR(__xludf.DUMMYFUNCTION("""COMPUTED_VALUE"""),0)</f>
        <v>0</v>
      </c>
      <c r="BQ231" s="24">
        <f ca="1">IFERROR(__xludf.DUMMYFUNCTION("""COMPUTED_VALUE"""),0)</f>
        <v>0</v>
      </c>
      <c r="BR231" s="24">
        <f ca="1">IFERROR(__xludf.DUMMYFUNCTION("""COMPUTED_VALUE"""),0)</f>
        <v>0</v>
      </c>
      <c r="BS231" s="24">
        <f ca="1">IFERROR(__xludf.DUMMYFUNCTION("""COMPUTED_VALUE"""),0)</f>
        <v>0</v>
      </c>
      <c r="BT231" s="24">
        <f ca="1">IFERROR(__xludf.DUMMYFUNCTION("""COMPUTED_VALUE"""),0)</f>
        <v>0</v>
      </c>
      <c r="BU231" s="20"/>
      <c r="BV231" s="24">
        <f ca="1">IFERROR(__xludf.DUMMYFUNCTION("""COMPUTED_VALUE"""),0)</f>
        <v>0</v>
      </c>
      <c r="BW231" s="24">
        <f ca="1">IFERROR(__xludf.DUMMYFUNCTION("""COMPUTED_VALUE"""),0)</f>
        <v>0</v>
      </c>
      <c r="BX231" s="24">
        <f ca="1">IFERROR(__xludf.DUMMYFUNCTION("""COMPUTED_VALUE"""),0)</f>
        <v>0</v>
      </c>
      <c r="BY231" s="24">
        <f ca="1">IFERROR(__xludf.DUMMYFUNCTION("""COMPUTED_VALUE"""),0)</f>
        <v>0</v>
      </c>
      <c r="BZ231" s="24">
        <f ca="1">IFERROR(__xludf.DUMMYFUNCTION("""COMPUTED_VALUE"""),0)</f>
        <v>0</v>
      </c>
      <c r="CA231" s="20"/>
      <c r="CB231" s="20"/>
      <c r="CC231" s="20"/>
      <c r="CD231" s="20"/>
      <c r="CE231" s="20"/>
      <c r="CF231" s="20"/>
      <c r="CG231" s="20"/>
      <c r="CH231" s="20"/>
      <c r="CI231" s="20"/>
      <c r="CJ231" s="20"/>
      <c r="CK231" s="20"/>
      <c r="CL231" s="20"/>
      <c r="CM231" s="20"/>
      <c r="CN231" s="20"/>
      <c r="CO231" s="20"/>
      <c r="CP231" s="20"/>
      <c r="CQ231" s="20"/>
      <c r="CR231" s="20"/>
      <c r="CS231" s="20"/>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row>
    <row r="232" spans="1:123" ht="64.5" hidden="1" customHeight="1" x14ac:dyDescent="0.2">
      <c r="A232" s="19"/>
      <c r="B232" s="20" t="str">
        <f ca="1">IFERROR(__xludf.DUMMYFUNCTION("""COMPUTED_VALUE"""),"г.о. Подольск")</f>
        <v>г.о. Подольск</v>
      </c>
      <c r="C23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2" s="20" t="str">
        <f ca="1">IFERROR(__xludf.DUMMYFUNCTION("""COMPUTED_VALUE"""),"МинЖКХ")</f>
        <v>МинЖКХ</v>
      </c>
      <c r="E232" s="20" t="str">
        <f ca="1">IFERROR(__xludf.DUMMYFUNCTION("""COMPUTED_VALUE"""),"Строительство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f>
        <v>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v>
      </c>
      <c r="F232" s="32" t="str">
        <f ca="1">IFERROR(__xludf.DUMMYFUNCTION("""COMPUTED_VALUE"""),"ОС")</f>
        <v>ОС</v>
      </c>
      <c r="G232" s="20" t="str">
        <f ca="1">IFERROR(__xludf.DUMMYFUNCTION("""COMPUTED_VALUE"""),"2021-2022")</f>
        <v>2021-2022</v>
      </c>
      <c r="H232" s="20" t="str">
        <f ca="1">IFERROR(__xludf.DUMMYFUNCTION("""COMPUTED_VALUE"""),"СМР")</f>
        <v>СМР</v>
      </c>
      <c r="I232" s="20"/>
      <c r="J232" s="20"/>
      <c r="K232" s="20"/>
      <c r="L232" s="20"/>
      <c r="M232" s="20"/>
      <c r="N232" s="24">
        <f ca="1">IFERROR(__xludf.DUMMYFUNCTION("""COMPUTED_VALUE"""),0)</f>
        <v>0</v>
      </c>
      <c r="O232" s="20"/>
      <c r="P232" s="20"/>
      <c r="Q232" s="20"/>
      <c r="R232" s="20"/>
      <c r="S232" s="20"/>
      <c r="T232" s="20"/>
      <c r="U232" s="24">
        <f ca="1">IFERROR(__xludf.DUMMYFUNCTION("""COMPUTED_VALUE"""),0)</f>
        <v>0</v>
      </c>
      <c r="V232" s="24">
        <f ca="1">IFERROR(__xludf.DUMMYFUNCTION("""COMPUTED_VALUE"""),0)</f>
        <v>0</v>
      </c>
      <c r="W232" s="24">
        <f ca="1">IFERROR(__xludf.DUMMYFUNCTION("""COMPUTED_VALUE"""),0)</f>
        <v>0</v>
      </c>
      <c r="X232" s="24">
        <f ca="1">IFERROR(__xludf.DUMMYFUNCTION("""COMPUTED_VALUE"""),0)</f>
        <v>0</v>
      </c>
      <c r="Y232" s="24">
        <f ca="1">IFERROR(__xludf.DUMMYFUNCTION("""COMPUTED_VALUE"""),0)</f>
        <v>0</v>
      </c>
      <c r="Z232" s="24">
        <f ca="1">IFERROR(__xludf.DUMMYFUNCTION("""COMPUTED_VALUE"""),0)</f>
        <v>0</v>
      </c>
      <c r="AA232" s="20" t="str">
        <f ca="1">IFERROR(__xludf.DUMMYFUNCTION("""COMPUTED_VALUE"""),"10 2 01 64020")</f>
        <v>10 2 01 64020</v>
      </c>
      <c r="AB232" s="20">
        <f ca="1">IFERROR(__xludf.DUMMYFUNCTION("""COMPUTED_VALUE"""),522)</f>
        <v>522</v>
      </c>
      <c r="AC232" s="20" t="str">
        <f ca="1">IFERROR(__xludf.DUMMYFUNCTION("""COMPUTED_VALUE"""),"нет")</f>
        <v>нет</v>
      </c>
      <c r="AD232" s="20" t="str">
        <f ca="1">IFERROR(__xludf.DUMMYFUNCTION("""COMPUTED_VALUE"""),"нет")</f>
        <v>нет</v>
      </c>
      <c r="AE232" s="20" t="str">
        <f ca="1">IFERROR(__xludf.DUMMYFUNCTION("""COMPUTED_VALUE"""),"нет")</f>
        <v>нет</v>
      </c>
      <c r="AF232" s="24">
        <f ca="1">IFERROR(__xludf.DUMMYFUNCTION("""COMPUTED_VALUE"""),123500)</f>
        <v>123500</v>
      </c>
      <c r="AG232" s="24">
        <f ca="1">IFERROR(__xludf.DUMMYFUNCTION("""COMPUTED_VALUE"""),0)</f>
        <v>0</v>
      </c>
      <c r="AH232" s="24">
        <f ca="1">IFERROR(__xludf.DUMMYFUNCTION("""COMPUTED_VALUE"""),0)</f>
        <v>0</v>
      </c>
      <c r="AI232" s="24">
        <f ca="1">IFERROR(__xludf.DUMMYFUNCTION("""COMPUTED_VALUE"""),0)</f>
        <v>0</v>
      </c>
      <c r="AJ232" s="24">
        <f ca="1">IFERROR(__xludf.DUMMYFUNCTION("""COMPUTED_VALUE"""),123500)</f>
        <v>123500</v>
      </c>
      <c r="AK232" s="24">
        <f ca="1">IFERROR(__xludf.DUMMYFUNCTION("""COMPUTED_VALUE"""),0)</f>
        <v>0</v>
      </c>
      <c r="AL232" s="24">
        <f ca="1">IFERROR(__xludf.DUMMYFUNCTION("""COMPUTED_VALUE"""),0)</f>
        <v>0</v>
      </c>
      <c r="AM232" s="20"/>
      <c r="AN232" s="20"/>
      <c r="AO232" s="20"/>
      <c r="AP232" s="20"/>
      <c r="AQ232" s="20"/>
      <c r="AR232" s="24">
        <f ca="1">IFERROR(__xludf.DUMMYFUNCTION("""COMPUTED_VALUE"""),0)</f>
        <v>0</v>
      </c>
      <c r="AS232" s="20"/>
      <c r="AT232" s="20"/>
      <c r="AU232" s="20"/>
      <c r="AV232" s="20"/>
      <c r="AW232" s="20"/>
      <c r="AX232" s="24">
        <f ca="1">IFERROR(__xludf.DUMMYFUNCTION("""COMPUTED_VALUE"""),0)</f>
        <v>0</v>
      </c>
      <c r="AY232" s="24">
        <f ca="1">IFERROR(__xludf.DUMMYFUNCTION("""COMPUTED_VALUE"""),0)</f>
        <v>0</v>
      </c>
      <c r="AZ232" s="24">
        <f ca="1">IFERROR(__xludf.DUMMYFUNCTION("""COMPUTED_VALUE"""),0)</f>
        <v>0</v>
      </c>
      <c r="BA232" s="24">
        <f ca="1">IFERROR(__xludf.DUMMYFUNCTION("""COMPUTED_VALUE"""),0)</f>
        <v>0</v>
      </c>
      <c r="BB232" s="24">
        <f ca="1">IFERROR(__xludf.DUMMYFUNCTION("""COMPUTED_VALUE"""),0)</f>
        <v>0</v>
      </c>
      <c r="BC232" s="20"/>
      <c r="BD232" s="24">
        <f ca="1">IFERROR(__xludf.DUMMYFUNCTION("""COMPUTED_VALUE"""),20200)</f>
        <v>20200</v>
      </c>
      <c r="BE232" s="24">
        <f ca="1">IFERROR(__xludf.DUMMYFUNCTION("""COMPUTED_VALUE"""),0)</f>
        <v>0</v>
      </c>
      <c r="BF232" s="24">
        <f ca="1">IFERROR(__xludf.DUMMYFUNCTION("""COMPUTED_VALUE"""),0)</f>
        <v>0</v>
      </c>
      <c r="BG232" s="24">
        <f ca="1">IFERROR(__xludf.DUMMYFUNCTION("""COMPUTED_VALUE"""),0)</f>
        <v>0</v>
      </c>
      <c r="BH232" s="24">
        <f ca="1">IFERROR(__xludf.DUMMYFUNCTION("""COMPUTED_VALUE"""),20200)</f>
        <v>20200</v>
      </c>
      <c r="BI232" s="20"/>
      <c r="BJ232" s="24">
        <f ca="1">IFERROR(__xludf.DUMMYFUNCTION("""COMPUTED_VALUE"""),103300)</f>
        <v>103300</v>
      </c>
      <c r="BK232" s="24">
        <f ca="1">IFERROR(__xludf.DUMMYFUNCTION("""COMPUTED_VALUE"""),0)</f>
        <v>0</v>
      </c>
      <c r="BL232" s="24">
        <f ca="1">IFERROR(__xludf.DUMMYFUNCTION("""COMPUTED_VALUE"""),0)</f>
        <v>0</v>
      </c>
      <c r="BM232" s="24">
        <f ca="1">IFERROR(__xludf.DUMMYFUNCTION("""COMPUTED_VALUE"""),0)</f>
        <v>0</v>
      </c>
      <c r="BN232" s="24">
        <f ca="1">IFERROR(__xludf.DUMMYFUNCTION("""COMPUTED_VALUE"""),103300)</f>
        <v>103300</v>
      </c>
      <c r="BO232" s="20"/>
      <c r="BP232" s="24">
        <f ca="1">IFERROR(__xludf.DUMMYFUNCTION("""COMPUTED_VALUE"""),0)</f>
        <v>0</v>
      </c>
      <c r="BQ232" s="24">
        <f ca="1">IFERROR(__xludf.DUMMYFUNCTION("""COMPUTED_VALUE"""),0)</f>
        <v>0</v>
      </c>
      <c r="BR232" s="24">
        <f ca="1">IFERROR(__xludf.DUMMYFUNCTION("""COMPUTED_VALUE"""),0)</f>
        <v>0</v>
      </c>
      <c r="BS232" s="24">
        <f ca="1">IFERROR(__xludf.DUMMYFUNCTION("""COMPUTED_VALUE"""),0)</f>
        <v>0</v>
      </c>
      <c r="BT232" s="24">
        <f ca="1">IFERROR(__xludf.DUMMYFUNCTION("""COMPUTED_VALUE"""),0)</f>
        <v>0</v>
      </c>
      <c r="BU232" s="20"/>
      <c r="BV232" s="24">
        <f ca="1">IFERROR(__xludf.DUMMYFUNCTION("""COMPUTED_VALUE"""),0)</f>
        <v>0</v>
      </c>
      <c r="BW232" s="24">
        <f ca="1">IFERROR(__xludf.DUMMYFUNCTION("""COMPUTED_VALUE"""),0)</f>
        <v>0</v>
      </c>
      <c r="BX232" s="24">
        <f ca="1">IFERROR(__xludf.DUMMYFUNCTION("""COMPUTED_VALUE"""),0)</f>
        <v>0</v>
      </c>
      <c r="BY232" s="24">
        <f ca="1">IFERROR(__xludf.DUMMYFUNCTION("""COMPUTED_VALUE"""),0)</f>
        <v>0</v>
      </c>
      <c r="BZ232" s="24">
        <f ca="1">IFERROR(__xludf.DUMMYFUNCTION("""COMPUTED_VALUE"""),0)</f>
        <v>0</v>
      </c>
      <c r="CA232" s="20"/>
      <c r="CB232" s="20"/>
      <c r="CC232" s="20"/>
      <c r="CD232" s="20"/>
      <c r="CE232" s="20"/>
      <c r="CF232" s="20"/>
      <c r="CG232" s="20"/>
      <c r="CH232" s="20"/>
      <c r="CI232" s="20"/>
      <c r="CJ232" s="20"/>
      <c r="CK232" s="20"/>
      <c r="CL232" s="20"/>
      <c r="CM232" s="20"/>
      <c r="CN232" s="20"/>
      <c r="CO232" s="20"/>
      <c r="CP232" s="20"/>
      <c r="CQ232" s="20"/>
      <c r="CR232" s="20"/>
      <c r="CS232" s="20"/>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row>
    <row r="233" spans="1:123" ht="64.5" hidden="1" customHeight="1" x14ac:dyDescent="0.2">
      <c r="A233" s="19"/>
      <c r="B233" s="20" t="str">
        <f ca="1">IFERROR(__xludf.DUMMYFUNCTION("""COMPUTED_VALUE"""),"г.о. Лосино-Петровский")</f>
        <v>г.о. Лосино-Петровский</v>
      </c>
      <c r="C23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3" s="20" t="str">
        <f ca="1">IFERROR(__xludf.DUMMYFUNCTION("""COMPUTED_VALUE"""),"МинЖКХ")</f>
        <v>МинЖКХ</v>
      </c>
      <c r="E233" s="20" t="str">
        <f ca="1">IFERROR(__xludf.DUMMYFUNCTION("""COMPUTED_VALUE"""),"Строительство  очистных сооружений канализации д. Корпуса  (в том числе ПИР) г.о. Лосино-Петровский")</f>
        <v>Строительство  очистных сооружений канализации д. Корпуса  (в том числе ПИР) г.о. Лосино-Петровский</v>
      </c>
      <c r="F233" s="32" t="str">
        <f ca="1">IFERROR(__xludf.DUMMYFUNCTION("""COMPUTED_VALUE"""),"ОС")</f>
        <v>ОС</v>
      </c>
      <c r="G233" s="20" t="str">
        <f ca="1">IFERROR(__xludf.DUMMYFUNCTION("""COMPUTED_VALUE"""),"2022-2023")</f>
        <v>2022-2023</v>
      </c>
      <c r="H233" s="20" t="str">
        <f ca="1">IFERROR(__xludf.DUMMYFUNCTION("""COMPUTED_VALUE"""),"СМР")</f>
        <v>СМР</v>
      </c>
      <c r="I233" s="20"/>
      <c r="J233" s="20"/>
      <c r="K233" s="20"/>
      <c r="L233" s="20"/>
      <c r="M233" s="20"/>
      <c r="N233" s="24">
        <f ca="1">IFERROR(__xludf.DUMMYFUNCTION("""COMPUTED_VALUE"""),0)</f>
        <v>0</v>
      </c>
      <c r="O233" s="20"/>
      <c r="P233" s="20"/>
      <c r="Q233" s="20"/>
      <c r="R233" s="20"/>
      <c r="S233" s="20"/>
      <c r="T233" s="20"/>
      <c r="U233" s="24">
        <f ca="1">IFERROR(__xludf.DUMMYFUNCTION("""COMPUTED_VALUE"""),0)</f>
        <v>0</v>
      </c>
      <c r="V233" s="24">
        <f ca="1">IFERROR(__xludf.DUMMYFUNCTION("""COMPUTED_VALUE"""),0)</f>
        <v>0</v>
      </c>
      <c r="W233" s="24">
        <f ca="1">IFERROR(__xludf.DUMMYFUNCTION("""COMPUTED_VALUE"""),0)</f>
        <v>0</v>
      </c>
      <c r="X233" s="24">
        <f ca="1">IFERROR(__xludf.DUMMYFUNCTION("""COMPUTED_VALUE"""),0)</f>
        <v>0</v>
      </c>
      <c r="Y233" s="24">
        <f ca="1">IFERROR(__xludf.DUMMYFUNCTION("""COMPUTED_VALUE"""),0)</f>
        <v>0</v>
      </c>
      <c r="Z233" s="24">
        <f ca="1">IFERROR(__xludf.DUMMYFUNCTION("""COMPUTED_VALUE"""),0)</f>
        <v>0</v>
      </c>
      <c r="AA233" s="20" t="str">
        <f ca="1">IFERROR(__xludf.DUMMYFUNCTION("""COMPUTED_VALUE"""),"10 2 01 64020")</f>
        <v>10 2 01 64020</v>
      </c>
      <c r="AB233" s="20">
        <f ca="1">IFERROR(__xludf.DUMMYFUNCTION("""COMPUTED_VALUE"""),522)</f>
        <v>522</v>
      </c>
      <c r="AC233" s="20" t="str">
        <f ca="1">IFERROR(__xludf.DUMMYFUNCTION("""COMPUTED_VALUE"""),"нет")</f>
        <v>нет</v>
      </c>
      <c r="AD233" s="20" t="str">
        <f ca="1">IFERROR(__xludf.DUMMYFUNCTION("""COMPUTED_VALUE"""),"нет")</f>
        <v>нет</v>
      </c>
      <c r="AE233" s="20" t="str">
        <f ca="1">IFERROR(__xludf.DUMMYFUNCTION("""COMPUTED_VALUE"""),"нет")</f>
        <v>нет</v>
      </c>
      <c r="AF233" s="24">
        <f ca="1">IFERROR(__xludf.DUMMYFUNCTION("""COMPUTED_VALUE"""),110000)</f>
        <v>110000</v>
      </c>
      <c r="AG233" s="24">
        <f ca="1">IFERROR(__xludf.DUMMYFUNCTION("""COMPUTED_VALUE"""),0)</f>
        <v>0</v>
      </c>
      <c r="AH233" s="24">
        <f ca="1">IFERROR(__xludf.DUMMYFUNCTION("""COMPUTED_VALUE"""),98780)</f>
        <v>98780</v>
      </c>
      <c r="AI233" s="24">
        <f ca="1">IFERROR(__xludf.DUMMYFUNCTION("""COMPUTED_VALUE"""),0)</f>
        <v>0</v>
      </c>
      <c r="AJ233" s="24">
        <f ca="1">IFERROR(__xludf.DUMMYFUNCTION("""COMPUTED_VALUE"""),11220)</f>
        <v>11220</v>
      </c>
      <c r="AK233" s="24">
        <f ca="1">IFERROR(__xludf.DUMMYFUNCTION("""COMPUTED_VALUE"""),0)</f>
        <v>0</v>
      </c>
      <c r="AL233" s="24">
        <f ca="1">IFERROR(__xludf.DUMMYFUNCTION("""COMPUTED_VALUE"""),0)</f>
        <v>0</v>
      </c>
      <c r="AM233" s="20"/>
      <c r="AN233" s="20"/>
      <c r="AO233" s="20"/>
      <c r="AP233" s="20"/>
      <c r="AQ233" s="20"/>
      <c r="AR233" s="24">
        <f ca="1">IFERROR(__xludf.DUMMYFUNCTION("""COMPUTED_VALUE"""),0)</f>
        <v>0</v>
      </c>
      <c r="AS233" s="20"/>
      <c r="AT233" s="20"/>
      <c r="AU233" s="20"/>
      <c r="AV233" s="20"/>
      <c r="AW233" s="20"/>
      <c r="AX233" s="24">
        <f ca="1">IFERROR(__xludf.DUMMYFUNCTION("""COMPUTED_VALUE"""),0)</f>
        <v>0</v>
      </c>
      <c r="AY233" s="24">
        <f ca="1">IFERROR(__xludf.DUMMYFUNCTION("""COMPUTED_VALUE"""),0)</f>
        <v>0</v>
      </c>
      <c r="AZ233" s="24">
        <f ca="1">IFERROR(__xludf.DUMMYFUNCTION("""COMPUTED_VALUE"""),0)</f>
        <v>0</v>
      </c>
      <c r="BA233" s="24">
        <f ca="1">IFERROR(__xludf.DUMMYFUNCTION("""COMPUTED_VALUE"""),0)</f>
        <v>0</v>
      </c>
      <c r="BB233" s="24">
        <f ca="1">IFERROR(__xludf.DUMMYFUNCTION("""COMPUTED_VALUE"""),0)</f>
        <v>0</v>
      </c>
      <c r="BC233" s="20"/>
      <c r="BD233" s="24">
        <f ca="1">IFERROR(__xludf.DUMMYFUNCTION("""COMPUTED_VALUE"""),0)</f>
        <v>0</v>
      </c>
      <c r="BE233" s="24">
        <f ca="1">IFERROR(__xludf.DUMMYFUNCTION("""COMPUTED_VALUE"""),0)</f>
        <v>0</v>
      </c>
      <c r="BF233" s="24">
        <f ca="1">IFERROR(__xludf.DUMMYFUNCTION("""COMPUTED_VALUE"""),0)</f>
        <v>0</v>
      </c>
      <c r="BG233" s="24">
        <f ca="1">IFERROR(__xludf.DUMMYFUNCTION("""COMPUTED_VALUE"""),0)</f>
        <v>0</v>
      </c>
      <c r="BH233" s="24">
        <f ca="1">IFERROR(__xludf.DUMMYFUNCTION("""COMPUTED_VALUE"""),0)</f>
        <v>0</v>
      </c>
      <c r="BI233" s="20"/>
      <c r="BJ233" s="24">
        <f ca="1">IFERROR(__xludf.DUMMYFUNCTION("""COMPUTED_VALUE"""),74085)</f>
        <v>74085</v>
      </c>
      <c r="BK233" s="24">
        <f ca="1">IFERROR(__xludf.DUMMYFUNCTION("""COMPUTED_VALUE"""),0)</f>
        <v>0</v>
      </c>
      <c r="BL233" s="24">
        <f ca="1">IFERROR(__xludf.DUMMYFUNCTION("""COMPUTED_VALUE"""),66528)</f>
        <v>66528</v>
      </c>
      <c r="BM233" s="24">
        <f ca="1">IFERROR(__xludf.DUMMYFUNCTION("""COMPUTED_VALUE"""),0)</f>
        <v>0</v>
      </c>
      <c r="BN233" s="24">
        <f ca="1">IFERROR(__xludf.DUMMYFUNCTION("""COMPUTED_VALUE"""),7557)</f>
        <v>7557</v>
      </c>
      <c r="BO233" s="20"/>
      <c r="BP233" s="24">
        <f ca="1">IFERROR(__xludf.DUMMYFUNCTION("""COMPUTED_VALUE"""),35915)</f>
        <v>35915</v>
      </c>
      <c r="BQ233" s="24">
        <f ca="1">IFERROR(__xludf.DUMMYFUNCTION("""COMPUTED_VALUE"""),0)</f>
        <v>0</v>
      </c>
      <c r="BR233" s="24">
        <f ca="1">IFERROR(__xludf.DUMMYFUNCTION("""COMPUTED_VALUE"""),32252)</f>
        <v>32252</v>
      </c>
      <c r="BS233" s="24">
        <f ca="1">IFERROR(__xludf.DUMMYFUNCTION("""COMPUTED_VALUE"""),0)</f>
        <v>0</v>
      </c>
      <c r="BT233" s="24">
        <f ca="1">IFERROR(__xludf.DUMMYFUNCTION("""COMPUTED_VALUE"""),3663)</f>
        <v>3663</v>
      </c>
      <c r="BU233" s="20"/>
      <c r="BV233" s="24">
        <f ca="1">IFERROR(__xludf.DUMMYFUNCTION("""COMPUTED_VALUE"""),0)</f>
        <v>0</v>
      </c>
      <c r="BW233" s="24">
        <f ca="1">IFERROR(__xludf.DUMMYFUNCTION("""COMPUTED_VALUE"""),0)</f>
        <v>0</v>
      </c>
      <c r="BX233" s="24">
        <f ca="1">IFERROR(__xludf.DUMMYFUNCTION("""COMPUTED_VALUE"""),0)</f>
        <v>0</v>
      </c>
      <c r="BY233" s="24">
        <f ca="1">IFERROR(__xludf.DUMMYFUNCTION("""COMPUTED_VALUE"""),0)</f>
        <v>0</v>
      </c>
      <c r="BZ233" s="24">
        <f ca="1">IFERROR(__xludf.DUMMYFUNCTION("""COMPUTED_VALUE"""),0)</f>
        <v>0</v>
      </c>
      <c r="CA233" s="20"/>
      <c r="CB233" s="20"/>
      <c r="CC233" s="20"/>
      <c r="CD233" s="20"/>
      <c r="CE233" s="20"/>
      <c r="CF233" s="20"/>
      <c r="CG233" s="20"/>
      <c r="CH233" s="20"/>
      <c r="CI233" s="20"/>
      <c r="CJ233" s="20"/>
      <c r="CK233" s="20"/>
      <c r="CL233" s="20"/>
      <c r="CM233" s="20"/>
      <c r="CN233" s="20"/>
      <c r="CO233" s="20"/>
      <c r="CP233" s="20"/>
      <c r="CQ233" s="20"/>
      <c r="CR233" s="20"/>
      <c r="CS233" s="20"/>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row>
    <row r="234" spans="1:123" ht="64.5" customHeight="1" x14ac:dyDescent="0.2">
      <c r="A234" s="19"/>
      <c r="B234" s="20" t="str">
        <f ca="1">IFERROR(__xludf.DUMMYFUNCTION("""COMPUTED_VALUE"""),"г.о. Серпухов")</f>
        <v>г.о. Серпухов</v>
      </c>
      <c r="C23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4" s="20" t="str">
        <f ca="1">IFERROR(__xludf.DUMMYFUNCTION("""COMPUTED_VALUE"""),"МинЖКХ")</f>
        <v>МинЖКХ</v>
      </c>
      <c r="E234" s="20" t="str">
        <f ca="1">IFERROR(__xludf.DUMMYFUNCTION("""COMPUTED_VALUE"""),"Реконструкция очистных сооружений  г. Серпухов пер. Безымянный д.1 ( ПИР) ")</f>
        <v xml:space="preserve">Реконструкция очистных сооружений  г. Серпухов пер. Безымянный д.1 ( ПИР) </v>
      </c>
      <c r="F234" s="32" t="str">
        <f ca="1">IFERROR(__xludf.DUMMYFUNCTION("""COMPUTED_VALUE"""),"ОС")</f>
        <v>ОС</v>
      </c>
      <c r="G234" s="20">
        <f ca="1">IFERROR(__xludf.DUMMYFUNCTION("""COMPUTED_VALUE"""),2020)</f>
        <v>2020</v>
      </c>
      <c r="H234" s="20" t="str">
        <f ca="1">IFERROR(__xludf.DUMMYFUNCTION("""COMPUTED_VALUE"""),"ПИР")</f>
        <v>ПИР</v>
      </c>
      <c r="I234" s="20">
        <f ca="1">IFERROR(__xludf.DUMMYFUNCTION("""COMPUTED_VALUE"""),0)</f>
        <v>0</v>
      </c>
      <c r="J234" s="20" t="str">
        <f ca="1">IFERROR(__xludf.DUMMYFUNCTION("""COMPUTED_VALUE"""),"ПСД  в МОГЭ и ГЭЭ получения заключения МОГЭ - декабрь.")</f>
        <v>ПСД  в МОГЭ и ГЭЭ получения заключения МОГЭ - декабрь.</v>
      </c>
      <c r="K234" s="20"/>
      <c r="L234" s="20"/>
      <c r="M234" s="20"/>
      <c r="N234" s="24">
        <f ca="1">IFERROR(__xludf.DUMMYFUNCTION("""COMPUTED_VALUE"""),51817.18)</f>
        <v>51817.18</v>
      </c>
      <c r="O234" s="20"/>
      <c r="P234" s="24">
        <f ca="1">IFERROR(__xludf.DUMMYFUNCTION("""COMPUTED_VALUE"""),0)</f>
        <v>0</v>
      </c>
      <c r="Q234" s="24">
        <f ca="1">IFERROR(__xludf.DUMMYFUNCTION("""COMPUTED_VALUE"""),51817.18)</f>
        <v>51817.18</v>
      </c>
      <c r="R234" s="20"/>
      <c r="S234" s="20"/>
      <c r="T234" s="20" t="str">
        <f ca="1">IFERROR(__xludf.DUMMYFUNCTION("""COMPUTED_VALUE"""),"Подрядчиком подготовлены и нарпавлены 10.11.2020 Акты выполненых работ по 8 из 10 этапам на общую сумму 47,5 млн.руб. ")</f>
        <v xml:space="preserve">Подрядчиком подготовлены и нарпавлены 10.11.2020 Акты выполненых работ по 8 из 10 этапам на общую сумму 47,5 млн.руб. </v>
      </c>
      <c r="U234" s="24">
        <f ca="1">IFERROR(__xludf.DUMMYFUNCTION("""COMPUTED_VALUE"""),16363.32)</f>
        <v>16363.32</v>
      </c>
      <c r="V234" s="24">
        <f ca="1">IFERROR(__xludf.DUMMYFUNCTION("""COMPUTED_VALUE"""),0)</f>
        <v>0</v>
      </c>
      <c r="W234" s="24">
        <f ca="1">IFERROR(__xludf.DUMMYFUNCTION("""COMPUTED_VALUE"""),0)</f>
        <v>0</v>
      </c>
      <c r="X234" s="24">
        <f ca="1">IFERROR(__xludf.DUMMYFUNCTION("""COMPUTED_VALUE"""),12954.82)</f>
        <v>12954.82</v>
      </c>
      <c r="Y234" s="24">
        <f ca="1">IFERROR(__xludf.DUMMYFUNCTION("""COMPUTED_VALUE"""),3408.5)</f>
        <v>3408.5</v>
      </c>
      <c r="Z234" s="24">
        <f ca="1">IFERROR(__xludf.DUMMYFUNCTION("""COMPUTED_VALUE"""),0)</f>
        <v>0</v>
      </c>
      <c r="AA234" s="20" t="str">
        <f ca="1">IFERROR(__xludf.DUMMYFUNCTION("""COMPUTED_VALUE"""),"10 2 01 64020")</f>
        <v>10 2 01 64020</v>
      </c>
      <c r="AB234" s="20">
        <f ca="1">IFERROR(__xludf.DUMMYFUNCTION("""COMPUTED_VALUE"""),522)</f>
        <v>522</v>
      </c>
      <c r="AC234" s="20" t="str">
        <f ca="1">IFERROR(__xludf.DUMMYFUNCTION("""COMPUTED_VALUE"""),"не требуется")</f>
        <v>не требуется</v>
      </c>
      <c r="AD234" s="20" t="str">
        <f ca="1">IFERROR(__xludf.DUMMYFUNCTION("""COMPUTED_VALUE"""),"не требуется")</f>
        <v>не требуется</v>
      </c>
      <c r="AE234" s="20" t="str">
        <f ca="1">IFERROR(__xludf.DUMMYFUNCTION("""COMPUTED_VALUE"""),"не требуется")</f>
        <v>не требуется</v>
      </c>
      <c r="AF234" s="24">
        <f ca="1">IFERROR(__xludf.DUMMYFUNCTION("""COMPUTED_VALUE"""),68180.5)</f>
        <v>68180.5</v>
      </c>
      <c r="AG234" s="24">
        <f ca="1">IFERROR(__xludf.DUMMYFUNCTION("""COMPUTED_VALUE"""),0)</f>
        <v>0</v>
      </c>
      <c r="AH234" s="24">
        <f ca="1">IFERROR(__xludf.DUMMYFUNCTION("""COMPUTED_VALUE"""),0)</f>
        <v>0</v>
      </c>
      <c r="AI234" s="24">
        <f ca="1">IFERROR(__xludf.DUMMYFUNCTION("""COMPUTED_VALUE"""),64772)</f>
        <v>64772</v>
      </c>
      <c r="AJ234" s="24">
        <f ca="1">IFERROR(__xludf.DUMMYFUNCTION("""COMPUTED_VALUE"""),3408.5)</f>
        <v>3408.5</v>
      </c>
      <c r="AK234" s="24">
        <f ca="1">IFERROR(__xludf.DUMMYFUNCTION("""COMPUTED_VALUE"""),0)</f>
        <v>0</v>
      </c>
      <c r="AL234" s="24">
        <f ca="1">IFERROR(__xludf.DUMMYFUNCTION("""COMPUTED_VALUE"""),0)</f>
        <v>0</v>
      </c>
      <c r="AM234" s="20"/>
      <c r="AN234" s="20"/>
      <c r="AO234" s="20"/>
      <c r="AP234" s="20"/>
      <c r="AQ234" s="20"/>
      <c r="AR234" s="24">
        <f ca="1">IFERROR(__xludf.DUMMYFUNCTION("""COMPUTED_VALUE"""),0)</f>
        <v>0</v>
      </c>
      <c r="AS234" s="20"/>
      <c r="AT234" s="20"/>
      <c r="AU234" s="20"/>
      <c r="AV234" s="20"/>
      <c r="AW234" s="20"/>
      <c r="AX234" s="24">
        <f ca="1">IFERROR(__xludf.DUMMYFUNCTION("""COMPUTED_VALUE"""),68180.5)</f>
        <v>68180.5</v>
      </c>
      <c r="AY234" s="24">
        <f ca="1">IFERROR(__xludf.DUMMYFUNCTION("""COMPUTED_VALUE"""),0)</f>
        <v>0</v>
      </c>
      <c r="AZ234" s="24">
        <f ca="1">IFERROR(__xludf.DUMMYFUNCTION("""COMPUTED_VALUE"""),0)</f>
        <v>0</v>
      </c>
      <c r="BA234" s="24">
        <f ca="1">IFERROR(__xludf.DUMMYFUNCTION("""COMPUTED_VALUE"""),64772)</f>
        <v>64772</v>
      </c>
      <c r="BB234" s="24">
        <f ca="1">IFERROR(__xludf.DUMMYFUNCTION("""COMPUTED_VALUE"""),3408.5)</f>
        <v>3408.5</v>
      </c>
      <c r="BC234" s="20"/>
      <c r="BD234" s="24">
        <f ca="1">IFERROR(__xludf.DUMMYFUNCTION("""COMPUTED_VALUE"""),0)</f>
        <v>0</v>
      </c>
      <c r="BE234" s="24">
        <f ca="1">IFERROR(__xludf.DUMMYFUNCTION("""COMPUTED_VALUE"""),0)</f>
        <v>0</v>
      </c>
      <c r="BF234" s="24">
        <f ca="1">IFERROR(__xludf.DUMMYFUNCTION("""COMPUTED_VALUE"""),0)</f>
        <v>0</v>
      </c>
      <c r="BG234" s="24">
        <f ca="1">IFERROR(__xludf.DUMMYFUNCTION("""COMPUTED_VALUE"""),0)</f>
        <v>0</v>
      </c>
      <c r="BH234" s="24">
        <f ca="1">IFERROR(__xludf.DUMMYFUNCTION("""COMPUTED_VALUE"""),0)</f>
        <v>0</v>
      </c>
      <c r="BI234" s="20"/>
      <c r="BJ234" s="24">
        <f ca="1">IFERROR(__xludf.DUMMYFUNCTION("""COMPUTED_VALUE"""),0)</f>
        <v>0</v>
      </c>
      <c r="BK234" s="24">
        <f ca="1">IFERROR(__xludf.DUMMYFUNCTION("""COMPUTED_VALUE"""),0)</f>
        <v>0</v>
      </c>
      <c r="BL234" s="24">
        <f ca="1">IFERROR(__xludf.DUMMYFUNCTION("""COMPUTED_VALUE"""),0)</f>
        <v>0</v>
      </c>
      <c r="BM234" s="24">
        <f ca="1">IFERROR(__xludf.DUMMYFUNCTION("""COMPUTED_VALUE"""),0)</f>
        <v>0</v>
      </c>
      <c r="BN234" s="24">
        <f ca="1">IFERROR(__xludf.DUMMYFUNCTION("""COMPUTED_VALUE"""),0)</f>
        <v>0</v>
      </c>
      <c r="BO234" s="20"/>
      <c r="BP234" s="24">
        <f ca="1">IFERROR(__xludf.DUMMYFUNCTION("""COMPUTED_VALUE"""),0)</f>
        <v>0</v>
      </c>
      <c r="BQ234" s="24">
        <f ca="1">IFERROR(__xludf.DUMMYFUNCTION("""COMPUTED_VALUE"""),0)</f>
        <v>0</v>
      </c>
      <c r="BR234" s="24">
        <f ca="1">IFERROR(__xludf.DUMMYFUNCTION("""COMPUTED_VALUE"""),0)</f>
        <v>0</v>
      </c>
      <c r="BS234" s="24">
        <f ca="1">IFERROR(__xludf.DUMMYFUNCTION("""COMPUTED_VALUE"""),0)</f>
        <v>0</v>
      </c>
      <c r="BT234" s="24">
        <f ca="1">IFERROR(__xludf.DUMMYFUNCTION("""COMPUTED_VALUE"""),0)</f>
        <v>0</v>
      </c>
      <c r="BU234" s="20"/>
      <c r="BV234" s="24">
        <f ca="1">IFERROR(__xludf.DUMMYFUNCTION("""COMPUTED_VALUE"""),0)</f>
        <v>0</v>
      </c>
      <c r="BW234" s="24">
        <f ca="1">IFERROR(__xludf.DUMMYFUNCTION("""COMPUTED_VALUE"""),0)</f>
        <v>0</v>
      </c>
      <c r="BX234" s="24">
        <f ca="1">IFERROR(__xludf.DUMMYFUNCTION("""COMPUTED_VALUE"""),0)</f>
        <v>0</v>
      </c>
      <c r="BY234" s="24">
        <f ca="1">IFERROR(__xludf.DUMMYFUNCTION("""COMPUTED_VALUE"""),0)</f>
        <v>0</v>
      </c>
      <c r="BZ234" s="24">
        <f ca="1">IFERROR(__xludf.DUMMYFUNCTION("""COMPUTED_VALUE"""),0)</f>
        <v>0</v>
      </c>
      <c r="CA234" s="20"/>
      <c r="CB234" s="20" t="str">
        <f ca="1">IFERROR(__xludf.DUMMYFUNCTION("""COMPUTED_VALUE"""),"заключен")</f>
        <v>заключен</v>
      </c>
      <c r="CC234" s="26">
        <f ca="1">IFERROR(__xludf.DUMMYFUNCTION("""COMPUTED_VALUE"""),43627)</f>
        <v>43627</v>
      </c>
      <c r="CD234" s="20" t="str">
        <f ca="1">IFERROR(__xludf.DUMMYFUNCTION("""COMPUTED_VALUE"""),"0148200005419000261")</f>
        <v>0148200005419000261</v>
      </c>
      <c r="CE234" s="26">
        <f ca="1">IFERROR(__xludf.DUMMYFUNCTION("""COMPUTED_VALUE"""),43675)</f>
        <v>43675</v>
      </c>
      <c r="CF234" s="20">
        <f ca="1">IFERROR(__xludf.DUMMYFUNCTION("""COMPUTED_VALUE"""),5)</f>
        <v>5</v>
      </c>
      <c r="CG234" s="20" t="str">
        <f ca="1">IFERROR(__xludf.DUMMYFUNCTION("""COMPUTED_VALUE"""),"68 180 499,00 ")</f>
        <v xml:space="preserve">68 180 499,00 </v>
      </c>
      <c r="CH234" s="20" t="str">
        <f ca="1">IFERROR(__xludf.DUMMYFUNCTION("""COMPUTED_VALUE"""),"ООО ""КуйбышевВодоканалПроект""")</f>
        <v>ООО "КуйбышевВодоканалПроект"</v>
      </c>
      <c r="CI234" s="27" t="str">
        <f ca="1">IFERROR(__xludf.DUMMYFUNCTION("""COMPUTED_VALUE"""),"https://zakupki.gov.ru/epz/contract/contractCard/common-info.html?reestrNumber=3504305548319000004&amp;backUrl=d3e0df58-35fe-4498-a8fb-cb5985b74179")</f>
        <v>https://zakupki.gov.ru/epz/contract/contractCard/common-info.html?reestrNumber=3504305548319000004&amp;backUrl=d3e0df58-35fe-4498-a8fb-cb5985b74179</v>
      </c>
      <c r="CJ234" s="20"/>
      <c r="CK234" s="20"/>
      <c r="CL234" s="20"/>
      <c r="CM234" s="20"/>
      <c r="CN234" s="20"/>
      <c r="CO234" s="20"/>
      <c r="CP234" s="20"/>
      <c r="CQ234" s="20"/>
      <c r="CR234" s="20"/>
      <c r="CS234" s="20"/>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row>
    <row r="235" spans="1:123" ht="64.5" customHeight="1" x14ac:dyDescent="0.2">
      <c r="A235" s="19"/>
      <c r="B235" s="20" t="str">
        <f ca="1">IFERROR(__xludf.DUMMYFUNCTION("""COMPUTED_VALUE"""),"г.о. Павловский Посад")</f>
        <v>г.о. Павловский Посад</v>
      </c>
      <c r="C23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5" s="20" t="str">
        <f ca="1">IFERROR(__xludf.DUMMYFUNCTION("""COMPUTED_VALUE"""),"МинЖКХ")</f>
        <v>МинЖКХ</v>
      </c>
      <c r="E235" s="20" t="str">
        <f ca="1">IFERROR(__xludf.DUMMYFUNCTION("""COMPUTED_VALUE"""),"Реконструкция очистных сооружений  г. Павловский Посад пер. Интернациональный д. 28 Б (ПИР)")</f>
        <v>Реконструкция очистных сооружений  г. Павловский Посад пер. Интернациональный д. 28 Б (ПИР)</v>
      </c>
      <c r="F235" s="32" t="str">
        <f ca="1">IFERROR(__xludf.DUMMYFUNCTION("""COMPUTED_VALUE"""),"ОС")</f>
        <v>ОС</v>
      </c>
      <c r="G235" s="20">
        <f ca="1">IFERROR(__xludf.DUMMYFUNCTION("""COMPUTED_VALUE"""),2020)</f>
        <v>2020</v>
      </c>
      <c r="H235" s="20" t="str">
        <f ca="1">IFERROR(__xludf.DUMMYFUNCTION("""COMPUTED_VALUE"""),"ПИР")</f>
        <v>ПИР</v>
      </c>
      <c r="I235" s="20">
        <f ca="1">IFERROR(__xludf.DUMMYFUNCTION("""COMPUTED_VALUE"""),0)</f>
        <v>0</v>
      </c>
      <c r="J235" s="20" t="str">
        <f ca="1">IFERROR(__xludf.DUMMYFUNCTION("""COMPUTED_VALUE"""),"ПСД в МОГЭ срок получения заключения - декабрь")</f>
        <v>ПСД в МОГЭ срок получения заключения - декабрь</v>
      </c>
      <c r="K235" s="20"/>
      <c r="L235" s="20"/>
      <c r="M235" s="20"/>
      <c r="N235" s="24">
        <f ca="1">IFERROR(__xludf.DUMMYFUNCTION("""COMPUTED_VALUE"""),0)</f>
        <v>0</v>
      </c>
      <c r="O235" s="20"/>
      <c r="P235" s="24">
        <f ca="1">IFERROR(__xludf.DUMMYFUNCTION("""COMPUTED_VALUE"""),0)</f>
        <v>0</v>
      </c>
      <c r="Q235" s="20"/>
      <c r="R235" s="20"/>
      <c r="S235" s="20"/>
      <c r="T235" s="20"/>
      <c r="U235" s="24">
        <f ca="1">IFERROR(__xludf.DUMMYFUNCTION("""COMPUTED_VALUE"""),53937.9799999999)</f>
        <v>53937.979999999901</v>
      </c>
      <c r="V235" s="24">
        <f ca="1">IFERROR(__xludf.DUMMYFUNCTION("""COMPUTED_VALUE"""),0)</f>
        <v>0</v>
      </c>
      <c r="W235" s="24">
        <f ca="1">IFERROR(__xludf.DUMMYFUNCTION("""COMPUTED_VALUE"""),0)</f>
        <v>0</v>
      </c>
      <c r="X235" s="24">
        <f ca="1">IFERROR(__xludf.DUMMYFUNCTION("""COMPUTED_VALUE"""),50136.64)</f>
        <v>50136.639999999999</v>
      </c>
      <c r="Y235" s="24">
        <f ca="1">IFERROR(__xludf.DUMMYFUNCTION("""COMPUTED_VALUE"""),3801.34)</f>
        <v>3801.34</v>
      </c>
      <c r="Z235" s="24">
        <f ca="1">IFERROR(__xludf.DUMMYFUNCTION("""COMPUTED_VALUE"""),0)</f>
        <v>0</v>
      </c>
      <c r="AA235" s="20" t="str">
        <f ca="1">IFERROR(__xludf.DUMMYFUNCTION("""COMPUTED_VALUE"""),"10 2 01 64020")</f>
        <v>10 2 01 64020</v>
      </c>
      <c r="AB235" s="20">
        <f ca="1">IFERROR(__xludf.DUMMYFUNCTION("""COMPUTED_VALUE"""),522)</f>
        <v>522</v>
      </c>
      <c r="AC235" s="20" t="str">
        <f ca="1">IFERROR(__xludf.DUMMYFUNCTION("""COMPUTED_VALUE"""),"не требуется")</f>
        <v>не требуется</v>
      </c>
      <c r="AD235" s="20" t="str">
        <f ca="1">IFERROR(__xludf.DUMMYFUNCTION("""COMPUTED_VALUE"""),"не требуется")</f>
        <v>не требуется</v>
      </c>
      <c r="AE235" s="20" t="str">
        <f ca="1">IFERROR(__xludf.DUMMYFUNCTION("""COMPUTED_VALUE"""),"не требуется")</f>
        <v>не требуется</v>
      </c>
      <c r="AF235" s="24">
        <f ca="1">IFERROR(__xludf.DUMMYFUNCTION("""COMPUTED_VALUE"""),53937.9799999999)</f>
        <v>53937.979999999901</v>
      </c>
      <c r="AG235" s="24">
        <f ca="1">IFERROR(__xludf.DUMMYFUNCTION("""COMPUTED_VALUE"""),0)</f>
        <v>0</v>
      </c>
      <c r="AH235" s="24">
        <f ca="1">IFERROR(__xludf.DUMMYFUNCTION("""COMPUTED_VALUE"""),0)</f>
        <v>0</v>
      </c>
      <c r="AI235" s="24">
        <f ca="1">IFERROR(__xludf.DUMMYFUNCTION("""COMPUTED_VALUE"""),50136.64)</f>
        <v>50136.639999999999</v>
      </c>
      <c r="AJ235" s="24">
        <f ca="1">IFERROR(__xludf.DUMMYFUNCTION("""COMPUTED_VALUE"""),3801.34)</f>
        <v>3801.34</v>
      </c>
      <c r="AK235" s="24">
        <f ca="1">IFERROR(__xludf.DUMMYFUNCTION("""COMPUTED_VALUE"""),0)</f>
        <v>0</v>
      </c>
      <c r="AL235" s="24">
        <f ca="1">IFERROR(__xludf.DUMMYFUNCTION("""COMPUTED_VALUE"""),0)</f>
        <v>0</v>
      </c>
      <c r="AM235" s="20"/>
      <c r="AN235" s="20"/>
      <c r="AO235" s="20"/>
      <c r="AP235" s="20"/>
      <c r="AQ235" s="20"/>
      <c r="AR235" s="24">
        <f ca="1">IFERROR(__xludf.DUMMYFUNCTION("""COMPUTED_VALUE"""),0)</f>
        <v>0</v>
      </c>
      <c r="AS235" s="20"/>
      <c r="AT235" s="20"/>
      <c r="AU235" s="20"/>
      <c r="AV235" s="20"/>
      <c r="AW235" s="20"/>
      <c r="AX235" s="24">
        <f ca="1">IFERROR(__xludf.DUMMYFUNCTION("""COMPUTED_VALUE"""),53937.9799999999)</f>
        <v>53937.979999999901</v>
      </c>
      <c r="AY235" s="24">
        <f ca="1">IFERROR(__xludf.DUMMYFUNCTION("""COMPUTED_VALUE"""),0)</f>
        <v>0</v>
      </c>
      <c r="AZ235" s="24">
        <f ca="1">IFERROR(__xludf.DUMMYFUNCTION("""COMPUTED_VALUE"""),0)</f>
        <v>0</v>
      </c>
      <c r="BA235" s="24">
        <f ca="1">IFERROR(__xludf.DUMMYFUNCTION("""COMPUTED_VALUE"""),50136.64)</f>
        <v>50136.639999999999</v>
      </c>
      <c r="BB235" s="24">
        <f ca="1">IFERROR(__xludf.DUMMYFUNCTION("""COMPUTED_VALUE"""),3801.34)</f>
        <v>3801.34</v>
      </c>
      <c r="BC235" s="20"/>
      <c r="BD235" s="24">
        <f ca="1">IFERROR(__xludf.DUMMYFUNCTION("""COMPUTED_VALUE"""),0)</f>
        <v>0</v>
      </c>
      <c r="BE235" s="24">
        <f ca="1">IFERROR(__xludf.DUMMYFUNCTION("""COMPUTED_VALUE"""),0)</f>
        <v>0</v>
      </c>
      <c r="BF235" s="24">
        <f ca="1">IFERROR(__xludf.DUMMYFUNCTION("""COMPUTED_VALUE"""),0)</f>
        <v>0</v>
      </c>
      <c r="BG235" s="24">
        <f ca="1">IFERROR(__xludf.DUMMYFUNCTION("""COMPUTED_VALUE"""),0)</f>
        <v>0</v>
      </c>
      <c r="BH235" s="24">
        <f ca="1">IFERROR(__xludf.DUMMYFUNCTION("""COMPUTED_VALUE"""),0)</f>
        <v>0</v>
      </c>
      <c r="BI235" s="20"/>
      <c r="BJ235" s="24">
        <f ca="1">IFERROR(__xludf.DUMMYFUNCTION("""COMPUTED_VALUE"""),0)</f>
        <v>0</v>
      </c>
      <c r="BK235" s="24">
        <f ca="1">IFERROR(__xludf.DUMMYFUNCTION("""COMPUTED_VALUE"""),0)</f>
        <v>0</v>
      </c>
      <c r="BL235" s="24">
        <f ca="1">IFERROR(__xludf.DUMMYFUNCTION("""COMPUTED_VALUE"""),0)</f>
        <v>0</v>
      </c>
      <c r="BM235" s="24">
        <f ca="1">IFERROR(__xludf.DUMMYFUNCTION("""COMPUTED_VALUE"""),0)</f>
        <v>0</v>
      </c>
      <c r="BN235" s="24">
        <f ca="1">IFERROR(__xludf.DUMMYFUNCTION("""COMPUTED_VALUE"""),0)</f>
        <v>0</v>
      </c>
      <c r="BO235" s="20"/>
      <c r="BP235" s="24">
        <f ca="1">IFERROR(__xludf.DUMMYFUNCTION("""COMPUTED_VALUE"""),0)</f>
        <v>0</v>
      </c>
      <c r="BQ235" s="24">
        <f ca="1">IFERROR(__xludf.DUMMYFUNCTION("""COMPUTED_VALUE"""),0)</f>
        <v>0</v>
      </c>
      <c r="BR235" s="24">
        <f ca="1">IFERROR(__xludf.DUMMYFUNCTION("""COMPUTED_VALUE"""),0)</f>
        <v>0</v>
      </c>
      <c r="BS235" s="24">
        <f ca="1">IFERROR(__xludf.DUMMYFUNCTION("""COMPUTED_VALUE"""),0)</f>
        <v>0</v>
      </c>
      <c r="BT235" s="24">
        <f ca="1">IFERROR(__xludf.DUMMYFUNCTION("""COMPUTED_VALUE"""),0)</f>
        <v>0</v>
      </c>
      <c r="BU235" s="20"/>
      <c r="BV235" s="24">
        <f ca="1">IFERROR(__xludf.DUMMYFUNCTION("""COMPUTED_VALUE"""),0)</f>
        <v>0</v>
      </c>
      <c r="BW235" s="24">
        <f ca="1">IFERROR(__xludf.DUMMYFUNCTION("""COMPUTED_VALUE"""),0)</f>
        <v>0</v>
      </c>
      <c r="BX235" s="24">
        <f ca="1">IFERROR(__xludf.DUMMYFUNCTION("""COMPUTED_VALUE"""),0)</f>
        <v>0</v>
      </c>
      <c r="BY235" s="24">
        <f ca="1">IFERROR(__xludf.DUMMYFUNCTION("""COMPUTED_VALUE"""),0)</f>
        <v>0</v>
      </c>
      <c r="BZ235" s="24">
        <f ca="1">IFERROR(__xludf.DUMMYFUNCTION("""COMPUTED_VALUE"""),0)</f>
        <v>0</v>
      </c>
      <c r="CA235" s="20"/>
      <c r="CB235" s="20" t="str">
        <f ca="1">IFERROR(__xludf.DUMMYFUNCTION("""COMPUTED_VALUE"""),"заключен")</f>
        <v>заключен</v>
      </c>
      <c r="CC235" s="26">
        <f ca="1">IFERROR(__xludf.DUMMYFUNCTION("""COMPUTED_VALUE"""),43585)</f>
        <v>43585</v>
      </c>
      <c r="CD235" s="20" t="str">
        <f ca="1">IFERROR(__xludf.DUMMYFUNCTION("""COMPUTED_VALUE"""),"0148200005419000156")</f>
        <v>0148200005419000156</v>
      </c>
      <c r="CE235" s="26">
        <f ca="1">IFERROR(__xludf.DUMMYFUNCTION("""COMPUTED_VALUE"""),43641)</f>
        <v>43641</v>
      </c>
      <c r="CF235" s="20" t="str">
        <f ca="1">IFERROR(__xludf.DUMMYFUNCTION("""COMPUTED_VALUE"""),"67/4")</f>
        <v>67/4</v>
      </c>
      <c r="CG235" s="20" t="str">
        <f ca="1">IFERROR(__xludf.DUMMYFUNCTION("""COMPUTED_VALUE"""),"105 550 000,00")</f>
        <v>105 550 000,00</v>
      </c>
      <c r="CH235" s="20" t="str">
        <f ca="1">IFERROR(__xludf.DUMMYFUNCTION("""COMPUTED_VALUE"""),"ООО ""СТРОЙ ГРУПП""")</f>
        <v>ООО "СТРОЙ ГРУПП"</v>
      </c>
      <c r="CI235" s="27" t="str">
        <f ca="1">IFERROR(__xludf.DUMMYFUNCTION("""COMPUTED_VALUE"""),"https://zakupki.gov.ru/epz/contract/contractCard/common-info.html?reestrNumber=3503500627419000074&amp;backUrl=d31ec1f5-a74c-457e-b1f3-d0d377769fe5")</f>
        <v>https://zakupki.gov.ru/epz/contract/contractCard/common-info.html?reestrNumber=3503500627419000074&amp;backUrl=d31ec1f5-a74c-457e-b1f3-d0d377769fe5</v>
      </c>
      <c r="CJ235" s="33">
        <f ca="1">IFERROR(__xludf.DUMMYFUNCTION("""COMPUTED_VALUE"""),43966)</f>
        <v>43966</v>
      </c>
      <c r="CK235" s="20"/>
      <c r="CL235" s="20"/>
      <c r="CM235" s="20"/>
      <c r="CN235" s="20"/>
      <c r="CO235" s="20"/>
      <c r="CP235" s="20"/>
      <c r="CQ235" s="20"/>
      <c r="CR235" s="20"/>
      <c r="CS235" s="20"/>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row>
    <row r="236" spans="1:123" ht="64.5" customHeight="1" x14ac:dyDescent="0.2">
      <c r="A236" s="19"/>
      <c r="B236" s="20" t="str">
        <f ca="1">IFERROR(__xludf.DUMMYFUNCTION("""COMPUTED_VALUE"""),"г.о. Солнечногорск")</f>
        <v>г.о. Солнечногорск</v>
      </c>
      <c r="C23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6" s="20" t="str">
        <f ca="1">IFERROR(__xludf.DUMMYFUNCTION("""COMPUTED_VALUE"""),"МинЖКХ")</f>
        <v>МинЖКХ</v>
      </c>
      <c r="E236" s="20" t="str">
        <f ca="1">IFERROR(__xludf.DUMMYFUNCTION("""COMPUTED_VALUE"""),"Реконструкция очистных сооружений   г.п. Солнечногорск, д. Осипово (ПИР)")</f>
        <v>Реконструкция очистных сооружений   г.п. Солнечногорск, д. Осипово (ПИР)</v>
      </c>
      <c r="F236" s="32" t="str">
        <f ca="1">IFERROR(__xludf.DUMMYFUNCTION("""COMPUTED_VALUE"""),"ОС")</f>
        <v>ОС</v>
      </c>
      <c r="G236" s="20">
        <f ca="1">IFERROR(__xludf.DUMMYFUNCTION("""COMPUTED_VALUE"""),2020)</f>
        <v>2020</v>
      </c>
      <c r="H236" s="20" t="str">
        <f ca="1">IFERROR(__xludf.DUMMYFUNCTION("""COMPUTED_VALUE"""),"ПИР")</f>
        <v>ПИР</v>
      </c>
      <c r="I236" s="20">
        <f ca="1">IFERROR(__xludf.DUMMYFUNCTION("""COMPUTED_VALUE"""),0)</f>
        <v>0</v>
      </c>
      <c r="J236" s="20" t="str">
        <f ca="1">IFERROR(__xludf.DUMMYFUNCTION("""COMPUTED_VALUE"""),"Получения заключения МОГЭ - ноябрь. ГЭЭ получено")</f>
        <v>Получения заключения МОГЭ - ноябрь. ГЭЭ получено</v>
      </c>
      <c r="K236" s="20"/>
      <c r="L236" s="20"/>
      <c r="M236" s="20"/>
      <c r="N236" s="24">
        <f ca="1">IFERROR(__xludf.DUMMYFUNCTION("""COMPUTED_VALUE"""),17057.25)</f>
        <v>17057.25</v>
      </c>
      <c r="O236" s="20"/>
      <c r="P236" s="24">
        <f ca="1">IFERROR(__xludf.DUMMYFUNCTION("""COMPUTED_VALUE"""),0)</f>
        <v>0</v>
      </c>
      <c r="Q236" s="24">
        <f ca="1">IFERROR(__xludf.DUMMYFUNCTION("""COMPUTED_VALUE"""),17057.25)</f>
        <v>17057.25</v>
      </c>
      <c r="R236" s="20"/>
      <c r="S236" s="20"/>
      <c r="T236" s="20"/>
      <c r="U236" s="24">
        <f ca="1">IFERROR(__xludf.DUMMYFUNCTION("""COMPUTED_VALUE"""),897.75)</f>
        <v>897.75</v>
      </c>
      <c r="V236" s="24">
        <f ca="1">IFERROR(__xludf.DUMMYFUNCTION("""COMPUTED_VALUE"""),0)</f>
        <v>0</v>
      </c>
      <c r="W236" s="24">
        <f ca="1">IFERROR(__xludf.DUMMYFUNCTION("""COMPUTED_VALUE"""),0)</f>
        <v>0</v>
      </c>
      <c r="X236" s="24">
        <f ca="1">IFERROR(__xludf.DUMMYFUNCTION("""COMPUTED_VALUE"""),0)</f>
        <v>0</v>
      </c>
      <c r="Y236" s="24">
        <f ca="1">IFERROR(__xludf.DUMMYFUNCTION("""COMPUTED_VALUE"""),897.75)</f>
        <v>897.75</v>
      </c>
      <c r="Z236" s="24">
        <f ca="1">IFERROR(__xludf.DUMMYFUNCTION("""COMPUTED_VALUE"""),0)</f>
        <v>0</v>
      </c>
      <c r="AA236" s="20" t="str">
        <f ca="1">IFERROR(__xludf.DUMMYFUNCTION("""COMPUTED_VALUE"""),"10 2 01 64020")</f>
        <v>10 2 01 64020</v>
      </c>
      <c r="AB236" s="20">
        <f ca="1">IFERROR(__xludf.DUMMYFUNCTION("""COMPUTED_VALUE"""),522)</f>
        <v>522</v>
      </c>
      <c r="AC236" s="20" t="str">
        <f ca="1">IFERROR(__xludf.DUMMYFUNCTION("""COMPUTED_VALUE"""),"не требуется")</f>
        <v>не требуется</v>
      </c>
      <c r="AD236" s="20" t="str">
        <f ca="1">IFERROR(__xludf.DUMMYFUNCTION("""COMPUTED_VALUE"""),"не требуется")</f>
        <v>не требуется</v>
      </c>
      <c r="AE236" s="20" t="str">
        <f ca="1">IFERROR(__xludf.DUMMYFUNCTION("""COMPUTED_VALUE"""),"не требуется")</f>
        <v>не требуется</v>
      </c>
      <c r="AF236" s="24">
        <f ca="1">IFERROR(__xludf.DUMMYFUNCTION("""COMPUTED_VALUE"""),17955)</f>
        <v>17955</v>
      </c>
      <c r="AG236" s="24">
        <f ca="1">IFERROR(__xludf.DUMMYFUNCTION("""COMPUTED_VALUE"""),0)</f>
        <v>0</v>
      </c>
      <c r="AH236" s="24">
        <f ca="1">IFERROR(__xludf.DUMMYFUNCTION("""COMPUTED_VALUE"""),0)</f>
        <v>0</v>
      </c>
      <c r="AI236" s="24">
        <f ca="1">IFERROR(__xludf.DUMMYFUNCTION("""COMPUTED_VALUE"""),17057.25)</f>
        <v>17057.25</v>
      </c>
      <c r="AJ236" s="24">
        <f ca="1">IFERROR(__xludf.DUMMYFUNCTION("""COMPUTED_VALUE"""),897.75)</f>
        <v>897.75</v>
      </c>
      <c r="AK236" s="24">
        <f ca="1">IFERROR(__xludf.DUMMYFUNCTION("""COMPUTED_VALUE"""),0)</f>
        <v>0</v>
      </c>
      <c r="AL236" s="24">
        <f ca="1">IFERROR(__xludf.DUMMYFUNCTION("""COMPUTED_VALUE"""),0)</f>
        <v>0</v>
      </c>
      <c r="AM236" s="20"/>
      <c r="AN236" s="20"/>
      <c r="AO236" s="20"/>
      <c r="AP236" s="20"/>
      <c r="AQ236" s="20"/>
      <c r="AR236" s="24">
        <f ca="1">IFERROR(__xludf.DUMMYFUNCTION("""COMPUTED_VALUE"""),0)</f>
        <v>0</v>
      </c>
      <c r="AS236" s="20"/>
      <c r="AT236" s="20"/>
      <c r="AU236" s="20"/>
      <c r="AV236" s="20"/>
      <c r="AW236" s="20"/>
      <c r="AX236" s="24">
        <f ca="1">IFERROR(__xludf.DUMMYFUNCTION("""COMPUTED_VALUE"""),17955)</f>
        <v>17955</v>
      </c>
      <c r="AY236" s="24">
        <f ca="1">IFERROR(__xludf.DUMMYFUNCTION("""COMPUTED_VALUE"""),0)</f>
        <v>0</v>
      </c>
      <c r="AZ236" s="24">
        <f ca="1">IFERROR(__xludf.DUMMYFUNCTION("""COMPUTED_VALUE"""),0)</f>
        <v>0</v>
      </c>
      <c r="BA236" s="24">
        <f ca="1">IFERROR(__xludf.DUMMYFUNCTION("""COMPUTED_VALUE"""),17057.25)</f>
        <v>17057.25</v>
      </c>
      <c r="BB236" s="24">
        <f ca="1">IFERROR(__xludf.DUMMYFUNCTION("""COMPUTED_VALUE"""),897.75)</f>
        <v>897.75</v>
      </c>
      <c r="BC236" s="20"/>
      <c r="BD236" s="24">
        <f ca="1">IFERROR(__xludf.DUMMYFUNCTION("""COMPUTED_VALUE"""),0)</f>
        <v>0</v>
      </c>
      <c r="BE236" s="24">
        <f ca="1">IFERROR(__xludf.DUMMYFUNCTION("""COMPUTED_VALUE"""),0)</f>
        <v>0</v>
      </c>
      <c r="BF236" s="24">
        <f ca="1">IFERROR(__xludf.DUMMYFUNCTION("""COMPUTED_VALUE"""),0)</f>
        <v>0</v>
      </c>
      <c r="BG236" s="24">
        <f ca="1">IFERROR(__xludf.DUMMYFUNCTION("""COMPUTED_VALUE"""),0)</f>
        <v>0</v>
      </c>
      <c r="BH236" s="24">
        <f ca="1">IFERROR(__xludf.DUMMYFUNCTION("""COMPUTED_VALUE"""),0)</f>
        <v>0</v>
      </c>
      <c r="BI236" s="20"/>
      <c r="BJ236" s="24">
        <f ca="1">IFERROR(__xludf.DUMMYFUNCTION("""COMPUTED_VALUE"""),0)</f>
        <v>0</v>
      </c>
      <c r="BK236" s="24">
        <f ca="1">IFERROR(__xludf.DUMMYFUNCTION("""COMPUTED_VALUE"""),0)</f>
        <v>0</v>
      </c>
      <c r="BL236" s="24">
        <f ca="1">IFERROR(__xludf.DUMMYFUNCTION("""COMPUTED_VALUE"""),0)</f>
        <v>0</v>
      </c>
      <c r="BM236" s="24">
        <f ca="1">IFERROR(__xludf.DUMMYFUNCTION("""COMPUTED_VALUE"""),0)</f>
        <v>0</v>
      </c>
      <c r="BN236" s="24">
        <f ca="1">IFERROR(__xludf.DUMMYFUNCTION("""COMPUTED_VALUE"""),0)</f>
        <v>0</v>
      </c>
      <c r="BO236" s="20"/>
      <c r="BP236" s="24">
        <f ca="1">IFERROR(__xludf.DUMMYFUNCTION("""COMPUTED_VALUE"""),0)</f>
        <v>0</v>
      </c>
      <c r="BQ236" s="24">
        <f ca="1">IFERROR(__xludf.DUMMYFUNCTION("""COMPUTED_VALUE"""),0)</f>
        <v>0</v>
      </c>
      <c r="BR236" s="24">
        <f ca="1">IFERROR(__xludf.DUMMYFUNCTION("""COMPUTED_VALUE"""),0)</f>
        <v>0</v>
      </c>
      <c r="BS236" s="24">
        <f ca="1">IFERROR(__xludf.DUMMYFUNCTION("""COMPUTED_VALUE"""),0)</f>
        <v>0</v>
      </c>
      <c r="BT236" s="24">
        <f ca="1">IFERROR(__xludf.DUMMYFUNCTION("""COMPUTED_VALUE"""),0)</f>
        <v>0</v>
      </c>
      <c r="BU236" s="20"/>
      <c r="BV236" s="24">
        <f ca="1">IFERROR(__xludf.DUMMYFUNCTION("""COMPUTED_VALUE"""),0)</f>
        <v>0</v>
      </c>
      <c r="BW236" s="24">
        <f ca="1">IFERROR(__xludf.DUMMYFUNCTION("""COMPUTED_VALUE"""),0)</f>
        <v>0</v>
      </c>
      <c r="BX236" s="24">
        <f ca="1">IFERROR(__xludf.DUMMYFUNCTION("""COMPUTED_VALUE"""),0)</f>
        <v>0</v>
      </c>
      <c r="BY236" s="24">
        <f ca="1">IFERROR(__xludf.DUMMYFUNCTION("""COMPUTED_VALUE"""),0)</f>
        <v>0</v>
      </c>
      <c r="BZ236" s="24">
        <f ca="1">IFERROR(__xludf.DUMMYFUNCTION("""COMPUTED_VALUE"""),0)</f>
        <v>0</v>
      </c>
      <c r="CA236" s="20"/>
      <c r="CB236" s="20" t="str">
        <f ca="1">IFERROR(__xludf.DUMMYFUNCTION("""COMPUTED_VALUE"""),"заключен")</f>
        <v>заключен</v>
      </c>
      <c r="CC236" s="26">
        <f ca="1">IFERROR(__xludf.DUMMYFUNCTION("""COMPUTED_VALUE"""),43581)</f>
        <v>43581</v>
      </c>
      <c r="CD236" s="20" t="str">
        <f ca="1">IFERROR(__xludf.DUMMYFUNCTION("""COMPUTED_VALUE"""),"0148200005419000126")</f>
        <v>0148200005419000126</v>
      </c>
      <c r="CE236" s="26">
        <f ca="1">IFERROR(__xludf.DUMMYFUNCTION("""COMPUTED_VALUE"""),43635)</f>
        <v>43635</v>
      </c>
      <c r="CF236" s="20" t="str">
        <f ca="1">IFERROR(__xludf.DUMMYFUNCTION("""COMPUTED_VALUE"""),"64/19/Сгп")</f>
        <v>64/19/Сгп</v>
      </c>
      <c r="CG236" s="20" t="str">
        <f ca="1">IFERROR(__xludf.DUMMYFUNCTION("""COMPUTED_VALUE"""),"39 900 000,00")</f>
        <v>39 900 000,00</v>
      </c>
      <c r="CH236" s="20" t="str">
        <f ca="1">IFERROR(__xludf.DUMMYFUNCTION("""COMPUTED_VALUE"""),"ОБЩЕСТВО С ОГРАНИЧЕННОЙ ОТВЕТСТВЕННОСТЬЮ ""НАУЧНО-ИССЛЕДОВАТЕЛЬСКИЙ И ПРОЕКТНО-ИЗЫСКАТЕЛЬСКИЙ ИНСТИТУТ ""СЕВЗАПИНЖТЕХНОЛОГИЯ""")</f>
        <v>ОБЩЕСТВО С ОГРАНИЧЕННОЙ ОТВЕТСТВЕННОСТЬЮ "НАУЧНО-ИССЛЕДОВАТЕЛЬСКИЙ И ПРОЕКТНО-ИЗЫСКАТЕЛЬСКИЙ ИНСТИТУТ "СЕВЗАПИНЖТЕХНОЛОГИЯ"</v>
      </c>
      <c r="CI236" s="27" t="str">
        <f ca="1">IFERROR(__xludf.DUMMYFUNCTION("""COMPUTED_VALUE"""),"https://zakupki.gov.ru/epz/contract/contractCard/common-info.html?reestrNumber=3504405139319000029&amp;backUrl=97781ce2-4f5a-4f97-ad5e-d2e56cb7139f")</f>
        <v>https://zakupki.gov.ru/epz/contract/contractCard/common-info.html?reestrNumber=3504405139319000029&amp;backUrl=97781ce2-4f5a-4f97-ad5e-d2e56cb7139f</v>
      </c>
      <c r="CJ236" s="20"/>
      <c r="CK236" s="33">
        <f ca="1">IFERROR(__xludf.DUMMYFUNCTION("""COMPUTED_VALUE"""),44169)</f>
        <v>44169</v>
      </c>
      <c r="CL236" s="20" t="str">
        <f ca="1">IFERROR(__xludf.DUMMYFUNCTION("""COMPUTED_VALUE"""),"50-1-1-3-2247-20")</f>
        <v>50-1-1-3-2247-20</v>
      </c>
      <c r="CM236" s="20"/>
      <c r="CN236" s="20"/>
      <c r="CO236" s="20"/>
      <c r="CP236" s="20"/>
      <c r="CQ236" s="20"/>
      <c r="CR236" s="20"/>
      <c r="CS236" s="20"/>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row>
    <row r="237" spans="1:123" ht="64.5" customHeight="1" x14ac:dyDescent="0.2">
      <c r="A237" s="19"/>
      <c r="B237" s="20" t="str">
        <f ca="1">IFERROR(__xludf.DUMMYFUNCTION("""COMPUTED_VALUE"""),"г.о. Наро-Фоминск")</f>
        <v>г.о. Наро-Фоминск</v>
      </c>
      <c r="C23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7" s="20" t="str">
        <f ca="1">IFERROR(__xludf.DUMMYFUNCTION("""COMPUTED_VALUE"""),"МинЖКХ")</f>
        <v>МинЖКХ</v>
      </c>
      <c r="E237" s="20" t="str">
        <f ca="1">IFERROR(__xludf.DUMMYFUNCTION("""COMPUTED_VALUE"""),"Строительство очистных сооружений г. Наро-Фоминск ул. Профсоюзная  (ПИР) ")</f>
        <v xml:space="preserve">Строительство очистных сооружений г. Наро-Фоминск ул. Профсоюзная  (ПИР) </v>
      </c>
      <c r="F237" s="32" t="str">
        <f ca="1">IFERROR(__xludf.DUMMYFUNCTION("""COMPUTED_VALUE"""),"ОС")</f>
        <v>ОС</v>
      </c>
      <c r="G237" s="20">
        <f ca="1">IFERROR(__xludf.DUMMYFUNCTION("""COMPUTED_VALUE"""),2020)</f>
        <v>2020</v>
      </c>
      <c r="H237" s="20" t="str">
        <f ca="1">IFERROR(__xludf.DUMMYFUNCTION("""COMPUTED_VALUE"""),"ПИР")</f>
        <v>ПИР</v>
      </c>
      <c r="I237" s="20">
        <f ca="1">IFERROR(__xludf.DUMMYFUNCTION("""COMPUTED_VALUE"""),0)</f>
        <v>0</v>
      </c>
      <c r="J237" s="20" t="str">
        <f ca="1">IFERROR(__xludf.DUMMYFUNCTION("""COMPUTED_VALUE"""),"сняты замечания  ГЭЭ. получения заключени МОГЭ - ноябрь 2020")</f>
        <v>сняты замечания  ГЭЭ. получения заключени МОГЭ - ноябрь 2020</v>
      </c>
      <c r="K237" s="20"/>
      <c r="L237" s="20"/>
      <c r="M237" s="20"/>
      <c r="N237" s="24">
        <f ca="1">IFERROR(__xludf.DUMMYFUNCTION("""COMPUTED_VALUE"""),32374.99)</f>
        <v>32374.99</v>
      </c>
      <c r="O237" s="20"/>
      <c r="P237" s="24">
        <f ca="1">IFERROR(__xludf.DUMMYFUNCTION("""COMPUTED_VALUE"""),0)</f>
        <v>0</v>
      </c>
      <c r="Q237" s="24">
        <f ca="1">IFERROR(__xludf.DUMMYFUNCTION("""COMPUTED_VALUE"""),32374.99)</f>
        <v>32374.99</v>
      </c>
      <c r="R237" s="20"/>
      <c r="S237" s="20"/>
      <c r="T237" s="20"/>
      <c r="U237" s="24">
        <f ca="1">IFERROR(__xludf.DUMMYFUNCTION("""COMPUTED_VALUE"""),1704.09999999999)</f>
        <v>1704.0999999999899</v>
      </c>
      <c r="V237" s="24">
        <f ca="1">IFERROR(__xludf.DUMMYFUNCTION("""COMPUTED_VALUE"""),0)</f>
        <v>0</v>
      </c>
      <c r="W237" s="24">
        <f ca="1">IFERROR(__xludf.DUMMYFUNCTION("""COMPUTED_VALUE"""),0)</f>
        <v>0</v>
      </c>
      <c r="X237" s="24">
        <f ca="1">IFERROR(__xludf.DUMMYFUNCTION("""COMPUTED_VALUE"""),0.00999999999839929)</f>
        <v>9.9999999983992893E-3</v>
      </c>
      <c r="Y237" s="24">
        <f ca="1">IFERROR(__xludf.DUMMYFUNCTION("""COMPUTED_VALUE"""),1704.09)</f>
        <v>1704.09</v>
      </c>
      <c r="Z237" s="24">
        <f ca="1">IFERROR(__xludf.DUMMYFUNCTION("""COMPUTED_VALUE"""),0)</f>
        <v>0</v>
      </c>
      <c r="AA237" s="20" t="str">
        <f ca="1">IFERROR(__xludf.DUMMYFUNCTION("""COMPUTED_VALUE"""),"10 2 01 64020")</f>
        <v>10 2 01 64020</v>
      </c>
      <c r="AB237" s="20">
        <f ca="1">IFERROR(__xludf.DUMMYFUNCTION("""COMPUTED_VALUE"""),522)</f>
        <v>522</v>
      </c>
      <c r="AC237" s="20" t="str">
        <f ca="1">IFERROR(__xludf.DUMMYFUNCTION("""COMPUTED_VALUE"""),"не требуется")</f>
        <v>не требуется</v>
      </c>
      <c r="AD237" s="20" t="str">
        <f ca="1">IFERROR(__xludf.DUMMYFUNCTION("""COMPUTED_VALUE"""),"не требуется")</f>
        <v>не требуется</v>
      </c>
      <c r="AE237" s="20" t="str">
        <f ca="1">IFERROR(__xludf.DUMMYFUNCTION("""COMPUTED_VALUE"""),"не требуется")</f>
        <v>не требуется</v>
      </c>
      <c r="AF237" s="24">
        <f ca="1">IFERROR(__xludf.DUMMYFUNCTION("""COMPUTED_VALUE"""),34079.09)</f>
        <v>34079.089999999997</v>
      </c>
      <c r="AG237" s="24">
        <f ca="1">IFERROR(__xludf.DUMMYFUNCTION("""COMPUTED_VALUE"""),0)</f>
        <v>0</v>
      </c>
      <c r="AH237" s="24">
        <f ca="1">IFERROR(__xludf.DUMMYFUNCTION("""COMPUTED_VALUE"""),0)</f>
        <v>0</v>
      </c>
      <c r="AI237" s="24">
        <f ca="1">IFERROR(__xludf.DUMMYFUNCTION("""COMPUTED_VALUE"""),32375)</f>
        <v>32375</v>
      </c>
      <c r="AJ237" s="24">
        <f ca="1">IFERROR(__xludf.DUMMYFUNCTION("""COMPUTED_VALUE"""),1704.09)</f>
        <v>1704.09</v>
      </c>
      <c r="AK237" s="24">
        <f ca="1">IFERROR(__xludf.DUMMYFUNCTION("""COMPUTED_VALUE"""),0)</f>
        <v>0</v>
      </c>
      <c r="AL237" s="24">
        <f ca="1">IFERROR(__xludf.DUMMYFUNCTION("""COMPUTED_VALUE"""),0)</f>
        <v>0</v>
      </c>
      <c r="AM237" s="20"/>
      <c r="AN237" s="20"/>
      <c r="AO237" s="20"/>
      <c r="AP237" s="20"/>
      <c r="AQ237" s="20"/>
      <c r="AR237" s="24">
        <f ca="1">IFERROR(__xludf.DUMMYFUNCTION("""COMPUTED_VALUE"""),0)</f>
        <v>0</v>
      </c>
      <c r="AS237" s="20"/>
      <c r="AT237" s="20"/>
      <c r="AU237" s="20"/>
      <c r="AV237" s="20"/>
      <c r="AW237" s="20"/>
      <c r="AX237" s="24">
        <f ca="1">IFERROR(__xludf.DUMMYFUNCTION("""COMPUTED_VALUE"""),34079.09)</f>
        <v>34079.089999999997</v>
      </c>
      <c r="AY237" s="24">
        <f ca="1">IFERROR(__xludf.DUMMYFUNCTION("""COMPUTED_VALUE"""),0)</f>
        <v>0</v>
      </c>
      <c r="AZ237" s="24">
        <f ca="1">IFERROR(__xludf.DUMMYFUNCTION("""COMPUTED_VALUE"""),0)</f>
        <v>0</v>
      </c>
      <c r="BA237" s="24">
        <f ca="1">IFERROR(__xludf.DUMMYFUNCTION("""COMPUTED_VALUE"""),32375)</f>
        <v>32375</v>
      </c>
      <c r="BB237" s="24">
        <f ca="1">IFERROR(__xludf.DUMMYFUNCTION("""COMPUTED_VALUE"""),1704.09)</f>
        <v>1704.09</v>
      </c>
      <c r="BC237" s="20"/>
      <c r="BD237" s="24">
        <f ca="1">IFERROR(__xludf.DUMMYFUNCTION("""COMPUTED_VALUE"""),0)</f>
        <v>0</v>
      </c>
      <c r="BE237" s="24">
        <f ca="1">IFERROR(__xludf.DUMMYFUNCTION("""COMPUTED_VALUE"""),0)</f>
        <v>0</v>
      </c>
      <c r="BF237" s="24">
        <f ca="1">IFERROR(__xludf.DUMMYFUNCTION("""COMPUTED_VALUE"""),0)</f>
        <v>0</v>
      </c>
      <c r="BG237" s="24">
        <f ca="1">IFERROR(__xludf.DUMMYFUNCTION("""COMPUTED_VALUE"""),0)</f>
        <v>0</v>
      </c>
      <c r="BH237" s="24">
        <f ca="1">IFERROR(__xludf.DUMMYFUNCTION("""COMPUTED_VALUE"""),0)</f>
        <v>0</v>
      </c>
      <c r="BI237" s="20"/>
      <c r="BJ237" s="24">
        <f ca="1">IFERROR(__xludf.DUMMYFUNCTION("""COMPUTED_VALUE"""),0)</f>
        <v>0</v>
      </c>
      <c r="BK237" s="24">
        <f ca="1">IFERROR(__xludf.DUMMYFUNCTION("""COMPUTED_VALUE"""),0)</f>
        <v>0</v>
      </c>
      <c r="BL237" s="24">
        <f ca="1">IFERROR(__xludf.DUMMYFUNCTION("""COMPUTED_VALUE"""),0)</f>
        <v>0</v>
      </c>
      <c r="BM237" s="24">
        <f ca="1">IFERROR(__xludf.DUMMYFUNCTION("""COMPUTED_VALUE"""),0)</f>
        <v>0</v>
      </c>
      <c r="BN237" s="24">
        <f ca="1">IFERROR(__xludf.DUMMYFUNCTION("""COMPUTED_VALUE"""),0)</f>
        <v>0</v>
      </c>
      <c r="BO237" s="20"/>
      <c r="BP237" s="24">
        <f ca="1">IFERROR(__xludf.DUMMYFUNCTION("""COMPUTED_VALUE"""),0)</f>
        <v>0</v>
      </c>
      <c r="BQ237" s="24">
        <f ca="1">IFERROR(__xludf.DUMMYFUNCTION("""COMPUTED_VALUE"""),0)</f>
        <v>0</v>
      </c>
      <c r="BR237" s="24">
        <f ca="1">IFERROR(__xludf.DUMMYFUNCTION("""COMPUTED_VALUE"""),0)</f>
        <v>0</v>
      </c>
      <c r="BS237" s="24">
        <f ca="1">IFERROR(__xludf.DUMMYFUNCTION("""COMPUTED_VALUE"""),0)</f>
        <v>0</v>
      </c>
      <c r="BT237" s="24">
        <f ca="1">IFERROR(__xludf.DUMMYFUNCTION("""COMPUTED_VALUE"""),0)</f>
        <v>0</v>
      </c>
      <c r="BU237" s="20"/>
      <c r="BV237" s="24">
        <f ca="1">IFERROR(__xludf.DUMMYFUNCTION("""COMPUTED_VALUE"""),0)</f>
        <v>0</v>
      </c>
      <c r="BW237" s="24">
        <f ca="1">IFERROR(__xludf.DUMMYFUNCTION("""COMPUTED_VALUE"""),0)</f>
        <v>0</v>
      </c>
      <c r="BX237" s="24">
        <f ca="1">IFERROR(__xludf.DUMMYFUNCTION("""COMPUTED_VALUE"""),0)</f>
        <v>0</v>
      </c>
      <c r="BY237" s="24">
        <f ca="1">IFERROR(__xludf.DUMMYFUNCTION("""COMPUTED_VALUE"""),0)</f>
        <v>0</v>
      </c>
      <c r="BZ237" s="24">
        <f ca="1">IFERROR(__xludf.DUMMYFUNCTION("""COMPUTED_VALUE"""),0)</f>
        <v>0</v>
      </c>
      <c r="CA237" s="20"/>
      <c r="CB237" s="20" t="str">
        <f ca="1">IFERROR(__xludf.DUMMYFUNCTION("""COMPUTED_VALUE"""),"заключен")</f>
        <v>заключен</v>
      </c>
      <c r="CC237" s="26">
        <f ca="1">IFERROR(__xludf.DUMMYFUNCTION("""COMPUTED_VALUE"""),43585)</f>
        <v>43585</v>
      </c>
      <c r="CD237" s="20" t="str">
        <f ca="1">IFERROR(__xludf.DUMMYFUNCTION("""COMPUTED_VALUE"""),"0148200005419000148")</f>
        <v>0148200005419000148</v>
      </c>
      <c r="CE237" s="26">
        <f ca="1">IFERROR(__xludf.DUMMYFUNCTION("""COMPUTED_VALUE"""),43668)</f>
        <v>43668</v>
      </c>
      <c r="CF237" s="20" t="str">
        <f ca="1">IFERROR(__xludf.DUMMYFUNCTION("""COMPUTED_VALUE"""),"0148200005419000148")</f>
        <v>0148200005419000148</v>
      </c>
      <c r="CG237" s="20" t="str">
        <f ca="1">IFERROR(__xludf.DUMMYFUNCTION("""COMPUTED_VALUE"""),"34 079 089,85")</f>
        <v>34 079 089,85</v>
      </c>
      <c r="CH237" s="20" t="str">
        <f ca="1">IFERROR(__xludf.DUMMYFUNCTION("""COMPUTED_VALUE"""),"АКЦИОНЕРНОЕ ОБЩЕСТВО ""КАПСТРОЙСИТИ""")</f>
        <v>АКЦИОНЕРНОЕ ОБЩЕСТВО "КАПСТРОЙСИТИ"</v>
      </c>
      <c r="CI237" s="27" t="str">
        <f ca="1">IFERROR(__xludf.DUMMYFUNCTION("""COMPUTED_VALUE"""),"https://zakupki.gov.ru/epz/contract/contractCard/common-info.html?reestrNumber=3503003185519000027&amp;backUrl=676266ef-31b3-4a38-a770-e3a6197244a4")</f>
        <v>https://zakupki.gov.ru/epz/contract/contractCard/common-info.html?reestrNumber=3503003185519000027&amp;backUrl=676266ef-31b3-4a38-a770-e3a6197244a4</v>
      </c>
      <c r="CJ237" s="33">
        <f ca="1">IFERROR(__xludf.DUMMYFUNCTION("""COMPUTED_VALUE"""),43959)</f>
        <v>43959</v>
      </c>
      <c r="CK237" s="26">
        <f ca="1">IFERROR(__xludf.DUMMYFUNCTION("""COMPUTED_VALUE"""),44167)</f>
        <v>44167</v>
      </c>
      <c r="CL237" s="20" t="str">
        <f ca="1">IFERROR(__xludf.DUMMYFUNCTION("""COMPUTED_VALUE"""),"50-1-1-3-2146-20 ")</f>
        <v xml:space="preserve">50-1-1-3-2146-20 </v>
      </c>
      <c r="CM237" s="20"/>
      <c r="CN237" s="20"/>
      <c r="CO237" s="20"/>
      <c r="CP237" s="20"/>
      <c r="CQ237" s="20"/>
      <c r="CR237" s="20"/>
      <c r="CS237" s="20"/>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row>
    <row r="238" spans="1:123" ht="64.5" customHeight="1" x14ac:dyDescent="0.2">
      <c r="A238" s="19"/>
      <c r="B238" s="20" t="str">
        <f ca="1">IFERROR(__xludf.DUMMYFUNCTION("""COMPUTED_VALUE"""),"г.о. Сергиев Посад")</f>
        <v>г.о. Сергиев Посад</v>
      </c>
      <c r="C23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8" s="20" t="str">
        <f ca="1">IFERROR(__xludf.DUMMYFUNCTION("""COMPUTED_VALUE"""),"МинЖКХ")</f>
        <v>МинЖКХ</v>
      </c>
      <c r="E238" s="20" t="str">
        <f ca="1">IFERROR(__xludf.DUMMYFUNCTION("""COMPUTED_VALUE"""),"Строительство очистных сооружений канализации г.п. Сергиев-Посад мощностью 40 тыс. куб.м/сут. (ПИР)")</f>
        <v>Строительство очистных сооружений канализации г.п. Сергиев-Посад мощностью 40 тыс. куб.м/сут. (ПИР)</v>
      </c>
      <c r="F238" s="32" t="str">
        <f ca="1">IFERROR(__xludf.DUMMYFUNCTION("""COMPUTED_VALUE"""),"ОС")</f>
        <v>ОС</v>
      </c>
      <c r="G238" s="20">
        <f ca="1">IFERROR(__xludf.DUMMYFUNCTION("""COMPUTED_VALUE"""),2020)</f>
        <v>2020</v>
      </c>
      <c r="H238" s="20" t="str">
        <f ca="1">IFERROR(__xludf.DUMMYFUNCTION("""COMPUTED_VALUE"""),"ПИР")</f>
        <v>ПИР</v>
      </c>
      <c r="I238" s="20">
        <f ca="1">IFERROR(__xludf.DUMMYFUNCTION("""COMPUTED_VALUE"""),25)</f>
        <v>25</v>
      </c>
      <c r="J238" s="20" t="str">
        <f ca="1">IFERROR(__xludf.DUMMYFUNCTION("""COMPUTED_VALUE"""),"ПСД в МОГЭ, Сформированы локальные залючения по разделам, кроме Смет и пожарное безопасности. Получения заключени - ноябрь 2020")</f>
        <v>ПСД в МОГЭ, Сформированы локальные залючения по разделам, кроме Смет и пожарное безопасности. Получения заключени - ноябрь 2020</v>
      </c>
      <c r="K238" s="20"/>
      <c r="L238" s="20"/>
      <c r="M238" s="20"/>
      <c r="N238" s="24">
        <f ca="1">IFERROR(__xludf.DUMMYFUNCTION("""COMPUTED_VALUE"""),34000)</f>
        <v>34000</v>
      </c>
      <c r="O238" s="20"/>
      <c r="P238" s="20"/>
      <c r="Q238" s="24">
        <f ca="1">IFERROR(__xludf.DUMMYFUNCTION("""COMPUTED_VALUE"""),32300)</f>
        <v>32300</v>
      </c>
      <c r="R238" s="24">
        <f ca="1">IFERROR(__xludf.DUMMYFUNCTION("""COMPUTED_VALUE"""),1700)</f>
        <v>1700</v>
      </c>
      <c r="S238" s="20"/>
      <c r="T238" s="20"/>
      <c r="U238" s="24">
        <f ca="1">IFERROR(__xludf.DUMMYFUNCTION("""COMPUTED_VALUE"""),0)</f>
        <v>0</v>
      </c>
      <c r="V238" s="24">
        <f ca="1">IFERROR(__xludf.DUMMYFUNCTION("""COMPUTED_VALUE"""),0)</f>
        <v>0</v>
      </c>
      <c r="W238" s="24">
        <f ca="1">IFERROR(__xludf.DUMMYFUNCTION("""COMPUTED_VALUE"""),0)</f>
        <v>0</v>
      </c>
      <c r="X238" s="24">
        <f ca="1">IFERROR(__xludf.DUMMYFUNCTION("""COMPUTED_VALUE"""),0)</f>
        <v>0</v>
      </c>
      <c r="Y238" s="24">
        <f ca="1">IFERROR(__xludf.DUMMYFUNCTION("""COMPUTED_VALUE"""),0)</f>
        <v>0</v>
      </c>
      <c r="Z238" s="24">
        <f ca="1">IFERROR(__xludf.DUMMYFUNCTION("""COMPUTED_VALUE"""),0)</f>
        <v>0</v>
      </c>
      <c r="AA238" s="20" t="str">
        <f ca="1">IFERROR(__xludf.DUMMYFUNCTION("""COMPUTED_VALUE"""),"10 2 01 64020")</f>
        <v>10 2 01 64020</v>
      </c>
      <c r="AB238" s="20">
        <f ca="1">IFERROR(__xludf.DUMMYFUNCTION("""COMPUTED_VALUE"""),522)</f>
        <v>522</v>
      </c>
      <c r="AC238" s="20" t="str">
        <f ca="1">IFERROR(__xludf.DUMMYFUNCTION("""COMPUTED_VALUE"""),"не требуется")</f>
        <v>не требуется</v>
      </c>
      <c r="AD238" s="20" t="str">
        <f ca="1">IFERROR(__xludf.DUMMYFUNCTION("""COMPUTED_VALUE"""),"не требуется")</f>
        <v>не требуется</v>
      </c>
      <c r="AE238" s="20" t="str">
        <f ca="1">IFERROR(__xludf.DUMMYFUNCTION("""COMPUTED_VALUE"""),"не требуется")</f>
        <v>не требуется</v>
      </c>
      <c r="AF238" s="24">
        <f ca="1">IFERROR(__xludf.DUMMYFUNCTION("""COMPUTED_VALUE"""),34000)</f>
        <v>34000</v>
      </c>
      <c r="AG238" s="24">
        <f ca="1">IFERROR(__xludf.DUMMYFUNCTION("""COMPUTED_VALUE"""),0)</f>
        <v>0</v>
      </c>
      <c r="AH238" s="24">
        <f ca="1">IFERROR(__xludf.DUMMYFUNCTION("""COMPUTED_VALUE"""),0)</f>
        <v>0</v>
      </c>
      <c r="AI238" s="24">
        <f ca="1">IFERROR(__xludf.DUMMYFUNCTION("""COMPUTED_VALUE"""),32300)</f>
        <v>32300</v>
      </c>
      <c r="AJ238" s="24">
        <f ca="1">IFERROR(__xludf.DUMMYFUNCTION("""COMPUTED_VALUE"""),1700)</f>
        <v>1700</v>
      </c>
      <c r="AK238" s="24">
        <f ca="1">IFERROR(__xludf.DUMMYFUNCTION("""COMPUTED_VALUE"""),0)</f>
        <v>0</v>
      </c>
      <c r="AL238" s="24">
        <f ca="1">IFERROR(__xludf.DUMMYFUNCTION("""COMPUTED_VALUE"""),0)</f>
        <v>0</v>
      </c>
      <c r="AM238" s="20"/>
      <c r="AN238" s="20"/>
      <c r="AO238" s="20"/>
      <c r="AP238" s="20"/>
      <c r="AQ238" s="20"/>
      <c r="AR238" s="24">
        <f ca="1">IFERROR(__xludf.DUMMYFUNCTION("""COMPUTED_VALUE"""),0)</f>
        <v>0</v>
      </c>
      <c r="AS238" s="20"/>
      <c r="AT238" s="20"/>
      <c r="AU238" s="20"/>
      <c r="AV238" s="20"/>
      <c r="AW238" s="20"/>
      <c r="AX238" s="24">
        <f ca="1">IFERROR(__xludf.DUMMYFUNCTION("""COMPUTED_VALUE"""),34000)</f>
        <v>34000</v>
      </c>
      <c r="AY238" s="24">
        <f ca="1">IFERROR(__xludf.DUMMYFUNCTION("""COMPUTED_VALUE"""),0)</f>
        <v>0</v>
      </c>
      <c r="AZ238" s="24">
        <f ca="1">IFERROR(__xludf.DUMMYFUNCTION("""COMPUTED_VALUE"""),0)</f>
        <v>0</v>
      </c>
      <c r="BA238" s="24">
        <f ca="1">IFERROR(__xludf.DUMMYFUNCTION("""COMPUTED_VALUE"""),32300)</f>
        <v>32300</v>
      </c>
      <c r="BB238" s="24">
        <f ca="1">IFERROR(__xludf.DUMMYFUNCTION("""COMPUTED_VALUE"""),1700)</f>
        <v>1700</v>
      </c>
      <c r="BC238" s="20"/>
      <c r="BD238" s="24">
        <f ca="1">IFERROR(__xludf.DUMMYFUNCTION("""COMPUTED_VALUE"""),0)</f>
        <v>0</v>
      </c>
      <c r="BE238" s="24">
        <f ca="1">IFERROR(__xludf.DUMMYFUNCTION("""COMPUTED_VALUE"""),0)</f>
        <v>0</v>
      </c>
      <c r="BF238" s="24">
        <f ca="1">IFERROR(__xludf.DUMMYFUNCTION("""COMPUTED_VALUE"""),0)</f>
        <v>0</v>
      </c>
      <c r="BG238" s="24">
        <f ca="1">IFERROR(__xludf.DUMMYFUNCTION("""COMPUTED_VALUE"""),0)</f>
        <v>0</v>
      </c>
      <c r="BH238" s="24">
        <f ca="1">IFERROR(__xludf.DUMMYFUNCTION("""COMPUTED_VALUE"""),0)</f>
        <v>0</v>
      </c>
      <c r="BI238" s="20"/>
      <c r="BJ238" s="24">
        <f ca="1">IFERROR(__xludf.DUMMYFUNCTION("""COMPUTED_VALUE"""),0)</f>
        <v>0</v>
      </c>
      <c r="BK238" s="24">
        <f ca="1">IFERROR(__xludf.DUMMYFUNCTION("""COMPUTED_VALUE"""),0)</f>
        <v>0</v>
      </c>
      <c r="BL238" s="24">
        <f ca="1">IFERROR(__xludf.DUMMYFUNCTION("""COMPUTED_VALUE"""),0)</f>
        <v>0</v>
      </c>
      <c r="BM238" s="24">
        <f ca="1">IFERROR(__xludf.DUMMYFUNCTION("""COMPUTED_VALUE"""),0)</f>
        <v>0</v>
      </c>
      <c r="BN238" s="24">
        <f ca="1">IFERROR(__xludf.DUMMYFUNCTION("""COMPUTED_VALUE"""),0)</f>
        <v>0</v>
      </c>
      <c r="BO238" s="20"/>
      <c r="BP238" s="24">
        <f ca="1">IFERROR(__xludf.DUMMYFUNCTION("""COMPUTED_VALUE"""),0)</f>
        <v>0</v>
      </c>
      <c r="BQ238" s="24">
        <f ca="1">IFERROR(__xludf.DUMMYFUNCTION("""COMPUTED_VALUE"""),0)</f>
        <v>0</v>
      </c>
      <c r="BR238" s="24">
        <f ca="1">IFERROR(__xludf.DUMMYFUNCTION("""COMPUTED_VALUE"""),0)</f>
        <v>0</v>
      </c>
      <c r="BS238" s="24">
        <f ca="1">IFERROR(__xludf.DUMMYFUNCTION("""COMPUTED_VALUE"""),0)</f>
        <v>0</v>
      </c>
      <c r="BT238" s="24">
        <f ca="1">IFERROR(__xludf.DUMMYFUNCTION("""COMPUTED_VALUE"""),0)</f>
        <v>0</v>
      </c>
      <c r="BU238" s="20"/>
      <c r="BV238" s="24">
        <f ca="1">IFERROR(__xludf.DUMMYFUNCTION("""COMPUTED_VALUE"""),0)</f>
        <v>0</v>
      </c>
      <c r="BW238" s="24">
        <f ca="1">IFERROR(__xludf.DUMMYFUNCTION("""COMPUTED_VALUE"""),0)</f>
        <v>0</v>
      </c>
      <c r="BX238" s="24">
        <f ca="1">IFERROR(__xludf.DUMMYFUNCTION("""COMPUTED_VALUE"""),0)</f>
        <v>0</v>
      </c>
      <c r="BY238" s="24">
        <f ca="1">IFERROR(__xludf.DUMMYFUNCTION("""COMPUTED_VALUE"""),0)</f>
        <v>0</v>
      </c>
      <c r="BZ238" s="24">
        <f ca="1">IFERROR(__xludf.DUMMYFUNCTION("""COMPUTED_VALUE"""),0)</f>
        <v>0</v>
      </c>
      <c r="CA238" s="20"/>
      <c r="CB238" s="20" t="str">
        <f ca="1">IFERROR(__xludf.DUMMYFUNCTION("""COMPUTED_VALUE"""),"заключен")</f>
        <v>заключен</v>
      </c>
      <c r="CC238" s="26">
        <f ca="1">IFERROR(__xludf.DUMMYFUNCTION("""COMPUTED_VALUE"""),43578)</f>
        <v>43578</v>
      </c>
      <c r="CD238" s="20" t="str">
        <f ca="1">IFERROR(__xludf.DUMMYFUNCTION("""COMPUTED_VALUE"""),"0148200005419000112")</f>
        <v>0148200005419000112</v>
      </c>
      <c r="CE238" s="26">
        <f ca="1">IFERROR(__xludf.DUMMYFUNCTION("""COMPUTED_VALUE"""),43633)</f>
        <v>43633</v>
      </c>
      <c r="CF238" s="20" t="str">
        <f ca="1">IFERROR(__xludf.DUMMYFUNCTION("""COMPUTED_VALUE"""),"0148200005419000112")</f>
        <v>0148200005419000112</v>
      </c>
      <c r="CG238" s="20" t="str">
        <f ca="1">IFERROR(__xludf.DUMMYFUNCTION("""COMPUTED_VALUE"""),"34 000 000,00")</f>
        <v>34 000 000,00</v>
      </c>
      <c r="CH238" s="20" t="str">
        <f ca="1">IFERROR(__xludf.DUMMYFUNCTION("""COMPUTED_VALUE"""),"ОБЩЕСТВО С ОГРАНИЧЕННОЙ ОТВЕТСТВЕННОСТЬЮ ИНСТИТУТ ""ГАЗЭНЕРГОПРОЕКТ""")</f>
        <v>ОБЩЕСТВО С ОГРАНИЧЕННОЙ ОТВЕТСТВЕННОСТЬЮ ИНСТИТУТ "ГАЗЭНЕРГОПРОЕКТ"</v>
      </c>
      <c r="CI238" s="27" t="str">
        <f ca="1">IFERROR(__xludf.DUMMYFUNCTION("""COMPUTED_VALUE"""),"https://zakupki.gov.ru/epz/contract/contractCard/common-info.html?reestrNumber=3504202239719000102&amp;backUrl=e2620fc5-a3f3-4f94-9415-f21d9f99c0fb")</f>
        <v>https://zakupki.gov.ru/epz/contract/contractCard/common-info.html?reestrNumber=3504202239719000102&amp;backUrl=e2620fc5-a3f3-4f94-9415-f21d9f99c0fb</v>
      </c>
      <c r="CJ238" s="33">
        <f ca="1">IFERROR(__xludf.DUMMYFUNCTION("""COMPUTED_VALUE"""),43846)</f>
        <v>43846</v>
      </c>
      <c r="CK238" s="33">
        <f ca="1">IFERROR(__xludf.DUMMYFUNCTION("""COMPUTED_VALUE"""),44168)</f>
        <v>44168</v>
      </c>
      <c r="CL238" s="20" t="str">
        <f ca="1">IFERROR(__xludf.DUMMYFUNCTION("""COMPUTED_VALUE"""),"50-1-1-2-2199-20
")</f>
        <v xml:space="preserve">50-1-1-2-2199-20
</v>
      </c>
      <c r="CM238" s="20"/>
      <c r="CN238" s="20"/>
      <c r="CO238" s="20"/>
      <c r="CP238" s="20"/>
      <c r="CQ238" s="20"/>
      <c r="CR238" s="20"/>
      <c r="CS238" s="20"/>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row>
    <row r="239" spans="1:123" ht="64.5" customHeight="1" x14ac:dyDescent="0.2">
      <c r="A239" s="19"/>
      <c r="B239" s="20" t="str">
        <f ca="1">IFERROR(__xludf.DUMMYFUNCTION("""COMPUTED_VALUE"""),"г.о. Дмитровский")</f>
        <v>г.о. Дмитровский</v>
      </c>
      <c r="C23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9" s="20" t="str">
        <f ca="1">IFERROR(__xludf.DUMMYFUNCTION("""COMPUTED_VALUE"""),"МинЖКХ")</f>
        <v>МинЖКХ</v>
      </c>
      <c r="E239" s="20" t="str">
        <f ca="1">IFERROR(__xludf.DUMMYFUNCTION("""COMPUTED_VALUE"""),"Строительство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f>
        <v>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v>
      </c>
      <c r="F239" s="32" t="str">
        <f ca="1">IFERROR(__xludf.DUMMYFUNCTION("""COMPUTED_VALUE"""),"ОС")</f>
        <v>ОС</v>
      </c>
      <c r="G239" s="20">
        <f ca="1">IFERROR(__xludf.DUMMYFUNCTION("""COMPUTED_VALUE"""),2020)</f>
        <v>2020</v>
      </c>
      <c r="H239" s="20" t="str">
        <f ca="1">IFERROR(__xludf.DUMMYFUNCTION("""COMPUTED_VALUE"""),"ПИР")</f>
        <v>ПИР</v>
      </c>
      <c r="I239" s="20">
        <f ca="1">IFERROR(__xludf.DUMMYFUNCTION("""COMPUTED_VALUE"""),100)</f>
        <v>100</v>
      </c>
      <c r="J239" s="20" t="str">
        <f ca="1">IFERROR(__xludf.DUMMYFUNCTION("""COMPUTED_VALUE"""),"Заключение МОГЭ получено")</f>
        <v>Заключение МОГЭ получено</v>
      </c>
      <c r="K239" s="20"/>
      <c r="L239" s="20"/>
      <c r="M239" s="20"/>
      <c r="N239" s="24">
        <f ca="1">IFERROR(__xludf.DUMMYFUNCTION("""COMPUTED_VALUE"""),7970.03)</f>
        <v>7970.03</v>
      </c>
      <c r="O239" s="20"/>
      <c r="P239" s="24">
        <f ca="1">IFERROR(__xludf.DUMMYFUNCTION("""COMPUTED_VALUE"""),0)</f>
        <v>0</v>
      </c>
      <c r="Q239" s="24">
        <f ca="1">IFERROR(__xludf.DUMMYFUNCTION("""COMPUTED_VALUE"""),7970.03)</f>
        <v>7970.03</v>
      </c>
      <c r="R239" s="20"/>
      <c r="S239" s="20"/>
      <c r="T239" s="20"/>
      <c r="U239" s="24">
        <f ca="1">IFERROR(__xludf.DUMMYFUNCTION("""COMPUTED_VALUE"""),79.3800000000001)</f>
        <v>79.380000000000095</v>
      </c>
      <c r="V239" s="24">
        <f ca="1">IFERROR(__xludf.DUMMYFUNCTION("""COMPUTED_VALUE"""),0)</f>
        <v>0</v>
      </c>
      <c r="W239" s="24">
        <f ca="1">IFERROR(__xludf.DUMMYFUNCTION("""COMPUTED_VALUE"""),0)</f>
        <v>0</v>
      </c>
      <c r="X239" s="24">
        <f ca="1">IFERROR(__xludf.DUMMYFUNCTION("""COMPUTED_VALUE"""),0)</f>
        <v>0</v>
      </c>
      <c r="Y239" s="24">
        <f ca="1">IFERROR(__xludf.DUMMYFUNCTION("""COMPUTED_VALUE"""),79.38)</f>
        <v>79.38</v>
      </c>
      <c r="Z239" s="24">
        <f ca="1">IFERROR(__xludf.DUMMYFUNCTION("""COMPUTED_VALUE"""),0)</f>
        <v>0</v>
      </c>
      <c r="AA239" s="20" t="str">
        <f ca="1">IFERROR(__xludf.DUMMYFUNCTION("""COMPUTED_VALUE"""),"10 2 01 64020")</f>
        <v>10 2 01 64020</v>
      </c>
      <c r="AB239" s="20">
        <f ca="1">IFERROR(__xludf.DUMMYFUNCTION("""COMPUTED_VALUE"""),522)</f>
        <v>522</v>
      </c>
      <c r="AC239" s="20" t="str">
        <f ca="1">IFERROR(__xludf.DUMMYFUNCTION("""COMPUTED_VALUE"""),"не требуется")</f>
        <v>не требуется</v>
      </c>
      <c r="AD239" s="20" t="str">
        <f ca="1">IFERROR(__xludf.DUMMYFUNCTION("""COMPUTED_VALUE"""),"не требуется")</f>
        <v>не требуется</v>
      </c>
      <c r="AE239" s="20" t="str">
        <f ca="1">IFERROR(__xludf.DUMMYFUNCTION("""COMPUTED_VALUE"""),"не требуется")</f>
        <v>не требуется</v>
      </c>
      <c r="AF239" s="24">
        <f ca="1">IFERROR(__xludf.DUMMYFUNCTION("""COMPUTED_VALUE"""),8049.41)</f>
        <v>8049.41</v>
      </c>
      <c r="AG239" s="24">
        <f ca="1">IFERROR(__xludf.DUMMYFUNCTION("""COMPUTED_VALUE"""),0)</f>
        <v>0</v>
      </c>
      <c r="AH239" s="24">
        <f ca="1">IFERROR(__xludf.DUMMYFUNCTION("""COMPUTED_VALUE"""),0)</f>
        <v>0</v>
      </c>
      <c r="AI239" s="24">
        <f ca="1">IFERROR(__xludf.DUMMYFUNCTION("""COMPUTED_VALUE"""),7970.03)</f>
        <v>7970.03</v>
      </c>
      <c r="AJ239" s="24">
        <f ca="1">IFERROR(__xludf.DUMMYFUNCTION("""COMPUTED_VALUE"""),79.38)</f>
        <v>79.38</v>
      </c>
      <c r="AK239" s="24">
        <f ca="1">IFERROR(__xludf.DUMMYFUNCTION("""COMPUTED_VALUE"""),0)</f>
        <v>0</v>
      </c>
      <c r="AL239" s="24">
        <f ca="1">IFERROR(__xludf.DUMMYFUNCTION("""COMPUTED_VALUE"""),0)</f>
        <v>0</v>
      </c>
      <c r="AM239" s="20"/>
      <c r="AN239" s="20"/>
      <c r="AO239" s="20"/>
      <c r="AP239" s="20"/>
      <c r="AQ239" s="20"/>
      <c r="AR239" s="24">
        <f ca="1">IFERROR(__xludf.DUMMYFUNCTION("""COMPUTED_VALUE"""),0)</f>
        <v>0</v>
      </c>
      <c r="AS239" s="20"/>
      <c r="AT239" s="20"/>
      <c r="AU239" s="20"/>
      <c r="AV239" s="20"/>
      <c r="AW239" s="20"/>
      <c r="AX239" s="24">
        <f ca="1">IFERROR(__xludf.DUMMYFUNCTION("""COMPUTED_VALUE"""),8049.41)</f>
        <v>8049.41</v>
      </c>
      <c r="AY239" s="24">
        <f ca="1">IFERROR(__xludf.DUMMYFUNCTION("""COMPUTED_VALUE"""),0)</f>
        <v>0</v>
      </c>
      <c r="AZ239" s="24">
        <f ca="1">IFERROR(__xludf.DUMMYFUNCTION("""COMPUTED_VALUE"""),0)</f>
        <v>0</v>
      </c>
      <c r="BA239" s="24">
        <f ca="1">IFERROR(__xludf.DUMMYFUNCTION("""COMPUTED_VALUE"""),7970.03)</f>
        <v>7970.03</v>
      </c>
      <c r="BB239" s="24">
        <f ca="1">IFERROR(__xludf.DUMMYFUNCTION("""COMPUTED_VALUE"""),79.38)</f>
        <v>79.38</v>
      </c>
      <c r="BC239" s="20"/>
      <c r="BD239" s="24">
        <f ca="1">IFERROR(__xludf.DUMMYFUNCTION("""COMPUTED_VALUE"""),0)</f>
        <v>0</v>
      </c>
      <c r="BE239" s="24">
        <f ca="1">IFERROR(__xludf.DUMMYFUNCTION("""COMPUTED_VALUE"""),0)</f>
        <v>0</v>
      </c>
      <c r="BF239" s="24">
        <f ca="1">IFERROR(__xludf.DUMMYFUNCTION("""COMPUTED_VALUE"""),0)</f>
        <v>0</v>
      </c>
      <c r="BG239" s="24">
        <f ca="1">IFERROR(__xludf.DUMMYFUNCTION("""COMPUTED_VALUE"""),0)</f>
        <v>0</v>
      </c>
      <c r="BH239" s="24">
        <f ca="1">IFERROR(__xludf.DUMMYFUNCTION("""COMPUTED_VALUE"""),0)</f>
        <v>0</v>
      </c>
      <c r="BI239" s="20"/>
      <c r="BJ239" s="24">
        <f ca="1">IFERROR(__xludf.DUMMYFUNCTION("""COMPUTED_VALUE"""),0)</f>
        <v>0</v>
      </c>
      <c r="BK239" s="24">
        <f ca="1">IFERROR(__xludf.DUMMYFUNCTION("""COMPUTED_VALUE"""),0)</f>
        <v>0</v>
      </c>
      <c r="BL239" s="24">
        <f ca="1">IFERROR(__xludf.DUMMYFUNCTION("""COMPUTED_VALUE"""),0)</f>
        <v>0</v>
      </c>
      <c r="BM239" s="24">
        <f ca="1">IFERROR(__xludf.DUMMYFUNCTION("""COMPUTED_VALUE"""),0)</f>
        <v>0</v>
      </c>
      <c r="BN239" s="24">
        <f ca="1">IFERROR(__xludf.DUMMYFUNCTION("""COMPUTED_VALUE"""),0)</f>
        <v>0</v>
      </c>
      <c r="BO239" s="20"/>
      <c r="BP239" s="24">
        <f ca="1">IFERROR(__xludf.DUMMYFUNCTION("""COMPUTED_VALUE"""),0)</f>
        <v>0</v>
      </c>
      <c r="BQ239" s="24">
        <f ca="1">IFERROR(__xludf.DUMMYFUNCTION("""COMPUTED_VALUE"""),0)</f>
        <v>0</v>
      </c>
      <c r="BR239" s="24">
        <f ca="1">IFERROR(__xludf.DUMMYFUNCTION("""COMPUTED_VALUE"""),0)</f>
        <v>0</v>
      </c>
      <c r="BS239" s="24">
        <f ca="1">IFERROR(__xludf.DUMMYFUNCTION("""COMPUTED_VALUE"""),0)</f>
        <v>0</v>
      </c>
      <c r="BT239" s="24">
        <f ca="1">IFERROR(__xludf.DUMMYFUNCTION("""COMPUTED_VALUE"""),0)</f>
        <v>0</v>
      </c>
      <c r="BU239" s="20"/>
      <c r="BV239" s="24">
        <f ca="1">IFERROR(__xludf.DUMMYFUNCTION("""COMPUTED_VALUE"""),0)</f>
        <v>0</v>
      </c>
      <c r="BW239" s="24">
        <f ca="1">IFERROR(__xludf.DUMMYFUNCTION("""COMPUTED_VALUE"""),0)</f>
        <v>0</v>
      </c>
      <c r="BX239" s="24">
        <f ca="1">IFERROR(__xludf.DUMMYFUNCTION("""COMPUTED_VALUE"""),0)</f>
        <v>0</v>
      </c>
      <c r="BY239" s="24">
        <f ca="1">IFERROR(__xludf.DUMMYFUNCTION("""COMPUTED_VALUE"""),0)</f>
        <v>0</v>
      </c>
      <c r="BZ239" s="24">
        <f ca="1">IFERROR(__xludf.DUMMYFUNCTION("""COMPUTED_VALUE"""),0)</f>
        <v>0</v>
      </c>
      <c r="CA239" s="20"/>
      <c r="CB239" s="20" t="str">
        <f ca="1">IFERROR(__xludf.DUMMYFUNCTION("""COMPUTED_VALUE"""),"заключен")</f>
        <v>заключен</v>
      </c>
      <c r="CC239" s="26">
        <f ca="1">IFERROR(__xludf.DUMMYFUNCTION("""COMPUTED_VALUE"""),43585)</f>
        <v>43585</v>
      </c>
      <c r="CD239" s="20" t="str">
        <f ca="1">IFERROR(__xludf.DUMMYFUNCTION("""COMPUTED_VALUE"""),"0848300037419000324")</f>
        <v>0848300037419000324</v>
      </c>
      <c r="CE239" s="26">
        <f ca="1">IFERROR(__xludf.DUMMYFUNCTION("""COMPUTED_VALUE"""),43643)</f>
        <v>43643</v>
      </c>
      <c r="CF239" s="20" t="str">
        <f ca="1">IFERROR(__xludf.DUMMYFUNCTION("""COMPUTED_VALUE"""),"0848300037419000324")</f>
        <v>0848300037419000324</v>
      </c>
      <c r="CG239" s="20" t="str">
        <f ca="1">IFERROR(__xludf.DUMMYFUNCTION("""COMPUTED_VALUE"""),"21 000 000,00")</f>
        <v>21 000 000,00</v>
      </c>
      <c r="CH239" s="20" t="str">
        <f ca="1">IFERROR(__xludf.DUMMYFUNCTION("""COMPUTED_VALUE"""),"(ООО ""ИК ""НИИ КВОВ""")</f>
        <v>(ООО "ИК "НИИ КВОВ"</v>
      </c>
      <c r="CI239" s="27" t="str">
        <f ca="1">IFERROR(__xludf.DUMMYFUNCTION("""COMPUTED_VALUE"""),"https://zakupki.gov.ru/epz/contract/contractCard/common-info.html?reestrNumber=3500710214519000029&amp;backUrl=d0a303d8-6c58-49ff-a40e-7775ce4f6aee")</f>
        <v>https://zakupki.gov.ru/epz/contract/contractCard/common-info.html?reestrNumber=3500710214519000029&amp;backUrl=d0a303d8-6c58-49ff-a40e-7775ce4f6aee</v>
      </c>
      <c r="CJ239" s="20"/>
      <c r="CK239" s="33">
        <f ca="1">IFERROR(__xludf.DUMMYFUNCTION("""COMPUTED_VALUE"""),44103)</f>
        <v>44103</v>
      </c>
      <c r="CL239" s="20" t="str">
        <f ca="1">IFERROR(__xludf.DUMMYFUNCTION("""COMPUTED_VALUE"""),"50-1-1-3-1583-20")</f>
        <v>50-1-1-3-1583-20</v>
      </c>
      <c r="CM239" s="20"/>
      <c r="CN239" s="20"/>
      <c r="CO239" s="20"/>
      <c r="CP239" s="20"/>
      <c r="CQ239" s="20"/>
      <c r="CR239" s="20"/>
      <c r="CS239" s="20"/>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row>
    <row r="240" spans="1:123" ht="64.5" customHeight="1" x14ac:dyDescent="0.2">
      <c r="A240" s="19"/>
      <c r="B240" s="20" t="str">
        <f ca="1">IFERROR(__xludf.DUMMYFUNCTION("""COMPUTED_VALUE"""),"г.о. Кашира")</f>
        <v>г.о. Кашира</v>
      </c>
      <c r="C24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0" s="20" t="str">
        <f ca="1">IFERROR(__xludf.DUMMYFUNCTION("""COMPUTED_VALUE"""),"МинЖКХ")</f>
        <v>МинЖКХ</v>
      </c>
      <c r="E240" s="20" t="str">
        <f ca="1">IFERROR(__xludf.DUMMYFUNCTION("""COMPUTED_VALUE"""),"Строительство очисных сооружений г. Кашира д. Терново-1 (ПИР)")</f>
        <v>Строительство очисных сооружений г. Кашира д. Терново-1 (ПИР)</v>
      </c>
      <c r="F240" s="32" t="str">
        <f ca="1">IFERROR(__xludf.DUMMYFUNCTION("""COMPUTED_VALUE"""),"ОС")</f>
        <v>ОС</v>
      </c>
      <c r="G240" s="20">
        <f ca="1">IFERROR(__xludf.DUMMYFUNCTION("""COMPUTED_VALUE"""),2020)</f>
        <v>2020</v>
      </c>
      <c r="H240" s="20" t="str">
        <f ca="1">IFERROR(__xludf.DUMMYFUNCTION("""COMPUTED_VALUE"""),"ПИР")</f>
        <v>ПИР</v>
      </c>
      <c r="I240" s="20">
        <f ca="1">IFERROR(__xludf.DUMMYFUNCTION("""COMPUTED_VALUE"""),100)</f>
        <v>100</v>
      </c>
      <c r="J240" s="20" t="str">
        <f ca="1">IFERROR(__xludf.DUMMYFUNCTION("""COMPUTED_VALUE"""),"Заключение МОГЭ получено")</f>
        <v>Заключение МОГЭ получено</v>
      </c>
      <c r="K240" s="20"/>
      <c r="L240" s="20"/>
      <c r="M240" s="20"/>
      <c r="N240" s="24">
        <f ca="1">IFERROR(__xludf.DUMMYFUNCTION("""COMPUTED_VALUE"""),6900)</f>
        <v>6900</v>
      </c>
      <c r="O240" s="20"/>
      <c r="P240" s="20"/>
      <c r="Q240" s="24">
        <f ca="1">IFERROR(__xludf.DUMMYFUNCTION("""COMPUTED_VALUE"""),6555)</f>
        <v>6555</v>
      </c>
      <c r="R240" s="24">
        <f ca="1">IFERROR(__xludf.DUMMYFUNCTION("""COMPUTED_VALUE"""),345)</f>
        <v>345</v>
      </c>
      <c r="S240" s="20"/>
      <c r="T240" s="20"/>
      <c r="U240" s="24">
        <f ca="1">IFERROR(__xludf.DUMMYFUNCTION("""COMPUTED_VALUE"""),0)</f>
        <v>0</v>
      </c>
      <c r="V240" s="24">
        <f ca="1">IFERROR(__xludf.DUMMYFUNCTION("""COMPUTED_VALUE"""),0)</f>
        <v>0</v>
      </c>
      <c r="W240" s="24">
        <f ca="1">IFERROR(__xludf.DUMMYFUNCTION("""COMPUTED_VALUE"""),0)</f>
        <v>0</v>
      </c>
      <c r="X240" s="24">
        <f ca="1">IFERROR(__xludf.DUMMYFUNCTION("""COMPUTED_VALUE"""),0)</f>
        <v>0</v>
      </c>
      <c r="Y240" s="24">
        <f ca="1">IFERROR(__xludf.DUMMYFUNCTION("""COMPUTED_VALUE"""),0)</f>
        <v>0</v>
      </c>
      <c r="Z240" s="24">
        <f ca="1">IFERROR(__xludf.DUMMYFUNCTION("""COMPUTED_VALUE"""),0)</f>
        <v>0</v>
      </c>
      <c r="AA240" s="20" t="str">
        <f ca="1">IFERROR(__xludf.DUMMYFUNCTION("""COMPUTED_VALUE"""),"10 2 01 64020")</f>
        <v>10 2 01 64020</v>
      </c>
      <c r="AB240" s="20">
        <f ca="1">IFERROR(__xludf.DUMMYFUNCTION("""COMPUTED_VALUE"""),522)</f>
        <v>522</v>
      </c>
      <c r="AC240" s="20" t="str">
        <f ca="1">IFERROR(__xludf.DUMMYFUNCTION("""COMPUTED_VALUE"""),"не требуется")</f>
        <v>не требуется</v>
      </c>
      <c r="AD240" s="20" t="str">
        <f ca="1">IFERROR(__xludf.DUMMYFUNCTION("""COMPUTED_VALUE"""),"не требуется")</f>
        <v>не требуется</v>
      </c>
      <c r="AE240" s="20" t="str">
        <f ca="1">IFERROR(__xludf.DUMMYFUNCTION("""COMPUTED_VALUE"""),"не требуется")</f>
        <v>не требуется</v>
      </c>
      <c r="AF240" s="24">
        <f ca="1">IFERROR(__xludf.DUMMYFUNCTION("""COMPUTED_VALUE"""),6900)</f>
        <v>6900</v>
      </c>
      <c r="AG240" s="24">
        <f ca="1">IFERROR(__xludf.DUMMYFUNCTION("""COMPUTED_VALUE"""),0)</f>
        <v>0</v>
      </c>
      <c r="AH240" s="24">
        <f ca="1">IFERROR(__xludf.DUMMYFUNCTION("""COMPUTED_VALUE"""),0)</f>
        <v>0</v>
      </c>
      <c r="AI240" s="24">
        <f ca="1">IFERROR(__xludf.DUMMYFUNCTION("""COMPUTED_VALUE"""),6555)</f>
        <v>6555</v>
      </c>
      <c r="AJ240" s="24">
        <f ca="1">IFERROR(__xludf.DUMMYFUNCTION("""COMPUTED_VALUE"""),345)</f>
        <v>345</v>
      </c>
      <c r="AK240" s="24">
        <f ca="1">IFERROR(__xludf.DUMMYFUNCTION("""COMPUTED_VALUE"""),0)</f>
        <v>0</v>
      </c>
      <c r="AL240" s="24">
        <f ca="1">IFERROR(__xludf.DUMMYFUNCTION("""COMPUTED_VALUE"""),0)</f>
        <v>0</v>
      </c>
      <c r="AM240" s="20"/>
      <c r="AN240" s="20"/>
      <c r="AO240" s="20"/>
      <c r="AP240" s="20"/>
      <c r="AQ240" s="20"/>
      <c r="AR240" s="24">
        <f ca="1">IFERROR(__xludf.DUMMYFUNCTION("""COMPUTED_VALUE"""),0)</f>
        <v>0</v>
      </c>
      <c r="AS240" s="20"/>
      <c r="AT240" s="20"/>
      <c r="AU240" s="20"/>
      <c r="AV240" s="20"/>
      <c r="AW240" s="20"/>
      <c r="AX240" s="24">
        <f ca="1">IFERROR(__xludf.DUMMYFUNCTION("""COMPUTED_VALUE"""),6900)</f>
        <v>6900</v>
      </c>
      <c r="AY240" s="24">
        <f ca="1">IFERROR(__xludf.DUMMYFUNCTION("""COMPUTED_VALUE"""),0)</f>
        <v>0</v>
      </c>
      <c r="AZ240" s="24">
        <f ca="1">IFERROR(__xludf.DUMMYFUNCTION("""COMPUTED_VALUE"""),0)</f>
        <v>0</v>
      </c>
      <c r="BA240" s="24">
        <f ca="1">IFERROR(__xludf.DUMMYFUNCTION("""COMPUTED_VALUE"""),6555)</f>
        <v>6555</v>
      </c>
      <c r="BB240" s="24">
        <f ca="1">IFERROR(__xludf.DUMMYFUNCTION("""COMPUTED_VALUE"""),345)</f>
        <v>345</v>
      </c>
      <c r="BC240" s="20"/>
      <c r="BD240" s="24">
        <f ca="1">IFERROR(__xludf.DUMMYFUNCTION("""COMPUTED_VALUE"""),0)</f>
        <v>0</v>
      </c>
      <c r="BE240" s="24">
        <f ca="1">IFERROR(__xludf.DUMMYFUNCTION("""COMPUTED_VALUE"""),0)</f>
        <v>0</v>
      </c>
      <c r="BF240" s="24">
        <f ca="1">IFERROR(__xludf.DUMMYFUNCTION("""COMPUTED_VALUE"""),0)</f>
        <v>0</v>
      </c>
      <c r="BG240" s="24">
        <f ca="1">IFERROR(__xludf.DUMMYFUNCTION("""COMPUTED_VALUE"""),0)</f>
        <v>0</v>
      </c>
      <c r="BH240" s="24">
        <f ca="1">IFERROR(__xludf.DUMMYFUNCTION("""COMPUTED_VALUE"""),0)</f>
        <v>0</v>
      </c>
      <c r="BI240" s="20"/>
      <c r="BJ240" s="24">
        <f ca="1">IFERROR(__xludf.DUMMYFUNCTION("""COMPUTED_VALUE"""),0)</f>
        <v>0</v>
      </c>
      <c r="BK240" s="24">
        <f ca="1">IFERROR(__xludf.DUMMYFUNCTION("""COMPUTED_VALUE"""),0)</f>
        <v>0</v>
      </c>
      <c r="BL240" s="24">
        <f ca="1">IFERROR(__xludf.DUMMYFUNCTION("""COMPUTED_VALUE"""),0)</f>
        <v>0</v>
      </c>
      <c r="BM240" s="24">
        <f ca="1">IFERROR(__xludf.DUMMYFUNCTION("""COMPUTED_VALUE"""),0)</f>
        <v>0</v>
      </c>
      <c r="BN240" s="24">
        <f ca="1">IFERROR(__xludf.DUMMYFUNCTION("""COMPUTED_VALUE"""),0)</f>
        <v>0</v>
      </c>
      <c r="BO240" s="20"/>
      <c r="BP240" s="24">
        <f ca="1">IFERROR(__xludf.DUMMYFUNCTION("""COMPUTED_VALUE"""),0)</f>
        <v>0</v>
      </c>
      <c r="BQ240" s="24">
        <f ca="1">IFERROR(__xludf.DUMMYFUNCTION("""COMPUTED_VALUE"""),0)</f>
        <v>0</v>
      </c>
      <c r="BR240" s="24">
        <f ca="1">IFERROR(__xludf.DUMMYFUNCTION("""COMPUTED_VALUE"""),0)</f>
        <v>0</v>
      </c>
      <c r="BS240" s="24">
        <f ca="1">IFERROR(__xludf.DUMMYFUNCTION("""COMPUTED_VALUE"""),0)</f>
        <v>0</v>
      </c>
      <c r="BT240" s="24">
        <f ca="1">IFERROR(__xludf.DUMMYFUNCTION("""COMPUTED_VALUE"""),0)</f>
        <v>0</v>
      </c>
      <c r="BU240" s="20"/>
      <c r="BV240" s="24">
        <f ca="1">IFERROR(__xludf.DUMMYFUNCTION("""COMPUTED_VALUE"""),0)</f>
        <v>0</v>
      </c>
      <c r="BW240" s="24">
        <f ca="1">IFERROR(__xludf.DUMMYFUNCTION("""COMPUTED_VALUE"""),0)</f>
        <v>0</v>
      </c>
      <c r="BX240" s="24">
        <f ca="1">IFERROR(__xludf.DUMMYFUNCTION("""COMPUTED_VALUE"""),0)</f>
        <v>0</v>
      </c>
      <c r="BY240" s="24">
        <f ca="1">IFERROR(__xludf.DUMMYFUNCTION("""COMPUTED_VALUE"""),0)</f>
        <v>0</v>
      </c>
      <c r="BZ240" s="24">
        <f ca="1">IFERROR(__xludf.DUMMYFUNCTION("""COMPUTED_VALUE"""),0)</f>
        <v>0</v>
      </c>
      <c r="CA240" s="20"/>
      <c r="CB240" s="20" t="str">
        <f ca="1">IFERROR(__xludf.DUMMYFUNCTION("""COMPUTED_VALUE"""),"заключен")</f>
        <v>заключен</v>
      </c>
      <c r="CC240" s="25">
        <f ca="1">IFERROR(__xludf.DUMMYFUNCTION("""COMPUTED_VALUE"""),43416)</f>
        <v>43416</v>
      </c>
      <c r="CD240" s="20" t="str">
        <f ca="1">IFERROR(__xludf.DUMMYFUNCTION("""COMPUTED_VALUE"""),"0848300041018000484")</f>
        <v>0848300041018000484</v>
      </c>
      <c r="CE240" s="26">
        <f ca="1">IFERROR(__xludf.DUMMYFUNCTION("""COMPUTED_VALUE"""),43500)</f>
        <v>43500</v>
      </c>
      <c r="CF240" s="20" t="str">
        <f ca="1">IFERROR(__xludf.DUMMYFUNCTION("""COMPUTED_VALUE"""),"66/19")</f>
        <v>66/19</v>
      </c>
      <c r="CG240" s="20" t="str">
        <f ca="1">IFERROR(__xludf.DUMMYFUNCTION("""COMPUTED_VALUE"""),"6 900 000,00")</f>
        <v>6 900 000,00</v>
      </c>
      <c r="CH240" s="20" t="str">
        <f ca="1">IFERROR(__xludf.DUMMYFUNCTION("""COMPUTED_VALUE"""),"ОБЩЕСТВО С ОГРАНИЧЕННОЙ ОТВЕТСТВЕННОСТЬЮ ""МЕГА-СТРОЙ-М""")</f>
        <v>ОБЩЕСТВО С ОГРАНИЧЕННОЙ ОТВЕТСТВЕННОСТЬЮ "МЕГА-СТРОЙ-М"</v>
      </c>
      <c r="CI240" s="27" t="str">
        <f ca="1">IFERROR(__xludf.DUMMYFUNCTION("""COMPUTED_VALUE"""),"https://zakupki.gov.ru/epz/contract/contractCard/common-info.html?reestrNumber=3501900890119000022&amp;backUrl=6f1c4103-caa7-4ac3-b3d4-95c8a0bee8b3")</f>
        <v>https://zakupki.gov.ru/epz/contract/contractCard/common-info.html?reestrNumber=3501900890119000022&amp;backUrl=6f1c4103-caa7-4ac3-b3d4-95c8a0bee8b3</v>
      </c>
      <c r="CJ240" s="20"/>
      <c r="CK240" s="33">
        <f ca="1">IFERROR(__xludf.DUMMYFUNCTION("""COMPUTED_VALUE"""),44048)</f>
        <v>44048</v>
      </c>
      <c r="CL240" s="20" t="str">
        <f ca="1">IFERROR(__xludf.DUMMYFUNCTION("""COMPUTED_VALUE"""),"№50-1-1-3-1258-20 ")</f>
        <v xml:space="preserve">№50-1-1-3-1258-20 </v>
      </c>
      <c r="CM240" s="20"/>
      <c r="CN240" s="20"/>
      <c r="CO240" s="20"/>
      <c r="CP240" s="20"/>
      <c r="CQ240" s="20"/>
      <c r="CR240" s="20"/>
      <c r="CS240" s="20"/>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row>
    <row r="241" spans="1:123" ht="64.5" customHeight="1" x14ac:dyDescent="0.2">
      <c r="A241" s="19"/>
      <c r="B241" s="20" t="str">
        <f ca="1">IFERROR(__xludf.DUMMYFUNCTION("""COMPUTED_VALUE"""),"г.о. Шатура")</f>
        <v>г.о. Шатура</v>
      </c>
      <c r="C24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1" s="20" t="str">
        <f ca="1">IFERROR(__xludf.DUMMYFUNCTION("""COMPUTED_VALUE"""),"МинЖКХ")</f>
        <v>МинЖКХ</v>
      </c>
      <c r="E241" s="20" t="str">
        <f ca="1">IFERROR(__xludf.DUMMYFUNCTION("""COMPUTED_VALUE"""),"Строительство очистных сооружений,  г. Шатура, ул. Малькина Грива  (ПИР)")</f>
        <v>Строительство очистных сооружений,  г. Шатура, ул. Малькина Грива  (ПИР)</v>
      </c>
      <c r="F241" s="32" t="str">
        <f ca="1">IFERROR(__xludf.DUMMYFUNCTION("""COMPUTED_VALUE"""),"ОС")</f>
        <v>ОС</v>
      </c>
      <c r="G241" s="20">
        <f ca="1">IFERROR(__xludf.DUMMYFUNCTION("""COMPUTED_VALUE"""),2020)</f>
        <v>2020</v>
      </c>
      <c r="H241" s="20" t="str">
        <f ca="1">IFERROR(__xludf.DUMMYFUNCTION("""COMPUTED_VALUE"""),"ПИР")</f>
        <v>ПИР</v>
      </c>
      <c r="I241" s="20">
        <f ca="1">IFERROR(__xludf.DUMMYFUNCTION("""COMPUTED_VALUE"""),100)</f>
        <v>100</v>
      </c>
      <c r="J241" s="20" t="str">
        <f ca="1">IFERROR(__xludf.DUMMYFUNCTION("""COMPUTED_VALUE"""),"Заключение МОГЭ получено")</f>
        <v>Заключение МОГЭ получено</v>
      </c>
      <c r="K241" s="20"/>
      <c r="L241" s="20"/>
      <c r="M241" s="20"/>
      <c r="N241" s="24">
        <f ca="1">IFERROR(__xludf.DUMMYFUNCTION("""COMPUTED_VALUE"""),23950.5)</f>
        <v>23950.5</v>
      </c>
      <c r="O241" s="20"/>
      <c r="P241" s="20"/>
      <c r="Q241" s="24">
        <f ca="1">IFERROR(__xludf.DUMMYFUNCTION("""COMPUTED_VALUE"""),23950.49)</f>
        <v>23950.49</v>
      </c>
      <c r="R241" s="24">
        <f ca="1">IFERROR(__xludf.DUMMYFUNCTION("""COMPUTED_VALUE"""),0.01)</f>
        <v>0.01</v>
      </c>
      <c r="S241" s="20"/>
      <c r="T241" s="20"/>
      <c r="U241" s="24">
        <f ca="1">IFERROR(__xludf.DUMMYFUNCTION("""COMPUTED_VALUE"""),0)</f>
        <v>0</v>
      </c>
      <c r="V241" s="24">
        <f ca="1">IFERROR(__xludf.DUMMYFUNCTION("""COMPUTED_VALUE"""),0)</f>
        <v>0</v>
      </c>
      <c r="W241" s="24">
        <f ca="1">IFERROR(__xludf.DUMMYFUNCTION("""COMPUTED_VALUE"""),0)</f>
        <v>0</v>
      </c>
      <c r="X241" s="24">
        <f ca="1">IFERROR(__xludf.DUMMYFUNCTION("""COMPUTED_VALUE"""),0)</f>
        <v>0</v>
      </c>
      <c r="Y241" s="24">
        <f ca="1">IFERROR(__xludf.DUMMYFUNCTION("""COMPUTED_VALUE"""),0)</f>
        <v>0</v>
      </c>
      <c r="Z241" s="24">
        <f ca="1">IFERROR(__xludf.DUMMYFUNCTION("""COMPUTED_VALUE"""),0)</f>
        <v>0</v>
      </c>
      <c r="AA241" s="20" t="str">
        <f ca="1">IFERROR(__xludf.DUMMYFUNCTION("""COMPUTED_VALUE"""),"10 2 01 64020")</f>
        <v>10 2 01 64020</v>
      </c>
      <c r="AB241" s="20">
        <f ca="1">IFERROR(__xludf.DUMMYFUNCTION("""COMPUTED_VALUE"""),522)</f>
        <v>522</v>
      </c>
      <c r="AC241" s="20" t="str">
        <f ca="1">IFERROR(__xludf.DUMMYFUNCTION("""COMPUTED_VALUE"""),"не требуется")</f>
        <v>не требуется</v>
      </c>
      <c r="AD241" s="20" t="str">
        <f ca="1">IFERROR(__xludf.DUMMYFUNCTION("""COMPUTED_VALUE"""),"не требуется")</f>
        <v>не требуется</v>
      </c>
      <c r="AE241" s="20" t="str">
        <f ca="1">IFERROR(__xludf.DUMMYFUNCTION("""COMPUTED_VALUE"""),"не требуется")</f>
        <v>не требуется</v>
      </c>
      <c r="AF241" s="24">
        <f ca="1">IFERROR(__xludf.DUMMYFUNCTION("""COMPUTED_VALUE"""),23950.5)</f>
        <v>23950.5</v>
      </c>
      <c r="AG241" s="24">
        <f ca="1">IFERROR(__xludf.DUMMYFUNCTION("""COMPUTED_VALUE"""),0)</f>
        <v>0</v>
      </c>
      <c r="AH241" s="24">
        <f ca="1">IFERROR(__xludf.DUMMYFUNCTION("""COMPUTED_VALUE"""),0)</f>
        <v>0</v>
      </c>
      <c r="AI241" s="24">
        <f ca="1">IFERROR(__xludf.DUMMYFUNCTION("""COMPUTED_VALUE"""),23950.49)</f>
        <v>23950.49</v>
      </c>
      <c r="AJ241" s="24">
        <f ca="1">IFERROR(__xludf.DUMMYFUNCTION("""COMPUTED_VALUE"""),0.01)</f>
        <v>0.01</v>
      </c>
      <c r="AK241" s="24">
        <f ca="1">IFERROR(__xludf.DUMMYFUNCTION("""COMPUTED_VALUE"""),0)</f>
        <v>0</v>
      </c>
      <c r="AL241" s="24">
        <f ca="1">IFERROR(__xludf.DUMMYFUNCTION("""COMPUTED_VALUE"""),0)</f>
        <v>0</v>
      </c>
      <c r="AM241" s="20"/>
      <c r="AN241" s="20"/>
      <c r="AO241" s="20"/>
      <c r="AP241" s="20"/>
      <c r="AQ241" s="20"/>
      <c r="AR241" s="24">
        <f ca="1">IFERROR(__xludf.DUMMYFUNCTION("""COMPUTED_VALUE"""),0)</f>
        <v>0</v>
      </c>
      <c r="AS241" s="20"/>
      <c r="AT241" s="20"/>
      <c r="AU241" s="20"/>
      <c r="AV241" s="20"/>
      <c r="AW241" s="20"/>
      <c r="AX241" s="24">
        <f ca="1">IFERROR(__xludf.DUMMYFUNCTION("""COMPUTED_VALUE"""),23950.5)</f>
        <v>23950.5</v>
      </c>
      <c r="AY241" s="24">
        <f ca="1">IFERROR(__xludf.DUMMYFUNCTION("""COMPUTED_VALUE"""),0)</f>
        <v>0</v>
      </c>
      <c r="AZ241" s="24">
        <f ca="1">IFERROR(__xludf.DUMMYFUNCTION("""COMPUTED_VALUE"""),0)</f>
        <v>0</v>
      </c>
      <c r="BA241" s="24">
        <f ca="1">IFERROR(__xludf.DUMMYFUNCTION("""COMPUTED_VALUE"""),23950.49)</f>
        <v>23950.49</v>
      </c>
      <c r="BB241" s="24">
        <f ca="1">IFERROR(__xludf.DUMMYFUNCTION("""COMPUTED_VALUE"""),0.01)</f>
        <v>0.01</v>
      </c>
      <c r="BC241" s="20"/>
      <c r="BD241" s="24">
        <f ca="1">IFERROR(__xludf.DUMMYFUNCTION("""COMPUTED_VALUE"""),0)</f>
        <v>0</v>
      </c>
      <c r="BE241" s="24">
        <f ca="1">IFERROR(__xludf.DUMMYFUNCTION("""COMPUTED_VALUE"""),0)</f>
        <v>0</v>
      </c>
      <c r="BF241" s="24">
        <f ca="1">IFERROR(__xludf.DUMMYFUNCTION("""COMPUTED_VALUE"""),0)</f>
        <v>0</v>
      </c>
      <c r="BG241" s="24">
        <f ca="1">IFERROR(__xludf.DUMMYFUNCTION("""COMPUTED_VALUE"""),0)</f>
        <v>0</v>
      </c>
      <c r="BH241" s="24">
        <f ca="1">IFERROR(__xludf.DUMMYFUNCTION("""COMPUTED_VALUE"""),0)</f>
        <v>0</v>
      </c>
      <c r="BI241" s="20"/>
      <c r="BJ241" s="24">
        <f ca="1">IFERROR(__xludf.DUMMYFUNCTION("""COMPUTED_VALUE"""),0)</f>
        <v>0</v>
      </c>
      <c r="BK241" s="24">
        <f ca="1">IFERROR(__xludf.DUMMYFUNCTION("""COMPUTED_VALUE"""),0)</f>
        <v>0</v>
      </c>
      <c r="BL241" s="24">
        <f ca="1">IFERROR(__xludf.DUMMYFUNCTION("""COMPUTED_VALUE"""),0)</f>
        <v>0</v>
      </c>
      <c r="BM241" s="24">
        <f ca="1">IFERROR(__xludf.DUMMYFUNCTION("""COMPUTED_VALUE"""),0)</f>
        <v>0</v>
      </c>
      <c r="BN241" s="24">
        <f ca="1">IFERROR(__xludf.DUMMYFUNCTION("""COMPUTED_VALUE"""),0)</f>
        <v>0</v>
      </c>
      <c r="BO241" s="20"/>
      <c r="BP241" s="24">
        <f ca="1">IFERROR(__xludf.DUMMYFUNCTION("""COMPUTED_VALUE"""),0)</f>
        <v>0</v>
      </c>
      <c r="BQ241" s="24">
        <f ca="1">IFERROR(__xludf.DUMMYFUNCTION("""COMPUTED_VALUE"""),0)</f>
        <v>0</v>
      </c>
      <c r="BR241" s="24">
        <f ca="1">IFERROR(__xludf.DUMMYFUNCTION("""COMPUTED_VALUE"""),0)</f>
        <v>0</v>
      </c>
      <c r="BS241" s="24">
        <f ca="1">IFERROR(__xludf.DUMMYFUNCTION("""COMPUTED_VALUE"""),0)</f>
        <v>0</v>
      </c>
      <c r="BT241" s="24">
        <f ca="1">IFERROR(__xludf.DUMMYFUNCTION("""COMPUTED_VALUE"""),0)</f>
        <v>0</v>
      </c>
      <c r="BU241" s="20"/>
      <c r="BV241" s="24">
        <f ca="1">IFERROR(__xludf.DUMMYFUNCTION("""COMPUTED_VALUE"""),0)</f>
        <v>0</v>
      </c>
      <c r="BW241" s="24">
        <f ca="1">IFERROR(__xludf.DUMMYFUNCTION("""COMPUTED_VALUE"""),0)</f>
        <v>0</v>
      </c>
      <c r="BX241" s="24">
        <f ca="1">IFERROR(__xludf.DUMMYFUNCTION("""COMPUTED_VALUE"""),0)</f>
        <v>0</v>
      </c>
      <c r="BY241" s="24">
        <f ca="1">IFERROR(__xludf.DUMMYFUNCTION("""COMPUTED_VALUE"""),0)</f>
        <v>0</v>
      </c>
      <c r="BZ241" s="24">
        <f ca="1">IFERROR(__xludf.DUMMYFUNCTION("""COMPUTED_VALUE"""),0)</f>
        <v>0</v>
      </c>
      <c r="CA241" s="20"/>
      <c r="CB241" s="20" t="str">
        <f ca="1">IFERROR(__xludf.DUMMYFUNCTION("""COMPUTED_VALUE"""),"заключен")</f>
        <v>заключен</v>
      </c>
      <c r="CC241" s="26">
        <f ca="1">IFERROR(__xludf.DUMMYFUNCTION("""COMPUTED_VALUE"""),43599)</f>
        <v>43599</v>
      </c>
      <c r="CD241" s="20" t="str">
        <f ca="1">IFERROR(__xludf.DUMMYFUNCTION("""COMPUTED_VALUE"""),"0848300060019000073")</f>
        <v>0848300060019000073</v>
      </c>
      <c r="CE241" s="26">
        <f ca="1">IFERROR(__xludf.DUMMYFUNCTION("""COMPUTED_VALUE"""),43648)</f>
        <v>43648</v>
      </c>
      <c r="CF241" s="20" t="str">
        <f ca="1">IFERROR(__xludf.DUMMYFUNCTION("""COMPUTED_VALUE"""),"08483000600190000730001")</f>
        <v>08483000600190000730001</v>
      </c>
      <c r="CG241" s="20" t="str">
        <f ca="1">IFERROR(__xludf.DUMMYFUNCTION("""COMPUTED_VALUE"""),"25 211 000,00")</f>
        <v>25 211 000,00</v>
      </c>
      <c r="CH241" s="20" t="str">
        <f ca="1">IFERROR(__xludf.DUMMYFUNCTION("""COMPUTED_VALUE"""),"АО ""ГК ""ЕКС""")</f>
        <v>АО "ГК "ЕКС"</v>
      </c>
      <c r="CI241" s="27" t="str">
        <f ca="1">IFERROR(__xludf.DUMMYFUNCTION("""COMPUTED_VALUE"""),"https://zakupki.gov.ru/epz/contract/contractCard/common-info.html?reestrNumber=3504900333019000147&amp;backUrl=bc47a9b1-d95e-4949-b76f-b9a34a70ddea")</f>
        <v>https://zakupki.gov.ru/epz/contract/contractCard/common-info.html?reestrNumber=3504900333019000147&amp;backUrl=bc47a9b1-d95e-4949-b76f-b9a34a70ddea</v>
      </c>
      <c r="CJ241" s="33">
        <f ca="1">IFERROR(__xludf.DUMMYFUNCTION("""COMPUTED_VALUE"""),43741)</f>
        <v>43741</v>
      </c>
      <c r="CK241" s="33">
        <f ca="1">IFERROR(__xludf.DUMMYFUNCTION("""COMPUTED_VALUE"""),43829)</f>
        <v>43829</v>
      </c>
      <c r="CL241" s="20" t="str">
        <f ca="1">IFERROR(__xludf.DUMMYFUNCTION("""COMPUTED_VALUE"""),"50-1-13-1860-19")</f>
        <v>50-1-13-1860-19</v>
      </c>
      <c r="CM241" s="20"/>
      <c r="CN241" s="20"/>
      <c r="CO241" s="20"/>
      <c r="CP241" s="20"/>
      <c r="CQ241" s="20"/>
      <c r="CR241" s="20"/>
      <c r="CS241" s="20"/>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row>
    <row r="242" spans="1:123" ht="64.5" customHeight="1" x14ac:dyDescent="0.2">
      <c r="A242" s="19"/>
      <c r="B242" s="20" t="str">
        <f ca="1">IFERROR(__xludf.DUMMYFUNCTION("""COMPUTED_VALUE"""),"г.о. Истра")</f>
        <v>г.о. Истра</v>
      </c>
      <c r="C24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2" s="20" t="str">
        <f ca="1">IFERROR(__xludf.DUMMYFUNCTION("""COMPUTED_VALUE"""),"МинЖКХ")</f>
        <v>МинЖКХ</v>
      </c>
      <c r="E242" s="20" t="str">
        <f ca="1">IFERROR(__xludf.DUMMYFUNCTION("""COMPUTED_VALUE"""),"Комплексные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f>
        <v>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v>
      </c>
      <c r="F242" s="32" t="str">
        <f ca="1">IFERROR(__xludf.DUMMYFUNCTION("""COMPUTED_VALUE"""),"ОС")</f>
        <v>ОС</v>
      </c>
      <c r="G242" s="20" t="str">
        <f ca="1">IFERROR(__xludf.DUMMYFUNCTION("""COMPUTED_VALUE"""),"2020-2021")</f>
        <v>2020-2021</v>
      </c>
      <c r="H242" s="20" t="str">
        <f ca="1">IFERROR(__xludf.DUMMYFUNCTION("""COMPUTED_VALUE"""),"СМР")</f>
        <v>СМР</v>
      </c>
      <c r="I242" s="20">
        <f ca="1">IFERROR(__xludf.DUMMYFUNCTION("""COMPUTED_VALUE"""),3)</f>
        <v>3</v>
      </c>
      <c r="J242" s="20" t="str">
        <f ca="1">IFERROR(__xludf.DUMMYFUNCTION("""COMPUTED_VALUE"""),"СМР в соответсии с графиком. Направление ПСД по подводящему коллектору в МОГЭ до 16.11.2020. ")</f>
        <v xml:space="preserve">СМР в соответсии с графиком. Направление ПСД по подводящему коллектору в МОГЭ до 16.11.2020. </v>
      </c>
      <c r="K242" s="20"/>
      <c r="L242" s="20"/>
      <c r="M242" s="20"/>
      <c r="N242" s="24">
        <f ca="1">IFERROR(__xludf.DUMMYFUNCTION("""COMPUTED_VALUE"""),30827.66)</f>
        <v>30827.66</v>
      </c>
      <c r="O242" s="20"/>
      <c r="P242" s="24">
        <f ca="1">IFERROR(__xludf.DUMMYFUNCTION("""COMPUTED_VALUE"""),30827.66)</f>
        <v>30827.66</v>
      </c>
      <c r="Q242" s="20"/>
      <c r="R242" s="20"/>
      <c r="S242" s="20"/>
      <c r="T242" s="20" t="str">
        <f ca="1">IFERROR(__xludf.DUMMYFUNCTION("""COMPUTED_VALUE"""),"Направлена заявка на опалту 11.11.2020. Акт от УТНКР с замечаниями.  ")</f>
        <v xml:space="preserve">Направлена заявка на опалту 11.11.2020. Акт от УТНКР с замечаниями.  </v>
      </c>
      <c r="U242" s="24">
        <f ca="1">IFERROR(__xludf.DUMMYFUNCTION("""COMPUTED_VALUE"""),29191.77)</f>
        <v>29191.77</v>
      </c>
      <c r="V242" s="24">
        <f ca="1">IFERROR(__xludf.DUMMYFUNCTION("""COMPUTED_VALUE"""),0)</f>
        <v>0</v>
      </c>
      <c r="W242" s="24">
        <f ca="1">IFERROR(__xludf.DUMMYFUNCTION("""COMPUTED_VALUE"""),11005.88)</f>
        <v>11005.88</v>
      </c>
      <c r="X242" s="24">
        <f ca="1">IFERROR(__xludf.DUMMYFUNCTION("""COMPUTED_VALUE"""),0)</f>
        <v>0</v>
      </c>
      <c r="Y242" s="24">
        <f ca="1">IFERROR(__xludf.DUMMYFUNCTION("""COMPUTED_VALUE"""),18185.89)</f>
        <v>18185.89</v>
      </c>
      <c r="Z242" s="24">
        <f ca="1">IFERROR(__xludf.DUMMYFUNCTION("""COMPUTED_VALUE"""),0)</f>
        <v>0</v>
      </c>
      <c r="AA242" s="20" t="str">
        <f ca="1">IFERROR(__xludf.DUMMYFUNCTION("""COMPUTED_VALUE"""),"10 2 01 64020")</f>
        <v>10 2 01 64020</v>
      </c>
      <c r="AB242" s="20">
        <f ca="1">IFERROR(__xludf.DUMMYFUNCTION("""COMPUTED_VALUE"""),522)</f>
        <v>522</v>
      </c>
      <c r="AC242" s="20" t="str">
        <f ca="1">IFERROR(__xludf.DUMMYFUNCTION("""COMPUTED_VALUE"""),"да")</f>
        <v>да</v>
      </c>
      <c r="AD242" s="20"/>
      <c r="AE242" s="20" t="str">
        <f ca="1">IFERROR(__xludf.DUMMYFUNCTION("""COMPUTED_VALUE"""),"№ RU50-8-16359-2020. от 19.08.2020.")</f>
        <v>№ RU50-8-16359-2020. от 19.08.2020.</v>
      </c>
      <c r="AF242" s="24">
        <f ca="1">IFERROR(__xludf.DUMMYFUNCTION("""COMPUTED_VALUE"""),235831.17)</f>
        <v>235831.17</v>
      </c>
      <c r="AG242" s="24">
        <f ca="1">IFERROR(__xludf.DUMMYFUNCTION("""COMPUTED_VALUE"""),0)</f>
        <v>0</v>
      </c>
      <c r="AH242" s="24">
        <f ca="1">IFERROR(__xludf.DUMMYFUNCTION("""COMPUTED_VALUE"""),164374.32)</f>
        <v>164374.32</v>
      </c>
      <c r="AI242" s="24">
        <f ca="1">IFERROR(__xludf.DUMMYFUNCTION("""COMPUTED_VALUE"""),0)</f>
        <v>0</v>
      </c>
      <c r="AJ242" s="24">
        <f ca="1">IFERROR(__xludf.DUMMYFUNCTION("""COMPUTED_VALUE"""),71456.85)</f>
        <v>71456.850000000006</v>
      </c>
      <c r="AK242" s="24">
        <f ca="1">IFERROR(__xludf.DUMMYFUNCTION("""COMPUTED_VALUE"""),0)</f>
        <v>0</v>
      </c>
      <c r="AL242" s="24">
        <f ca="1">IFERROR(__xludf.DUMMYFUNCTION("""COMPUTED_VALUE"""),0)</f>
        <v>0</v>
      </c>
      <c r="AM242" s="20"/>
      <c r="AN242" s="20"/>
      <c r="AO242" s="20"/>
      <c r="AP242" s="20"/>
      <c r="AQ242" s="20"/>
      <c r="AR242" s="24">
        <f ca="1">IFERROR(__xludf.DUMMYFUNCTION("""COMPUTED_VALUE"""),0)</f>
        <v>0</v>
      </c>
      <c r="AS242" s="20"/>
      <c r="AT242" s="20"/>
      <c r="AU242" s="20"/>
      <c r="AV242" s="20"/>
      <c r="AW242" s="20"/>
      <c r="AX242" s="24">
        <f ca="1">IFERROR(__xludf.DUMMYFUNCTION("""COMPUTED_VALUE"""),60019.43)</f>
        <v>60019.43</v>
      </c>
      <c r="AY242" s="24">
        <f ca="1">IFERROR(__xludf.DUMMYFUNCTION("""COMPUTED_VALUE"""),0)</f>
        <v>0</v>
      </c>
      <c r="AZ242" s="24">
        <f ca="1">IFERROR(__xludf.DUMMYFUNCTION("""COMPUTED_VALUE"""),41833.54)</f>
        <v>41833.54</v>
      </c>
      <c r="BA242" s="24">
        <f ca="1">IFERROR(__xludf.DUMMYFUNCTION("""COMPUTED_VALUE"""),0)</f>
        <v>0</v>
      </c>
      <c r="BB242" s="24">
        <f ca="1">IFERROR(__xludf.DUMMYFUNCTION("""COMPUTED_VALUE"""),18185.89)</f>
        <v>18185.89</v>
      </c>
      <c r="BC242" s="20"/>
      <c r="BD242" s="24">
        <f ca="1">IFERROR(__xludf.DUMMYFUNCTION("""COMPUTED_VALUE"""),175811.74)</f>
        <v>175811.74</v>
      </c>
      <c r="BE242" s="24">
        <f ca="1">IFERROR(__xludf.DUMMYFUNCTION("""COMPUTED_VALUE"""),0)</f>
        <v>0</v>
      </c>
      <c r="BF242" s="24">
        <f ca="1">IFERROR(__xludf.DUMMYFUNCTION("""COMPUTED_VALUE"""),122540.78)</f>
        <v>122540.78</v>
      </c>
      <c r="BG242" s="24">
        <f ca="1">IFERROR(__xludf.DUMMYFUNCTION("""COMPUTED_VALUE"""),0)</f>
        <v>0</v>
      </c>
      <c r="BH242" s="24">
        <f ca="1">IFERROR(__xludf.DUMMYFUNCTION("""COMPUTED_VALUE"""),53270.96)</f>
        <v>53270.96</v>
      </c>
      <c r="BI242" s="20"/>
      <c r="BJ242" s="24">
        <f ca="1">IFERROR(__xludf.DUMMYFUNCTION("""COMPUTED_VALUE"""),0)</f>
        <v>0</v>
      </c>
      <c r="BK242" s="24">
        <f ca="1">IFERROR(__xludf.DUMMYFUNCTION("""COMPUTED_VALUE"""),0)</f>
        <v>0</v>
      </c>
      <c r="BL242" s="24">
        <f ca="1">IFERROR(__xludf.DUMMYFUNCTION("""COMPUTED_VALUE"""),0)</f>
        <v>0</v>
      </c>
      <c r="BM242" s="24">
        <f ca="1">IFERROR(__xludf.DUMMYFUNCTION("""COMPUTED_VALUE"""),0)</f>
        <v>0</v>
      </c>
      <c r="BN242" s="24">
        <f ca="1">IFERROR(__xludf.DUMMYFUNCTION("""COMPUTED_VALUE"""),0)</f>
        <v>0</v>
      </c>
      <c r="BO242" s="24">
        <f ca="1">IFERROR(__xludf.DUMMYFUNCTION("""COMPUTED_VALUE"""),0)</f>
        <v>0</v>
      </c>
      <c r="BP242" s="24">
        <f ca="1">IFERROR(__xludf.DUMMYFUNCTION("""COMPUTED_VALUE"""),0)</f>
        <v>0</v>
      </c>
      <c r="BQ242" s="24">
        <f ca="1">IFERROR(__xludf.DUMMYFUNCTION("""COMPUTED_VALUE"""),0)</f>
        <v>0</v>
      </c>
      <c r="BR242" s="24">
        <f ca="1">IFERROR(__xludf.DUMMYFUNCTION("""COMPUTED_VALUE"""),0)</f>
        <v>0</v>
      </c>
      <c r="BS242" s="24">
        <f ca="1">IFERROR(__xludf.DUMMYFUNCTION("""COMPUTED_VALUE"""),0)</f>
        <v>0</v>
      </c>
      <c r="BT242" s="24">
        <f ca="1">IFERROR(__xludf.DUMMYFUNCTION("""COMPUTED_VALUE"""),0)</f>
        <v>0</v>
      </c>
      <c r="BU242" s="20"/>
      <c r="BV242" s="24">
        <f ca="1">IFERROR(__xludf.DUMMYFUNCTION("""COMPUTED_VALUE"""),0)</f>
        <v>0</v>
      </c>
      <c r="BW242" s="24">
        <f ca="1">IFERROR(__xludf.DUMMYFUNCTION("""COMPUTED_VALUE"""),0)</f>
        <v>0</v>
      </c>
      <c r="BX242" s="24">
        <f ca="1">IFERROR(__xludf.DUMMYFUNCTION("""COMPUTED_VALUE"""),0)</f>
        <v>0</v>
      </c>
      <c r="BY242" s="24">
        <f ca="1">IFERROR(__xludf.DUMMYFUNCTION("""COMPUTED_VALUE"""),0)</f>
        <v>0</v>
      </c>
      <c r="BZ242" s="24">
        <f ca="1">IFERROR(__xludf.DUMMYFUNCTION("""COMPUTED_VALUE"""),0)</f>
        <v>0</v>
      </c>
      <c r="CA242" s="20"/>
      <c r="CB242" s="20"/>
      <c r="CC242" s="20"/>
      <c r="CD242" s="20"/>
      <c r="CE242" s="20"/>
      <c r="CF242" s="20"/>
      <c r="CG242" s="20"/>
      <c r="CH242" s="20"/>
      <c r="CI242" s="20"/>
      <c r="CJ242" s="33">
        <f ca="1">IFERROR(__xludf.DUMMYFUNCTION("""COMPUTED_VALUE"""),43801)</f>
        <v>43801</v>
      </c>
      <c r="CK242" s="33">
        <f ca="1">IFERROR(__xludf.DUMMYFUNCTION("""COMPUTED_VALUE"""),43917)</f>
        <v>43917</v>
      </c>
      <c r="CL242" s="20" t="str">
        <f ca="1">IFERROR(__xludf.DUMMYFUNCTION("""COMPUTED_VALUE"""),"50-1-1-3-0571-20")</f>
        <v>50-1-1-3-0571-20</v>
      </c>
      <c r="CM242" s="26">
        <f ca="1">IFERROR(__xludf.DUMMYFUNCTION("""COMPUTED_VALUE"""),44029)</f>
        <v>44029</v>
      </c>
      <c r="CN242" s="20" t="str">
        <f ca="1">IFERROR(__xludf.DUMMYFUNCTION("""COMPUTED_VALUE"""),"0148200005420000248")</f>
        <v>0148200005420000248</v>
      </c>
      <c r="CO242" s="26">
        <f ca="1">IFERROR(__xludf.DUMMYFUNCTION("""COMPUTED_VALUE"""),44060)</f>
        <v>44060</v>
      </c>
      <c r="CP242" s="20" t="str">
        <f ca="1">IFERROR(__xludf.DUMMYFUNCTION("""COMPUTED_VALUE"""),"0148200005420000248")</f>
        <v>0148200005420000248</v>
      </c>
      <c r="CQ242" s="20">
        <f ca="1">IFERROR(__xludf.DUMMYFUNCTION("""COMPUTED_VALUE"""),219900000)</f>
        <v>219900000</v>
      </c>
      <c r="CR242" s="20" t="str">
        <f ca="1">IFERROR(__xludf.DUMMYFUNCTION("""COMPUTED_VALUE"""),"ООО ""АСК-38""")</f>
        <v>ООО "АСК-38"</v>
      </c>
      <c r="CS242" s="27" t="str">
        <f ca="1">IFERROR(__xludf.DUMMYFUNCTION("""COMPUTED_VALUE"""),"https://zakupki.gov.ru/epz/contract/contractCard/common-info.html?reestrNumber=3501701576620000143&amp;backUrl=38bd1910-caa9-487a-88a7-65cfd43f77f1")</f>
        <v>https://zakupki.gov.ru/epz/contract/contractCard/common-info.html?reestrNumber=3501701576620000143&amp;backUrl=38bd1910-caa9-487a-88a7-65cfd43f77f1</v>
      </c>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row>
    <row r="243" spans="1:123" ht="64.5" customHeight="1" x14ac:dyDescent="0.2">
      <c r="A243" s="19"/>
      <c r="B243" s="20" t="str">
        <f ca="1">IFERROR(__xludf.DUMMYFUNCTION("""COMPUTED_VALUE"""),"г.о. Мытищи")</f>
        <v>г.о. Мытищи</v>
      </c>
      <c r="C24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3" s="20" t="str">
        <f ca="1">IFERROR(__xludf.DUMMYFUNCTION("""COMPUTED_VALUE"""),"МинЖКХ")</f>
        <v>МинЖКХ</v>
      </c>
      <c r="E243" s="20" t="str">
        <f ca="1">IFERROR(__xludf.DUMMYFUNCTION("""COMPUTED_VALUE"""),"Реконструкция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f>
        <v>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v>
      </c>
      <c r="F243" s="32" t="str">
        <f ca="1">IFERROR(__xludf.DUMMYFUNCTION("""COMPUTED_VALUE"""),"ОС")</f>
        <v>ОС</v>
      </c>
      <c r="G243" s="20" t="str">
        <f ca="1">IFERROR(__xludf.DUMMYFUNCTION("""COMPUTED_VALUE"""),"2020-2021")</f>
        <v>2020-2021</v>
      </c>
      <c r="H243" s="20" t="str">
        <f ca="1">IFERROR(__xludf.DUMMYFUNCTION("""COMPUTED_VALUE"""),"СМР")</f>
        <v>СМР</v>
      </c>
      <c r="I243" s="20">
        <f ca="1">IFERROR(__xludf.DUMMYFUNCTION("""COMPUTED_VALUE"""),3)</f>
        <v>3</v>
      </c>
      <c r="J243" s="20" t="str">
        <f ca="1">IFERROR(__xludf.DUMMYFUNCTION("""COMPUTED_VALUE"""),"Работы в соотвествии с графиком. Отсутсвует РС. ")</f>
        <v xml:space="preserve">Работы в соотвествии с графиком. Отсутсвует РС. </v>
      </c>
      <c r="K243" s="20"/>
      <c r="L243" s="20"/>
      <c r="M243" s="20"/>
      <c r="N243" s="24">
        <f ca="1">IFERROR(__xludf.DUMMYFUNCTION("""COMPUTED_VALUE"""),61556.48)</f>
        <v>61556.480000000003</v>
      </c>
      <c r="O243" s="20"/>
      <c r="P243" s="24">
        <f ca="1">IFERROR(__xludf.DUMMYFUNCTION("""COMPUTED_VALUE"""),61556.48)</f>
        <v>61556.480000000003</v>
      </c>
      <c r="Q243" s="20"/>
      <c r="R243" s="20"/>
      <c r="S243" s="20"/>
      <c r="T243" s="20" t="str">
        <f ca="1">IFERROR(__xludf.DUMMYFUNCTION("""COMPUTED_VALUE"""),"Необходимы изменения софинансиования , заключения допсолгашениий")</f>
        <v>Необходимы изменения софинансиования , заключения допсолгашениий</v>
      </c>
      <c r="U243" s="24">
        <f ca="1">IFERROR(__xludf.DUMMYFUNCTION("""COMPUTED_VALUE"""),37308.6699999999)</f>
        <v>37308.669999999896</v>
      </c>
      <c r="V243" s="24">
        <f ca="1">IFERROR(__xludf.DUMMYFUNCTION("""COMPUTED_VALUE"""),0)</f>
        <v>0</v>
      </c>
      <c r="W243" s="24">
        <f ca="1">IFERROR(__xludf.DUMMYFUNCTION("""COMPUTED_VALUE"""),234.239999999997)</f>
        <v>234.239999999997</v>
      </c>
      <c r="X243" s="24">
        <f ca="1">IFERROR(__xludf.DUMMYFUNCTION("""COMPUTED_VALUE"""),0)</f>
        <v>0</v>
      </c>
      <c r="Y243" s="24">
        <f ca="1">IFERROR(__xludf.DUMMYFUNCTION("""COMPUTED_VALUE"""),37074.43)</f>
        <v>37074.43</v>
      </c>
      <c r="Z243" s="24">
        <f ca="1">IFERROR(__xludf.DUMMYFUNCTION("""COMPUTED_VALUE"""),0)</f>
        <v>0</v>
      </c>
      <c r="AA243" s="20" t="str">
        <f ca="1">IFERROR(__xludf.DUMMYFUNCTION("""COMPUTED_VALUE"""),"10 2 01 64020")</f>
        <v>10 2 01 64020</v>
      </c>
      <c r="AB243" s="20">
        <f ca="1">IFERROR(__xludf.DUMMYFUNCTION("""COMPUTED_VALUE"""),522)</f>
        <v>522</v>
      </c>
      <c r="AC243" s="20" t="str">
        <f ca="1">IFERROR(__xludf.DUMMYFUNCTION("""COMPUTED_VALUE"""),"нет")</f>
        <v>нет</v>
      </c>
      <c r="AD243" s="20" t="str">
        <f ca="1">IFERROR(__xludf.DUMMYFUNCTION("""COMPUTED_VALUE"""),"ноябрь 2020")</f>
        <v>ноябрь 2020</v>
      </c>
      <c r="AE243" s="20"/>
      <c r="AF243" s="24">
        <f ca="1">IFERROR(__xludf.DUMMYFUNCTION("""COMPUTED_VALUE"""),329548.98)</f>
        <v>329548.98</v>
      </c>
      <c r="AG243" s="24">
        <f ca="1">IFERROR(__xludf.DUMMYFUNCTION("""COMPUTED_VALUE"""),0)</f>
        <v>0</v>
      </c>
      <c r="AH243" s="24">
        <f ca="1">IFERROR(__xludf.DUMMYFUNCTION("""COMPUTED_VALUE"""),205967.72)</f>
        <v>205967.72</v>
      </c>
      <c r="AI243" s="24">
        <f ca="1">IFERROR(__xludf.DUMMYFUNCTION("""COMPUTED_VALUE"""),0)</f>
        <v>0</v>
      </c>
      <c r="AJ243" s="24">
        <f ca="1">IFERROR(__xludf.DUMMYFUNCTION("""COMPUTED_VALUE"""),123581.26)</f>
        <v>123581.26</v>
      </c>
      <c r="AK243" s="24">
        <f ca="1">IFERROR(__xludf.DUMMYFUNCTION("""COMPUTED_VALUE"""),0)</f>
        <v>0</v>
      </c>
      <c r="AL243" s="24">
        <f ca="1">IFERROR(__xludf.DUMMYFUNCTION("""COMPUTED_VALUE"""),0)</f>
        <v>0</v>
      </c>
      <c r="AM243" s="20"/>
      <c r="AN243" s="20"/>
      <c r="AO243" s="20"/>
      <c r="AP243" s="20"/>
      <c r="AQ243" s="20"/>
      <c r="AR243" s="24">
        <f ca="1">IFERROR(__xludf.DUMMYFUNCTION("""COMPUTED_VALUE"""),0)</f>
        <v>0</v>
      </c>
      <c r="AS243" s="20"/>
      <c r="AT243" s="20"/>
      <c r="AU243" s="20"/>
      <c r="AV243" s="20"/>
      <c r="AW243" s="20"/>
      <c r="AX243" s="24">
        <f ca="1">IFERROR(__xludf.DUMMYFUNCTION("""COMPUTED_VALUE"""),98865.15)</f>
        <v>98865.15</v>
      </c>
      <c r="AY243" s="24">
        <f ca="1">IFERROR(__xludf.DUMMYFUNCTION("""COMPUTED_VALUE"""),0)</f>
        <v>0</v>
      </c>
      <c r="AZ243" s="24">
        <f ca="1">IFERROR(__xludf.DUMMYFUNCTION("""COMPUTED_VALUE"""),61790.72)</f>
        <v>61790.720000000001</v>
      </c>
      <c r="BA243" s="24">
        <f ca="1">IFERROR(__xludf.DUMMYFUNCTION("""COMPUTED_VALUE"""),0)</f>
        <v>0</v>
      </c>
      <c r="BB243" s="24">
        <f ca="1">IFERROR(__xludf.DUMMYFUNCTION("""COMPUTED_VALUE"""),37074.43)</f>
        <v>37074.43</v>
      </c>
      <c r="BC243" s="20"/>
      <c r="BD243" s="24">
        <f ca="1">IFERROR(__xludf.DUMMYFUNCTION("""COMPUTED_VALUE"""),230683.83)</f>
        <v>230683.83</v>
      </c>
      <c r="BE243" s="24">
        <f ca="1">IFERROR(__xludf.DUMMYFUNCTION("""COMPUTED_VALUE"""),0)</f>
        <v>0</v>
      </c>
      <c r="BF243" s="24">
        <f ca="1">IFERROR(__xludf.DUMMYFUNCTION("""COMPUTED_VALUE"""),144177)</f>
        <v>144177</v>
      </c>
      <c r="BG243" s="24">
        <f ca="1">IFERROR(__xludf.DUMMYFUNCTION("""COMPUTED_VALUE"""),0)</f>
        <v>0</v>
      </c>
      <c r="BH243" s="24">
        <f ca="1">IFERROR(__xludf.DUMMYFUNCTION("""COMPUTED_VALUE"""),86506.83)</f>
        <v>86506.83</v>
      </c>
      <c r="BI243" s="20"/>
      <c r="BJ243" s="24">
        <f ca="1">IFERROR(__xludf.DUMMYFUNCTION("""COMPUTED_VALUE"""),0)</f>
        <v>0</v>
      </c>
      <c r="BK243" s="24">
        <f ca="1">IFERROR(__xludf.DUMMYFUNCTION("""COMPUTED_VALUE"""),0)</f>
        <v>0</v>
      </c>
      <c r="BL243" s="24">
        <f ca="1">IFERROR(__xludf.DUMMYFUNCTION("""COMPUTED_VALUE"""),0)</f>
        <v>0</v>
      </c>
      <c r="BM243" s="24">
        <f ca="1">IFERROR(__xludf.DUMMYFUNCTION("""COMPUTED_VALUE"""),0)</f>
        <v>0</v>
      </c>
      <c r="BN243" s="24">
        <f ca="1">IFERROR(__xludf.DUMMYFUNCTION("""COMPUTED_VALUE"""),0)</f>
        <v>0</v>
      </c>
      <c r="BO243" s="20"/>
      <c r="BP243" s="24">
        <f ca="1">IFERROR(__xludf.DUMMYFUNCTION("""COMPUTED_VALUE"""),0)</f>
        <v>0</v>
      </c>
      <c r="BQ243" s="24">
        <f ca="1">IFERROR(__xludf.DUMMYFUNCTION("""COMPUTED_VALUE"""),0)</f>
        <v>0</v>
      </c>
      <c r="BR243" s="24">
        <f ca="1">IFERROR(__xludf.DUMMYFUNCTION("""COMPUTED_VALUE"""),0)</f>
        <v>0</v>
      </c>
      <c r="BS243" s="24">
        <f ca="1">IFERROR(__xludf.DUMMYFUNCTION("""COMPUTED_VALUE"""),0)</f>
        <v>0</v>
      </c>
      <c r="BT243" s="24">
        <f ca="1">IFERROR(__xludf.DUMMYFUNCTION("""COMPUTED_VALUE"""),0)</f>
        <v>0</v>
      </c>
      <c r="BU243" s="20"/>
      <c r="BV243" s="24">
        <f ca="1">IFERROR(__xludf.DUMMYFUNCTION("""COMPUTED_VALUE"""),0)</f>
        <v>0</v>
      </c>
      <c r="BW243" s="24">
        <f ca="1">IFERROR(__xludf.DUMMYFUNCTION("""COMPUTED_VALUE"""),0)</f>
        <v>0</v>
      </c>
      <c r="BX243" s="24">
        <f ca="1">IFERROR(__xludf.DUMMYFUNCTION("""COMPUTED_VALUE"""),0)</f>
        <v>0</v>
      </c>
      <c r="BY243" s="24">
        <f ca="1">IFERROR(__xludf.DUMMYFUNCTION("""COMPUTED_VALUE"""),0)</f>
        <v>0</v>
      </c>
      <c r="BZ243" s="24">
        <f ca="1">IFERROR(__xludf.DUMMYFUNCTION("""COMPUTED_VALUE"""),0)</f>
        <v>0</v>
      </c>
      <c r="CA243" s="20"/>
      <c r="CB243" s="20"/>
      <c r="CC243" s="20"/>
      <c r="CD243" s="20"/>
      <c r="CE243" s="20"/>
      <c r="CF243" s="20"/>
      <c r="CG243" s="20"/>
      <c r="CH243" s="20"/>
      <c r="CI243" s="20"/>
      <c r="CJ243" s="20"/>
      <c r="CK243" s="20"/>
      <c r="CL243" s="20"/>
      <c r="CM243" s="26">
        <f ca="1">IFERROR(__xludf.DUMMYFUNCTION("""COMPUTED_VALUE"""),44053)</f>
        <v>44053</v>
      </c>
      <c r="CN243" s="20" t="str">
        <f ca="1">IFERROR(__xludf.DUMMYFUNCTION("""COMPUTED_VALUE"""),"0148200005420000267")</f>
        <v>0148200005420000267</v>
      </c>
      <c r="CO243" s="26">
        <f ca="1">IFERROR(__xludf.DUMMYFUNCTION("""COMPUTED_VALUE"""),44075)</f>
        <v>44075</v>
      </c>
      <c r="CP243" s="20" t="str">
        <f ca="1">IFERROR(__xludf.DUMMYFUNCTION("""COMPUTED_VALUE"""),"37/20")</f>
        <v>37/20</v>
      </c>
      <c r="CQ243" s="20">
        <f ca="1">IFERROR(__xludf.DUMMYFUNCTION("""COMPUTED_VALUE"""),311768685.26)</f>
        <v>311768685.25999999</v>
      </c>
      <c r="CR243" s="20" t="str">
        <f ca="1">IFERROR(__xludf.DUMMYFUNCTION("""COMPUTED_VALUE"""),"ОБЩЕСТВО С ОГРАНИЧЕННОЙ ОТВЕТСТВЕННОСТЬЮ ""МОСКОВСКАЯ ОБЛАСТНАЯ ИНЖЕНЕРНАЯ КОМПАНИЯ""")</f>
        <v>ОБЩЕСТВО С ОГРАНИЧЕННОЙ ОТВЕТСТВЕННОСТЬЮ "МОСКОВСКАЯ ОБЛАСТНАЯ ИНЖЕНЕРНАЯ КОМПАНИЯ"</v>
      </c>
      <c r="CS243" s="27" t="str">
        <f ca="1">IFERROR(__xludf.DUMMYFUNCTION("""COMPUTED_VALUE"""),"https://zakupki.gov.ru/epz/contract/contractCard/common-info.html?reestrNumber=3502916894320000040&amp;backUrl=6ef416ae-c495-4bc8-add5-d6d1fe2c3d2c")</f>
        <v>https://zakupki.gov.ru/epz/contract/contractCard/common-info.html?reestrNumber=3502916894320000040&amp;backUrl=6ef416ae-c495-4bc8-add5-d6d1fe2c3d2c</v>
      </c>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row>
    <row r="244" spans="1:123" ht="64.5" customHeight="1" x14ac:dyDescent="0.2">
      <c r="A244" s="19"/>
      <c r="B244" s="20" t="str">
        <f ca="1">IFERROR(__xludf.DUMMYFUNCTION("""COMPUTED_VALUE"""),"г.о. Зарайск")</f>
        <v>г.о. Зарайск</v>
      </c>
      <c r="C244"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4" s="20" t="str">
        <f ca="1">IFERROR(__xludf.DUMMYFUNCTION("""COMPUTED_VALUE"""),"МинЖКХ")</f>
        <v>МинЖКХ</v>
      </c>
      <c r="E244" s="20" t="str">
        <f ca="1">IFERROR(__xludf.DUMMYFUNCTION("""COMPUTED_VALUE"""),"Аварийно-восстановительные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f>
        <v>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v>
      </c>
      <c r="F244" s="32" t="str">
        <f ca="1">IFERROR(__xludf.DUMMYFUNCTION("""COMPUTED_VALUE"""),"ОС")</f>
        <v>ОС</v>
      </c>
      <c r="G244" s="20">
        <f ca="1">IFERROR(__xludf.DUMMYFUNCTION("""COMPUTED_VALUE"""),2020)</f>
        <v>2020</v>
      </c>
      <c r="H244" s="20" t="str">
        <f ca="1">IFERROR(__xludf.DUMMYFUNCTION("""COMPUTED_VALUE"""),"СМР")</f>
        <v>СМР</v>
      </c>
      <c r="I244" s="20">
        <f ca="1">IFERROR(__xludf.DUMMYFUNCTION("""COMPUTED_VALUE"""),100)</f>
        <v>100</v>
      </c>
      <c r="J244" s="20" t="str">
        <f ca="1">IFERROR(__xludf.DUMMYFUNCTION("""COMPUTED_VALUE"""),"работы завршены и оплачены")</f>
        <v>работы завршены и оплачены</v>
      </c>
      <c r="K244" s="20"/>
      <c r="L244" s="20"/>
      <c r="M244" s="20"/>
      <c r="N244" s="24">
        <f ca="1">IFERROR(__xludf.DUMMYFUNCTION("""COMPUTED_VALUE"""),35860.76)</f>
        <v>35860.76</v>
      </c>
      <c r="O244" s="20"/>
      <c r="P244" s="24">
        <f ca="1">IFERROR(__xludf.DUMMYFUNCTION("""COMPUTED_VALUE"""),35860.76)</f>
        <v>35860.76</v>
      </c>
      <c r="Q244" s="20"/>
      <c r="R244" s="20"/>
      <c r="S244" s="20"/>
      <c r="T244" s="20"/>
      <c r="U244" s="24">
        <f ca="1">IFERROR(__xludf.DUMMYFUNCTION("""COMPUTED_VALUE"""),4780.72)</f>
        <v>4780.72</v>
      </c>
      <c r="V244" s="24">
        <f ca="1">IFERROR(__xludf.DUMMYFUNCTION("""COMPUTED_VALUE"""),0)</f>
        <v>0</v>
      </c>
      <c r="W244" s="24">
        <f ca="1">IFERROR(__xludf.DUMMYFUNCTION("""COMPUTED_VALUE"""),1570.23999999999)</f>
        <v>1570.23999999999</v>
      </c>
      <c r="X244" s="24">
        <f ca="1">IFERROR(__xludf.DUMMYFUNCTION("""COMPUTED_VALUE"""),0)</f>
        <v>0</v>
      </c>
      <c r="Y244" s="24">
        <f ca="1">IFERROR(__xludf.DUMMYFUNCTION("""COMPUTED_VALUE"""),3210.48)</f>
        <v>3210.48</v>
      </c>
      <c r="Z244" s="24">
        <f ca="1">IFERROR(__xludf.DUMMYFUNCTION("""COMPUTED_VALUE"""),0)</f>
        <v>0</v>
      </c>
      <c r="AA244" s="20" t="str">
        <f ca="1">IFERROR(__xludf.DUMMYFUNCTION("""COMPUTED_VALUE"""),"10 2 01 60350")</f>
        <v>10 2 01 60350</v>
      </c>
      <c r="AB244" s="20">
        <f ca="1">IFERROR(__xludf.DUMMYFUNCTION("""COMPUTED_VALUE"""),522)</f>
        <v>522</v>
      </c>
      <c r="AC244" s="20" t="str">
        <f ca="1">IFERROR(__xludf.DUMMYFUNCTION("""COMPUTED_VALUE"""),"не требуется")</f>
        <v>не требуется</v>
      </c>
      <c r="AD244" s="20" t="str">
        <f ca="1">IFERROR(__xludf.DUMMYFUNCTION("""COMPUTED_VALUE"""),"не требуется")</f>
        <v>не требуется</v>
      </c>
      <c r="AE244" s="20" t="str">
        <f ca="1">IFERROR(__xludf.DUMMYFUNCTION("""COMPUTED_VALUE"""),"не требуется")</f>
        <v>не требуется</v>
      </c>
      <c r="AF244" s="24">
        <f ca="1">IFERROR(__xludf.DUMMYFUNCTION("""COMPUTED_VALUE"""),40641.48)</f>
        <v>40641.480000000003</v>
      </c>
      <c r="AG244" s="24">
        <f ca="1">IFERROR(__xludf.DUMMYFUNCTION("""COMPUTED_VALUE"""),0)</f>
        <v>0</v>
      </c>
      <c r="AH244" s="24">
        <f ca="1">IFERROR(__xludf.DUMMYFUNCTION("""COMPUTED_VALUE"""),37431)</f>
        <v>37431</v>
      </c>
      <c r="AI244" s="24">
        <f ca="1">IFERROR(__xludf.DUMMYFUNCTION("""COMPUTED_VALUE"""),0)</f>
        <v>0</v>
      </c>
      <c r="AJ244" s="24">
        <f ca="1">IFERROR(__xludf.DUMMYFUNCTION("""COMPUTED_VALUE"""),3210.48)</f>
        <v>3210.48</v>
      </c>
      <c r="AK244" s="24">
        <f ca="1">IFERROR(__xludf.DUMMYFUNCTION("""COMPUTED_VALUE"""),0)</f>
        <v>0</v>
      </c>
      <c r="AL244" s="24">
        <f ca="1">IFERROR(__xludf.DUMMYFUNCTION("""COMPUTED_VALUE"""),0)</f>
        <v>0</v>
      </c>
      <c r="AM244" s="20"/>
      <c r="AN244" s="20"/>
      <c r="AO244" s="20"/>
      <c r="AP244" s="20"/>
      <c r="AQ244" s="20"/>
      <c r="AR244" s="24">
        <f ca="1">IFERROR(__xludf.DUMMYFUNCTION("""COMPUTED_VALUE"""),0)</f>
        <v>0</v>
      </c>
      <c r="AS244" s="20"/>
      <c r="AT244" s="20"/>
      <c r="AU244" s="20"/>
      <c r="AV244" s="20"/>
      <c r="AW244" s="20"/>
      <c r="AX244" s="24">
        <f ca="1">IFERROR(__xludf.DUMMYFUNCTION("""COMPUTED_VALUE"""),40641.48)</f>
        <v>40641.480000000003</v>
      </c>
      <c r="AY244" s="24">
        <f ca="1">IFERROR(__xludf.DUMMYFUNCTION("""COMPUTED_VALUE"""),0)</f>
        <v>0</v>
      </c>
      <c r="AZ244" s="24">
        <f ca="1">IFERROR(__xludf.DUMMYFUNCTION("""COMPUTED_VALUE"""),37431)</f>
        <v>37431</v>
      </c>
      <c r="BA244" s="24">
        <f ca="1">IFERROR(__xludf.DUMMYFUNCTION("""COMPUTED_VALUE"""),0)</f>
        <v>0</v>
      </c>
      <c r="BB244" s="24">
        <f ca="1">IFERROR(__xludf.DUMMYFUNCTION("""COMPUTED_VALUE"""),3210.48)</f>
        <v>3210.48</v>
      </c>
      <c r="BC244" s="20"/>
      <c r="BD244" s="24">
        <f ca="1">IFERROR(__xludf.DUMMYFUNCTION("""COMPUTED_VALUE"""),0)</f>
        <v>0</v>
      </c>
      <c r="BE244" s="24">
        <f ca="1">IFERROR(__xludf.DUMMYFUNCTION("""COMPUTED_VALUE"""),0)</f>
        <v>0</v>
      </c>
      <c r="BF244" s="24">
        <f ca="1">IFERROR(__xludf.DUMMYFUNCTION("""COMPUTED_VALUE"""),0)</f>
        <v>0</v>
      </c>
      <c r="BG244" s="24">
        <f ca="1">IFERROR(__xludf.DUMMYFUNCTION("""COMPUTED_VALUE"""),0)</f>
        <v>0</v>
      </c>
      <c r="BH244" s="24">
        <f ca="1">IFERROR(__xludf.DUMMYFUNCTION("""COMPUTED_VALUE"""),0)</f>
        <v>0</v>
      </c>
      <c r="BI244" s="20"/>
      <c r="BJ244" s="24">
        <f ca="1">IFERROR(__xludf.DUMMYFUNCTION("""COMPUTED_VALUE"""),0)</f>
        <v>0</v>
      </c>
      <c r="BK244" s="24">
        <f ca="1">IFERROR(__xludf.DUMMYFUNCTION("""COMPUTED_VALUE"""),0)</f>
        <v>0</v>
      </c>
      <c r="BL244" s="24">
        <f ca="1">IFERROR(__xludf.DUMMYFUNCTION("""COMPUTED_VALUE"""),0)</f>
        <v>0</v>
      </c>
      <c r="BM244" s="24">
        <f ca="1">IFERROR(__xludf.DUMMYFUNCTION("""COMPUTED_VALUE"""),0)</f>
        <v>0</v>
      </c>
      <c r="BN244" s="24">
        <f ca="1">IFERROR(__xludf.DUMMYFUNCTION("""COMPUTED_VALUE"""),0)</f>
        <v>0</v>
      </c>
      <c r="BO244" s="20"/>
      <c r="BP244" s="24">
        <f ca="1">IFERROR(__xludf.DUMMYFUNCTION("""COMPUTED_VALUE"""),0)</f>
        <v>0</v>
      </c>
      <c r="BQ244" s="24">
        <f ca="1">IFERROR(__xludf.DUMMYFUNCTION("""COMPUTED_VALUE"""),0)</f>
        <v>0</v>
      </c>
      <c r="BR244" s="24">
        <f ca="1">IFERROR(__xludf.DUMMYFUNCTION("""COMPUTED_VALUE"""),0)</f>
        <v>0</v>
      </c>
      <c r="BS244" s="24">
        <f ca="1">IFERROR(__xludf.DUMMYFUNCTION("""COMPUTED_VALUE"""),0)</f>
        <v>0</v>
      </c>
      <c r="BT244" s="24">
        <f ca="1">IFERROR(__xludf.DUMMYFUNCTION("""COMPUTED_VALUE"""),0)</f>
        <v>0</v>
      </c>
      <c r="BU244" s="20"/>
      <c r="BV244" s="24">
        <f ca="1">IFERROR(__xludf.DUMMYFUNCTION("""COMPUTED_VALUE"""),0)</f>
        <v>0</v>
      </c>
      <c r="BW244" s="24">
        <f ca="1">IFERROR(__xludf.DUMMYFUNCTION("""COMPUTED_VALUE"""),0)</f>
        <v>0</v>
      </c>
      <c r="BX244" s="24">
        <f ca="1">IFERROR(__xludf.DUMMYFUNCTION("""COMPUTED_VALUE"""),0)</f>
        <v>0</v>
      </c>
      <c r="BY244" s="24">
        <f ca="1">IFERROR(__xludf.DUMMYFUNCTION("""COMPUTED_VALUE"""),0)</f>
        <v>0</v>
      </c>
      <c r="BZ244" s="24">
        <f ca="1">IFERROR(__xludf.DUMMYFUNCTION("""COMPUTED_VALUE"""),0)</f>
        <v>0</v>
      </c>
      <c r="CA244" s="20"/>
      <c r="CB244" s="20"/>
      <c r="CC244" s="20"/>
      <c r="CD244" s="20"/>
      <c r="CE244" s="20"/>
      <c r="CF244" s="20"/>
      <c r="CG244" s="20"/>
      <c r="CH244" s="20"/>
      <c r="CI244" s="20"/>
      <c r="CJ244" s="20"/>
      <c r="CK244" s="33">
        <f ca="1">IFERROR(__xludf.DUMMYFUNCTION("""COMPUTED_VALUE"""),44112)</f>
        <v>44112</v>
      </c>
      <c r="CL244" s="20"/>
      <c r="CM244" s="20"/>
      <c r="CN244" s="20"/>
      <c r="CO244" s="20"/>
      <c r="CP244" s="20"/>
      <c r="CQ244" s="20"/>
      <c r="CR244" s="20"/>
      <c r="CS244" s="20"/>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row>
    <row r="245" spans="1:123" ht="64.5" hidden="1" customHeight="1" x14ac:dyDescent="0.2">
      <c r="A245" s="19"/>
      <c r="B245" s="20" t="str">
        <f ca="1">IFERROR(__xludf.DUMMYFUNCTION("""COMPUTED_VALUE"""),"г.о. Фряново")</f>
        <v>г.о. Фряново</v>
      </c>
      <c r="C245"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5" s="20" t="str">
        <f ca="1">IFERROR(__xludf.DUMMYFUNCTION("""COMPUTED_VALUE"""),"МинЖКХ")</f>
        <v>МинЖКХ</v>
      </c>
      <c r="E245" s="20" t="str">
        <f ca="1">IFERROR(__xludf.DUMMYFUNCTION("""COMPUTED_VALUE"""),"Капитальный ремонт очистных сооружений канализации пос. Фряново, г.о. Щелково производительностью 3000 тыс. м3/сут. (в т.ч. ПИР)")</f>
        <v>Капитальный ремонт очистных сооружений канализации пос. Фряново, г.о. Щелково производительностью 3000 тыс. м3/сут. (в т.ч. ПИР)</v>
      </c>
      <c r="F245" s="32" t="str">
        <f ca="1">IFERROR(__xludf.DUMMYFUNCTION("""COMPUTED_VALUE"""),"ОС")</f>
        <v>ОС</v>
      </c>
      <c r="G245" s="20" t="str">
        <f ca="1">IFERROR(__xludf.DUMMYFUNCTION("""COMPUTED_VALUE"""),"2021-2023")</f>
        <v>2021-2023</v>
      </c>
      <c r="H245" s="20" t="str">
        <f ca="1">IFERROR(__xludf.DUMMYFUNCTION("""COMPUTED_VALUE"""),"СМР")</f>
        <v>СМР</v>
      </c>
      <c r="I245" s="20"/>
      <c r="J245" s="20"/>
      <c r="K245" s="20"/>
      <c r="L245" s="20"/>
      <c r="M245" s="20"/>
      <c r="N245" s="24">
        <f ca="1">IFERROR(__xludf.DUMMYFUNCTION("""COMPUTED_VALUE"""),0)</f>
        <v>0</v>
      </c>
      <c r="O245" s="20"/>
      <c r="P245" s="20"/>
      <c r="Q245" s="20"/>
      <c r="R245" s="20"/>
      <c r="S245" s="20"/>
      <c r="T245" s="20"/>
      <c r="U245" s="24">
        <f ca="1">IFERROR(__xludf.DUMMYFUNCTION("""COMPUTED_VALUE"""),0)</f>
        <v>0</v>
      </c>
      <c r="V245" s="24">
        <f ca="1">IFERROR(__xludf.DUMMYFUNCTION("""COMPUTED_VALUE"""),0)</f>
        <v>0</v>
      </c>
      <c r="W245" s="24">
        <f ca="1">IFERROR(__xludf.DUMMYFUNCTION("""COMPUTED_VALUE"""),0)</f>
        <v>0</v>
      </c>
      <c r="X245" s="24">
        <f ca="1">IFERROR(__xludf.DUMMYFUNCTION("""COMPUTED_VALUE"""),0)</f>
        <v>0</v>
      </c>
      <c r="Y245" s="24">
        <f ca="1">IFERROR(__xludf.DUMMYFUNCTION("""COMPUTED_VALUE"""),0)</f>
        <v>0</v>
      </c>
      <c r="Z245" s="24">
        <f ca="1">IFERROR(__xludf.DUMMYFUNCTION("""COMPUTED_VALUE"""),0)</f>
        <v>0</v>
      </c>
      <c r="AA245" s="20" t="str">
        <f ca="1">IFERROR(__xludf.DUMMYFUNCTION("""COMPUTED_VALUE"""),"10 2 01 60350")</f>
        <v>10 2 01 60350</v>
      </c>
      <c r="AB245" s="20">
        <f ca="1">IFERROR(__xludf.DUMMYFUNCTION("""COMPUTED_VALUE"""),522)</f>
        <v>522</v>
      </c>
      <c r="AC245" s="20" t="str">
        <f ca="1">IFERROR(__xludf.DUMMYFUNCTION("""COMPUTED_VALUE"""),"нет")</f>
        <v>нет</v>
      </c>
      <c r="AD245" s="20" t="str">
        <f ca="1">IFERROR(__xludf.DUMMYFUNCTION("""COMPUTED_VALUE"""),"нет")</f>
        <v>нет</v>
      </c>
      <c r="AE245" s="20" t="str">
        <f ca="1">IFERROR(__xludf.DUMMYFUNCTION("""COMPUTED_VALUE"""),"нет")</f>
        <v>нет</v>
      </c>
      <c r="AF245" s="24">
        <f ca="1">IFERROR(__xludf.DUMMYFUNCTION("""COMPUTED_VALUE"""),289190.52)</f>
        <v>289190.52</v>
      </c>
      <c r="AG245" s="24">
        <f ca="1">IFERROR(__xludf.DUMMYFUNCTION("""COMPUTED_VALUE"""),0)</f>
        <v>0</v>
      </c>
      <c r="AH245" s="24">
        <f ca="1">IFERROR(__xludf.DUMMYFUNCTION("""COMPUTED_VALUE"""),274731)</f>
        <v>274731</v>
      </c>
      <c r="AI245" s="24">
        <f ca="1">IFERROR(__xludf.DUMMYFUNCTION("""COMPUTED_VALUE"""),0)</f>
        <v>0</v>
      </c>
      <c r="AJ245" s="24">
        <f ca="1">IFERROR(__xludf.DUMMYFUNCTION("""COMPUTED_VALUE"""),14459.52)</f>
        <v>14459.52</v>
      </c>
      <c r="AK245" s="24">
        <f ca="1">IFERROR(__xludf.DUMMYFUNCTION("""COMPUTED_VALUE"""),0)</f>
        <v>0</v>
      </c>
      <c r="AL245" s="24">
        <f ca="1">IFERROR(__xludf.DUMMYFUNCTION("""COMPUTED_VALUE"""),0)</f>
        <v>0</v>
      </c>
      <c r="AM245" s="20"/>
      <c r="AN245" s="20"/>
      <c r="AO245" s="20"/>
      <c r="AP245" s="20"/>
      <c r="AQ245" s="20"/>
      <c r="AR245" s="24">
        <f ca="1">IFERROR(__xludf.DUMMYFUNCTION("""COMPUTED_VALUE"""),0)</f>
        <v>0</v>
      </c>
      <c r="AS245" s="20"/>
      <c r="AT245" s="20"/>
      <c r="AU245" s="20"/>
      <c r="AV245" s="20"/>
      <c r="AW245" s="20"/>
      <c r="AX245" s="24">
        <f ca="1">IFERROR(__xludf.DUMMYFUNCTION("""COMPUTED_VALUE"""),0)</f>
        <v>0</v>
      </c>
      <c r="AY245" s="24">
        <f ca="1">IFERROR(__xludf.DUMMYFUNCTION("""COMPUTED_VALUE"""),0)</f>
        <v>0</v>
      </c>
      <c r="AZ245" s="24">
        <f ca="1">IFERROR(__xludf.DUMMYFUNCTION("""COMPUTED_VALUE"""),0)</f>
        <v>0</v>
      </c>
      <c r="BA245" s="24">
        <f ca="1">IFERROR(__xludf.DUMMYFUNCTION("""COMPUTED_VALUE"""),0)</f>
        <v>0</v>
      </c>
      <c r="BB245" s="24">
        <f ca="1">IFERROR(__xludf.DUMMYFUNCTION("""COMPUTED_VALUE"""),0)</f>
        <v>0</v>
      </c>
      <c r="BC245" s="20"/>
      <c r="BD245" s="24">
        <f ca="1">IFERROR(__xludf.DUMMYFUNCTION("""COMPUTED_VALUE"""),14956.84)</f>
        <v>14956.84</v>
      </c>
      <c r="BE245" s="24">
        <f ca="1">IFERROR(__xludf.DUMMYFUNCTION("""COMPUTED_VALUE"""),0)</f>
        <v>0</v>
      </c>
      <c r="BF245" s="24">
        <f ca="1">IFERROR(__xludf.DUMMYFUNCTION("""COMPUTED_VALUE"""),14209)</f>
        <v>14209</v>
      </c>
      <c r="BG245" s="24">
        <f ca="1">IFERROR(__xludf.DUMMYFUNCTION("""COMPUTED_VALUE"""),0)</f>
        <v>0</v>
      </c>
      <c r="BH245" s="24">
        <f ca="1">IFERROR(__xludf.DUMMYFUNCTION("""COMPUTED_VALUE"""),747.84)</f>
        <v>747.84</v>
      </c>
      <c r="BI245" s="20"/>
      <c r="BJ245" s="24">
        <f ca="1">IFERROR(__xludf.DUMMYFUNCTION("""COMPUTED_VALUE"""),109693.68)</f>
        <v>109693.68</v>
      </c>
      <c r="BK245" s="24">
        <f ca="1">IFERROR(__xludf.DUMMYFUNCTION("""COMPUTED_VALUE"""),0)</f>
        <v>0</v>
      </c>
      <c r="BL245" s="24">
        <f ca="1">IFERROR(__xludf.DUMMYFUNCTION("""COMPUTED_VALUE"""),104209)</f>
        <v>104209</v>
      </c>
      <c r="BM245" s="24">
        <f ca="1">IFERROR(__xludf.DUMMYFUNCTION("""COMPUTED_VALUE"""),0)</f>
        <v>0</v>
      </c>
      <c r="BN245" s="24">
        <f ca="1">IFERROR(__xludf.DUMMYFUNCTION("""COMPUTED_VALUE"""),5484.68)</f>
        <v>5484.68</v>
      </c>
      <c r="BO245" s="20"/>
      <c r="BP245" s="24">
        <f ca="1">IFERROR(__xludf.DUMMYFUNCTION("""COMPUTED_VALUE"""),164540)</f>
        <v>164540</v>
      </c>
      <c r="BQ245" s="24">
        <f ca="1">IFERROR(__xludf.DUMMYFUNCTION("""COMPUTED_VALUE"""),0)</f>
        <v>0</v>
      </c>
      <c r="BR245" s="24">
        <f ca="1">IFERROR(__xludf.DUMMYFUNCTION("""COMPUTED_VALUE"""),156313)</f>
        <v>156313</v>
      </c>
      <c r="BS245" s="24">
        <f ca="1">IFERROR(__xludf.DUMMYFUNCTION("""COMPUTED_VALUE"""),0)</f>
        <v>0</v>
      </c>
      <c r="BT245" s="24">
        <f ca="1">IFERROR(__xludf.DUMMYFUNCTION("""COMPUTED_VALUE"""),8227)</f>
        <v>8227</v>
      </c>
      <c r="BU245" s="20"/>
      <c r="BV245" s="24">
        <f ca="1">IFERROR(__xludf.DUMMYFUNCTION("""COMPUTED_VALUE"""),0)</f>
        <v>0</v>
      </c>
      <c r="BW245" s="24">
        <f ca="1">IFERROR(__xludf.DUMMYFUNCTION("""COMPUTED_VALUE"""),0)</f>
        <v>0</v>
      </c>
      <c r="BX245" s="24">
        <f ca="1">IFERROR(__xludf.DUMMYFUNCTION("""COMPUTED_VALUE"""),0)</f>
        <v>0</v>
      </c>
      <c r="BY245" s="24">
        <f ca="1">IFERROR(__xludf.DUMMYFUNCTION("""COMPUTED_VALUE"""),0)</f>
        <v>0</v>
      </c>
      <c r="BZ245" s="24">
        <f ca="1">IFERROR(__xludf.DUMMYFUNCTION("""COMPUTED_VALUE"""),0)</f>
        <v>0</v>
      </c>
      <c r="CA245" s="20"/>
      <c r="CB245" s="20"/>
      <c r="CC245" s="20"/>
      <c r="CD245" s="20"/>
      <c r="CE245" s="20"/>
      <c r="CF245" s="20"/>
      <c r="CG245" s="20"/>
      <c r="CH245" s="20"/>
      <c r="CI245" s="20"/>
      <c r="CJ245" s="20"/>
      <c r="CK245" s="20"/>
      <c r="CL245" s="20"/>
      <c r="CM245" s="20"/>
      <c r="CN245" s="20"/>
      <c r="CO245" s="20"/>
      <c r="CP245" s="20"/>
      <c r="CQ245" s="20"/>
      <c r="CR245" s="20"/>
      <c r="CS245" s="20"/>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row>
    <row r="246" spans="1:123" ht="64.5" customHeight="1" x14ac:dyDescent="0.2">
      <c r="A246" s="19"/>
      <c r="B246" s="20" t="str">
        <f ca="1">IFERROR(__xludf.DUMMYFUNCTION("""COMPUTED_VALUE"""),"г.о. Рошаль")</f>
        <v>г.о. Рошаль</v>
      </c>
      <c r="C246"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6" s="20" t="str">
        <f ca="1">IFERROR(__xludf.DUMMYFUNCTION("""COMPUTED_VALUE"""),"МинЖКХ")</f>
        <v>МинЖКХ</v>
      </c>
      <c r="E246" s="20" t="str">
        <f ca="1">IFERROR(__xludf.DUMMYFUNCTION("""COMPUTED_VALUE"""),"Приобретение, монтаж и ввод в эксплуатацию 2-х воздуходувок на очистных сооружениях в г. Рошаль г.о. Шатура")</f>
        <v>Приобретение, монтаж и ввод в эксплуатацию 2-х воздуходувок на очистных сооружениях в г. Рошаль г.о. Шатура</v>
      </c>
      <c r="F246" s="32" t="str">
        <f ca="1">IFERROR(__xludf.DUMMYFUNCTION("""COMPUTED_VALUE"""),"ОС")</f>
        <v>ОС</v>
      </c>
      <c r="G246" s="20">
        <f ca="1">IFERROR(__xludf.DUMMYFUNCTION("""COMPUTED_VALUE"""),2020)</f>
        <v>2020</v>
      </c>
      <c r="H246" s="20" t="str">
        <f ca="1">IFERROR(__xludf.DUMMYFUNCTION("""COMPUTED_VALUE"""),"СМР")</f>
        <v>СМР</v>
      </c>
      <c r="I246" s="20">
        <f ca="1">IFERROR(__xludf.DUMMYFUNCTION("""COMPUTED_VALUE"""),0)</f>
        <v>0</v>
      </c>
      <c r="J246" s="20" t="str">
        <f ca="1">IFERROR(__xludf.DUMMYFUNCTION("""COMPUTED_VALUE"""),"согласование конкурсной документации")</f>
        <v>согласование конкурсной документации</v>
      </c>
      <c r="K246" s="20"/>
      <c r="L246" s="20"/>
      <c r="M246" s="20"/>
      <c r="N246" s="24">
        <f ca="1">IFERROR(__xludf.DUMMYFUNCTION("""COMPUTED_VALUE"""),0)</f>
        <v>0</v>
      </c>
      <c r="O246" s="20"/>
      <c r="P246" s="24">
        <f ca="1">IFERROR(__xludf.DUMMYFUNCTION("""COMPUTED_VALUE"""),0)</f>
        <v>0</v>
      </c>
      <c r="Q246" s="20"/>
      <c r="R246" s="20"/>
      <c r="S246" s="20"/>
      <c r="T246" s="20" t="str">
        <f ca="1">IFERROR(__xludf.DUMMYFUNCTION("""COMPUTED_VALUE"""),"Направлены замечания по конкурсной документации. Исправленный комплект документов повторно не направлен. В законе о бюджете и ГП указаны разные получатели субсидий (Шатура и Рошаль). ")</f>
        <v xml:space="preserve">Направлены замечания по конкурсной документации. Исправленный комплект документов повторно не направлен. В законе о бюджете и ГП указаны разные получатели субсидий (Шатура и Рошаль). </v>
      </c>
      <c r="U246" s="24">
        <f ca="1">IFERROR(__xludf.DUMMYFUNCTION("""COMPUTED_VALUE"""),3000)</f>
        <v>3000</v>
      </c>
      <c r="V246" s="24">
        <f ca="1">IFERROR(__xludf.DUMMYFUNCTION("""COMPUTED_VALUE"""),0)</f>
        <v>0</v>
      </c>
      <c r="W246" s="24">
        <f ca="1">IFERROR(__xludf.DUMMYFUNCTION("""COMPUTED_VALUE"""),0)</f>
        <v>0</v>
      </c>
      <c r="X246" s="24">
        <f ca="1">IFERROR(__xludf.DUMMYFUNCTION("""COMPUTED_VALUE"""),2820)</f>
        <v>2820</v>
      </c>
      <c r="Y246" s="24">
        <f ca="1">IFERROR(__xludf.DUMMYFUNCTION("""COMPUTED_VALUE"""),180)</f>
        <v>180</v>
      </c>
      <c r="Z246" s="24">
        <f ca="1">IFERROR(__xludf.DUMMYFUNCTION("""COMPUTED_VALUE"""),0)</f>
        <v>0</v>
      </c>
      <c r="AA246" s="20" t="str">
        <f ca="1">IFERROR(__xludf.DUMMYFUNCTION("""COMPUTED_VALUE"""),"10 2 01 60350")</f>
        <v>10 2 01 60350</v>
      </c>
      <c r="AB246" s="20">
        <f ca="1">IFERROR(__xludf.DUMMYFUNCTION("""COMPUTED_VALUE"""),522)</f>
        <v>522</v>
      </c>
      <c r="AC246" s="20" t="str">
        <f ca="1">IFERROR(__xludf.DUMMYFUNCTION("""COMPUTED_VALUE"""),"не треубется")</f>
        <v>не треубется</v>
      </c>
      <c r="AD246" s="20" t="str">
        <f ca="1">IFERROR(__xludf.DUMMYFUNCTION("""COMPUTED_VALUE"""),"не треубется")</f>
        <v>не треубется</v>
      </c>
      <c r="AE246" s="20" t="str">
        <f ca="1">IFERROR(__xludf.DUMMYFUNCTION("""COMPUTED_VALUE"""),"не треубется")</f>
        <v>не треубется</v>
      </c>
      <c r="AF246" s="24">
        <f ca="1">IFERROR(__xludf.DUMMYFUNCTION("""COMPUTED_VALUE"""),3000)</f>
        <v>3000</v>
      </c>
      <c r="AG246" s="24">
        <f ca="1">IFERROR(__xludf.DUMMYFUNCTION("""COMPUTED_VALUE"""),0)</f>
        <v>0</v>
      </c>
      <c r="AH246" s="24">
        <f ca="1">IFERROR(__xludf.DUMMYFUNCTION("""COMPUTED_VALUE"""),0)</f>
        <v>0</v>
      </c>
      <c r="AI246" s="24">
        <f ca="1">IFERROR(__xludf.DUMMYFUNCTION("""COMPUTED_VALUE"""),2820)</f>
        <v>2820</v>
      </c>
      <c r="AJ246" s="24">
        <f ca="1">IFERROR(__xludf.DUMMYFUNCTION("""COMPUTED_VALUE"""),180)</f>
        <v>180</v>
      </c>
      <c r="AK246" s="24">
        <f ca="1">IFERROR(__xludf.DUMMYFUNCTION("""COMPUTED_VALUE"""),0)</f>
        <v>0</v>
      </c>
      <c r="AL246" s="24">
        <f ca="1">IFERROR(__xludf.DUMMYFUNCTION("""COMPUTED_VALUE"""),0)</f>
        <v>0</v>
      </c>
      <c r="AM246" s="20"/>
      <c r="AN246" s="20"/>
      <c r="AO246" s="20"/>
      <c r="AP246" s="20"/>
      <c r="AQ246" s="20"/>
      <c r="AR246" s="24">
        <f ca="1">IFERROR(__xludf.DUMMYFUNCTION("""COMPUTED_VALUE"""),0)</f>
        <v>0</v>
      </c>
      <c r="AS246" s="20"/>
      <c r="AT246" s="20"/>
      <c r="AU246" s="20"/>
      <c r="AV246" s="20"/>
      <c r="AW246" s="20"/>
      <c r="AX246" s="24">
        <f ca="1">IFERROR(__xludf.DUMMYFUNCTION("""COMPUTED_VALUE"""),3000)</f>
        <v>3000</v>
      </c>
      <c r="AY246" s="24">
        <f ca="1">IFERROR(__xludf.DUMMYFUNCTION("""COMPUTED_VALUE"""),0)</f>
        <v>0</v>
      </c>
      <c r="AZ246" s="24">
        <f ca="1">IFERROR(__xludf.DUMMYFUNCTION("""COMPUTED_VALUE"""),0)</f>
        <v>0</v>
      </c>
      <c r="BA246" s="24">
        <f ca="1">IFERROR(__xludf.DUMMYFUNCTION("""COMPUTED_VALUE"""),2820)</f>
        <v>2820</v>
      </c>
      <c r="BB246" s="24">
        <f ca="1">IFERROR(__xludf.DUMMYFUNCTION("""COMPUTED_VALUE"""),180)</f>
        <v>180</v>
      </c>
      <c r="BC246" s="20"/>
      <c r="BD246" s="24">
        <f ca="1">IFERROR(__xludf.DUMMYFUNCTION("""COMPUTED_VALUE"""),0)</f>
        <v>0</v>
      </c>
      <c r="BE246" s="24">
        <f ca="1">IFERROR(__xludf.DUMMYFUNCTION("""COMPUTED_VALUE"""),0)</f>
        <v>0</v>
      </c>
      <c r="BF246" s="24">
        <f ca="1">IFERROR(__xludf.DUMMYFUNCTION("""COMPUTED_VALUE"""),0)</f>
        <v>0</v>
      </c>
      <c r="BG246" s="24">
        <f ca="1">IFERROR(__xludf.DUMMYFUNCTION("""COMPUTED_VALUE"""),0)</f>
        <v>0</v>
      </c>
      <c r="BH246" s="24">
        <f ca="1">IFERROR(__xludf.DUMMYFUNCTION("""COMPUTED_VALUE"""),0)</f>
        <v>0</v>
      </c>
      <c r="BI246" s="20"/>
      <c r="BJ246" s="24">
        <f ca="1">IFERROR(__xludf.DUMMYFUNCTION("""COMPUTED_VALUE"""),0)</f>
        <v>0</v>
      </c>
      <c r="BK246" s="24">
        <f ca="1">IFERROR(__xludf.DUMMYFUNCTION("""COMPUTED_VALUE"""),0)</f>
        <v>0</v>
      </c>
      <c r="BL246" s="24">
        <f ca="1">IFERROR(__xludf.DUMMYFUNCTION("""COMPUTED_VALUE"""),0)</f>
        <v>0</v>
      </c>
      <c r="BM246" s="24">
        <f ca="1">IFERROR(__xludf.DUMMYFUNCTION("""COMPUTED_VALUE"""),0)</f>
        <v>0</v>
      </c>
      <c r="BN246" s="24">
        <f ca="1">IFERROR(__xludf.DUMMYFUNCTION("""COMPUTED_VALUE"""),0)</f>
        <v>0</v>
      </c>
      <c r="BO246" s="20"/>
      <c r="BP246" s="24">
        <f ca="1">IFERROR(__xludf.DUMMYFUNCTION("""COMPUTED_VALUE"""),0)</f>
        <v>0</v>
      </c>
      <c r="BQ246" s="24">
        <f ca="1">IFERROR(__xludf.DUMMYFUNCTION("""COMPUTED_VALUE"""),0)</f>
        <v>0</v>
      </c>
      <c r="BR246" s="24">
        <f ca="1">IFERROR(__xludf.DUMMYFUNCTION("""COMPUTED_VALUE"""),0)</f>
        <v>0</v>
      </c>
      <c r="BS246" s="24">
        <f ca="1">IFERROR(__xludf.DUMMYFUNCTION("""COMPUTED_VALUE"""),0)</f>
        <v>0</v>
      </c>
      <c r="BT246" s="24">
        <f ca="1">IFERROR(__xludf.DUMMYFUNCTION("""COMPUTED_VALUE"""),0)</f>
        <v>0</v>
      </c>
      <c r="BU246" s="20"/>
      <c r="BV246" s="24">
        <f ca="1">IFERROR(__xludf.DUMMYFUNCTION("""COMPUTED_VALUE"""),0)</f>
        <v>0</v>
      </c>
      <c r="BW246" s="24">
        <f ca="1">IFERROR(__xludf.DUMMYFUNCTION("""COMPUTED_VALUE"""),0)</f>
        <v>0</v>
      </c>
      <c r="BX246" s="24">
        <f ca="1">IFERROR(__xludf.DUMMYFUNCTION("""COMPUTED_VALUE"""),0)</f>
        <v>0</v>
      </c>
      <c r="BY246" s="24">
        <f ca="1">IFERROR(__xludf.DUMMYFUNCTION("""COMPUTED_VALUE"""),0)</f>
        <v>0</v>
      </c>
      <c r="BZ246" s="24">
        <f ca="1">IFERROR(__xludf.DUMMYFUNCTION("""COMPUTED_VALUE"""),0)</f>
        <v>0</v>
      </c>
      <c r="CA246" s="20"/>
      <c r="CB246" s="20"/>
      <c r="CC246" s="20"/>
      <c r="CD246" s="20"/>
      <c r="CE246" s="20"/>
      <c r="CF246" s="20"/>
      <c r="CG246" s="20"/>
      <c r="CH246" s="20"/>
      <c r="CI246" s="20"/>
      <c r="CJ246" s="20"/>
      <c r="CK246" s="20"/>
      <c r="CL246" s="20"/>
      <c r="CM246" s="20"/>
      <c r="CN246" s="20"/>
      <c r="CO246" s="20"/>
      <c r="CP246" s="20"/>
      <c r="CQ246" s="20"/>
      <c r="CR246" s="20"/>
      <c r="CS246" s="20"/>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row>
    <row r="247" spans="1:123" ht="64.5" customHeight="1" x14ac:dyDescent="0.2">
      <c r="A247" s="19"/>
      <c r="B247" s="20" t="str">
        <f ca="1">IFERROR(__xludf.DUMMYFUNCTION("""COMPUTED_VALUE"""),"МинЖКХ г.о. Можайск")</f>
        <v>МинЖКХ г.о. Можайск</v>
      </c>
      <c r="C247" s="20" t="str">
        <f ca="1">IFERROR(__xludf.DUMMYFUNCTION("""COMPUTED_VALUE"""),"Мероприятие 4 - Бюджетные инвестиции в объекты капитального строительства государственной собственности Московской области")</f>
        <v>Мероприятие 4 - Бюджетные инвестиции в объекты капитального строительства государственной собственности Московской области</v>
      </c>
      <c r="D247" s="20" t="str">
        <f ca="1">IFERROR(__xludf.DUMMYFUNCTION("""COMPUTED_VALUE"""),"МинЖКХ")</f>
        <v>МинЖКХ</v>
      </c>
      <c r="E247" s="20" t="str">
        <f ca="1">IFERROR(__xludf.DUMMYFUNCTION("""COMPUTED_VALUE"""),"Реконструкция очистных сооружений г. Можайск (в том числе ПИР), кадастровый номер 50:180030307:1016 от 20.11.2018")</f>
        <v>Реконструкция очистных сооружений г. Можайск (в том числе ПИР), кадастровый номер 50:180030307:1016 от 20.11.2018</v>
      </c>
      <c r="F247" s="32" t="str">
        <f ca="1">IFERROR(__xludf.DUMMYFUNCTION("""COMPUTED_VALUE"""),"ОС")</f>
        <v>ОС</v>
      </c>
      <c r="G247" s="20">
        <f ca="1">IFERROR(__xludf.DUMMYFUNCTION("""COMPUTED_VALUE"""),2020)</f>
        <v>2020</v>
      </c>
      <c r="H247" s="20" t="str">
        <f ca="1">IFERROR(__xludf.DUMMYFUNCTION("""COMPUTED_VALUE"""),"СМР")</f>
        <v>СМР</v>
      </c>
      <c r="I247" s="20">
        <f ca="1">IFERROR(__xludf.DUMMYFUNCTION("""COMPUTED_VALUE"""),0)</f>
        <v>0</v>
      </c>
      <c r="J247" s="20" t="str">
        <f ca="1">IFERROR(__xludf.DUMMYFUNCTION("""COMPUTED_VALUE"""),"Получения заключения МОГЭ - ноябрь. ГЭЭ не требуется")</f>
        <v>Получения заключения МОГЭ - ноябрь. ГЭЭ не требуется</v>
      </c>
      <c r="K247" s="20"/>
      <c r="L247" s="20"/>
      <c r="M247" s="20"/>
      <c r="N247" s="24">
        <f ca="1">IFERROR(__xludf.DUMMYFUNCTION("""COMPUTED_VALUE"""),0)</f>
        <v>0</v>
      </c>
      <c r="O247" s="20"/>
      <c r="P247" s="24">
        <f ca="1">IFERROR(__xludf.DUMMYFUNCTION("""COMPUTED_VALUE"""),0)</f>
        <v>0</v>
      </c>
      <c r="Q247" s="20"/>
      <c r="R247" s="20"/>
      <c r="S247" s="20"/>
      <c r="T247" s="20"/>
      <c r="U247" s="24">
        <f ca="1">IFERROR(__xludf.DUMMYFUNCTION("""COMPUTED_VALUE"""),34403)</f>
        <v>34403</v>
      </c>
      <c r="V247" s="24">
        <f ca="1">IFERROR(__xludf.DUMMYFUNCTION("""COMPUTED_VALUE"""),0)</f>
        <v>0</v>
      </c>
      <c r="W247" s="24">
        <f ca="1">IFERROR(__xludf.DUMMYFUNCTION("""COMPUTED_VALUE"""),0)</f>
        <v>0</v>
      </c>
      <c r="X247" s="24">
        <f ca="1">IFERROR(__xludf.DUMMYFUNCTION("""COMPUTED_VALUE"""),34403)</f>
        <v>34403</v>
      </c>
      <c r="Y247" s="24">
        <f ca="1">IFERROR(__xludf.DUMMYFUNCTION("""COMPUTED_VALUE"""),0)</f>
        <v>0</v>
      </c>
      <c r="Z247" s="24">
        <f ca="1">IFERROR(__xludf.DUMMYFUNCTION("""COMPUTED_VALUE"""),0)</f>
        <v>0</v>
      </c>
      <c r="AA247" s="20" t="str">
        <f ca="1">IFERROR(__xludf.DUMMYFUNCTION("""COMPUTED_VALUE"""),"10 2 01 40010")</f>
        <v>10 2 01 40010</v>
      </c>
      <c r="AB247" s="20">
        <f ca="1">IFERROR(__xludf.DUMMYFUNCTION("""COMPUTED_VALUE"""),414)</f>
        <v>414</v>
      </c>
      <c r="AC247" s="20" t="str">
        <f ca="1">IFERROR(__xludf.DUMMYFUNCTION("""COMPUTED_VALUE"""),"нет треубется")</f>
        <v>нет треубется</v>
      </c>
      <c r="AD247" s="20" t="str">
        <f ca="1">IFERROR(__xludf.DUMMYFUNCTION("""COMPUTED_VALUE"""),"нет треубется")</f>
        <v>нет треубется</v>
      </c>
      <c r="AE247" s="20" t="str">
        <f ca="1">IFERROR(__xludf.DUMMYFUNCTION("""COMPUTED_VALUE"""),"нет треубется")</f>
        <v>нет треубется</v>
      </c>
      <c r="AF247" s="24">
        <f ca="1">IFERROR(__xludf.DUMMYFUNCTION("""COMPUTED_VALUE"""),34403)</f>
        <v>34403</v>
      </c>
      <c r="AG247" s="24">
        <f ca="1">IFERROR(__xludf.DUMMYFUNCTION("""COMPUTED_VALUE"""),0)</f>
        <v>0</v>
      </c>
      <c r="AH247" s="24">
        <f ca="1">IFERROR(__xludf.DUMMYFUNCTION("""COMPUTED_VALUE"""),0)</f>
        <v>0</v>
      </c>
      <c r="AI247" s="24">
        <f ca="1">IFERROR(__xludf.DUMMYFUNCTION("""COMPUTED_VALUE"""),34403)</f>
        <v>34403</v>
      </c>
      <c r="AJ247" s="24">
        <f ca="1">IFERROR(__xludf.DUMMYFUNCTION("""COMPUTED_VALUE"""),0)</f>
        <v>0</v>
      </c>
      <c r="AK247" s="24">
        <f ca="1">IFERROR(__xludf.DUMMYFUNCTION("""COMPUTED_VALUE"""),0)</f>
        <v>0</v>
      </c>
      <c r="AL247" s="24">
        <f ca="1">IFERROR(__xludf.DUMMYFUNCTION("""COMPUTED_VALUE"""),0)</f>
        <v>0</v>
      </c>
      <c r="AM247" s="20"/>
      <c r="AN247" s="20"/>
      <c r="AO247" s="20"/>
      <c r="AP247" s="20"/>
      <c r="AQ247" s="20"/>
      <c r="AR247" s="24">
        <f ca="1">IFERROR(__xludf.DUMMYFUNCTION("""COMPUTED_VALUE"""),0)</f>
        <v>0</v>
      </c>
      <c r="AS247" s="20"/>
      <c r="AT247" s="20"/>
      <c r="AU247" s="20"/>
      <c r="AV247" s="20"/>
      <c r="AW247" s="20"/>
      <c r="AX247" s="24">
        <f ca="1">IFERROR(__xludf.DUMMYFUNCTION("""COMPUTED_VALUE"""),34403)</f>
        <v>34403</v>
      </c>
      <c r="AY247" s="24">
        <f ca="1">IFERROR(__xludf.DUMMYFUNCTION("""COMPUTED_VALUE"""),0)</f>
        <v>0</v>
      </c>
      <c r="AZ247" s="24">
        <f ca="1">IFERROR(__xludf.DUMMYFUNCTION("""COMPUTED_VALUE"""),0)</f>
        <v>0</v>
      </c>
      <c r="BA247" s="24">
        <f ca="1">IFERROR(__xludf.DUMMYFUNCTION("""COMPUTED_VALUE"""),34403)</f>
        <v>34403</v>
      </c>
      <c r="BB247" s="24">
        <f ca="1">IFERROR(__xludf.DUMMYFUNCTION("""COMPUTED_VALUE"""),0)</f>
        <v>0</v>
      </c>
      <c r="BC247" s="20"/>
      <c r="BD247" s="24">
        <f ca="1">IFERROR(__xludf.DUMMYFUNCTION("""COMPUTED_VALUE"""),0)</f>
        <v>0</v>
      </c>
      <c r="BE247" s="24">
        <f ca="1">IFERROR(__xludf.DUMMYFUNCTION("""COMPUTED_VALUE"""),0)</f>
        <v>0</v>
      </c>
      <c r="BF247" s="24">
        <f ca="1">IFERROR(__xludf.DUMMYFUNCTION("""COMPUTED_VALUE"""),0)</f>
        <v>0</v>
      </c>
      <c r="BG247" s="24">
        <f ca="1">IFERROR(__xludf.DUMMYFUNCTION("""COMPUTED_VALUE"""),0)</f>
        <v>0</v>
      </c>
      <c r="BH247" s="24">
        <f ca="1">IFERROR(__xludf.DUMMYFUNCTION("""COMPUTED_VALUE"""),0)</f>
        <v>0</v>
      </c>
      <c r="BI247" s="20"/>
      <c r="BJ247" s="24">
        <f ca="1">IFERROR(__xludf.DUMMYFUNCTION("""COMPUTED_VALUE"""),0)</f>
        <v>0</v>
      </c>
      <c r="BK247" s="24">
        <f ca="1">IFERROR(__xludf.DUMMYFUNCTION("""COMPUTED_VALUE"""),0)</f>
        <v>0</v>
      </c>
      <c r="BL247" s="24">
        <f ca="1">IFERROR(__xludf.DUMMYFUNCTION("""COMPUTED_VALUE"""),0)</f>
        <v>0</v>
      </c>
      <c r="BM247" s="24">
        <f ca="1">IFERROR(__xludf.DUMMYFUNCTION("""COMPUTED_VALUE"""),0)</f>
        <v>0</v>
      </c>
      <c r="BN247" s="24">
        <f ca="1">IFERROR(__xludf.DUMMYFUNCTION("""COMPUTED_VALUE"""),0)</f>
        <v>0</v>
      </c>
      <c r="BO247" s="20"/>
      <c r="BP247" s="24">
        <f ca="1">IFERROR(__xludf.DUMMYFUNCTION("""COMPUTED_VALUE"""),0)</f>
        <v>0</v>
      </c>
      <c r="BQ247" s="24">
        <f ca="1">IFERROR(__xludf.DUMMYFUNCTION("""COMPUTED_VALUE"""),0)</f>
        <v>0</v>
      </c>
      <c r="BR247" s="24">
        <f ca="1">IFERROR(__xludf.DUMMYFUNCTION("""COMPUTED_VALUE"""),0)</f>
        <v>0</v>
      </c>
      <c r="BS247" s="24">
        <f ca="1">IFERROR(__xludf.DUMMYFUNCTION("""COMPUTED_VALUE"""),0)</f>
        <v>0</v>
      </c>
      <c r="BT247" s="24">
        <f ca="1">IFERROR(__xludf.DUMMYFUNCTION("""COMPUTED_VALUE"""),0)</f>
        <v>0</v>
      </c>
      <c r="BU247" s="20"/>
      <c r="BV247" s="24">
        <f ca="1">IFERROR(__xludf.DUMMYFUNCTION("""COMPUTED_VALUE"""),0)</f>
        <v>0</v>
      </c>
      <c r="BW247" s="24">
        <f ca="1">IFERROR(__xludf.DUMMYFUNCTION("""COMPUTED_VALUE"""),0)</f>
        <v>0</v>
      </c>
      <c r="BX247" s="24">
        <f ca="1">IFERROR(__xludf.DUMMYFUNCTION("""COMPUTED_VALUE"""),0)</f>
        <v>0</v>
      </c>
      <c r="BY247" s="24">
        <f ca="1">IFERROR(__xludf.DUMMYFUNCTION("""COMPUTED_VALUE"""),0)</f>
        <v>0</v>
      </c>
      <c r="BZ247" s="24">
        <f ca="1">IFERROR(__xludf.DUMMYFUNCTION("""COMPUTED_VALUE"""),0)</f>
        <v>0</v>
      </c>
      <c r="CA247" s="20"/>
      <c r="CB247" s="20"/>
      <c r="CC247" s="20"/>
      <c r="CD247" s="20"/>
      <c r="CE247" s="20"/>
      <c r="CF247" s="20"/>
      <c r="CG247" s="20"/>
      <c r="CH247" s="20"/>
      <c r="CI247" s="20"/>
      <c r="CJ247" s="20"/>
      <c r="CK247" s="20"/>
      <c r="CL247" s="20"/>
      <c r="CM247" s="26">
        <f ca="1">IFERROR(__xludf.DUMMYFUNCTION("""COMPUTED_VALUE"""),43549)</f>
        <v>43549</v>
      </c>
      <c r="CN247" s="20" t="str">
        <f ca="1">IFERROR(__xludf.DUMMYFUNCTION("""COMPUTED_VALUE"""),"0148200005519000001")</f>
        <v>0148200005519000001</v>
      </c>
      <c r="CO247" s="26">
        <f ca="1">IFERROR(__xludf.DUMMYFUNCTION("""COMPUTED_VALUE"""),43599)</f>
        <v>43599</v>
      </c>
      <c r="CP247" s="20" t="str">
        <f ca="1">IFERROR(__xludf.DUMMYFUNCTION("""COMPUTED_VALUE"""),"123604-19")</f>
        <v>123604-19</v>
      </c>
      <c r="CQ247" s="20">
        <f ca="1">IFERROR(__xludf.DUMMYFUNCTION("""COMPUTED_VALUE"""),34402934.65)</f>
        <v>34402934.649999999</v>
      </c>
      <c r="CR247" s="20" t="str">
        <f ca="1">IFERROR(__xludf.DUMMYFUNCTION("""COMPUTED_VALUE"""),"ООО ""ЭНЕРГИЯ ОМ""")</f>
        <v>ООО "ЭНЕРГИЯ ОМ"</v>
      </c>
      <c r="CS247" s="27" t="str">
        <f ca="1">IFERROR(__xludf.DUMMYFUNCTION("""COMPUTED_VALUE"""),"https://zakupki.gov.ru/epz/contract/contractCard/common-info.html?reestrNumber=2502413966719000001&amp;backUrl=e1a2a103-4d28-449f-837b-015391830430")</f>
        <v>https://zakupki.gov.ru/epz/contract/contractCard/common-info.html?reestrNumber=2502413966719000001&amp;backUrl=e1a2a103-4d28-449f-837b-015391830430</v>
      </c>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row>
    <row r="248" spans="1:123" ht="64.5" hidden="1" customHeight="1" x14ac:dyDescent="0.2">
      <c r="A248" s="19"/>
      <c r="B248" s="20" t="str">
        <f ca="1">IFERROR(__xludf.DUMMYFUNCTION("IMPORTRANGE(""https://docs.google.com/spreadsheets/d/1ZpB0joDVH_P6wgS1qdxv2Cg30eSt21FXcCJZMPEFRM4/edit#gid=126336210&amp;range=B5:CS30"", ""'ПП2 К КНС'!B5:CS30"")"),"г.о. Воскресенск")</f>
        <v>г.о. Воскресенск</v>
      </c>
      <c r="C24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48" s="20" t="str">
        <f ca="1">IFERROR(__xludf.DUMMYFUNCTION("""COMPUTED_VALUE"""),"МинЖКХ")</f>
        <v>МинЖКХ</v>
      </c>
      <c r="E248" s="20" t="str">
        <f ca="1">IFERROR(__xludf.DUMMYFUNCTION("""COMPUTED_VALUE"""),"Реконструкция самотечного канализационного коллектора по адресу: г. Воскресенск, от жилого дома № 23 по ул. Мичурина до КНС, ул. Коломенская, д.10")</f>
        <v>Реконструкция самотечного канализационного коллектора по адресу: г. Воскресенск, от жилого дома № 23 по ул. Мичурина до КНС, ул. Коломенская, д.10</v>
      </c>
      <c r="F248" s="32" t="str">
        <f ca="1">IFERROR(__xludf.DUMMYFUNCTION("""COMPUTED_VALUE"""),"КНК")</f>
        <v>КНК</v>
      </c>
      <c r="G248" s="20" t="str">
        <f ca="1">IFERROR(__xludf.DUMMYFUNCTION("""COMPUTED_VALUE"""),"2020-2021")</f>
        <v>2020-2021</v>
      </c>
      <c r="H248" s="20" t="str">
        <f ca="1">IFERROR(__xludf.DUMMYFUNCTION("""COMPUTED_VALUE"""),"СМР")</f>
        <v>СМР</v>
      </c>
      <c r="I248" s="20">
        <f ca="1">IFERROR(__xludf.DUMMYFUNCTION("""COMPUTED_VALUE"""),0)</f>
        <v>0</v>
      </c>
      <c r="J248" s="20" t="str">
        <f ca="1">IFERROR(__xludf.DUMMYFUNCTION("""COMPUTED_VALUE"""),"Псд в МОГЭ ожидается получения заключения на сметы до 20.11.2020")</f>
        <v>Псд в МОГЭ ожидается получения заключения на сметы до 20.11.2020</v>
      </c>
      <c r="K248" s="20">
        <f ca="1">IFERROR(__xludf.DUMMYFUNCTION("""COMPUTED_VALUE"""),3250)</f>
        <v>3250</v>
      </c>
      <c r="L248" s="20">
        <f ca="1">IFERROR(__xludf.DUMMYFUNCTION("""COMPUTED_VALUE"""),3250)</f>
        <v>3250</v>
      </c>
      <c r="M248" s="20"/>
      <c r="N248" s="24">
        <f ca="1">IFERROR(__xludf.DUMMYFUNCTION("""COMPUTED_VALUE"""),0)</f>
        <v>0</v>
      </c>
      <c r="O248" s="20"/>
      <c r="P248" s="24">
        <f ca="1">IFERROR(__xludf.DUMMYFUNCTION("""COMPUTED_VALUE"""),0)</f>
        <v>0</v>
      </c>
      <c r="Q248" s="20"/>
      <c r="R248" s="20"/>
      <c r="S248" s="20"/>
      <c r="T248" s="20"/>
      <c r="U248" s="24">
        <f ca="1">IFERROR(__xludf.DUMMYFUNCTION("""COMPUTED_VALUE"""),0)</f>
        <v>0</v>
      </c>
      <c r="V248" s="24">
        <f ca="1">IFERROR(__xludf.DUMMYFUNCTION("""COMPUTED_VALUE"""),0)</f>
        <v>0</v>
      </c>
      <c r="W248" s="24">
        <f ca="1">IFERROR(__xludf.DUMMYFUNCTION("""COMPUTED_VALUE"""),0)</f>
        <v>0</v>
      </c>
      <c r="X248" s="24">
        <f ca="1">IFERROR(__xludf.DUMMYFUNCTION("""COMPUTED_VALUE"""),0)</f>
        <v>0</v>
      </c>
      <c r="Y248" s="24">
        <f ca="1">IFERROR(__xludf.DUMMYFUNCTION("""COMPUTED_VALUE"""),0)</f>
        <v>0</v>
      </c>
      <c r="Z248" s="24">
        <f ca="1">IFERROR(__xludf.DUMMYFUNCTION("""COMPUTED_VALUE"""),0)</f>
        <v>0</v>
      </c>
      <c r="AA248" s="20" t="str">
        <f ca="1">IFERROR(__xludf.DUMMYFUNCTION("""COMPUTED_VALUE"""),"10 2 02 64030")</f>
        <v>10 2 02 64030</v>
      </c>
      <c r="AB248" s="20">
        <f ca="1">IFERROR(__xludf.DUMMYFUNCTION("""COMPUTED_VALUE"""),522)</f>
        <v>522</v>
      </c>
      <c r="AC248" s="20" t="str">
        <f ca="1">IFERROR(__xludf.DUMMYFUNCTION("""COMPUTED_VALUE"""),"нет")</f>
        <v>нет</v>
      </c>
      <c r="AD248" s="20"/>
      <c r="AE248" s="20"/>
      <c r="AF248" s="24">
        <f ca="1">IFERROR(__xludf.DUMMYFUNCTION("""COMPUTED_VALUE"""),7920)</f>
        <v>7920</v>
      </c>
      <c r="AG248" s="24">
        <f ca="1">IFERROR(__xludf.DUMMYFUNCTION("""COMPUTED_VALUE"""),0)</f>
        <v>0</v>
      </c>
      <c r="AH248" s="24">
        <f ca="1">IFERROR(__xludf.DUMMYFUNCTION("""COMPUTED_VALUE"""),6170)</f>
        <v>6170</v>
      </c>
      <c r="AI248" s="24">
        <f ca="1">IFERROR(__xludf.DUMMYFUNCTION("""COMPUTED_VALUE"""),0)</f>
        <v>0</v>
      </c>
      <c r="AJ248" s="24">
        <f ca="1">IFERROR(__xludf.DUMMYFUNCTION("""COMPUTED_VALUE"""),1750)</f>
        <v>1750</v>
      </c>
      <c r="AK248" s="24">
        <f ca="1">IFERROR(__xludf.DUMMYFUNCTION("""COMPUTED_VALUE"""),0)</f>
        <v>0</v>
      </c>
      <c r="AL248" s="24">
        <f ca="1">IFERROR(__xludf.DUMMYFUNCTION("""COMPUTED_VALUE"""),0)</f>
        <v>0</v>
      </c>
      <c r="AM248" s="20"/>
      <c r="AN248" s="20"/>
      <c r="AO248" s="20"/>
      <c r="AP248" s="20"/>
      <c r="AQ248" s="20"/>
      <c r="AR248" s="24">
        <f ca="1">IFERROR(__xludf.DUMMYFUNCTION("""COMPUTED_VALUE"""),0)</f>
        <v>0</v>
      </c>
      <c r="AS248" s="20"/>
      <c r="AT248" s="20"/>
      <c r="AU248" s="20"/>
      <c r="AV248" s="20"/>
      <c r="AW248" s="20"/>
      <c r="AX248" s="24">
        <f ca="1">IFERROR(__xludf.DUMMYFUNCTION("""COMPUTED_VALUE"""),0)</f>
        <v>0</v>
      </c>
      <c r="AY248" s="24">
        <f ca="1">IFERROR(__xludf.DUMMYFUNCTION("""COMPUTED_VALUE"""),0)</f>
        <v>0</v>
      </c>
      <c r="AZ248" s="24">
        <f ca="1">IFERROR(__xludf.DUMMYFUNCTION("""COMPUTED_VALUE"""),0)</f>
        <v>0</v>
      </c>
      <c r="BA248" s="24">
        <f ca="1">IFERROR(__xludf.DUMMYFUNCTION("""COMPUTED_VALUE"""),0)</f>
        <v>0</v>
      </c>
      <c r="BB248" s="24">
        <f ca="1">IFERROR(__xludf.DUMMYFUNCTION("""COMPUTED_VALUE"""),0)</f>
        <v>0</v>
      </c>
      <c r="BC248" s="20"/>
      <c r="BD248" s="24">
        <f ca="1">IFERROR(__xludf.DUMMYFUNCTION("""COMPUTED_VALUE"""),7920)</f>
        <v>7920</v>
      </c>
      <c r="BE248" s="24">
        <f ca="1">IFERROR(__xludf.DUMMYFUNCTION("""COMPUTED_VALUE"""),0)</f>
        <v>0</v>
      </c>
      <c r="BF248" s="24">
        <f ca="1">IFERROR(__xludf.DUMMYFUNCTION("""COMPUTED_VALUE"""),6170)</f>
        <v>6170</v>
      </c>
      <c r="BG248" s="24">
        <f ca="1">IFERROR(__xludf.DUMMYFUNCTION("""COMPUTED_VALUE"""),0)</f>
        <v>0</v>
      </c>
      <c r="BH248" s="24">
        <f ca="1">IFERROR(__xludf.DUMMYFUNCTION("""COMPUTED_VALUE"""),1750)</f>
        <v>1750</v>
      </c>
      <c r="BI248" s="20"/>
      <c r="BJ248" s="24">
        <f ca="1">IFERROR(__xludf.DUMMYFUNCTION("""COMPUTED_VALUE"""),0)</f>
        <v>0</v>
      </c>
      <c r="BK248" s="24">
        <f ca="1">IFERROR(__xludf.DUMMYFUNCTION("""COMPUTED_VALUE"""),0)</f>
        <v>0</v>
      </c>
      <c r="BL248" s="24">
        <f ca="1">IFERROR(__xludf.DUMMYFUNCTION("""COMPUTED_VALUE"""),0)</f>
        <v>0</v>
      </c>
      <c r="BM248" s="24">
        <f ca="1">IFERROR(__xludf.DUMMYFUNCTION("""COMPUTED_VALUE"""),0)</f>
        <v>0</v>
      </c>
      <c r="BN248" s="24">
        <f ca="1">IFERROR(__xludf.DUMMYFUNCTION("""COMPUTED_VALUE"""),0)</f>
        <v>0</v>
      </c>
      <c r="BO248" s="20"/>
      <c r="BP248" s="24">
        <f ca="1">IFERROR(__xludf.DUMMYFUNCTION("""COMPUTED_VALUE"""),0)</f>
        <v>0</v>
      </c>
      <c r="BQ248" s="24">
        <f ca="1">IFERROR(__xludf.DUMMYFUNCTION("""COMPUTED_VALUE"""),0)</f>
        <v>0</v>
      </c>
      <c r="BR248" s="24">
        <f ca="1">IFERROR(__xludf.DUMMYFUNCTION("""COMPUTED_VALUE"""),0)</f>
        <v>0</v>
      </c>
      <c r="BS248" s="24">
        <f ca="1">IFERROR(__xludf.DUMMYFUNCTION("""COMPUTED_VALUE"""),0)</f>
        <v>0</v>
      </c>
      <c r="BT248" s="24">
        <f ca="1">IFERROR(__xludf.DUMMYFUNCTION("""COMPUTED_VALUE"""),0)</f>
        <v>0</v>
      </c>
      <c r="BU248" s="20"/>
      <c r="BV248" s="24">
        <f ca="1">IFERROR(__xludf.DUMMYFUNCTION("""COMPUTED_VALUE"""),0)</f>
        <v>0</v>
      </c>
      <c r="BW248" s="24">
        <f ca="1">IFERROR(__xludf.DUMMYFUNCTION("""COMPUTED_VALUE"""),0)</f>
        <v>0</v>
      </c>
      <c r="BX248" s="24">
        <f ca="1">IFERROR(__xludf.DUMMYFUNCTION("""COMPUTED_VALUE"""),0)</f>
        <v>0</v>
      </c>
      <c r="BY248" s="24">
        <f ca="1">IFERROR(__xludf.DUMMYFUNCTION("""COMPUTED_VALUE"""),0)</f>
        <v>0</v>
      </c>
      <c r="BZ248" s="24">
        <f ca="1">IFERROR(__xludf.DUMMYFUNCTION("""COMPUTED_VALUE"""),0)</f>
        <v>0</v>
      </c>
      <c r="CA248" s="20"/>
      <c r="CB248" s="20"/>
      <c r="CC248" s="20"/>
      <c r="CD248" s="20"/>
      <c r="CE248" s="20"/>
      <c r="CF248" s="20"/>
      <c r="CG248" s="20"/>
      <c r="CH248" s="20"/>
      <c r="CI248" s="20"/>
      <c r="CJ248" s="20"/>
      <c r="CK248" s="33">
        <f ca="1">IFERROR(__xludf.DUMMYFUNCTION("""COMPUTED_VALUE"""),44125)</f>
        <v>44125</v>
      </c>
      <c r="CL248" s="20" t="str">
        <f ca="1">IFERROR(__xludf.DUMMYFUNCTION("""COMPUTED_VALUE"""),"(50-1-1-3-053016-2020 )  50-1-1-3-1691-20 от 21.10.2020г ")</f>
        <v xml:space="preserve">(50-1-1-3-053016-2020 )  50-1-1-3-1691-20 от 21.10.2020г </v>
      </c>
      <c r="CM248" s="20"/>
      <c r="CN248" s="20"/>
      <c r="CO248" s="20"/>
      <c r="CP248" s="20"/>
      <c r="CQ248" s="20"/>
      <c r="CR248" s="20"/>
      <c r="CS248" s="20"/>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row>
    <row r="249" spans="1:123" ht="64.5" customHeight="1" x14ac:dyDescent="0.2">
      <c r="A249" s="19"/>
      <c r="B249" s="20" t="str">
        <f ca="1">IFERROR(__xludf.DUMMYFUNCTION("""COMPUTED_VALUE"""),"г.о. Воскресенск")</f>
        <v>г.о. Воскресенск</v>
      </c>
      <c r="C24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49" s="20" t="str">
        <f ca="1">IFERROR(__xludf.DUMMYFUNCTION("""COMPUTED_VALUE"""),"МинЖКХ")</f>
        <v>МинЖКХ</v>
      </c>
      <c r="E249" s="20" t="str">
        <f ca="1">IFERROR(__xludf.DUMMYFUNCTION("""COMPUTED_VALUE"""),"Реконструкция самотечного канализационного коллектора по адресу: г. Воскресенск, от жилого дома № 28 ул. Маркина  до КНС, ул. Центральная, д. 32а ")</f>
        <v xml:space="preserve">Реконструкция самотечного канализационного коллектора по адресу: г. Воскресенск, от жилого дома № 28 ул. Маркина  до КНС, ул. Центральная, д. 32а </v>
      </c>
      <c r="F249" s="32" t="str">
        <f ca="1">IFERROR(__xludf.DUMMYFUNCTION("""COMPUTED_VALUE"""),"КНК")</f>
        <v>КНК</v>
      </c>
      <c r="G249" s="20" t="str">
        <f ca="1">IFERROR(__xludf.DUMMYFUNCTION("""COMPUTED_VALUE"""),"2020-2021")</f>
        <v>2020-2021</v>
      </c>
      <c r="H249" s="20" t="str">
        <f ca="1">IFERROR(__xludf.DUMMYFUNCTION("""COMPUTED_VALUE"""),"СМР")</f>
        <v>СМР</v>
      </c>
      <c r="I249" s="20">
        <f ca="1">IFERROR(__xludf.DUMMYFUNCTION("""COMPUTED_VALUE"""),0)</f>
        <v>0</v>
      </c>
      <c r="J249" s="20" t="str">
        <f ca="1">IFERROR(__xludf.DUMMYFUNCTION("""COMPUTED_VALUE"""),"контрактация. Закупка опубликована. 16.11.2020 поведение итогов. 27.11.2020 Плановая дата заключения котракта.")</f>
        <v>контрактация. Закупка опубликована. 16.11.2020 поведение итогов. 27.11.2020 Плановая дата заключения котракта.</v>
      </c>
      <c r="K249" s="20">
        <f ca="1">IFERROR(__xludf.DUMMYFUNCTION("""COMPUTED_VALUE"""),14200)</f>
        <v>14200</v>
      </c>
      <c r="L249" s="20">
        <f ca="1">IFERROR(__xludf.DUMMYFUNCTION("""COMPUTED_VALUE"""),14200)</f>
        <v>14200</v>
      </c>
      <c r="M249" s="20"/>
      <c r="N249" s="24">
        <f ca="1">IFERROR(__xludf.DUMMYFUNCTION("""COMPUTED_VALUE"""),17287.54)</f>
        <v>17287.54</v>
      </c>
      <c r="O249" s="20"/>
      <c r="P249" s="24">
        <f ca="1">IFERROR(__xludf.DUMMYFUNCTION("""COMPUTED_VALUE"""),17287.54)</f>
        <v>17287.54</v>
      </c>
      <c r="Q249" s="20"/>
      <c r="R249" s="20"/>
      <c r="S249" s="20"/>
      <c r="T249" s="20"/>
      <c r="U249" s="24">
        <f ca="1">IFERROR(__xludf.DUMMYFUNCTION("""COMPUTED_VALUE"""),8953.65)</f>
        <v>8953.65</v>
      </c>
      <c r="V249" s="24">
        <f ca="1">IFERROR(__xludf.DUMMYFUNCTION("""COMPUTED_VALUE"""),0)</f>
        <v>0</v>
      </c>
      <c r="W249" s="24">
        <f ca="1">IFERROR(__xludf.DUMMYFUNCTION("""COMPUTED_VALUE"""),3154.52)</f>
        <v>3154.52</v>
      </c>
      <c r="X249" s="24">
        <f ca="1">IFERROR(__xludf.DUMMYFUNCTION("""COMPUTED_VALUE"""),0)</f>
        <v>0</v>
      </c>
      <c r="Y249" s="24">
        <f ca="1">IFERROR(__xludf.DUMMYFUNCTION("""COMPUTED_VALUE"""),5799.13)</f>
        <v>5799.13</v>
      </c>
      <c r="Z249" s="24">
        <f ca="1">IFERROR(__xludf.DUMMYFUNCTION("""COMPUTED_VALUE"""),0)</f>
        <v>0</v>
      </c>
      <c r="AA249" s="20" t="str">
        <f ca="1">IFERROR(__xludf.DUMMYFUNCTION("""COMPUTED_VALUE"""),"10 2 02 64030")</f>
        <v>10 2 02 64030</v>
      </c>
      <c r="AB249" s="20">
        <f ca="1">IFERROR(__xludf.DUMMYFUNCTION("""COMPUTED_VALUE"""),522)</f>
        <v>522</v>
      </c>
      <c r="AC249" s="20" t="str">
        <f ca="1">IFERROR(__xludf.DUMMYFUNCTION("""COMPUTED_VALUE"""),"нет")</f>
        <v>нет</v>
      </c>
      <c r="AD249" s="20"/>
      <c r="AE249" s="20"/>
      <c r="AF249" s="24">
        <f ca="1">IFERROR(__xludf.DUMMYFUNCTION("""COMPUTED_VALUE"""),57441.19)</f>
        <v>57441.19</v>
      </c>
      <c r="AG249" s="24">
        <f ca="1">IFERROR(__xludf.DUMMYFUNCTION("""COMPUTED_VALUE"""),0)</f>
        <v>0</v>
      </c>
      <c r="AH249" s="24">
        <f ca="1">IFERROR(__xludf.DUMMYFUNCTION("""COMPUTED_VALUE"""),44747.06)</f>
        <v>44747.06</v>
      </c>
      <c r="AI249" s="24">
        <f ca="1">IFERROR(__xludf.DUMMYFUNCTION("""COMPUTED_VALUE"""),0)</f>
        <v>0</v>
      </c>
      <c r="AJ249" s="24">
        <f ca="1">IFERROR(__xludf.DUMMYFUNCTION("""COMPUTED_VALUE"""),12694.13)</f>
        <v>12694.13</v>
      </c>
      <c r="AK249" s="24">
        <f ca="1">IFERROR(__xludf.DUMMYFUNCTION("""COMPUTED_VALUE"""),0)</f>
        <v>0</v>
      </c>
      <c r="AL249" s="24">
        <f ca="1">IFERROR(__xludf.DUMMYFUNCTION("""COMPUTED_VALUE"""),0)</f>
        <v>0</v>
      </c>
      <c r="AM249" s="20"/>
      <c r="AN249" s="20"/>
      <c r="AO249" s="20"/>
      <c r="AP249" s="20"/>
      <c r="AQ249" s="20"/>
      <c r="AR249" s="24">
        <f ca="1">IFERROR(__xludf.DUMMYFUNCTION("""COMPUTED_VALUE"""),0)</f>
        <v>0</v>
      </c>
      <c r="AS249" s="20"/>
      <c r="AT249" s="20"/>
      <c r="AU249" s="20"/>
      <c r="AV249" s="20"/>
      <c r="AW249" s="20"/>
      <c r="AX249" s="24">
        <f ca="1">IFERROR(__xludf.DUMMYFUNCTION("""COMPUTED_VALUE"""),26241.19)</f>
        <v>26241.19</v>
      </c>
      <c r="AY249" s="24">
        <f ca="1">IFERROR(__xludf.DUMMYFUNCTION("""COMPUTED_VALUE"""),0)</f>
        <v>0</v>
      </c>
      <c r="AZ249" s="24">
        <f ca="1">IFERROR(__xludf.DUMMYFUNCTION("""COMPUTED_VALUE"""),20442.06)</f>
        <v>20442.060000000001</v>
      </c>
      <c r="BA249" s="24">
        <f ca="1">IFERROR(__xludf.DUMMYFUNCTION("""COMPUTED_VALUE"""),0)</f>
        <v>0</v>
      </c>
      <c r="BB249" s="24">
        <f ca="1">IFERROR(__xludf.DUMMYFUNCTION("""COMPUTED_VALUE"""),5799.13)</f>
        <v>5799.13</v>
      </c>
      <c r="BC249" s="20"/>
      <c r="BD249" s="24">
        <f ca="1">IFERROR(__xludf.DUMMYFUNCTION("""COMPUTED_VALUE"""),31200)</f>
        <v>31200</v>
      </c>
      <c r="BE249" s="24">
        <f ca="1">IFERROR(__xludf.DUMMYFUNCTION("""COMPUTED_VALUE"""),0)</f>
        <v>0</v>
      </c>
      <c r="BF249" s="24">
        <f ca="1">IFERROR(__xludf.DUMMYFUNCTION("""COMPUTED_VALUE"""),24305)</f>
        <v>24305</v>
      </c>
      <c r="BG249" s="24">
        <f ca="1">IFERROR(__xludf.DUMMYFUNCTION("""COMPUTED_VALUE"""),0)</f>
        <v>0</v>
      </c>
      <c r="BH249" s="24">
        <f ca="1">IFERROR(__xludf.DUMMYFUNCTION("""COMPUTED_VALUE"""),6895)</f>
        <v>6895</v>
      </c>
      <c r="BI249" s="20"/>
      <c r="BJ249" s="24">
        <f ca="1">IFERROR(__xludf.DUMMYFUNCTION("""COMPUTED_VALUE"""),0)</f>
        <v>0</v>
      </c>
      <c r="BK249" s="24">
        <f ca="1">IFERROR(__xludf.DUMMYFUNCTION("""COMPUTED_VALUE"""),0)</f>
        <v>0</v>
      </c>
      <c r="BL249" s="24">
        <f ca="1">IFERROR(__xludf.DUMMYFUNCTION("""COMPUTED_VALUE"""),0)</f>
        <v>0</v>
      </c>
      <c r="BM249" s="24">
        <f ca="1">IFERROR(__xludf.DUMMYFUNCTION("""COMPUTED_VALUE"""),0)</f>
        <v>0</v>
      </c>
      <c r="BN249" s="24">
        <f ca="1">IFERROR(__xludf.DUMMYFUNCTION("""COMPUTED_VALUE"""),0)</f>
        <v>0</v>
      </c>
      <c r="BO249" s="20"/>
      <c r="BP249" s="24">
        <f ca="1">IFERROR(__xludf.DUMMYFUNCTION("""COMPUTED_VALUE"""),0)</f>
        <v>0</v>
      </c>
      <c r="BQ249" s="24">
        <f ca="1">IFERROR(__xludf.DUMMYFUNCTION("""COMPUTED_VALUE"""),0)</f>
        <v>0</v>
      </c>
      <c r="BR249" s="24">
        <f ca="1">IFERROR(__xludf.DUMMYFUNCTION("""COMPUTED_VALUE"""),0)</f>
        <v>0</v>
      </c>
      <c r="BS249" s="24">
        <f ca="1">IFERROR(__xludf.DUMMYFUNCTION("""COMPUTED_VALUE"""),0)</f>
        <v>0</v>
      </c>
      <c r="BT249" s="24">
        <f ca="1">IFERROR(__xludf.DUMMYFUNCTION("""COMPUTED_VALUE"""),0)</f>
        <v>0</v>
      </c>
      <c r="BU249" s="20"/>
      <c r="BV249" s="24">
        <f ca="1">IFERROR(__xludf.DUMMYFUNCTION("""COMPUTED_VALUE"""),0)</f>
        <v>0</v>
      </c>
      <c r="BW249" s="24">
        <f ca="1">IFERROR(__xludf.DUMMYFUNCTION("""COMPUTED_VALUE"""),0)</f>
        <v>0</v>
      </c>
      <c r="BX249" s="24">
        <f ca="1">IFERROR(__xludf.DUMMYFUNCTION("""COMPUTED_VALUE"""),0)</f>
        <v>0</v>
      </c>
      <c r="BY249" s="24">
        <f ca="1">IFERROR(__xludf.DUMMYFUNCTION("""COMPUTED_VALUE"""),0)</f>
        <v>0</v>
      </c>
      <c r="BZ249" s="24">
        <f ca="1">IFERROR(__xludf.DUMMYFUNCTION("""COMPUTED_VALUE"""),0)</f>
        <v>0</v>
      </c>
      <c r="CA249" s="20"/>
      <c r="CB249" s="20"/>
      <c r="CC249" s="20"/>
      <c r="CD249" s="20"/>
      <c r="CE249" s="20"/>
      <c r="CF249" s="20"/>
      <c r="CG249" s="20"/>
      <c r="CH249" s="20"/>
      <c r="CI249" s="20"/>
      <c r="CJ249" s="33">
        <f ca="1">IFERROR(__xludf.DUMMYFUNCTION("""COMPUTED_VALUE"""),43790)</f>
        <v>43790</v>
      </c>
      <c r="CK249" s="33">
        <f ca="1">IFERROR(__xludf.DUMMYFUNCTION("""COMPUTED_VALUE"""),43943)</f>
        <v>43943</v>
      </c>
      <c r="CL249" s="20" t="str">
        <f ca="1">IFERROR(__xludf.DUMMYFUNCTION("""COMPUTED_VALUE"""),"50-1-1-3-0826-20")</f>
        <v>50-1-1-3-0826-20</v>
      </c>
      <c r="CM249" s="26">
        <f ca="1">IFERROR(__xludf.DUMMYFUNCTION("""COMPUTED_VALUE"""),44140)</f>
        <v>44140</v>
      </c>
      <c r="CN249" s="20" t="str">
        <f ca="1">IFERROR(__xludf.DUMMYFUNCTION("""COMPUTED_VALUE"""),"0148200005420000408")</f>
        <v>0148200005420000408</v>
      </c>
      <c r="CO249" s="26">
        <f ca="1">IFERROR(__xludf.DUMMYFUNCTION("""COMPUTED_VALUE"""),44167)</f>
        <v>44167</v>
      </c>
      <c r="CP249" s="20" t="str">
        <f ca="1">IFERROR(__xludf.DUMMYFUNCTION("""COMPUTED_VALUE"""),"0148200005420000408")</f>
        <v>0148200005420000408</v>
      </c>
      <c r="CQ249" s="20">
        <f ca="1">IFERROR(__xludf.DUMMYFUNCTION("""COMPUTED_VALUE"""),44383555.63)</f>
        <v>44383555.630000003</v>
      </c>
      <c r="CR249" s="20" t="str">
        <f ca="1">IFERROR(__xludf.DUMMYFUNCTION("""COMPUTED_VALUE"""),"ОБЩЕСТВО С ОГРАНИЧЕННОЙ ОТВЕТСТВЕННОСТЬЮ ""СТРОЙРЕМКОМПЛЕКТАЦИЯ""")</f>
        <v>ОБЩЕСТВО С ОГРАНИЧЕННОЙ ОТВЕТСТВЕННОСТЬЮ "СТРОЙРЕМКОМПЛЕКТАЦИЯ"</v>
      </c>
      <c r="CS249" s="27" t="str">
        <f ca="1">IFERROR(__xludf.DUMMYFUNCTION("""COMPUTED_VALUE"""),"https://zakupki.gov.ru/epz/contract/contractCard/document-info.html?reestrNumber=3500505657420000022")</f>
        <v>https://zakupki.gov.ru/epz/contract/contractCard/document-info.html?reestrNumber=3500505657420000022</v>
      </c>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row>
    <row r="250" spans="1:123" ht="64.5" hidden="1" customHeight="1" x14ac:dyDescent="0.2">
      <c r="A250" s="19"/>
      <c r="B250" s="20" t="str">
        <f ca="1">IFERROR(__xludf.DUMMYFUNCTION("""COMPUTED_VALUE"""),"г.о. Воскресенск")</f>
        <v>г.о. Воскресенск</v>
      </c>
      <c r="C25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0" s="20" t="str">
        <f ca="1">IFERROR(__xludf.DUMMYFUNCTION("""COMPUTED_VALUE"""),"МинЖКХ")</f>
        <v>МинЖКХ</v>
      </c>
      <c r="E250" s="20" t="str">
        <f ca="1">IFERROR(__xludf.DUMMYFUNCTION("""COMPUTED_VALUE"""),"Реконструкция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f>
        <v xml:space="preserv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v>
      </c>
      <c r="F250" s="32" t="str">
        <f ca="1">IFERROR(__xludf.DUMMYFUNCTION("""COMPUTED_VALUE"""),"КНК")</f>
        <v>КНК</v>
      </c>
      <c r="G250" s="20">
        <f ca="1">IFERROR(__xludf.DUMMYFUNCTION("""COMPUTED_VALUE"""),2022)</f>
        <v>2022</v>
      </c>
      <c r="H250" s="20" t="str">
        <f ca="1">IFERROR(__xludf.DUMMYFUNCTION("""COMPUTED_VALUE"""),"СМР")</f>
        <v>СМР</v>
      </c>
      <c r="I250" s="20"/>
      <c r="J250" s="20"/>
      <c r="K250" s="20"/>
      <c r="L250" s="20"/>
      <c r="M250" s="20"/>
      <c r="N250" s="24">
        <f ca="1">IFERROR(__xludf.DUMMYFUNCTION("""COMPUTED_VALUE"""),0)</f>
        <v>0</v>
      </c>
      <c r="O250" s="20"/>
      <c r="P250" s="20"/>
      <c r="Q250" s="20"/>
      <c r="R250" s="20"/>
      <c r="S250" s="20"/>
      <c r="T250" s="20"/>
      <c r="U250" s="24">
        <f ca="1">IFERROR(__xludf.DUMMYFUNCTION("""COMPUTED_VALUE"""),0)</f>
        <v>0</v>
      </c>
      <c r="V250" s="24">
        <f ca="1">IFERROR(__xludf.DUMMYFUNCTION("""COMPUTED_VALUE"""),0)</f>
        <v>0</v>
      </c>
      <c r="W250" s="24">
        <f ca="1">IFERROR(__xludf.DUMMYFUNCTION("""COMPUTED_VALUE"""),0)</f>
        <v>0</v>
      </c>
      <c r="X250" s="24">
        <f ca="1">IFERROR(__xludf.DUMMYFUNCTION("""COMPUTED_VALUE"""),0)</f>
        <v>0</v>
      </c>
      <c r="Y250" s="24">
        <f ca="1">IFERROR(__xludf.DUMMYFUNCTION("""COMPUTED_VALUE"""),0)</f>
        <v>0</v>
      </c>
      <c r="Z250" s="24">
        <f ca="1">IFERROR(__xludf.DUMMYFUNCTION("""COMPUTED_VALUE"""),0)</f>
        <v>0</v>
      </c>
      <c r="AA250" s="20" t="str">
        <f ca="1">IFERROR(__xludf.DUMMYFUNCTION("""COMPUTED_VALUE"""),"10 2 02 64030")</f>
        <v>10 2 02 64030</v>
      </c>
      <c r="AB250" s="20">
        <f ca="1">IFERROR(__xludf.DUMMYFUNCTION("""COMPUTED_VALUE"""),522)</f>
        <v>522</v>
      </c>
      <c r="AC250" s="20" t="str">
        <f ca="1">IFERROR(__xludf.DUMMYFUNCTION("""COMPUTED_VALUE"""),"нет")</f>
        <v>нет</v>
      </c>
      <c r="AD250" s="20"/>
      <c r="AE250" s="20"/>
      <c r="AF250" s="24">
        <f ca="1">IFERROR(__xludf.DUMMYFUNCTION("""COMPUTED_VALUE"""),61578.52)</f>
        <v>61578.52</v>
      </c>
      <c r="AG250" s="24">
        <f ca="1">IFERROR(__xludf.DUMMYFUNCTION("""COMPUTED_VALUE"""),0)</f>
        <v>0</v>
      </c>
      <c r="AH250" s="24">
        <f ca="1">IFERROR(__xludf.DUMMYFUNCTION("""COMPUTED_VALUE"""),47970)</f>
        <v>47970</v>
      </c>
      <c r="AI250" s="24">
        <f ca="1">IFERROR(__xludf.DUMMYFUNCTION("""COMPUTED_VALUE"""),0)</f>
        <v>0</v>
      </c>
      <c r="AJ250" s="24">
        <f ca="1">IFERROR(__xludf.DUMMYFUNCTION("""COMPUTED_VALUE"""),13608.52)</f>
        <v>13608.52</v>
      </c>
      <c r="AK250" s="24">
        <f ca="1">IFERROR(__xludf.DUMMYFUNCTION("""COMPUTED_VALUE"""),0)</f>
        <v>0</v>
      </c>
      <c r="AL250" s="24">
        <f ca="1">IFERROR(__xludf.DUMMYFUNCTION("""COMPUTED_VALUE"""),0)</f>
        <v>0</v>
      </c>
      <c r="AM250" s="20"/>
      <c r="AN250" s="20"/>
      <c r="AO250" s="20"/>
      <c r="AP250" s="20"/>
      <c r="AQ250" s="20"/>
      <c r="AR250" s="24">
        <f ca="1">IFERROR(__xludf.DUMMYFUNCTION("""COMPUTED_VALUE"""),0)</f>
        <v>0</v>
      </c>
      <c r="AS250" s="20"/>
      <c r="AT250" s="20"/>
      <c r="AU250" s="20"/>
      <c r="AV250" s="20"/>
      <c r="AW250" s="20"/>
      <c r="AX250" s="24">
        <f ca="1">IFERROR(__xludf.DUMMYFUNCTION("""COMPUTED_VALUE"""),0)</f>
        <v>0</v>
      </c>
      <c r="AY250" s="24">
        <f ca="1">IFERROR(__xludf.DUMMYFUNCTION("""COMPUTED_VALUE"""),0)</f>
        <v>0</v>
      </c>
      <c r="AZ250" s="24">
        <f ca="1">IFERROR(__xludf.DUMMYFUNCTION("""COMPUTED_VALUE"""),0)</f>
        <v>0</v>
      </c>
      <c r="BA250" s="24">
        <f ca="1">IFERROR(__xludf.DUMMYFUNCTION("""COMPUTED_VALUE"""),0)</f>
        <v>0</v>
      </c>
      <c r="BB250" s="24">
        <f ca="1">IFERROR(__xludf.DUMMYFUNCTION("""COMPUTED_VALUE"""),0)</f>
        <v>0</v>
      </c>
      <c r="BC250" s="20"/>
      <c r="BD250" s="24">
        <f ca="1">IFERROR(__xludf.DUMMYFUNCTION("""COMPUTED_VALUE"""),0)</f>
        <v>0</v>
      </c>
      <c r="BE250" s="24">
        <f ca="1">IFERROR(__xludf.DUMMYFUNCTION("""COMPUTED_VALUE"""),0)</f>
        <v>0</v>
      </c>
      <c r="BF250" s="24">
        <f ca="1">IFERROR(__xludf.DUMMYFUNCTION("""COMPUTED_VALUE"""),0)</f>
        <v>0</v>
      </c>
      <c r="BG250" s="24">
        <f ca="1">IFERROR(__xludf.DUMMYFUNCTION("""COMPUTED_VALUE"""),0)</f>
        <v>0</v>
      </c>
      <c r="BH250" s="24">
        <f ca="1">IFERROR(__xludf.DUMMYFUNCTION("""COMPUTED_VALUE"""),0)</f>
        <v>0</v>
      </c>
      <c r="BI250" s="20"/>
      <c r="BJ250" s="24">
        <f ca="1">IFERROR(__xludf.DUMMYFUNCTION("""COMPUTED_VALUE"""),61578.52)</f>
        <v>61578.52</v>
      </c>
      <c r="BK250" s="24">
        <f ca="1">IFERROR(__xludf.DUMMYFUNCTION("""COMPUTED_VALUE"""),0)</f>
        <v>0</v>
      </c>
      <c r="BL250" s="24">
        <f ca="1">IFERROR(__xludf.DUMMYFUNCTION("""COMPUTED_VALUE"""),47970)</f>
        <v>47970</v>
      </c>
      <c r="BM250" s="24">
        <f ca="1">IFERROR(__xludf.DUMMYFUNCTION("""COMPUTED_VALUE"""),0)</f>
        <v>0</v>
      </c>
      <c r="BN250" s="24">
        <f ca="1">IFERROR(__xludf.DUMMYFUNCTION("""COMPUTED_VALUE"""),13608.52)</f>
        <v>13608.52</v>
      </c>
      <c r="BO250" s="20"/>
      <c r="BP250" s="24">
        <f ca="1">IFERROR(__xludf.DUMMYFUNCTION("""COMPUTED_VALUE"""),0)</f>
        <v>0</v>
      </c>
      <c r="BQ250" s="24">
        <f ca="1">IFERROR(__xludf.DUMMYFUNCTION("""COMPUTED_VALUE"""),0)</f>
        <v>0</v>
      </c>
      <c r="BR250" s="24">
        <f ca="1">IFERROR(__xludf.DUMMYFUNCTION("""COMPUTED_VALUE"""),0)</f>
        <v>0</v>
      </c>
      <c r="BS250" s="24">
        <f ca="1">IFERROR(__xludf.DUMMYFUNCTION("""COMPUTED_VALUE"""),0)</f>
        <v>0</v>
      </c>
      <c r="BT250" s="24">
        <f ca="1">IFERROR(__xludf.DUMMYFUNCTION("""COMPUTED_VALUE"""),0)</f>
        <v>0</v>
      </c>
      <c r="BU250" s="20"/>
      <c r="BV250" s="24">
        <f ca="1">IFERROR(__xludf.DUMMYFUNCTION("""COMPUTED_VALUE"""),0)</f>
        <v>0</v>
      </c>
      <c r="BW250" s="24">
        <f ca="1">IFERROR(__xludf.DUMMYFUNCTION("""COMPUTED_VALUE"""),0)</f>
        <v>0</v>
      </c>
      <c r="BX250" s="24">
        <f ca="1">IFERROR(__xludf.DUMMYFUNCTION("""COMPUTED_VALUE"""),0)</f>
        <v>0</v>
      </c>
      <c r="BY250" s="24">
        <f ca="1">IFERROR(__xludf.DUMMYFUNCTION("""COMPUTED_VALUE"""),0)</f>
        <v>0</v>
      </c>
      <c r="BZ250" s="24">
        <f ca="1">IFERROR(__xludf.DUMMYFUNCTION("""COMPUTED_VALUE"""),0)</f>
        <v>0</v>
      </c>
      <c r="CA250" s="20"/>
      <c r="CB250" s="20"/>
      <c r="CC250" s="20"/>
      <c r="CD250" s="20"/>
      <c r="CE250" s="20"/>
      <c r="CF250" s="20"/>
      <c r="CG250" s="20"/>
      <c r="CH250" s="20"/>
      <c r="CI250" s="20"/>
      <c r="CJ250" s="20"/>
      <c r="CK250" s="20"/>
      <c r="CL250" s="20"/>
      <c r="CM250" s="20"/>
      <c r="CN250" s="20"/>
      <c r="CO250" s="20"/>
      <c r="CP250" s="20"/>
      <c r="CQ250" s="20"/>
      <c r="CR250" s="20"/>
      <c r="CS250" s="20"/>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row>
    <row r="251" spans="1:123" ht="64.5" hidden="1" customHeight="1" x14ac:dyDescent="0.2">
      <c r="A251" s="19"/>
      <c r="B251" s="20" t="str">
        <f ca="1">IFERROR(__xludf.DUMMYFUNCTION("""COMPUTED_VALUE"""),"г.о. Воскресенск")</f>
        <v>г.о. Воскресенск</v>
      </c>
      <c r="C25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1" s="20" t="str">
        <f ca="1">IFERROR(__xludf.DUMMYFUNCTION("""COMPUTED_VALUE"""),"МинЖКХ")</f>
        <v>МинЖКХ</v>
      </c>
      <c r="E251" s="20" t="str">
        <f ca="1">IFERROR(__xludf.DUMMYFUNCTION("""COMPUTED_VALUE"""),"Реконструкция КНС по адресу: г. Воскресенск, ул. Лермонтова, д.7а ")</f>
        <v xml:space="preserve">Реконструкция КНС по адресу: г. Воскресенск, ул. Лермонтова, д.7а </v>
      </c>
      <c r="F251" s="32" t="str">
        <f ca="1">IFERROR(__xludf.DUMMYFUNCTION("""COMPUTED_VALUE"""),"КНС")</f>
        <v>КНС</v>
      </c>
      <c r="G251" s="20">
        <f ca="1">IFERROR(__xludf.DUMMYFUNCTION("""COMPUTED_VALUE"""),2023)</f>
        <v>2023</v>
      </c>
      <c r="H251" s="20" t="str">
        <f ca="1">IFERROR(__xludf.DUMMYFUNCTION("""COMPUTED_VALUE"""),"СМР")</f>
        <v>СМР</v>
      </c>
      <c r="I251" s="20"/>
      <c r="J251" s="20"/>
      <c r="K251" s="20"/>
      <c r="L251" s="20"/>
      <c r="M251" s="20"/>
      <c r="N251" s="24">
        <f ca="1">IFERROR(__xludf.DUMMYFUNCTION("""COMPUTED_VALUE"""),0)</f>
        <v>0</v>
      </c>
      <c r="O251" s="20"/>
      <c r="P251" s="20"/>
      <c r="Q251" s="20"/>
      <c r="R251" s="20"/>
      <c r="S251" s="20"/>
      <c r="T251" s="20"/>
      <c r="U251" s="24">
        <f ca="1">IFERROR(__xludf.DUMMYFUNCTION("""COMPUTED_VALUE"""),0)</f>
        <v>0</v>
      </c>
      <c r="V251" s="24">
        <f ca="1">IFERROR(__xludf.DUMMYFUNCTION("""COMPUTED_VALUE"""),0)</f>
        <v>0</v>
      </c>
      <c r="W251" s="24">
        <f ca="1">IFERROR(__xludf.DUMMYFUNCTION("""COMPUTED_VALUE"""),0)</f>
        <v>0</v>
      </c>
      <c r="X251" s="24">
        <f ca="1">IFERROR(__xludf.DUMMYFUNCTION("""COMPUTED_VALUE"""),0)</f>
        <v>0</v>
      </c>
      <c r="Y251" s="24">
        <f ca="1">IFERROR(__xludf.DUMMYFUNCTION("""COMPUTED_VALUE"""),0)</f>
        <v>0</v>
      </c>
      <c r="Z251" s="24">
        <f ca="1">IFERROR(__xludf.DUMMYFUNCTION("""COMPUTED_VALUE"""),0)</f>
        <v>0</v>
      </c>
      <c r="AA251" s="20" t="str">
        <f ca="1">IFERROR(__xludf.DUMMYFUNCTION("""COMPUTED_VALUE"""),"10 2 02 64030")</f>
        <v>10 2 02 64030</v>
      </c>
      <c r="AB251" s="20">
        <f ca="1">IFERROR(__xludf.DUMMYFUNCTION("""COMPUTED_VALUE"""),522)</f>
        <v>522</v>
      </c>
      <c r="AC251" s="20" t="str">
        <f ca="1">IFERROR(__xludf.DUMMYFUNCTION("""COMPUTED_VALUE"""),"нет")</f>
        <v>нет</v>
      </c>
      <c r="AD251" s="20"/>
      <c r="AE251" s="20"/>
      <c r="AF251" s="24">
        <f ca="1">IFERROR(__xludf.DUMMYFUNCTION("""COMPUTED_VALUE"""),31984)</f>
        <v>31984</v>
      </c>
      <c r="AG251" s="24">
        <f ca="1">IFERROR(__xludf.DUMMYFUNCTION("""COMPUTED_VALUE"""),0)</f>
        <v>0</v>
      </c>
      <c r="AH251" s="24">
        <f ca="1">IFERROR(__xludf.DUMMYFUNCTION("""COMPUTED_VALUE"""),23370)</f>
        <v>23370</v>
      </c>
      <c r="AI251" s="24">
        <f ca="1">IFERROR(__xludf.DUMMYFUNCTION("""COMPUTED_VALUE"""),0)</f>
        <v>0</v>
      </c>
      <c r="AJ251" s="24">
        <f ca="1">IFERROR(__xludf.DUMMYFUNCTION("""COMPUTED_VALUE"""),8614)</f>
        <v>8614</v>
      </c>
      <c r="AK251" s="24">
        <f ca="1">IFERROR(__xludf.DUMMYFUNCTION("""COMPUTED_VALUE"""),0)</f>
        <v>0</v>
      </c>
      <c r="AL251" s="24">
        <f ca="1">IFERROR(__xludf.DUMMYFUNCTION("""COMPUTED_VALUE"""),0)</f>
        <v>0</v>
      </c>
      <c r="AM251" s="20"/>
      <c r="AN251" s="20"/>
      <c r="AO251" s="20"/>
      <c r="AP251" s="20"/>
      <c r="AQ251" s="20"/>
      <c r="AR251" s="24">
        <f ca="1">IFERROR(__xludf.DUMMYFUNCTION("""COMPUTED_VALUE"""),0)</f>
        <v>0</v>
      </c>
      <c r="AS251" s="20"/>
      <c r="AT251" s="20"/>
      <c r="AU251" s="20"/>
      <c r="AV251" s="20"/>
      <c r="AW251" s="20"/>
      <c r="AX251" s="24">
        <f ca="1">IFERROR(__xludf.DUMMYFUNCTION("""COMPUTED_VALUE"""),0)</f>
        <v>0</v>
      </c>
      <c r="AY251" s="24">
        <f ca="1">IFERROR(__xludf.DUMMYFUNCTION("""COMPUTED_VALUE"""),0)</f>
        <v>0</v>
      </c>
      <c r="AZ251" s="24">
        <f ca="1">IFERROR(__xludf.DUMMYFUNCTION("""COMPUTED_VALUE"""),0)</f>
        <v>0</v>
      </c>
      <c r="BA251" s="24">
        <f ca="1">IFERROR(__xludf.DUMMYFUNCTION("""COMPUTED_VALUE"""),0)</f>
        <v>0</v>
      </c>
      <c r="BB251" s="24">
        <f ca="1">IFERROR(__xludf.DUMMYFUNCTION("""COMPUTED_VALUE"""),0)</f>
        <v>0</v>
      </c>
      <c r="BC251" s="20"/>
      <c r="BD251" s="24">
        <f ca="1">IFERROR(__xludf.DUMMYFUNCTION("""COMPUTED_VALUE"""),0)</f>
        <v>0</v>
      </c>
      <c r="BE251" s="24">
        <f ca="1">IFERROR(__xludf.DUMMYFUNCTION("""COMPUTED_VALUE"""),0)</f>
        <v>0</v>
      </c>
      <c r="BF251" s="24">
        <f ca="1">IFERROR(__xludf.DUMMYFUNCTION("""COMPUTED_VALUE"""),0)</f>
        <v>0</v>
      </c>
      <c r="BG251" s="24">
        <f ca="1">IFERROR(__xludf.DUMMYFUNCTION("""COMPUTED_VALUE"""),0)</f>
        <v>0</v>
      </c>
      <c r="BH251" s="24">
        <f ca="1">IFERROR(__xludf.DUMMYFUNCTION("""COMPUTED_VALUE"""),0)</f>
        <v>0</v>
      </c>
      <c r="BI251" s="20"/>
      <c r="BJ251" s="24">
        <f ca="1">IFERROR(__xludf.DUMMYFUNCTION("""COMPUTED_VALUE"""),0)</f>
        <v>0</v>
      </c>
      <c r="BK251" s="24">
        <f ca="1">IFERROR(__xludf.DUMMYFUNCTION("""COMPUTED_VALUE"""),0)</f>
        <v>0</v>
      </c>
      <c r="BL251" s="24">
        <f ca="1">IFERROR(__xludf.DUMMYFUNCTION("""COMPUTED_VALUE"""),0)</f>
        <v>0</v>
      </c>
      <c r="BM251" s="24">
        <f ca="1">IFERROR(__xludf.DUMMYFUNCTION("""COMPUTED_VALUE"""),0)</f>
        <v>0</v>
      </c>
      <c r="BN251" s="24">
        <f ca="1">IFERROR(__xludf.DUMMYFUNCTION("""COMPUTED_VALUE"""),0)</f>
        <v>0</v>
      </c>
      <c r="BO251" s="20"/>
      <c r="BP251" s="24">
        <f ca="1">IFERROR(__xludf.DUMMYFUNCTION("""COMPUTED_VALUE"""),31984)</f>
        <v>31984</v>
      </c>
      <c r="BQ251" s="24">
        <f ca="1">IFERROR(__xludf.DUMMYFUNCTION("""COMPUTED_VALUE"""),0)</f>
        <v>0</v>
      </c>
      <c r="BR251" s="24">
        <f ca="1">IFERROR(__xludf.DUMMYFUNCTION("""COMPUTED_VALUE"""),23370)</f>
        <v>23370</v>
      </c>
      <c r="BS251" s="24">
        <f ca="1">IFERROR(__xludf.DUMMYFUNCTION("""COMPUTED_VALUE"""),0)</f>
        <v>0</v>
      </c>
      <c r="BT251" s="24">
        <f ca="1">IFERROR(__xludf.DUMMYFUNCTION("""COMPUTED_VALUE"""),8614)</f>
        <v>8614</v>
      </c>
      <c r="BU251" s="20"/>
      <c r="BV251" s="24">
        <f ca="1">IFERROR(__xludf.DUMMYFUNCTION("""COMPUTED_VALUE"""),0)</f>
        <v>0</v>
      </c>
      <c r="BW251" s="24">
        <f ca="1">IFERROR(__xludf.DUMMYFUNCTION("""COMPUTED_VALUE"""),0)</f>
        <v>0</v>
      </c>
      <c r="BX251" s="24">
        <f ca="1">IFERROR(__xludf.DUMMYFUNCTION("""COMPUTED_VALUE"""),0)</f>
        <v>0</v>
      </c>
      <c r="BY251" s="24">
        <f ca="1">IFERROR(__xludf.DUMMYFUNCTION("""COMPUTED_VALUE"""),0)</f>
        <v>0</v>
      </c>
      <c r="BZ251" s="24">
        <f ca="1">IFERROR(__xludf.DUMMYFUNCTION("""COMPUTED_VALUE"""),0)</f>
        <v>0</v>
      </c>
      <c r="CA251" s="20"/>
      <c r="CB251" s="20"/>
      <c r="CC251" s="20"/>
      <c r="CD251" s="20"/>
      <c r="CE251" s="20"/>
      <c r="CF251" s="20"/>
      <c r="CG251" s="20"/>
      <c r="CH251" s="20"/>
      <c r="CI251" s="20"/>
      <c r="CJ251" s="20"/>
      <c r="CK251" s="20"/>
      <c r="CL251" s="20"/>
      <c r="CM251" s="20"/>
      <c r="CN251" s="20"/>
      <c r="CO251" s="20"/>
      <c r="CP251" s="20"/>
      <c r="CQ251" s="20"/>
      <c r="CR251" s="20"/>
      <c r="CS251" s="20"/>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row>
    <row r="252" spans="1:123" ht="64.5" hidden="1" customHeight="1" x14ac:dyDescent="0.2">
      <c r="A252" s="19"/>
      <c r="B252" s="20" t="str">
        <f ca="1">IFERROR(__xludf.DUMMYFUNCTION("""COMPUTED_VALUE"""),"г.о. Богородский")</f>
        <v>г.о. Богородский</v>
      </c>
      <c r="C25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2" s="20" t="str">
        <f ca="1">IFERROR(__xludf.DUMMYFUNCTION("""COMPUTED_VALUE"""),"МинЖКХ")</f>
        <v>МинЖКХ</v>
      </c>
      <c r="E252" s="20" t="str">
        <f ca="1">IFERROR(__xludf.DUMMYFUNCTION("""COMPUTED_VALUE"""),"Строительство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f>
        <v>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v>
      </c>
      <c r="F252" s="32" t="str">
        <f ca="1">IFERROR(__xludf.DUMMYFUNCTION("""COMPUTED_VALUE"""),"КНС")</f>
        <v>КНС</v>
      </c>
      <c r="G252" s="20" t="str">
        <f ca="1">IFERROR(__xludf.DUMMYFUNCTION("""COMPUTED_VALUE"""),"2021-2023")</f>
        <v>2021-2023</v>
      </c>
      <c r="H252" s="20" t="str">
        <f ca="1">IFERROR(__xludf.DUMMYFUNCTION("""COMPUTED_VALUE"""),"СМР")</f>
        <v>СМР</v>
      </c>
      <c r="I252" s="20"/>
      <c r="J252" s="20"/>
      <c r="K252" s="20"/>
      <c r="L252" s="20"/>
      <c r="M252" s="20"/>
      <c r="N252" s="24">
        <f ca="1">IFERROR(__xludf.DUMMYFUNCTION("""COMPUTED_VALUE"""),0)</f>
        <v>0</v>
      </c>
      <c r="O252" s="20"/>
      <c r="P252" s="20"/>
      <c r="Q252" s="20"/>
      <c r="R252" s="20"/>
      <c r="S252" s="20"/>
      <c r="T252" s="20"/>
      <c r="U252" s="24">
        <f ca="1">IFERROR(__xludf.DUMMYFUNCTION("""COMPUTED_VALUE"""),0)</f>
        <v>0</v>
      </c>
      <c r="V252" s="24">
        <f ca="1">IFERROR(__xludf.DUMMYFUNCTION("""COMPUTED_VALUE"""),0)</f>
        <v>0</v>
      </c>
      <c r="W252" s="24">
        <f ca="1">IFERROR(__xludf.DUMMYFUNCTION("""COMPUTED_VALUE"""),0)</f>
        <v>0</v>
      </c>
      <c r="X252" s="24">
        <f ca="1">IFERROR(__xludf.DUMMYFUNCTION("""COMPUTED_VALUE"""),0)</f>
        <v>0</v>
      </c>
      <c r="Y252" s="24">
        <f ca="1">IFERROR(__xludf.DUMMYFUNCTION("""COMPUTED_VALUE"""),0)</f>
        <v>0</v>
      </c>
      <c r="Z252" s="24">
        <f ca="1">IFERROR(__xludf.DUMMYFUNCTION("""COMPUTED_VALUE"""),0)</f>
        <v>0</v>
      </c>
      <c r="AA252" s="20" t="str">
        <f ca="1">IFERROR(__xludf.DUMMYFUNCTION("""COMPUTED_VALUE"""),"10 2 02 64030")</f>
        <v>10 2 02 64030</v>
      </c>
      <c r="AB252" s="20">
        <f ca="1">IFERROR(__xludf.DUMMYFUNCTION("""COMPUTED_VALUE"""),522)</f>
        <v>522</v>
      </c>
      <c r="AC252" s="20" t="str">
        <f ca="1">IFERROR(__xludf.DUMMYFUNCTION("""COMPUTED_VALUE"""),"нет")</f>
        <v>нет</v>
      </c>
      <c r="AD252" s="20"/>
      <c r="AE252" s="20"/>
      <c r="AF252" s="24">
        <f ca="1">IFERROR(__xludf.DUMMYFUNCTION("""COMPUTED_VALUE"""),570678.3)</f>
        <v>570678.30000000005</v>
      </c>
      <c r="AG252" s="24">
        <f ca="1">IFERROR(__xludf.DUMMYFUNCTION("""COMPUTED_VALUE"""),0)</f>
        <v>0</v>
      </c>
      <c r="AH252" s="24">
        <f ca="1">IFERROR(__xludf.DUMMYFUNCTION("""COMPUTED_VALUE"""),397194)</f>
        <v>397194</v>
      </c>
      <c r="AI252" s="24">
        <f ca="1">IFERROR(__xludf.DUMMYFUNCTION("""COMPUTED_VALUE"""),0)</f>
        <v>0</v>
      </c>
      <c r="AJ252" s="24">
        <f ca="1">IFERROR(__xludf.DUMMYFUNCTION("""COMPUTED_VALUE"""),173484.3)</f>
        <v>173484.3</v>
      </c>
      <c r="AK252" s="24">
        <f ca="1">IFERROR(__xludf.DUMMYFUNCTION("""COMPUTED_VALUE"""),0)</f>
        <v>0</v>
      </c>
      <c r="AL252" s="24">
        <f ca="1">IFERROR(__xludf.DUMMYFUNCTION("""COMPUTED_VALUE"""),0)</f>
        <v>0</v>
      </c>
      <c r="AM252" s="20"/>
      <c r="AN252" s="20"/>
      <c r="AO252" s="20"/>
      <c r="AP252" s="20"/>
      <c r="AQ252" s="20"/>
      <c r="AR252" s="24">
        <f ca="1">IFERROR(__xludf.DUMMYFUNCTION("""COMPUTED_VALUE"""),0)</f>
        <v>0</v>
      </c>
      <c r="AS252" s="20"/>
      <c r="AT252" s="20"/>
      <c r="AU252" s="20"/>
      <c r="AV252" s="20"/>
      <c r="AW252" s="20"/>
      <c r="AX252" s="24">
        <f ca="1">IFERROR(__xludf.DUMMYFUNCTION("""COMPUTED_VALUE"""),0)</f>
        <v>0</v>
      </c>
      <c r="AY252" s="24">
        <f ca="1">IFERROR(__xludf.DUMMYFUNCTION("""COMPUTED_VALUE"""),0)</f>
        <v>0</v>
      </c>
      <c r="AZ252" s="24">
        <f ca="1">IFERROR(__xludf.DUMMYFUNCTION("""COMPUTED_VALUE"""),0)</f>
        <v>0</v>
      </c>
      <c r="BA252" s="24">
        <f ca="1">IFERROR(__xludf.DUMMYFUNCTION("""COMPUTED_VALUE"""),0)</f>
        <v>0</v>
      </c>
      <c r="BB252" s="24">
        <f ca="1">IFERROR(__xludf.DUMMYFUNCTION("""COMPUTED_VALUE"""),0)</f>
        <v>0</v>
      </c>
      <c r="BC252" s="20"/>
      <c r="BD252" s="24">
        <f ca="1">IFERROR(__xludf.DUMMYFUNCTION("""COMPUTED_VALUE"""),13297.85)</f>
        <v>13297.85</v>
      </c>
      <c r="BE252" s="24">
        <f ca="1">IFERROR(__xludf.DUMMYFUNCTION("""COMPUTED_VALUE"""),0)</f>
        <v>0</v>
      </c>
      <c r="BF252" s="24">
        <f ca="1">IFERROR(__xludf.DUMMYFUNCTION("""COMPUTED_VALUE"""),10000)</f>
        <v>10000</v>
      </c>
      <c r="BG252" s="24">
        <f ca="1">IFERROR(__xludf.DUMMYFUNCTION("""COMPUTED_VALUE"""),0)</f>
        <v>0</v>
      </c>
      <c r="BH252" s="24">
        <f ca="1">IFERROR(__xludf.DUMMYFUNCTION("""COMPUTED_VALUE"""),3297.85)</f>
        <v>3297.85</v>
      </c>
      <c r="BI252" s="20"/>
      <c r="BJ252" s="24">
        <f ca="1">IFERROR(__xludf.DUMMYFUNCTION("""COMPUTED_VALUE"""),283000)</f>
        <v>283000</v>
      </c>
      <c r="BK252" s="24">
        <f ca="1">IFERROR(__xludf.DUMMYFUNCTION("""COMPUTED_VALUE"""),0)</f>
        <v>0</v>
      </c>
      <c r="BL252" s="24">
        <f ca="1">IFERROR(__xludf.DUMMYFUNCTION("""COMPUTED_VALUE"""),191874)</f>
        <v>191874</v>
      </c>
      <c r="BM252" s="24">
        <f ca="1">IFERROR(__xludf.DUMMYFUNCTION("""COMPUTED_VALUE"""),0)</f>
        <v>0</v>
      </c>
      <c r="BN252" s="24">
        <f ca="1">IFERROR(__xludf.DUMMYFUNCTION("""COMPUTED_VALUE"""),91126)</f>
        <v>91126</v>
      </c>
      <c r="BO252" s="20"/>
      <c r="BP252" s="24">
        <f ca="1">IFERROR(__xludf.DUMMYFUNCTION("""COMPUTED_VALUE"""),274380.45)</f>
        <v>274380.45</v>
      </c>
      <c r="BQ252" s="24">
        <f ca="1">IFERROR(__xludf.DUMMYFUNCTION("""COMPUTED_VALUE"""),0)</f>
        <v>0</v>
      </c>
      <c r="BR252" s="24">
        <f ca="1">IFERROR(__xludf.DUMMYFUNCTION("""COMPUTED_VALUE"""),195320)</f>
        <v>195320</v>
      </c>
      <c r="BS252" s="24">
        <f ca="1">IFERROR(__xludf.DUMMYFUNCTION("""COMPUTED_VALUE"""),0)</f>
        <v>0</v>
      </c>
      <c r="BT252" s="24">
        <f ca="1">IFERROR(__xludf.DUMMYFUNCTION("""COMPUTED_VALUE"""),79060.45)</f>
        <v>79060.45</v>
      </c>
      <c r="BU252" s="20"/>
      <c r="BV252" s="24">
        <f ca="1">IFERROR(__xludf.DUMMYFUNCTION("""COMPUTED_VALUE"""),0)</f>
        <v>0</v>
      </c>
      <c r="BW252" s="24">
        <f ca="1">IFERROR(__xludf.DUMMYFUNCTION("""COMPUTED_VALUE"""),0)</f>
        <v>0</v>
      </c>
      <c r="BX252" s="24">
        <f ca="1">IFERROR(__xludf.DUMMYFUNCTION("""COMPUTED_VALUE"""),0)</f>
        <v>0</v>
      </c>
      <c r="BY252" s="24">
        <f ca="1">IFERROR(__xludf.DUMMYFUNCTION("""COMPUTED_VALUE"""),0)</f>
        <v>0</v>
      </c>
      <c r="BZ252" s="24">
        <f ca="1">IFERROR(__xludf.DUMMYFUNCTION("""COMPUTED_VALUE"""),0)</f>
        <v>0</v>
      </c>
      <c r="CA252" s="20"/>
      <c r="CB252" s="20"/>
      <c r="CC252" s="20"/>
      <c r="CD252" s="20"/>
      <c r="CE252" s="20"/>
      <c r="CF252" s="20"/>
      <c r="CG252" s="20"/>
      <c r="CH252" s="20"/>
      <c r="CI252" s="20"/>
      <c r="CJ252" s="20"/>
      <c r="CK252" s="20"/>
      <c r="CL252" s="20"/>
      <c r="CM252" s="20"/>
      <c r="CN252" s="20"/>
      <c r="CO252" s="20"/>
      <c r="CP252" s="20"/>
      <c r="CQ252" s="20"/>
      <c r="CR252" s="20"/>
      <c r="CS252" s="20"/>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row>
    <row r="253" spans="1:123" ht="64.5" customHeight="1" x14ac:dyDescent="0.2">
      <c r="A253" s="19"/>
      <c r="B253" s="20" t="str">
        <f ca="1">IFERROR(__xludf.DUMMYFUNCTION("""COMPUTED_VALUE"""),"г.о. Щелково")</f>
        <v>г.о. Щелково</v>
      </c>
      <c r="C25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3" s="20" t="str">
        <f ca="1">IFERROR(__xludf.DUMMYFUNCTION("""COMPUTED_VALUE"""),"МинЖКХ")</f>
        <v>МинЖКХ</v>
      </c>
      <c r="E253" s="20" t="str">
        <f ca="1">IFERROR(__xludf.DUMMYFUNCTION("""COMPUTED_VALUE"""),"Модернизация КНС ""Соколовская"" г.Щелково, в том числе:")</f>
        <v>Модернизация КНС "Соколовская" г.Щелково, в том числе:</v>
      </c>
      <c r="F253" s="32" t="str">
        <f ca="1">IFERROR(__xludf.DUMMYFUNCTION("""COMPUTED_VALUE"""),"КНС")</f>
        <v>КНС</v>
      </c>
      <c r="G253" s="20" t="str">
        <f ca="1">IFERROR(__xludf.DUMMYFUNCTION("""COMPUTED_VALUE"""),"2020-2021")</f>
        <v>2020-2021</v>
      </c>
      <c r="H253" s="20" t="str">
        <f ca="1">IFERROR(__xludf.DUMMYFUNCTION("""COMPUTED_VALUE"""),"СМР")</f>
        <v>СМР</v>
      </c>
      <c r="I253" s="20">
        <f ca="1">IFERROR(__xludf.DUMMYFUNCTION("""COMPUTED_VALUE"""),30)</f>
        <v>30</v>
      </c>
      <c r="J253" s="20" t="str">
        <f ca="1">IFERROR(__xludf.DUMMYFUNCTION("""COMPUTED_VALUE"""),"Направление проекта в МОГЭ - оринтировочно начало декабря. Оплата аванса в размере 82,9 млн. руб до 20.11.2020. освоения по КС не планируется до вснесения изменений в  проект")</f>
        <v>Направление проекта в МОГЭ - оринтировочно начало декабря. Оплата аванса в размере 82,9 млн. руб до 20.11.2020. освоения по КС не планируется до вснесения изменений в  проект</v>
      </c>
      <c r="K253" s="20">
        <f ca="1">IFERROR(__xludf.DUMMYFUNCTION("""COMPUTED_VALUE"""),527000)</f>
        <v>527000</v>
      </c>
      <c r="L253" s="20">
        <f ca="1">IFERROR(__xludf.DUMMYFUNCTION("""COMPUTED_VALUE"""),527000)</f>
        <v>527000</v>
      </c>
      <c r="M253" s="20"/>
      <c r="N253" s="24">
        <f ca="1">IFERROR(__xludf.DUMMYFUNCTION("""COMPUTED_VALUE"""),330177.56)</f>
        <v>330177.56</v>
      </c>
      <c r="O253" s="20"/>
      <c r="P253" s="24">
        <f ca="1">IFERROR(__xludf.DUMMYFUNCTION("""COMPUTED_VALUE"""),71394)</f>
        <v>71394</v>
      </c>
      <c r="Q253" s="24">
        <f ca="1">IFERROR(__xludf.DUMMYFUNCTION("""COMPUTED_VALUE"""),251571.35)</f>
        <v>251571.35</v>
      </c>
      <c r="R253" s="24">
        <f ca="1">IFERROR(__xludf.DUMMYFUNCTION("""COMPUTED_VALUE"""),7212.21)</f>
        <v>7212.21</v>
      </c>
      <c r="S253" s="20"/>
      <c r="T253" s="20" t="str">
        <f ca="1">IFERROR(__xludf.DUMMYFUNCTION("""COMPUTED_VALUE"""),"Подготовленная рабочая документация не учитывает всего объема выполненых работ, в связи с чем сумму к оплате не может быт ьсформирована в полном объеме. В целях увелечения объемов финансирования рассматривается вопрос включения в КС закупки оборудования. "&amp;" 
Подписано доп. соглашение 
на увеличение аванса на сумму 82 млн. руб. не утверждена мун. программа округа.")</f>
        <v>Подготовленная рабочая документация не учитывает всего объема выполненых работ, в связи с чем сумму к оплате не может быт ьсформирована в полном объеме. В целях увелечения объемов финансирования рассматривается вопрос включения в КС закупки оборудования.  
Подписано доп. соглашение 
на увеличение аванса на сумму 82 млн. руб. не утверждена мун. программа округа.</v>
      </c>
      <c r="U253" s="24">
        <f ca="1">IFERROR(__xludf.DUMMYFUNCTION("""COMPUTED_VALUE"""),11656.1199999999)</f>
        <v>11656.119999999901</v>
      </c>
      <c r="V253" s="24">
        <f ca="1">IFERROR(__xludf.DUMMYFUNCTION("""COMPUTED_VALUE"""),0)</f>
        <v>0</v>
      </c>
      <c r="W253" s="24">
        <f ca="1">IFERROR(__xludf.DUMMYFUNCTION("""COMPUTED_VALUE"""),0)</f>
        <v>0</v>
      </c>
      <c r="X253" s="24">
        <f ca="1">IFERROR(__xludf.DUMMYFUNCTION("""COMPUTED_VALUE"""),1776.64999999999)</f>
        <v>1776.6499999999901</v>
      </c>
      <c r="Y253" s="24">
        <f ca="1">IFERROR(__xludf.DUMMYFUNCTION("""COMPUTED_VALUE"""),9879.47)</f>
        <v>9879.4699999999993</v>
      </c>
      <c r="Z253" s="24">
        <f ca="1">IFERROR(__xludf.DUMMYFUNCTION("""COMPUTED_VALUE"""),0)</f>
        <v>0</v>
      </c>
      <c r="AA253" s="20" t="str">
        <f ca="1">IFERROR(__xludf.DUMMYFUNCTION("""COMPUTED_VALUE"""),"10 2 02 64030")</f>
        <v>10 2 02 64030</v>
      </c>
      <c r="AB253" s="20">
        <f ca="1">IFERROR(__xludf.DUMMYFUNCTION("""COMPUTED_VALUE"""),522)</f>
        <v>522</v>
      </c>
      <c r="AC253" s="20" t="str">
        <f ca="1">IFERROR(__xludf.DUMMYFUNCTION("""COMPUTED_VALUE"""),"не требуется")</f>
        <v>не требуется</v>
      </c>
      <c r="AD253" s="20"/>
      <c r="AE253" s="20"/>
      <c r="AF253" s="24">
        <f ca="1">IFERROR(__xludf.DUMMYFUNCTION("""COMPUTED_VALUE"""),729397.98)</f>
        <v>729397.98</v>
      </c>
      <c r="AG253" s="24">
        <f ca="1">IFERROR(__xludf.DUMMYFUNCTION("""COMPUTED_VALUE"""),0)</f>
        <v>0</v>
      </c>
      <c r="AH253" s="24">
        <f ca="1">IFERROR(__xludf.DUMMYFUNCTION("""COMPUTED_VALUE"""),405601.08)</f>
        <v>405601.08</v>
      </c>
      <c r="AI253" s="24">
        <f ca="1">IFERROR(__xludf.DUMMYFUNCTION("""COMPUTED_VALUE"""),287327)</f>
        <v>287327</v>
      </c>
      <c r="AJ253" s="24">
        <f ca="1">IFERROR(__xludf.DUMMYFUNCTION("""COMPUTED_VALUE"""),36469.9)</f>
        <v>36469.9</v>
      </c>
      <c r="AK253" s="24">
        <f ca="1">IFERROR(__xludf.DUMMYFUNCTION("""COMPUTED_VALUE"""),0)</f>
        <v>0</v>
      </c>
      <c r="AL253" s="24">
        <f ca="1">IFERROR(__xludf.DUMMYFUNCTION("""COMPUTED_VALUE"""),0)</f>
        <v>0</v>
      </c>
      <c r="AM253" s="20"/>
      <c r="AN253" s="20"/>
      <c r="AO253" s="20"/>
      <c r="AP253" s="20"/>
      <c r="AQ253" s="20"/>
      <c r="AR253" s="24">
        <f ca="1">IFERROR(__xludf.DUMMYFUNCTION("""COMPUTED_VALUE"""),0)</f>
        <v>0</v>
      </c>
      <c r="AS253" s="20"/>
      <c r="AT253" s="20"/>
      <c r="AU253" s="20"/>
      <c r="AV253" s="20"/>
      <c r="AW253" s="20"/>
      <c r="AX253" s="24">
        <f ca="1">IFERROR(__xludf.DUMMYFUNCTION("""COMPUTED_VALUE"""),341833.68)</f>
        <v>341833.68</v>
      </c>
      <c r="AY253" s="24">
        <f ca="1">IFERROR(__xludf.DUMMYFUNCTION("""COMPUTED_VALUE"""),0)</f>
        <v>0</v>
      </c>
      <c r="AZ253" s="24">
        <f ca="1">IFERROR(__xludf.DUMMYFUNCTION("""COMPUTED_VALUE"""),71394)</f>
        <v>71394</v>
      </c>
      <c r="BA253" s="24">
        <f ca="1">IFERROR(__xludf.DUMMYFUNCTION("""COMPUTED_VALUE"""),253348)</f>
        <v>253348</v>
      </c>
      <c r="BB253" s="24">
        <f ca="1">IFERROR(__xludf.DUMMYFUNCTION("""COMPUTED_VALUE"""),17091.68)</f>
        <v>17091.68</v>
      </c>
      <c r="BC253" s="20"/>
      <c r="BD253" s="24">
        <f ca="1">IFERROR(__xludf.DUMMYFUNCTION("""COMPUTED_VALUE"""),387564.3)</f>
        <v>387564.3</v>
      </c>
      <c r="BE253" s="24">
        <f ca="1">IFERROR(__xludf.DUMMYFUNCTION("""COMPUTED_VALUE"""),0)</f>
        <v>0</v>
      </c>
      <c r="BF253" s="24">
        <f ca="1">IFERROR(__xludf.DUMMYFUNCTION("""COMPUTED_VALUE"""),334207.08)</f>
        <v>334207.08</v>
      </c>
      <c r="BG253" s="24">
        <f ca="1">IFERROR(__xludf.DUMMYFUNCTION("""COMPUTED_VALUE"""),33979)</f>
        <v>33979</v>
      </c>
      <c r="BH253" s="24">
        <f ca="1">IFERROR(__xludf.DUMMYFUNCTION("""COMPUTED_VALUE"""),19378.22)</f>
        <v>19378.22</v>
      </c>
      <c r="BI253" s="20"/>
      <c r="BJ253" s="24">
        <f ca="1">IFERROR(__xludf.DUMMYFUNCTION("""COMPUTED_VALUE"""),0)</f>
        <v>0</v>
      </c>
      <c r="BK253" s="24">
        <f ca="1">IFERROR(__xludf.DUMMYFUNCTION("""COMPUTED_VALUE"""),0)</f>
        <v>0</v>
      </c>
      <c r="BL253" s="24">
        <f ca="1">IFERROR(__xludf.DUMMYFUNCTION("""COMPUTED_VALUE"""),0)</f>
        <v>0</v>
      </c>
      <c r="BM253" s="24">
        <f ca="1">IFERROR(__xludf.DUMMYFUNCTION("""COMPUTED_VALUE"""),0)</f>
        <v>0</v>
      </c>
      <c r="BN253" s="24">
        <f ca="1">IFERROR(__xludf.DUMMYFUNCTION("""COMPUTED_VALUE"""),0)</f>
        <v>0</v>
      </c>
      <c r="BO253" s="20"/>
      <c r="BP253" s="24">
        <f ca="1">IFERROR(__xludf.DUMMYFUNCTION("""COMPUTED_VALUE"""),0)</f>
        <v>0</v>
      </c>
      <c r="BQ253" s="24">
        <f ca="1">IFERROR(__xludf.DUMMYFUNCTION("""COMPUTED_VALUE"""),0)</f>
        <v>0</v>
      </c>
      <c r="BR253" s="24">
        <f ca="1">IFERROR(__xludf.DUMMYFUNCTION("""COMPUTED_VALUE"""),0)</f>
        <v>0</v>
      </c>
      <c r="BS253" s="24">
        <f ca="1">IFERROR(__xludf.DUMMYFUNCTION("""COMPUTED_VALUE"""),0)</f>
        <v>0</v>
      </c>
      <c r="BT253" s="24">
        <f ca="1">IFERROR(__xludf.DUMMYFUNCTION("""COMPUTED_VALUE"""),0)</f>
        <v>0</v>
      </c>
      <c r="BU253" s="20"/>
      <c r="BV253" s="24">
        <f ca="1">IFERROR(__xludf.DUMMYFUNCTION("""COMPUTED_VALUE"""),0)</f>
        <v>0</v>
      </c>
      <c r="BW253" s="24">
        <f ca="1">IFERROR(__xludf.DUMMYFUNCTION("""COMPUTED_VALUE"""),0)</f>
        <v>0</v>
      </c>
      <c r="BX253" s="24">
        <f ca="1">IFERROR(__xludf.DUMMYFUNCTION("""COMPUTED_VALUE"""),0)</f>
        <v>0</v>
      </c>
      <c r="BY253" s="24">
        <f ca="1">IFERROR(__xludf.DUMMYFUNCTION("""COMPUTED_VALUE"""),0)</f>
        <v>0</v>
      </c>
      <c r="BZ253" s="24">
        <f ca="1">IFERROR(__xludf.DUMMYFUNCTION("""COMPUTED_VALUE"""),0)</f>
        <v>0</v>
      </c>
      <c r="CA253" s="20"/>
      <c r="CB253" s="20"/>
      <c r="CC253" s="20"/>
      <c r="CD253" s="20"/>
      <c r="CE253" s="20"/>
      <c r="CF253" s="20"/>
      <c r="CG253" s="20"/>
      <c r="CH253" s="20"/>
      <c r="CI253" s="20"/>
      <c r="CJ253" s="20"/>
      <c r="CK253" s="20"/>
      <c r="CL253" s="20"/>
      <c r="CM253" s="26">
        <f ca="1">IFERROR(__xludf.DUMMYFUNCTION("""COMPUTED_VALUE"""),43671)</f>
        <v>43671</v>
      </c>
      <c r="CN253" s="20" t="str">
        <f ca="1">IFERROR(__xludf.DUMMYFUNCTION("""COMPUTED_VALUE"""),"0148200005419000379")</f>
        <v>0148200005419000379</v>
      </c>
      <c r="CO253" s="26">
        <f ca="1">IFERROR(__xludf.DUMMYFUNCTION("""COMPUTED_VALUE"""),43735)</f>
        <v>43735</v>
      </c>
      <c r="CP253" s="20" t="str">
        <f ca="1">IFERROR(__xludf.DUMMYFUNCTION("""COMPUTED_VALUE"""),"0148200005419000379")</f>
        <v>0148200005419000379</v>
      </c>
      <c r="CQ253" s="20">
        <f ca="1">IFERROR(__xludf.DUMMYFUNCTION("""COMPUTED_VALUE"""),829791961.24)</f>
        <v>829791961.24000001</v>
      </c>
      <c r="CR253" s="20" t="str">
        <f ca="1">IFERROR(__xludf.DUMMYFUNCTION("""COMPUTED_VALUE"""),"ООО ""УИР 701""")</f>
        <v>ООО "УИР 701"</v>
      </c>
      <c r="CS253" s="27" t="str">
        <f ca="1">IFERROR(__xludf.DUMMYFUNCTION("""COMPUTED_VALUE"""),"https://zakupki.gov.ru/epz/contract/contractCard/common-info.html?reestrNumber=3505000215419000278&amp;backUrl=1eb41833-297f-4274-8436-069f3d26e4c7")</f>
        <v>https://zakupki.gov.ru/epz/contract/contractCard/common-info.html?reestrNumber=3505000215419000278&amp;backUrl=1eb41833-297f-4274-8436-069f3d26e4c7</v>
      </c>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row>
    <row r="254" spans="1:123" ht="64.5" hidden="1" customHeight="1" x14ac:dyDescent="0.2">
      <c r="A254" s="19"/>
      <c r="B254" s="20" t="str">
        <f ca="1">IFERROR(__xludf.DUMMYFUNCTION("""COMPUTED_VALUE"""),"г.о. Щелково")</f>
        <v>г.о. Щелково</v>
      </c>
      <c r="C25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4" s="20" t="str">
        <f ca="1">IFERROR(__xludf.DUMMYFUNCTION("""COMPUTED_VALUE"""),"МинЖКХ")</f>
        <v>МинЖКХ</v>
      </c>
      <c r="E254" s="20" t="str">
        <f ca="1">IFERROR(__xludf.DUMMYFUNCTION("""COMPUTED_VALUE"""),"В том числе проектно-изыскательские работы
 (к объекту Модернизация КНС ""Соколовская"" г.Щелково - включено в общую стоимость работ))")</f>
        <v>В том числе проектно-изыскательские работы
 (к объекту Модернизация КНС "Соколовская" г.Щелково - включено в общую стоимость работ))</v>
      </c>
      <c r="F254" s="32" t="str">
        <f ca="1">IFERROR(__xludf.DUMMYFUNCTION("""COMPUTED_VALUE"""),"КНС")</f>
        <v>КНС</v>
      </c>
      <c r="G254" s="20" t="str">
        <f ca="1">IFERROR(__xludf.DUMMYFUNCTION("""COMPUTED_VALUE"""),"Н/Л")</f>
        <v>Н/Л</v>
      </c>
      <c r="H254" s="20" t="str">
        <f ca="1">IFERROR(__xludf.DUMMYFUNCTION("""COMPUTED_VALUE"""),"ПИР")</f>
        <v>ПИР</v>
      </c>
      <c r="I254" s="20" t="str">
        <f ca="1">IFERROR(__xludf.DUMMYFUNCTION("""COMPUTED_VALUE"""),"-")</f>
        <v>-</v>
      </c>
      <c r="J254" s="20" t="str">
        <f ca="1">IFERROR(__xludf.DUMMYFUNCTION("""COMPUTED_VALUE"""),"Документация разрабатвается в соотвествии с принятыми техническими решениями. необходимо направлять док в могэ.")</f>
        <v>Документация разрабатвается в соотвествии с принятыми техническими решениями. необходимо направлять док в могэ.</v>
      </c>
      <c r="K254" s="20" t="str">
        <f ca="1">IFERROR(__xludf.DUMMYFUNCTION("""COMPUTED_VALUE"""),"-")</f>
        <v>-</v>
      </c>
      <c r="L254" s="20" t="str">
        <f ca="1">IFERROR(__xludf.DUMMYFUNCTION("""COMPUTED_VALUE"""),"-")</f>
        <v>-</v>
      </c>
      <c r="M254" s="20"/>
      <c r="N254" s="24">
        <f ca="1">IFERROR(__xludf.DUMMYFUNCTION("""COMPUTED_VALUE"""),0)</f>
        <v>0</v>
      </c>
      <c r="O254" s="20"/>
      <c r="P254" s="24">
        <f ca="1">IFERROR(__xludf.DUMMYFUNCTION("""COMPUTED_VALUE"""),0)</f>
        <v>0</v>
      </c>
      <c r="Q254" s="20"/>
      <c r="R254" s="20"/>
      <c r="S254" s="20"/>
      <c r="T254" s="20"/>
      <c r="U254" s="24">
        <f ca="1">IFERROR(__xludf.DUMMYFUNCTION("""COMPUTED_VALUE"""),0)</f>
        <v>0</v>
      </c>
      <c r="V254" s="24">
        <f ca="1">IFERROR(__xludf.DUMMYFUNCTION("""COMPUTED_VALUE"""),0)</f>
        <v>0</v>
      </c>
      <c r="W254" s="24">
        <f ca="1">IFERROR(__xludf.DUMMYFUNCTION("""COMPUTED_VALUE"""),0)</f>
        <v>0</v>
      </c>
      <c r="X254" s="24">
        <f ca="1">IFERROR(__xludf.DUMMYFUNCTION("""COMPUTED_VALUE"""),0)</f>
        <v>0</v>
      </c>
      <c r="Y254" s="24">
        <f ca="1">IFERROR(__xludf.DUMMYFUNCTION("""COMPUTED_VALUE"""),0)</f>
        <v>0</v>
      </c>
      <c r="Z254" s="24">
        <f ca="1">IFERROR(__xludf.DUMMYFUNCTION("""COMPUTED_VALUE"""),0)</f>
        <v>0</v>
      </c>
      <c r="AA254" s="20" t="str">
        <f ca="1">IFERROR(__xludf.DUMMYFUNCTION("""COMPUTED_VALUE"""),"10 2 02 64030")</f>
        <v>10 2 02 64030</v>
      </c>
      <c r="AB254" s="20">
        <f ca="1">IFERROR(__xludf.DUMMYFUNCTION("""COMPUTED_VALUE"""),522)</f>
        <v>522</v>
      </c>
      <c r="AC254" s="20" t="str">
        <f ca="1">IFERROR(__xludf.DUMMYFUNCTION("""COMPUTED_VALUE"""),"не требуется")</f>
        <v>не требуется</v>
      </c>
      <c r="AD254" s="20"/>
      <c r="AE254" s="20"/>
      <c r="AF254" s="24">
        <f ca="1">IFERROR(__xludf.DUMMYFUNCTION("""COMPUTED_VALUE"""),0)</f>
        <v>0</v>
      </c>
      <c r="AG254" s="24">
        <f ca="1">IFERROR(__xludf.DUMMYFUNCTION("""COMPUTED_VALUE"""),0)</f>
        <v>0</v>
      </c>
      <c r="AH254" s="24">
        <f ca="1">IFERROR(__xludf.DUMMYFUNCTION("""COMPUTED_VALUE"""),0)</f>
        <v>0</v>
      </c>
      <c r="AI254" s="24">
        <f ca="1">IFERROR(__xludf.DUMMYFUNCTION("""COMPUTED_VALUE"""),0)</f>
        <v>0</v>
      </c>
      <c r="AJ254" s="24">
        <f ca="1">IFERROR(__xludf.DUMMYFUNCTION("""COMPUTED_VALUE"""),0)</f>
        <v>0</v>
      </c>
      <c r="AK254" s="24">
        <f ca="1">IFERROR(__xludf.DUMMYFUNCTION("""COMPUTED_VALUE"""),0)</f>
        <v>0</v>
      </c>
      <c r="AL254" s="24">
        <f ca="1">IFERROR(__xludf.DUMMYFUNCTION("""COMPUTED_VALUE"""),0)</f>
        <v>0</v>
      </c>
      <c r="AM254" s="20"/>
      <c r="AN254" s="20"/>
      <c r="AO254" s="20"/>
      <c r="AP254" s="20"/>
      <c r="AQ254" s="20"/>
      <c r="AR254" s="24">
        <f ca="1">IFERROR(__xludf.DUMMYFUNCTION("""COMPUTED_VALUE"""),0)</f>
        <v>0</v>
      </c>
      <c r="AS254" s="20"/>
      <c r="AT254" s="20"/>
      <c r="AU254" s="20"/>
      <c r="AV254" s="20"/>
      <c r="AW254" s="20"/>
      <c r="AX254" s="24">
        <f ca="1">IFERROR(__xludf.DUMMYFUNCTION("""COMPUTED_VALUE"""),0)</f>
        <v>0</v>
      </c>
      <c r="AY254" s="24">
        <f ca="1">IFERROR(__xludf.DUMMYFUNCTION("""COMPUTED_VALUE"""),0)</f>
        <v>0</v>
      </c>
      <c r="AZ254" s="24">
        <f ca="1">IFERROR(__xludf.DUMMYFUNCTION("""COMPUTED_VALUE"""),0)</f>
        <v>0</v>
      </c>
      <c r="BA254" s="24">
        <f ca="1">IFERROR(__xludf.DUMMYFUNCTION("""COMPUTED_VALUE"""),0)</f>
        <v>0</v>
      </c>
      <c r="BB254" s="24">
        <f ca="1">IFERROR(__xludf.DUMMYFUNCTION("""COMPUTED_VALUE"""),0)</f>
        <v>0</v>
      </c>
      <c r="BC254" s="20"/>
      <c r="BD254" s="24">
        <f ca="1">IFERROR(__xludf.DUMMYFUNCTION("""COMPUTED_VALUE"""),0)</f>
        <v>0</v>
      </c>
      <c r="BE254" s="24">
        <f ca="1">IFERROR(__xludf.DUMMYFUNCTION("""COMPUTED_VALUE"""),0)</f>
        <v>0</v>
      </c>
      <c r="BF254" s="24">
        <f ca="1">IFERROR(__xludf.DUMMYFUNCTION("""COMPUTED_VALUE"""),0)</f>
        <v>0</v>
      </c>
      <c r="BG254" s="24">
        <f ca="1">IFERROR(__xludf.DUMMYFUNCTION("""COMPUTED_VALUE"""),0)</f>
        <v>0</v>
      </c>
      <c r="BH254" s="24">
        <f ca="1">IFERROR(__xludf.DUMMYFUNCTION("""COMPUTED_VALUE"""),0)</f>
        <v>0</v>
      </c>
      <c r="BI254" s="20"/>
      <c r="BJ254" s="24">
        <f ca="1">IFERROR(__xludf.DUMMYFUNCTION("""COMPUTED_VALUE"""),0)</f>
        <v>0</v>
      </c>
      <c r="BK254" s="24">
        <f ca="1">IFERROR(__xludf.DUMMYFUNCTION("""COMPUTED_VALUE"""),0)</f>
        <v>0</v>
      </c>
      <c r="BL254" s="24">
        <f ca="1">IFERROR(__xludf.DUMMYFUNCTION("""COMPUTED_VALUE"""),0)</f>
        <v>0</v>
      </c>
      <c r="BM254" s="24">
        <f ca="1">IFERROR(__xludf.DUMMYFUNCTION("""COMPUTED_VALUE"""),0)</f>
        <v>0</v>
      </c>
      <c r="BN254" s="24">
        <f ca="1">IFERROR(__xludf.DUMMYFUNCTION("""COMPUTED_VALUE"""),0)</f>
        <v>0</v>
      </c>
      <c r="BO254" s="20"/>
      <c r="BP254" s="24">
        <f ca="1">IFERROR(__xludf.DUMMYFUNCTION("""COMPUTED_VALUE"""),0)</f>
        <v>0</v>
      </c>
      <c r="BQ254" s="24">
        <f ca="1">IFERROR(__xludf.DUMMYFUNCTION("""COMPUTED_VALUE"""),0)</f>
        <v>0</v>
      </c>
      <c r="BR254" s="24">
        <f ca="1">IFERROR(__xludf.DUMMYFUNCTION("""COMPUTED_VALUE"""),0)</f>
        <v>0</v>
      </c>
      <c r="BS254" s="24">
        <f ca="1">IFERROR(__xludf.DUMMYFUNCTION("""COMPUTED_VALUE"""),0)</f>
        <v>0</v>
      </c>
      <c r="BT254" s="24">
        <f ca="1">IFERROR(__xludf.DUMMYFUNCTION("""COMPUTED_VALUE"""),0)</f>
        <v>0</v>
      </c>
      <c r="BU254" s="20"/>
      <c r="BV254" s="24">
        <f ca="1">IFERROR(__xludf.DUMMYFUNCTION("""COMPUTED_VALUE"""),0)</f>
        <v>0</v>
      </c>
      <c r="BW254" s="24">
        <f ca="1">IFERROR(__xludf.DUMMYFUNCTION("""COMPUTED_VALUE"""),0)</f>
        <v>0</v>
      </c>
      <c r="BX254" s="24">
        <f ca="1">IFERROR(__xludf.DUMMYFUNCTION("""COMPUTED_VALUE"""),0)</f>
        <v>0</v>
      </c>
      <c r="BY254" s="24">
        <f ca="1">IFERROR(__xludf.DUMMYFUNCTION("""COMPUTED_VALUE"""),0)</f>
        <v>0</v>
      </c>
      <c r="BZ254" s="24">
        <f ca="1">IFERROR(__xludf.DUMMYFUNCTION("""COMPUTED_VALUE"""),0)</f>
        <v>0</v>
      </c>
      <c r="CA254" s="20"/>
      <c r="CB254" s="20" t="str">
        <f ca="1">IFERROR(__xludf.DUMMYFUNCTION("""COMPUTED_VALUE"""),"ЗАКЛЮЧЕН")</f>
        <v>ЗАКЛЮЧЕН</v>
      </c>
      <c r="CC254" s="26">
        <f ca="1">IFERROR(__xludf.DUMMYFUNCTION("""COMPUTED_VALUE"""),43644)</f>
        <v>43644</v>
      </c>
      <c r="CD254" s="20" t="str">
        <f ca="1">IFERROR(__xludf.DUMMYFUNCTION("""COMPUTED_VALUE"""),"0848300041219000561")</f>
        <v>0848300041219000561</v>
      </c>
      <c r="CE254" s="26">
        <f ca="1">IFERROR(__xludf.DUMMYFUNCTION("""COMPUTED_VALUE"""),43703)</f>
        <v>43703</v>
      </c>
      <c r="CF254" s="20" t="str">
        <f ca="1">IFERROR(__xludf.DUMMYFUNCTION("""COMPUTED_VALUE"""),"0848300041219000561")</f>
        <v>0848300041219000561</v>
      </c>
      <c r="CG254" s="20" t="str">
        <f ca="1">IFERROR(__xludf.DUMMYFUNCTION("""COMPUTED_VALUE"""),"1 491 968,00 ")</f>
        <v xml:space="preserve">1 491 968,00 </v>
      </c>
      <c r="CH254" s="20" t="str">
        <f ca="1">IFERROR(__xludf.DUMMYFUNCTION("""COMPUTED_VALUE"""),"ООО ""ЗеленИнвест Строй""")</f>
        <v>ООО "ЗеленИнвест Строй"</v>
      </c>
      <c r="CI254" s="27" t="str">
        <f ca="1">IFERROR(__xludf.DUMMYFUNCTION("""COMPUTED_VALUE"""),"https://zakupki.gov.ru/epz/contract/contractCard/common-info.html?reestrNumber=3505000215419000233&amp;backUrl=2479bc82-6253-474d-9d2a-3de571f245bb")</f>
        <v>https://zakupki.gov.ru/epz/contract/contractCard/common-info.html?reestrNumber=3505000215419000233&amp;backUrl=2479bc82-6253-474d-9d2a-3de571f245bb</v>
      </c>
      <c r="CJ254" s="20"/>
      <c r="CK254" s="20"/>
      <c r="CL254" s="20"/>
      <c r="CM254" s="20"/>
      <c r="CN254" s="20"/>
      <c r="CO254" s="20"/>
      <c r="CP254" s="20"/>
      <c r="CQ254" s="20"/>
      <c r="CR254" s="20"/>
      <c r="CS254" s="20"/>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row>
    <row r="255" spans="1:123" ht="64.5" customHeight="1" x14ac:dyDescent="0.2">
      <c r="A255" s="19"/>
      <c r="B255" s="20" t="str">
        <f ca="1">IFERROR(__xludf.DUMMYFUNCTION("""COMPUTED_VALUE"""),"г.о. Красногорск")</f>
        <v>г.о. Красногорск</v>
      </c>
      <c r="C25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5" s="20" t="str">
        <f ca="1">IFERROR(__xludf.DUMMYFUNCTION("""COMPUTED_VALUE"""),"МинЖКХ")</f>
        <v>МинЖКХ</v>
      </c>
      <c r="E255" s="20" t="str">
        <f ca="1">IFERROR(__xludf.DUMMYFUNCTION("""COMPUTED_VALUE"""),"Реконструкция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пр"&amp;"авом берегу с дюкерным переходом через реку Москву")</f>
        <v>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правом берегу с дюкерным переходом через реку Москву</v>
      </c>
      <c r="F255" s="32" t="str">
        <f ca="1">IFERROR(__xludf.DUMMYFUNCTION("""COMPUTED_VALUE"""),"КНК")</f>
        <v>КНК</v>
      </c>
      <c r="G255" s="20" t="str">
        <f ca="1">IFERROR(__xludf.DUMMYFUNCTION("""COMPUTED_VALUE"""),"2019-2020")</f>
        <v>2019-2020</v>
      </c>
      <c r="H255" s="20" t="str">
        <f ca="1">IFERROR(__xludf.DUMMYFUNCTION("""COMPUTED_VALUE"""),"СМР")</f>
        <v>СМР</v>
      </c>
      <c r="I255" s="20">
        <f ca="1">IFERROR(__xludf.DUMMYFUNCTION("""COMPUTED_VALUE"""),100)</f>
        <v>100</v>
      </c>
      <c r="J255" s="20"/>
      <c r="K255" s="20">
        <f ca="1">IFERROR(__xludf.DUMMYFUNCTION("""COMPUTED_VALUE"""),35000)</f>
        <v>35000</v>
      </c>
      <c r="L255" s="20">
        <f ca="1">IFERROR(__xludf.DUMMYFUNCTION("""COMPUTED_VALUE"""),35000)</f>
        <v>35000</v>
      </c>
      <c r="M255" s="20"/>
      <c r="N255" s="24">
        <f ca="1">IFERROR(__xludf.DUMMYFUNCTION("""COMPUTED_VALUE"""),75061.19)</f>
        <v>75061.19</v>
      </c>
      <c r="O255" s="20"/>
      <c r="P255" s="20"/>
      <c r="Q255" s="24">
        <f ca="1">IFERROR(__xludf.DUMMYFUNCTION("""COMPUTED_VALUE"""),75061.19)</f>
        <v>75061.19</v>
      </c>
      <c r="R255" s="20"/>
      <c r="S255" s="20"/>
      <c r="T255" s="20" t="str">
        <f ca="1">IFERROR(__xludf.DUMMYFUNCTION("""COMPUTED_VALUE"""),"
экономия по СМР 9 млн. руб")</f>
        <v xml:space="preserve">
экономия по СМР 9 млн. руб</v>
      </c>
      <c r="U255" s="24">
        <f ca="1">IFERROR(__xludf.DUMMYFUNCTION("""COMPUTED_VALUE"""),46489.2399999999)</f>
        <v>46489.239999999903</v>
      </c>
      <c r="V255" s="24">
        <f ca="1">IFERROR(__xludf.DUMMYFUNCTION("""COMPUTED_VALUE"""),0)</f>
        <v>0</v>
      </c>
      <c r="W255" s="24">
        <f ca="1">IFERROR(__xludf.DUMMYFUNCTION("""COMPUTED_VALUE"""),0)</f>
        <v>0</v>
      </c>
      <c r="X255" s="24">
        <f ca="1">IFERROR(__xludf.DUMMYFUNCTION("""COMPUTED_VALUE"""),7720.80999999999)</f>
        <v>7720.8099999999904</v>
      </c>
      <c r="Y255" s="24">
        <f ca="1">IFERROR(__xludf.DUMMYFUNCTION("""COMPUTED_VALUE"""),38768.43)</f>
        <v>38768.43</v>
      </c>
      <c r="Z255" s="24">
        <f ca="1">IFERROR(__xludf.DUMMYFUNCTION("""COMPUTED_VALUE"""),0)</f>
        <v>0</v>
      </c>
      <c r="AA255" s="20" t="str">
        <f ca="1">IFERROR(__xludf.DUMMYFUNCTION("""COMPUTED_VALUE"""),"10 2 02 64030")</f>
        <v>10 2 02 64030</v>
      </c>
      <c r="AB255" s="20">
        <f ca="1">IFERROR(__xludf.DUMMYFUNCTION("""COMPUTED_VALUE"""),522)</f>
        <v>522</v>
      </c>
      <c r="AC255" s="20" t="str">
        <f ca="1">IFERROR(__xludf.DUMMYFUNCTION("""COMPUTED_VALUE"""),"не требуется")</f>
        <v>не требуется</v>
      </c>
      <c r="AD255" s="20"/>
      <c r="AE255" s="20"/>
      <c r="AF255" s="24">
        <f ca="1">IFERROR(__xludf.DUMMYFUNCTION("""COMPUTED_VALUE"""),121550.43)</f>
        <v>121550.43</v>
      </c>
      <c r="AG255" s="24">
        <f ca="1">IFERROR(__xludf.DUMMYFUNCTION("""COMPUTED_VALUE"""),0)</f>
        <v>0</v>
      </c>
      <c r="AH255" s="24">
        <f ca="1">IFERROR(__xludf.DUMMYFUNCTION("""COMPUTED_VALUE"""),0)</f>
        <v>0</v>
      </c>
      <c r="AI255" s="24">
        <f ca="1">IFERROR(__xludf.DUMMYFUNCTION("""COMPUTED_VALUE"""),82782)</f>
        <v>82782</v>
      </c>
      <c r="AJ255" s="24">
        <f ca="1">IFERROR(__xludf.DUMMYFUNCTION("""COMPUTED_VALUE"""),38768.43)</f>
        <v>38768.43</v>
      </c>
      <c r="AK255" s="24">
        <f ca="1">IFERROR(__xludf.DUMMYFUNCTION("""COMPUTED_VALUE"""),0)</f>
        <v>0</v>
      </c>
      <c r="AL255" s="24">
        <f ca="1">IFERROR(__xludf.DUMMYFUNCTION("""COMPUTED_VALUE"""),0)</f>
        <v>0</v>
      </c>
      <c r="AM255" s="20"/>
      <c r="AN255" s="20"/>
      <c r="AO255" s="20"/>
      <c r="AP255" s="20"/>
      <c r="AQ255" s="20"/>
      <c r="AR255" s="24">
        <f ca="1">IFERROR(__xludf.DUMMYFUNCTION("""COMPUTED_VALUE"""),0)</f>
        <v>0</v>
      </c>
      <c r="AS255" s="20"/>
      <c r="AT255" s="20"/>
      <c r="AU255" s="20"/>
      <c r="AV255" s="20"/>
      <c r="AW255" s="20"/>
      <c r="AX255" s="24">
        <f ca="1">IFERROR(__xludf.DUMMYFUNCTION("""COMPUTED_VALUE"""),121550.43)</f>
        <v>121550.43</v>
      </c>
      <c r="AY255" s="24">
        <f ca="1">IFERROR(__xludf.DUMMYFUNCTION("""COMPUTED_VALUE"""),0)</f>
        <v>0</v>
      </c>
      <c r="AZ255" s="24">
        <f ca="1">IFERROR(__xludf.DUMMYFUNCTION("""COMPUTED_VALUE"""),0)</f>
        <v>0</v>
      </c>
      <c r="BA255" s="24">
        <f ca="1">IFERROR(__xludf.DUMMYFUNCTION("""COMPUTED_VALUE"""),82782)</f>
        <v>82782</v>
      </c>
      <c r="BB255" s="24">
        <f ca="1">IFERROR(__xludf.DUMMYFUNCTION("""COMPUTED_VALUE"""),38768.43)</f>
        <v>38768.43</v>
      </c>
      <c r="BC255" s="20"/>
      <c r="BD255" s="24">
        <f ca="1">IFERROR(__xludf.DUMMYFUNCTION("""COMPUTED_VALUE"""),0)</f>
        <v>0</v>
      </c>
      <c r="BE255" s="24">
        <f ca="1">IFERROR(__xludf.DUMMYFUNCTION("""COMPUTED_VALUE"""),0)</f>
        <v>0</v>
      </c>
      <c r="BF255" s="24">
        <f ca="1">IFERROR(__xludf.DUMMYFUNCTION("""COMPUTED_VALUE"""),0)</f>
        <v>0</v>
      </c>
      <c r="BG255" s="24">
        <f ca="1">IFERROR(__xludf.DUMMYFUNCTION("""COMPUTED_VALUE"""),0)</f>
        <v>0</v>
      </c>
      <c r="BH255" s="24">
        <f ca="1">IFERROR(__xludf.DUMMYFUNCTION("""COMPUTED_VALUE"""),0)</f>
        <v>0</v>
      </c>
      <c r="BI255" s="20"/>
      <c r="BJ255" s="24">
        <f ca="1">IFERROR(__xludf.DUMMYFUNCTION("""COMPUTED_VALUE"""),0)</f>
        <v>0</v>
      </c>
      <c r="BK255" s="24">
        <f ca="1">IFERROR(__xludf.DUMMYFUNCTION("""COMPUTED_VALUE"""),0)</f>
        <v>0</v>
      </c>
      <c r="BL255" s="24">
        <f ca="1">IFERROR(__xludf.DUMMYFUNCTION("""COMPUTED_VALUE"""),0)</f>
        <v>0</v>
      </c>
      <c r="BM255" s="24">
        <f ca="1">IFERROR(__xludf.DUMMYFUNCTION("""COMPUTED_VALUE"""),0)</f>
        <v>0</v>
      </c>
      <c r="BN255" s="24">
        <f ca="1">IFERROR(__xludf.DUMMYFUNCTION("""COMPUTED_VALUE"""),0)</f>
        <v>0</v>
      </c>
      <c r="BO255" s="20"/>
      <c r="BP255" s="24">
        <f ca="1">IFERROR(__xludf.DUMMYFUNCTION("""COMPUTED_VALUE"""),0)</f>
        <v>0</v>
      </c>
      <c r="BQ255" s="24">
        <f ca="1">IFERROR(__xludf.DUMMYFUNCTION("""COMPUTED_VALUE"""),0)</f>
        <v>0</v>
      </c>
      <c r="BR255" s="24">
        <f ca="1">IFERROR(__xludf.DUMMYFUNCTION("""COMPUTED_VALUE"""),0)</f>
        <v>0</v>
      </c>
      <c r="BS255" s="24">
        <f ca="1">IFERROR(__xludf.DUMMYFUNCTION("""COMPUTED_VALUE"""),0)</f>
        <v>0</v>
      </c>
      <c r="BT255" s="24">
        <f ca="1">IFERROR(__xludf.DUMMYFUNCTION("""COMPUTED_VALUE"""),0)</f>
        <v>0</v>
      </c>
      <c r="BU255" s="20"/>
      <c r="BV255" s="24">
        <f ca="1">IFERROR(__xludf.DUMMYFUNCTION("""COMPUTED_VALUE"""),0)</f>
        <v>0</v>
      </c>
      <c r="BW255" s="24">
        <f ca="1">IFERROR(__xludf.DUMMYFUNCTION("""COMPUTED_VALUE"""),0)</f>
        <v>0</v>
      </c>
      <c r="BX255" s="24">
        <f ca="1">IFERROR(__xludf.DUMMYFUNCTION("""COMPUTED_VALUE"""),0)</f>
        <v>0</v>
      </c>
      <c r="BY255" s="24">
        <f ca="1">IFERROR(__xludf.DUMMYFUNCTION("""COMPUTED_VALUE"""),0)</f>
        <v>0</v>
      </c>
      <c r="BZ255" s="24">
        <f ca="1">IFERROR(__xludf.DUMMYFUNCTION("""COMPUTED_VALUE"""),0)</f>
        <v>0</v>
      </c>
      <c r="CA255" s="20"/>
      <c r="CB255" s="20"/>
      <c r="CC255" s="20"/>
      <c r="CD255" s="20"/>
      <c r="CE255" s="20"/>
      <c r="CF255" s="20"/>
      <c r="CG255" s="20"/>
      <c r="CH255" s="20"/>
      <c r="CI255" s="20"/>
      <c r="CJ255" s="20"/>
      <c r="CK255" s="20"/>
      <c r="CL255" s="20"/>
      <c r="CM255" s="26">
        <f ca="1">IFERROR(__xludf.DUMMYFUNCTION("""COMPUTED_VALUE"""),43342)</f>
        <v>43342</v>
      </c>
      <c r="CN255" s="20" t="str">
        <f ca="1">IFERROR(__xludf.DUMMYFUNCTION("""COMPUTED_VALUE"""),"0848300047218000751")</f>
        <v>0848300047218000751</v>
      </c>
      <c r="CO255" s="25">
        <f ca="1">IFERROR(__xludf.DUMMYFUNCTION("""COMPUTED_VALUE"""),43385)</f>
        <v>43385</v>
      </c>
      <c r="CP255" s="20" t="str">
        <f ca="1">IFERROR(__xludf.DUMMYFUNCTION("""COMPUTED_VALUE"""),"0848300047218000751")</f>
        <v>0848300047218000751</v>
      </c>
      <c r="CQ255" s="20">
        <f ca="1">IFERROR(__xludf.DUMMYFUNCTION("""COMPUTED_VALUE"""),11640475.82)</f>
        <v>11640475.82</v>
      </c>
      <c r="CR255" s="20" t="str">
        <f ca="1">IFERROR(__xludf.DUMMYFUNCTION("""COMPUTED_VALUE"""),"МУП ""КСЗ""")</f>
        <v>МУП "КСЗ"</v>
      </c>
      <c r="CS255" s="27" t="str">
        <f ca="1">IFERROR(__xludf.DUMMYFUNCTION("""COMPUTED_VALUE"""),"https://zakupki.gov.ru/epz/contract/contractCard/common-info.html?reestrNumber=3502400207718000297&amp;backUrl=4581b73d-f4cb-469c-ae29-7e911694c36a")</f>
        <v>https://zakupki.gov.ru/epz/contract/contractCard/common-info.html?reestrNumber=3502400207718000297&amp;backUrl=4581b73d-f4cb-469c-ae29-7e911694c36a</v>
      </c>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row>
    <row r="256" spans="1:123" ht="64.5" hidden="1" customHeight="1" x14ac:dyDescent="0.2">
      <c r="A256" s="19"/>
      <c r="B256" s="20" t="str">
        <f ca="1">IFERROR(__xludf.DUMMYFUNCTION("""COMPUTED_VALUE"""),"г.о. Подольск")</f>
        <v>г.о. Подольск</v>
      </c>
      <c r="C25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6" s="20" t="str">
        <f ca="1">IFERROR(__xludf.DUMMYFUNCTION("""COMPUTED_VALUE"""),"МинЖКХ")</f>
        <v>МинЖКХ</v>
      </c>
      <c r="E256" s="20" t="str">
        <f ca="1">IFERROR(__xludf.DUMMYFUNCTION("""COMPUTED_VALUE"""),"Строительство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р"&amp;"аботы, выполненные в предшествующие годы: 2015 г. – 14258,99 тыс. руб.), в том числе: корректировка проекта")</f>
        <v>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работы, выполненные в предшествующие годы: 2015 г. – 14258,99 тыс. руб.), в том числе: корректировка проекта</v>
      </c>
      <c r="F256" s="32" t="str">
        <f ca="1">IFERROR(__xludf.DUMMYFUNCTION("""COMPUTED_VALUE"""),"КНК")</f>
        <v>КНК</v>
      </c>
      <c r="G256" s="20" t="str">
        <f ca="1">IFERROR(__xludf.DUMMYFUNCTION("""COMPUTED_VALUE"""),"2021-2022")</f>
        <v>2021-2022</v>
      </c>
      <c r="H256" s="20" t="str">
        <f ca="1">IFERROR(__xludf.DUMMYFUNCTION("""COMPUTED_VALUE"""),"СМР")</f>
        <v>СМР</v>
      </c>
      <c r="I256" s="20"/>
      <c r="J256" s="20"/>
      <c r="K256" s="20"/>
      <c r="L256" s="20"/>
      <c r="M256" s="20"/>
      <c r="N256" s="24">
        <f ca="1">IFERROR(__xludf.DUMMYFUNCTION("""COMPUTED_VALUE"""),0)</f>
        <v>0</v>
      </c>
      <c r="O256" s="20"/>
      <c r="P256" s="20"/>
      <c r="Q256" s="20"/>
      <c r="R256" s="20"/>
      <c r="S256" s="20"/>
      <c r="T256" s="20"/>
      <c r="U256" s="24">
        <f ca="1">IFERROR(__xludf.DUMMYFUNCTION("""COMPUTED_VALUE"""),0)</f>
        <v>0</v>
      </c>
      <c r="V256" s="24">
        <f ca="1">IFERROR(__xludf.DUMMYFUNCTION("""COMPUTED_VALUE"""),0)</f>
        <v>0</v>
      </c>
      <c r="W256" s="24">
        <f ca="1">IFERROR(__xludf.DUMMYFUNCTION("""COMPUTED_VALUE"""),0)</f>
        <v>0</v>
      </c>
      <c r="X256" s="24">
        <f ca="1">IFERROR(__xludf.DUMMYFUNCTION("""COMPUTED_VALUE"""),0)</f>
        <v>0</v>
      </c>
      <c r="Y256" s="24">
        <f ca="1">IFERROR(__xludf.DUMMYFUNCTION("""COMPUTED_VALUE"""),0)</f>
        <v>0</v>
      </c>
      <c r="Z256" s="24">
        <f ca="1">IFERROR(__xludf.DUMMYFUNCTION("""COMPUTED_VALUE"""),0)</f>
        <v>0</v>
      </c>
      <c r="AA256" s="20" t="str">
        <f ca="1">IFERROR(__xludf.DUMMYFUNCTION("""COMPUTED_VALUE"""),"10 2 02 64030")</f>
        <v>10 2 02 64030</v>
      </c>
      <c r="AB256" s="20">
        <f ca="1">IFERROR(__xludf.DUMMYFUNCTION("""COMPUTED_VALUE"""),522)</f>
        <v>522</v>
      </c>
      <c r="AC256" s="20" t="str">
        <f ca="1">IFERROR(__xludf.DUMMYFUNCTION("""COMPUTED_VALUE"""),"нет")</f>
        <v>нет</v>
      </c>
      <c r="AD256" s="20"/>
      <c r="AE256" s="20"/>
      <c r="AF256" s="24">
        <f ca="1">IFERROR(__xludf.DUMMYFUNCTION("""COMPUTED_VALUE"""),65000)</f>
        <v>65000</v>
      </c>
      <c r="AG256" s="24">
        <f ca="1">IFERROR(__xludf.DUMMYFUNCTION("""COMPUTED_VALUE"""),0)</f>
        <v>0</v>
      </c>
      <c r="AH256" s="24">
        <f ca="1">IFERROR(__xludf.DUMMYFUNCTION("""COMPUTED_VALUE"""),0)</f>
        <v>0</v>
      </c>
      <c r="AI256" s="24">
        <f ca="1">IFERROR(__xludf.DUMMYFUNCTION("""COMPUTED_VALUE"""),0)</f>
        <v>0</v>
      </c>
      <c r="AJ256" s="24">
        <f ca="1">IFERROR(__xludf.DUMMYFUNCTION("""COMPUTED_VALUE"""),65000)</f>
        <v>65000</v>
      </c>
      <c r="AK256" s="24">
        <f ca="1">IFERROR(__xludf.DUMMYFUNCTION("""COMPUTED_VALUE"""),0)</f>
        <v>0</v>
      </c>
      <c r="AL256" s="24">
        <f ca="1">IFERROR(__xludf.DUMMYFUNCTION("""COMPUTED_VALUE"""),0)</f>
        <v>0</v>
      </c>
      <c r="AM256" s="20"/>
      <c r="AN256" s="20"/>
      <c r="AO256" s="20"/>
      <c r="AP256" s="20"/>
      <c r="AQ256" s="20"/>
      <c r="AR256" s="24">
        <f ca="1">IFERROR(__xludf.DUMMYFUNCTION("""COMPUTED_VALUE"""),0)</f>
        <v>0</v>
      </c>
      <c r="AS256" s="20"/>
      <c r="AT256" s="20"/>
      <c r="AU256" s="20"/>
      <c r="AV256" s="20"/>
      <c r="AW256" s="20"/>
      <c r="AX256" s="24">
        <f ca="1">IFERROR(__xludf.DUMMYFUNCTION("""COMPUTED_VALUE"""),0)</f>
        <v>0</v>
      </c>
      <c r="AY256" s="24">
        <f ca="1">IFERROR(__xludf.DUMMYFUNCTION("""COMPUTED_VALUE"""),0)</f>
        <v>0</v>
      </c>
      <c r="AZ256" s="24">
        <f ca="1">IFERROR(__xludf.DUMMYFUNCTION("""COMPUTED_VALUE"""),0)</f>
        <v>0</v>
      </c>
      <c r="BA256" s="24">
        <f ca="1">IFERROR(__xludf.DUMMYFUNCTION("""COMPUTED_VALUE"""),0)</f>
        <v>0</v>
      </c>
      <c r="BB256" s="24">
        <f ca="1">IFERROR(__xludf.DUMMYFUNCTION("""COMPUTED_VALUE"""),0)</f>
        <v>0</v>
      </c>
      <c r="BC256" s="20"/>
      <c r="BD256" s="24">
        <f ca="1">IFERROR(__xludf.DUMMYFUNCTION("""COMPUTED_VALUE"""),45000)</f>
        <v>45000</v>
      </c>
      <c r="BE256" s="24">
        <f ca="1">IFERROR(__xludf.DUMMYFUNCTION("""COMPUTED_VALUE"""),0)</f>
        <v>0</v>
      </c>
      <c r="BF256" s="24">
        <f ca="1">IFERROR(__xludf.DUMMYFUNCTION("""COMPUTED_VALUE"""),0)</f>
        <v>0</v>
      </c>
      <c r="BG256" s="24">
        <f ca="1">IFERROR(__xludf.DUMMYFUNCTION("""COMPUTED_VALUE"""),0)</f>
        <v>0</v>
      </c>
      <c r="BH256" s="24">
        <f ca="1">IFERROR(__xludf.DUMMYFUNCTION("""COMPUTED_VALUE"""),45000)</f>
        <v>45000</v>
      </c>
      <c r="BI256" s="20"/>
      <c r="BJ256" s="24">
        <f ca="1">IFERROR(__xludf.DUMMYFUNCTION("""COMPUTED_VALUE"""),20000)</f>
        <v>20000</v>
      </c>
      <c r="BK256" s="24">
        <f ca="1">IFERROR(__xludf.DUMMYFUNCTION("""COMPUTED_VALUE"""),0)</f>
        <v>0</v>
      </c>
      <c r="BL256" s="24">
        <f ca="1">IFERROR(__xludf.DUMMYFUNCTION("""COMPUTED_VALUE"""),0)</f>
        <v>0</v>
      </c>
      <c r="BM256" s="24">
        <f ca="1">IFERROR(__xludf.DUMMYFUNCTION("""COMPUTED_VALUE"""),0)</f>
        <v>0</v>
      </c>
      <c r="BN256" s="24">
        <f ca="1">IFERROR(__xludf.DUMMYFUNCTION("""COMPUTED_VALUE"""),20000)</f>
        <v>20000</v>
      </c>
      <c r="BO256" s="20"/>
      <c r="BP256" s="24">
        <f ca="1">IFERROR(__xludf.DUMMYFUNCTION("""COMPUTED_VALUE"""),0)</f>
        <v>0</v>
      </c>
      <c r="BQ256" s="24">
        <f ca="1">IFERROR(__xludf.DUMMYFUNCTION("""COMPUTED_VALUE"""),0)</f>
        <v>0</v>
      </c>
      <c r="BR256" s="24">
        <f ca="1">IFERROR(__xludf.DUMMYFUNCTION("""COMPUTED_VALUE"""),0)</f>
        <v>0</v>
      </c>
      <c r="BS256" s="24">
        <f ca="1">IFERROR(__xludf.DUMMYFUNCTION("""COMPUTED_VALUE"""),0)</f>
        <v>0</v>
      </c>
      <c r="BT256" s="24">
        <f ca="1">IFERROR(__xludf.DUMMYFUNCTION("""COMPUTED_VALUE"""),0)</f>
        <v>0</v>
      </c>
      <c r="BU256" s="20"/>
      <c r="BV256" s="24">
        <f ca="1">IFERROR(__xludf.DUMMYFUNCTION("""COMPUTED_VALUE"""),0)</f>
        <v>0</v>
      </c>
      <c r="BW256" s="24">
        <f ca="1">IFERROR(__xludf.DUMMYFUNCTION("""COMPUTED_VALUE"""),0)</f>
        <v>0</v>
      </c>
      <c r="BX256" s="24">
        <f ca="1">IFERROR(__xludf.DUMMYFUNCTION("""COMPUTED_VALUE"""),0)</f>
        <v>0</v>
      </c>
      <c r="BY256" s="24">
        <f ca="1">IFERROR(__xludf.DUMMYFUNCTION("""COMPUTED_VALUE"""),0)</f>
        <v>0</v>
      </c>
      <c r="BZ256" s="24">
        <f ca="1">IFERROR(__xludf.DUMMYFUNCTION("""COMPUTED_VALUE"""),0)</f>
        <v>0</v>
      </c>
      <c r="CA256" s="20"/>
      <c r="CB256" s="20"/>
      <c r="CC256" s="20"/>
      <c r="CD256" s="20"/>
      <c r="CE256" s="20"/>
      <c r="CF256" s="20"/>
      <c r="CG256" s="20"/>
      <c r="CH256" s="20"/>
      <c r="CI256" s="20"/>
      <c r="CJ256" s="20"/>
      <c r="CK256" s="20"/>
      <c r="CL256" s="20"/>
      <c r="CM256" s="20"/>
      <c r="CN256" s="20"/>
      <c r="CO256" s="20"/>
      <c r="CP256" s="20"/>
      <c r="CQ256" s="20"/>
      <c r="CR256" s="20"/>
      <c r="CS256" s="20"/>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row>
    <row r="257" spans="1:123" ht="64.5" hidden="1" customHeight="1" x14ac:dyDescent="0.2">
      <c r="A257" s="19"/>
      <c r="B257" s="20" t="str">
        <f ca="1">IFERROR(__xludf.DUMMYFUNCTION("""COMPUTED_VALUE"""),"г.о. Одинцово")</f>
        <v>г.о. Одинцово</v>
      </c>
      <c r="C25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7" s="20" t="str">
        <f ca="1">IFERROR(__xludf.DUMMYFUNCTION("""COMPUTED_VALUE"""),"МинЖКХ")</f>
        <v>МинЖКХ</v>
      </c>
      <c r="E257" s="20" t="str">
        <f ca="1">IFERROR(__xludf.DUMMYFUNCTION("""COMPUTED_VALUE"""),"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f>
        <v xml:space="preserv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v>
      </c>
      <c r="F257" s="32" t="str">
        <f ca="1">IFERROR(__xludf.DUMMYFUNCTION("""COMPUTED_VALUE"""),"КНК")</f>
        <v>КНК</v>
      </c>
      <c r="G257" s="20">
        <f ca="1">IFERROR(__xludf.DUMMYFUNCTION("""COMPUTED_VALUE"""),2021)</f>
        <v>2021</v>
      </c>
      <c r="H257" s="20" t="str">
        <f ca="1">IFERROR(__xludf.DUMMYFUNCTION("""COMPUTED_VALUE"""),"СМР")</f>
        <v>СМР</v>
      </c>
      <c r="I257" s="20">
        <f ca="1">IFERROR(__xludf.DUMMYFUNCTION("""COMPUTED_VALUE"""),0)</f>
        <v>0</v>
      </c>
      <c r="J257" s="20" t="str">
        <f ca="1">IFERROR(__xludf.DUMMYFUNCTION("""COMPUTED_VALUE"""),"Направлено письмо от администрации о переносе лимитов 2020 на 2021 год. Проект на проверке МОГЭ. Заключение ориентировочно в декабре.")</f>
        <v>Направлено письмо от администрации о переносе лимитов 2020 на 2021 год. Проект на проверке МОГЭ. Заключение ориентировочно в декабре.</v>
      </c>
      <c r="K257" s="20">
        <f ca="1">IFERROR(__xludf.DUMMYFUNCTION("""COMPUTED_VALUE"""),2500)</f>
        <v>2500</v>
      </c>
      <c r="L257" s="20">
        <f ca="1">IFERROR(__xludf.DUMMYFUNCTION("""COMPUTED_VALUE"""),2500)</f>
        <v>2500</v>
      </c>
      <c r="M257" s="20"/>
      <c r="N257" s="24">
        <f ca="1">IFERROR(__xludf.DUMMYFUNCTION("""COMPUTED_VALUE"""),0)</f>
        <v>0</v>
      </c>
      <c r="O257" s="20"/>
      <c r="P257" s="24">
        <f ca="1">IFERROR(__xludf.DUMMYFUNCTION("""COMPUTED_VALUE"""),0)</f>
        <v>0</v>
      </c>
      <c r="Q257" s="20"/>
      <c r="R257" s="20"/>
      <c r="S257" s="20"/>
      <c r="T257" s="20" t="str">
        <f ca="1">IFERROR(__xludf.DUMMYFUNCTION("""COMPUTED_VALUE"""),"ПСД в МОГЭ. В связи с поздней контрактацией мероприятия освоения средства 2020 года не будут освоены. Письмо от ОМСУ о переносе средств на 2021 г.")</f>
        <v>ПСД в МОГЭ. В связи с поздней контрактацией мероприятия освоения средства 2020 года не будут освоены. Письмо от ОМСУ о переносе средств на 2021 г.</v>
      </c>
      <c r="U257" s="24">
        <f ca="1">IFERROR(__xludf.DUMMYFUNCTION("""COMPUTED_VALUE"""),0)</f>
        <v>0</v>
      </c>
      <c r="V257" s="24">
        <f ca="1">IFERROR(__xludf.DUMMYFUNCTION("""COMPUTED_VALUE"""),0)</f>
        <v>0</v>
      </c>
      <c r="W257" s="24">
        <f ca="1">IFERROR(__xludf.DUMMYFUNCTION("""COMPUTED_VALUE"""),0)</f>
        <v>0</v>
      </c>
      <c r="X257" s="24">
        <f ca="1">IFERROR(__xludf.DUMMYFUNCTION("""COMPUTED_VALUE"""),0)</f>
        <v>0</v>
      </c>
      <c r="Y257" s="24">
        <f ca="1">IFERROR(__xludf.DUMMYFUNCTION("""COMPUTED_VALUE"""),0)</f>
        <v>0</v>
      </c>
      <c r="Z257" s="24">
        <f ca="1">IFERROR(__xludf.DUMMYFUNCTION("""COMPUTED_VALUE"""),0)</f>
        <v>0</v>
      </c>
      <c r="AA257" s="20" t="str">
        <f ca="1">IFERROR(__xludf.DUMMYFUNCTION("""COMPUTED_VALUE"""),"10 2 02 64030")</f>
        <v>10 2 02 64030</v>
      </c>
      <c r="AB257" s="20">
        <f ca="1">IFERROR(__xludf.DUMMYFUNCTION("""COMPUTED_VALUE"""),522)</f>
        <v>522</v>
      </c>
      <c r="AC257" s="20" t="str">
        <f ca="1">IFERROR(__xludf.DUMMYFUNCTION("""COMPUTED_VALUE"""),"нет")</f>
        <v>нет</v>
      </c>
      <c r="AD257" s="20"/>
      <c r="AE257" s="20"/>
      <c r="AF257" s="24">
        <f ca="1">IFERROR(__xludf.DUMMYFUNCTION("""COMPUTED_VALUE"""),408625)</f>
        <v>408625</v>
      </c>
      <c r="AG257" s="24">
        <f ca="1">IFERROR(__xludf.DUMMYFUNCTION("""COMPUTED_VALUE"""),0)</f>
        <v>0</v>
      </c>
      <c r="AH257" s="24">
        <f ca="1">IFERROR(__xludf.DUMMYFUNCTION("""COMPUTED_VALUE"""),255390)</f>
        <v>255390</v>
      </c>
      <c r="AI257" s="24">
        <f ca="1">IFERROR(__xludf.DUMMYFUNCTION("""COMPUTED_VALUE"""),0)</f>
        <v>0</v>
      </c>
      <c r="AJ257" s="24">
        <f ca="1">IFERROR(__xludf.DUMMYFUNCTION("""COMPUTED_VALUE"""),153235)</f>
        <v>153235</v>
      </c>
      <c r="AK257" s="24">
        <f ca="1">IFERROR(__xludf.DUMMYFUNCTION("""COMPUTED_VALUE"""),0)</f>
        <v>0</v>
      </c>
      <c r="AL257" s="24">
        <f ca="1">IFERROR(__xludf.DUMMYFUNCTION("""COMPUTED_VALUE"""),0)</f>
        <v>0</v>
      </c>
      <c r="AM257" s="20"/>
      <c r="AN257" s="20"/>
      <c r="AO257" s="20"/>
      <c r="AP257" s="20"/>
      <c r="AQ257" s="20"/>
      <c r="AR257" s="24">
        <f ca="1">IFERROR(__xludf.DUMMYFUNCTION("""COMPUTED_VALUE"""),0)</f>
        <v>0</v>
      </c>
      <c r="AS257" s="20"/>
      <c r="AT257" s="20"/>
      <c r="AU257" s="20"/>
      <c r="AV257" s="20"/>
      <c r="AW257" s="20"/>
      <c r="AX257" s="24">
        <f ca="1">IFERROR(__xludf.DUMMYFUNCTION("""COMPUTED_VALUE"""),0)</f>
        <v>0</v>
      </c>
      <c r="AY257" s="24">
        <f ca="1">IFERROR(__xludf.DUMMYFUNCTION("""COMPUTED_VALUE"""),0)</f>
        <v>0</v>
      </c>
      <c r="AZ257" s="24">
        <f ca="1">IFERROR(__xludf.DUMMYFUNCTION("""COMPUTED_VALUE"""),0)</f>
        <v>0</v>
      </c>
      <c r="BA257" s="24">
        <f ca="1">IFERROR(__xludf.DUMMYFUNCTION("""COMPUTED_VALUE"""),0)</f>
        <v>0</v>
      </c>
      <c r="BB257" s="24">
        <f ca="1">IFERROR(__xludf.DUMMYFUNCTION("""COMPUTED_VALUE"""),0)</f>
        <v>0</v>
      </c>
      <c r="BC257" s="20"/>
      <c r="BD257" s="24">
        <f ca="1">IFERROR(__xludf.DUMMYFUNCTION("""COMPUTED_VALUE"""),408625)</f>
        <v>408625</v>
      </c>
      <c r="BE257" s="24">
        <f ca="1">IFERROR(__xludf.DUMMYFUNCTION("""COMPUTED_VALUE"""),0)</f>
        <v>0</v>
      </c>
      <c r="BF257" s="24">
        <f ca="1">IFERROR(__xludf.DUMMYFUNCTION("""COMPUTED_VALUE"""),255390)</f>
        <v>255390</v>
      </c>
      <c r="BG257" s="24">
        <f ca="1">IFERROR(__xludf.DUMMYFUNCTION("""COMPUTED_VALUE"""),0)</f>
        <v>0</v>
      </c>
      <c r="BH257" s="24">
        <f ca="1">IFERROR(__xludf.DUMMYFUNCTION("""COMPUTED_VALUE"""),153235)</f>
        <v>153235</v>
      </c>
      <c r="BI257" s="20"/>
      <c r="BJ257" s="24">
        <f ca="1">IFERROR(__xludf.DUMMYFUNCTION("""COMPUTED_VALUE"""),0)</f>
        <v>0</v>
      </c>
      <c r="BK257" s="24">
        <f ca="1">IFERROR(__xludf.DUMMYFUNCTION("""COMPUTED_VALUE"""),0)</f>
        <v>0</v>
      </c>
      <c r="BL257" s="24">
        <f ca="1">IFERROR(__xludf.DUMMYFUNCTION("""COMPUTED_VALUE"""),0)</f>
        <v>0</v>
      </c>
      <c r="BM257" s="24">
        <f ca="1">IFERROR(__xludf.DUMMYFUNCTION("""COMPUTED_VALUE"""),0)</f>
        <v>0</v>
      </c>
      <c r="BN257" s="24">
        <f ca="1">IFERROR(__xludf.DUMMYFUNCTION("""COMPUTED_VALUE"""),0)</f>
        <v>0</v>
      </c>
      <c r="BO257" s="20"/>
      <c r="BP257" s="24">
        <f ca="1">IFERROR(__xludf.DUMMYFUNCTION("""COMPUTED_VALUE"""),0)</f>
        <v>0</v>
      </c>
      <c r="BQ257" s="24">
        <f ca="1">IFERROR(__xludf.DUMMYFUNCTION("""COMPUTED_VALUE"""),0)</f>
        <v>0</v>
      </c>
      <c r="BR257" s="24">
        <f ca="1">IFERROR(__xludf.DUMMYFUNCTION("""COMPUTED_VALUE"""),0)</f>
        <v>0</v>
      </c>
      <c r="BS257" s="24">
        <f ca="1">IFERROR(__xludf.DUMMYFUNCTION("""COMPUTED_VALUE"""),0)</f>
        <v>0</v>
      </c>
      <c r="BT257" s="24">
        <f ca="1">IFERROR(__xludf.DUMMYFUNCTION("""COMPUTED_VALUE"""),0)</f>
        <v>0</v>
      </c>
      <c r="BU257" s="20"/>
      <c r="BV257" s="24">
        <f ca="1">IFERROR(__xludf.DUMMYFUNCTION("""COMPUTED_VALUE"""),0)</f>
        <v>0</v>
      </c>
      <c r="BW257" s="24">
        <f ca="1">IFERROR(__xludf.DUMMYFUNCTION("""COMPUTED_VALUE"""),0)</f>
        <v>0</v>
      </c>
      <c r="BX257" s="24">
        <f ca="1">IFERROR(__xludf.DUMMYFUNCTION("""COMPUTED_VALUE"""),0)</f>
        <v>0</v>
      </c>
      <c r="BY257" s="24">
        <f ca="1">IFERROR(__xludf.DUMMYFUNCTION("""COMPUTED_VALUE"""),0)</f>
        <v>0</v>
      </c>
      <c r="BZ257" s="24">
        <f ca="1">IFERROR(__xludf.DUMMYFUNCTION("""COMPUTED_VALUE"""),0)</f>
        <v>0</v>
      </c>
      <c r="CA257" s="20"/>
      <c r="CB257" s="20"/>
      <c r="CC257" s="20"/>
      <c r="CD257" s="20"/>
      <c r="CE257" s="20"/>
      <c r="CF257" s="20"/>
      <c r="CG257" s="20"/>
      <c r="CH257" s="20"/>
      <c r="CI257" s="20"/>
      <c r="CJ257" s="33">
        <f ca="1">IFERROR(__xludf.DUMMYFUNCTION("""COMPUTED_VALUE"""),43903)</f>
        <v>43903</v>
      </c>
      <c r="CK257" s="20"/>
      <c r="CL257" s="20"/>
      <c r="CM257" s="20"/>
      <c r="CN257" s="20"/>
      <c r="CO257" s="20"/>
      <c r="CP257" s="20"/>
      <c r="CQ257" s="20"/>
      <c r="CR257" s="20"/>
      <c r="CS257" s="20"/>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row>
    <row r="258" spans="1:123" ht="64.5" hidden="1" customHeight="1" x14ac:dyDescent="0.2">
      <c r="A258" s="19"/>
      <c r="B258" s="20" t="str">
        <f ca="1">IFERROR(__xludf.DUMMYFUNCTION("""COMPUTED_VALUE"""),"г.о. Солнечногорск")</f>
        <v>г.о. Солнечногорск</v>
      </c>
      <c r="C25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8" s="20" t="str">
        <f ca="1">IFERROR(__xludf.DUMMYFUNCTION("""COMPUTED_VALUE"""),"МинЖКХ")</f>
        <v>МинЖКХ</v>
      </c>
      <c r="E258" s="20" t="str">
        <f ca="1">IFERROR(__xludf.DUMMYFUNCTION("""COMPUTED_VALUE"""),"Реконструкция канализационного коллектора с Д-400 на Д-800 мм, г.п. Солнечногорск (в том числе ПИР)")</f>
        <v>Реконструкция канализационного коллектора с Д-400 на Д-800 мм, г.п. Солнечногорск (в том числе ПИР)</v>
      </c>
      <c r="F258" s="32" t="str">
        <f ca="1">IFERROR(__xludf.DUMMYFUNCTION("""COMPUTED_VALUE"""),"КНК")</f>
        <v>КНК</v>
      </c>
      <c r="G258" s="20">
        <f ca="1">IFERROR(__xludf.DUMMYFUNCTION("""COMPUTED_VALUE"""),2022)</f>
        <v>2022</v>
      </c>
      <c r="H258" s="20" t="str">
        <f ca="1">IFERROR(__xludf.DUMMYFUNCTION("""COMPUTED_VALUE"""),"СМР")</f>
        <v>СМР</v>
      </c>
      <c r="I258" s="20"/>
      <c r="J258" s="20"/>
      <c r="K258" s="20"/>
      <c r="L258" s="20"/>
      <c r="M258" s="20"/>
      <c r="N258" s="24">
        <f ca="1">IFERROR(__xludf.DUMMYFUNCTION("""COMPUTED_VALUE"""),0)</f>
        <v>0</v>
      </c>
      <c r="O258" s="20"/>
      <c r="P258" s="20"/>
      <c r="Q258" s="20"/>
      <c r="R258" s="20"/>
      <c r="S258" s="20"/>
      <c r="T258" s="20"/>
      <c r="U258" s="24">
        <f ca="1">IFERROR(__xludf.DUMMYFUNCTION("""COMPUTED_VALUE"""),0)</f>
        <v>0</v>
      </c>
      <c r="V258" s="24">
        <f ca="1">IFERROR(__xludf.DUMMYFUNCTION("""COMPUTED_VALUE"""),0)</f>
        <v>0</v>
      </c>
      <c r="W258" s="24">
        <f ca="1">IFERROR(__xludf.DUMMYFUNCTION("""COMPUTED_VALUE"""),0)</f>
        <v>0</v>
      </c>
      <c r="X258" s="24">
        <f ca="1">IFERROR(__xludf.DUMMYFUNCTION("""COMPUTED_VALUE"""),0)</f>
        <v>0</v>
      </c>
      <c r="Y258" s="24">
        <f ca="1">IFERROR(__xludf.DUMMYFUNCTION("""COMPUTED_VALUE"""),0)</f>
        <v>0</v>
      </c>
      <c r="Z258" s="24">
        <f ca="1">IFERROR(__xludf.DUMMYFUNCTION("""COMPUTED_VALUE"""),0)</f>
        <v>0</v>
      </c>
      <c r="AA258" s="20" t="str">
        <f ca="1">IFERROR(__xludf.DUMMYFUNCTION("""COMPUTED_VALUE"""),"10 2 02 64030")</f>
        <v>10 2 02 64030</v>
      </c>
      <c r="AB258" s="20">
        <f ca="1">IFERROR(__xludf.DUMMYFUNCTION("""COMPUTED_VALUE"""),522)</f>
        <v>522</v>
      </c>
      <c r="AC258" s="20" t="str">
        <f ca="1">IFERROR(__xludf.DUMMYFUNCTION("""COMPUTED_VALUE"""),"нет")</f>
        <v>нет</v>
      </c>
      <c r="AD258" s="20"/>
      <c r="AE258" s="20"/>
      <c r="AF258" s="24">
        <f ca="1">IFERROR(__xludf.DUMMYFUNCTION("""COMPUTED_VALUE"""),27000)</f>
        <v>27000</v>
      </c>
      <c r="AG258" s="24">
        <f ca="1">IFERROR(__xludf.DUMMYFUNCTION("""COMPUTED_VALUE"""),0)</f>
        <v>0</v>
      </c>
      <c r="AH258" s="24">
        <f ca="1">IFERROR(__xludf.DUMMYFUNCTION("""COMPUTED_VALUE"""),18900)</f>
        <v>18900</v>
      </c>
      <c r="AI258" s="24">
        <f ca="1">IFERROR(__xludf.DUMMYFUNCTION("""COMPUTED_VALUE"""),0)</f>
        <v>0</v>
      </c>
      <c r="AJ258" s="24">
        <f ca="1">IFERROR(__xludf.DUMMYFUNCTION("""COMPUTED_VALUE"""),8100)</f>
        <v>8100</v>
      </c>
      <c r="AK258" s="24">
        <f ca="1">IFERROR(__xludf.DUMMYFUNCTION("""COMPUTED_VALUE"""),0)</f>
        <v>0</v>
      </c>
      <c r="AL258" s="24">
        <f ca="1">IFERROR(__xludf.DUMMYFUNCTION("""COMPUTED_VALUE"""),0)</f>
        <v>0</v>
      </c>
      <c r="AM258" s="20"/>
      <c r="AN258" s="20"/>
      <c r="AO258" s="20"/>
      <c r="AP258" s="20"/>
      <c r="AQ258" s="20"/>
      <c r="AR258" s="24">
        <f ca="1">IFERROR(__xludf.DUMMYFUNCTION("""COMPUTED_VALUE"""),0)</f>
        <v>0</v>
      </c>
      <c r="AS258" s="20"/>
      <c r="AT258" s="20"/>
      <c r="AU258" s="20"/>
      <c r="AV258" s="20"/>
      <c r="AW258" s="20"/>
      <c r="AX258" s="24">
        <f ca="1">IFERROR(__xludf.DUMMYFUNCTION("""COMPUTED_VALUE"""),0)</f>
        <v>0</v>
      </c>
      <c r="AY258" s="24">
        <f ca="1">IFERROR(__xludf.DUMMYFUNCTION("""COMPUTED_VALUE"""),0)</f>
        <v>0</v>
      </c>
      <c r="AZ258" s="24">
        <f ca="1">IFERROR(__xludf.DUMMYFUNCTION("""COMPUTED_VALUE"""),0)</f>
        <v>0</v>
      </c>
      <c r="BA258" s="24">
        <f ca="1">IFERROR(__xludf.DUMMYFUNCTION("""COMPUTED_VALUE"""),0)</f>
        <v>0</v>
      </c>
      <c r="BB258" s="24">
        <f ca="1">IFERROR(__xludf.DUMMYFUNCTION("""COMPUTED_VALUE"""),0)</f>
        <v>0</v>
      </c>
      <c r="BC258" s="20"/>
      <c r="BD258" s="24">
        <f ca="1">IFERROR(__xludf.DUMMYFUNCTION("""COMPUTED_VALUE"""),0)</f>
        <v>0</v>
      </c>
      <c r="BE258" s="24">
        <f ca="1">IFERROR(__xludf.DUMMYFUNCTION("""COMPUTED_VALUE"""),0)</f>
        <v>0</v>
      </c>
      <c r="BF258" s="24">
        <f ca="1">IFERROR(__xludf.DUMMYFUNCTION("""COMPUTED_VALUE"""),0)</f>
        <v>0</v>
      </c>
      <c r="BG258" s="24">
        <f ca="1">IFERROR(__xludf.DUMMYFUNCTION("""COMPUTED_VALUE"""),0)</f>
        <v>0</v>
      </c>
      <c r="BH258" s="24">
        <f ca="1">IFERROR(__xludf.DUMMYFUNCTION("""COMPUTED_VALUE"""),0)</f>
        <v>0</v>
      </c>
      <c r="BI258" s="20"/>
      <c r="BJ258" s="24">
        <f ca="1">IFERROR(__xludf.DUMMYFUNCTION("""COMPUTED_VALUE"""),27000)</f>
        <v>27000</v>
      </c>
      <c r="BK258" s="24">
        <f ca="1">IFERROR(__xludf.DUMMYFUNCTION("""COMPUTED_VALUE"""),0)</f>
        <v>0</v>
      </c>
      <c r="BL258" s="24">
        <f ca="1">IFERROR(__xludf.DUMMYFUNCTION("""COMPUTED_VALUE"""),18900)</f>
        <v>18900</v>
      </c>
      <c r="BM258" s="24">
        <f ca="1">IFERROR(__xludf.DUMMYFUNCTION("""COMPUTED_VALUE"""),0)</f>
        <v>0</v>
      </c>
      <c r="BN258" s="24">
        <f ca="1">IFERROR(__xludf.DUMMYFUNCTION("""COMPUTED_VALUE"""),8100)</f>
        <v>8100</v>
      </c>
      <c r="BO258" s="20"/>
      <c r="BP258" s="24">
        <f ca="1">IFERROR(__xludf.DUMMYFUNCTION("""COMPUTED_VALUE"""),0)</f>
        <v>0</v>
      </c>
      <c r="BQ258" s="24">
        <f ca="1">IFERROR(__xludf.DUMMYFUNCTION("""COMPUTED_VALUE"""),0)</f>
        <v>0</v>
      </c>
      <c r="BR258" s="24">
        <f ca="1">IFERROR(__xludf.DUMMYFUNCTION("""COMPUTED_VALUE"""),0)</f>
        <v>0</v>
      </c>
      <c r="BS258" s="24">
        <f ca="1">IFERROR(__xludf.DUMMYFUNCTION("""COMPUTED_VALUE"""),0)</f>
        <v>0</v>
      </c>
      <c r="BT258" s="24">
        <f ca="1">IFERROR(__xludf.DUMMYFUNCTION("""COMPUTED_VALUE"""),0)</f>
        <v>0</v>
      </c>
      <c r="BU258" s="20"/>
      <c r="BV258" s="24">
        <f ca="1">IFERROR(__xludf.DUMMYFUNCTION("""COMPUTED_VALUE"""),0)</f>
        <v>0</v>
      </c>
      <c r="BW258" s="24">
        <f ca="1">IFERROR(__xludf.DUMMYFUNCTION("""COMPUTED_VALUE"""),0)</f>
        <v>0</v>
      </c>
      <c r="BX258" s="24">
        <f ca="1">IFERROR(__xludf.DUMMYFUNCTION("""COMPUTED_VALUE"""),0)</f>
        <v>0</v>
      </c>
      <c r="BY258" s="24">
        <f ca="1">IFERROR(__xludf.DUMMYFUNCTION("""COMPUTED_VALUE"""),0)</f>
        <v>0</v>
      </c>
      <c r="BZ258" s="24">
        <f ca="1">IFERROR(__xludf.DUMMYFUNCTION("""COMPUTED_VALUE"""),0)</f>
        <v>0</v>
      </c>
      <c r="CA258" s="20"/>
      <c r="CB258" s="20"/>
      <c r="CC258" s="20"/>
      <c r="CD258" s="20"/>
      <c r="CE258" s="20"/>
      <c r="CF258" s="20"/>
      <c r="CG258" s="20"/>
      <c r="CH258" s="20"/>
      <c r="CI258" s="20"/>
      <c r="CJ258" s="20"/>
      <c r="CK258" s="20"/>
      <c r="CL258" s="20"/>
      <c r="CM258" s="20"/>
      <c r="CN258" s="20"/>
      <c r="CO258" s="20"/>
      <c r="CP258" s="20"/>
      <c r="CQ258" s="20"/>
      <c r="CR258" s="20"/>
      <c r="CS258" s="20"/>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row>
    <row r="259" spans="1:123" ht="64.5" customHeight="1" x14ac:dyDescent="0.2">
      <c r="A259" s="19"/>
      <c r="B259" s="20" t="str">
        <f ca="1">IFERROR(__xludf.DUMMYFUNCTION("""COMPUTED_VALUE"""),"г.о. Сергиев Посад")</f>
        <v>г.о. Сергиев Посад</v>
      </c>
      <c r="C25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9" s="20" t="str">
        <f ca="1">IFERROR(__xludf.DUMMYFUNCTION("""COMPUTED_VALUE"""),"МинЖКХ")</f>
        <v>МинЖКХ</v>
      </c>
      <c r="E259" s="20" t="str">
        <f ca="1">IFERROR(__xludf.DUMMYFUNCTION("""COMPUTED_VALUE"""),"Реконструкция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f>
        <v>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v>
      </c>
      <c r="F259" s="32" t="str">
        <f ca="1">IFERROR(__xludf.DUMMYFUNCTION("""COMPUTED_VALUE"""),"КНК")</f>
        <v>КНК</v>
      </c>
      <c r="G259" s="20" t="str">
        <f ca="1">IFERROR(__xludf.DUMMYFUNCTION("""COMPUTED_VALUE"""),"2020-2021")</f>
        <v>2020-2021</v>
      </c>
      <c r="H259" s="20" t="str">
        <f ca="1">IFERROR(__xludf.DUMMYFUNCTION("""COMPUTED_VALUE"""),"СМР")</f>
        <v>СМР</v>
      </c>
      <c r="I259" s="20">
        <f ca="1">IFERROR(__xludf.DUMMYFUNCTION("""COMPUTED_VALUE"""),0)</f>
        <v>0</v>
      </c>
      <c r="J259" s="20"/>
      <c r="K259" s="20">
        <f ca="1">IFERROR(__xludf.DUMMYFUNCTION("""COMPUTED_VALUE"""),80000)</f>
        <v>80000</v>
      </c>
      <c r="L259" s="20">
        <f ca="1">IFERROR(__xludf.DUMMYFUNCTION("""COMPUTED_VALUE"""),80000)</f>
        <v>80000</v>
      </c>
      <c r="M259" s="20"/>
      <c r="N259" s="24">
        <f ca="1">IFERROR(__xludf.DUMMYFUNCTION("""COMPUTED_VALUE"""),77388.97)</f>
        <v>77388.97</v>
      </c>
      <c r="O259" s="20"/>
      <c r="P259" s="20"/>
      <c r="Q259" s="24">
        <f ca="1">IFERROR(__xludf.DUMMYFUNCTION("""COMPUTED_VALUE"""),77388.97)</f>
        <v>77388.97</v>
      </c>
      <c r="R259" s="20"/>
      <c r="S259" s="20"/>
      <c r="T259" s="20" t="str">
        <f ca="1">IFERROR(__xludf.DUMMYFUNCTION("""COMPUTED_VALUE"""),"Лимиты 2020 не будут Освоены 
Заключение получено, не присвоен номер. В связи с поздним выходом из МОГЭ риск неосвоения лимитов 2020 года. Направлено письмо от ОМСУ о переносе лимитов на 2021.")</f>
        <v>Лимиты 2020 не будут Освоены 
Заключение получено, не присвоен номер. В связи с поздним выходом из МОГЭ риск неосвоения лимитов 2020 года. Направлено письмо от ОМСУ о переносе лимитов на 2021.</v>
      </c>
      <c r="U259" s="24">
        <f ca="1">IFERROR(__xludf.DUMMYFUNCTION("""COMPUTED_VALUE"""),18605.9799999999)</f>
        <v>18605.979999999901</v>
      </c>
      <c r="V259" s="24">
        <f ca="1">IFERROR(__xludf.DUMMYFUNCTION("""COMPUTED_VALUE"""),0)</f>
        <v>0</v>
      </c>
      <c r="W259" s="24">
        <f ca="1">IFERROR(__xludf.DUMMYFUNCTION("""COMPUTED_VALUE"""),0)</f>
        <v>0</v>
      </c>
      <c r="X259" s="24">
        <f ca="1">IFERROR(__xludf.DUMMYFUNCTION("""COMPUTED_VALUE"""),17646.03)</f>
        <v>17646.03</v>
      </c>
      <c r="Y259" s="24">
        <f ca="1">IFERROR(__xludf.DUMMYFUNCTION("""COMPUTED_VALUE"""),959.95)</f>
        <v>959.95</v>
      </c>
      <c r="Z259" s="24">
        <f ca="1">IFERROR(__xludf.DUMMYFUNCTION("""COMPUTED_VALUE"""),0)</f>
        <v>0</v>
      </c>
      <c r="AA259" s="20" t="str">
        <f ca="1">IFERROR(__xludf.DUMMYFUNCTION("""COMPUTED_VALUE"""),"10 2 02 64030")</f>
        <v>10 2 02 64030</v>
      </c>
      <c r="AB259" s="20">
        <f ca="1">IFERROR(__xludf.DUMMYFUNCTION("""COMPUTED_VALUE"""),522)</f>
        <v>522</v>
      </c>
      <c r="AC259" s="20" t="str">
        <f ca="1">IFERROR(__xludf.DUMMYFUNCTION("""COMPUTED_VALUE"""),"не требуется")</f>
        <v>не требуется</v>
      </c>
      <c r="AD259" s="20"/>
      <c r="AE259" s="20"/>
      <c r="AF259" s="24">
        <f ca="1">IFERROR(__xludf.DUMMYFUNCTION("""COMPUTED_VALUE"""),204279.71)</f>
        <v>204279.71</v>
      </c>
      <c r="AG259" s="24">
        <f ca="1">IFERROR(__xludf.DUMMYFUNCTION("""COMPUTED_VALUE"""),0)</f>
        <v>0</v>
      </c>
      <c r="AH259" s="24">
        <f ca="1">IFERROR(__xludf.DUMMYFUNCTION("""COMPUTED_VALUE"""),107201.92)</f>
        <v>107201.92</v>
      </c>
      <c r="AI259" s="24">
        <f ca="1">IFERROR(__xludf.DUMMYFUNCTION("""COMPUTED_VALUE"""),95035)</f>
        <v>95035</v>
      </c>
      <c r="AJ259" s="24">
        <f ca="1">IFERROR(__xludf.DUMMYFUNCTION("""COMPUTED_VALUE"""),2042.79)</f>
        <v>2042.79</v>
      </c>
      <c r="AK259" s="24">
        <f ca="1">IFERROR(__xludf.DUMMYFUNCTION("""COMPUTED_VALUE"""),0)</f>
        <v>0</v>
      </c>
      <c r="AL259" s="24">
        <f ca="1">IFERROR(__xludf.DUMMYFUNCTION("""COMPUTED_VALUE"""),0)</f>
        <v>0</v>
      </c>
      <c r="AM259" s="20"/>
      <c r="AN259" s="20"/>
      <c r="AO259" s="20"/>
      <c r="AP259" s="20"/>
      <c r="AQ259" s="20"/>
      <c r="AR259" s="24">
        <f ca="1">IFERROR(__xludf.DUMMYFUNCTION("""COMPUTED_VALUE"""),0)</f>
        <v>0</v>
      </c>
      <c r="AS259" s="20"/>
      <c r="AT259" s="20"/>
      <c r="AU259" s="20"/>
      <c r="AV259" s="20"/>
      <c r="AW259" s="20"/>
      <c r="AX259" s="24">
        <f ca="1">IFERROR(__xludf.DUMMYFUNCTION("""COMPUTED_VALUE"""),95994.95)</f>
        <v>95994.95</v>
      </c>
      <c r="AY259" s="24">
        <f ca="1">IFERROR(__xludf.DUMMYFUNCTION("""COMPUTED_VALUE"""),0)</f>
        <v>0</v>
      </c>
      <c r="AZ259" s="24">
        <f ca="1">IFERROR(__xludf.DUMMYFUNCTION("""COMPUTED_VALUE"""),0)</f>
        <v>0</v>
      </c>
      <c r="BA259" s="24">
        <f ca="1">IFERROR(__xludf.DUMMYFUNCTION("""COMPUTED_VALUE"""),95035)</f>
        <v>95035</v>
      </c>
      <c r="BB259" s="24">
        <f ca="1">IFERROR(__xludf.DUMMYFUNCTION("""COMPUTED_VALUE"""),959.95)</f>
        <v>959.95</v>
      </c>
      <c r="BC259" s="20"/>
      <c r="BD259" s="24">
        <f ca="1">IFERROR(__xludf.DUMMYFUNCTION("""COMPUTED_VALUE"""),108284.76)</f>
        <v>108284.76</v>
      </c>
      <c r="BE259" s="24">
        <f ca="1">IFERROR(__xludf.DUMMYFUNCTION("""COMPUTED_VALUE"""),0)</f>
        <v>0</v>
      </c>
      <c r="BF259" s="24">
        <f ca="1">IFERROR(__xludf.DUMMYFUNCTION("""COMPUTED_VALUE"""),107201.92)</f>
        <v>107201.92</v>
      </c>
      <c r="BG259" s="24">
        <f ca="1">IFERROR(__xludf.DUMMYFUNCTION("""COMPUTED_VALUE"""),0)</f>
        <v>0</v>
      </c>
      <c r="BH259" s="24">
        <f ca="1">IFERROR(__xludf.DUMMYFUNCTION("""COMPUTED_VALUE"""),1082.84)</f>
        <v>1082.8399999999999</v>
      </c>
      <c r="BI259" s="20"/>
      <c r="BJ259" s="24">
        <f ca="1">IFERROR(__xludf.DUMMYFUNCTION("""COMPUTED_VALUE"""),0)</f>
        <v>0</v>
      </c>
      <c r="BK259" s="24">
        <f ca="1">IFERROR(__xludf.DUMMYFUNCTION("""COMPUTED_VALUE"""),0)</f>
        <v>0</v>
      </c>
      <c r="BL259" s="24">
        <f ca="1">IFERROR(__xludf.DUMMYFUNCTION("""COMPUTED_VALUE"""),0)</f>
        <v>0</v>
      </c>
      <c r="BM259" s="24">
        <f ca="1">IFERROR(__xludf.DUMMYFUNCTION("""COMPUTED_VALUE"""),0)</f>
        <v>0</v>
      </c>
      <c r="BN259" s="24">
        <f ca="1">IFERROR(__xludf.DUMMYFUNCTION("""COMPUTED_VALUE"""),0)</f>
        <v>0</v>
      </c>
      <c r="BO259" s="20"/>
      <c r="BP259" s="24">
        <f ca="1">IFERROR(__xludf.DUMMYFUNCTION("""COMPUTED_VALUE"""),0)</f>
        <v>0</v>
      </c>
      <c r="BQ259" s="24">
        <f ca="1">IFERROR(__xludf.DUMMYFUNCTION("""COMPUTED_VALUE"""),0)</f>
        <v>0</v>
      </c>
      <c r="BR259" s="24">
        <f ca="1">IFERROR(__xludf.DUMMYFUNCTION("""COMPUTED_VALUE"""),0)</f>
        <v>0</v>
      </c>
      <c r="BS259" s="24">
        <f ca="1">IFERROR(__xludf.DUMMYFUNCTION("""COMPUTED_VALUE"""),0)</f>
        <v>0</v>
      </c>
      <c r="BT259" s="24">
        <f ca="1">IFERROR(__xludf.DUMMYFUNCTION("""COMPUTED_VALUE"""),0)</f>
        <v>0</v>
      </c>
      <c r="BU259" s="20"/>
      <c r="BV259" s="24">
        <f ca="1">IFERROR(__xludf.DUMMYFUNCTION("""COMPUTED_VALUE"""),0)</f>
        <v>0</v>
      </c>
      <c r="BW259" s="24">
        <f ca="1">IFERROR(__xludf.DUMMYFUNCTION("""COMPUTED_VALUE"""),0)</f>
        <v>0</v>
      </c>
      <c r="BX259" s="24">
        <f ca="1">IFERROR(__xludf.DUMMYFUNCTION("""COMPUTED_VALUE"""),0)</f>
        <v>0</v>
      </c>
      <c r="BY259" s="24">
        <f ca="1">IFERROR(__xludf.DUMMYFUNCTION("""COMPUTED_VALUE"""),0)</f>
        <v>0</v>
      </c>
      <c r="BZ259" s="24">
        <f ca="1">IFERROR(__xludf.DUMMYFUNCTION("""COMPUTED_VALUE"""),0)</f>
        <v>0</v>
      </c>
      <c r="CA259" s="20"/>
      <c r="CB259" s="20"/>
      <c r="CC259" s="26">
        <f ca="1">IFERROR(__xludf.DUMMYFUNCTION("""COMPUTED_VALUE"""),43670)</f>
        <v>43670</v>
      </c>
      <c r="CD259" s="20" t="str">
        <f ca="1">IFERROR(__xludf.DUMMYFUNCTION("""COMPUTED_VALUE"""),"0848300051719000592")</f>
        <v>0848300051719000592</v>
      </c>
      <c r="CE259" s="26">
        <f ca="1">IFERROR(__xludf.DUMMYFUNCTION("""COMPUTED_VALUE"""),43739)</f>
        <v>43739</v>
      </c>
      <c r="CF259" s="20" t="str">
        <f ca="1">IFERROR(__xludf.DUMMYFUNCTION("""COMPUTED_VALUE"""),"0848300051719000592")</f>
        <v>0848300051719000592</v>
      </c>
      <c r="CG259" s="20" t="str">
        <f ca="1">IFERROR(__xludf.DUMMYFUNCTION("""COMPUTED_VALUE"""),"37 949 414,00")</f>
        <v>37 949 414,00</v>
      </c>
      <c r="CH259" s="20" t="str">
        <f ca="1">IFERROR(__xludf.DUMMYFUNCTION("""COMPUTED_VALUE"""),"ООО ""Куйбышевводоканалпроект""")</f>
        <v>ООО "Куйбышевводоканалпроект"</v>
      </c>
      <c r="CI259" s="27" t="str">
        <f ca="1">IFERROR(__xludf.DUMMYFUNCTION("""COMPUTED_VALUE"""),"https://zakupki.gov.ru/epz/contract/search/results.html?searchString=&amp;orderNumber=0848300051719000592&amp;openMode=USE_DEFAULT_PARAMS&amp;fz44=on&amp;priceFrom=0&amp;priceTo=200000000000&amp;contractStageList=0%2C1%2C2%2C3&amp;budgetaryFunds=on&amp;extraBudgetaryFunds=on")</f>
        <v>https://zakupki.gov.ru/epz/contract/search/results.html?searchString=&amp;orderNumber=0848300051719000592&amp;openMode=USE_DEFAULT_PARAMS&amp;fz44=on&amp;priceFrom=0&amp;priceTo=200000000000&amp;contractStageList=0%2C1%2C2%2C3&amp;budgetaryFunds=on&amp;extraBudgetaryFunds=on</v>
      </c>
      <c r="CJ259" s="33">
        <f ca="1">IFERROR(__xludf.DUMMYFUNCTION("""COMPUTED_VALUE"""),43789)</f>
        <v>43789</v>
      </c>
      <c r="CK259" s="20" t="str">
        <f ca="1">IFERROR(__xludf.DUMMYFUNCTION("""COMPUTED_VALUE"""),"17.04.2020  ___________________ (20)  23.11.2020")</f>
        <v>17.04.2020  ___________________ (20)  23.11.2020</v>
      </c>
      <c r="CL259" s="20" t="str">
        <f ca="1">IFERROR(__xludf.DUMMYFUNCTION("""COMPUTED_VALUE"""),"50-1-1-3-0798-20    ______________  50-1-1-2-1984-20  ")</f>
        <v xml:space="preserve">50-1-1-3-0798-20    ______________  50-1-1-2-1984-20  </v>
      </c>
      <c r="CM259" s="20"/>
      <c r="CN259" s="20"/>
      <c r="CO259" s="20"/>
      <c r="CP259" s="20"/>
      <c r="CQ259" s="20"/>
      <c r="CR259" s="20"/>
      <c r="CS259" s="20"/>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row>
    <row r="260" spans="1:123" ht="64.5" hidden="1" customHeight="1" x14ac:dyDescent="0.2">
      <c r="A260" s="19"/>
      <c r="B260" s="20" t="str">
        <f ca="1">IFERROR(__xludf.DUMMYFUNCTION("""COMPUTED_VALUE"""),"г.о. Ленинский")</f>
        <v>г.о. Ленинский</v>
      </c>
      <c r="C26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60" s="20" t="str">
        <f ca="1">IFERROR(__xludf.DUMMYFUNCTION("""COMPUTED_VALUE"""),"МинЖКХ")</f>
        <v>МинЖКХ</v>
      </c>
      <c r="E260" s="20" t="str">
        <f ca="1">IFERROR(__xludf.DUMMYFUNCTION("""COMPUTED_VALUE"""),"Строительство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f>
        <v>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v>
      </c>
      <c r="F260" s="32" t="str">
        <f ca="1">IFERROR(__xludf.DUMMYFUNCTION("""COMPUTED_VALUE"""),"Сети")</f>
        <v>Сети</v>
      </c>
      <c r="G260" s="20" t="str">
        <f ca="1">IFERROR(__xludf.DUMMYFUNCTION("""COMPUTED_VALUE"""),"2022-2023")</f>
        <v>2022-2023</v>
      </c>
      <c r="H260" s="20" t="str">
        <f ca="1">IFERROR(__xludf.DUMMYFUNCTION("""COMPUTED_VALUE"""),"СМР")</f>
        <v>СМР</v>
      </c>
      <c r="I260" s="20"/>
      <c r="J260" s="20"/>
      <c r="K260" s="20"/>
      <c r="L260" s="20"/>
      <c r="M260" s="20"/>
      <c r="N260" s="24">
        <f ca="1">IFERROR(__xludf.DUMMYFUNCTION("""COMPUTED_VALUE"""),0)</f>
        <v>0</v>
      </c>
      <c r="O260" s="20"/>
      <c r="P260" s="20"/>
      <c r="Q260" s="20"/>
      <c r="R260" s="20"/>
      <c r="S260" s="20"/>
      <c r="T260" s="20"/>
      <c r="U260" s="24">
        <f ca="1">IFERROR(__xludf.DUMMYFUNCTION("""COMPUTED_VALUE"""),0)</f>
        <v>0</v>
      </c>
      <c r="V260" s="24">
        <f ca="1">IFERROR(__xludf.DUMMYFUNCTION("""COMPUTED_VALUE"""),0)</f>
        <v>0</v>
      </c>
      <c r="W260" s="24">
        <f ca="1">IFERROR(__xludf.DUMMYFUNCTION("""COMPUTED_VALUE"""),0)</f>
        <v>0</v>
      </c>
      <c r="X260" s="24">
        <f ca="1">IFERROR(__xludf.DUMMYFUNCTION("""COMPUTED_VALUE"""),0)</f>
        <v>0</v>
      </c>
      <c r="Y260" s="24">
        <f ca="1">IFERROR(__xludf.DUMMYFUNCTION("""COMPUTED_VALUE"""),0)</f>
        <v>0</v>
      </c>
      <c r="Z260" s="24">
        <f ca="1">IFERROR(__xludf.DUMMYFUNCTION("""COMPUTED_VALUE"""),0)</f>
        <v>0</v>
      </c>
      <c r="AA260" s="20" t="str">
        <f ca="1">IFERROR(__xludf.DUMMYFUNCTION("""COMPUTED_VALUE"""),"10 2 02 64030")</f>
        <v>10 2 02 64030</v>
      </c>
      <c r="AB260" s="20">
        <f ca="1">IFERROR(__xludf.DUMMYFUNCTION("""COMPUTED_VALUE"""),522)</f>
        <v>522</v>
      </c>
      <c r="AC260" s="20" t="str">
        <f ca="1">IFERROR(__xludf.DUMMYFUNCTION("""COMPUTED_VALUE"""),"нет")</f>
        <v>нет</v>
      </c>
      <c r="AD260" s="20"/>
      <c r="AE260" s="20"/>
      <c r="AF260" s="24">
        <f ca="1">IFERROR(__xludf.DUMMYFUNCTION("""COMPUTED_VALUE"""),102087.44)</f>
        <v>102087.44</v>
      </c>
      <c r="AG260" s="24">
        <f ca="1">IFERROR(__xludf.DUMMYFUNCTION("""COMPUTED_VALUE"""),0)</f>
        <v>0</v>
      </c>
      <c r="AH260" s="24">
        <f ca="1">IFERROR(__xludf.DUMMYFUNCTION("""COMPUTED_VALUE"""),78198)</f>
        <v>78198</v>
      </c>
      <c r="AI260" s="24">
        <f ca="1">IFERROR(__xludf.DUMMYFUNCTION("""COMPUTED_VALUE"""),0)</f>
        <v>0</v>
      </c>
      <c r="AJ260" s="24">
        <f ca="1">IFERROR(__xludf.DUMMYFUNCTION("""COMPUTED_VALUE"""),23889.44)</f>
        <v>23889.439999999999</v>
      </c>
      <c r="AK260" s="24">
        <f ca="1">IFERROR(__xludf.DUMMYFUNCTION("""COMPUTED_VALUE"""),0)</f>
        <v>0</v>
      </c>
      <c r="AL260" s="24">
        <f ca="1">IFERROR(__xludf.DUMMYFUNCTION("""COMPUTED_VALUE"""),0)</f>
        <v>0</v>
      </c>
      <c r="AM260" s="20"/>
      <c r="AN260" s="20"/>
      <c r="AO260" s="20"/>
      <c r="AP260" s="20"/>
      <c r="AQ260" s="20"/>
      <c r="AR260" s="24">
        <f ca="1">IFERROR(__xludf.DUMMYFUNCTION("""COMPUTED_VALUE"""),0)</f>
        <v>0</v>
      </c>
      <c r="AS260" s="20"/>
      <c r="AT260" s="20"/>
      <c r="AU260" s="20"/>
      <c r="AV260" s="20"/>
      <c r="AW260" s="20"/>
      <c r="AX260" s="24">
        <f ca="1">IFERROR(__xludf.DUMMYFUNCTION("""COMPUTED_VALUE"""),0)</f>
        <v>0</v>
      </c>
      <c r="AY260" s="24">
        <f ca="1">IFERROR(__xludf.DUMMYFUNCTION("""COMPUTED_VALUE"""),0)</f>
        <v>0</v>
      </c>
      <c r="AZ260" s="24">
        <f ca="1">IFERROR(__xludf.DUMMYFUNCTION("""COMPUTED_VALUE"""),0)</f>
        <v>0</v>
      </c>
      <c r="BA260" s="24">
        <f ca="1">IFERROR(__xludf.DUMMYFUNCTION("""COMPUTED_VALUE"""),0)</f>
        <v>0</v>
      </c>
      <c r="BB260" s="24">
        <f ca="1">IFERROR(__xludf.DUMMYFUNCTION("""COMPUTED_VALUE"""),0)</f>
        <v>0</v>
      </c>
      <c r="BC260" s="20"/>
      <c r="BD260" s="24">
        <f ca="1">IFERROR(__xludf.DUMMYFUNCTION("""COMPUTED_VALUE"""),0)</f>
        <v>0</v>
      </c>
      <c r="BE260" s="24">
        <f ca="1">IFERROR(__xludf.DUMMYFUNCTION("""COMPUTED_VALUE"""),0)</f>
        <v>0</v>
      </c>
      <c r="BF260" s="24">
        <f ca="1">IFERROR(__xludf.DUMMYFUNCTION("""COMPUTED_VALUE"""),0)</f>
        <v>0</v>
      </c>
      <c r="BG260" s="24">
        <f ca="1">IFERROR(__xludf.DUMMYFUNCTION("""COMPUTED_VALUE"""),0)</f>
        <v>0</v>
      </c>
      <c r="BH260" s="24">
        <f ca="1">IFERROR(__xludf.DUMMYFUNCTION("""COMPUTED_VALUE"""),0)</f>
        <v>0</v>
      </c>
      <c r="BI260" s="20"/>
      <c r="BJ260" s="24">
        <f ca="1">IFERROR(__xludf.DUMMYFUNCTION("""COMPUTED_VALUE"""),61252.42)</f>
        <v>61252.42</v>
      </c>
      <c r="BK260" s="24">
        <f ca="1">IFERROR(__xludf.DUMMYFUNCTION("""COMPUTED_VALUE"""),0)</f>
        <v>0</v>
      </c>
      <c r="BL260" s="24">
        <f ca="1">IFERROR(__xludf.DUMMYFUNCTION("""COMPUTED_VALUE"""),46919)</f>
        <v>46919</v>
      </c>
      <c r="BM260" s="24">
        <f ca="1">IFERROR(__xludf.DUMMYFUNCTION("""COMPUTED_VALUE"""),0)</f>
        <v>0</v>
      </c>
      <c r="BN260" s="24">
        <f ca="1">IFERROR(__xludf.DUMMYFUNCTION("""COMPUTED_VALUE"""),14333.42)</f>
        <v>14333.42</v>
      </c>
      <c r="BO260" s="20"/>
      <c r="BP260" s="24">
        <f ca="1">IFERROR(__xludf.DUMMYFUNCTION("""COMPUTED_VALUE"""),40835.02)</f>
        <v>40835.019999999997</v>
      </c>
      <c r="BQ260" s="24">
        <f ca="1">IFERROR(__xludf.DUMMYFUNCTION("""COMPUTED_VALUE"""),0)</f>
        <v>0</v>
      </c>
      <c r="BR260" s="24">
        <f ca="1">IFERROR(__xludf.DUMMYFUNCTION("""COMPUTED_VALUE"""),31279)</f>
        <v>31279</v>
      </c>
      <c r="BS260" s="24">
        <f ca="1">IFERROR(__xludf.DUMMYFUNCTION("""COMPUTED_VALUE"""),0)</f>
        <v>0</v>
      </c>
      <c r="BT260" s="24">
        <f ca="1">IFERROR(__xludf.DUMMYFUNCTION("""COMPUTED_VALUE"""),9556.02)</f>
        <v>9556.02</v>
      </c>
      <c r="BU260" s="20"/>
      <c r="BV260" s="24">
        <f ca="1">IFERROR(__xludf.DUMMYFUNCTION("""COMPUTED_VALUE"""),0)</f>
        <v>0</v>
      </c>
      <c r="BW260" s="24">
        <f ca="1">IFERROR(__xludf.DUMMYFUNCTION("""COMPUTED_VALUE"""),0)</f>
        <v>0</v>
      </c>
      <c r="BX260" s="24">
        <f ca="1">IFERROR(__xludf.DUMMYFUNCTION("""COMPUTED_VALUE"""),0)</f>
        <v>0</v>
      </c>
      <c r="BY260" s="24">
        <f ca="1">IFERROR(__xludf.DUMMYFUNCTION("""COMPUTED_VALUE"""),0)</f>
        <v>0</v>
      </c>
      <c r="BZ260" s="24">
        <f ca="1">IFERROR(__xludf.DUMMYFUNCTION("""COMPUTED_VALUE"""),0)</f>
        <v>0</v>
      </c>
      <c r="CA260" s="20"/>
      <c r="CB260" s="20"/>
      <c r="CC260" s="20"/>
      <c r="CD260" s="20"/>
      <c r="CE260" s="20"/>
      <c r="CF260" s="20"/>
      <c r="CG260" s="20"/>
      <c r="CH260" s="20"/>
      <c r="CI260" s="20"/>
      <c r="CJ260" s="20"/>
      <c r="CK260" s="20"/>
      <c r="CL260" s="20"/>
      <c r="CM260" s="20"/>
      <c r="CN260" s="20"/>
      <c r="CO260" s="20"/>
      <c r="CP260" s="20"/>
      <c r="CQ260" s="20"/>
      <c r="CR260" s="20"/>
      <c r="CS260" s="20"/>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row>
    <row r="261" spans="1:123" ht="64.5" hidden="1" customHeight="1" x14ac:dyDescent="0.2">
      <c r="A261" s="19"/>
      <c r="B261" s="20" t="str">
        <f ca="1">IFERROR(__xludf.DUMMYFUNCTION("""COMPUTED_VALUE"""),"г.о. Коломенский")</f>
        <v>г.о. Коломенский</v>
      </c>
      <c r="C26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1" s="20" t="str">
        <f ca="1">IFERROR(__xludf.DUMMYFUNCTION("""COMPUTED_VALUE"""),"МинЖКХ")</f>
        <v>МинЖКХ</v>
      </c>
      <c r="E261" s="20" t="str">
        <f ca="1">IFERROR(__xludf.DUMMYFUNCTION("""COMPUTED_VALUE"""),"Капитальный ремонт КНС в с. Непецино, Коломенский г.о. (в т.ч. ПИР) ")</f>
        <v xml:space="preserve">Капитальный ремонт КНС в с. Непецино, Коломенский г.о. (в т.ч. ПИР) </v>
      </c>
      <c r="F261" s="32" t="str">
        <f ca="1">IFERROR(__xludf.DUMMYFUNCTION("""COMPUTED_VALUE"""),"КНС")</f>
        <v>КНС</v>
      </c>
      <c r="G261" s="20">
        <f ca="1">IFERROR(__xludf.DUMMYFUNCTION("""COMPUTED_VALUE"""),2022)</f>
        <v>2022</v>
      </c>
      <c r="H261" s="20" t="str">
        <f ca="1">IFERROR(__xludf.DUMMYFUNCTION("""COMPUTED_VALUE"""),"СМР")</f>
        <v>СМР</v>
      </c>
      <c r="I261" s="20"/>
      <c r="J261" s="20"/>
      <c r="K261" s="20"/>
      <c r="L261" s="20"/>
      <c r="M261" s="20"/>
      <c r="N261" s="24">
        <f ca="1">IFERROR(__xludf.DUMMYFUNCTION("""COMPUTED_VALUE"""),0)</f>
        <v>0</v>
      </c>
      <c r="O261" s="20"/>
      <c r="P261" s="20"/>
      <c r="Q261" s="20"/>
      <c r="R261" s="20"/>
      <c r="S261" s="20"/>
      <c r="T261" s="20"/>
      <c r="U261" s="24">
        <f ca="1">IFERROR(__xludf.DUMMYFUNCTION("""COMPUTED_VALUE"""),0)</f>
        <v>0</v>
      </c>
      <c r="V261" s="24">
        <f ca="1">IFERROR(__xludf.DUMMYFUNCTION("""COMPUTED_VALUE"""),0)</f>
        <v>0</v>
      </c>
      <c r="W261" s="24">
        <f ca="1">IFERROR(__xludf.DUMMYFUNCTION("""COMPUTED_VALUE"""),0)</f>
        <v>0</v>
      </c>
      <c r="X261" s="24">
        <f ca="1">IFERROR(__xludf.DUMMYFUNCTION("""COMPUTED_VALUE"""),0)</f>
        <v>0</v>
      </c>
      <c r="Y261" s="24">
        <f ca="1">IFERROR(__xludf.DUMMYFUNCTION("""COMPUTED_VALUE"""),0)</f>
        <v>0</v>
      </c>
      <c r="Z261" s="24">
        <f ca="1">IFERROR(__xludf.DUMMYFUNCTION("""COMPUTED_VALUE"""),0)</f>
        <v>0</v>
      </c>
      <c r="AA261" s="20" t="str">
        <f ca="1">IFERROR(__xludf.DUMMYFUNCTION("""COMPUTED_VALUE"""),"10 2 02 60310")</f>
        <v>10 2 02 60310</v>
      </c>
      <c r="AB261" s="20">
        <f ca="1">IFERROR(__xludf.DUMMYFUNCTION("""COMPUTED_VALUE"""),521)</f>
        <v>521</v>
      </c>
      <c r="AC261" s="20" t="str">
        <f ca="1">IFERROR(__xludf.DUMMYFUNCTION("""COMPUTED_VALUE"""),"не требуется")</f>
        <v>не требуется</v>
      </c>
      <c r="AD261" s="20"/>
      <c r="AE261" s="20"/>
      <c r="AF261" s="24">
        <f ca="1">IFERROR(__xludf.DUMMYFUNCTION("""COMPUTED_VALUE"""),4470.55)</f>
        <v>4470.55</v>
      </c>
      <c r="AG261" s="24">
        <f ca="1">IFERROR(__xludf.DUMMYFUNCTION("""COMPUTED_VALUE"""),0)</f>
        <v>0</v>
      </c>
      <c r="AH261" s="24">
        <f ca="1">IFERROR(__xludf.DUMMYFUNCTION("""COMPUTED_VALUE"""),4247.02)</f>
        <v>4247.0200000000004</v>
      </c>
      <c r="AI261" s="24">
        <f ca="1">IFERROR(__xludf.DUMMYFUNCTION("""COMPUTED_VALUE"""),0)</f>
        <v>0</v>
      </c>
      <c r="AJ261" s="24">
        <f ca="1">IFERROR(__xludf.DUMMYFUNCTION("""COMPUTED_VALUE"""),223.53)</f>
        <v>223.53</v>
      </c>
      <c r="AK261" s="24">
        <f ca="1">IFERROR(__xludf.DUMMYFUNCTION("""COMPUTED_VALUE"""),0)</f>
        <v>0</v>
      </c>
      <c r="AL261" s="24">
        <f ca="1">IFERROR(__xludf.DUMMYFUNCTION("""COMPUTED_VALUE"""),0)</f>
        <v>0</v>
      </c>
      <c r="AM261" s="20"/>
      <c r="AN261" s="20"/>
      <c r="AO261" s="20"/>
      <c r="AP261" s="20"/>
      <c r="AQ261" s="20"/>
      <c r="AR261" s="24">
        <f ca="1">IFERROR(__xludf.DUMMYFUNCTION("""COMPUTED_VALUE"""),0)</f>
        <v>0</v>
      </c>
      <c r="AS261" s="20"/>
      <c r="AT261" s="20"/>
      <c r="AU261" s="20"/>
      <c r="AV261" s="20"/>
      <c r="AW261" s="20"/>
      <c r="AX261" s="24">
        <f ca="1">IFERROR(__xludf.DUMMYFUNCTION("""COMPUTED_VALUE"""),0)</f>
        <v>0</v>
      </c>
      <c r="AY261" s="24">
        <f ca="1">IFERROR(__xludf.DUMMYFUNCTION("""COMPUTED_VALUE"""),0)</f>
        <v>0</v>
      </c>
      <c r="AZ261" s="24">
        <f ca="1">IFERROR(__xludf.DUMMYFUNCTION("""COMPUTED_VALUE"""),0)</f>
        <v>0</v>
      </c>
      <c r="BA261" s="24">
        <f ca="1">IFERROR(__xludf.DUMMYFUNCTION("""COMPUTED_VALUE"""),0)</f>
        <v>0</v>
      </c>
      <c r="BB261" s="24">
        <f ca="1">IFERROR(__xludf.DUMMYFUNCTION("""COMPUTED_VALUE"""),0)</f>
        <v>0</v>
      </c>
      <c r="BC261" s="20"/>
      <c r="BD261" s="24">
        <f ca="1">IFERROR(__xludf.DUMMYFUNCTION("""COMPUTED_VALUE"""),0)</f>
        <v>0</v>
      </c>
      <c r="BE261" s="24">
        <f ca="1">IFERROR(__xludf.DUMMYFUNCTION("""COMPUTED_VALUE"""),0)</f>
        <v>0</v>
      </c>
      <c r="BF261" s="24">
        <f ca="1">IFERROR(__xludf.DUMMYFUNCTION("""COMPUTED_VALUE"""),0)</f>
        <v>0</v>
      </c>
      <c r="BG261" s="24">
        <f ca="1">IFERROR(__xludf.DUMMYFUNCTION("""COMPUTED_VALUE"""),0)</f>
        <v>0</v>
      </c>
      <c r="BH261" s="24">
        <f ca="1">IFERROR(__xludf.DUMMYFUNCTION("""COMPUTED_VALUE"""),0)</f>
        <v>0</v>
      </c>
      <c r="BI261" s="20"/>
      <c r="BJ261" s="24">
        <f ca="1">IFERROR(__xludf.DUMMYFUNCTION("""COMPUTED_VALUE"""),4470.55)</f>
        <v>4470.55</v>
      </c>
      <c r="BK261" s="24">
        <f ca="1">IFERROR(__xludf.DUMMYFUNCTION("""COMPUTED_VALUE"""),0)</f>
        <v>0</v>
      </c>
      <c r="BL261" s="24">
        <f ca="1">IFERROR(__xludf.DUMMYFUNCTION("""COMPUTED_VALUE"""),4247.02)</f>
        <v>4247.0200000000004</v>
      </c>
      <c r="BM261" s="24">
        <f ca="1">IFERROR(__xludf.DUMMYFUNCTION("""COMPUTED_VALUE"""),0)</f>
        <v>0</v>
      </c>
      <c r="BN261" s="24">
        <f ca="1">IFERROR(__xludf.DUMMYFUNCTION("""COMPUTED_VALUE"""),223.53)</f>
        <v>223.53</v>
      </c>
      <c r="BO261" s="20"/>
      <c r="BP261" s="24">
        <f ca="1">IFERROR(__xludf.DUMMYFUNCTION("""COMPUTED_VALUE"""),0)</f>
        <v>0</v>
      </c>
      <c r="BQ261" s="24">
        <f ca="1">IFERROR(__xludf.DUMMYFUNCTION("""COMPUTED_VALUE"""),0)</f>
        <v>0</v>
      </c>
      <c r="BR261" s="24">
        <f ca="1">IFERROR(__xludf.DUMMYFUNCTION("""COMPUTED_VALUE"""),0)</f>
        <v>0</v>
      </c>
      <c r="BS261" s="24">
        <f ca="1">IFERROR(__xludf.DUMMYFUNCTION("""COMPUTED_VALUE"""),0)</f>
        <v>0</v>
      </c>
      <c r="BT261" s="24">
        <f ca="1">IFERROR(__xludf.DUMMYFUNCTION("""COMPUTED_VALUE"""),0)</f>
        <v>0</v>
      </c>
      <c r="BU261" s="20"/>
      <c r="BV261" s="24">
        <f ca="1">IFERROR(__xludf.DUMMYFUNCTION("""COMPUTED_VALUE"""),0)</f>
        <v>0</v>
      </c>
      <c r="BW261" s="24">
        <f ca="1">IFERROR(__xludf.DUMMYFUNCTION("""COMPUTED_VALUE"""),0)</f>
        <v>0</v>
      </c>
      <c r="BX261" s="24">
        <f ca="1">IFERROR(__xludf.DUMMYFUNCTION("""COMPUTED_VALUE"""),0)</f>
        <v>0</v>
      </c>
      <c r="BY261" s="24">
        <f ca="1">IFERROR(__xludf.DUMMYFUNCTION("""COMPUTED_VALUE"""),0)</f>
        <v>0</v>
      </c>
      <c r="BZ261" s="24">
        <f ca="1">IFERROR(__xludf.DUMMYFUNCTION("""COMPUTED_VALUE"""),0)</f>
        <v>0</v>
      </c>
      <c r="CA261" s="20"/>
      <c r="CB261" s="20"/>
      <c r="CC261" s="20"/>
      <c r="CD261" s="20"/>
      <c r="CE261" s="20"/>
      <c r="CF261" s="20"/>
      <c r="CG261" s="20"/>
      <c r="CH261" s="20"/>
      <c r="CI261" s="20"/>
      <c r="CJ261" s="20"/>
      <c r="CK261" s="20"/>
      <c r="CL261" s="20"/>
      <c r="CM261" s="20"/>
      <c r="CN261" s="20"/>
      <c r="CO261" s="20"/>
      <c r="CP261" s="20"/>
      <c r="CQ261" s="20"/>
      <c r="CR261" s="20"/>
      <c r="CS261" s="20"/>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row>
    <row r="262" spans="1:123" ht="64.5" hidden="1" customHeight="1" x14ac:dyDescent="0.2">
      <c r="A262" s="19"/>
      <c r="B262" s="20" t="str">
        <f ca="1">IFERROR(__xludf.DUMMYFUNCTION("""COMPUTED_VALUE"""),"г.о. Коломенский")</f>
        <v>г.о. Коломенский</v>
      </c>
      <c r="C26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2" s="20" t="str">
        <f ca="1">IFERROR(__xludf.DUMMYFUNCTION("""COMPUTED_VALUE"""),"МинЖКХ")</f>
        <v>МинЖКХ</v>
      </c>
      <c r="E262" s="20" t="str">
        <f ca="1">IFERROR(__xludf.DUMMYFUNCTION("""COMPUTED_VALUE"""),"Капитальный ремонт КНС в с. Непецино ул. Тимохина, Коломенский г.о. (в том числе ПИР) ")</f>
        <v xml:space="preserve">Капитальный ремонт КНС в с. Непецино ул. Тимохина, Коломенский г.о. (в том числе ПИР) </v>
      </c>
      <c r="F262" s="32" t="str">
        <f ca="1">IFERROR(__xludf.DUMMYFUNCTION("""COMPUTED_VALUE"""),"КНС")</f>
        <v>КНС</v>
      </c>
      <c r="G262" s="20">
        <f ca="1">IFERROR(__xludf.DUMMYFUNCTION("""COMPUTED_VALUE"""),2022)</f>
        <v>2022</v>
      </c>
      <c r="H262" s="20" t="str">
        <f ca="1">IFERROR(__xludf.DUMMYFUNCTION("""COMPUTED_VALUE"""),"СМР")</f>
        <v>СМР</v>
      </c>
      <c r="I262" s="20"/>
      <c r="J262" s="20"/>
      <c r="K262" s="20"/>
      <c r="L262" s="20"/>
      <c r="M262" s="20"/>
      <c r="N262" s="24">
        <f ca="1">IFERROR(__xludf.DUMMYFUNCTION("""COMPUTED_VALUE"""),0)</f>
        <v>0</v>
      </c>
      <c r="O262" s="20"/>
      <c r="P262" s="20"/>
      <c r="Q262" s="20"/>
      <c r="R262" s="20"/>
      <c r="S262" s="20"/>
      <c r="T262" s="20"/>
      <c r="U262" s="24">
        <f ca="1">IFERROR(__xludf.DUMMYFUNCTION("""COMPUTED_VALUE"""),0)</f>
        <v>0</v>
      </c>
      <c r="V262" s="24">
        <f ca="1">IFERROR(__xludf.DUMMYFUNCTION("""COMPUTED_VALUE"""),0)</f>
        <v>0</v>
      </c>
      <c r="W262" s="24">
        <f ca="1">IFERROR(__xludf.DUMMYFUNCTION("""COMPUTED_VALUE"""),0)</f>
        <v>0</v>
      </c>
      <c r="X262" s="24">
        <f ca="1">IFERROR(__xludf.DUMMYFUNCTION("""COMPUTED_VALUE"""),0)</f>
        <v>0</v>
      </c>
      <c r="Y262" s="24">
        <f ca="1">IFERROR(__xludf.DUMMYFUNCTION("""COMPUTED_VALUE"""),0)</f>
        <v>0</v>
      </c>
      <c r="Z262" s="24">
        <f ca="1">IFERROR(__xludf.DUMMYFUNCTION("""COMPUTED_VALUE"""),0)</f>
        <v>0</v>
      </c>
      <c r="AA262" s="20" t="str">
        <f ca="1">IFERROR(__xludf.DUMMYFUNCTION("""COMPUTED_VALUE"""),"10 2 02 60310")</f>
        <v>10 2 02 60310</v>
      </c>
      <c r="AB262" s="20">
        <f ca="1">IFERROR(__xludf.DUMMYFUNCTION("""COMPUTED_VALUE"""),521)</f>
        <v>521</v>
      </c>
      <c r="AC262" s="20" t="str">
        <f ca="1">IFERROR(__xludf.DUMMYFUNCTION("""COMPUTED_VALUE"""),"не требуется")</f>
        <v>не требуется</v>
      </c>
      <c r="AD262" s="20"/>
      <c r="AE262" s="20"/>
      <c r="AF262" s="24">
        <f ca="1">IFERROR(__xludf.DUMMYFUNCTION("""COMPUTED_VALUE"""),8501.02999999999)</f>
        <v>8501.0299999999897</v>
      </c>
      <c r="AG262" s="24">
        <f ca="1">IFERROR(__xludf.DUMMYFUNCTION("""COMPUTED_VALUE"""),0)</f>
        <v>0</v>
      </c>
      <c r="AH262" s="24">
        <f ca="1">IFERROR(__xludf.DUMMYFUNCTION("""COMPUTED_VALUE"""),8075.98)</f>
        <v>8075.98</v>
      </c>
      <c r="AI262" s="24">
        <f ca="1">IFERROR(__xludf.DUMMYFUNCTION("""COMPUTED_VALUE"""),0)</f>
        <v>0</v>
      </c>
      <c r="AJ262" s="24">
        <f ca="1">IFERROR(__xludf.DUMMYFUNCTION("""COMPUTED_VALUE"""),425.05)</f>
        <v>425.05</v>
      </c>
      <c r="AK262" s="24">
        <f ca="1">IFERROR(__xludf.DUMMYFUNCTION("""COMPUTED_VALUE"""),0)</f>
        <v>0</v>
      </c>
      <c r="AL262" s="24">
        <f ca="1">IFERROR(__xludf.DUMMYFUNCTION("""COMPUTED_VALUE"""),0)</f>
        <v>0</v>
      </c>
      <c r="AM262" s="20"/>
      <c r="AN262" s="20"/>
      <c r="AO262" s="20"/>
      <c r="AP262" s="20"/>
      <c r="AQ262" s="20"/>
      <c r="AR262" s="24">
        <f ca="1">IFERROR(__xludf.DUMMYFUNCTION("""COMPUTED_VALUE"""),0)</f>
        <v>0</v>
      </c>
      <c r="AS262" s="20"/>
      <c r="AT262" s="20"/>
      <c r="AU262" s="20"/>
      <c r="AV262" s="20"/>
      <c r="AW262" s="20"/>
      <c r="AX262" s="24">
        <f ca="1">IFERROR(__xludf.DUMMYFUNCTION("""COMPUTED_VALUE"""),0)</f>
        <v>0</v>
      </c>
      <c r="AY262" s="24">
        <f ca="1">IFERROR(__xludf.DUMMYFUNCTION("""COMPUTED_VALUE"""),0)</f>
        <v>0</v>
      </c>
      <c r="AZ262" s="24">
        <f ca="1">IFERROR(__xludf.DUMMYFUNCTION("""COMPUTED_VALUE"""),0)</f>
        <v>0</v>
      </c>
      <c r="BA262" s="24">
        <f ca="1">IFERROR(__xludf.DUMMYFUNCTION("""COMPUTED_VALUE"""),0)</f>
        <v>0</v>
      </c>
      <c r="BB262" s="24">
        <f ca="1">IFERROR(__xludf.DUMMYFUNCTION("""COMPUTED_VALUE"""),0)</f>
        <v>0</v>
      </c>
      <c r="BC262" s="20"/>
      <c r="BD262" s="24">
        <f ca="1">IFERROR(__xludf.DUMMYFUNCTION("""COMPUTED_VALUE"""),0)</f>
        <v>0</v>
      </c>
      <c r="BE262" s="24">
        <f ca="1">IFERROR(__xludf.DUMMYFUNCTION("""COMPUTED_VALUE"""),0)</f>
        <v>0</v>
      </c>
      <c r="BF262" s="24">
        <f ca="1">IFERROR(__xludf.DUMMYFUNCTION("""COMPUTED_VALUE"""),0)</f>
        <v>0</v>
      </c>
      <c r="BG262" s="24">
        <f ca="1">IFERROR(__xludf.DUMMYFUNCTION("""COMPUTED_VALUE"""),0)</f>
        <v>0</v>
      </c>
      <c r="BH262" s="24">
        <f ca="1">IFERROR(__xludf.DUMMYFUNCTION("""COMPUTED_VALUE"""),0)</f>
        <v>0</v>
      </c>
      <c r="BI262" s="20"/>
      <c r="BJ262" s="24">
        <f ca="1">IFERROR(__xludf.DUMMYFUNCTION("""COMPUTED_VALUE"""),8501.02999999999)</f>
        <v>8501.0299999999897</v>
      </c>
      <c r="BK262" s="24">
        <f ca="1">IFERROR(__xludf.DUMMYFUNCTION("""COMPUTED_VALUE"""),0)</f>
        <v>0</v>
      </c>
      <c r="BL262" s="24">
        <f ca="1">IFERROR(__xludf.DUMMYFUNCTION("""COMPUTED_VALUE"""),8075.98)</f>
        <v>8075.98</v>
      </c>
      <c r="BM262" s="24">
        <f ca="1">IFERROR(__xludf.DUMMYFUNCTION("""COMPUTED_VALUE"""),0)</f>
        <v>0</v>
      </c>
      <c r="BN262" s="24">
        <f ca="1">IFERROR(__xludf.DUMMYFUNCTION("""COMPUTED_VALUE"""),425.05)</f>
        <v>425.05</v>
      </c>
      <c r="BO262" s="20"/>
      <c r="BP262" s="24">
        <f ca="1">IFERROR(__xludf.DUMMYFUNCTION("""COMPUTED_VALUE"""),0)</f>
        <v>0</v>
      </c>
      <c r="BQ262" s="24">
        <f ca="1">IFERROR(__xludf.DUMMYFUNCTION("""COMPUTED_VALUE"""),0)</f>
        <v>0</v>
      </c>
      <c r="BR262" s="24">
        <f ca="1">IFERROR(__xludf.DUMMYFUNCTION("""COMPUTED_VALUE"""),0)</f>
        <v>0</v>
      </c>
      <c r="BS262" s="24">
        <f ca="1">IFERROR(__xludf.DUMMYFUNCTION("""COMPUTED_VALUE"""),0)</f>
        <v>0</v>
      </c>
      <c r="BT262" s="24">
        <f ca="1">IFERROR(__xludf.DUMMYFUNCTION("""COMPUTED_VALUE"""),0)</f>
        <v>0</v>
      </c>
      <c r="BU262" s="20"/>
      <c r="BV262" s="24">
        <f ca="1">IFERROR(__xludf.DUMMYFUNCTION("""COMPUTED_VALUE"""),0)</f>
        <v>0</v>
      </c>
      <c r="BW262" s="24">
        <f ca="1">IFERROR(__xludf.DUMMYFUNCTION("""COMPUTED_VALUE"""),0)</f>
        <v>0</v>
      </c>
      <c r="BX262" s="24">
        <f ca="1">IFERROR(__xludf.DUMMYFUNCTION("""COMPUTED_VALUE"""),0)</f>
        <v>0</v>
      </c>
      <c r="BY262" s="24">
        <f ca="1">IFERROR(__xludf.DUMMYFUNCTION("""COMPUTED_VALUE"""),0)</f>
        <v>0</v>
      </c>
      <c r="BZ262" s="24">
        <f ca="1">IFERROR(__xludf.DUMMYFUNCTION("""COMPUTED_VALUE"""),0)</f>
        <v>0</v>
      </c>
      <c r="CA262" s="20"/>
      <c r="CB262" s="20"/>
      <c r="CC262" s="20"/>
      <c r="CD262" s="20"/>
      <c r="CE262" s="20"/>
      <c r="CF262" s="20"/>
      <c r="CG262" s="20"/>
      <c r="CH262" s="20"/>
      <c r="CI262" s="20"/>
      <c r="CJ262" s="20"/>
      <c r="CK262" s="20"/>
      <c r="CL262" s="20"/>
      <c r="CM262" s="20"/>
      <c r="CN262" s="20"/>
      <c r="CO262" s="20"/>
      <c r="CP262" s="20"/>
      <c r="CQ262" s="20"/>
      <c r="CR262" s="20"/>
      <c r="CS262" s="20"/>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row>
    <row r="263" spans="1:123" ht="64.5" customHeight="1" x14ac:dyDescent="0.2">
      <c r="A263" s="19"/>
      <c r="B263" s="20" t="str">
        <f ca="1">IFERROR(__xludf.DUMMYFUNCTION("""COMPUTED_VALUE"""),"г.о. Серпухов")</f>
        <v>г.о. Серпухов</v>
      </c>
      <c r="C26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3" s="20" t="str">
        <f ca="1">IFERROR(__xludf.DUMMYFUNCTION("""COMPUTED_VALUE"""),"МинЖКХ")</f>
        <v>МинЖКХ</v>
      </c>
      <c r="E263" s="20" t="str">
        <f ca="1">IFERROR(__xludf.DUMMYFUNCTION("""COMPUTED_VALUE"""),"Капитальный ремонт самотечного каналиационного коллектора Д=500мм в п. Оболенск, Серпуховский м.р.")</f>
        <v>Капитальный ремонт самотечного каналиационного коллектора Д=500мм в п. Оболенск, Серпуховский м.р.</v>
      </c>
      <c r="F263" s="32" t="str">
        <f ca="1">IFERROR(__xludf.DUMMYFUNCTION("""COMPUTED_VALUE"""),"КНК")</f>
        <v>КНК</v>
      </c>
      <c r="G263" s="20">
        <f ca="1">IFERROR(__xludf.DUMMYFUNCTION("""COMPUTED_VALUE"""),2020)</f>
        <v>2020</v>
      </c>
      <c r="H263" s="20" t="str">
        <f ca="1">IFERROR(__xludf.DUMMYFUNCTION("""COMPUTED_VALUE"""),"СМР")</f>
        <v>СМР</v>
      </c>
      <c r="I263" s="20">
        <f ca="1">IFERROR(__xludf.DUMMYFUNCTION("""COMPUTED_VALUE"""),100)</f>
        <v>100</v>
      </c>
      <c r="J263" s="20"/>
      <c r="K263" s="20">
        <f ca="1">IFERROR(__xludf.DUMMYFUNCTION("""COMPUTED_VALUE"""),4500)</f>
        <v>4500</v>
      </c>
      <c r="L263" s="20">
        <f ca="1">IFERROR(__xludf.DUMMYFUNCTION("""COMPUTED_VALUE"""),4500)</f>
        <v>4500</v>
      </c>
      <c r="M263" s="20"/>
      <c r="N263" s="24">
        <f ca="1">IFERROR(__xludf.DUMMYFUNCTION("""COMPUTED_VALUE"""),1707.25)</f>
        <v>1707.25</v>
      </c>
      <c r="O263" s="20"/>
      <c r="P263" s="24">
        <f ca="1">IFERROR(__xludf.DUMMYFUNCTION("""COMPUTED_VALUE"""),1405.76)</f>
        <v>1405.76</v>
      </c>
      <c r="Q263" s="20"/>
      <c r="R263" s="20">
        <f ca="1">IFERROR(__xludf.DUMMYFUNCTION("""COMPUTED_VALUE"""),301.49)</f>
        <v>301.49</v>
      </c>
      <c r="S263" s="20"/>
      <c r="T263" s="20"/>
      <c r="U263" s="24">
        <f ca="1">IFERROR(__xludf.DUMMYFUNCTION("""COMPUTED_VALUE"""),66.24)</f>
        <v>66.239999999999995</v>
      </c>
      <c r="V263" s="24">
        <f ca="1">IFERROR(__xludf.DUMMYFUNCTION("""COMPUTED_VALUE"""),0)</f>
        <v>0</v>
      </c>
      <c r="W263" s="24">
        <f ca="1">IFERROR(__xludf.DUMMYFUNCTION("""COMPUTED_VALUE"""),66.24)</f>
        <v>66.239999999999995</v>
      </c>
      <c r="X263" s="24">
        <f ca="1">IFERROR(__xludf.DUMMYFUNCTION("""COMPUTED_VALUE"""),0)</f>
        <v>0</v>
      </c>
      <c r="Y263" s="24">
        <f ca="1">IFERROR(__xludf.DUMMYFUNCTION("""COMPUTED_VALUE"""),0)</f>
        <v>0</v>
      </c>
      <c r="Z263" s="24">
        <f ca="1">IFERROR(__xludf.DUMMYFUNCTION("""COMPUTED_VALUE"""),0)</f>
        <v>0</v>
      </c>
      <c r="AA263" s="20" t="str">
        <f ca="1">IFERROR(__xludf.DUMMYFUNCTION("""COMPUTED_VALUE"""),"10 2 02 60310")</f>
        <v>10 2 02 60310</v>
      </c>
      <c r="AB263" s="20">
        <f ca="1">IFERROR(__xludf.DUMMYFUNCTION("""COMPUTED_VALUE"""),521)</f>
        <v>521</v>
      </c>
      <c r="AC263" s="20" t="str">
        <f ca="1">IFERROR(__xludf.DUMMYFUNCTION("""COMPUTED_VALUE"""),"не требуется")</f>
        <v>не требуется</v>
      </c>
      <c r="AD263" s="20"/>
      <c r="AE263" s="20"/>
      <c r="AF263" s="24">
        <f ca="1">IFERROR(__xludf.DUMMYFUNCTION("""COMPUTED_VALUE"""),1773.49)</f>
        <v>1773.49</v>
      </c>
      <c r="AG263" s="24">
        <f ca="1">IFERROR(__xludf.DUMMYFUNCTION("""COMPUTED_VALUE"""),0)</f>
        <v>0</v>
      </c>
      <c r="AH263" s="24">
        <f ca="1">IFERROR(__xludf.DUMMYFUNCTION("""COMPUTED_VALUE"""),1472)</f>
        <v>1472</v>
      </c>
      <c r="AI263" s="24">
        <f ca="1">IFERROR(__xludf.DUMMYFUNCTION("""COMPUTED_VALUE"""),0)</f>
        <v>0</v>
      </c>
      <c r="AJ263" s="24">
        <f ca="1">IFERROR(__xludf.DUMMYFUNCTION("""COMPUTED_VALUE"""),301.49)</f>
        <v>301.49</v>
      </c>
      <c r="AK263" s="24">
        <f ca="1">IFERROR(__xludf.DUMMYFUNCTION("""COMPUTED_VALUE"""),0)</f>
        <v>0</v>
      </c>
      <c r="AL263" s="24">
        <f ca="1">IFERROR(__xludf.DUMMYFUNCTION("""COMPUTED_VALUE"""),0)</f>
        <v>0</v>
      </c>
      <c r="AM263" s="20"/>
      <c r="AN263" s="20"/>
      <c r="AO263" s="20"/>
      <c r="AP263" s="20"/>
      <c r="AQ263" s="20"/>
      <c r="AR263" s="24">
        <f ca="1">IFERROR(__xludf.DUMMYFUNCTION("""COMPUTED_VALUE"""),0)</f>
        <v>0</v>
      </c>
      <c r="AS263" s="20"/>
      <c r="AT263" s="20"/>
      <c r="AU263" s="20"/>
      <c r="AV263" s="20"/>
      <c r="AW263" s="20"/>
      <c r="AX263" s="24">
        <f ca="1">IFERROR(__xludf.DUMMYFUNCTION("""COMPUTED_VALUE"""),1773.49)</f>
        <v>1773.49</v>
      </c>
      <c r="AY263" s="24">
        <f ca="1">IFERROR(__xludf.DUMMYFUNCTION("""COMPUTED_VALUE"""),0)</f>
        <v>0</v>
      </c>
      <c r="AZ263" s="24">
        <f ca="1">IFERROR(__xludf.DUMMYFUNCTION("""COMPUTED_VALUE"""),1472)</f>
        <v>1472</v>
      </c>
      <c r="BA263" s="24">
        <f ca="1">IFERROR(__xludf.DUMMYFUNCTION("""COMPUTED_VALUE"""),0)</f>
        <v>0</v>
      </c>
      <c r="BB263" s="24">
        <f ca="1">IFERROR(__xludf.DUMMYFUNCTION("""COMPUTED_VALUE"""),301.49)</f>
        <v>301.49</v>
      </c>
      <c r="BC263" s="20"/>
      <c r="BD263" s="24">
        <f ca="1">IFERROR(__xludf.DUMMYFUNCTION("""COMPUTED_VALUE"""),0)</f>
        <v>0</v>
      </c>
      <c r="BE263" s="24">
        <f ca="1">IFERROR(__xludf.DUMMYFUNCTION("""COMPUTED_VALUE"""),0)</f>
        <v>0</v>
      </c>
      <c r="BF263" s="24">
        <f ca="1">IFERROR(__xludf.DUMMYFUNCTION("""COMPUTED_VALUE"""),0)</f>
        <v>0</v>
      </c>
      <c r="BG263" s="24">
        <f ca="1">IFERROR(__xludf.DUMMYFUNCTION("""COMPUTED_VALUE"""),0)</f>
        <v>0</v>
      </c>
      <c r="BH263" s="24">
        <f ca="1">IFERROR(__xludf.DUMMYFUNCTION("""COMPUTED_VALUE"""),0)</f>
        <v>0</v>
      </c>
      <c r="BI263" s="20"/>
      <c r="BJ263" s="24">
        <f ca="1">IFERROR(__xludf.DUMMYFUNCTION("""COMPUTED_VALUE"""),0)</f>
        <v>0</v>
      </c>
      <c r="BK263" s="24">
        <f ca="1">IFERROR(__xludf.DUMMYFUNCTION("""COMPUTED_VALUE"""),0)</f>
        <v>0</v>
      </c>
      <c r="BL263" s="24">
        <f ca="1">IFERROR(__xludf.DUMMYFUNCTION("""COMPUTED_VALUE"""),0)</f>
        <v>0</v>
      </c>
      <c r="BM263" s="24">
        <f ca="1">IFERROR(__xludf.DUMMYFUNCTION("""COMPUTED_VALUE"""),0)</f>
        <v>0</v>
      </c>
      <c r="BN263" s="24">
        <f ca="1">IFERROR(__xludf.DUMMYFUNCTION("""COMPUTED_VALUE"""),0)</f>
        <v>0</v>
      </c>
      <c r="BO263" s="20"/>
      <c r="BP263" s="24">
        <f ca="1">IFERROR(__xludf.DUMMYFUNCTION("""COMPUTED_VALUE"""),0)</f>
        <v>0</v>
      </c>
      <c r="BQ263" s="24">
        <f ca="1">IFERROR(__xludf.DUMMYFUNCTION("""COMPUTED_VALUE"""),0)</f>
        <v>0</v>
      </c>
      <c r="BR263" s="24">
        <f ca="1">IFERROR(__xludf.DUMMYFUNCTION("""COMPUTED_VALUE"""),0)</f>
        <v>0</v>
      </c>
      <c r="BS263" s="24">
        <f ca="1">IFERROR(__xludf.DUMMYFUNCTION("""COMPUTED_VALUE"""),0)</f>
        <v>0</v>
      </c>
      <c r="BT263" s="24">
        <f ca="1">IFERROR(__xludf.DUMMYFUNCTION("""COMPUTED_VALUE"""),0)</f>
        <v>0</v>
      </c>
      <c r="BU263" s="20"/>
      <c r="BV263" s="24">
        <f ca="1">IFERROR(__xludf.DUMMYFUNCTION("""COMPUTED_VALUE"""),0)</f>
        <v>0</v>
      </c>
      <c r="BW263" s="24">
        <f ca="1">IFERROR(__xludf.DUMMYFUNCTION("""COMPUTED_VALUE"""),0)</f>
        <v>0</v>
      </c>
      <c r="BX263" s="24">
        <f ca="1">IFERROR(__xludf.DUMMYFUNCTION("""COMPUTED_VALUE"""),0)</f>
        <v>0</v>
      </c>
      <c r="BY263" s="24">
        <f ca="1">IFERROR(__xludf.DUMMYFUNCTION("""COMPUTED_VALUE"""),0)</f>
        <v>0</v>
      </c>
      <c r="BZ263" s="24">
        <f ca="1">IFERROR(__xludf.DUMMYFUNCTION("""COMPUTED_VALUE"""),0)</f>
        <v>0</v>
      </c>
      <c r="CA263" s="20"/>
      <c r="CB263" s="20"/>
      <c r="CC263" s="20"/>
      <c r="CD263" s="20"/>
      <c r="CE263" s="20"/>
      <c r="CF263" s="20"/>
      <c r="CG263" s="20"/>
      <c r="CH263" s="20"/>
      <c r="CI263" s="20"/>
      <c r="CJ263" s="20"/>
      <c r="CK263" s="20"/>
      <c r="CL263" s="20"/>
      <c r="CM263" s="25">
        <f ca="1">IFERROR(__xludf.DUMMYFUNCTION("""COMPUTED_VALUE"""),43798)</f>
        <v>43798</v>
      </c>
      <c r="CN263" s="20" t="str">
        <f ca="1">IFERROR(__xludf.DUMMYFUNCTION("""COMPUTED_VALUE"""),"0848300053219000653")</f>
        <v>0848300053219000653</v>
      </c>
      <c r="CO263" s="25">
        <f ca="1">IFERROR(__xludf.DUMMYFUNCTION("""COMPUTED_VALUE"""),43822)</f>
        <v>43822</v>
      </c>
      <c r="CP263" s="20">
        <f ca="1">IFERROR(__xludf.DUMMYFUNCTION("""COMPUTED_VALUE"""),221)</f>
        <v>221</v>
      </c>
      <c r="CQ263" s="20">
        <f ca="1">IFERROR(__xludf.DUMMYFUNCTION("""COMPUTED_VALUE"""),1772755.09)</f>
        <v>1772755.09</v>
      </c>
      <c r="CR263" s="20" t="str">
        <f ca="1">IFERROR(__xludf.DUMMYFUNCTION("""COMPUTED_VALUE"""),"ООО ""ИНВЕСТПРОЕКТ""")</f>
        <v>ООО "ИНВЕСТПРОЕКТ"</v>
      </c>
      <c r="CS263" s="27" t="str">
        <f ca="1">IFERROR(__xludf.DUMMYFUNCTION("""COMPUTED_VALUE"""),"https://zakupki.gov.ru/epz/contract/contractCard/common-info.html?reestrNumber=3504301469519000157&amp;backUrl=4a22b059-ddba-45d3-a731-f4cea70792c4")</f>
        <v>https://zakupki.gov.ru/epz/contract/contractCard/common-info.html?reestrNumber=3504301469519000157&amp;backUrl=4a22b059-ddba-45d3-a731-f4cea70792c4</v>
      </c>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row>
    <row r="264" spans="1:123" ht="64.5" customHeight="1" x14ac:dyDescent="0.2">
      <c r="A264" s="19"/>
      <c r="B264" s="20" t="str">
        <f ca="1">IFERROR(__xludf.DUMMYFUNCTION("""COMPUTED_VALUE"""),"г.о. Щелково")</f>
        <v>г.о. Щелково</v>
      </c>
      <c r="C26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4" s="20" t="str">
        <f ca="1">IFERROR(__xludf.DUMMYFUNCTION("""COMPUTED_VALUE"""),"МинЖКХ")</f>
        <v>МинЖКХ</v>
      </c>
      <c r="E264" s="20" t="str">
        <f ca="1">IFERROR(__xludf.DUMMYFUNCTION("""COMPUTED_VALUE"""),"Капитальный ремонт коллектора 2Д=1200мм (две нитки), проходящего в железобетонном дюкере по дну реки Клязьма и в прилегающей береговой зоне,  Щелковский м.р. ")</f>
        <v xml:space="preserve">Капитальный ремонт коллектора 2Д=1200мм (две нитки), проходящего в железобетонном дюкере по дну реки Клязьма и в прилегающей береговой зоне,  Щелковский м.р. </v>
      </c>
      <c r="F264" s="32" t="str">
        <f ca="1">IFERROR(__xludf.DUMMYFUNCTION("""COMPUTED_VALUE"""),"КНК")</f>
        <v>КНК</v>
      </c>
      <c r="G264" s="20" t="str">
        <f ca="1">IFERROR(__xludf.DUMMYFUNCTION("""COMPUTED_VALUE"""),"2020-2021")</f>
        <v>2020-2021</v>
      </c>
      <c r="H264" s="20" t="str">
        <f ca="1">IFERROR(__xludf.DUMMYFUNCTION("""COMPUTED_VALUE"""),"СМР")</f>
        <v>СМР</v>
      </c>
      <c r="I264" s="20">
        <f ca="1">IFERROR(__xludf.DUMMYFUNCTION("""COMPUTED_VALUE"""),88)</f>
        <v>88</v>
      </c>
      <c r="J264" s="20"/>
      <c r="K264" s="20">
        <f ca="1">IFERROR(__xludf.DUMMYFUNCTION("""COMPUTED_VALUE"""),527000)</f>
        <v>527000</v>
      </c>
      <c r="L264" s="20">
        <f ca="1">IFERROR(__xludf.DUMMYFUNCTION("""COMPUTED_VALUE"""),527000)</f>
        <v>527000</v>
      </c>
      <c r="M264" s="20"/>
      <c r="N264" s="24">
        <f ca="1">IFERROR(__xludf.DUMMYFUNCTION("""COMPUTED_VALUE"""),166273)</f>
        <v>166273</v>
      </c>
      <c r="O264" s="20"/>
      <c r="P264" s="24">
        <f ca="1">IFERROR(__xludf.DUMMYFUNCTION("""COMPUTED_VALUE"""),85380.84)</f>
        <v>85380.84</v>
      </c>
      <c r="Q264" s="24">
        <f ca="1">IFERROR(__xludf.DUMMYFUNCTION("""COMPUTED_VALUE"""),80892.16)</f>
        <v>80892.160000000003</v>
      </c>
      <c r="R264" s="20"/>
      <c r="S264" s="20"/>
      <c r="T264" s="20"/>
      <c r="U264" s="24">
        <f ca="1">IFERROR(__xludf.DUMMYFUNCTION("""COMPUTED_VALUE"""),8956.79999999998)</f>
        <v>8956.7999999999793</v>
      </c>
      <c r="V264" s="24">
        <f ca="1">IFERROR(__xludf.DUMMYFUNCTION("""COMPUTED_VALUE"""),0)</f>
        <v>0</v>
      </c>
      <c r="W264" s="24">
        <f ca="1">IFERROR(__xludf.DUMMYFUNCTION("""COMPUTED_VALUE"""),-161.839999999996)</f>
        <v>-161.839999999996</v>
      </c>
      <c r="X264" s="24">
        <f ca="1">IFERROR(__xludf.DUMMYFUNCTION("""COMPUTED_VALUE"""),356.839999999996)</f>
        <v>356.839999999996</v>
      </c>
      <c r="Y264" s="24">
        <f ca="1">IFERROR(__xludf.DUMMYFUNCTION("""COMPUTED_VALUE"""),8761.8)</f>
        <v>8761.7999999999993</v>
      </c>
      <c r="Z264" s="24">
        <f ca="1">IFERROR(__xludf.DUMMYFUNCTION("""COMPUTED_VALUE"""),0)</f>
        <v>0</v>
      </c>
      <c r="AA264" s="20" t="str">
        <f ca="1">IFERROR(__xludf.DUMMYFUNCTION("""COMPUTED_VALUE"""),"10 2 02 60310")</f>
        <v>10 2 02 60310</v>
      </c>
      <c r="AB264" s="20">
        <f ca="1">IFERROR(__xludf.DUMMYFUNCTION("""COMPUTED_VALUE"""),521)</f>
        <v>521</v>
      </c>
      <c r="AC264" s="20" t="str">
        <f ca="1">IFERROR(__xludf.DUMMYFUNCTION("""COMPUTED_VALUE"""),"не требуется")</f>
        <v>не требуется</v>
      </c>
      <c r="AD264" s="20"/>
      <c r="AE264" s="20"/>
      <c r="AF264" s="24">
        <f ca="1">IFERROR(__xludf.DUMMYFUNCTION("""COMPUTED_VALUE"""),181070.92)</f>
        <v>181070.92</v>
      </c>
      <c r="AG264" s="24">
        <f ca="1">IFERROR(__xludf.DUMMYFUNCTION("""COMPUTED_VALUE"""),0)</f>
        <v>0</v>
      </c>
      <c r="AH264" s="24">
        <f ca="1">IFERROR(__xludf.DUMMYFUNCTION("""COMPUTED_VALUE"""),90219)</f>
        <v>90219</v>
      </c>
      <c r="AI264" s="24">
        <f ca="1">IFERROR(__xludf.DUMMYFUNCTION("""COMPUTED_VALUE"""),81249)</f>
        <v>81249</v>
      </c>
      <c r="AJ264" s="24">
        <f ca="1">IFERROR(__xludf.DUMMYFUNCTION("""COMPUTED_VALUE"""),9602.92)</f>
        <v>9602.92</v>
      </c>
      <c r="AK264" s="24">
        <f ca="1">IFERROR(__xludf.DUMMYFUNCTION("""COMPUTED_VALUE"""),0)</f>
        <v>0</v>
      </c>
      <c r="AL264" s="24">
        <f ca="1">IFERROR(__xludf.DUMMYFUNCTION("""COMPUTED_VALUE"""),0)</f>
        <v>0</v>
      </c>
      <c r="AM264" s="20"/>
      <c r="AN264" s="20"/>
      <c r="AO264" s="20"/>
      <c r="AP264" s="20"/>
      <c r="AQ264" s="20"/>
      <c r="AR264" s="24">
        <f ca="1">IFERROR(__xludf.DUMMYFUNCTION("""COMPUTED_VALUE"""),0)</f>
        <v>0</v>
      </c>
      <c r="AS264" s="20"/>
      <c r="AT264" s="20"/>
      <c r="AU264" s="20"/>
      <c r="AV264" s="20"/>
      <c r="AW264" s="20"/>
      <c r="AX264" s="24">
        <f ca="1">IFERROR(__xludf.DUMMYFUNCTION("""COMPUTED_VALUE"""),175229.8)</f>
        <v>175229.8</v>
      </c>
      <c r="AY264" s="24">
        <f ca="1">IFERROR(__xludf.DUMMYFUNCTION("""COMPUTED_VALUE"""),0)</f>
        <v>0</v>
      </c>
      <c r="AZ264" s="24">
        <f ca="1">IFERROR(__xludf.DUMMYFUNCTION("""COMPUTED_VALUE"""),85219)</f>
        <v>85219</v>
      </c>
      <c r="BA264" s="24">
        <f ca="1">IFERROR(__xludf.DUMMYFUNCTION("""COMPUTED_VALUE"""),81249)</f>
        <v>81249</v>
      </c>
      <c r="BB264" s="24">
        <f ca="1">IFERROR(__xludf.DUMMYFUNCTION("""COMPUTED_VALUE"""),8761.8)</f>
        <v>8761.7999999999993</v>
      </c>
      <c r="BC264" s="20"/>
      <c r="BD264" s="24">
        <f ca="1">IFERROR(__xludf.DUMMYFUNCTION("""COMPUTED_VALUE"""),5841.12)</f>
        <v>5841.12</v>
      </c>
      <c r="BE264" s="24">
        <f ca="1">IFERROR(__xludf.DUMMYFUNCTION("""COMPUTED_VALUE"""),0)</f>
        <v>0</v>
      </c>
      <c r="BF264" s="24">
        <f ca="1">IFERROR(__xludf.DUMMYFUNCTION("""COMPUTED_VALUE"""),5000)</f>
        <v>5000</v>
      </c>
      <c r="BG264" s="24">
        <f ca="1">IFERROR(__xludf.DUMMYFUNCTION("""COMPUTED_VALUE"""),0)</f>
        <v>0</v>
      </c>
      <c r="BH264" s="24">
        <f ca="1">IFERROR(__xludf.DUMMYFUNCTION("""COMPUTED_VALUE"""),841.12)</f>
        <v>841.12</v>
      </c>
      <c r="BI264" s="20"/>
      <c r="BJ264" s="24">
        <f ca="1">IFERROR(__xludf.DUMMYFUNCTION("""COMPUTED_VALUE"""),0)</f>
        <v>0</v>
      </c>
      <c r="BK264" s="24">
        <f ca="1">IFERROR(__xludf.DUMMYFUNCTION("""COMPUTED_VALUE"""),0)</f>
        <v>0</v>
      </c>
      <c r="BL264" s="24">
        <f ca="1">IFERROR(__xludf.DUMMYFUNCTION("""COMPUTED_VALUE"""),0)</f>
        <v>0</v>
      </c>
      <c r="BM264" s="24">
        <f ca="1">IFERROR(__xludf.DUMMYFUNCTION("""COMPUTED_VALUE"""),0)</f>
        <v>0</v>
      </c>
      <c r="BN264" s="24">
        <f ca="1">IFERROR(__xludf.DUMMYFUNCTION("""COMPUTED_VALUE"""),0)</f>
        <v>0</v>
      </c>
      <c r="BO264" s="20"/>
      <c r="BP264" s="24">
        <f ca="1">IFERROR(__xludf.DUMMYFUNCTION("""COMPUTED_VALUE"""),0)</f>
        <v>0</v>
      </c>
      <c r="BQ264" s="24">
        <f ca="1">IFERROR(__xludf.DUMMYFUNCTION("""COMPUTED_VALUE"""),0)</f>
        <v>0</v>
      </c>
      <c r="BR264" s="24">
        <f ca="1">IFERROR(__xludf.DUMMYFUNCTION("""COMPUTED_VALUE"""),0)</f>
        <v>0</v>
      </c>
      <c r="BS264" s="24">
        <f ca="1">IFERROR(__xludf.DUMMYFUNCTION("""COMPUTED_VALUE"""),0)</f>
        <v>0</v>
      </c>
      <c r="BT264" s="24">
        <f ca="1">IFERROR(__xludf.DUMMYFUNCTION("""COMPUTED_VALUE"""),0)</f>
        <v>0</v>
      </c>
      <c r="BU264" s="20"/>
      <c r="BV264" s="24">
        <f ca="1">IFERROR(__xludf.DUMMYFUNCTION("""COMPUTED_VALUE"""),0)</f>
        <v>0</v>
      </c>
      <c r="BW264" s="24">
        <f ca="1">IFERROR(__xludf.DUMMYFUNCTION("""COMPUTED_VALUE"""),0)</f>
        <v>0</v>
      </c>
      <c r="BX264" s="24">
        <f ca="1">IFERROR(__xludf.DUMMYFUNCTION("""COMPUTED_VALUE"""),0)</f>
        <v>0</v>
      </c>
      <c r="BY264" s="24">
        <f ca="1">IFERROR(__xludf.DUMMYFUNCTION("""COMPUTED_VALUE"""),0)</f>
        <v>0</v>
      </c>
      <c r="BZ264" s="24">
        <f ca="1">IFERROR(__xludf.DUMMYFUNCTION("""COMPUTED_VALUE"""),0)</f>
        <v>0</v>
      </c>
      <c r="CA264" s="20"/>
      <c r="CB264" s="20"/>
      <c r="CC264" s="20"/>
      <c r="CD264" s="20"/>
      <c r="CE264" s="20"/>
      <c r="CF264" s="20"/>
      <c r="CG264" s="20"/>
      <c r="CH264" s="20"/>
      <c r="CI264" s="20"/>
      <c r="CJ264" s="20"/>
      <c r="CK264" s="20"/>
      <c r="CL264" s="20"/>
      <c r="CM264" s="26">
        <f ca="1">IFERROR(__xludf.DUMMYFUNCTION("""COMPUTED_VALUE"""),43641)</f>
        <v>43641</v>
      </c>
      <c r="CN264" s="20" t="str">
        <f ca="1">IFERROR(__xludf.DUMMYFUNCTION("""COMPUTED_VALUE"""),"0148200005419000296")</f>
        <v>0148200005419000296</v>
      </c>
      <c r="CO264" s="26">
        <f ca="1">IFERROR(__xludf.DUMMYFUNCTION("""COMPUTED_VALUE"""),43685)</f>
        <v>43685</v>
      </c>
      <c r="CP264" s="20" t="str">
        <f ca="1">IFERROR(__xludf.DUMMYFUNCTION("""COMPUTED_VALUE"""),"0148200005419000296")</f>
        <v>0148200005419000296</v>
      </c>
      <c r="CQ264" s="20">
        <f ca="1">IFERROR(__xludf.DUMMYFUNCTION("""COMPUTED_VALUE"""),258452969.48)</f>
        <v>258452969.47999999</v>
      </c>
      <c r="CR264" s="20" t="str">
        <f ca="1">IFERROR(__xludf.DUMMYFUNCTION("""COMPUTED_VALUE"""),"ОБЩЕСТВО С ОГРАНИЧЕННОЙ ОТВЕТСТВЕННОСТЬЮ ""ТАНДЕМ ПРОЕКТ""")</f>
        <v>ОБЩЕСТВО С ОГРАНИЧЕННОЙ ОТВЕТСТВЕННОСТЬЮ "ТАНДЕМ ПРОЕКТ"</v>
      </c>
      <c r="CS264" s="27" t="str">
        <f ca="1">IFERROR(__xludf.DUMMYFUNCTION("""COMPUTED_VALUE"""),"https://zakupki.gov.ru/epz/contract/contractCard/common-info.html?reestrNumber=3505000215419000210&amp;backUrl=e0d7e0d0-29c2-4e18-9067-5e3a21c93ce1")</f>
        <v>https://zakupki.gov.ru/epz/contract/contractCard/common-info.html?reestrNumber=3505000215419000210&amp;backUrl=e0d7e0d0-29c2-4e18-9067-5e3a21c93ce1</v>
      </c>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row>
    <row r="265" spans="1:123" ht="64.5" customHeight="1" x14ac:dyDescent="0.2">
      <c r="A265" s="19"/>
      <c r="B265" s="20" t="str">
        <f ca="1">IFERROR(__xludf.DUMMYFUNCTION("""COMPUTED_VALUE"""),"г.о. Балашиха")</f>
        <v>г.о. Балашиха</v>
      </c>
      <c r="C26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5" s="20" t="str">
        <f ca="1">IFERROR(__xludf.DUMMYFUNCTION("""COMPUTED_VALUE"""),"МинЖКХ")</f>
        <v>МинЖКХ</v>
      </c>
      <c r="E265" s="20" t="str">
        <f ca="1">IFERROR(__xludf.DUMMYFUNCTION("""COMPUTED_VALUE"""),"Капитальный ремонт Фенинской районной канализационной насосной станции, г.о. Балашиха ")</f>
        <v xml:space="preserve">Капитальный ремонт Фенинской районной канализационной насосной станции, г.о. Балашиха </v>
      </c>
      <c r="F265" s="32" t="str">
        <f ca="1">IFERROR(__xludf.DUMMYFUNCTION("""COMPUTED_VALUE"""),"КНС")</f>
        <v>КНС</v>
      </c>
      <c r="G265" s="20">
        <f ca="1">IFERROR(__xludf.DUMMYFUNCTION("""COMPUTED_VALUE"""),2020)</f>
        <v>2020</v>
      </c>
      <c r="H265" s="20" t="str">
        <f ca="1">IFERROR(__xludf.DUMMYFUNCTION("""COMPUTED_VALUE"""),"СМР")</f>
        <v>СМР</v>
      </c>
      <c r="I265" s="20">
        <f ca="1">IFERROR(__xludf.DUMMYFUNCTION("""COMPUTED_VALUE"""),42)</f>
        <v>42</v>
      </c>
      <c r="J265" s="20" t="str">
        <f ca="1">IFERROR(__xludf.DUMMYFUNCTION("""COMPUTED_VALUE"""),"не освоение 15 млн. руб в 2020. поставка двигателей ожидается в марте 2021 года.")</f>
        <v>не освоение 15 млн. руб в 2020. поставка двигателей ожидается в марте 2021 года.</v>
      </c>
      <c r="K265" s="20">
        <f ca="1">IFERROR(__xludf.DUMMYFUNCTION("""COMPUTED_VALUE"""),15000)</f>
        <v>15000</v>
      </c>
      <c r="L265" s="20">
        <f ca="1">IFERROR(__xludf.DUMMYFUNCTION("""COMPUTED_VALUE"""),15000)</f>
        <v>15000</v>
      </c>
      <c r="M265" s="20"/>
      <c r="N265" s="24">
        <f ca="1">IFERROR(__xludf.DUMMYFUNCTION("""COMPUTED_VALUE"""),36409.39)</f>
        <v>36409.39</v>
      </c>
      <c r="O265" s="20"/>
      <c r="P265" s="24">
        <f ca="1">IFERROR(__xludf.DUMMYFUNCTION("""COMPUTED_VALUE"""),36409.39)</f>
        <v>36409.39</v>
      </c>
      <c r="Q265" s="20"/>
      <c r="R265" s="20"/>
      <c r="S265" s="20"/>
      <c r="T265" s="20" t="str">
        <f ca="1">IFERROR(__xludf.DUMMYFUNCTION("""COMPUTED_VALUE"""),"Низкий темп выполнения работ. Задержки в поставке оборудования. Средства 2020 года в полном объёме освоены не будут. Поставка 4 насосов в фервале-марте 2021.Заказчиком подписаны КС на сумму 8,3 млн. руб. направление заявки на оплату в размере 6,9 млн. до "&amp;"26.11.2020. Риск не освония 30 млн. руб.")</f>
        <v>Низкий темп выполнения работ. Задержки в поставке оборудования. Средства 2020 года в полном объёме освоены не будут. Поставка 4 насосов в фервале-марте 2021.Заказчиком подписаны КС на сумму 8,3 млн. руб. направление заявки на оплату в размере 6,9 млн. до 26.11.2020. Риск не освония 30 млн. руб.</v>
      </c>
      <c r="U265" s="24">
        <f ca="1">IFERROR(__xludf.DUMMYFUNCTION("""COMPUTED_VALUE"""),70076.94)</f>
        <v>70076.94</v>
      </c>
      <c r="V265" s="24">
        <f ca="1">IFERROR(__xludf.DUMMYFUNCTION("""COMPUTED_VALUE"""),0)</f>
        <v>0</v>
      </c>
      <c r="W265" s="24">
        <f ca="1">IFERROR(__xludf.DUMMYFUNCTION("""COMPUTED_VALUE"""),39615.61)</f>
        <v>39615.61</v>
      </c>
      <c r="X265" s="24">
        <f ca="1">IFERROR(__xludf.DUMMYFUNCTION("""COMPUTED_VALUE"""),0)</f>
        <v>0</v>
      </c>
      <c r="Y265" s="24">
        <f ca="1">IFERROR(__xludf.DUMMYFUNCTION("""COMPUTED_VALUE"""),30461.33)</f>
        <v>30461.33</v>
      </c>
      <c r="Z265" s="24">
        <f ca="1">IFERROR(__xludf.DUMMYFUNCTION("""COMPUTED_VALUE"""),0)</f>
        <v>0</v>
      </c>
      <c r="AA265" s="20" t="str">
        <f ca="1">IFERROR(__xludf.DUMMYFUNCTION("""COMPUTED_VALUE"""),"10 2 02 60310")</f>
        <v>10 2 02 60310</v>
      </c>
      <c r="AB265" s="20">
        <f ca="1">IFERROR(__xludf.DUMMYFUNCTION("""COMPUTED_VALUE"""),521)</f>
        <v>521</v>
      </c>
      <c r="AC265" s="20" t="str">
        <f ca="1">IFERROR(__xludf.DUMMYFUNCTION("""COMPUTED_VALUE"""),"не требуется")</f>
        <v>не требуется</v>
      </c>
      <c r="AD265" s="20"/>
      <c r="AE265" s="20"/>
      <c r="AF265" s="24">
        <f ca="1">IFERROR(__xludf.DUMMYFUNCTION("""COMPUTED_VALUE"""),106486.33)</f>
        <v>106486.33</v>
      </c>
      <c r="AG265" s="24">
        <f ca="1">IFERROR(__xludf.DUMMYFUNCTION("""COMPUTED_VALUE"""),0)</f>
        <v>0</v>
      </c>
      <c r="AH265" s="24">
        <f ca="1">IFERROR(__xludf.DUMMYFUNCTION("""COMPUTED_VALUE"""),76025)</f>
        <v>76025</v>
      </c>
      <c r="AI265" s="24">
        <f ca="1">IFERROR(__xludf.DUMMYFUNCTION("""COMPUTED_VALUE"""),0)</f>
        <v>0</v>
      </c>
      <c r="AJ265" s="24">
        <f ca="1">IFERROR(__xludf.DUMMYFUNCTION("""COMPUTED_VALUE"""),30461.33)</f>
        <v>30461.33</v>
      </c>
      <c r="AK265" s="24">
        <f ca="1">IFERROR(__xludf.DUMMYFUNCTION("""COMPUTED_VALUE"""),0)</f>
        <v>0</v>
      </c>
      <c r="AL265" s="24">
        <f ca="1">IFERROR(__xludf.DUMMYFUNCTION("""COMPUTED_VALUE"""),0)</f>
        <v>0</v>
      </c>
      <c r="AM265" s="20"/>
      <c r="AN265" s="20"/>
      <c r="AO265" s="20"/>
      <c r="AP265" s="20"/>
      <c r="AQ265" s="20"/>
      <c r="AR265" s="24">
        <f ca="1">IFERROR(__xludf.DUMMYFUNCTION("""COMPUTED_VALUE"""),0)</f>
        <v>0</v>
      </c>
      <c r="AS265" s="20"/>
      <c r="AT265" s="20"/>
      <c r="AU265" s="20"/>
      <c r="AV265" s="20"/>
      <c r="AW265" s="20"/>
      <c r="AX265" s="24">
        <f ca="1">IFERROR(__xludf.DUMMYFUNCTION("""COMPUTED_VALUE"""),106486.33)</f>
        <v>106486.33</v>
      </c>
      <c r="AY265" s="24">
        <f ca="1">IFERROR(__xludf.DUMMYFUNCTION("""COMPUTED_VALUE"""),0)</f>
        <v>0</v>
      </c>
      <c r="AZ265" s="24">
        <f ca="1">IFERROR(__xludf.DUMMYFUNCTION("""COMPUTED_VALUE"""),76025)</f>
        <v>76025</v>
      </c>
      <c r="BA265" s="24">
        <f ca="1">IFERROR(__xludf.DUMMYFUNCTION("""COMPUTED_VALUE"""),0)</f>
        <v>0</v>
      </c>
      <c r="BB265" s="24">
        <f ca="1">IFERROR(__xludf.DUMMYFUNCTION("""COMPUTED_VALUE"""),30461.33)</f>
        <v>30461.33</v>
      </c>
      <c r="BC265" s="20"/>
      <c r="BD265" s="24">
        <f ca="1">IFERROR(__xludf.DUMMYFUNCTION("""COMPUTED_VALUE"""),0)</f>
        <v>0</v>
      </c>
      <c r="BE265" s="24">
        <f ca="1">IFERROR(__xludf.DUMMYFUNCTION("""COMPUTED_VALUE"""),0)</f>
        <v>0</v>
      </c>
      <c r="BF265" s="24">
        <f ca="1">IFERROR(__xludf.DUMMYFUNCTION("""COMPUTED_VALUE"""),0)</f>
        <v>0</v>
      </c>
      <c r="BG265" s="24">
        <f ca="1">IFERROR(__xludf.DUMMYFUNCTION("""COMPUTED_VALUE"""),0)</f>
        <v>0</v>
      </c>
      <c r="BH265" s="24">
        <f ca="1">IFERROR(__xludf.DUMMYFUNCTION("""COMPUTED_VALUE"""),0)</f>
        <v>0</v>
      </c>
      <c r="BI265" s="20"/>
      <c r="BJ265" s="24">
        <f ca="1">IFERROR(__xludf.DUMMYFUNCTION("""COMPUTED_VALUE"""),0)</f>
        <v>0</v>
      </c>
      <c r="BK265" s="24">
        <f ca="1">IFERROR(__xludf.DUMMYFUNCTION("""COMPUTED_VALUE"""),0)</f>
        <v>0</v>
      </c>
      <c r="BL265" s="24">
        <f ca="1">IFERROR(__xludf.DUMMYFUNCTION("""COMPUTED_VALUE"""),0)</f>
        <v>0</v>
      </c>
      <c r="BM265" s="24">
        <f ca="1">IFERROR(__xludf.DUMMYFUNCTION("""COMPUTED_VALUE"""),0)</f>
        <v>0</v>
      </c>
      <c r="BN265" s="24">
        <f ca="1">IFERROR(__xludf.DUMMYFUNCTION("""COMPUTED_VALUE"""),0)</f>
        <v>0</v>
      </c>
      <c r="BO265" s="20"/>
      <c r="BP265" s="24">
        <f ca="1">IFERROR(__xludf.DUMMYFUNCTION("""COMPUTED_VALUE"""),0)</f>
        <v>0</v>
      </c>
      <c r="BQ265" s="24">
        <f ca="1">IFERROR(__xludf.DUMMYFUNCTION("""COMPUTED_VALUE"""),0)</f>
        <v>0</v>
      </c>
      <c r="BR265" s="24">
        <f ca="1">IFERROR(__xludf.DUMMYFUNCTION("""COMPUTED_VALUE"""),0)</f>
        <v>0</v>
      </c>
      <c r="BS265" s="24">
        <f ca="1">IFERROR(__xludf.DUMMYFUNCTION("""COMPUTED_VALUE"""),0)</f>
        <v>0</v>
      </c>
      <c r="BT265" s="24">
        <f ca="1">IFERROR(__xludf.DUMMYFUNCTION("""COMPUTED_VALUE"""),0)</f>
        <v>0</v>
      </c>
      <c r="BU265" s="20"/>
      <c r="BV265" s="24">
        <f ca="1">IFERROR(__xludf.DUMMYFUNCTION("""COMPUTED_VALUE"""),0)</f>
        <v>0</v>
      </c>
      <c r="BW265" s="24">
        <f ca="1">IFERROR(__xludf.DUMMYFUNCTION("""COMPUTED_VALUE"""),0)</f>
        <v>0</v>
      </c>
      <c r="BX265" s="24">
        <f ca="1">IFERROR(__xludf.DUMMYFUNCTION("""COMPUTED_VALUE"""),0)</f>
        <v>0</v>
      </c>
      <c r="BY265" s="24">
        <f ca="1">IFERROR(__xludf.DUMMYFUNCTION("""COMPUTED_VALUE"""),0)</f>
        <v>0</v>
      </c>
      <c r="BZ265" s="24">
        <f ca="1">IFERROR(__xludf.DUMMYFUNCTION("""COMPUTED_VALUE"""),0)</f>
        <v>0</v>
      </c>
      <c r="CA265" s="20"/>
      <c r="CB265" s="20"/>
      <c r="CC265" s="20"/>
      <c r="CD265" s="20"/>
      <c r="CE265" s="20"/>
      <c r="CF265" s="20"/>
      <c r="CG265" s="20"/>
      <c r="CH265" s="20"/>
      <c r="CI265" s="20"/>
      <c r="CJ265" s="20"/>
      <c r="CK265" s="20"/>
      <c r="CL265" s="20"/>
      <c r="CM265" s="25">
        <f ca="1">IFERROR(__xludf.DUMMYFUNCTION("""COMPUTED_VALUE"""),43762)</f>
        <v>43762</v>
      </c>
      <c r="CN265" s="20" t="str">
        <f ca="1">IFERROR(__xludf.DUMMYFUNCTION("""COMPUTED_VALUE"""),"0148200005419000553")</f>
        <v>0148200005419000553</v>
      </c>
      <c r="CO265" s="25">
        <f ca="1">IFERROR(__xludf.DUMMYFUNCTION("""COMPUTED_VALUE"""),43788)</f>
        <v>43788</v>
      </c>
      <c r="CP265" s="20" t="str">
        <f ca="1">IFERROR(__xludf.DUMMYFUNCTION("""COMPUTED_VALUE"""),"01482000054190005530001")</f>
        <v>01482000054190005530001</v>
      </c>
      <c r="CQ265" s="20">
        <f ca="1">IFERROR(__xludf.DUMMYFUNCTION("""COMPUTED_VALUE"""),106485758.51)</f>
        <v>106485758.51000001</v>
      </c>
      <c r="CR265" s="20" t="str">
        <f ca="1">IFERROR(__xludf.DUMMYFUNCTION("""COMPUTED_VALUE"""),"ООО ""БАЛАШИХИНСКИЙ ВОДОКАНАЛ""")</f>
        <v>ООО "БАЛАШИХИНСКИЙ ВОДОКАНАЛ"</v>
      </c>
      <c r="CS265" s="27" t="str">
        <f ca="1">IFERROR(__xludf.DUMMYFUNCTION("""COMPUTED_VALUE"""),"https://zakupki.gov.ru/epz/contract/contractCard/common-info.html?reestrNumber=3500110667219000268&amp;backUrl=166f8b93-71fb-45ba-afcd-14495e1c7132")</f>
        <v>https://zakupki.gov.ru/epz/contract/contractCard/common-info.html?reestrNumber=3500110667219000268&amp;backUrl=166f8b93-71fb-45ba-afcd-14495e1c7132</v>
      </c>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row>
    <row r="266" spans="1:123" ht="64.5" customHeight="1" x14ac:dyDescent="0.2">
      <c r="A266" s="19"/>
      <c r="B266" s="20" t="str">
        <f ca="1">IFERROR(__xludf.DUMMYFUNCTION("""COMPUTED_VALUE"""),"г.о. Щелково")</f>
        <v>г.о. Щелково</v>
      </c>
      <c r="C26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6" s="20" t="str">
        <f ca="1">IFERROR(__xludf.DUMMYFUNCTION("""COMPUTED_VALUE"""),"МинЖКХ")</f>
        <v>МинЖКХ</v>
      </c>
      <c r="E266" s="20" t="str">
        <f ca="1">IFERROR(__xludf.DUMMYFUNCTION("""COMPUTED_VALUE"""),"Капитальный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f>
        <v>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v>
      </c>
      <c r="F266" s="32" t="str">
        <f ca="1">IFERROR(__xludf.DUMMYFUNCTION("""COMPUTED_VALUE"""),"КНК")</f>
        <v>КНК</v>
      </c>
      <c r="G266" s="20">
        <f ca="1">IFERROR(__xludf.DUMMYFUNCTION("""COMPUTED_VALUE"""),2020)</f>
        <v>2020</v>
      </c>
      <c r="H266" s="20" t="str">
        <f ca="1">IFERROR(__xludf.DUMMYFUNCTION("""COMPUTED_VALUE"""),"СМР")</f>
        <v>СМР</v>
      </c>
      <c r="I266" s="20"/>
      <c r="J266" s="20"/>
      <c r="K266" s="20">
        <f ca="1">IFERROR(__xludf.DUMMYFUNCTION("""COMPUTED_VALUE"""),450000)</f>
        <v>450000</v>
      </c>
      <c r="L266" s="20">
        <f ca="1">IFERROR(__xludf.DUMMYFUNCTION("""COMPUTED_VALUE"""),450000)</f>
        <v>450000</v>
      </c>
      <c r="M266" s="20"/>
      <c r="N266" s="24">
        <f ca="1">IFERROR(__xludf.DUMMYFUNCTION("""COMPUTED_VALUE"""),88574.64209)</f>
        <v>88574.642089999994</v>
      </c>
      <c r="O266" s="20"/>
      <c r="P266" s="24">
        <f ca="1">IFERROR(__xludf.DUMMYFUNCTION("""COMPUTED_VALUE"""),79752.27)</f>
        <v>79752.27</v>
      </c>
      <c r="Q266" s="20"/>
      <c r="R266" s="24">
        <f ca="1">IFERROR(__xludf.DUMMYFUNCTION("""COMPUTED_VALUE"""),8822.37209)</f>
        <v>8822.3720900000008</v>
      </c>
      <c r="S266" s="20"/>
      <c r="T266" s="20"/>
      <c r="U266" s="24">
        <f ca="1">IFERROR(__xludf.DUMMYFUNCTION("""COMPUTED_VALUE"""),774.957909999997)</f>
        <v>774.95790999999701</v>
      </c>
      <c r="V266" s="24">
        <f ca="1">IFERROR(__xludf.DUMMYFUNCTION("""COMPUTED_VALUE"""),0)</f>
        <v>0</v>
      </c>
      <c r="W266" s="24">
        <f ca="1">IFERROR(__xludf.DUMMYFUNCTION("""COMPUTED_VALUE"""),661.729999999995)</f>
        <v>661.72999999999502</v>
      </c>
      <c r="X266" s="24">
        <f ca="1">IFERROR(__xludf.DUMMYFUNCTION("""COMPUTED_VALUE"""),0)</f>
        <v>0</v>
      </c>
      <c r="Y266" s="24">
        <f ca="1">IFERROR(__xludf.DUMMYFUNCTION("""COMPUTED_VALUE"""),113.227909999999)</f>
        <v>113.227909999999</v>
      </c>
      <c r="Z266" s="24">
        <f ca="1">IFERROR(__xludf.DUMMYFUNCTION("""COMPUTED_VALUE"""),0)</f>
        <v>0</v>
      </c>
      <c r="AA266" s="20" t="str">
        <f ca="1">IFERROR(__xludf.DUMMYFUNCTION("""COMPUTED_VALUE"""),"10 2 02 60310")</f>
        <v>10 2 02 60310</v>
      </c>
      <c r="AB266" s="20">
        <f ca="1">IFERROR(__xludf.DUMMYFUNCTION("""COMPUTED_VALUE"""),521)</f>
        <v>521</v>
      </c>
      <c r="AC266" s="20" t="str">
        <f ca="1">IFERROR(__xludf.DUMMYFUNCTION("""COMPUTED_VALUE"""),"не требуется")</f>
        <v>не требуется</v>
      </c>
      <c r="AD266" s="20"/>
      <c r="AE266" s="20"/>
      <c r="AF266" s="24">
        <f ca="1">IFERROR(__xludf.DUMMYFUNCTION("""COMPUTED_VALUE"""),89349.6)</f>
        <v>89349.6</v>
      </c>
      <c r="AG266" s="24">
        <f ca="1">IFERROR(__xludf.DUMMYFUNCTION("""COMPUTED_VALUE"""),0)</f>
        <v>0</v>
      </c>
      <c r="AH266" s="24">
        <f ca="1">IFERROR(__xludf.DUMMYFUNCTION("""COMPUTED_VALUE"""),80414)</f>
        <v>80414</v>
      </c>
      <c r="AI266" s="24">
        <f ca="1">IFERROR(__xludf.DUMMYFUNCTION("""COMPUTED_VALUE"""),0)</f>
        <v>0</v>
      </c>
      <c r="AJ266" s="24">
        <f ca="1">IFERROR(__xludf.DUMMYFUNCTION("""COMPUTED_VALUE"""),8935.6)</f>
        <v>8935.6</v>
      </c>
      <c r="AK266" s="24">
        <f ca="1">IFERROR(__xludf.DUMMYFUNCTION("""COMPUTED_VALUE"""),0)</f>
        <v>0</v>
      </c>
      <c r="AL266" s="24">
        <f ca="1">IFERROR(__xludf.DUMMYFUNCTION("""COMPUTED_VALUE"""),0)</f>
        <v>0</v>
      </c>
      <c r="AM266" s="20"/>
      <c r="AN266" s="20"/>
      <c r="AO266" s="20"/>
      <c r="AP266" s="20"/>
      <c r="AQ266" s="20"/>
      <c r="AR266" s="24">
        <f ca="1">IFERROR(__xludf.DUMMYFUNCTION("""COMPUTED_VALUE"""),0)</f>
        <v>0</v>
      </c>
      <c r="AS266" s="20"/>
      <c r="AT266" s="20"/>
      <c r="AU266" s="20"/>
      <c r="AV266" s="20"/>
      <c r="AW266" s="20"/>
      <c r="AX266" s="24">
        <f ca="1">IFERROR(__xludf.DUMMYFUNCTION("""COMPUTED_VALUE"""),89349.6)</f>
        <v>89349.6</v>
      </c>
      <c r="AY266" s="24">
        <f ca="1">IFERROR(__xludf.DUMMYFUNCTION("""COMPUTED_VALUE"""),0)</f>
        <v>0</v>
      </c>
      <c r="AZ266" s="24">
        <f ca="1">IFERROR(__xludf.DUMMYFUNCTION("""COMPUTED_VALUE"""),80414)</f>
        <v>80414</v>
      </c>
      <c r="BA266" s="24">
        <f ca="1">IFERROR(__xludf.DUMMYFUNCTION("""COMPUTED_VALUE"""),0)</f>
        <v>0</v>
      </c>
      <c r="BB266" s="24">
        <f ca="1">IFERROR(__xludf.DUMMYFUNCTION("""COMPUTED_VALUE"""),8935.6)</f>
        <v>8935.6</v>
      </c>
      <c r="BC266" s="20"/>
      <c r="BD266" s="24">
        <f ca="1">IFERROR(__xludf.DUMMYFUNCTION("""COMPUTED_VALUE"""),0)</f>
        <v>0</v>
      </c>
      <c r="BE266" s="24">
        <f ca="1">IFERROR(__xludf.DUMMYFUNCTION("""COMPUTED_VALUE"""),0)</f>
        <v>0</v>
      </c>
      <c r="BF266" s="24">
        <f ca="1">IFERROR(__xludf.DUMMYFUNCTION("""COMPUTED_VALUE"""),0)</f>
        <v>0</v>
      </c>
      <c r="BG266" s="24">
        <f ca="1">IFERROR(__xludf.DUMMYFUNCTION("""COMPUTED_VALUE"""),0)</f>
        <v>0</v>
      </c>
      <c r="BH266" s="24">
        <f ca="1">IFERROR(__xludf.DUMMYFUNCTION("""COMPUTED_VALUE"""),0)</f>
        <v>0</v>
      </c>
      <c r="BI266" s="20"/>
      <c r="BJ266" s="24">
        <f ca="1">IFERROR(__xludf.DUMMYFUNCTION("""COMPUTED_VALUE"""),0)</f>
        <v>0</v>
      </c>
      <c r="BK266" s="24">
        <f ca="1">IFERROR(__xludf.DUMMYFUNCTION("""COMPUTED_VALUE"""),0)</f>
        <v>0</v>
      </c>
      <c r="BL266" s="24">
        <f ca="1">IFERROR(__xludf.DUMMYFUNCTION("""COMPUTED_VALUE"""),0)</f>
        <v>0</v>
      </c>
      <c r="BM266" s="24">
        <f ca="1">IFERROR(__xludf.DUMMYFUNCTION("""COMPUTED_VALUE"""),0)</f>
        <v>0</v>
      </c>
      <c r="BN266" s="24">
        <f ca="1">IFERROR(__xludf.DUMMYFUNCTION("""COMPUTED_VALUE"""),0)</f>
        <v>0</v>
      </c>
      <c r="BO266" s="20"/>
      <c r="BP266" s="24">
        <f ca="1">IFERROR(__xludf.DUMMYFUNCTION("""COMPUTED_VALUE"""),0)</f>
        <v>0</v>
      </c>
      <c r="BQ266" s="24">
        <f ca="1">IFERROR(__xludf.DUMMYFUNCTION("""COMPUTED_VALUE"""),0)</f>
        <v>0</v>
      </c>
      <c r="BR266" s="24">
        <f ca="1">IFERROR(__xludf.DUMMYFUNCTION("""COMPUTED_VALUE"""),0)</f>
        <v>0</v>
      </c>
      <c r="BS266" s="24">
        <f ca="1">IFERROR(__xludf.DUMMYFUNCTION("""COMPUTED_VALUE"""),0)</f>
        <v>0</v>
      </c>
      <c r="BT266" s="24">
        <f ca="1">IFERROR(__xludf.DUMMYFUNCTION("""COMPUTED_VALUE"""),0)</f>
        <v>0</v>
      </c>
      <c r="BU266" s="20"/>
      <c r="BV266" s="24">
        <f ca="1">IFERROR(__xludf.DUMMYFUNCTION("""COMPUTED_VALUE"""),0)</f>
        <v>0</v>
      </c>
      <c r="BW266" s="24">
        <f ca="1">IFERROR(__xludf.DUMMYFUNCTION("""COMPUTED_VALUE"""),0)</f>
        <v>0</v>
      </c>
      <c r="BX266" s="24">
        <f ca="1">IFERROR(__xludf.DUMMYFUNCTION("""COMPUTED_VALUE"""),0)</f>
        <v>0</v>
      </c>
      <c r="BY266" s="24">
        <f ca="1">IFERROR(__xludf.DUMMYFUNCTION("""COMPUTED_VALUE"""),0)</f>
        <v>0</v>
      </c>
      <c r="BZ266" s="24">
        <f ca="1">IFERROR(__xludf.DUMMYFUNCTION("""COMPUTED_VALUE"""),0)</f>
        <v>0</v>
      </c>
      <c r="CA266" s="20"/>
      <c r="CB266" s="20"/>
      <c r="CC266" s="20"/>
      <c r="CD266" s="20"/>
      <c r="CE266" s="20"/>
      <c r="CF266" s="20"/>
      <c r="CG266" s="20"/>
      <c r="CH266" s="20"/>
      <c r="CI266" s="20"/>
      <c r="CJ266" s="20"/>
      <c r="CK266" s="20"/>
      <c r="CL266" s="20"/>
      <c r="CM266" s="26">
        <f ca="1">IFERROR(__xludf.DUMMYFUNCTION("""COMPUTED_VALUE"""),43630)</f>
        <v>43630</v>
      </c>
      <c r="CN266" s="20" t="str">
        <f ca="1">IFERROR(__xludf.DUMMYFUNCTION("""COMPUTED_VALUE"""),"0148200005419000271")</f>
        <v>0148200005419000271</v>
      </c>
      <c r="CO266" s="26">
        <f ca="1">IFERROR(__xludf.DUMMYFUNCTION("""COMPUTED_VALUE"""),43669)</f>
        <v>43669</v>
      </c>
      <c r="CP266" s="20" t="str">
        <f ca="1">IFERROR(__xludf.DUMMYFUNCTION("""COMPUTED_VALUE"""),"0148200005419000271")</f>
        <v>0148200005419000271</v>
      </c>
      <c r="CQ266" s="20">
        <f ca="1">IFERROR(__xludf.DUMMYFUNCTION("""COMPUTED_VALUE"""),172630306.88)</f>
        <v>172630306.88</v>
      </c>
      <c r="CR266" s="20" t="str">
        <f ca="1">IFERROR(__xludf.DUMMYFUNCTION("""COMPUTED_VALUE"""),"ООО ""Ремспецмонтаж""")</f>
        <v>ООО "Ремспецмонтаж"</v>
      </c>
      <c r="CS266" s="27" t="str">
        <f ca="1">IFERROR(__xludf.DUMMYFUNCTION("""COMPUTED_VALUE"""),"https://zakupki.gov.ru/epz/contract/contractCard/common-info.html?reestrNumber=3505000215419000186&amp;backUrl=4ada7410-9a86-417d-98a6-86d8770d8c72")</f>
        <v>https://zakupki.gov.ru/epz/contract/contractCard/common-info.html?reestrNumber=3505000215419000186&amp;backUrl=4ada7410-9a86-417d-98a6-86d8770d8c72</v>
      </c>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row>
    <row r="267" spans="1:123" ht="64.5" hidden="1" customHeight="1" x14ac:dyDescent="0.2">
      <c r="A267" s="19"/>
      <c r="B267" s="20" t="str">
        <f ca="1">IFERROR(__xludf.DUMMYFUNCTION("""COMPUTED_VALUE"""),"г.о. Ликино-Дулево")</f>
        <v>г.о. Ликино-Дулево</v>
      </c>
      <c r="C26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7" s="20" t="str">
        <f ca="1">IFERROR(__xludf.DUMMYFUNCTION("""COMPUTED_VALUE"""),"МинЖКХ")</f>
        <v>МинЖКХ</v>
      </c>
      <c r="E267" s="20" t="str">
        <f ca="1">IFERROR(__xludf.DUMMYFUNCTION("""COMPUTED_VALUE"""),"Капитальный ремонт напорного канализационного коллектора от КНС д. Новое до ОАО ""Куровские очистные сооружения"" (в т.ч. ПИР), Орехово-Зуевский г.о.")</f>
        <v>Капитальный ремонт напорного канализационного коллектора от КНС д. Новое до ОАО "Куровские очистные сооружения" (в т.ч. ПИР), Орехово-Зуевский г.о.</v>
      </c>
      <c r="F267" s="32" t="str">
        <f ca="1">IFERROR(__xludf.DUMMYFUNCTION("""COMPUTED_VALUE"""),"КНК")</f>
        <v>КНК</v>
      </c>
      <c r="G267" s="20" t="str">
        <f ca="1">IFERROR(__xludf.DUMMYFUNCTION("""COMPUTED_VALUE"""),"2021-2022")</f>
        <v>2021-2022</v>
      </c>
      <c r="H267" s="20" t="str">
        <f ca="1">IFERROR(__xludf.DUMMYFUNCTION("""COMPUTED_VALUE"""),"СМР")</f>
        <v>СМР</v>
      </c>
      <c r="I267" s="20"/>
      <c r="J267" s="20"/>
      <c r="K267" s="20"/>
      <c r="L267" s="20"/>
      <c r="M267" s="20"/>
      <c r="N267" s="24">
        <f ca="1">IFERROR(__xludf.DUMMYFUNCTION("""COMPUTED_VALUE"""),0)</f>
        <v>0</v>
      </c>
      <c r="O267" s="20"/>
      <c r="P267" s="24">
        <f ca="1">IFERROR(__xludf.DUMMYFUNCTION("""COMPUTED_VALUE"""),0)</f>
        <v>0</v>
      </c>
      <c r="Q267" s="20"/>
      <c r="R267" s="20"/>
      <c r="S267" s="20"/>
      <c r="T267" s="20"/>
      <c r="U267" s="24">
        <f ca="1">IFERROR(__xludf.DUMMYFUNCTION("""COMPUTED_VALUE"""),0)</f>
        <v>0</v>
      </c>
      <c r="V267" s="24">
        <f ca="1">IFERROR(__xludf.DUMMYFUNCTION("""COMPUTED_VALUE"""),0)</f>
        <v>0</v>
      </c>
      <c r="W267" s="24">
        <f ca="1">IFERROR(__xludf.DUMMYFUNCTION("""COMPUTED_VALUE"""),0)</f>
        <v>0</v>
      </c>
      <c r="X267" s="24">
        <f ca="1">IFERROR(__xludf.DUMMYFUNCTION("""COMPUTED_VALUE"""),0)</f>
        <v>0</v>
      </c>
      <c r="Y267" s="24">
        <f ca="1">IFERROR(__xludf.DUMMYFUNCTION("""COMPUTED_VALUE"""),0)</f>
        <v>0</v>
      </c>
      <c r="Z267" s="24">
        <f ca="1">IFERROR(__xludf.DUMMYFUNCTION("""COMPUTED_VALUE"""),0)</f>
        <v>0</v>
      </c>
      <c r="AA267" s="20" t="str">
        <f ca="1">IFERROR(__xludf.DUMMYFUNCTION("""COMPUTED_VALUE"""),"10 2 02 60310")</f>
        <v>10 2 02 60310</v>
      </c>
      <c r="AB267" s="20">
        <f ca="1">IFERROR(__xludf.DUMMYFUNCTION("""COMPUTED_VALUE"""),521)</f>
        <v>521</v>
      </c>
      <c r="AC267" s="20" t="str">
        <f ca="1">IFERROR(__xludf.DUMMYFUNCTION("""COMPUTED_VALUE"""),"не требуется")</f>
        <v>не требуется</v>
      </c>
      <c r="AD267" s="20"/>
      <c r="AE267" s="20"/>
      <c r="AF267" s="24">
        <f ca="1">IFERROR(__xludf.DUMMYFUNCTION("""COMPUTED_VALUE"""),193848.42)</f>
        <v>193848.42</v>
      </c>
      <c r="AG267" s="24">
        <f ca="1">IFERROR(__xludf.DUMMYFUNCTION("""COMPUTED_VALUE"""),0)</f>
        <v>0</v>
      </c>
      <c r="AH267" s="24">
        <f ca="1">IFERROR(__xludf.DUMMYFUNCTION("""COMPUTED_VALUE"""),184156)</f>
        <v>184156</v>
      </c>
      <c r="AI267" s="24">
        <f ca="1">IFERROR(__xludf.DUMMYFUNCTION("""COMPUTED_VALUE"""),0)</f>
        <v>0</v>
      </c>
      <c r="AJ267" s="24">
        <f ca="1">IFERROR(__xludf.DUMMYFUNCTION("""COMPUTED_VALUE"""),9692.42)</f>
        <v>9692.42</v>
      </c>
      <c r="AK267" s="24">
        <f ca="1">IFERROR(__xludf.DUMMYFUNCTION("""COMPUTED_VALUE"""),0)</f>
        <v>0</v>
      </c>
      <c r="AL267" s="24">
        <f ca="1">IFERROR(__xludf.DUMMYFUNCTION("""COMPUTED_VALUE"""),0)</f>
        <v>0</v>
      </c>
      <c r="AM267" s="20"/>
      <c r="AN267" s="20"/>
      <c r="AO267" s="20"/>
      <c r="AP267" s="20"/>
      <c r="AQ267" s="20"/>
      <c r="AR267" s="24">
        <f ca="1">IFERROR(__xludf.DUMMYFUNCTION("""COMPUTED_VALUE"""),0)</f>
        <v>0</v>
      </c>
      <c r="AS267" s="20"/>
      <c r="AT267" s="20"/>
      <c r="AU267" s="20"/>
      <c r="AV267" s="20"/>
      <c r="AW267" s="20"/>
      <c r="AX267" s="24">
        <f ca="1">IFERROR(__xludf.DUMMYFUNCTION("""COMPUTED_VALUE"""),0)</f>
        <v>0</v>
      </c>
      <c r="AY267" s="24">
        <f ca="1">IFERROR(__xludf.DUMMYFUNCTION("""COMPUTED_VALUE"""),0)</f>
        <v>0</v>
      </c>
      <c r="AZ267" s="24">
        <f ca="1">IFERROR(__xludf.DUMMYFUNCTION("""COMPUTED_VALUE"""),0)</f>
        <v>0</v>
      </c>
      <c r="BA267" s="24">
        <f ca="1">IFERROR(__xludf.DUMMYFUNCTION("""COMPUTED_VALUE"""),0)</f>
        <v>0</v>
      </c>
      <c r="BB267" s="24">
        <f ca="1">IFERROR(__xludf.DUMMYFUNCTION("""COMPUTED_VALUE"""),0)</f>
        <v>0</v>
      </c>
      <c r="BC267" s="20"/>
      <c r="BD267" s="24">
        <f ca="1">IFERROR(__xludf.DUMMYFUNCTION("""COMPUTED_VALUE"""),0)</f>
        <v>0</v>
      </c>
      <c r="BE267" s="24">
        <f ca="1">IFERROR(__xludf.DUMMYFUNCTION("""COMPUTED_VALUE"""),0)</f>
        <v>0</v>
      </c>
      <c r="BF267" s="24">
        <f ca="1">IFERROR(__xludf.DUMMYFUNCTION("""COMPUTED_VALUE"""),0)</f>
        <v>0</v>
      </c>
      <c r="BG267" s="24">
        <f ca="1">IFERROR(__xludf.DUMMYFUNCTION("""COMPUTED_VALUE"""),0)</f>
        <v>0</v>
      </c>
      <c r="BH267" s="24">
        <f ca="1">IFERROR(__xludf.DUMMYFUNCTION("""COMPUTED_VALUE"""),0)</f>
        <v>0</v>
      </c>
      <c r="BI267" s="20"/>
      <c r="BJ267" s="24">
        <f ca="1">IFERROR(__xludf.DUMMYFUNCTION("""COMPUTED_VALUE"""),89424.21)</f>
        <v>89424.21</v>
      </c>
      <c r="BK267" s="24">
        <f ca="1">IFERROR(__xludf.DUMMYFUNCTION("""COMPUTED_VALUE"""),0)</f>
        <v>0</v>
      </c>
      <c r="BL267" s="24">
        <f ca="1">IFERROR(__xludf.DUMMYFUNCTION("""COMPUTED_VALUE"""),84953)</f>
        <v>84953</v>
      </c>
      <c r="BM267" s="24">
        <f ca="1">IFERROR(__xludf.DUMMYFUNCTION("""COMPUTED_VALUE"""),0)</f>
        <v>0</v>
      </c>
      <c r="BN267" s="24">
        <f ca="1">IFERROR(__xludf.DUMMYFUNCTION("""COMPUTED_VALUE"""),4471.21)</f>
        <v>4471.21</v>
      </c>
      <c r="BO267" s="20"/>
      <c r="BP267" s="24">
        <f ca="1">IFERROR(__xludf.DUMMYFUNCTION("""COMPUTED_VALUE"""),104424.21)</f>
        <v>104424.21</v>
      </c>
      <c r="BQ267" s="24">
        <f ca="1">IFERROR(__xludf.DUMMYFUNCTION("""COMPUTED_VALUE"""),0)</f>
        <v>0</v>
      </c>
      <c r="BR267" s="24">
        <f ca="1">IFERROR(__xludf.DUMMYFUNCTION("""COMPUTED_VALUE"""),99203)</f>
        <v>99203</v>
      </c>
      <c r="BS267" s="24">
        <f ca="1">IFERROR(__xludf.DUMMYFUNCTION("""COMPUTED_VALUE"""),0)</f>
        <v>0</v>
      </c>
      <c r="BT267" s="24">
        <f ca="1">IFERROR(__xludf.DUMMYFUNCTION("""COMPUTED_VALUE"""),5221.21)</f>
        <v>5221.21</v>
      </c>
      <c r="BU267" s="20"/>
      <c r="BV267" s="24">
        <f ca="1">IFERROR(__xludf.DUMMYFUNCTION("""COMPUTED_VALUE"""),0)</f>
        <v>0</v>
      </c>
      <c r="BW267" s="24">
        <f ca="1">IFERROR(__xludf.DUMMYFUNCTION("""COMPUTED_VALUE"""),0)</f>
        <v>0</v>
      </c>
      <c r="BX267" s="24">
        <f ca="1">IFERROR(__xludf.DUMMYFUNCTION("""COMPUTED_VALUE"""),0)</f>
        <v>0</v>
      </c>
      <c r="BY267" s="24">
        <f ca="1">IFERROR(__xludf.DUMMYFUNCTION("""COMPUTED_VALUE"""),0)</f>
        <v>0</v>
      </c>
      <c r="BZ267" s="24">
        <f ca="1">IFERROR(__xludf.DUMMYFUNCTION("""COMPUTED_VALUE"""),0)</f>
        <v>0</v>
      </c>
      <c r="CA267" s="20"/>
      <c r="CB267" s="20"/>
      <c r="CC267" s="20"/>
      <c r="CD267" s="20"/>
      <c r="CE267" s="20"/>
      <c r="CF267" s="20"/>
      <c r="CG267" s="20"/>
      <c r="CH267" s="20"/>
      <c r="CI267" s="20"/>
      <c r="CJ267" s="20"/>
      <c r="CK267" s="20"/>
      <c r="CL267" s="20"/>
      <c r="CM267" s="20"/>
      <c r="CN267" s="20"/>
      <c r="CO267" s="20"/>
      <c r="CP267" s="20"/>
      <c r="CQ267" s="20"/>
      <c r="CR267" s="20"/>
      <c r="CS267" s="20"/>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row>
    <row r="268" spans="1:123" ht="64.5" customHeight="1" x14ac:dyDescent="0.2">
      <c r="A268" s="19"/>
      <c r="B268" s="20" t="str">
        <f ca="1">IFERROR(__xludf.DUMMYFUNCTION("""COMPUTED_VALUE"""),"г.о. Балашиха")</f>
        <v>г.о. Балашиха</v>
      </c>
      <c r="C26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8" s="20" t="str">
        <f ca="1">IFERROR(__xludf.DUMMYFUNCTION("""COMPUTED_VALUE"""),"МинЖКХ")</f>
        <v>МинЖКХ</v>
      </c>
      <c r="E268" s="20" t="str">
        <f ca="1">IFERROR(__xludf.DUMMYFUNCTION("""COMPUTED_VALUE"""),"Капитальный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н"&amp;"их средства бюджета Московской области – 5 500,02 тыс.руб., средства бюджета муниципального образования -2 203,09 тыс.руб.)")</f>
        <v>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них средства бюджета Московской области – 5 500,02 тыс.руб., средства бюджета муниципального образования -2 203,09 тыс.руб.)</v>
      </c>
      <c r="F268" s="32" t="str">
        <f ca="1">IFERROR(__xludf.DUMMYFUNCTION("""COMPUTED_VALUE"""),"КНК")</f>
        <v>КНК</v>
      </c>
      <c r="G268" s="20">
        <f ca="1">IFERROR(__xludf.DUMMYFUNCTION("""COMPUTED_VALUE"""),2020)</f>
        <v>2020</v>
      </c>
      <c r="H268" s="20" t="str">
        <f ca="1">IFERROR(__xludf.DUMMYFUNCTION("""COMPUTED_VALUE"""),"СМР")</f>
        <v>СМР</v>
      </c>
      <c r="I268" s="20">
        <f ca="1">IFERROR(__xludf.DUMMYFUNCTION("""COMPUTED_VALUE"""),86)</f>
        <v>86</v>
      </c>
      <c r="J268" s="20" t="str">
        <f ca="1">IFERROR(__xludf.DUMMYFUNCTION("""COMPUTED_VALUE"""),"Ведутся СМР, рисков неосвоения нет")</f>
        <v>Ведутся СМР, рисков неосвоения нет</v>
      </c>
      <c r="K268" s="20">
        <f ca="1">IFERROR(__xludf.DUMMYFUNCTION("""COMPUTED_VALUE"""),20000)</f>
        <v>20000</v>
      </c>
      <c r="L268" s="20">
        <f ca="1">IFERROR(__xludf.DUMMYFUNCTION("""COMPUTED_VALUE"""),20000)</f>
        <v>20000</v>
      </c>
      <c r="M268" s="20"/>
      <c r="N268" s="24">
        <f ca="1">IFERROR(__xludf.DUMMYFUNCTION("""COMPUTED_VALUE"""),34612.74)</f>
        <v>34612.74</v>
      </c>
      <c r="O268" s="20"/>
      <c r="P268" s="24">
        <f ca="1">IFERROR(__xludf.DUMMYFUNCTION("""COMPUTED_VALUE"""),34612.74)</f>
        <v>34612.74</v>
      </c>
      <c r="Q268" s="20"/>
      <c r="R268" s="20"/>
      <c r="S268" s="20"/>
      <c r="T268" s="20"/>
      <c r="U268" s="24">
        <f ca="1">IFERROR(__xludf.DUMMYFUNCTION("""COMPUTED_VALUE"""),13796.7299999999)</f>
        <v>13796.7299999999</v>
      </c>
      <c r="V268" s="24">
        <f ca="1">IFERROR(__xludf.DUMMYFUNCTION("""COMPUTED_VALUE"""),0)</f>
        <v>0</v>
      </c>
      <c r="W268" s="24">
        <f ca="1">IFERROR(__xludf.DUMMYFUNCTION("""COMPUTED_VALUE"""),0.259999999994761)</f>
        <v>0.25999999999476098</v>
      </c>
      <c r="X268" s="24">
        <f ca="1">IFERROR(__xludf.DUMMYFUNCTION("""COMPUTED_VALUE"""),0)</f>
        <v>0</v>
      </c>
      <c r="Y268" s="24">
        <f ca="1">IFERROR(__xludf.DUMMYFUNCTION("""COMPUTED_VALUE"""),13796.47)</f>
        <v>13796.47</v>
      </c>
      <c r="Z268" s="24">
        <f ca="1">IFERROR(__xludf.DUMMYFUNCTION("""COMPUTED_VALUE"""),0)</f>
        <v>0</v>
      </c>
      <c r="AA268" s="20" t="str">
        <f ca="1">IFERROR(__xludf.DUMMYFUNCTION("""COMPUTED_VALUE"""),"10 2 02 60310")</f>
        <v>10 2 02 60310</v>
      </c>
      <c r="AB268" s="20">
        <f ca="1">IFERROR(__xludf.DUMMYFUNCTION("""COMPUTED_VALUE"""),521)</f>
        <v>521</v>
      </c>
      <c r="AC268" s="20" t="str">
        <f ca="1">IFERROR(__xludf.DUMMYFUNCTION("""COMPUTED_VALUE"""),"не требуется")</f>
        <v>не требуется</v>
      </c>
      <c r="AD268" s="20"/>
      <c r="AE268" s="20"/>
      <c r="AF268" s="24">
        <f ca="1">IFERROR(__xludf.DUMMYFUNCTION("""COMPUTED_VALUE"""),48409.47)</f>
        <v>48409.47</v>
      </c>
      <c r="AG268" s="24">
        <f ca="1">IFERROR(__xludf.DUMMYFUNCTION("""COMPUTED_VALUE"""),0)</f>
        <v>0</v>
      </c>
      <c r="AH268" s="24">
        <f ca="1">IFERROR(__xludf.DUMMYFUNCTION("""COMPUTED_VALUE"""),34613)</f>
        <v>34613</v>
      </c>
      <c r="AI268" s="24">
        <f ca="1">IFERROR(__xludf.DUMMYFUNCTION("""COMPUTED_VALUE"""),0)</f>
        <v>0</v>
      </c>
      <c r="AJ268" s="24">
        <f ca="1">IFERROR(__xludf.DUMMYFUNCTION("""COMPUTED_VALUE"""),13796.47)</f>
        <v>13796.47</v>
      </c>
      <c r="AK268" s="24">
        <f ca="1">IFERROR(__xludf.DUMMYFUNCTION("""COMPUTED_VALUE"""),0)</f>
        <v>0</v>
      </c>
      <c r="AL268" s="24">
        <f ca="1">IFERROR(__xludf.DUMMYFUNCTION("""COMPUTED_VALUE"""),0)</f>
        <v>0</v>
      </c>
      <c r="AM268" s="20"/>
      <c r="AN268" s="20"/>
      <c r="AO268" s="20"/>
      <c r="AP268" s="20"/>
      <c r="AQ268" s="20"/>
      <c r="AR268" s="24">
        <f ca="1">IFERROR(__xludf.DUMMYFUNCTION("""COMPUTED_VALUE"""),0)</f>
        <v>0</v>
      </c>
      <c r="AS268" s="20"/>
      <c r="AT268" s="20"/>
      <c r="AU268" s="20"/>
      <c r="AV268" s="20"/>
      <c r="AW268" s="20"/>
      <c r="AX268" s="24">
        <f ca="1">IFERROR(__xludf.DUMMYFUNCTION("""COMPUTED_VALUE"""),48409.47)</f>
        <v>48409.47</v>
      </c>
      <c r="AY268" s="24">
        <f ca="1">IFERROR(__xludf.DUMMYFUNCTION("""COMPUTED_VALUE"""),0)</f>
        <v>0</v>
      </c>
      <c r="AZ268" s="24">
        <f ca="1">IFERROR(__xludf.DUMMYFUNCTION("""COMPUTED_VALUE"""),34613)</f>
        <v>34613</v>
      </c>
      <c r="BA268" s="24">
        <f ca="1">IFERROR(__xludf.DUMMYFUNCTION("""COMPUTED_VALUE"""),0)</f>
        <v>0</v>
      </c>
      <c r="BB268" s="24">
        <f ca="1">IFERROR(__xludf.DUMMYFUNCTION("""COMPUTED_VALUE"""),13796.47)</f>
        <v>13796.47</v>
      </c>
      <c r="BC268" s="20"/>
      <c r="BD268" s="24">
        <f ca="1">IFERROR(__xludf.DUMMYFUNCTION("""COMPUTED_VALUE"""),0)</f>
        <v>0</v>
      </c>
      <c r="BE268" s="24">
        <f ca="1">IFERROR(__xludf.DUMMYFUNCTION("""COMPUTED_VALUE"""),0)</f>
        <v>0</v>
      </c>
      <c r="BF268" s="24">
        <f ca="1">IFERROR(__xludf.DUMMYFUNCTION("""COMPUTED_VALUE"""),0)</f>
        <v>0</v>
      </c>
      <c r="BG268" s="24">
        <f ca="1">IFERROR(__xludf.DUMMYFUNCTION("""COMPUTED_VALUE"""),0)</f>
        <v>0</v>
      </c>
      <c r="BH268" s="24">
        <f ca="1">IFERROR(__xludf.DUMMYFUNCTION("""COMPUTED_VALUE"""),0)</f>
        <v>0</v>
      </c>
      <c r="BI268" s="20"/>
      <c r="BJ268" s="24">
        <f ca="1">IFERROR(__xludf.DUMMYFUNCTION("""COMPUTED_VALUE"""),0)</f>
        <v>0</v>
      </c>
      <c r="BK268" s="24">
        <f ca="1">IFERROR(__xludf.DUMMYFUNCTION("""COMPUTED_VALUE"""),0)</f>
        <v>0</v>
      </c>
      <c r="BL268" s="24">
        <f ca="1">IFERROR(__xludf.DUMMYFUNCTION("""COMPUTED_VALUE"""),0)</f>
        <v>0</v>
      </c>
      <c r="BM268" s="24">
        <f ca="1">IFERROR(__xludf.DUMMYFUNCTION("""COMPUTED_VALUE"""),0)</f>
        <v>0</v>
      </c>
      <c r="BN268" s="24">
        <f ca="1">IFERROR(__xludf.DUMMYFUNCTION("""COMPUTED_VALUE"""),0)</f>
        <v>0</v>
      </c>
      <c r="BO268" s="20"/>
      <c r="BP268" s="24">
        <f ca="1">IFERROR(__xludf.DUMMYFUNCTION("""COMPUTED_VALUE"""),0)</f>
        <v>0</v>
      </c>
      <c r="BQ268" s="24">
        <f ca="1">IFERROR(__xludf.DUMMYFUNCTION("""COMPUTED_VALUE"""),0)</f>
        <v>0</v>
      </c>
      <c r="BR268" s="24">
        <f ca="1">IFERROR(__xludf.DUMMYFUNCTION("""COMPUTED_VALUE"""),0)</f>
        <v>0</v>
      </c>
      <c r="BS268" s="24">
        <f ca="1">IFERROR(__xludf.DUMMYFUNCTION("""COMPUTED_VALUE"""),0)</f>
        <v>0</v>
      </c>
      <c r="BT268" s="24">
        <f ca="1">IFERROR(__xludf.DUMMYFUNCTION("""COMPUTED_VALUE"""),0)</f>
        <v>0</v>
      </c>
      <c r="BU268" s="20"/>
      <c r="BV268" s="24">
        <f ca="1">IFERROR(__xludf.DUMMYFUNCTION("""COMPUTED_VALUE"""),0)</f>
        <v>0</v>
      </c>
      <c r="BW268" s="24">
        <f ca="1">IFERROR(__xludf.DUMMYFUNCTION("""COMPUTED_VALUE"""),0)</f>
        <v>0</v>
      </c>
      <c r="BX268" s="24">
        <f ca="1">IFERROR(__xludf.DUMMYFUNCTION("""COMPUTED_VALUE"""),0)</f>
        <v>0</v>
      </c>
      <c r="BY268" s="24">
        <f ca="1">IFERROR(__xludf.DUMMYFUNCTION("""COMPUTED_VALUE"""),0)</f>
        <v>0</v>
      </c>
      <c r="BZ268" s="24">
        <f ca="1">IFERROR(__xludf.DUMMYFUNCTION("""COMPUTED_VALUE"""),0)</f>
        <v>0</v>
      </c>
      <c r="CA268" s="20"/>
      <c r="CB268" s="20"/>
      <c r="CC268" s="20"/>
      <c r="CD268" s="20"/>
      <c r="CE268" s="20"/>
      <c r="CF268" s="20"/>
      <c r="CG268" s="20"/>
      <c r="CH268" s="20"/>
      <c r="CI268" s="20"/>
      <c r="CJ268" s="20"/>
      <c r="CK268" s="20"/>
      <c r="CL268" s="20"/>
      <c r="CM268" s="20"/>
      <c r="CN268" s="20"/>
      <c r="CO268" s="20"/>
      <c r="CP268" s="20"/>
      <c r="CQ268" s="20"/>
      <c r="CR268" s="20"/>
      <c r="CS268" s="20"/>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row>
    <row r="269" spans="1:123" ht="64.5" customHeight="1" x14ac:dyDescent="0.2">
      <c r="A269" s="19"/>
      <c r="B269" s="20" t="str">
        <f ca="1">IFERROR(__xludf.DUMMYFUNCTION("""COMPUTED_VALUE"""),"г.о. Раменский")</f>
        <v>г.о. Раменский</v>
      </c>
      <c r="C26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9" s="20" t="str">
        <f ca="1">IFERROR(__xludf.DUMMYFUNCTION("""COMPUTED_VALUE"""),"МинЖКХ")</f>
        <v>МинЖКХ</v>
      </c>
      <c r="E269" s="20" t="str">
        <f ca="1">IFERROR(__xludf.DUMMYFUNCTION("""COMPUTED_VALUE"""),"Капитальный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3"&amp;" 962,00 тыс.руб. средства бюджета Московской области)  ")</f>
        <v xml:space="preserv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3 962,00 тыс.руб. средства бюджета Московской области)  </v>
      </c>
      <c r="F269" s="32" t="str">
        <f ca="1">IFERROR(__xludf.DUMMYFUNCTION("""COMPUTED_VALUE"""),"КНС")</f>
        <v>КНС</v>
      </c>
      <c r="G269" s="20">
        <f ca="1">IFERROR(__xludf.DUMMYFUNCTION("""COMPUTED_VALUE"""),2020)</f>
        <v>2020</v>
      </c>
      <c r="H269" s="20" t="str">
        <f ca="1">IFERROR(__xludf.DUMMYFUNCTION("""COMPUTED_VALUE"""),"СМР")</f>
        <v>СМР</v>
      </c>
      <c r="I269" s="20">
        <f ca="1">IFERROR(__xludf.DUMMYFUNCTION("""COMPUTED_VALUE"""),100)</f>
        <v>100</v>
      </c>
      <c r="J269" s="20" t="str">
        <f ca="1">IFERROR(__xludf.DUMMYFUNCTION("""COMPUTED_VALUE"""),"кредиторка")</f>
        <v>кредиторка</v>
      </c>
      <c r="K269" s="20"/>
      <c r="L269" s="20"/>
      <c r="M269" s="20"/>
      <c r="N269" s="24">
        <f ca="1">IFERROR(__xludf.DUMMYFUNCTION("""COMPUTED_VALUE"""),3962)</f>
        <v>3962</v>
      </c>
      <c r="O269" s="20"/>
      <c r="P269" s="24">
        <f ca="1">IFERROR(__xludf.DUMMYFUNCTION("""COMPUTED_VALUE"""),3962)</f>
        <v>3962</v>
      </c>
      <c r="Q269" s="20"/>
      <c r="R269" s="20"/>
      <c r="S269" s="20"/>
      <c r="T269" s="20"/>
      <c r="U269" s="24">
        <f ca="1">IFERROR(__xludf.DUMMYFUNCTION("""COMPUTED_VALUE"""),0)</f>
        <v>0</v>
      </c>
      <c r="V269" s="24">
        <f ca="1">IFERROR(__xludf.DUMMYFUNCTION("""COMPUTED_VALUE"""),0)</f>
        <v>0</v>
      </c>
      <c r="W269" s="24">
        <f ca="1">IFERROR(__xludf.DUMMYFUNCTION("""COMPUTED_VALUE"""),0)</f>
        <v>0</v>
      </c>
      <c r="X269" s="24">
        <f ca="1">IFERROR(__xludf.DUMMYFUNCTION("""COMPUTED_VALUE"""),0)</f>
        <v>0</v>
      </c>
      <c r="Y269" s="24">
        <f ca="1">IFERROR(__xludf.DUMMYFUNCTION("""COMPUTED_VALUE"""),0)</f>
        <v>0</v>
      </c>
      <c r="Z269" s="24">
        <f ca="1">IFERROR(__xludf.DUMMYFUNCTION("""COMPUTED_VALUE"""),0)</f>
        <v>0</v>
      </c>
      <c r="AA269" s="20" t="str">
        <f ca="1">IFERROR(__xludf.DUMMYFUNCTION("""COMPUTED_VALUE"""),"10 2 02 60310")</f>
        <v>10 2 02 60310</v>
      </c>
      <c r="AB269" s="20">
        <f ca="1">IFERROR(__xludf.DUMMYFUNCTION("""COMPUTED_VALUE"""),521)</f>
        <v>521</v>
      </c>
      <c r="AC269" s="20" t="str">
        <f ca="1">IFERROR(__xludf.DUMMYFUNCTION("""COMPUTED_VALUE"""),"не требуется")</f>
        <v>не требуется</v>
      </c>
      <c r="AD269" s="20"/>
      <c r="AE269" s="20"/>
      <c r="AF269" s="24">
        <f ca="1">IFERROR(__xludf.DUMMYFUNCTION("""COMPUTED_VALUE"""),3962)</f>
        <v>3962</v>
      </c>
      <c r="AG269" s="24">
        <f ca="1">IFERROR(__xludf.DUMMYFUNCTION("""COMPUTED_VALUE"""),0)</f>
        <v>0</v>
      </c>
      <c r="AH269" s="24">
        <f ca="1">IFERROR(__xludf.DUMMYFUNCTION("""COMPUTED_VALUE"""),3962)</f>
        <v>3962</v>
      </c>
      <c r="AI269" s="24">
        <f ca="1">IFERROR(__xludf.DUMMYFUNCTION("""COMPUTED_VALUE"""),0)</f>
        <v>0</v>
      </c>
      <c r="AJ269" s="24">
        <f ca="1">IFERROR(__xludf.DUMMYFUNCTION("""COMPUTED_VALUE"""),0)</f>
        <v>0</v>
      </c>
      <c r="AK269" s="24">
        <f ca="1">IFERROR(__xludf.DUMMYFUNCTION("""COMPUTED_VALUE"""),0)</f>
        <v>0</v>
      </c>
      <c r="AL269" s="24">
        <f ca="1">IFERROR(__xludf.DUMMYFUNCTION("""COMPUTED_VALUE"""),0)</f>
        <v>0</v>
      </c>
      <c r="AM269" s="20"/>
      <c r="AN269" s="20"/>
      <c r="AO269" s="20"/>
      <c r="AP269" s="20"/>
      <c r="AQ269" s="20"/>
      <c r="AR269" s="24">
        <f ca="1">IFERROR(__xludf.DUMMYFUNCTION("""COMPUTED_VALUE"""),0)</f>
        <v>0</v>
      </c>
      <c r="AS269" s="20"/>
      <c r="AT269" s="20"/>
      <c r="AU269" s="20"/>
      <c r="AV269" s="20"/>
      <c r="AW269" s="20"/>
      <c r="AX269" s="24">
        <f ca="1">IFERROR(__xludf.DUMMYFUNCTION("""COMPUTED_VALUE"""),3962)</f>
        <v>3962</v>
      </c>
      <c r="AY269" s="24">
        <f ca="1">IFERROR(__xludf.DUMMYFUNCTION("""COMPUTED_VALUE"""),0)</f>
        <v>0</v>
      </c>
      <c r="AZ269" s="24">
        <f ca="1">IFERROR(__xludf.DUMMYFUNCTION("""COMPUTED_VALUE"""),3962)</f>
        <v>3962</v>
      </c>
      <c r="BA269" s="24">
        <f ca="1">IFERROR(__xludf.DUMMYFUNCTION("""COMPUTED_VALUE"""),0)</f>
        <v>0</v>
      </c>
      <c r="BB269" s="24">
        <f ca="1">IFERROR(__xludf.DUMMYFUNCTION("""COMPUTED_VALUE"""),0)</f>
        <v>0</v>
      </c>
      <c r="BC269" s="20"/>
      <c r="BD269" s="24">
        <f ca="1">IFERROR(__xludf.DUMMYFUNCTION("""COMPUTED_VALUE"""),0)</f>
        <v>0</v>
      </c>
      <c r="BE269" s="24">
        <f ca="1">IFERROR(__xludf.DUMMYFUNCTION("""COMPUTED_VALUE"""),0)</f>
        <v>0</v>
      </c>
      <c r="BF269" s="24">
        <f ca="1">IFERROR(__xludf.DUMMYFUNCTION("""COMPUTED_VALUE"""),0)</f>
        <v>0</v>
      </c>
      <c r="BG269" s="24">
        <f ca="1">IFERROR(__xludf.DUMMYFUNCTION("""COMPUTED_VALUE"""),0)</f>
        <v>0</v>
      </c>
      <c r="BH269" s="24">
        <f ca="1">IFERROR(__xludf.DUMMYFUNCTION("""COMPUTED_VALUE"""),0)</f>
        <v>0</v>
      </c>
      <c r="BI269" s="20"/>
      <c r="BJ269" s="24">
        <f ca="1">IFERROR(__xludf.DUMMYFUNCTION("""COMPUTED_VALUE"""),0)</f>
        <v>0</v>
      </c>
      <c r="BK269" s="24">
        <f ca="1">IFERROR(__xludf.DUMMYFUNCTION("""COMPUTED_VALUE"""),0)</f>
        <v>0</v>
      </c>
      <c r="BL269" s="24">
        <f ca="1">IFERROR(__xludf.DUMMYFUNCTION("""COMPUTED_VALUE"""),0)</f>
        <v>0</v>
      </c>
      <c r="BM269" s="24">
        <f ca="1">IFERROR(__xludf.DUMMYFUNCTION("""COMPUTED_VALUE"""),0)</f>
        <v>0</v>
      </c>
      <c r="BN269" s="24">
        <f ca="1">IFERROR(__xludf.DUMMYFUNCTION("""COMPUTED_VALUE"""),0)</f>
        <v>0</v>
      </c>
      <c r="BO269" s="20"/>
      <c r="BP269" s="24">
        <f ca="1">IFERROR(__xludf.DUMMYFUNCTION("""COMPUTED_VALUE"""),0)</f>
        <v>0</v>
      </c>
      <c r="BQ269" s="24">
        <f ca="1">IFERROR(__xludf.DUMMYFUNCTION("""COMPUTED_VALUE"""),0)</f>
        <v>0</v>
      </c>
      <c r="BR269" s="24">
        <f ca="1">IFERROR(__xludf.DUMMYFUNCTION("""COMPUTED_VALUE"""),0)</f>
        <v>0</v>
      </c>
      <c r="BS269" s="24">
        <f ca="1">IFERROR(__xludf.DUMMYFUNCTION("""COMPUTED_VALUE"""),0)</f>
        <v>0</v>
      </c>
      <c r="BT269" s="24">
        <f ca="1">IFERROR(__xludf.DUMMYFUNCTION("""COMPUTED_VALUE"""),0)</f>
        <v>0</v>
      </c>
      <c r="BU269" s="20"/>
      <c r="BV269" s="24">
        <f ca="1">IFERROR(__xludf.DUMMYFUNCTION("""COMPUTED_VALUE"""),0)</f>
        <v>0</v>
      </c>
      <c r="BW269" s="24">
        <f ca="1">IFERROR(__xludf.DUMMYFUNCTION("""COMPUTED_VALUE"""),0)</f>
        <v>0</v>
      </c>
      <c r="BX269" s="24">
        <f ca="1">IFERROR(__xludf.DUMMYFUNCTION("""COMPUTED_VALUE"""),0)</f>
        <v>0</v>
      </c>
      <c r="BY269" s="24">
        <f ca="1">IFERROR(__xludf.DUMMYFUNCTION("""COMPUTED_VALUE"""),0)</f>
        <v>0</v>
      </c>
      <c r="BZ269" s="24">
        <f ca="1">IFERROR(__xludf.DUMMYFUNCTION("""COMPUTED_VALUE"""),0)</f>
        <v>0</v>
      </c>
      <c r="CA269" s="20"/>
      <c r="CB269" s="20"/>
      <c r="CC269" s="20"/>
      <c r="CD269" s="20"/>
      <c r="CE269" s="20"/>
      <c r="CF269" s="20"/>
      <c r="CG269" s="20"/>
      <c r="CH269" s="20"/>
      <c r="CI269" s="20"/>
      <c r="CJ269" s="20"/>
      <c r="CK269" s="20"/>
      <c r="CL269" s="20"/>
      <c r="CM269" s="20"/>
      <c r="CN269" s="20"/>
      <c r="CO269" s="20"/>
      <c r="CP269" s="20"/>
      <c r="CQ269" s="20"/>
      <c r="CR269" s="20"/>
      <c r="CS269" s="20"/>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row>
    <row r="270" spans="1:123" ht="64.5" customHeight="1" x14ac:dyDescent="0.2">
      <c r="A270" s="19"/>
      <c r="B270" s="20" t="str">
        <f ca="1">IFERROR(__xludf.DUMMYFUNCTION("""COMPUTED_VALUE"""),"г.о. Орехово-Зуево")</f>
        <v>г.о. Орехово-Зуево</v>
      </c>
      <c r="C27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0" s="20" t="str">
        <f ca="1">IFERROR(__xludf.DUMMYFUNCTION("""COMPUTED_VALUE"""),"МинЖКХ")</f>
        <v>МинЖКХ</v>
      </c>
      <c r="E270" s="20" t="str">
        <f ca="1">IFERROR(__xludf.DUMMYFUNCTION("""COMPUTED_VALUE"""),"Капитальный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f>
        <v>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v>
      </c>
      <c r="F270" s="32" t="str">
        <f ca="1">IFERROR(__xludf.DUMMYFUNCTION("""COMPUTED_VALUE"""),"КНК")</f>
        <v>КНК</v>
      </c>
      <c r="G270" s="20" t="str">
        <f ca="1">IFERROR(__xludf.DUMMYFUNCTION("""COMPUTED_VALUE"""),"2020-2021")</f>
        <v>2020-2021</v>
      </c>
      <c r="H270" s="20" t="str">
        <f ca="1">IFERROR(__xludf.DUMMYFUNCTION("""COMPUTED_VALUE"""),"СМР")</f>
        <v>СМР</v>
      </c>
      <c r="I270" s="20">
        <f ca="1">IFERROR(__xludf.DUMMYFUNCTION("""COMPUTED_VALUE"""),30)</f>
        <v>30</v>
      </c>
      <c r="J270" s="20" t="str">
        <f ca="1">IFERROR(__xludf.DUMMYFUNCTION("""COMPUTED_VALUE"""),"идут ведутся в соответсвии с графиком")</f>
        <v>идут ведутся в соответсвии с графиком</v>
      </c>
      <c r="K270" s="20">
        <f ca="1">IFERROR(__xludf.DUMMYFUNCTION("""COMPUTED_VALUE"""),231801)</f>
        <v>231801</v>
      </c>
      <c r="L270" s="20">
        <f ca="1">IFERROR(__xludf.DUMMYFUNCTION("""COMPUTED_VALUE"""),231801)</f>
        <v>231801</v>
      </c>
      <c r="M270" s="20"/>
      <c r="N270" s="24">
        <f ca="1">IFERROR(__xludf.DUMMYFUNCTION("""COMPUTED_VALUE"""),119537.64)</f>
        <v>119537.64</v>
      </c>
      <c r="O270" s="20"/>
      <c r="P270" s="20"/>
      <c r="Q270" s="24">
        <f ca="1">IFERROR(__xludf.DUMMYFUNCTION("""COMPUTED_VALUE"""),119537.64)</f>
        <v>119537.64</v>
      </c>
      <c r="R270" s="20"/>
      <c r="S270" s="20"/>
      <c r="T270" s="20"/>
      <c r="U270" s="24">
        <f ca="1">IFERROR(__xludf.DUMMYFUNCTION("""COMPUTED_VALUE"""),10183.08)</f>
        <v>10183.08</v>
      </c>
      <c r="V270" s="24">
        <f ca="1">IFERROR(__xludf.DUMMYFUNCTION("""COMPUTED_VALUE"""),0)</f>
        <v>0</v>
      </c>
      <c r="W270" s="24">
        <f ca="1">IFERROR(__xludf.DUMMYFUNCTION("""COMPUTED_VALUE"""),0)</f>
        <v>0</v>
      </c>
      <c r="X270" s="24">
        <f ca="1">IFERROR(__xludf.DUMMYFUNCTION("""COMPUTED_VALUE"""),3697.36)</f>
        <v>3697.36</v>
      </c>
      <c r="Y270" s="24">
        <f ca="1">IFERROR(__xludf.DUMMYFUNCTION("""COMPUTED_VALUE"""),6485.72)</f>
        <v>6485.72</v>
      </c>
      <c r="Z270" s="24">
        <f ca="1">IFERROR(__xludf.DUMMYFUNCTION("""COMPUTED_VALUE"""),0)</f>
        <v>0</v>
      </c>
      <c r="AA270" s="20" t="str">
        <f ca="1">IFERROR(__xludf.DUMMYFUNCTION("""COMPUTED_VALUE"""),"10 2 02 60310")</f>
        <v>10 2 02 60310</v>
      </c>
      <c r="AB270" s="20">
        <f ca="1">IFERROR(__xludf.DUMMYFUNCTION("""COMPUTED_VALUE"""),521)</f>
        <v>521</v>
      </c>
      <c r="AC270" s="20" t="str">
        <f ca="1">IFERROR(__xludf.DUMMYFUNCTION("""COMPUTED_VALUE"""),"не требуется")</f>
        <v>не требуется</v>
      </c>
      <c r="AD270" s="20"/>
      <c r="AE270" s="20"/>
      <c r="AF270" s="24">
        <f ca="1">IFERROR(__xludf.DUMMYFUNCTION("""COMPUTED_VALUE"""),259441.44)</f>
        <v>259441.44</v>
      </c>
      <c r="AG270" s="24">
        <f ca="1">IFERROR(__xludf.DUMMYFUNCTION("""COMPUTED_VALUE"""),0)</f>
        <v>0</v>
      </c>
      <c r="AH270" s="24">
        <f ca="1">IFERROR(__xludf.DUMMYFUNCTION("""COMPUTED_VALUE"""),0)</f>
        <v>0</v>
      </c>
      <c r="AI270" s="24">
        <f ca="1">IFERROR(__xludf.DUMMYFUNCTION("""COMPUTED_VALUE"""),246470)</f>
        <v>246470</v>
      </c>
      <c r="AJ270" s="24">
        <f ca="1">IFERROR(__xludf.DUMMYFUNCTION("""COMPUTED_VALUE"""),12971.44)</f>
        <v>12971.44</v>
      </c>
      <c r="AK270" s="24">
        <f ca="1">IFERROR(__xludf.DUMMYFUNCTION("""COMPUTED_VALUE"""),0)</f>
        <v>0</v>
      </c>
      <c r="AL270" s="24">
        <f ca="1">IFERROR(__xludf.DUMMYFUNCTION("""COMPUTED_VALUE"""),0)</f>
        <v>0</v>
      </c>
      <c r="AM270" s="20"/>
      <c r="AN270" s="20"/>
      <c r="AO270" s="20"/>
      <c r="AP270" s="20"/>
      <c r="AQ270" s="20"/>
      <c r="AR270" s="24">
        <f ca="1">IFERROR(__xludf.DUMMYFUNCTION("""COMPUTED_VALUE"""),0)</f>
        <v>0</v>
      </c>
      <c r="AS270" s="20"/>
      <c r="AT270" s="20"/>
      <c r="AU270" s="20"/>
      <c r="AV270" s="20"/>
      <c r="AW270" s="20"/>
      <c r="AX270" s="24">
        <f ca="1">IFERROR(__xludf.DUMMYFUNCTION("""COMPUTED_VALUE"""),129720.72)</f>
        <v>129720.72</v>
      </c>
      <c r="AY270" s="24">
        <f ca="1">IFERROR(__xludf.DUMMYFUNCTION("""COMPUTED_VALUE"""),0)</f>
        <v>0</v>
      </c>
      <c r="AZ270" s="24">
        <f ca="1">IFERROR(__xludf.DUMMYFUNCTION("""COMPUTED_VALUE"""),0)</f>
        <v>0</v>
      </c>
      <c r="BA270" s="24">
        <f ca="1">IFERROR(__xludf.DUMMYFUNCTION("""COMPUTED_VALUE"""),123235)</f>
        <v>123235</v>
      </c>
      <c r="BB270" s="24">
        <f ca="1">IFERROR(__xludf.DUMMYFUNCTION("""COMPUTED_VALUE"""),6485.72)</f>
        <v>6485.72</v>
      </c>
      <c r="BC270" s="20"/>
      <c r="BD270" s="24">
        <f ca="1">IFERROR(__xludf.DUMMYFUNCTION("""COMPUTED_VALUE"""),129720.72)</f>
        <v>129720.72</v>
      </c>
      <c r="BE270" s="24">
        <f ca="1">IFERROR(__xludf.DUMMYFUNCTION("""COMPUTED_VALUE"""),0)</f>
        <v>0</v>
      </c>
      <c r="BF270" s="24">
        <f ca="1">IFERROR(__xludf.DUMMYFUNCTION("""COMPUTED_VALUE"""),0)</f>
        <v>0</v>
      </c>
      <c r="BG270" s="24">
        <f ca="1">IFERROR(__xludf.DUMMYFUNCTION("""COMPUTED_VALUE"""),123235)</f>
        <v>123235</v>
      </c>
      <c r="BH270" s="24">
        <f ca="1">IFERROR(__xludf.DUMMYFUNCTION("""COMPUTED_VALUE"""),6485.72)</f>
        <v>6485.72</v>
      </c>
      <c r="BI270" s="20"/>
      <c r="BJ270" s="24">
        <f ca="1">IFERROR(__xludf.DUMMYFUNCTION("""COMPUTED_VALUE"""),0)</f>
        <v>0</v>
      </c>
      <c r="BK270" s="24">
        <f ca="1">IFERROR(__xludf.DUMMYFUNCTION("""COMPUTED_VALUE"""),0)</f>
        <v>0</v>
      </c>
      <c r="BL270" s="24">
        <f ca="1">IFERROR(__xludf.DUMMYFUNCTION("""COMPUTED_VALUE"""),0)</f>
        <v>0</v>
      </c>
      <c r="BM270" s="24">
        <f ca="1">IFERROR(__xludf.DUMMYFUNCTION("""COMPUTED_VALUE"""),0)</f>
        <v>0</v>
      </c>
      <c r="BN270" s="24">
        <f ca="1">IFERROR(__xludf.DUMMYFUNCTION("""COMPUTED_VALUE"""),0)</f>
        <v>0</v>
      </c>
      <c r="BO270" s="20"/>
      <c r="BP270" s="24">
        <f ca="1">IFERROR(__xludf.DUMMYFUNCTION("""COMPUTED_VALUE"""),0)</f>
        <v>0</v>
      </c>
      <c r="BQ270" s="24">
        <f ca="1">IFERROR(__xludf.DUMMYFUNCTION("""COMPUTED_VALUE"""),0)</f>
        <v>0</v>
      </c>
      <c r="BR270" s="24">
        <f ca="1">IFERROR(__xludf.DUMMYFUNCTION("""COMPUTED_VALUE"""),0)</f>
        <v>0</v>
      </c>
      <c r="BS270" s="24">
        <f ca="1">IFERROR(__xludf.DUMMYFUNCTION("""COMPUTED_VALUE"""),0)</f>
        <v>0</v>
      </c>
      <c r="BT270" s="24">
        <f ca="1">IFERROR(__xludf.DUMMYFUNCTION("""COMPUTED_VALUE"""),0)</f>
        <v>0</v>
      </c>
      <c r="BU270" s="20"/>
      <c r="BV270" s="24">
        <f ca="1">IFERROR(__xludf.DUMMYFUNCTION("""COMPUTED_VALUE"""),0)</f>
        <v>0</v>
      </c>
      <c r="BW270" s="24">
        <f ca="1">IFERROR(__xludf.DUMMYFUNCTION("""COMPUTED_VALUE"""),0)</f>
        <v>0</v>
      </c>
      <c r="BX270" s="24">
        <f ca="1">IFERROR(__xludf.DUMMYFUNCTION("""COMPUTED_VALUE"""),0)</f>
        <v>0</v>
      </c>
      <c r="BY270" s="24">
        <f ca="1">IFERROR(__xludf.DUMMYFUNCTION("""COMPUTED_VALUE"""),0)</f>
        <v>0</v>
      </c>
      <c r="BZ270" s="24">
        <f ca="1">IFERROR(__xludf.DUMMYFUNCTION("""COMPUTED_VALUE"""),0)</f>
        <v>0</v>
      </c>
      <c r="CA270" s="20"/>
      <c r="CB270" s="20"/>
      <c r="CC270" s="20"/>
      <c r="CD270" s="20"/>
      <c r="CE270" s="20"/>
      <c r="CF270" s="20"/>
      <c r="CG270" s="20"/>
      <c r="CH270" s="20"/>
      <c r="CI270" s="20"/>
      <c r="CJ270" s="20"/>
      <c r="CK270" s="20"/>
      <c r="CL270" s="20"/>
      <c r="CM270" s="26">
        <f ca="1">IFERROR(__xludf.DUMMYFUNCTION("""COMPUTED_VALUE"""),43927)</f>
        <v>43927</v>
      </c>
      <c r="CN270" s="20" t="str">
        <f ca="1">IFERROR(__xludf.DUMMYFUNCTION("""COMPUTED_VALUE"""),"0148200005420000118")</f>
        <v>0148200005420000118</v>
      </c>
      <c r="CO270" s="26">
        <f ca="1">IFERROR(__xludf.DUMMYFUNCTION("""COMPUTED_VALUE"""),43958)</f>
        <v>43958</v>
      </c>
      <c r="CP270" s="20" t="str">
        <f ca="1">IFERROR(__xludf.DUMMYFUNCTION("""COMPUTED_VALUE"""),"0148200005420000118")</f>
        <v>0148200005420000118</v>
      </c>
      <c r="CQ270" s="20">
        <f ca="1">IFERROR(__xludf.DUMMYFUNCTION("""COMPUTED_VALUE"""),251658196.8)</f>
        <v>251658196.80000001</v>
      </c>
      <c r="CR270" s="20" t="str">
        <f ca="1">IFERROR(__xludf.DUMMYFUNCTION("""COMPUTED_VALUE"""),"ООО ""РБК СТРОЙИНВЕСТ""")</f>
        <v>ООО "РБК СТРОЙИНВЕСТ"</v>
      </c>
      <c r="CS270" s="27" t="str">
        <f ca="1">IFERROR(__xludf.DUMMYFUNCTION("""COMPUTED_VALUE"""),"https://zakupki.gov.ru/epz/contract/contractCard/common-info.html?reestrNumber=3503408266720000045&amp;backUrl=60754490-0a76-40a6-8ec8-523920815337")</f>
        <v>https://zakupki.gov.ru/epz/contract/contractCard/common-info.html?reestrNumber=3503408266720000045&amp;backUrl=60754490-0a76-40a6-8ec8-523920815337</v>
      </c>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row>
    <row r="271" spans="1:123" ht="64.5" hidden="1" customHeight="1" x14ac:dyDescent="0.2">
      <c r="A271" s="19"/>
      <c r="B271" s="20" t="str">
        <f ca="1">IFERROR(__xludf.DUMMYFUNCTION("""COMPUTED_VALUE"""),"г.о. Ликино-Дулево")</f>
        <v>г.о. Ликино-Дулево</v>
      </c>
      <c r="C27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1" s="20" t="str">
        <f ca="1">IFERROR(__xludf.DUMMYFUNCTION("""COMPUTED_VALUE"""),"МинЖКХ")</f>
        <v>МинЖКХ</v>
      </c>
      <c r="E271" s="20" t="str">
        <f ca="1">IFERROR(__xludf.DUMMYFUNCTION("""COMPUTED_VALUE"""),"Капитальный ремонт самотечного  канализационного коллектора в районе д. Малиновые луга, Орехово-Зувский городской округ (в том числе ПИР)")</f>
        <v>Капитальный ремонт самотечного  канализационного коллектора в районе д. Малиновые луга, Орехово-Зувский городской округ (в том числе ПИР)</v>
      </c>
      <c r="F271" s="32" t="str">
        <f ca="1">IFERROR(__xludf.DUMMYFUNCTION("""COMPUTED_VALUE"""),"КНК")</f>
        <v>КНК</v>
      </c>
      <c r="G271" s="20" t="str">
        <f ca="1">IFERROR(__xludf.DUMMYFUNCTION("""COMPUTED_VALUE"""),"2021-2022")</f>
        <v>2021-2022</v>
      </c>
      <c r="H271" s="20" t="str">
        <f ca="1">IFERROR(__xludf.DUMMYFUNCTION("""COMPUTED_VALUE"""),"СМР")</f>
        <v>СМР</v>
      </c>
      <c r="I271" s="20"/>
      <c r="J271" s="20"/>
      <c r="K271" s="20"/>
      <c r="L271" s="20"/>
      <c r="M271" s="20"/>
      <c r="N271" s="24">
        <f ca="1">IFERROR(__xludf.DUMMYFUNCTION("""COMPUTED_VALUE"""),0)</f>
        <v>0</v>
      </c>
      <c r="O271" s="20"/>
      <c r="P271" s="20"/>
      <c r="Q271" s="20"/>
      <c r="R271" s="20"/>
      <c r="S271" s="20"/>
      <c r="T271" s="20"/>
      <c r="U271" s="24">
        <f ca="1">IFERROR(__xludf.DUMMYFUNCTION("""COMPUTED_VALUE"""),0)</f>
        <v>0</v>
      </c>
      <c r="V271" s="24">
        <f ca="1">IFERROR(__xludf.DUMMYFUNCTION("""COMPUTED_VALUE"""),0)</f>
        <v>0</v>
      </c>
      <c r="W271" s="24">
        <f ca="1">IFERROR(__xludf.DUMMYFUNCTION("""COMPUTED_VALUE"""),0)</f>
        <v>0</v>
      </c>
      <c r="X271" s="24">
        <f ca="1">IFERROR(__xludf.DUMMYFUNCTION("""COMPUTED_VALUE"""),0)</f>
        <v>0</v>
      </c>
      <c r="Y271" s="24">
        <f ca="1">IFERROR(__xludf.DUMMYFUNCTION("""COMPUTED_VALUE"""),0)</f>
        <v>0</v>
      </c>
      <c r="Z271" s="24">
        <f ca="1">IFERROR(__xludf.DUMMYFUNCTION("""COMPUTED_VALUE"""),0)</f>
        <v>0</v>
      </c>
      <c r="AA271" s="20" t="str">
        <f ca="1">IFERROR(__xludf.DUMMYFUNCTION("""COMPUTED_VALUE"""),"10 2 02 60310")</f>
        <v>10 2 02 60310</v>
      </c>
      <c r="AB271" s="20">
        <f ca="1">IFERROR(__xludf.DUMMYFUNCTION("""COMPUTED_VALUE"""),521)</f>
        <v>521</v>
      </c>
      <c r="AC271" s="20" t="str">
        <f ca="1">IFERROR(__xludf.DUMMYFUNCTION("""COMPUTED_VALUE"""),"не требуется")</f>
        <v>не требуется</v>
      </c>
      <c r="AD271" s="20"/>
      <c r="AE271" s="20"/>
      <c r="AF271" s="24">
        <f ca="1">IFERROR(__xludf.DUMMYFUNCTION("""COMPUTED_VALUE"""),121422.68)</f>
        <v>121422.68</v>
      </c>
      <c r="AG271" s="24">
        <f ca="1">IFERROR(__xludf.DUMMYFUNCTION("""COMPUTED_VALUE"""),0)</f>
        <v>0</v>
      </c>
      <c r="AH271" s="24">
        <f ca="1">IFERROR(__xludf.DUMMYFUNCTION("""COMPUTED_VALUE"""),115352)</f>
        <v>115352</v>
      </c>
      <c r="AI271" s="24">
        <f ca="1">IFERROR(__xludf.DUMMYFUNCTION("""COMPUTED_VALUE"""),0)</f>
        <v>0</v>
      </c>
      <c r="AJ271" s="24">
        <f ca="1">IFERROR(__xludf.DUMMYFUNCTION("""COMPUTED_VALUE"""),6070.68)</f>
        <v>6070.68</v>
      </c>
      <c r="AK271" s="24">
        <f ca="1">IFERROR(__xludf.DUMMYFUNCTION("""COMPUTED_VALUE"""),0)</f>
        <v>0</v>
      </c>
      <c r="AL271" s="24">
        <f ca="1">IFERROR(__xludf.DUMMYFUNCTION("""COMPUTED_VALUE"""),0)</f>
        <v>0</v>
      </c>
      <c r="AM271" s="20"/>
      <c r="AN271" s="20"/>
      <c r="AO271" s="20"/>
      <c r="AP271" s="20"/>
      <c r="AQ271" s="20"/>
      <c r="AR271" s="24">
        <f ca="1">IFERROR(__xludf.DUMMYFUNCTION("""COMPUTED_VALUE"""),0)</f>
        <v>0</v>
      </c>
      <c r="AS271" s="20"/>
      <c r="AT271" s="20"/>
      <c r="AU271" s="20"/>
      <c r="AV271" s="20"/>
      <c r="AW271" s="20"/>
      <c r="AX271" s="24">
        <f ca="1">IFERROR(__xludf.DUMMYFUNCTION("""COMPUTED_VALUE"""),0)</f>
        <v>0</v>
      </c>
      <c r="AY271" s="24">
        <f ca="1">IFERROR(__xludf.DUMMYFUNCTION("""COMPUTED_VALUE"""),0)</f>
        <v>0</v>
      </c>
      <c r="AZ271" s="24">
        <f ca="1">IFERROR(__xludf.DUMMYFUNCTION("""COMPUTED_VALUE"""),0)</f>
        <v>0</v>
      </c>
      <c r="BA271" s="24">
        <f ca="1">IFERROR(__xludf.DUMMYFUNCTION("""COMPUTED_VALUE"""),0)</f>
        <v>0</v>
      </c>
      <c r="BB271" s="24">
        <f ca="1">IFERROR(__xludf.DUMMYFUNCTION("""COMPUTED_VALUE"""),0)</f>
        <v>0</v>
      </c>
      <c r="BC271" s="20"/>
      <c r="BD271" s="24">
        <f ca="1">IFERROR(__xludf.DUMMYFUNCTION("""COMPUTED_VALUE"""),0)</f>
        <v>0</v>
      </c>
      <c r="BE271" s="24">
        <f ca="1">IFERROR(__xludf.DUMMYFUNCTION("""COMPUTED_VALUE"""),0)</f>
        <v>0</v>
      </c>
      <c r="BF271" s="24">
        <f ca="1">IFERROR(__xludf.DUMMYFUNCTION("""COMPUTED_VALUE"""),0)</f>
        <v>0</v>
      </c>
      <c r="BG271" s="24">
        <f ca="1">IFERROR(__xludf.DUMMYFUNCTION("""COMPUTED_VALUE"""),0)</f>
        <v>0</v>
      </c>
      <c r="BH271" s="24">
        <f ca="1">IFERROR(__xludf.DUMMYFUNCTION("""COMPUTED_VALUE"""),0)</f>
        <v>0</v>
      </c>
      <c r="BI271" s="20"/>
      <c r="BJ271" s="24">
        <f ca="1">IFERROR(__xludf.DUMMYFUNCTION("""COMPUTED_VALUE"""),58211.34)</f>
        <v>58211.34</v>
      </c>
      <c r="BK271" s="24">
        <f ca="1">IFERROR(__xludf.DUMMYFUNCTION("""COMPUTED_VALUE"""),0)</f>
        <v>0</v>
      </c>
      <c r="BL271" s="24">
        <f ca="1">IFERROR(__xludf.DUMMYFUNCTION("""COMPUTED_VALUE"""),55301)</f>
        <v>55301</v>
      </c>
      <c r="BM271" s="24">
        <f ca="1">IFERROR(__xludf.DUMMYFUNCTION("""COMPUTED_VALUE"""),0)</f>
        <v>0</v>
      </c>
      <c r="BN271" s="24">
        <f ca="1">IFERROR(__xludf.DUMMYFUNCTION("""COMPUTED_VALUE"""),2910.34)</f>
        <v>2910.34</v>
      </c>
      <c r="BO271" s="20"/>
      <c r="BP271" s="24">
        <f ca="1">IFERROR(__xludf.DUMMYFUNCTION("""COMPUTED_VALUE"""),63211.34)</f>
        <v>63211.34</v>
      </c>
      <c r="BQ271" s="24">
        <f ca="1">IFERROR(__xludf.DUMMYFUNCTION("""COMPUTED_VALUE"""),0)</f>
        <v>0</v>
      </c>
      <c r="BR271" s="24">
        <f ca="1">IFERROR(__xludf.DUMMYFUNCTION("""COMPUTED_VALUE"""),60051)</f>
        <v>60051</v>
      </c>
      <c r="BS271" s="24">
        <f ca="1">IFERROR(__xludf.DUMMYFUNCTION("""COMPUTED_VALUE"""),0)</f>
        <v>0</v>
      </c>
      <c r="BT271" s="24">
        <f ca="1">IFERROR(__xludf.DUMMYFUNCTION("""COMPUTED_VALUE"""),3160.34)</f>
        <v>3160.34</v>
      </c>
      <c r="BU271" s="20"/>
      <c r="BV271" s="24">
        <f ca="1">IFERROR(__xludf.DUMMYFUNCTION("""COMPUTED_VALUE"""),0)</f>
        <v>0</v>
      </c>
      <c r="BW271" s="24">
        <f ca="1">IFERROR(__xludf.DUMMYFUNCTION("""COMPUTED_VALUE"""),0)</f>
        <v>0</v>
      </c>
      <c r="BX271" s="24">
        <f ca="1">IFERROR(__xludf.DUMMYFUNCTION("""COMPUTED_VALUE"""),0)</f>
        <v>0</v>
      </c>
      <c r="BY271" s="24">
        <f ca="1">IFERROR(__xludf.DUMMYFUNCTION("""COMPUTED_VALUE"""),0)</f>
        <v>0</v>
      </c>
      <c r="BZ271" s="24">
        <f ca="1">IFERROR(__xludf.DUMMYFUNCTION("""COMPUTED_VALUE"""),0)</f>
        <v>0</v>
      </c>
      <c r="CA271" s="20"/>
      <c r="CB271" s="20"/>
      <c r="CC271" s="20"/>
      <c r="CD271" s="20"/>
      <c r="CE271" s="20"/>
      <c r="CF271" s="20"/>
      <c r="CG271" s="20"/>
      <c r="CH271" s="20"/>
      <c r="CI271" s="20"/>
      <c r="CJ271" s="20"/>
      <c r="CK271" s="20"/>
      <c r="CL271" s="20"/>
      <c r="CM271" s="20"/>
      <c r="CN271" s="20"/>
      <c r="CO271" s="20"/>
      <c r="CP271" s="20"/>
      <c r="CQ271" s="20"/>
      <c r="CR271" s="20"/>
      <c r="CS271" s="20"/>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row>
    <row r="272" spans="1:123" ht="64.5" customHeight="1" x14ac:dyDescent="0.2">
      <c r="A272" s="19"/>
      <c r="B272" s="20" t="str">
        <f ca="1">IFERROR(__xludf.DUMMYFUNCTION("""COMPUTED_VALUE"""),"г.о. Солнечногорск")</f>
        <v>г.о. Солнечногорск</v>
      </c>
      <c r="C27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2" s="20" t="str">
        <f ca="1">IFERROR(__xludf.DUMMYFUNCTION("""COMPUTED_VALUE"""),"МинЖКХ")</f>
        <v>МинЖКХ</v>
      </c>
      <c r="E272" s="20" t="str">
        <f ca="1">IFERROR(__xludf.DUMMYFUNCTION("""COMPUTED_VALUE"""),"Капитальный ремонт канализационного коллектора мкрн. Березки, д.Жуково, г.о. Солнечногорск")</f>
        <v>Капитальный ремонт канализационного коллектора мкрн. Березки, д.Жуково, г.о. Солнечногорск</v>
      </c>
      <c r="F272" s="32" t="str">
        <f ca="1">IFERROR(__xludf.DUMMYFUNCTION("""COMPUTED_VALUE"""),"КНК")</f>
        <v>КНК</v>
      </c>
      <c r="G272" s="20">
        <f ca="1">IFERROR(__xludf.DUMMYFUNCTION("""COMPUTED_VALUE"""),2020)</f>
        <v>2020</v>
      </c>
      <c r="H272" s="20" t="str">
        <f ca="1">IFERROR(__xludf.DUMMYFUNCTION("""COMPUTED_VALUE"""),"СМР")</f>
        <v>СМР</v>
      </c>
      <c r="I272" s="20"/>
      <c r="J272" s="20" t="str">
        <f ca="1">IFERROR(__xludf.DUMMYFUNCTION("""COMPUTED_VALUE"""),"ПСД в  МОГЭ")</f>
        <v>ПСД в  МОГЭ</v>
      </c>
      <c r="K272" s="20">
        <f ca="1">IFERROR(__xludf.DUMMYFUNCTION("""COMPUTED_VALUE"""),1203)</f>
        <v>1203</v>
      </c>
      <c r="L272" s="20">
        <f ca="1">IFERROR(__xludf.DUMMYFUNCTION("""COMPUTED_VALUE"""),1203)</f>
        <v>1203</v>
      </c>
      <c r="M272" s="20"/>
      <c r="N272" s="24">
        <f ca="1">IFERROR(__xludf.DUMMYFUNCTION("""COMPUTED_VALUE"""),0)</f>
        <v>0</v>
      </c>
      <c r="O272" s="20"/>
      <c r="P272" s="24">
        <f ca="1">IFERROR(__xludf.DUMMYFUNCTION("""COMPUTED_VALUE"""),0)</f>
        <v>0</v>
      </c>
      <c r="Q272" s="20"/>
      <c r="R272" s="20"/>
      <c r="S272" s="20"/>
      <c r="T272" s="20" t="str">
        <f ca="1">IFERROR(__xludf.DUMMYFUNCTION("""COMPUTED_VALUE"""),"Блокировка МЭФ перенос средств на 2022")</f>
        <v>Блокировка МЭФ перенос средств на 2022</v>
      </c>
      <c r="U272" s="24">
        <f ca="1">IFERROR(__xludf.DUMMYFUNCTION("""COMPUTED_VALUE"""),0)</f>
        <v>0</v>
      </c>
      <c r="V272" s="24">
        <f ca="1">IFERROR(__xludf.DUMMYFUNCTION("""COMPUTED_VALUE"""),0)</f>
        <v>0</v>
      </c>
      <c r="W272" s="24">
        <f ca="1">IFERROR(__xludf.DUMMYFUNCTION("""COMPUTED_VALUE"""),0)</f>
        <v>0</v>
      </c>
      <c r="X272" s="24">
        <f ca="1">IFERROR(__xludf.DUMMYFUNCTION("""COMPUTED_VALUE"""),0)</f>
        <v>0</v>
      </c>
      <c r="Y272" s="24">
        <f ca="1">IFERROR(__xludf.DUMMYFUNCTION("""COMPUTED_VALUE"""),0)</f>
        <v>0</v>
      </c>
      <c r="Z272" s="24">
        <f ca="1">IFERROR(__xludf.DUMMYFUNCTION("""COMPUTED_VALUE"""),0)</f>
        <v>0</v>
      </c>
      <c r="AA272" s="20" t="str">
        <f ca="1">IFERROR(__xludf.DUMMYFUNCTION("""COMPUTED_VALUE"""),"10 2 02 60310")</f>
        <v>10 2 02 60310</v>
      </c>
      <c r="AB272" s="20">
        <f ca="1">IFERROR(__xludf.DUMMYFUNCTION("""COMPUTED_VALUE"""),521)</f>
        <v>521</v>
      </c>
      <c r="AC272" s="20" t="str">
        <f ca="1">IFERROR(__xludf.DUMMYFUNCTION("""COMPUTED_VALUE"""),"не требуется")</f>
        <v>не требуется</v>
      </c>
      <c r="AD272" s="20"/>
      <c r="AE272" s="20"/>
      <c r="AF272" s="24">
        <f ca="1">IFERROR(__xludf.DUMMYFUNCTION("""COMPUTED_VALUE"""),0)</f>
        <v>0</v>
      </c>
      <c r="AG272" s="24">
        <f ca="1">IFERROR(__xludf.DUMMYFUNCTION("""COMPUTED_VALUE"""),0)</f>
        <v>0</v>
      </c>
      <c r="AH272" s="24">
        <f ca="1">IFERROR(__xludf.DUMMYFUNCTION("""COMPUTED_VALUE"""),0)</f>
        <v>0</v>
      </c>
      <c r="AI272" s="24">
        <f ca="1">IFERROR(__xludf.DUMMYFUNCTION("""COMPUTED_VALUE"""),0)</f>
        <v>0</v>
      </c>
      <c r="AJ272" s="24">
        <f ca="1">IFERROR(__xludf.DUMMYFUNCTION("""COMPUTED_VALUE"""),0)</f>
        <v>0</v>
      </c>
      <c r="AK272" s="24">
        <f ca="1">IFERROR(__xludf.DUMMYFUNCTION("""COMPUTED_VALUE"""),0)</f>
        <v>0</v>
      </c>
      <c r="AL272" s="24">
        <f ca="1">IFERROR(__xludf.DUMMYFUNCTION("""COMPUTED_VALUE"""),0)</f>
        <v>0</v>
      </c>
      <c r="AM272" s="20"/>
      <c r="AN272" s="20"/>
      <c r="AO272" s="20"/>
      <c r="AP272" s="20"/>
      <c r="AQ272" s="20"/>
      <c r="AR272" s="24">
        <f ca="1">IFERROR(__xludf.DUMMYFUNCTION("""COMPUTED_VALUE"""),0)</f>
        <v>0</v>
      </c>
      <c r="AS272" s="20"/>
      <c r="AT272" s="20"/>
      <c r="AU272" s="20"/>
      <c r="AV272" s="20"/>
      <c r="AW272" s="20"/>
      <c r="AX272" s="24">
        <f ca="1">IFERROR(__xludf.DUMMYFUNCTION("""COMPUTED_VALUE"""),0)</f>
        <v>0</v>
      </c>
      <c r="AY272" s="24">
        <f ca="1">IFERROR(__xludf.DUMMYFUNCTION("""COMPUTED_VALUE"""),0)</f>
        <v>0</v>
      </c>
      <c r="AZ272" s="24">
        <f ca="1">IFERROR(__xludf.DUMMYFUNCTION("""COMPUTED_VALUE"""),0)</f>
        <v>0</v>
      </c>
      <c r="BA272" s="24">
        <f ca="1">IFERROR(__xludf.DUMMYFUNCTION("""COMPUTED_VALUE"""),0)</f>
        <v>0</v>
      </c>
      <c r="BB272" s="24">
        <f ca="1">IFERROR(__xludf.DUMMYFUNCTION("""COMPUTED_VALUE"""),0)</f>
        <v>0</v>
      </c>
      <c r="BC272" s="20"/>
      <c r="BD272" s="24">
        <f ca="1">IFERROR(__xludf.DUMMYFUNCTION("""COMPUTED_VALUE"""),0)</f>
        <v>0</v>
      </c>
      <c r="BE272" s="24">
        <f ca="1">IFERROR(__xludf.DUMMYFUNCTION("""COMPUTED_VALUE"""),0)</f>
        <v>0</v>
      </c>
      <c r="BF272" s="24">
        <f ca="1">IFERROR(__xludf.DUMMYFUNCTION("""COMPUTED_VALUE"""),0)</f>
        <v>0</v>
      </c>
      <c r="BG272" s="24">
        <f ca="1">IFERROR(__xludf.DUMMYFUNCTION("""COMPUTED_VALUE"""),0)</f>
        <v>0</v>
      </c>
      <c r="BH272" s="24">
        <f ca="1">IFERROR(__xludf.DUMMYFUNCTION("""COMPUTED_VALUE"""),0)</f>
        <v>0</v>
      </c>
      <c r="BI272" s="20"/>
      <c r="BJ272" s="24">
        <f ca="1">IFERROR(__xludf.DUMMYFUNCTION("""COMPUTED_VALUE"""),0)</f>
        <v>0</v>
      </c>
      <c r="BK272" s="24">
        <f ca="1">IFERROR(__xludf.DUMMYFUNCTION("""COMPUTED_VALUE"""),0)</f>
        <v>0</v>
      </c>
      <c r="BL272" s="24">
        <f ca="1">IFERROR(__xludf.DUMMYFUNCTION("""COMPUTED_VALUE"""),0)</f>
        <v>0</v>
      </c>
      <c r="BM272" s="24">
        <f ca="1">IFERROR(__xludf.DUMMYFUNCTION("""COMPUTED_VALUE"""),0)</f>
        <v>0</v>
      </c>
      <c r="BN272" s="24">
        <f ca="1">IFERROR(__xludf.DUMMYFUNCTION("""COMPUTED_VALUE"""),0)</f>
        <v>0</v>
      </c>
      <c r="BO272" s="20"/>
      <c r="BP272" s="24">
        <f ca="1">IFERROR(__xludf.DUMMYFUNCTION("""COMPUTED_VALUE"""),0)</f>
        <v>0</v>
      </c>
      <c r="BQ272" s="24">
        <f ca="1">IFERROR(__xludf.DUMMYFUNCTION("""COMPUTED_VALUE"""),0)</f>
        <v>0</v>
      </c>
      <c r="BR272" s="24">
        <f ca="1">IFERROR(__xludf.DUMMYFUNCTION("""COMPUTED_VALUE"""),0)</f>
        <v>0</v>
      </c>
      <c r="BS272" s="24">
        <f ca="1">IFERROR(__xludf.DUMMYFUNCTION("""COMPUTED_VALUE"""),0)</f>
        <v>0</v>
      </c>
      <c r="BT272" s="24">
        <f ca="1">IFERROR(__xludf.DUMMYFUNCTION("""COMPUTED_VALUE"""),0)</f>
        <v>0</v>
      </c>
      <c r="BU272" s="20"/>
      <c r="BV272" s="24">
        <f ca="1">IFERROR(__xludf.DUMMYFUNCTION("""COMPUTED_VALUE"""),0)</f>
        <v>0</v>
      </c>
      <c r="BW272" s="24">
        <f ca="1">IFERROR(__xludf.DUMMYFUNCTION("""COMPUTED_VALUE"""),0)</f>
        <v>0</v>
      </c>
      <c r="BX272" s="24">
        <f ca="1">IFERROR(__xludf.DUMMYFUNCTION("""COMPUTED_VALUE"""),0)</f>
        <v>0</v>
      </c>
      <c r="BY272" s="24">
        <f ca="1">IFERROR(__xludf.DUMMYFUNCTION("""COMPUTED_VALUE"""),0)</f>
        <v>0</v>
      </c>
      <c r="BZ272" s="24">
        <f ca="1">IFERROR(__xludf.DUMMYFUNCTION("""COMPUTED_VALUE"""),0)</f>
        <v>0</v>
      </c>
      <c r="CA272" s="20"/>
      <c r="CB272" s="20"/>
      <c r="CC272" s="20"/>
      <c r="CD272" s="20"/>
      <c r="CE272" s="20"/>
      <c r="CF272" s="20"/>
      <c r="CG272" s="20"/>
      <c r="CH272" s="20"/>
      <c r="CI272" s="20"/>
      <c r="CJ272" s="20"/>
      <c r="CK272" s="20"/>
      <c r="CL272" s="20"/>
      <c r="CM272" s="20"/>
      <c r="CN272" s="20"/>
      <c r="CO272" s="20"/>
      <c r="CP272" s="20"/>
      <c r="CQ272" s="20"/>
      <c r="CR272" s="20"/>
      <c r="CS272" s="20"/>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row>
    <row r="273" spans="1:123" ht="64.5" customHeight="1" x14ac:dyDescent="0.2">
      <c r="A273" s="19"/>
      <c r="B273" s="20" t="str">
        <f ca="1">IFERROR(__xludf.DUMMYFUNCTION("""COMPUTED_VALUE"""),"КСМО")</f>
        <v>КСМО</v>
      </c>
      <c r="C273" s="20" t="str">
        <f ca="1">IFERROR(__xludf.DUMMYFUNCTION("""COMPUTED_VALUE"""),"Мероприятие 3 - Предоставление субсидий государственным унитарным предприятиям Московской области на осуществление строительства (реконструкции) канализационных коллекторов  (участков)")</f>
        <v>Мероприятие 3 - Предоставление субсидий государственным унитарным предприятиям Московской области на осуществление строительства (реконструкции) канализационных коллекторов  (участков)</v>
      </c>
      <c r="D273" s="20" t="str">
        <f ca="1">IFERROR(__xludf.DUMMYFUNCTION("""COMPUTED_VALUE"""),"МинЖКХ")</f>
        <v>МинЖКХ</v>
      </c>
      <c r="E273" s="20" t="str">
        <f ca="1">IFERROR(__xludf.DUMMYFUNCTION("""COMPUTED_VALUE"""),"Реконструкция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f>
        <v xml:space="preserv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v>
      </c>
      <c r="F273" s="32" t="str">
        <f ca="1">IFERROR(__xludf.DUMMYFUNCTION("""COMPUTED_VALUE"""),"КНК")</f>
        <v>КНК</v>
      </c>
      <c r="G273" s="20" t="str">
        <f ca="1">IFERROR(__xludf.DUMMYFUNCTION("""COMPUTED_VALUE"""),"2020-2024")</f>
        <v>2020-2024</v>
      </c>
      <c r="H273" s="20" t="str">
        <f ca="1">IFERROR(__xludf.DUMMYFUNCTION("""COMPUTED_VALUE"""),"СМР")</f>
        <v>СМР</v>
      </c>
      <c r="I273" s="20"/>
      <c r="J273" s="20"/>
      <c r="K273" s="20"/>
      <c r="L273" s="20"/>
      <c r="M273" s="20"/>
      <c r="N273" s="24">
        <f ca="1">IFERROR(__xludf.DUMMYFUNCTION("""COMPUTED_VALUE"""),480)</f>
        <v>480</v>
      </c>
      <c r="O273" s="20"/>
      <c r="P273" s="24">
        <f ca="1">IFERROR(__xludf.DUMMYFUNCTION("""COMPUTED_VALUE"""),480)</f>
        <v>480</v>
      </c>
      <c r="Q273" s="20"/>
      <c r="R273" s="20"/>
      <c r="S273" s="20"/>
      <c r="T273" s="20"/>
      <c r="U273" s="24">
        <f ca="1">IFERROR(__xludf.DUMMYFUNCTION("""COMPUTED_VALUE"""),0)</f>
        <v>0</v>
      </c>
      <c r="V273" s="24">
        <f ca="1">IFERROR(__xludf.DUMMYFUNCTION("""COMPUTED_VALUE"""),0)</f>
        <v>0</v>
      </c>
      <c r="W273" s="24">
        <f ca="1">IFERROR(__xludf.DUMMYFUNCTION("""COMPUTED_VALUE"""),0)</f>
        <v>0</v>
      </c>
      <c r="X273" s="24">
        <f ca="1">IFERROR(__xludf.DUMMYFUNCTION("""COMPUTED_VALUE"""),0)</f>
        <v>0</v>
      </c>
      <c r="Y273" s="24">
        <f ca="1">IFERROR(__xludf.DUMMYFUNCTION("""COMPUTED_VALUE"""),0)</f>
        <v>0</v>
      </c>
      <c r="Z273" s="24">
        <f ca="1">IFERROR(__xludf.DUMMYFUNCTION("""COMPUTED_VALUE"""),0)</f>
        <v>0</v>
      </c>
      <c r="AA273" s="20" t="str">
        <f ca="1">IFERROR(__xludf.DUMMYFUNCTION("""COMPUTED_VALUE"""),"10 2 02 42260")</f>
        <v>10 2 02 42260</v>
      </c>
      <c r="AB273" s="20">
        <f ca="1">IFERROR(__xludf.DUMMYFUNCTION("""COMPUTED_VALUE"""),466)</f>
        <v>466</v>
      </c>
      <c r="AC273" s="20" t="str">
        <f ca="1">IFERROR(__xludf.DUMMYFUNCTION("""COMPUTED_VALUE"""),"нет")</f>
        <v>нет</v>
      </c>
      <c r="AD273" s="20"/>
      <c r="AE273" s="20"/>
      <c r="AF273" s="24">
        <f ca="1">IFERROR(__xludf.DUMMYFUNCTION("""COMPUTED_VALUE"""),1613378)</f>
        <v>1613378</v>
      </c>
      <c r="AG273" s="24">
        <f ca="1">IFERROR(__xludf.DUMMYFUNCTION("""COMPUTED_VALUE"""),0)</f>
        <v>0</v>
      </c>
      <c r="AH273" s="24">
        <f ca="1">IFERROR(__xludf.DUMMYFUNCTION("""COMPUTED_VALUE"""),1000876)</f>
        <v>1000876</v>
      </c>
      <c r="AI273" s="24">
        <f ca="1">IFERROR(__xludf.DUMMYFUNCTION("""COMPUTED_VALUE"""),612502)</f>
        <v>612502</v>
      </c>
      <c r="AJ273" s="24">
        <f ca="1">IFERROR(__xludf.DUMMYFUNCTION("""COMPUTED_VALUE"""),0)</f>
        <v>0</v>
      </c>
      <c r="AK273" s="24">
        <f ca="1">IFERROR(__xludf.DUMMYFUNCTION("""COMPUTED_VALUE"""),0)</f>
        <v>0</v>
      </c>
      <c r="AL273" s="24">
        <f ca="1">IFERROR(__xludf.DUMMYFUNCTION("""COMPUTED_VALUE"""),0)</f>
        <v>0</v>
      </c>
      <c r="AM273" s="20"/>
      <c r="AN273" s="20"/>
      <c r="AO273" s="20"/>
      <c r="AP273" s="20"/>
      <c r="AQ273" s="20"/>
      <c r="AR273" s="24">
        <f ca="1">IFERROR(__xludf.DUMMYFUNCTION("""COMPUTED_VALUE"""),0)</f>
        <v>0</v>
      </c>
      <c r="AS273" s="20"/>
      <c r="AT273" s="20"/>
      <c r="AU273" s="20"/>
      <c r="AV273" s="20"/>
      <c r="AW273" s="20"/>
      <c r="AX273" s="24">
        <f ca="1">IFERROR(__xludf.DUMMYFUNCTION("""COMPUTED_VALUE"""),480)</f>
        <v>480</v>
      </c>
      <c r="AY273" s="24">
        <f ca="1">IFERROR(__xludf.DUMMYFUNCTION("""COMPUTED_VALUE"""),0)</f>
        <v>0</v>
      </c>
      <c r="AZ273" s="24">
        <f ca="1">IFERROR(__xludf.DUMMYFUNCTION("""COMPUTED_VALUE"""),480)</f>
        <v>480</v>
      </c>
      <c r="BA273" s="24">
        <f ca="1">IFERROR(__xludf.DUMMYFUNCTION("""COMPUTED_VALUE"""),0)</f>
        <v>0</v>
      </c>
      <c r="BB273" s="24">
        <f ca="1">IFERROR(__xludf.DUMMYFUNCTION("""COMPUTED_VALUE"""),0)</f>
        <v>0</v>
      </c>
      <c r="BC273" s="20"/>
      <c r="BD273" s="24">
        <f ca="1">IFERROR(__xludf.DUMMYFUNCTION("""COMPUTED_VALUE"""),612502)</f>
        <v>612502</v>
      </c>
      <c r="BE273" s="24">
        <f ca="1">IFERROR(__xludf.DUMMYFUNCTION("""COMPUTED_VALUE"""),0)</f>
        <v>0</v>
      </c>
      <c r="BF273" s="24">
        <f ca="1">IFERROR(__xludf.DUMMYFUNCTION("""COMPUTED_VALUE"""),0)</f>
        <v>0</v>
      </c>
      <c r="BG273" s="24">
        <f ca="1">IFERROR(__xludf.DUMMYFUNCTION("""COMPUTED_VALUE"""),612502)</f>
        <v>612502</v>
      </c>
      <c r="BH273" s="24">
        <f ca="1">IFERROR(__xludf.DUMMYFUNCTION("""COMPUTED_VALUE"""),0)</f>
        <v>0</v>
      </c>
      <c r="BI273" s="20"/>
      <c r="BJ273" s="24">
        <f ca="1">IFERROR(__xludf.DUMMYFUNCTION("""COMPUTED_VALUE"""),147326)</f>
        <v>147326</v>
      </c>
      <c r="BK273" s="24">
        <f ca="1">IFERROR(__xludf.DUMMYFUNCTION("""COMPUTED_VALUE"""),0)</f>
        <v>0</v>
      </c>
      <c r="BL273" s="24">
        <f ca="1">IFERROR(__xludf.DUMMYFUNCTION("""COMPUTED_VALUE"""),147326)</f>
        <v>147326</v>
      </c>
      <c r="BM273" s="24">
        <f ca="1">IFERROR(__xludf.DUMMYFUNCTION("""COMPUTED_VALUE"""),0)</f>
        <v>0</v>
      </c>
      <c r="BN273" s="24">
        <f ca="1">IFERROR(__xludf.DUMMYFUNCTION("""COMPUTED_VALUE"""),0)</f>
        <v>0</v>
      </c>
      <c r="BO273" s="20"/>
      <c r="BP273" s="24">
        <f ca="1">IFERROR(__xludf.DUMMYFUNCTION("""COMPUTED_VALUE"""),597149)</f>
        <v>597149</v>
      </c>
      <c r="BQ273" s="24">
        <f ca="1">IFERROR(__xludf.DUMMYFUNCTION("""COMPUTED_VALUE"""),0)</f>
        <v>0</v>
      </c>
      <c r="BR273" s="24">
        <f ca="1">IFERROR(__xludf.DUMMYFUNCTION("""COMPUTED_VALUE"""),597149)</f>
        <v>597149</v>
      </c>
      <c r="BS273" s="24">
        <f ca="1">IFERROR(__xludf.DUMMYFUNCTION("""COMPUTED_VALUE"""),0)</f>
        <v>0</v>
      </c>
      <c r="BT273" s="24">
        <f ca="1">IFERROR(__xludf.DUMMYFUNCTION("""COMPUTED_VALUE"""),0)</f>
        <v>0</v>
      </c>
      <c r="BU273" s="20"/>
      <c r="BV273" s="24">
        <f ca="1">IFERROR(__xludf.DUMMYFUNCTION("""COMPUTED_VALUE"""),255921)</f>
        <v>255921</v>
      </c>
      <c r="BW273" s="24">
        <f ca="1">IFERROR(__xludf.DUMMYFUNCTION("""COMPUTED_VALUE"""),0)</f>
        <v>0</v>
      </c>
      <c r="BX273" s="24">
        <f ca="1">IFERROR(__xludf.DUMMYFUNCTION("""COMPUTED_VALUE"""),255921)</f>
        <v>255921</v>
      </c>
      <c r="BY273" s="24">
        <f ca="1">IFERROR(__xludf.DUMMYFUNCTION("""COMPUTED_VALUE"""),0)</f>
        <v>0</v>
      </c>
      <c r="BZ273" s="24">
        <f ca="1">IFERROR(__xludf.DUMMYFUNCTION("""COMPUTED_VALUE"""),0)</f>
        <v>0</v>
      </c>
      <c r="CA273" s="20"/>
      <c r="CB273" s="20"/>
      <c r="CC273" s="20"/>
      <c r="CD273" s="20"/>
      <c r="CE273" s="20"/>
      <c r="CF273" s="20"/>
      <c r="CG273" s="20"/>
      <c r="CH273" s="20"/>
      <c r="CI273" s="20"/>
      <c r="CJ273" s="20"/>
      <c r="CK273" s="20"/>
      <c r="CL273" s="20"/>
      <c r="CM273" s="20"/>
      <c r="CN273" s="20"/>
      <c r="CO273" s="20"/>
      <c r="CP273" s="20"/>
      <c r="CQ273" s="20"/>
      <c r="CR273" s="20"/>
      <c r="CS273" s="20"/>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row>
    <row r="274" spans="1:123" ht="64.5" hidden="1" customHeight="1" x14ac:dyDescent="0.2">
      <c r="A274" s="19"/>
      <c r="B274" s="20" t="str">
        <f ca="1">IFERROR(__xludf.DUMMYFUNCTION("IMPORTRANGE(""https://docs.google.com/spreadsheets/d/1ZpB0joDVH_P6wgS1qdxv2Cg30eSt21FXcCJZMPEFRM4/edit#gid=1143387825&amp;range=B5:CS151"", ""'ПП3 Коммуналка'!B5:CS151"")"),"г.о. Балашиха")</f>
        <v>г.о. Балашиха</v>
      </c>
      <c r="C27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4" s="20" t="str">
        <f ca="1">IFERROR(__xludf.DUMMYFUNCTION("""COMPUTED_VALUE"""),"МинЖКХ")</f>
        <v>МинЖКХ</v>
      </c>
      <c r="E274" s="20" t="str">
        <f ca="1">IFERROR(__xludf.DUMMYFUNCTION("""COMPUTED_VALUE"""),"Строительство газовой котельной 20 Мвт в мкр. Ольгино г. Балашиха (в том числе ПИР) ")</f>
        <v xml:space="preserve">Строительство газовой котельной 20 Мвт в мкр. Ольгино г. Балашиха (в том числе ПИР) </v>
      </c>
      <c r="F274" s="32" t="str">
        <f ca="1">IFERROR(__xludf.DUMMYFUNCTION("""COMPUTED_VALUE"""),"Котельная")</f>
        <v>Котельная</v>
      </c>
      <c r="G274" s="20" t="str">
        <f ca="1">IFERROR(__xludf.DUMMYFUNCTION("""COMPUTED_VALUE"""),"2021-2022")</f>
        <v>2021-2022</v>
      </c>
      <c r="H274" s="20" t="str">
        <f ca="1">IFERROR(__xludf.DUMMYFUNCTION("""COMPUTED_VALUE"""),"СМР")</f>
        <v>СМР</v>
      </c>
      <c r="I274" s="20"/>
      <c r="J274" s="20"/>
      <c r="K274" s="20">
        <f ca="1">IFERROR(__xludf.DUMMYFUNCTION("""COMPUTED_VALUE"""),0)</f>
        <v>0</v>
      </c>
      <c r="L274" s="20">
        <f ca="1">IFERROR(__xludf.DUMMYFUNCTION("""COMPUTED_VALUE"""),2680)</f>
        <v>2680</v>
      </c>
      <c r="M274" s="20"/>
      <c r="N274" s="24">
        <f ca="1">IFERROR(__xludf.DUMMYFUNCTION("""COMPUTED_VALUE"""),0)</f>
        <v>0</v>
      </c>
      <c r="O274" s="20"/>
      <c r="P274" s="20"/>
      <c r="Q274" s="20"/>
      <c r="R274" s="20"/>
      <c r="S274" s="20"/>
      <c r="T274" s="20"/>
      <c r="U274" s="24">
        <f ca="1">IFERROR(__xludf.DUMMYFUNCTION("""COMPUTED_VALUE"""),0)</f>
        <v>0</v>
      </c>
      <c r="V274" s="24">
        <f ca="1">IFERROR(__xludf.DUMMYFUNCTION("""COMPUTED_VALUE"""),0)</f>
        <v>0</v>
      </c>
      <c r="W274" s="24">
        <f ca="1">IFERROR(__xludf.DUMMYFUNCTION("""COMPUTED_VALUE"""),0)</f>
        <v>0</v>
      </c>
      <c r="X274" s="24">
        <f ca="1">IFERROR(__xludf.DUMMYFUNCTION("""COMPUTED_VALUE"""),0)</f>
        <v>0</v>
      </c>
      <c r="Y274" s="24">
        <f ca="1">IFERROR(__xludf.DUMMYFUNCTION("""COMPUTED_VALUE"""),0)</f>
        <v>0</v>
      </c>
      <c r="Z274" s="24">
        <f ca="1">IFERROR(__xludf.DUMMYFUNCTION("""COMPUTED_VALUE"""),0)</f>
        <v>0</v>
      </c>
      <c r="AA274" s="20" t="str">
        <f ca="1">IFERROR(__xludf.DUMMYFUNCTION("""COMPUTED_VALUE"""),"10 3 02 64080")</f>
        <v>10 3 02 64080</v>
      </c>
      <c r="AB274" s="20">
        <f ca="1">IFERROR(__xludf.DUMMYFUNCTION("""COMPUTED_VALUE"""),522)</f>
        <v>522</v>
      </c>
      <c r="AC274" s="20"/>
      <c r="AD274" s="20"/>
      <c r="AE274" s="20"/>
      <c r="AF274" s="24">
        <f ca="1">IFERROR(__xludf.DUMMYFUNCTION("""COMPUTED_VALUE"""),177976.1)</f>
        <v>177976.1</v>
      </c>
      <c r="AG274" s="24">
        <f ca="1">IFERROR(__xludf.DUMMYFUNCTION("""COMPUTED_VALUE"""),0)</f>
        <v>0</v>
      </c>
      <c r="AH274" s="24">
        <f ca="1">IFERROR(__xludf.DUMMYFUNCTION("""COMPUTED_VALUE"""),135660)</f>
        <v>135660</v>
      </c>
      <c r="AI274" s="24">
        <f ca="1">IFERROR(__xludf.DUMMYFUNCTION("""COMPUTED_VALUE"""),0)</f>
        <v>0</v>
      </c>
      <c r="AJ274" s="24">
        <f ca="1">IFERROR(__xludf.DUMMYFUNCTION("""COMPUTED_VALUE"""),42316.1)</f>
        <v>42316.1</v>
      </c>
      <c r="AK274" s="24">
        <f ca="1">IFERROR(__xludf.DUMMYFUNCTION("""COMPUTED_VALUE"""),0)</f>
        <v>0</v>
      </c>
      <c r="AL274" s="24">
        <f ca="1">IFERROR(__xludf.DUMMYFUNCTION("""COMPUTED_VALUE"""),0)</f>
        <v>0</v>
      </c>
      <c r="AM274" s="20"/>
      <c r="AN274" s="20"/>
      <c r="AO274" s="20"/>
      <c r="AP274" s="20"/>
      <c r="AQ274" s="20"/>
      <c r="AR274" s="24">
        <f ca="1">IFERROR(__xludf.DUMMYFUNCTION("""COMPUTED_VALUE"""),0)</f>
        <v>0</v>
      </c>
      <c r="AS274" s="20"/>
      <c r="AT274" s="20"/>
      <c r="AU274" s="20"/>
      <c r="AV274" s="20"/>
      <c r="AW274" s="20"/>
      <c r="AX274" s="24">
        <f ca="1">IFERROR(__xludf.DUMMYFUNCTION("""COMPUTED_VALUE"""),0)</f>
        <v>0</v>
      </c>
      <c r="AY274" s="24">
        <f ca="1">IFERROR(__xludf.DUMMYFUNCTION("""COMPUTED_VALUE"""),0)</f>
        <v>0</v>
      </c>
      <c r="AZ274" s="24">
        <f ca="1">IFERROR(__xludf.DUMMYFUNCTION("""COMPUTED_VALUE"""),0)</f>
        <v>0</v>
      </c>
      <c r="BA274" s="24">
        <f ca="1">IFERROR(__xludf.DUMMYFUNCTION("""COMPUTED_VALUE"""),0)</f>
        <v>0</v>
      </c>
      <c r="BB274" s="24">
        <f ca="1">IFERROR(__xludf.DUMMYFUNCTION("""COMPUTED_VALUE"""),0)</f>
        <v>0</v>
      </c>
      <c r="BC274" s="20"/>
      <c r="BD274" s="24">
        <f ca="1">IFERROR(__xludf.DUMMYFUNCTION("""COMPUTED_VALUE"""),65014.67)</f>
        <v>65014.67</v>
      </c>
      <c r="BE274" s="24">
        <f ca="1">IFERROR(__xludf.DUMMYFUNCTION("""COMPUTED_VALUE"""),0)</f>
        <v>0</v>
      </c>
      <c r="BF274" s="24">
        <f ca="1">IFERROR(__xludf.DUMMYFUNCTION("""COMPUTED_VALUE"""),46420.47)</f>
        <v>46420.47</v>
      </c>
      <c r="BG274" s="24">
        <f ca="1">IFERROR(__xludf.DUMMYFUNCTION("""COMPUTED_VALUE"""),0)</f>
        <v>0</v>
      </c>
      <c r="BH274" s="24">
        <f ca="1">IFERROR(__xludf.DUMMYFUNCTION("""COMPUTED_VALUE"""),18594.2)</f>
        <v>18594.2</v>
      </c>
      <c r="BI274" s="20"/>
      <c r="BJ274" s="24">
        <f ca="1">IFERROR(__xludf.DUMMYFUNCTION("""COMPUTED_VALUE"""),112961.43)</f>
        <v>112961.43</v>
      </c>
      <c r="BK274" s="24">
        <f ca="1">IFERROR(__xludf.DUMMYFUNCTION("""COMPUTED_VALUE"""),0)</f>
        <v>0</v>
      </c>
      <c r="BL274" s="24">
        <f ca="1">IFERROR(__xludf.DUMMYFUNCTION("""COMPUTED_VALUE"""),89239.53)</f>
        <v>89239.53</v>
      </c>
      <c r="BM274" s="24">
        <f ca="1">IFERROR(__xludf.DUMMYFUNCTION("""COMPUTED_VALUE"""),0)</f>
        <v>0</v>
      </c>
      <c r="BN274" s="24">
        <f ca="1">IFERROR(__xludf.DUMMYFUNCTION("""COMPUTED_VALUE"""),23721.9)</f>
        <v>23721.9</v>
      </c>
      <c r="BO274" s="20"/>
      <c r="BP274" s="24">
        <f ca="1">IFERROR(__xludf.DUMMYFUNCTION("""COMPUTED_VALUE"""),0)</f>
        <v>0</v>
      </c>
      <c r="BQ274" s="24">
        <f ca="1">IFERROR(__xludf.DUMMYFUNCTION("""COMPUTED_VALUE"""),0)</f>
        <v>0</v>
      </c>
      <c r="BR274" s="24">
        <f ca="1">IFERROR(__xludf.DUMMYFUNCTION("""COMPUTED_VALUE"""),0)</f>
        <v>0</v>
      </c>
      <c r="BS274" s="24">
        <f ca="1">IFERROR(__xludf.DUMMYFUNCTION("""COMPUTED_VALUE"""),0)</f>
        <v>0</v>
      </c>
      <c r="BT274" s="24">
        <f ca="1">IFERROR(__xludf.DUMMYFUNCTION("""COMPUTED_VALUE"""),0)</f>
        <v>0</v>
      </c>
      <c r="BU274" s="20"/>
      <c r="BV274" s="24">
        <f ca="1">IFERROR(__xludf.DUMMYFUNCTION("""COMPUTED_VALUE"""),0)</f>
        <v>0</v>
      </c>
      <c r="BW274" s="24">
        <f ca="1">IFERROR(__xludf.DUMMYFUNCTION("""COMPUTED_VALUE"""),0)</f>
        <v>0</v>
      </c>
      <c r="BX274" s="24">
        <f ca="1">IFERROR(__xludf.DUMMYFUNCTION("""COMPUTED_VALUE"""),0)</f>
        <v>0</v>
      </c>
      <c r="BY274" s="24">
        <f ca="1">IFERROR(__xludf.DUMMYFUNCTION("""COMPUTED_VALUE"""),0)</f>
        <v>0</v>
      </c>
      <c r="BZ274" s="24">
        <f ca="1">IFERROR(__xludf.DUMMYFUNCTION("""COMPUTED_VALUE"""),0)</f>
        <v>0</v>
      </c>
      <c r="CA274" s="20"/>
      <c r="CB274" s="20"/>
      <c r="CC274" s="20"/>
      <c r="CD274" s="20"/>
      <c r="CE274" s="20"/>
      <c r="CF274" s="20"/>
      <c r="CG274" s="20"/>
      <c r="CH274" s="20"/>
      <c r="CI274" s="20"/>
      <c r="CJ274" s="20"/>
      <c r="CK274" s="20"/>
      <c r="CL274" s="20"/>
      <c r="CM274" s="20"/>
      <c r="CN274" s="20"/>
      <c r="CO274" s="20"/>
      <c r="CP274" s="20"/>
      <c r="CQ274" s="20"/>
      <c r="CR274" s="20"/>
      <c r="CS274" s="20"/>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row>
    <row r="275" spans="1:123" ht="64.5" customHeight="1" x14ac:dyDescent="0.2">
      <c r="A275" s="19"/>
      <c r="B275" s="20" t="str">
        <f ca="1">IFERROR(__xludf.DUMMYFUNCTION("""COMPUTED_VALUE"""),"г.о. Дзержинский")</f>
        <v>г.о. Дзержинский</v>
      </c>
      <c r="C27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5" s="20" t="str">
        <f ca="1">IFERROR(__xludf.DUMMYFUNCTION("""COMPUTED_VALUE"""),"МинЖКХ")</f>
        <v>МинЖКХ</v>
      </c>
      <c r="E275" s="20" t="str">
        <f ca="1">IFERROR(__xludf.DUMMYFUNCTION("""COMPUTED_VALUE"""),"Строительство сетей водоснабжения по адресу: Московская обл., г. Дзержинский (ПИР)")</f>
        <v>Строительство сетей водоснабжения по адресу: Московская обл., г. Дзержинский (ПИР)</v>
      </c>
      <c r="F275" s="32" t="str">
        <f ca="1">IFERROR(__xludf.DUMMYFUNCTION("""COMPUTED_VALUE"""),"Сети")</f>
        <v>Сети</v>
      </c>
      <c r="G275" s="20">
        <f ca="1">IFERROR(__xludf.DUMMYFUNCTION("""COMPUTED_VALUE"""),2021)</f>
        <v>2021</v>
      </c>
      <c r="H275" s="20" t="str">
        <f ca="1">IFERROR(__xludf.DUMMYFUNCTION("""COMPUTED_VALUE"""),"ПИР")</f>
        <v>ПИР</v>
      </c>
      <c r="I275" s="20"/>
      <c r="J275" s="20"/>
      <c r="K275" s="20"/>
      <c r="L275" s="20"/>
      <c r="M275" s="20"/>
      <c r="N275" s="24">
        <f ca="1">IFERROR(__xludf.DUMMYFUNCTION("""COMPUTED_VALUE"""),0)</f>
        <v>0</v>
      </c>
      <c r="O275" s="20"/>
      <c r="P275" s="20"/>
      <c r="Q275" s="20"/>
      <c r="R275" s="20"/>
      <c r="S275" s="20"/>
      <c r="T275" s="20"/>
      <c r="U275" s="24">
        <f ca="1">IFERROR(__xludf.DUMMYFUNCTION("""COMPUTED_VALUE"""),4000)</f>
        <v>4000</v>
      </c>
      <c r="V275" s="24">
        <f ca="1">IFERROR(__xludf.DUMMYFUNCTION("""COMPUTED_VALUE"""),0)</f>
        <v>0</v>
      </c>
      <c r="W275" s="24">
        <f ca="1">IFERROR(__xludf.DUMMYFUNCTION("""COMPUTED_VALUE"""),0)</f>
        <v>0</v>
      </c>
      <c r="X275" s="24">
        <f ca="1">IFERROR(__xludf.DUMMYFUNCTION("""COMPUTED_VALUE"""),0)</f>
        <v>0</v>
      </c>
      <c r="Y275" s="24">
        <f ca="1">IFERROR(__xludf.DUMMYFUNCTION("""COMPUTED_VALUE"""),4000)</f>
        <v>4000</v>
      </c>
      <c r="Z275" s="24">
        <f ca="1">IFERROR(__xludf.DUMMYFUNCTION("""COMPUTED_VALUE"""),0)</f>
        <v>0</v>
      </c>
      <c r="AA275" s="20"/>
      <c r="AB275" s="20"/>
      <c r="AC275" s="20"/>
      <c r="AD275" s="20"/>
      <c r="AE275" s="20"/>
      <c r="AF275" s="24">
        <f ca="1">IFERROR(__xludf.DUMMYFUNCTION("""COMPUTED_VALUE"""),4000)</f>
        <v>4000</v>
      </c>
      <c r="AG275" s="24">
        <f ca="1">IFERROR(__xludf.DUMMYFUNCTION("""COMPUTED_VALUE"""),0)</f>
        <v>0</v>
      </c>
      <c r="AH275" s="24">
        <f ca="1">IFERROR(__xludf.DUMMYFUNCTION("""COMPUTED_VALUE"""),0)</f>
        <v>0</v>
      </c>
      <c r="AI275" s="24">
        <f ca="1">IFERROR(__xludf.DUMMYFUNCTION("""COMPUTED_VALUE"""),0)</f>
        <v>0</v>
      </c>
      <c r="AJ275" s="24">
        <f ca="1">IFERROR(__xludf.DUMMYFUNCTION("""COMPUTED_VALUE"""),4000)</f>
        <v>4000</v>
      </c>
      <c r="AK275" s="24">
        <f ca="1">IFERROR(__xludf.DUMMYFUNCTION("""COMPUTED_VALUE"""),0)</f>
        <v>0</v>
      </c>
      <c r="AL275" s="24">
        <f ca="1">IFERROR(__xludf.DUMMYFUNCTION("""COMPUTED_VALUE"""),0)</f>
        <v>0</v>
      </c>
      <c r="AM275" s="20"/>
      <c r="AN275" s="20"/>
      <c r="AO275" s="20"/>
      <c r="AP275" s="20"/>
      <c r="AQ275" s="20"/>
      <c r="AR275" s="24">
        <f ca="1">IFERROR(__xludf.DUMMYFUNCTION("""COMPUTED_VALUE"""),0)</f>
        <v>0</v>
      </c>
      <c r="AS275" s="20"/>
      <c r="AT275" s="20"/>
      <c r="AU275" s="20"/>
      <c r="AV275" s="20"/>
      <c r="AW275" s="20"/>
      <c r="AX275" s="24">
        <f ca="1">IFERROR(__xludf.DUMMYFUNCTION("""COMPUTED_VALUE"""),4000)</f>
        <v>4000</v>
      </c>
      <c r="AY275" s="24">
        <f ca="1">IFERROR(__xludf.DUMMYFUNCTION("""COMPUTED_VALUE"""),0)</f>
        <v>0</v>
      </c>
      <c r="AZ275" s="24">
        <f ca="1">IFERROR(__xludf.DUMMYFUNCTION("""COMPUTED_VALUE"""),0)</f>
        <v>0</v>
      </c>
      <c r="BA275" s="24">
        <f ca="1">IFERROR(__xludf.DUMMYFUNCTION("""COMPUTED_VALUE"""),0)</f>
        <v>0</v>
      </c>
      <c r="BB275" s="24">
        <f ca="1">IFERROR(__xludf.DUMMYFUNCTION("""COMPUTED_VALUE"""),4000)</f>
        <v>4000</v>
      </c>
      <c r="BC275" s="20"/>
      <c r="BD275" s="24">
        <f ca="1">IFERROR(__xludf.DUMMYFUNCTION("""COMPUTED_VALUE"""),0)</f>
        <v>0</v>
      </c>
      <c r="BE275" s="24">
        <f ca="1">IFERROR(__xludf.DUMMYFUNCTION("""COMPUTED_VALUE"""),0)</f>
        <v>0</v>
      </c>
      <c r="BF275" s="24">
        <f ca="1">IFERROR(__xludf.DUMMYFUNCTION("""COMPUTED_VALUE"""),0)</f>
        <v>0</v>
      </c>
      <c r="BG275" s="24">
        <f ca="1">IFERROR(__xludf.DUMMYFUNCTION("""COMPUTED_VALUE"""),0)</f>
        <v>0</v>
      </c>
      <c r="BH275" s="24">
        <f ca="1">IFERROR(__xludf.DUMMYFUNCTION("""COMPUTED_VALUE"""),0)</f>
        <v>0</v>
      </c>
      <c r="BI275" s="20"/>
      <c r="BJ275" s="24">
        <f ca="1">IFERROR(__xludf.DUMMYFUNCTION("""COMPUTED_VALUE"""),0)</f>
        <v>0</v>
      </c>
      <c r="BK275" s="24">
        <f ca="1">IFERROR(__xludf.DUMMYFUNCTION("""COMPUTED_VALUE"""),0)</f>
        <v>0</v>
      </c>
      <c r="BL275" s="24">
        <f ca="1">IFERROR(__xludf.DUMMYFUNCTION("""COMPUTED_VALUE"""),0)</f>
        <v>0</v>
      </c>
      <c r="BM275" s="24">
        <f ca="1">IFERROR(__xludf.DUMMYFUNCTION("""COMPUTED_VALUE"""),0)</f>
        <v>0</v>
      </c>
      <c r="BN275" s="24">
        <f ca="1">IFERROR(__xludf.DUMMYFUNCTION("""COMPUTED_VALUE"""),0)</f>
        <v>0</v>
      </c>
      <c r="BO275" s="20"/>
      <c r="BP275" s="24">
        <f ca="1">IFERROR(__xludf.DUMMYFUNCTION("""COMPUTED_VALUE"""),0)</f>
        <v>0</v>
      </c>
      <c r="BQ275" s="24">
        <f ca="1">IFERROR(__xludf.DUMMYFUNCTION("""COMPUTED_VALUE"""),0)</f>
        <v>0</v>
      </c>
      <c r="BR275" s="24">
        <f ca="1">IFERROR(__xludf.DUMMYFUNCTION("""COMPUTED_VALUE"""),0)</f>
        <v>0</v>
      </c>
      <c r="BS275" s="24">
        <f ca="1">IFERROR(__xludf.DUMMYFUNCTION("""COMPUTED_VALUE"""),0)</f>
        <v>0</v>
      </c>
      <c r="BT275" s="24">
        <f ca="1">IFERROR(__xludf.DUMMYFUNCTION("""COMPUTED_VALUE"""),0)</f>
        <v>0</v>
      </c>
      <c r="BU275" s="20"/>
      <c r="BV275" s="24">
        <f ca="1">IFERROR(__xludf.DUMMYFUNCTION("""COMPUTED_VALUE"""),0)</f>
        <v>0</v>
      </c>
      <c r="BW275" s="24">
        <f ca="1">IFERROR(__xludf.DUMMYFUNCTION("""COMPUTED_VALUE"""),0)</f>
        <v>0</v>
      </c>
      <c r="BX275" s="24">
        <f ca="1">IFERROR(__xludf.DUMMYFUNCTION("""COMPUTED_VALUE"""),0)</f>
        <v>0</v>
      </c>
      <c r="BY275" s="24">
        <f ca="1">IFERROR(__xludf.DUMMYFUNCTION("""COMPUTED_VALUE"""),0)</f>
        <v>0</v>
      </c>
      <c r="BZ275" s="24">
        <f ca="1">IFERROR(__xludf.DUMMYFUNCTION("""COMPUTED_VALUE"""),0)</f>
        <v>0</v>
      </c>
      <c r="CA275" s="20"/>
      <c r="CB275" s="20"/>
      <c r="CC275" s="20"/>
      <c r="CD275" s="20"/>
      <c r="CE275" s="20"/>
      <c r="CF275" s="20"/>
      <c r="CG275" s="20"/>
      <c r="CH275" s="20"/>
      <c r="CI275" s="20"/>
      <c r="CJ275" s="20" t="str">
        <f ca="1">IFERROR(__xludf.DUMMYFUNCTION("""COMPUTED_VALUE"""),"—//—")</f>
        <v>—//—</v>
      </c>
      <c r="CK275" s="20" t="str">
        <f ca="1">IFERROR(__xludf.DUMMYFUNCTION("""COMPUTED_VALUE"""),"—//—")</f>
        <v>—//—</v>
      </c>
      <c r="CL275" s="20" t="str">
        <f ca="1">IFERROR(__xludf.DUMMYFUNCTION("""COMPUTED_VALUE"""),"—//—")</f>
        <v>—//—</v>
      </c>
      <c r="CM275" s="20"/>
      <c r="CN275" s="20"/>
      <c r="CO275" s="20"/>
      <c r="CP275" s="20"/>
      <c r="CQ275" s="20"/>
      <c r="CR275" s="20"/>
      <c r="CS275" s="20"/>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row>
    <row r="276" spans="1:123" ht="64.5" hidden="1" customHeight="1" x14ac:dyDescent="0.2">
      <c r="A276" s="19"/>
      <c r="B276" s="20" t="str">
        <f ca="1">IFERROR(__xludf.DUMMYFUNCTION("""COMPUTED_VALUE"""),"г.о. Серпухов")</f>
        <v>г.о. Серпухов</v>
      </c>
      <c r="C27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6" s="20" t="str">
        <f ca="1">IFERROR(__xludf.DUMMYFUNCTION("""COMPUTED_VALUE"""),"МинЖКХ")</f>
        <v>МинЖКХ</v>
      </c>
      <c r="E276" s="20" t="str">
        <f ca="1">IFERROR(__xludf.DUMMYFUNCTION("""COMPUTED_VALUE"""),"Строительство сетей водоснабжения, в д. Глазово, Серпуховский м.р. (в т.ч. ПИР)")</f>
        <v>Строительство сетей водоснабжения, в д. Глазово, Серпуховский м.р. (в т.ч. ПИР)</v>
      </c>
      <c r="F276" s="32" t="str">
        <f ca="1">IFERROR(__xludf.DUMMYFUNCTION("""COMPUTED_VALUE"""),"Сети")</f>
        <v>Сети</v>
      </c>
      <c r="G276" s="20">
        <f ca="1">IFERROR(__xludf.DUMMYFUNCTION("""COMPUTED_VALUE"""),2023)</f>
        <v>2023</v>
      </c>
      <c r="H276" s="20" t="str">
        <f ca="1">IFERROR(__xludf.DUMMYFUNCTION("""COMPUTED_VALUE"""),"СМР")</f>
        <v>СМР</v>
      </c>
      <c r="I276" s="20"/>
      <c r="J276" s="20"/>
      <c r="K276" s="20"/>
      <c r="L276" s="20"/>
      <c r="M276" s="20"/>
      <c r="N276" s="24">
        <f ca="1">IFERROR(__xludf.DUMMYFUNCTION("""COMPUTED_VALUE"""),0)</f>
        <v>0</v>
      </c>
      <c r="O276" s="20"/>
      <c r="P276" s="20"/>
      <c r="Q276" s="20"/>
      <c r="R276" s="20"/>
      <c r="S276" s="20"/>
      <c r="T276" s="20"/>
      <c r="U276" s="24">
        <f ca="1">IFERROR(__xludf.DUMMYFUNCTION("""COMPUTED_VALUE"""),0)</f>
        <v>0</v>
      </c>
      <c r="V276" s="24">
        <f ca="1">IFERROR(__xludf.DUMMYFUNCTION("""COMPUTED_VALUE"""),0)</f>
        <v>0</v>
      </c>
      <c r="W276" s="24">
        <f ca="1">IFERROR(__xludf.DUMMYFUNCTION("""COMPUTED_VALUE"""),0)</f>
        <v>0</v>
      </c>
      <c r="X276" s="24">
        <f ca="1">IFERROR(__xludf.DUMMYFUNCTION("""COMPUTED_VALUE"""),0)</f>
        <v>0</v>
      </c>
      <c r="Y276" s="24">
        <f ca="1">IFERROR(__xludf.DUMMYFUNCTION("""COMPUTED_VALUE"""),0)</f>
        <v>0</v>
      </c>
      <c r="Z276" s="24">
        <f ca="1">IFERROR(__xludf.DUMMYFUNCTION("""COMPUTED_VALUE"""),0)</f>
        <v>0</v>
      </c>
      <c r="AA276" s="20" t="str">
        <f ca="1">IFERROR(__xludf.DUMMYFUNCTION("""COMPUTED_VALUE"""),"10 3 02 64080")</f>
        <v>10 3 02 64080</v>
      </c>
      <c r="AB276" s="20">
        <f ca="1">IFERROR(__xludf.DUMMYFUNCTION("""COMPUTED_VALUE"""),522)</f>
        <v>522</v>
      </c>
      <c r="AC276" s="20"/>
      <c r="AD276" s="20"/>
      <c r="AE276" s="20"/>
      <c r="AF276" s="24">
        <f ca="1">IFERROR(__xludf.DUMMYFUNCTION("""COMPUTED_VALUE"""),4770)</f>
        <v>4770</v>
      </c>
      <c r="AG276" s="24">
        <f ca="1">IFERROR(__xludf.DUMMYFUNCTION("""COMPUTED_VALUE"""),0)</f>
        <v>0</v>
      </c>
      <c r="AH276" s="24">
        <f ca="1">IFERROR(__xludf.DUMMYFUNCTION("""COMPUTED_VALUE"""),3950)</f>
        <v>3950</v>
      </c>
      <c r="AI276" s="24">
        <f ca="1">IFERROR(__xludf.DUMMYFUNCTION("""COMPUTED_VALUE"""),0)</f>
        <v>0</v>
      </c>
      <c r="AJ276" s="24">
        <f ca="1">IFERROR(__xludf.DUMMYFUNCTION("""COMPUTED_VALUE"""),820)</f>
        <v>820</v>
      </c>
      <c r="AK276" s="24">
        <f ca="1">IFERROR(__xludf.DUMMYFUNCTION("""COMPUTED_VALUE"""),0)</f>
        <v>0</v>
      </c>
      <c r="AL276" s="24">
        <f ca="1">IFERROR(__xludf.DUMMYFUNCTION("""COMPUTED_VALUE"""),0)</f>
        <v>0</v>
      </c>
      <c r="AM276" s="20"/>
      <c r="AN276" s="20"/>
      <c r="AO276" s="20"/>
      <c r="AP276" s="20"/>
      <c r="AQ276" s="20"/>
      <c r="AR276" s="24">
        <f ca="1">IFERROR(__xludf.DUMMYFUNCTION("""COMPUTED_VALUE"""),0)</f>
        <v>0</v>
      </c>
      <c r="AS276" s="20"/>
      <c r="AT276" s="20"/>
      <c r="AU276" s="20"/>
      <c r="AV276" s="20"/>
      <c r="AW276" s="20"/>
      <c r="AX276" s="24">
        <f ca="1">IFERROR(__xludf.DUMMYFUNCTION("""COMPUTED_VALUE"""),0)</f>
        <v>0</v>
      </c>
      <c r="AY276" s="24">
        <f ca="1">IFERROR(__xludf.DUMMYFUNCTION("""COMPUTED_VALUE"""),0)</f>
        <v>0</v>
      </c>
      <c r="AZ276" s="24">
        <f ca="1">IFERROR(__xludf.DUMMYFUNCTION("""COMPUTED_VALUE"""),0)</f>
        <v>0</v>
      </c>
      <c r="BA276" s="24">
        <f ca="1">IFERROR(__xludf.DUMMYFUNCTION("""COMPUTED_VALUE"""),0)</f>
        <v>0</v>
      </c>
      <c r="BB276" s="24">
        <f ca="1">IFERROR(__xludf.DUMMYFUNCTION("""COMPUTED_VALUE"""),0)</f>
        <v>0</v>
      </c>
      <c r="BC276" s="20"/>
      <c r="BD276" s="24">
        <f ca="1">IFERROR(__xludf.DUMMYFUNCTION("""COMPUTED_VALUE"""),0)</f>
        <v>0</v>
      </c>
      <c r="BE276" s="24">
        <f ca="1">IFERROR(__xludf.DUMMYFUNCTION("""COMPUTED_VALUE"""),0)</f>
        <v>0</v>
      </c>
      <c r="BF276" s="24">
        <f ca="1">IFERROR(__xludf.DUMMYFUNCTION("""COMPUTED_VALUE"""),0)</f>
        <v>0</v>
      </c>
      <c r="BG276" s="24">
        <f ca="1">IFERROR(__xludf.DUMMYFUNCTION("""COMPUTED_VALUE"""),0)</f>
        <v>0</v>
      </c>
      <c r="BH276" s="24">
        <f ca="1">IFERROR(__xludf.DUMMYFUNCTION("""COMPUTED_VALUE"""),0)</f>
        <v>0</v>
      </c>
      <c r="BI276" s="20"/>
      <c r="BJ276" s="24">
        <f ca="1">IFERROR(__xludf.DUMMYFUNCTION("""COMPUTED_VALUE"""),0)</f>
        <v>0</v>
      </c>
      <c r="BK276" s="24">
        <f ca="1">IFERROR(__xludf.DUMMYFUNCTION("""COMPUTED_VALUE"""),0)</f>
        <v>0</v>
      </c>
      <c r="BL276" s="24">
        <f ca="1">IFERROR(__xludf.DUMMYFUNCTION("""COMPUTED_VALUE"""),0)</f>
        <v>0</v>
      </c>
      <c r="BM276" s="24">
        <f ca="1">IFERROR(__xludf.DUMMYFUNCTION("""COMPUTED_VALUE"""),0)</f>
        <v>0</v>
      </c>
      <c r="BN276" s="24">
        <f ca="1">IFERROR(__xludf.DUMMYFUNCTION("""COMPUTED_VALUE"""),0)</f>
        <v>0</v>
      </c>
      <c r="BO276" s="20"/>
      <c r="BP276" s="24">
        <f ca="1">IFERROR(__xludf.DUMMYFUNCTION("""COMPUTED_VALUE"""),4770)</f>
        <v>4770</v>
      </c>
      <c r="BQ276" s="24">
        <f ca="1">IFERROR(__xludf.DUMMYFUNCTION("""COMPUTED_VALUE"""),0)</f>
        <v>0</v>
      </c>
      <c r="BR276" s="24">
        <f ca="1">IFERROR(__xludf.DUMMYFUNCTION("""COMPUTED_VALUE"""),3950)</f>
        <v>3950</v>
      </c>
      <c r="BS276" s="24">
        <f ca="1">IFERROR(__xludf.DUMMYFUNCTION("""COMPUTED_VALUE"""),0)</f>
        <v>0</v>
      </c>
      <c r="BT276" s="24">
        <f ca="1">IFERROR(__xludf.DUMMYFUNCTION("""COMPUTED_VALUE"""),820)</f>
        <v>820</v>
      </c>
      <c r="BU276" s="20"/>
      <c r="BV276" s="24">
        <f ca="1">IFERROR(__xludf.DUMMYFUNCTION("""COMPUTED_VALUE"""),0)</f>
        <v>0</v>
      </c>
      <c r="BW276" s="24">
        <f ca="1">IFERROR(__xludf.DUMMYFUNCTION("""COMPUTED_VALUE"""),0)</f>
        <v>0</v>
      </c>
      <c r="BX276" s="24">
        <f ca="1">IFERROR(__xludf.DUMMYFUNCTION("""COMPUTED_VALUE"""),0)</f>
        <v>0</v>
      </c>
      <c r="BY276" s="24">
        <f ca="1">IFERROR(__xludf.DUMMYFUNCTION("""COMPUTED_VALUE"""),0)</f>
        <v>0</v>
      </c>
      <c r="BZ276" s="24">
        <f ca="1">IFERROR(__xludf.DUMMYFUNCTION("""COMPUTED_VALUE"""),0)</f>
        <v>0</v>
      </c>
      <c r="CA276" s="20"/>
      <c r="CB276" s="20"/>
      <c r="CC276" s="20"/>
      <c r="CD276" s="20"/>
      <c r="CE276" s="20"/>
      <c r="CF276" s="20"/>
      <c r="CG276" s="20"/>
      <c r="CH276" s="20"/>
      <c r="CI276" s="20"/>
      <c r="CJ276" s="20"/>
      <c r="CK276" s="20"/>
      <c r="CL276" s="20"/>
      <c r="CM276" s="20"/>
      <c r="CN276" s="20"/>
      <c r="CO276" s="20"/>
      <c r="CP276" s="20"/>
      <c r="CQ276" s="20"/>
      <c r="CR276" s="20"/>
      <c r="CS276" s="20"/>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row>
    <row r="277" spans="1:123" ht="64.5" hidden="1" customHeight="1" x14ac:dyDescent="0.2">
      <c r="A277" s="19"/>
      <c r="B277" s="20" t="str">
        <f ca="1">IFERROR(__xludf.DUMMYFUNCTION("""COMPUTED_VALUE"""),"г.о. Серпухов")</f>
        <v>г.о. Серпухов</v>
      </c>
      <c r="C27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7" s="20" t="str">
        <f ca="1">IFERROR(__xludf.DUMMYFUNCTION("""COMPUTED_VALUE"""),"МинЖКХ")</f>
        <v>МинЖКХ</v>
      </c>
      <c r="E277" s="20" t="str">
        <f ca="1">IFERROR(__xludf.DUMMYFUNCTION("""COMPUTED_VALUE"""),"Строительство  сетей водоснабжения в д. Селино, д. Вечери, Серпуховский м.р. (в т.ч. ПИР)")</f>
        <v>Строительство  сетей водоснабжения в д. Селино, д. Вечери, Серпуховский м.р. (в т.ч. ПИР)</v>
      </c>
      <c r="F277" s="32" t="str">
        <f ca="1">IFERROR(__xludf.DUMMYFUNCTION("""COMPUTED_VALUE"""),"Сети")</f>
        <v>Сети</v>
      </c>
      <c r="G277" s="20">
        <f ca="1">IFERROR(__xludf.DUMMYFUNCTION("""COMPUTED_VALUE"""),2023)</f>
        <v>2023</v>
      </c>
      <c r="H277" s="20" t="str">
        <f ca="1">IFERROR(__xludf.DUMMYFUNCTION("""COMPUTED_VALUE"""),"СМР")</f>
        <v>СМР</v>
      </c>
      <c r="I277" s="20"/>
      <c r="J277" s="20"/>
      <c r="K277" s="20"/>
      <c r="L277" s="20"/>
      <c r="M277" s="20"/>
      <c r="N277" s="24">
        <f ca="1">IFERROR(__xludf.DUMMYFUNCTION("""COMPUTED_VALUE"""),0)</f>
        <v>0</v>
      </c>
      <c r="O277" s="20"/>
      <c r="P277" s="20"/>
      <c r="Q277" s="20"/>
      <c r="R277" s="20"/>
      <c r="S277" s="20"/>
      <c r="T277" s="20"/>
      <c r="U277" s="24">
        <f ca="1">IFERROR(__xludf.DUMMYFUNCTION("""COMPUTED_VALUE"""),0)</f>
        <v>0</v>
      </c>
      <c r="V277" s="24">
        <f ca="1">IFERROR(__xludf.DUMMYFUNCTION("""COMPUTED_VALUE"""),0)</f>
        <v>0</v>
      </c>
      <c r="W277" s="24">
        <f ca="1">IFERROR(__xludf.DUMMYFUNCTION("""COMPUTED_VALUE"""),0)</f>
        <v>0</v>
      </c>
      <c r="X277" s="24">
        <f ca="1">IFERROR(__xludf.DUMMYFUNCTION("""COMPUTED_VALUE"""),0)</f>
        <v>0</v>
      </c>
      <c r="Y277" s="24">
        <f ca="1">IFERROR(__xludf.DUMMYFUNCTION("""COMPUTED_VALUE"""),0)</f>
        <v>0</v>
      </c>
      <c r="Z277" s="24">
        <f ca="1">IFERROR(__xludf.DUMMYFUNCTION("""COMPUTED_VALUE"""),0)</f>
        <v>0</v>
      </c>
      <c r="AA277" s="20" t="str">
        <f ca="1">IFERROR(__xludf.DUMMYFUNCTION("""COMPUTED_VALUE"""),"10 3 02 64080")</f>
        <v>10 3 02 64080</v>
      </c>
      <c r="AB277" s="20">
        <f ca="1">IFERROR(__xludf.DUMMYFUNCTION("""COMPUTED_VALUE"""),522)</f>
        <v>522</v>
      </c>
      <c r="AC277" s="20"/>
      <c r="AD277" s="20"/>
      <c r="AE277" s="20"/>
      <c r="AF277" s="24">
        <f ca="1">IFERROR(__xludf.DUMMYFUNCTION("""COMPUTED_VALUE"""),10000)</f>
        <v>10000</v>
      </c>
      <c r="AG277" s="24">
        <f ca="1">IFERROR(__xludf.DUMMYFUNCTION("""COMPUTED_VALUE"""),0)</f>
        <v>0</v>
      </c>
      <c r="AH277" s="24">
        <f ca="1">IFERROR(__xludf.DUMMYFUNCTION("""COMPUTED_VALUE"""),8280)</f>
        <v>8280</v>
      </c>
      <c r="AI277" s="24">
        <f ca="1">IFERROR(__xludf.DUMMYFUNCTION("""COMPUTED_VALUE"""),0)</f>
        <v>0</v>
      </c>
      <c r="AJ277" s="24">
        <f ca="1">IFERROR(__xludf.DUMMYFUNCTION("""COMPUTED_VALUE"""),1720)</f>
        <v>1720</v>
      </c>
      <c r="AK277" s="24">
        <f ca="1">IFERROR(__xludf.DUMMYFUNCTION("""COMPUTED_VALUE"""),0)</f>
        <v>0</v>
      </c>
      <c r="AL277" s="24">
        <f ca="1">IFERROR(__xludf.DUMMYFUNCTION("""COMPUTED_VALUE"""),0)</f>
        <v>0</v>
      </c>
      <c r="AM277" s="20"/>
      <c r="AN277" s="20"/>
      <c r="AO277" s="20"/>
      <c r="AP277" s="20"/>
      <c r="AQ277" s="20"/>
      <c r="AR277" s="24">
        <f ca="1">IFERROR(__xludf.DUMMYFUNCTION("""COMPUTED_VALUE"""),0)</f>
        <v>0</v>
      </c>
      <c r="AS277" s="20"/>
      <c r="AT277" s="20"/>
      <c r="AU277" s="20"/>
      <c r="AV277" s="20"/>
      <c r="AW277" s="20"/>
      <c r="AX277" s="24">
        <f ca="1">IFERROR(__xludf.DUMMYFUNCTION("""COMPUTED_VALUE"""),0)</f>
        <v>0</v>
      </c>
      <c r="AY277" s="24">
        <f ca="1">IFERROR(__xludf.DUMMYFUNCTION("""COMPUTED_VALUE"""),0)</f>
        <v>0</v>
      </c>
      <c r="AZ277" s="24">
        <f ca="1">IFERROR(__xludf.DUMMYFUNCTION("""COMPUTED_VALUE"""),0)</f>
        <v>0</v>
      </c>
      <c r="BA277" s="24">
        <f ca="1">IFERROR(__xludf.DUMMYFUNCTION("""COMPUTED_VALUE"""),0)</f>
        <v>0</v>
      </c>
      <c r="BB277" s="24">
        <f ca="1">IFERROR(__xludf.DUMMYFUNCTION("""COMPUTED_VALUE"""),0)</f>
        <v>0</v>
      </c>
      <c r="BC277" s="20"/>
      <c r="BD277" s="24">
        <f ca="1">IFERROR(__xludf.DUMMYFUNCTION("""COMPUTED_VALUE"""),0)</f>
        <v>0</v>
      </c>
      <c r="BE277" s="24">
        <f ca="1">IFERROR(__xludf.DUMMYFUNCTION("""COMPUTED_VALUE"""),0)</f>
        <v>0</v>
      </c>
      <c r="BF277" s="24">
        <f ca="1">IFERROR(__xludf.DUMMYFUNCTION("""COMPUTED_VALUE"""),0)</f>
        <v>0</v>
      </c>
      <c r="BG277" s="24">
        <f ca="1">IFERROR(__xludf.DUMMYFUNCTION("""COMPUTED_VALUE"""),0)</f>
        <v>0</v>
      </c>
      <c r="BH277" s="24">
        <f ca="1">IFERROR(__xludf.DUMMYFUNCTION("""COMPUTED_VALUE"""),0)</f>
        <v>0</v>
      </c>
      <c r="BI277" s="20"/>
      <c r="BJ277" s="24">
        <f ca="1">IFERROR(__xludf.DUMMYFUNCTION("""COMPUTED_VALUE"""),0)</f>
        <v>0</v>
      </c>
      <c r="BK277" s="24">
        <f ca="1">IFERROR(__xludf.DUMMYFUNCTION("""COMPUTED_VALUE"""),0)</f>
        <v>0</v>
      </c>
      <c r="BL277" s="24">
        <f ca="1">IFERROR(__xludf.DUMMYFUNCTION("""COMPUTED_VALUE"""),0)</f>
        <v>0</v>
      </c>
      <c r="BM277" s="24">
        <f ca="1">IFERROR(__xludf.DUMMYFUNCTION("""COMPUTED_VALUE"""),0)</f>
        <v>0</v>
      </c>
      <c r="BN277" s="24">
        <f ca="1">IFERROR(__xludf.DUMMYFUNCTION("""COMPUTED_VALUE"""),0)</f>
        <v>0</v>
      </c>
      <c r="BO277" s="20"/>
      <c r="BP277" s="24">
        <f ca="1">IFERROR(__xludf.DUMMYFUNCTION("""COMPUTED_VALUE"""),10000)</f>
        <v>10000</v>
      </c>
      <c r="BQ277" s="24">
        <f ca="1">IFERROR(__xludf.DUMMYFUNCTION("""COMPUTED_VALUE"""),0)</f>
        <v>0</v>
      </c>
      <c r="BR277" s="24">
        <f ca="1">IFERROR(__xludf.DUMMYFUNCTION("""COMPUTED_VALUE"""),8280)</f>
        <v>8280</v>
      </c>
      <c r="BS277" s="24">
        <f ca="1">IFERROR(__xludf.DUMMYFUNCTION("""COMPUTED_VALUE"""),0)</f>
        <v>0</v>
      </c>
      <c r="BT277" s="24">
        <f ca="1">IFERROR(__xludf.DUMMYFUNCTION("""COMPUTED_VALUE"""),1720)</f>
        <v>1720</v>
      </c>
      <c r="BU277" s="20"/>
      <c r="BV277" s="24">
        <f ca="1">IFERROR(__xludf.DUMMYFUNCTION("""COMPUTED_VALUE"""),0)</f>
        <v>0</v>
      </c>
      <c r="BW277" s="24">
        <f ca="1">IFERROR(__xludf.DUMMYFUNCTION("""COMPUTED_VALUE"""),0)</f>
        <v>0</v>
      </c>
      <c r="BX277" s="24">
        <f ca="1">IFERROR(__xludf.DUMMYFUNCTION("""COMPUTED_VALUE"""),0)</f>
        <v>0</v>
      </c>
      <c r="BY277" s="24">
        <f ca="1">IFERROR(__xludf.DUMMYFUNCTION("""COMPUTED_VALUE"""),0)</f>
        <v>0</v>
      </c>
      <c r="BZ277" s="24">
        <f ca="1">IFERROR(__xludf.DUMMYFUNCTION("""COMPUTED_VALUE"""),0)</f>
        <v>0</v>
      </c>
      <c r="CA277" s="20"/>
      <c r="CB277" s="20"/>
      <c r="CC277" s="20"/>
      <c r="CD277" s="20"/>
      <c r="CE277" s="20"/>
      <c r="CF277" s="20"/>
      <c r="CG277" s="20"/>
      <c r="CH277" s="20"/>
      <c r="CI277" s="20"/>
      <c r="CJ277" s="20"/>
      <c r="CK277" s="20"/>
      <c r="CL277" s="20"/>
      <c r="CM277" s="20"/>
      <c r="CN277" s="20"/>
      <c r="CO277" s="20"/>
      <c r="CP277" s="20"/>
      <c r="CQ277" s="20"/>
      <c r="CR277" s="20"/>
      <c r="CS277" s="20"/>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row>
    <row r="278" spans="1:123" ht="64.5" hidden="1" customHeight="1" x14ac:dyDescent="0.2">
      <c r="A278" s="19"/>
      <c r="B278" s="20" t="str">
        <f ca="1">IFERROR(__xludf.DUMMYFUNCTION("""COMPUTED_VALUE"""),"г.о. Серпухов")</f>
        <v>г.о. Серпухов</v>
      </c>
      <c r="C27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8" s="20" t="str">
        <f ca="1">IFERROR(__xludf.DUMMYFUNCTION("""COMPUTED_VALUE"""),"МинЖКХ")</f>
        <v>МинЖКХ</v>
      </c>
      <c r="E278" s="20" t="str">
        <f ca="1">IFERROR(__xludf.DUMMYFUNCTION("""COMPUTED_VALUE"""),"Строительство сетей водоснабжения в д. Б. Грызлово, Серпуховский м.р. (в т.ч. ПИР)")</f>
        <v>Строительство сетей водоснабжения в д. Б. Грызлово, Серпуховский м.р. (в т.ч. ПИР)</v>
      </c>
      <c r="F278" s="32" t="str">
        <f ca="1">IFERROR(__xludf.DUMMYFUNCTION("""COMPUTED_VALUE"""),"Сети")</f>
        <v>Сети</v>
      </c>
      <c r="G278" s="20">
        <f ca="1">IFERROR(__xludf.DUMMYFUNCTION("""COMPUTED_VALUE"""),2023)</f>
        <v>2023</v>
      </c>
      <c r="H278" s="20" t="str">
        <f ca="1">IFERROR(__xludf.DUMMYFUNCTION("""COMPUTED_VALUE"""),"СМР")</f>
        <v>СМР</v>
      </c>
      <c r="I278" s="20"/>
      <c r="J278" s="20"/>
      <c r="K278" s="20"/>
      <c r="L278" s="20"/>
      <c r="M278" s="20"/>
      <c r="N278" s="24">
        <f ca="1">IFERROR(__xludf.DUMMYFUNCTION("""COMPUTED_VALUE"""),0)</f>
        <v>0</v>
      </c>
      <c r="O278" s="20"/>
      <c r="P278" s="20"/>
      <c r="Q278" s="20"/>
      <c r="R278" s="20"/>
      <c r="S278" s="20"/>
      <c r="T278" s="20"/>
      <c r="U278" s="24">
        <f ca="1">IFERROR(__xludf.DUMMYFUNCTION("""COMPUTED_VALUE"""),0)</f>
        <v>0</v>
      </c>
      <c r="V278" s="24">
        <f ca="1">IFERROR(__xludf.DUMMYFUNCTION("""COMPUTED_VALUE"""),0)</f>
        <v>0</v>
      </c>
      <c r="W278" s="24">
        <f ca="1">IFERROR(__xludf.DUMMYFUNCTION("""COMPUTED_VALUE"""),0)</f>
        <v>0</v>
      </c>
      <c r="X278" s="24">
        <f ca="1">IFERROR(__xludf.DUMMYFUNCTION("""COMPUTED_VALUE"""),0)</f>
        <v>0</v>
      </c>
      <c r="Y278" s="24">
        <f ca="1">IFERROR(__xludf.DUMMYFUNCTION("""COMPUTED_VALUE"""),0)</f>
        <v>0</v>
      </c>
      <c r="Z278" s="24">
        <f ca="1">IFERROR(__xludf.DUMMYFUNCTION("""COMPUTED_VALUE"""),0)</f>
        <v>0</v>
      </c>
      <c r="AA278" s="20" t="str">
        <f ca="1">IFERROR(__xludf.DUMMYFUNCTION("""COMPUTED_VALUE"""),"10 3 02 64080")</f>
        <v>10 3 02 64080</v>
      </c>
      <c r="AB278" s="20">
        <f ca="1">IFERROR(__xludf.DUMMYFUNCTION("""COMPUTED_VALUE"""),522)</f>
        <v>522</v>
      </c>
      <c r="AC278" s="20"/>
      <c r="AD278" s="20"/>
      <c r="AE278" s="20"/>
      <c r="AF278" s="24">
        <f ca="1">IFERROR(__xludf.DUMMYFUNCTION("""COMPUTED_VALUE"""),7800)</f>
        <v>7800</v>
      </c>
      <c r="AG278" s="24">
        <f ca="1">IFERROR(__xludf.DUMMYFUNCTION("""COMPUTED_VALUE"""),0)</f>
        <v>0</v>
      </c>
      <c r="AH278" s="24">
        <f ca="1">IFERROR(__xludf.DUMMYFUNCTION("""COMPUTED_VALUE"""),6458)</f>
        <v>6458</v>
      </c>
      <c r="AI278" s="24">
        <f ca="1">IFERROR(__xludf.DUMMYFUNCTION("""COMPUTED_VALUE"""),0)</f>
        <v>0</v>
      </c>
      <c r="AJ278" s="24">
        <f ca="1">IFERROR(__xludf.DUMMYFUNCTION("""COMPUTED_VALUE"""),1342)</f>
        <v>1342</v>
      </c>
      <c r="AK278" s="24">
        <f ca="1">IFERROR(__xludf.DUMMYFUNCTION("""COMPUTED_VALUE"""),0)</f>
        <v>0</v>
      </c>
      <c r="AL278" s="24">
        <f ca="1">IFERROR(__xludf.DUMMYFUNCTION("""COMPUTED_VALUE"""),0)</f>
        <v>0</v>
      </c>
      <c r="AM278" s="20"/>
      <c r="AN278" s="20"/>
      <c r="AO278" s="20"/>
      <c r="AP278" s="20"/>
      <c r="AQ278" s="20"/>
      <c r="AR278" s="24">
        <f ca="1">IFERROR(__xludf.DUMMYFUNCTION("""COMPUTED_VALUE"""),0)</f>
        <v>0</v>
      </c>
      <c r="AS278" s="20"/>
      <c r="AT278" s="20"/>
      <c r="AU278" s="20"/>
      <c r="AV278" s="20"/>
      <c r="AW278" s="20"/>
      <c r="AX278" s="24">
        <f ca="1">IFERROR(__xludf.DUMMYFUNCTION("""COMPUTED_VALUE"""),0)</f>
        <v>0</v>
      </c>
      <c r="AY278" s="24">
        <f ca="1">IFERROR(__xludf.DUMMYFUNCTION("""COMPUTED_VALUE"""),0)</f>
        <v>0</v>
      </c>
      <c r="AZ278" s="24">
        <f ca="1">IFERROR(__xludf.DUMMYFUNCTION("""COMPUTED_VALUE"""),0)</f>
        <v>0</v>
      </c>
      <c r="BA278" s="24">
        <f ca="1">IFERROR(__xludf.DUMMYFUNCTION("""COMPUTED_VALUE"""),0)</f>
        <v>0</v>
      </c>
      <c r="BB278" s="24">
        <f ca="1">IFERROR(__xludf.DUMMYFUNCTION("""COMPUTED_VALUE"""),0)</f>
        <v>0</v>
      </c>
      <c r="BC278" s="20"/>
      <c r="BD278" s="24">
        <f ca="1">IFERROR(__xludf.DUMMYFUNCTION("""COMPUTED_VALUE"""),0)</f>
        <v>0</v>
      </c>
      <c r="BE278" s="24">
        <f ca="1">IFERROR(__xludf.DUMMYFUNCTION("""COMPUTED_VALUE"""),0)</f>
        <v>0</v>
      </c>
      <c r="BF278" s="24">
        <f ca="1">IFERROR(__xludf.DUMMYFUNCTION("""COMPUTED_VALUE"""),0)</f>
        <v>0</v>
      </c>
      <c r="BG278" s="24">
        <f ca="1">IFERROR(__xludf.DUMMYFUNCTION("""COMPUTED_VALUE"""),0)</f>
        <v>0</v>
      </c>
      <c r="BH278" s="24">
        <f ca="1">IFERROR(__xludf.DUMMYFUNCTION("""COMPUTED_VALUE"""),0)</f>
        <v>0</v>
      </c>
      <c r="BI278" s="20"/>
      <c r="BJ278" s="24">
        <f ca="1">IFERROR(__xludf.DUMMYFUNCTION("""COMPUTED_VALUE"""),0)</f>
        <v>0</v>
      </c>
      <c r="BK278" s="24">
        <f ca="1">IFERROR(__xludf.DUMMYFUNCTION("""COMPUTED_VALUE"""),0)</f>
        <v>0</v>
      </c>
      <c r="BL278" s="24">
        <f ca="1">IFERROR(__xludf.DUMMYFUNCTION("""COMPUTED_VALUE"""),0)</f>
        <v>0</v>
      </c>
      <c r="BM278" s="24">
        <f ca="1">IFERROR(__xludf.DUMMYFUNCTION("""COMPUTED_VALUE"""),0)</f>
        <v>0</v>
      </c>
      <c r="BN278" s="24">
        <f ca="1">IFERROR(__xludf.DUMMYFUNCTION("""COMPUTED_VALUE"""),0)</f>
        <v>0</v>
      </c>
      <c r="BO278" s="20"/>
      <c r="BP278" s="24">
        <f ca="1">IFERROR(__xludf.DUMMYFUNCTION("""COMPUTED_VALUE"""),7800)</f>
        <v>7800</v>
      </c>
      <c r="BQ278" s="24">
        <f ca="1">IFERROR(__xludf.DUMMYFUNCTION("""COMPUTED_VALUE"""),0)</f>
        <v>0</v>
      </c>
      <c r="BR278" s="24">
        <f ca="1">IFERROR(__xludf.DUMMYFUNCTION("""COMPUTED_VALUE"""),6458)</f>
        <v>6458</v>
      </c>
      <c r="BS278" s="24">
        <f ca="1">IFERROR(__xludf.DUMMYFUNCTION("""COMPUTED_VALUE"""),0)</f>
        <v>0</v>
      </c>
      <c r="BT278" s="24">
        <f ca="1">IFERROR(__xludf.DUMMYFUNCTION("""COMPUTED_VALUE"""),1342)</f>
        <v>1342</v>
      </c>
      <c r="BU278" s="20"/>
      <c r="BV278" s="24">
        <f ca="1">IFERROR(__xludf.DUMMYFUNCTION("""COMPUTED_VALUE"""),0)</f>
        <v>0</v>
      </c>
      <c r="BW278" s="24">
        <f ca="1">IFERROR(__xludf.DUMMYFUNCTION("""COMPUTED_VALUE"""),0)</f>
        <v>0</v>
      </c>
      <c r="BX278" s="24">
        <f ca="1">IFERROR(__xludf.DUMMYFUNCTION("""COMPUTED_VALUE"""),0)</f>
        <v>0</v>
      </c>
      <c r="BY278" s="24">
        <f ca="1">IFERROR(__xludf.DUMMYFUNCTION("""COMPUTED_VALUE"""),0)</f>
        <v>0</v>
      </c>
      <c r="BZ278" s="24">
        <f ca="1">IFERROR(__xludf.DUMMYFUNCTION("""COMPUTED_VALUE"""),0)</f>
        <v>0</v>
      </c>
      <c r="CA278" s="20"/>
      <c r="CB278" s="20"/>
      <c r="CC278" s="20"/>
      <c r="CD278" s="20"/>
      <c r="CE278" s="20"/>
      <c r="CF278" s="20"/>
      <c r="CG278" s="20"/>
      <c r="CH278" s="20"/>
      <c r="CI278" s="20"/>
      <c r="CJ278" s="20"/>
      <c r="CK278" s="20"/>
      <c r="CL278" s="20"/>
      <c r="CM278" s="20"/>
      <c r="CN278" s="20"/>
      <c r="CO278" s="20"/>
      <c r="CP278" s="20"/>
      <c r="CQ278" s="20"/>
      <c r="CR278" s="20"/>
      <c r="CS278" s="20"/>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row>
    <row r="279" spans="1:123" ht="64.5" hidden="1" customHeight="1" x14ac:dyDescent="0.2">
      <c r="A279" s="19"/>
      <c r="B279" s="20" t="str">
        <f ca="1">IFERROR(__xludf.DUMMYFUNCTION("""COMPUTED_VALUE"""),"г.о. Серпухов")</f>
        <v>г.о. Серпухов</v>
      </c>
      <c r="C27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9" s="20" t="str">
        <f ca="1">IFERROR(__xludf.DUMMYFUNCTION("""COMPUTED_VALUE"""),"МинЖКХ")</f>
        <v>МинЖКХ</v>
      </c>
      <c r="E279" s="20" t="str">
        <f ca="1">IFERROR(__xludf.DUMMYFUNCTION("""COMPUTED_VALUE"""),"Строительство сетей водоснабжения в д. Калугино, Серпуховский м.р. (в т.ч. ПИР)")</f>
        <v>Строительство сетей водоснабжения в д. Калугино, Серпуховский м.р. (в т.ч. ПИР)</v>
      </c>
      <c r="F279" s="32" t="str">
        <f ca="1">IFERROR(__xludf.DUMMYFUNCTION("""COMPUTED_VALUE"""),"Сети")</f>
        <v>Сети</v>
      </c>
      <c r="G279" s="20">
        <f ca="1">IFERROR(__xludf.DUMMYFUNCTION("""COMPUTED_VALUE"""),2023)</f>
        <v>2023</v>
      </c>
      <c r="H279" s="20" t="str">
        <f ca="1">IFERROR(__xludf.DUMMYFUNCTION("""COMPUTED_VALUE"""),"СМР")</f>
        <v>СМР</v>
      </c>
      <c r="I279" s="20"/>
      <c r="J279" s="20"/>
      <c r="K279" s="20"/>
      <c r="L279" s="20"/>
      <c r="M279" s="20"/>
      <c r="N279" s="24">
        <f ca="1">IFERROR(__xludf.DUMMYFUNCTION("""COMPUTED_VALUE"""),0)</f>
        <v>0</v>
      </c>
      <c r="O279" s="20"/>
      <c r="P279" s="20"/>
      <c r="Q279" s="20"/>
      <c r="R279" s="20"/>
      <c r="S279" s="20"/>
      <c r="T279" s="20"/>
      <c r="U279" s="24">
        <f ca="1">IFERROR(__xludf.DUMMYFUNCTION("""COMPUTED_VALUE"""),0)</f>
        <v>0</v>
      </c>
      <c r="V279" s="24">
        <f ca="1">IFERROR(__xludf.DUMMYFUNCTION("""COMPUTED_VALUE"""),0)</f>
        <v>0</v>
      </c>
      <c r="W279" s="24">
        <f ca="1">IFERROR(__xludf.DUMMYFUNCTION("""COMPUTED_VALUE"""),0)</f>
        <v>0</v>
      </c>
      <c r="X279" s="24">
        <f ca="1">IFERROR(__xludf.DUMMYFUNCTION("""COMPUTED_VALUE"""),0)</f>
        <v>0</v>
      </c>
      <c r="Y279" s="24">
        <f ca="1">IFERROR(__xludf.DUMMYFUNCTION("""COMPUTED_VALUE"""),0)</f>
        <v>0</v>
      </c>
      <c r="Z279" s="24">
        <f ca="1">IFERROR(__xludf.DUMMYFUNCTION("""COMPUTED_VALUE"""),0)</f>
        <v>0</v>
      </c>
      <c r="AA279" s="20" t="str">
        <f ca="1">IFERROR(__xludf.DUMMYFUNCTION("""COMPUTED_VALUE"""),"10 3 02 64080")</f>
        <v>10 3 02 64080</v>
      </c>
      <c r="AB279" s="20">
        <f ca="1">IFERROR(__xludf.DUMMYFUNCTION("""COMPUTED_VALUE"""),522)</f>
        <v>522</v>
      </c>
      <c r="AC279" s="20"/>
      <c r="AD279" s="20"/>
      <c r="AE279" s="20"/>
      <c r="AF279" s="24">
        <f ca="1">IFERROR(__xludf.DUMMYFUNCTION("""COMPUTED_VALUE"""),4800)</f>
        <v>4800</v>
      </c>
      <c r="AG279" s="24">
        <f ca="1">IFERROR(__xludf.DUMMYFUNCTION("""COMPUTED_VALUE"""),0)</f>
        <v>0</v>
      </c>
      <c r="AH279" s="24">
        <f ca="1">IFERROR(__xludf.DUMMYFUNCTION("""COMPUTED_VALUE"""),3974)</f>
        <v>3974</v>
      </c>
      <c r="AI279" s="24">
        <f ca="1">IFERROR(__xludf.DUMMYFUNCTION("""COMPUTED_VALUE"""),0)</f>
        <v>0</v>
      </c>
      <c r="AJ279" s="24">
        <f ca="1">IFERROR(__xludf.DUMMYFUNCTION("""COMPUTED_VALUE"""),826)</f>
        <v>826</v>
      </c>
      <c r="AK279" s="24">
        <f ca="1">IFERROR(__xludf.DUMMYFUNCTION("""COMPUTED_VALUE"""),0)</f>
        <v>0</v>
      </c>
      <c r="AL279" s="24">
        <f ca="1">IFERROR(__xludf.DUMMYFUNCTION("""COMPUTED_VALUE"""),0)</f>
        <v>0</v>
      </c>
      <c r="AM279" s="20"/>
      <c r="AN279" s="20"/>
      <c r="AO279" s="20"/>
      <c r="AP279" s="20"/>
      <c r="AQ279" s="20"/>
      <c r="AR279" s="24">
        <f ca="1">IFERROR(__xludf.DUMMYFUNCTION("""COMPUTED_VALUE"""),0)</f>
        <v>0</v>
      </c>
      <c r="AS279" s="20"/>
      <c r="AT279" s="20"/>
      <c r="AU279" s="20"/>
      <c r="AV279" s="20"/>
      <c r="AW279" s="20"/>
      <c r="AX279" s="24">
        <f ca="1">IFERROR(__xludf.DUMMYFUNCTION("""COMPUTED_VALUE"""),0)</f>
        <v>0</v>
      </c>
      <c r="AY279" s="24">
        <f ca="1">IFERROR(__xludf.DUMMYFUNCTION("""COMPUTED_VALUE"""),0)</f>
        <v>0</v>
      </c>
      <c r="AZ279" s="24">
        <f ca="1">IFERROR(__xludf.DUMMYFUNCTION("""COMPUTED_VALUE"""),0)</f>
        <v>0</v>
      </c>
      <c r="BA279" s="24">
        <f ca="1">IFERROR(__xludf.DUMMYFUNCTION("""COMPUTED_VALUE"""),0)</f>
        <v>0</v>
      </c>
      <c r="BB279" s="24">
        <f ca="1">IFERROR(__xludf.DUMMYFUNCTION("""COMPUTED_VALUE"""),0)</f>
        <v>0</v>
      </c>
      <c r="BC279" s="20"/>
      <c r="BD279" s="24">
        <f ca="1">IFERROR(__xludf.DUMMYFUNCTION("""COMPUTED_VALUE"""),0)</f>
        <v>0</v>
      </c>
      <c r="BE279" s="24">
        <f ca="1">IFERROR(__xludf.DUMMYFUNCTION("""COMPUTED_VALUE"""),0)</f>
        <v>0</v>
      </c>
      <c r="BF279" s="24">
        <f ca="1">IFERROR(__xludf.DUMMYFUNCTION("""COMPUTED_VALUE"""),0)</f>
        <v>0</v>
      </c>
      <c r="BG279" s="24">
        <f ca="1">IFERROR(__xludf.DUMMYFUNCTION("""COMPUTED_VALUE"""),0)</f>
        <v>0</v>
      </c>
      <c r="BH279" s="24">
        <f ca="1">IFERROR(__xludf.DUMMYFUNCTION("""COMPUTED_VALUE"""),0)</f>
        <v>0</v>
      </c>
      <c r="BI279" s="20"/>
      <c r="BJ279" s="24">
        <f ca="1">IFERROR(__xludf.DUMMYFUNCTION("""COMPUTED_VALUE"""),0)</f>
        <v>0</v>
      </c>
      <c r="BK279" s="24">
        <f ca="1">IFERROR(__xludf.DUMMYFUNCTION("""COMPUTED_VALUE"""),0)</f>
        <v>0</v>
      </c>
      <c r="BL279" s="24">
        <f ca="1">IFERROR(__xludf.DUMMYFUNCTION("""COMPUTED_VALUE"""),0)</f>
        <v>0</v>
      </c>
      <c r="BM279" s="24">
        <f ca="1">IFERROR(__xludf.DUMMYFUNCTION("""COMPUTED_VALUE"""),0)</f>
        <v>0</v>
      </c>
      <c r="BN279" s="24">
        <f ca="1">IFERROR(__xludf.DUMMYFUNCTION("""COMPUTED_VALUE"""),0)</f>
        <v>0</v>
      </c>
      <c r="BO279" s="20"/>
      <c r="BP279" s="24">
        <f ca="1">IFERROR(__xludf.DUMMYFUNCTION("""COMPUTED_VALUE"""),4800)</f>
        <v>4800</v>
      </c>
      <c r="BQ279" s="24">
        <f ca="1">IFERROR(__xludf.DUMMYFUNCTION("""COMPUTED_VALUE"""),0)</f>
        <v>0</v>
      </c>
      <c r="BR279" s="24">
        <f ca="1">IFERROR(__xludf.DUMMYFUNCTION("""COMPUTED_VALUE"""),3974)</f>
        <v>3974</v>
      </c>
      <c r="BS279" s="24">
        <f ca="1">IFERROR(__xludf.DUMMYFUNCTION("""COMPUTED_VALUE"""),0)</f>
        <v>0</v>
      </c>
      <c r="BT279" s="24">
        <f ca="1">IFERROR(__xludf.DUMMYFUNCTION("""COMPUTED_VALUE"""),826)</f>
        <v>826</v>
      </c>
      <c r="BU279" s="20"/>
      <c r="BV279" s="24">
        <f ca="1">IFERROR(__xludf.DUMMYFUNCTION("""COMPUTED_VALUE"""),0)</f>
        <v>0</v>
      </c>
      <c r="BW279" s="24">
        <f ca="1">IFERROR(__xludf.DUMMYFUNCTION("""COMPUTED_VALUE"""),0)</f>
        <v>0</v>
      </c>
      <c r="BX279" s="24">
        <f ca="1">IFERROR(__xludf.DUMMYFUNCTION("""COMPUTED_VALUE"""),0)</f>
        <v>0</v>
      </c>
      <c r="BY279" s="24">
        <f ca="1">IFERROR(__xludf.DUMMYFUNCTION("""COMPUTED_VALUE"""),0)</f>
        <v>0</v>
      </c>
      <c r="BZ279" s="24">
        <f ca="1">IFERROR(__xludf.DUMMYFUNCTION("""COMPUTED_VALUE"""),0)</f>
        <v>0</v>
      </c>
      <c r="CA279" s="20"/>
      <c r="CB279" s="20"/>
      <c r="CC279" s="20"/>
      <c r="CD279" s="20"/>
      <c r="CE279" s="20"/>
      <c r="CF279" s="20"/>
      <c r="CG279" s="20"/>
      <c r="CH279" s="20"/>
      <c r="CI279" s="20"/>
      <c r="CJ279" s="20"/>
      <c r="CK279" s="20"/>
      <c r="CL279" s="20"/>
      <c r="CM279" s="20"/>
      <c r="CN279" s="20"/>
      <c r="CO279" s="20"/>
      <c r="CP279" s="20"/>
      <c r="CQ279" s="20"/>
      <c r="CR279" s="20"/>
      <c r="CS279" s="20"/>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row>
    <row r="280" spans="1:123" ht="64.5" hidden="1" customHeight="1" x14ac:dyDescent="0.2">
      <c r="A280" s="19"/>
      <c r="B280" s="20" t="str">
        <f ca="1">IFERROR(__xludf.DUMMYFUNCTION("""COMPUTED_VALUE"""),"г.о. Богородский")</f>
        <v>г.о. Богородский</v>
      </c>
      <c r="C28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0" s="20" t="str">
        <f ca="1">IFERROR(__xludf.DUMMYFUNCTION("""COMPUTED_VALUE"""),"МинЖКХ")</f>
        <v>МинЖКХ</v>
      </c>
      <c r="E280" s="20" t="str">
        <f ca="1">IFERROR(__xludf.DUMMYFUNCTION("""COMPUTED_VALUE"""),"Строительство БМК мощностью 1,2 МВт , д. Щемилово, г.о. Богородский")</f>
        <v>Строительство БМК мощностью 1,2 МВт , д. Щемилово, г.о. Богородский</v>
      </c>
      <c r="F280" s="32" t="str">
        <f ca="1">IFERROR(__xludf.DUMMYFUNCTION("""COMPUTED_VALUE"""),"БМК")</f>
        <v>БМК</v>
      </c>
      <c r="G280" s="20">
        <f ca="1">IFERROR(__xludf.DUMMYFUNCTION("""COMPUTED_VALUE"""),2022)</f>
        <v>2022</v>
      </c>
      <c r="H280" s="20" t="str">
        <f ca="1">IFERROR(__xludf.DUMMYFUNCTION("""COMPUTED_VALUE"""),"СМР")</f>
        <v>СМР</v>
      </c>
      <c r="I280" s="20"/>
      <c r="J280" s="20"/>
      <c r="K280" s="20"/>
      <c r="L280" s="20"/>
      <c r="M280" s="20"/>
      <c r="N280" s="24">
        <f ca="1">IFERROR(__xludf.DUMMYFUNCTION("""COMPUTED_VALUE"""),0)</f>
        <v>0</v>
      </c>
      <c r="O280" s="20"/>
      <c r="P280" s="20"/>
      <c r="Q280" s="20"/>
      <c r="R280" s="20"/>
      <c r="S280" s="20"/>
      <c r="T280" s="20"/>
      <c r="U280" s="24">
        <f ca="1">IFERROR(__xludf.DUMMYFUNCTION("""COMPUTED_VALUE"""),0)</f>
        <v>0</v>
      </c>
      <c r="V280" s="24">
        <f ca="1">IFERROR(__xludf.DUMMYFUNCTION("""COMPUTED_VALUE"""),0)</f>
        <v>0</v>
      </c>
      <c r="W280" s="24">
        <f ca="1">IFERROR(__xludf.DUMMYFUNCTION("""COMPUTED_VALUE"""),0)</f>
        <v>0</v>
      </c>
      <c r="X280" s="24">
        <f ca="1">IFERROR(__xludf.DUMMYFUNCTION("""COMPUTED_VALUE"""),0)</f>
        <v>0</v>
      </c>
      <c r="Y280" s="24">
        <f ca="1">IFERROR(__xludf.DUMMYFUNCTION("""COMPUTED_VALUE"""),0)</f>
        <v>0</v>
      </c>
      <c r="Z280" s="24">
        <f ca="1">IFERROR(__xludf.DUMMYFUNCTION("""COMPUTED_VALUE"""),0)</f>
        <v>0</v>
      </c>
      <c r="AA280" s="20" t="str">
        <f ca="1">IFERROR(__xludf.DUMMYFUNCTION("""COMPUTED_VALUE"""),"10 3 02 64080")</f>
        <v>10 3 02 64080</v>
      </c>
      <c r="AB280" s="20">
        <f ca="1">IFERROR(__xludf.DUMMYFUNCTION("""COMPUTED_VALUE"""),522)</f>
        <v>522</v>
      </c>
      <c r="AC280" s="20"/>
      <c r="AD280" s="20"/>
      <c r="AE280" s="20"/>
      <c r="AF280" s="24">
        <f ca="1">IFERROR(__xludf.DUMMYFUNCTION("""COMPUTED_VALUE"""),19636)</f>
        <v>19636</v>
      </c>
      <c r="AG280" s="24">
        <f ca="1">IFERROR(__xludf.DUMMYFUNCTION("""COMPUTED_VALUE"""),0)</f>
        <v>0</v>
      </c>
      <c r="AH280" s="24">
        <f ca="1">IFERROR(__xludf.DUMMYFUNCTION("""COMPUTED_VALUE"""),14766)</f>
        <v>14766</v>
      </c>
      <c r="AI280" s="24">
        <f ca="1">IFERROR(__xludf.DUMMYFUNCTION("""COMPUTED_VALUE"""),0)</f>
        <v>0</v>
      </c>
      <c r="AJ280" s="24">
        <f ca="1">IFERROR(__xludf.DUMMYFUNCTION("""COMPUTED_VALUE"""),4870)</f>
        <v>4870</v>
      </c>
      <c r="AK280" s="24">
        <f ca="1">IFERROR(__xludf.DUMMYFUNCTION("""COMPUTED_VALUE"""),0)</f>
        <v>0</v>
      </c>
      <c r="AL280" s="24">
        <f ca="1">IFERROR(__xludf.DUMMYFUNCTION("""COMPUTED_VALUE"""),0)</f>
        <v>0</v>
      </c>
      <c r="AM280" s="20"/>
      <c r="AN280" s="20"/>
      <c r="AO280" s="20"/>
      <c r="AP280" s="20"/>
      <c r="AQ280" s="20"/>
      <c r="AR280" s="24">
        <f ca="1">IFERROR(__xludf.DUMMYFUNCTION("""COMPUTED_VALUE"""),0)</f>
        <v>0</v>
      </c>
      <c r="AS280" s="20"/>
      <c r="AT280" s="20"/>
      <c r="AU280" s="20"/>
      <c r="AV280" s="20"/>
      <c r="AW280" s="20"/>
      <c r="AX280" s="24">
        <f ca="1">IFERROR(__xludf.DUMMYFUNCTION("""COMPUTED_VALUE"""),0)</f>
        <v>0</v>
      </c>
      <c r="AY280" s="24">
        <f ca="1">IFERROR(__xludf.DUMMYFUNCTION("""COMPUTED_VALUE"""),0)</f>
        <v>0</v>
      </c>
      <c r="AZ280" s="24">
        <f ca="1">IFERROR(__xludf.DUMMYFUNCTION("""COMPUTED_VALUE"""),0)</f>
        <v>0</v>
      </c>
      <c r="BA280" s="24">
        <f ca="1">IFERROR(__xludf.DUMMYFUNCTION("""COMPUTED_VALUE"""),0)</f>
        <v>0</v>
      </c>
      <c r="BB280" s="24">
        <f ca="1">IFERROR(__xludf.DUMMYFUNCTION("""COMPUTED_VALUE"""),0)</f>
        <v>0</v>
      </c>
      <c r="BC280" s="20"/>
      <c r="BD280" s="24">
        <f ca="1">IFERROR(__xludf.DUMMYFUNCTION("""COMPUTED_VALUE"""),0)</f>
        <v>0</v>
      </c>
      <c r="BE280" s="24">
        <f ca="1">IFERROR(__xludf.DUMMYFUNCTION("""COMPUTED_VALUE"""),0)</f>
        <v>0</v>
      </c>
      <c r="BF280" s="24">
        <f ca="1">IFERROR(__xludf.DUMMYFUNCTION("""COMPUTED_VALUE"""),0)</f>
        <v>0</v>
      </c>
      <c r="BG280" s="24">
        <f ca="1">IFERROR(__xludf.DUMMYFUNCTION("""COMPUTED_VALUE"""),0)</f>
        <v>0</v>
      </c>
      <c r="BH280" s="24">
        <f ca="1">IFERROR(__xludf.DUMMYFUNCTION("""COMPUTED_VALUE"""),0)</f>
        <v>0</v>
      </c>
      <c r="BI280" s="20"/>
      <c r="BJ280" s="24">
        <f ca="1">IFERROR(__xludf.DUMMYFUNCTION("""COMPUTED_VALUE"""),19636)</f>
        <v>19636</v>
      </c>
      <c r="BK280" s="24">
        <f ca="1">IFERROR(__xludf.DUMMYFUNCTION("""COMPUTED_VALUE"""),0)</f>
        <v>0</v>
      </c>
      <c r="BL280" s="24">
        <f ca="1">IFERROR(__xludf.DUMMYFUNCTION("""COMPUTED_VALUE"""),14766)</f>
        <v>14766</v>
      </c>
      <c r="BM280" s="24">
        <f ca="1">IFERROR(__xludf.DUMMYFUNCTION("""COMPUTED_VALUE"""),0)</f>
        <v>0</v>
      </c>
      <c r="BN280" s="24">
        <f ca="1">IFERROR(__xludf.DUMMYFUNCTION("""COMPUTED_VALUE"""),4870)</f>
        <v>4870</v>
      </c>
      <c r="BO280" s="20"/>
      <c r="BP280" s="24">
        <f ca="1">IFERROR(__xludf.DUMMYFUNCTION("""COMPUTED_VALUE"""),0)</f>
        <v>0</v>
      </c>
      <c r="BQ280" s="24">
        <f ca="1">IFERROR(__xludf.DUMMYFUNCTION("""COMPUTED_VALUE"""),0)</f>
        <v>0</v>
      </c>
      <c r="BR280" s="24">
        <f ca="1">IFERROR(__xludf.DUMMYFUNCTION("""COMPUTED_VALUE"""),0)</f>
        <v>0</v>
      </c>
      <c r="BS280" s="24">
        <f ca="1">IFERROR(__xludf.DUMMYFUNCTION("""COMPUTED_VALUE"""),0)</f>
        <v>0</v>
      </c>
      <c r="BT280" s="24">
        <f ca="1">IFERROR(__xludf.DUMMYFUNCTION("""COMPUTED_VALUE"""),0)</f>
        <v>0</v>
      </c>
      <c r="BU280" s="20"/>
      <c r="BV280" s="24">
        <f ca="1">IFERROR(__xludf.DUMMYFUNCTION("""COMPUTED_VALUE"""),0)</f>
        <v>0</v>
      </c>
      <c r="BW280" s="24">
        <f ca="1">IFERROR(__xludf.DUMMYFUNCTION("""COMPUTED_VALUE"""),0)</f>
        <v>0</v>
      </c>
      <c r="BX280" s="24">
        <f ca="1">IFERROR(__xludf.DUMMYFUNCTION("""COMPUTED_VALUE"""),0)</f>
        <v>0</v>
      </c>
      <c r="BY280" s="24">
        <f ca="1">IFERROR(__xludf.DUMMYFUNCTION("""COMPUTED_VALUE"""),0)</f>
        <v>0</v>
      </c>
      <c r="BZ280" s="24">
        <f ca="1">IFERROR(__xludf.DUMMYFUNCTION("""COMPUTED_VALUE"""),0)</f>
        <v>0</v>
      </c>
      <c r="CA280" s="20"/>
      <c r="CB280" s="20"/>
      <c r="CC280" s="20"/>
      <c r="CD280" s="20"/>
      <c r="CE280" s="20"/>
      <c r="CF280" s="20"/>
      <c r="CG280" s="20"/>
      <c r="CH280" s="20"/>
      <c r="CI280" s="20"/>
      <c r="CJ280" s="20"/>
      <c r="CK280" s="20"/>
      <c r="CL280" s="20"/>
      <c r="CM280" s="20"/>
      <c r="CN280" s="20"/>
      <c r="CO280" s="20"/>
      <c r="CP280" s="20"/>
      <c r="CQ280" s="20"/>
      <c r="CR280" s="20"/>
      <c r="CS280" s="20"/>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row>
    <row r="281" spans="1:123" ht="64.5" hidden="1" customHeight="1" x14ac:dyDescent="0.2">
      <c r="A281" s="19"/>
      <c r="B281" s="20" t="str">
        <f ca="1">IFERROR(__xludf.DUMMYFUNCTION("""COMPUTED_VALUE"""),"г.о. Богородский")</f>
        <v>г.о. Богородский</v>
      </c>
      <c r="C28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1" s="20" t="str">
        <f ca="1">IFERROR(__xludf.DUMMYFUNCTION("""COMPUTED_VALUE"""),"МинЖКХ")</f>
        <v>МинЖКХ</v>
      </c>
      <c r="E281" s="20" t="str">
        <f ca="1">IFERROR(__xludf.DUMMYFUNCTION("""COMPUTED_VALUE"""),"Строительство БМК мощностью 1 МВт , д. Щемилово, г.о. Богородский")</f>
        <v>Строительство БМК мощностью 1 МВт , д. Щемилово, г.о. Богородский</v>
      </c>
      <c r="F281" s="32" t="str">
        <f ca="1">IFERROR(__xludf.DUMMYFUNCTION("""COMPUTED_VALUE"""),"БМК")</f>
        <v>БМК</v>
      </c>
      <c r="G281" s="20">
        <f ca="1">IFERROR(__xludf.DUMMYFUNCTION("""COMPUTED_VALUE"""),2022)</f>
        <v>2022</v>
      </c>
      <c r="H281" s="20" t="str">
        <f ca="1">IFERROR(__xludf.DUMMYFUNCTION("""COMPUTED_VALUE"""),"СМР")</f>
        <v>СМР</v>
      </c>
      <c r="I281" s="20"/>
      <c r="J281" s="20"/>
      <c r="K281" s="20"/>
      <c r="L281" s="20"/>
      <c r="M281" s="20"/>
      <c r="N281" s="24">
        <f ca="1">IFERROR(__xludf.DUMMYFUNCTION("""COMPUTED_VALUE"""),0)</f>
        <v>0</v>
      </c>
      <c r="O281" s="20"/>
      <c r="P281" s="20"/>
      <c r="Q281" s="20"/>
      <c r="R281" s="20"/>
      <c r="S281" s="20"/>
      <c r="T281" s="20"/>
      <c r="U281" s="24">
        <f ca="1">IFERROR(__xludf.DUMMYFUNCTION("""COMPUTED_VALUE"""),0)</f>
        <v>0</v>
      </c>
      <c r="V281" s="24">
        <f ca="1">IFERROR(__xludf.DUMMYFUNCTION("""COMPUTED_VALUE"""),0)</f>
        <v>0</v>
      </c>
      <c r="W281" s="24">
        <f ca="1">IFERROR(__xludf.DUMMYFUNCTION("""COMPUTED_VALUE"""),0)</f>
        <v>0</v>
      </c>
      <c r="X281" s="24">
        <f ca="1">IFERROR(__xludf.DUMMYFUNCTION("""COMPUTED_VALUE"""),0)</f>
        <v>0</v>
      </c>
      <c r="Y281" s="24">
        <f ca="1">IFERROR(__xludf.DUMMYFUNCTION("""COMPUTED_VALUE"""),0)</f>
        <v>0</v>
      </c>
      <c r="Z281" s="24">
        <f ca="1">IFERROR(__xludf.DUMMYFUNCTION("""COMPUTED_VALUE"""),0)</f>
        <v>0</v>
      </c>
      <c r="AA281" s="20" t="str">
        <f ca="1">IFERROR(__xludf.DUMMYFUNCTION("""COMPUTED_VALUE"""),"10 3 02 64080")</f>
        <v>10 3 02 64080</v>
      </c>
      <c r="AB281" s="20">
        <f ca="1">IFERROR(__xludf.DUMMYFUNCTION("""COMPUTED_VALUE"""),522)</f>
        <v>522</v>
      </c>
      <c r="AC281" s="20"/>
      <c r="AD281" s="20"/>
      <c r="AE281" s="20"/>
      <c r="AF281" s="24">
        <f ca="1">IFERROR(__xludf.DUMMYFUNCTION("""COMPUTED_VALUE"""),16636)</f>
        <v>16636</v>
      </c>
      <c r="AG281" s="24">
        <f ca="1">IFERROR(__xludf.DUMMYFUNCTION("""COMPUTED_VALUE"""),0)</f>
        <v>0</v>
      </c>
      <c r="AH281" s="24">
        <f ca="1">IFERROR(__xludf.DUMMYFUNCTION("""COMPUTED_VALUE"""),12510)</f>
        <v>12510</v>
      </c>
      <c r="AI281" s="24">
        <f ca="1">IFERROR(__xludf.DUMMYFUNCTION("""COMPUTED_VALUE"""),0)</f>
        <v>0</v>
      </c>
      <c r="AJ281" s="24">
        <f ca="1">IFERROR(__xludf.DUMMYFUNCTION("""COMPUTED_VALUE"""),4126)</f>
        <v>4126</v>
      </c>
      <c r="AK281" s="24">
        <f ca="1">IFERROR(__xludf.DUMMYFUNCTION("""COMPUTED_VALUE"""),0)</f>
        <v>0</v>
      </c>
      <c r="AL281" s="24">
        <f ca="1">IFERROR(__xludf.DUMMYFUNCTION("""COMPUTED_VALUE"""),0)</f>
        <v>0</v>
      </c>
      <c r="AM281" s="20"/>
      <c r="AN281" s="20"/>
      <c r="AO281" s="20"/>
      <c r="AP281" s="20"/>
      <c r="AQ281" s="20"/>
      <c r="AR281" s="24">
        <f ca="1">IFERROR(__xludf.DUMMYFUNCTION("""COMPUTED_VALUE"""),0)</f>
        <v>0</v>
      </c>
      <c r="AS281" s="20"/>
      <c r="AT281" s="20"/>
      <c r="AU281" s="20"/>
      <c r="AV281" s="20"/>
      <c r="AW281" s="20"/>
      <c r="AX281" s="24">
        <f ca="1">IFERROR(__xludf.DUMMYFUNCTION("""COMPUTED_VALUE"""),0)</f>
        <v>0</v>
      </c>
      <c r="AY281" s="24">
        <f ca="1">IFERROR(__xludf.DUMMYFUNCTION("""COMPUTED_VALUE"""),0)</f>
        <v>0</v>
      </c>
      <c r="AZ281" s="24">
        <f ca="1">IFERROR(__xludf.DUMMYFUNCTION("""COMPUTED_VALUE"""),0)</f>
        <v>0</v>
      </c>
      <c r="BA281" s="24">
        <f ca="1">IFERROR(__xludf.DUMMYFUNCTION("""COMPUTED_VALUE"""),0)</f>
        <v>0</v>
      </c>
      <c r="BB281" s="24">
        <f ca="1">IFERROR(__xludf.DUMMYFUNCTION("""COMPUTED_VALUE"""),0)</f>
        <v>0</v>
      </c>
      <c r="BC281" s="20"/>
      <c r="BD281" s="24">
        <f ca="1">IFERROR(__xludf.DUMMYFUNCTION("""COMPUTED_VALUE"""),0)</f>
        <v>0</v>
      </c>
      <c r="BE281" s="24">
        <f ca="1">IFERROR(__xludf.DUMMYFUNCTION("""COMPUTED_VALUE"""),0)</f>
        <v>0</v>
      </c>
      <c r="BF281" s="24">
        <f ca="1">IFERROR(__xludf.DUMMYFUNCTION("""COMPUTED_VALUE"""),0)</f>
        <v>0</v>
      </c>
      <c r="BG281" s="24">
        <f ca="1">IFERROR(__xludf.DUMMYFUNCTION("""COMPUTED_VALUE"""),0)</f>
        <v>0</v>
      </c>
      <c r="BH281" s="24">
        <f ca="1">IFERROR(__xludf.DUMMYFUNCTION("""COMPUTED_VALUE"""),0)</f>
        <v>0</v>
      </c>
      <c r="BI281" s="20"/>
      <c r="BJ281" s="24">
        <f ca="1">IFERROR(__xludf.DUMMYFUNCTION("""COMPUTED_VALUE"""),16636)</f>
        <v>16636</v>
      </c>
      <c r="BK281" s="24">
        <f ca="1">IFERROR(__xludf.DUMMYFUNCTION("""COMPUTED_VALUE"""),0)</f>
        <v>0</v>
      </c>
      <c r="BL281" s="24">
        <f ca="1">IFERROR(__xludf.DUMMYFUNCTION("""COMPUTED_VALUE"""),12510)</f>
        <v>12510</v>
      </c>
      <c r="BM281" s="24">
        <f ca="1">IFERROR(__xludf.DUMMYFUNCTION("""COMPUTED_VALUE"""),0)</f>
        <v>0</v>
      </c>
      <c r="BN281" s="24">
        <f ca="1">IFERROR(__xludf.DUMMYFUNCTION("""COMPUTED_VALUE"""),4126)</f>
        <v>4126</v>
      </c>
      <c r="BO281" s="20"/>
      <c r="BP281" s="24">
        <f ca="1">IFERROR(__xludf.DUMMYFUNCTION("""COMPUTED_VALUE"""),0)</f>
        <v>0</v>
      </c>
      <c r="BQ281" s="24">
        <f ca="1">IFERROR(__xludf.DUMMYFUNCTION("""COMPUTED_VALUE"""),0)</f>
        <v>0</v>
      </c>
      <c r="BR281" s="24">
        <f ca="1">IFERROR(__xludf.DUMMYFUNCTION("""COMPUTED_VALUE"""),0)</f>
        <v>0</v>
      </c>
      <c r="BS281" s="24">
        <f ca="1">IFERROR(__xludf.DUMMYFUNCTION("""COMPUTED_VALUE"""),0)</f>
        <v>0</v>
      </c>
      <c r="BT281" s="24">
        <f ca="1">IFERROR(__xludf.DUMMYFUNCTION("""COMPUTED_VALUE"""),0)</f>
        <v>0</v>
      </c>
      <c r="BU281" s="20"/>
      <c r="BV281" s="24">
        <f ca="1">IFERROR(__xludf.DUMMYFUNCTION("""COMPUTED_VALUE"""),0)</f>
        <v>0</v>
      </c>
      <c r="BW281" s="24">
        <f ca="1">IFERROR(__xludf.DUMMYFUNCTION("""COMPUTED_VALUE"""),0)</f>
        <v>0</v>
      </c>
      <c r="BX281" s="24">
        <f ca="1">IFERROR(__xludf.DUMMYFUNCTION("""COMPUTED_VALUE"""),0)</f>
        <v>0</v>
      </c>
      <c r="BY281" s="24">
        <f ca="1">IFERROR(__xludf.DUMMYFUNCTION("""COMPUTED_VALUE"""),0)</f>
        <v>0</v>
      </c>
      <c r="BZ281" s="24">
        <f ca="1">IFERROR(__xludf.DUMMYFUNCTION("""COMPUTED_VALUE"""),0)</f>
        <v>0</v>
      </c>
      <c r="CA281" s="20"/>
      <c r="CB281" s="20"/>
      <c r="CC281" s="20"/>
      <c r="CD281" s="20"/>
      <c r="CE281" s="20"/>
      <c r="CF281" s="20"/>
      <c r="CG281" s="20"/>
      <c r="CH281" s="20"/>
      <c r="CI281" s="20"/>
      <c r="CJ281" s="20"/>
      <c r="CK281" s="20"/>
      <c r="CL281" s="20"/>
      <c r="CM281" s="20"/>
      <c r="CN281" s="20"/>
      <c r="CO281" s="20"/>
      <c r="CP281" s="20"/>
      <c r="CQ281" s="20"/>
      <c r="CR281" s="20"/>
      <c r="CS281" s="20"/>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row>
    <row r="282" spans="1:123" ht="64.5" customHeight="1" x14ac:dyDescent="0.2">
      <c r="A282" s="19"/>
      <c r="B282" s="20" t="str">
        <f ca="1">IFERROR(__xludf.DUMMYFUNCTION("""COMPUTED_VALUE"""),"г.о. Балашиха")</f>
        <v>г.о. Балашиха</v>
      </c>
      <c r="C282"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2" s="20" t="str">
        <f ca="1">IFERROR(__xludf.DUMMYFUNCTION("""COMPUTED_VALUE"""),"МинЖКХ")</f>
        <v>МинЖКХ</v>
      </c>
      <c r="E282" s="20" t="str">
        <f ca="1">IFERROR(__xludf.DUMMYFUNCTION("""COMPUTED_VALUE"""),"Капитальный ремонт сетей водоснабжения мкр. Железнодорожный, г.о. Балашиха (1 и 2 этапы) ")</f>
        <v xml:space="preserve">Капитальный ремонт сетей водоснабжения мкр. Железнодорожный, г.о. Балашиха (1 и 2 этапы) </v>
      </c>
      <c r="F282" s="32" t="str">
        <f ca="1">IFERROR(__xludf.DUMMYFUNCTION("""COMPUTED_VALUE"""),"Сети")</f>
        <v>Сети</v>
      </c>
      <c r="G282" s="20" t="str">
        <f ca="1">IFERROR(__xludf.DUMMYFUNCTION("""COMPUTED_VALUE"""),"2020-2021")</f>
        <v>2020-2021</v>
      </c>
      <c r="H282" s="20" t="str">
        <f ca="1">IFERROR(__xludf.DUMMYFUNCTION("""COMPUTED_VALUE"""),"СМР")</f>
        <v>СМР</v>
      </c>
      <c r="I282" s="20"/>
      <c r="J282" s="20" t="str">
        <f ca="1">IFERROR(__xludf.DUMMYFUNCTION("""COMPUTED_VALUE"""),"Мероприятие реализуется в два этапа. 
1) 1-й участок - по результатам торгов победителем признан ООО ""Балашихинский водоканал"".
Ориентировочная дата заключения контракта 23.11.2020. 
2) 2-й участок - проект находится на рассмотрении в МОГЭ с 16.10.2020."&amp;" Плановая дата получения заключения 27.11.2020. Публикация закупки и заключение контракта - декабрь 2020 года. Освоение лимитов 2020 года планируется за счет выплаты аванса.")</f>
        <v>Мероприятие реализуется в два этапа. 
1) 1-й участок - по результатам торгов победителем признан ООО "Балашихинский водоканал".
Ориентировочная дата заключения контракта 23.11.2020. 
2) 2-й участок - проект находится на рассмотрении в МОГЭ с 16.10.2020. Плановая дата получения заключения 27.11.2020. Публикация закупки и заключение контракта - декабрь 2020 года. Освоение лимитов 2020 года планируется за счет выплаты аванса.</v>
      </c>
      <c r="K282" s="20">
        <f ca="1">IFERROR(__xludf.DUMMYFUNCTION("""COMPUTED_VALUE"""),135000)</f>
        <v>135000</v>
      </c>
      <c r="L282" s="20">
        <f ca="1">IFERROR(__xludf.DUMMYFUNCTION("""COMPUTED_VALUE"""),135000)</f>
        <v>135000</v>
      </c>
      <c r="M282" s="20"/>
      <c r="N282" s="24">
        <f ca="1">IFERROR(__xludf.DUMMYFUNCTION("""COMPUTED_VALUE"""),57248.62)</f>
        <v>57248.62</v>
      </c>
      <c r="O282" s="20"/>
      <c r="P282" s="24">
        <f ca="1">IFERROR(__xludf.DUMMYFUNCTION("""COMPUTED_VALUE"""),0)</f>
        <v>0</v>
      </c>
      <c r="Q282" s="24">
        <f ca="1">IFERROR(__xludf.DUMMYFUNCTION("""COMPUTED_VALUE"""),57248.62)</f>
        <v>57248.62</v>
      </c>
      <c r="R282" s="20"/>
      <c r="S282" s="20"/>
      <c r="T282" s="20" t="str">
        <f ca="1">IFERROR(__xludf.DUMMYFUNCTION("""COMPUTED_VALUE"""),"Заключение МОГЭ не получено. ДК в соответствии с запросом № 12Исх/З-1458 не представлена.
В связи с отсутсвием положительного заключения государственной экспертизы реализации второго этапа, присутствует риск не освоения лимитов 2020 года.")</f>
        <v>Заключение МОГЭ не получено. ДК в соответствии с запросом № 12Исх/З-1458 не представлена.
В связи с отсутсвием положительного заключения государственной экспертизы реализации второго этапа, присутствует риск не освоения лимитов 2020 года.</v>
      </c>
      <c r="U282" s="24">
        <f ca="1">IFERROR(__xludf.DUMMYFUNCTION("""COMPUTED_VALUE"""),93711.38)</f>
        <v>93711.38</v>
      </c>
      <c r="V282" s="24">
        <f ca="1">IFERROR(__xludf.DUMMYFUNCTION("""COMPUTED_VALUE"""),0)</f>
        <v>0</v>
      </c>
      <c r="W282" s="24">
        <f ca="1">IFERROR(__xludf.DUMMYFUNCTION("""COMPUTED_VALUE"""),0)</f>
        <v>0</v>
      </c>
      <c r="X282" s="24">
        <f ca="1">IFERROR(__xludf.DUMMYFUNCTION("""COMPUTED_VALUE"""),60047.38)</f>
        <v>60047.38</v>
      </c>
      <c r="Y282" s="24">
        <f ca="1">IFERROR(__xludf.DUMMYFUNCTION("""COMPUTED_VALUE"""),33664)</f>
        <v>33664</v>
      </c>
      <c r="Z282" s="24">
        <f ca="1">IFERROR(__xludf.DUMMYFUNCTION("""COMPUTED_VALUE"""),0)</f>
        <v>0</v>
      </c>
      <c r="AA282" s="20" t="str">
        <f ca="1">IFERROR(__xludf.DUMMYFUNCTION("""COMPUTED_VALUE"""),"10 3 02 60320")</f>
        <v>10 3 02 60320</v>
      </c>
      <c r="AB282" s="20">
        <f ca="1">IFERROR(__xludf.DUMMYFUNCTION("""COMPUTED_VALUE"""),521)</f>
        <v>521</v>
      </c>
      <c r="AC282" s="20"/>
      <c r="AD282" s="20"/>
      <c r="AE282" s="20"/>
      <c r="AF282" s="24">
        <f ca="1">IFERROR(__xludf.DUMMYFUNCTION("""COMPUTED_VALUE"""),251600)</f>
        <v>251600</v>
      </c>
      <c r="AG282" s="24">
        <f ca="1">IFERROR(__xludf.DUMMYFUNCTION("""COMPUTED_VALUE"""),0)</f>
        <v>0</v>
      </c>
      <c r="AH282" s="24">
        <f ca="1">IFERROR(__xludf.DUMMYFUNCTION("""COMPUTED_VALUE"""),78198)</f>
        <v>78198</v>
      </c>
      <c r="AI282" s="24">
        <f ca="1">IFERROR(__xludf.DUMMYFUNCTION("""COMPUTED_VALUE"""),117296)</f>
        <v>117296</v>
      </c>
      <c r="AJ282" s="24">
        <f ca="1">IFERROR(__xludf.DUMMYFUNCTION("""COMPUTED_VALUE"""),56106)</f>
        <v>56106</v>
      </c>
      <c r="AK282" s="24">
        <f ca="1">IFERROR(__xludf.DUMMYFUNCTION("""COMPUTED_VALUE"""),0)</f>
        <v>0</v>
      </c>
      <c r="AL282" s="24">
        <f ca="1">IFERROR(__xludf.DUMMYFUNCTION("""COMPUTED_VALUE"""),0)</f>
        <v>0</v>
      </c>
      <c r="AM282" s="20"/>
      <c r="AN282" s="20"/>
      <c r="AO282" s="20"/>
      <c r="AP282" s="20"/>
      <c r="AQ282" s="20"/>
      <c r="AR282" s="24">
        <f ca="1">IFERROR(__xludf.DUMMYFUNCTION("""COMPUTED_VALUE"""),0)</f>
        <v>0</v>
      </c>
      <c r="AS282" s="20"/>
      <c r="AT282" s="20"/>
      <c r="AU282" s="20"/>
      <c r="AV282" s="20"/>
      <c r="AW282" s="20"/>
      <c r="AX282" s="24">
        <f ca="1">IFERROR(__xludf.DUMMYFUNCTION("""COMPUTED_VALUE"""),150960)</f>
        <v>150960</v>
      </c>
      <c r="AY282" s="24">
        <f ca="1">IFERROR(__xludf.DUMMYFUNCTION("""COMPUTED_VALUE"""),0)</f>
        <v>0</v>
      </c>
      <c r="AZ282" s="24">
        <f ca="1">IFERROR(__xludf.DUMMYFUNCTION("""COMPUTED_VALUE"""),0)</f>
        <v>0</v>
      </c>
      <c r="BA282" s="24">
        <f ca="1">IFERROR(__xludf.DUMMYFUNCTION("""COMPUTED_VALUE"""),117296)</f>
        <v>117296</v>
      </c>
      <c r="BB282" s="24">
        <f ca="1">IFERROR(__xludf.DUMMYFUNCTION("""COMPUTED_VALUE"""),33664)</f>
        <v>33664</v>
      </c>
      <c r="BC282" s="20"/>
      <c r="BD282" s="24">
        <f ca="1">IFERROR(__xludf.DUMMYFUNCTION("""COMPUTED_VALUE"""),100640)</f>
        <v>100640</v>
      </c>
      <c r="BE282" s="24">
        <f ca="1">IFERROR(__xludf.DUMMYFUNCTION("""COMPUTED_VALUE"""),0)</f>
        <v>0</v>
      </c>
      <c r="BF282" s="24">
        <f ca="1">IFERROR(__xludf.DUMMYFUNCTION("""COMPUTED_VALUE"""),78198)</f>
        <v>78198</v>
      </c>
      <c r="BG282" s="24">
        <f ca="1">IFERROR(__xludf.DUMMYFUNCTION("""COMPUTED_VALUE"""),0)</f>
        <v>0</v>
      </c>
      <c r="BH282" s="24">
        <f ca="1">IFERROR(__xludf.DUMMYFUNCTION("""COMPUTED_VALUE"""),22442)</f>
        <v>22442</v>
      </c>
      <c r="BI282" s="20"/>
      <c r="BJ282" s="24">
        <f ca="1">IFERROR(__xludf.DUMMYFUNCTION("""COMPUTED_VALUE"""),0)</f>
        <v>0</v>
      </c>
      <c r="BK282" s="24">
        <f ca="1">IFERROR(__xludf.DUMMYFUNCTION("""COMPUTED_VALUE"""),0)</f>
        <v>0</v>
      </c>
      <c r="BL282" s="24">
        <f ca="1">IFERROR(__xludf.DUMMYFUNCTION("""COMPUTED_VALUE"""),0)</f>
        <v>0</v>
      </c>
      <c r="BM282" s="24">
        <f ca="1">IFERROR(__xludf.DUMMYFUNCTION("""COMPUTED_VALUE"""),0)</f>
        <v>0</v>
      </c>
      <c r="BN282" s="24">
        <f ca="1">IFERROR(__xludf.DUMMYFUNCTION("""COMPUTED_VALUE"""),0)</f>
        <v>0</v>
      </c>
      <c r="BO282" s="20"/>
      <c r="BP282" s="24">
        <f ca="1">IFERROR(__xludf.DUMMYFUNCTION("""COMPUTED_VALUE"""),0)</f>
        <v>0</v>
      </c>
      <c r="BQ282" s="24">
        <f ca="1">IFERROR(__xludf.DUMMYFUNCTION("""COMPUTED_VALUE"""),0)</f>
        <v>0</v>
      </c>
      <c r="BR282" s="24">
        <f ca="1">IFERROR(__xludf.DUMMYFUNCTION("""COMPUTED_VALUE"""),0)</f>
        <v>0</v>
      </c>
      <c r="BS282" s="24">
        <f ca="1">IFERROR(__xludf.DUMMYFUNCTION("""COMPUTED_VALUE"""),0)</f>
        <v>0</v>
      </c>
      <c r="BT282" s="24">
        <f ca="1">IFERROR(__xludf.DUMMYFUNCTION("""COMPUTED_VALUE"""),0)</f>
        <v>0</v>
      </c>
      <c r="BU282" s="20"/>
      <c r="BV282" s="24">
        <f ca="1">IFERROR(__xludf.DUMMYFUNCTION("""COMPUTED_VALUE"""),0)</f>
        <v>0</v>
      </c>
      <c r="BW282" s="24">
        <f ca="1">IFERROR(__xludf.DUMMYFUNCTION("""COMPUTED_VALUE"""),0)</f>
        <v>0</v>
      </c>
      <c r="BX282" s="24">
        <f ca="1">IFERROR(__xludf.DUMMYFUNCTION("""COMPUTED_VALUE"""),0)</f>
        <v>0</v>
      </c>
      <c r="BY282" s="24">
        <f ca="1">IFERROR(__xludf.DUMMYFUNCTION("""COMPUTED_VALUE"""),0)</f>
        <v>0</v>
      </c>
      <c r="BZ282" s="24">
        <f ca="1">IFERROR(__xludf.DUMMYFUNCTION("""COMPUTED_VALUE"""),0)</f>
        <v>0</v>
      </c>
      <c r="CA282" s="20"/>
      <c r="CB282" s="20"/>
      <c r="CC282" s="20"/>
      <c r="CD282" s="20"/>
      <c r="CE282" s="20"/>
      <c r="CF282" s="20"/>
      <c r="CG282" s="20"/>
      <c r="CH282" s="20"/>
      <c r="CI282" s="20"/>
      <c r="CJ282" s="33">
        <f ca="1">IFERROR(__xludf.DUMMYFUNCTION("""COMPUTED_VALUE"""),43971)</f>
        <v>43971</v>
      </c>
      <c r="CK282" s="20" t="str">
        <f ca="1">IFERROR(__xludf.DUMMYFUNCTION("""COMPUTED_VALUE"""),"14.10.2020                18.12.2020(2 этап)")</f>
        <v>14.10.2020                18.12.2020(2 этап)</v>
      </c>
      <c r="CL282" s="20" t="str">
        <f ca="1">IFERROR(__xludf.DUMMYFUNCTION("""COMPUTED_VALUE"""),"50-1-1-2-1662-20 ")</f>
        <v xml:space="preserve">50-1-1-2-1662-20 </v>
      </c>
      <c r="CM282" s="20"/>
      <c r="CN282" s="20"/>
      <c r="CO282" s="20"/>
      <c r="CP282" s="20"/>
      <c r="CQ282" s="20"/>
      <c r="CR282" s="20"/>
      <c r="CS282" s="20"/>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row>
    <row r="283" spans="1:123" ht="64.5" hidden="1" customHeight="1" x14ac:dyDescent="0.2">
      <c r="A283" s="19"/>
      <c r="B283" s="20" t="str">
        <f ca="1">IFERROR(__xludf.DUMMYFUNCTION("""COMPUTED_VALUE"""),"г.о. Долгопрудный")</f>
        <v>г.о. Долгопрудный</v>
      </c>
      <c r="C28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3" s="20" t="str">
        <f ca="1">IFERROR(__xludf.DUMMYFUNCTION("""COMPUTED_VALUE"""),"МинЖКХ")</f>
        <v>МинЖКХ</v>
      </c>
      <c r="E283" s="20" t="str">
        <f ca="1">IFERROR(__xludf.DUMMYFUNCTION("""COMPUTED_VALUE"""),"Реконструкция котельной, расположенной по адресу: г. Долгопрудный, ул. Спортивная, д. 3а  (в т.ч. ПИР) ")</f>
        <v xml:space="preserve">Реконструкция котельной, расположенной по адресу: г. Долгопрудный, ул. Спортивная, д. 3а  (в т.ч. ПИР) </v>
      </c>
      <c r="F283" s="32" t="str">
        <f ca="1">IFERROR(__xludf.DUMMYFUNCTION("""COMPUTED_VALUE"""),"Котельная")</f>
        <v>Котельная</v>
      </c>
      <c r="G283" s="20" t="str">
        <f ca="1">IFERROR(__xludf.DUMMYFUNCTION("""COMPUTED_VALUE"""),"2021-2022")</f>
        <v>2021-2022</v>
      </c>
      <c r="H283" s="20" t="str">
        <f ca="1">IFERROR(__xludf.DUMMYFUNCTION("""COMPUTED_VALUE"""),"СМР")</f>
        <v>СМР</v>
      </c>
      <c r="I283" s="20"/>
      <c r="J283" s="20"/>
      <c r="K283" s="20">
        <f ca="1">IFERROR(__xludf.DUMMYFUNCTION("""COMPUTED_VALUE"""),18243)</f>
        <v>18243</v>
      </c>
      <c r="L283" s="20">
        <f ca="1">IFERROR(__xludf.DUMMYFUNCTION("""COMPUTED_VALUE"""),18243)</f>
        <v>18243</v>
      </c>
      <c r="M283" s="20"/>
      <c r="N283" s="24">
        <f ca="1">IFERROR(__xludf.DUMMYFUNCTION("""COMPUTED_VALUE"""),0)</f>
        <v>0</v>
      </c>
      <c r="O283" s="20"/>
      <c r="P283" s="20"/>
      <c r="Q283" s="20"/>
      <c r="R283" s="20"/>
      <c r="S283" s="20"/>
      <c r="T283" s="20"/>
      <c r="U283" s="24">
        <f ca="1">IFERROR(__xludf.DUMMYFUNCTION("""COMPUTED_VALUE"""),0)</f>
        <v>0</v>
      </c>
      <c r="V283" s="24">
        <f ca="1">IFERROR(__xludf.DUMMYFUNCTION("""COMPUTED_VALUE"""),0)</f>
        <v>0</v>
      </c>
      <c r="W283" s="24">
        <f ca="1">IFERROR(__xludf.DUMMYFUNCTION("""COMPUTED_VALUE"""),0)</f>
        <v>0</v>
      </c>
      <c r="X283" s="24">
        <f ca="1">IFERROR(__xludf.DUMMYFUNCTION("""COMPUTED_VALUE"""),0)</f>
        <v>0</v>
      </c>
      <c r="Y283" s="24">
        <f ca="1">IFERROR(__xludf.DUMMYFUNCTION("""COMPUTED_VALUE"""),0)</f>
        <v>0</v>
      </c>
      <c r="Z283" s="24">
        <f ca="1">IFERROR(__xludf.DUMMYFUNCTION("""COMPUTED_VALUE"""),0)</f>
        <v>0</v>
      </c>
      <c r="AA283" s="20" t="str">
        <f ca="1">IFERROR(__xludf.DUMMYFUNCTION("""COMPUTED_VALUE"""),"10 3 02 64080")</f>
        <v>10 3 02 64080</v>
      </c>
      <c r="AB283" s="20">
        <f ca="1">IFERROR(__xludf.DUMMYFUNCTION("""COMPUTED_VALUE"""),522)</f>
        <v>522</v>
      </c>
      <c r="AC283" s="20"/>
      <c r="AD283" s="20"/>
      <c r="AE283" s="20"/>
      <c r="AF283" s="24">
        <f ca="1">IFERROR(__xludf.DUMMYFUNCTION("""COMPUTED_VALUE"""),278576.13)</f>
        <v>278576.13</v>
      </c>
      <c r="AG283" s="24">
        <f ca="1">IFERROR(__xludf.DUMMYFUNCTION("""COMPUTED_VALUE"""),0)</f>
        <v>0</v>
      </c>
      <c r="AH283" s="24">
        <f ca="1">IFERROR(__xludf.DUMMYFUNCTION("""COMPUTED_VALUE"""),220373.7)</f>
        <v>220373.7</v>
      </c>
      <c r="AI283" s="24">
        <f ca="1">IFERROR(__xludf.DUMMYFUNCTION("""COMPUTED_VALUE"""),0)</f>
        <v>0</v>
      </c>
      <c r="AJ283" s="24">
        <f ca="1">IFERROR(__xludf.DUMMYFUNCTION("""COMPUTED_VALUE"""),58202.43)</f>
        <v>58202.43</v>
      </c>
      <c r="AK283" s="24">
        <f ca="1">IFERROR(__xludf.DUMMYFUNCTION("""COMPUTED_VALUE"""),0)</f>
        <v>0</v>
      </c>
      <c r="AL283" s="24">
        <f ca="1">IFERROR(__xludf.DUMMYFUNCTION("""COMPUTED_VALUE"""),0)</f>
        <v>0</v>
      </c>
      <c r="AM283" s="20"/>
      <c r="AN283" s="20"/>
      <c r="AO283" s="20"/>
      <c r="AP283" s="20"/>
      <c r="AQ283" s="20"/>
      <c r="AR283" s="24">
        <f ca="1">IFERROR(__xludf.DUMMYFUNCTION("""COMPUTED_VALUE"""),0)</f>
        <v>0</v>
      </c>
      <c r="AS283" s="20"/>
      <c r="AT283" s="20"/>
      <c r="AU283" s="20"/>
      <c r="AV283" s="20"/>
      <c r="AW283" s="20"/>
      <c r="AX283" s="24">
        <f ca="1">IFERROR(__xludf.DUMMYFUNCTION("""COMPUTED_VALUE"""),0)</f>
        <v>0</v>
      </c>
      <c r="AY283" s="24">
        <f ca="1">IFERROR(__xludf.DUMMYFUNCTION("""COMPUTED_VALUE"""),0)</f>
        <v>0</v>
      </c>
      <c r="AZ283" s="24">
        <f ca="1">IFERROR(__xludf.DUMMYFUNCTION("""COMPUTED_VALUE"""),0)</f>
        <v>0</v>
      </c>
      <c r="BA283" s="24">
        <f ca="1">IFERROR(__xludf.DUMMYFUNCTION("""COMPUTED_VALUE"""),0)</f>
        <v>0</v>
      </c>
      <c r="BB283" s="24">
        <f ca="1">IFERROR(__xludf.DUMMYFUNCTION("""COMPUTED_VALUE"""),0)</f>
        <v>0</v>
      </c>
      <c r="BC283" s="20"/>
      <c r="BD283" s="24">
        <f ca="1">IFERROR(__xludf.DUMMYFUNCTION("""COMPUTED_VALUE"""),55715.2299999999)</f>
        <v>55715.229999999901</v>
      </c>
      <c r="BE283" s="24">
        <f ca="1">IFERROR(__xludf.DUMMYFUNCTION("""COMPUTED_VALUE"""),0)</f>
        <v>0</v>
      </c>
      <c r="BF283" s="24">
        <f ca="1">IFERROR(__xludf.DUMMYFUNCTION("""COMPUTED_VALUE"""),45853.63)</f>
        <v>45853.63</v>
      </c>
      <c r="BG283" s="24">
        <f ca="1">IFERROR(__xludf.DUMMYFUNCTION("""COMPUTED_VALUE"""),0)</f>
        <v>0</v>
      </c>
      <c r="BH283" s="24">
        <f ca="1">IFERROR(__xludf.DUMMYFUNCTION("""COMPUTED_VALUE"""),9861.6)</f>
        <v>9861.6</v>
      </c>
      <c r="BI283" s="20"/>
      <c r="BJ283" s="24">
        <f ca="1">IFERROR(__xludf.DUMMYFUNCTION("""COMPUTED_VALUE"""),222860.9)</f>
        <v>222860.9</v>
      </c>
      <c r="BK283" s="24">
        <f ca="1">IFERROR(__xludf.DUMMYFUNCTION("""COMPUTED_VALUE"""),0)</f>
        <v>0</v>
      </c>
      <c r="BL283" s="24">
        <f ca="1">IFERROR(__xludf.DUMMYFUNCTION("""COMPUTED_VALUE"""),174520.07)</f>
        <v>174520.07</v>
      </c>
      <c r="BM283" s="24">
        <f ca="1">IFERROR(__xludf.DUMMYFUNCTION("""COMPUTED_VALUE"""),0)</f>
        <v>0</v>
      </c>
      <c r="BN283" s="24">
        <f ca="1">IFERROR(__xludf.DUMMYFUNCTION("""COMPUTED_VALUE"""),48340.83)</f>
        <v>48340.83</v>
      </c>
      <c r="BO283" s="20"/>
      <c r="BP283" s="24">
        <f ca="1">IFERROR(__xludf.DUMMYFUNCTION("""COMPUTED_VALUE"""),0)</f>
        <v>0</v>
      </c>
      <c r="BQ283" s="24">
        <f ca="1">IFERROR(__xludf.DUMMYFUNCTION("""COMPUTED_VALUE"""),0)</f>
        <v>0</v>
      </c>
      <c r="BR283" s="24">
        <f ca="1">IFERROR(__xludf.DUMMYFUNCTION("""COMPUTED_VALUE"""),0)</f>
        <v>0</v>
      </c>
      <c r="BS283" s="24">
        <f ca="1">IFERROR(__xludf.DUMMYFUNCTION("""COMPUTED_VALUE"""),0)</f>
        <v>0</v>
      </c>
      <c r="BT283" s="24">
        <f ca="1">IFERROR(__xludf.DUMMYFUNCTION("""COMPUTED_VALUE"""),0)</f>
        <v>0</v>
      </c>
      <c r="BU283" s="20"/>
      <c r="BV283" s="24">
        <f ca="1">IFERROR(__xludf.DUMMYFUNCTION("""COMPUTED_VALUE"""),0)</f>
        <v>0</v>
      </c>
      <c r="BW283" s="24">
        <f ca="1">IFERROR(__xludf.DUMMYFUNCTION("""COMPUTED_VALUE"""),0)</f>
        <v>0</v>
      </c>
      <c r="BX283" s="24">
        <f ca="1">IFERROR(__xludf.DUMMYFUNCTION("""COMPUTED_VALUE"""),0)</f>
        <v>0</v>
      </c>
      <c r="BY283" s="24">
        <f ca="1">IFERROR(__xludf.DUMMYFUNCTION("""COMPUTED_VALUE"""),0)</f>
        <v>0</v>
      </c>
      <c r="BZ283" s="24">
        <f ca="1">IFERROR(__xludf.DUMMYFUNCTION("""COMPUTED_VALUE"""),0)</f>
        <v>0</v>
      </c>
      <c r="CA283" s="20"/>
      <c r="CB283" s="20"/>
      <c r="CC283" s="20"/>
      <c r="CD283" s="20"/>
      <c r="CE283" s="20"/>
      <c r="CF283" s="20"/>
      <c r="CG283" s="20"/>
      <c r="CH283" s="20"/>
      <c r="CI283" s="20"/>
      <c r="CJ283" s="20"/>
      <c r="CK283" s="20"/>
      <c r="CL283" s="20"/>
      <c r="CM283" s="20"/>
      <c r="CN283" s="20"/>
      <c r="CO283" s="20"/>
      <c r="CP283" s="20"/>
      <c r="CQ283" s="20"/>
      <c r="CR283" s="20"/>
      <c r="CS283" s="20"/>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row>
    <row r="284" spans="1:123" ht="64.5" hidden="1" customHeight="1" x14ac:dyDescent="0.2">
      <c r="A284" s="19"/>
      <c r="B284" s="20" t="str">
        <f ca="1">IFERROR(__xludf.DUMMYFUNCTION("""COMPUTED_VALUE"""),"г.о. Волоколамский")</f>
        <v>г.о. Волоколамский</v>
      </c>
      <c r="C28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4" s="20" t="str">
        <f ca="1">IFERROR(__xludf.DUMMYFUNCTION("""COMPUTED_VALUE"""),"МинЖКХ")</f>
        <v>МинЖКХ</v>
      </c>
      <c r="E284" s="20" t="str">
        <f ca="1">IFERROR(__xludf.DUMMYFUNCTION("""COMPUTED_VALUE"""),"Строительство котельной по адресу: д. Судниково сельского поселения Спасское (в том числе ПИР) ")</f>
        <v xml:space="preserve">Строительство котельной по адресу: д. Судниково сельского поселения Спасское (в том числе ПИР) </v>
      </c>
      <c r="F284" s="32" t="str">
        <f ca="1">IFERROR(__xludf.DUMMYFUNCTION("""COMPUTED_VALUE"""),"Котельная")</f>
        <v>Котельная</v>
      </c>
      <c r="G284" s="20" t="str">
        <f ca="1">IFERROR(__xludf.DUMMYFUNCTION("""COMPUTED_VALUE"""),"2020-2021")</f>
        <v>2020-2021</v>
      </c>
      <c r="H284" s="20" t="str">
        <f ca="1">IFERROR(__xludf.DUMMYFUNCTION("""COMPUTED_VALUE"""),"СМР")</f>
        <v>СМР</v>
      </c>
      <c r="I284" s="20"/>
      <c r="J284" s="20" t="str">
        <f ca="1">IFERROR(__xludf.DUMMYFUNCTION("""COMPUTED_VALUE"""),"Риск неосвоения лимитов 2020 года. Мероприятие включено в ГП в ноябре. Находится на этапе подготовки документов для публикации закупки. Документация в МинЖКХ не поступала. Зашли в МОГЭ 13.11.2020. Принято решение разбить СМР на два года. Смета 20 348,00 т"&amp;"ыс. руб. Аванс планируют 50 %.")</f>
        <v>Риск неосвоения лимитов 2020 года. Мероприятие включено в ГП в ноябре. Находится на этапе подготовки документов для публикации закупки. Документация в МинЖКХ не поступала. Зашли в МОГЭ 13.11.2020. Принято решение разбить СМР на два года. Смета 20 348,00 тыс. руб. Аванс планируют 50 %.</v>
      </c>
      <c r="K284" s="20">
        <f ca="1">IFERROR(__xludf.DUMMYFUNCTION("""COMPUTED_VALUE"""),0)</f>
        <v>0</v>
      </c>
      <c r="L284" s="20">
        <f ca="1">IFERROR(__xludf.DUMMYFUNCTION("""COMPUTED_VALUE"""),350)</f>
        <v>350</v>
      </c>
      <c r="M284" s="20"/>
      <c r="N284" s="24">
        <f ca="1">IFERROR(__xludf.DUMMYFUNCTION("""COMPUTED_VALUE"""),0)</f>
        <v>0</v>
      </c>
      <c r="O284" s="20"/>
      <c r="P284" s="24">
        <f ca="1">IFERROR(__xludf.DUMMYFUNCTION("""COMPUTED_VALUE"""),0)</f>
        <v>0</v>
      </c>
      <c r="Q284" s="20"/>
      <c r="R284" s="20"/>
      <c r="S284" s="20"/>
      <c r="T284" s="20"/>
      <c r="U284" s="24">
        <f ca="1">IFERROR(__xludf.DUMMYFUNCTION("""COMPUTED_VALUE"""),0)</f>
        <v>0</v>
      </c>
      <c r="V284" s="24">
        <f ca="1">IFERROR(__xludf.DUMMYFUNCTION("""COMPUTED_VALUE"""),0)</f>
        <v>0</v>
      </c>
      <c r="W284" s="24">
        <f ca="1">IFERROR(__xludf.DUMMYFUNCTION("""COMPUTED_VALUE"""),0)</f>
        <v>0</v>
      </c>
      <c r="X284" s="24">
        <f ca="1">IFERROR(__xludf.DUMMYFUNCTION("""COMPUTED_VALUE"""),0)</f>
        <v>0</v>
      </c>
      <c r="Y284" s="24">
        <f ca="1">IFERROR(__xludf.DUMMYFUNCTION("""COMPUTED_VALUE"""),0)</f>
        <v>0</v>
      </c>
      <c r="Z284" s="24">
        <f ca="1">IFERROR(__xludf.DUMMYFUNCTION("""COMPUTED_VALUE"""),0)</f>
        <v>0</v>
      </c>
      <c r="AA284" s="20" t="str">
        <f ca="1">IFERROR(__xludf.DUMMYFUNCTION("""COMPUTED_VALUE"""),"10 3 02 64080")</f>
        <v>10 3 02 64080</v>
      </c>
      <c r="AB284" s="20">
        <f ca="1">IFERROR(__xludf.DUMMYFUNCTION("""COMPUTED_VALUE"""),522)</f>
        <v>522</v>
      </c>
      <c r="AC284" s="20"/>
      <c r="AD284" s="20"/>
      <c r="AE284" s="20"/>
      <c r="AF284" s="24">
        <f ca="1">IFERROR(__xludf.DUMMYFUNCTION("""COMPUTED_VALUE"""),5002.73)</f>
        <v>5002.7299999999996</v>
      </c>
      <c r="AG284" s="24">
        <f ca="1">IFERROR(__xludf.DUMMYFUNCTION("""COMPUTED_VALUE"""),0)</f>
        <v>0</v>
      </c>
      <c r="AH284" s="24">
        <f ca="1">IFERROR(__xludf.DUMMYFUNCTION("""COMPUTED_VALUE"""),4922.69)</f>
        <v>4922.6899999999996</v>
      </c>
      <c r="AI284" s="24">
        <f ca="1">IFERROR(__xludf.DUMMYFUNCTION("""COMPUTED_VALUE"""),0)</f>
        <v>0</v>
      </c>
      <c r="AJ284" s="24">
        <f ca="1">IFERROR(__xludf.DUMMYFUNCTION("""COMPUTED_VALUE"""),80.04)</f>
        <v>80.040000000000006</v>
      </c>
      <c r="AK284" s="24">
        <f ca="1">IFERROR(__xludf.DUMMYFUNCTION("""COMPUTED_VALUE"""),0)</f>
        <v>0</v>
      </c>
      <c r="AL284" s="24">
        <f ca="1">IFERROR(__xludf.DUMMYFUNCTION("""COMPUTED_VALUE"""),0)</f>
        <v>0</v>
      </c>
      <c r="AM284" s="20"/>
      <c r="AN284" s="20"/>
      <c r="AO284" s="20"/>
      <c r="AP284" s="20"/>
      <c r="AQ284" s="20"/>
      <c r="AR284" s="24">
        <f ca="1">IFERROR(__xludf.DUMMYFUNCTION("""COMPUTED_VALUE"""),0)</f>
        <v>0</v>
      </c>
      <c r="AS284" s="20"/>
      <c r="AT284" s="20"/>
      <c r="AU284" s="20"/>
      <c r="AV284" s="20"/>
      <c r="AW284" s="20"/>
      <c r="AX284" s="24">
        <f ca="1">IFERROR(__xludf.DUMMYFUNCTION("""COMPUTED_VALUE"""),0)</f>
        <v>0</v>
      </c>
      <c r="AY284" s="24">
        <f ca="1">IFERROR(__xludf.DUMMYFUNCTION("""COMPUTED_VALUE"""),0)</f>
        <v>0</v>
      </c>
      <c r="AZ284" s="24">
        <f ca="1">IFERROR(__xludf.DUMMYFUNCTION("""COMPUTED_VALUE"""),0)</f>
        <v>0</v>
      </c>
      <c r="BA284" s="24">
        <f ca="1">IFERROR(__xludf.DUMMYFUNCTION("""COMPUTED_VALUE"""),0)</f>
        <v>0</v>
      </c>
      <c r="BB284" s="24">
        <f ca="1">IFERROR(__xludf.DUMMYFUNCTION("""COMPUTED_VALUE"""),0)</f>
        <v>0</v>
      </c>
      <c r="BC284" s="20"/>
      <c r="BD284" s="24">
        <f ca="1">IFERROR(__xludf.DUMMYFUNCTION("""COMPUTED_VALUE"""),5002.73)</f>
        <v>5002.7299999999996</v>
      </c>
      <c r="BE284" s="24">
        <f ca="1">IFERROR(__xludf.DUMMYFUNCTION("""COMPUTED_VALUE"""),0)</f>
        <v>0</v>
      </c>
      <c r="BF284" s="24">
        <f ca="1">IFERROR(__xludf.DUMMYFUNCTION("""COMPUTED_VALUE"""),4922.69)</f>
        <v>4922.6899999999996</v>
      </c>
      <c r="BG284" s="24">
        <f ca="1">IFERROR(__xludf.DUMMYFUNCTION("""COMPUTED_VALUE"""),0)</f>
        <v>0</v>
      </c>
      <c r="BH284" s="24">
        <f ca="1">IFERROR(__xludf.DUMMYFUNCTION("""COMPUTED_VALUE"""),80.04)</f>
        <v>80.040000000000006</v>
      </c>
      <c r="BI284" s="20"/>
      <c r="BJ284" s="24">
        <f ca="1">IFERROR(__xludf.DUMMYFUNCTION("""COMPUTED_VALUE"""),0)</f>
        <v>0</v>
      </c>
      <c r="BK284" s="24">
        <f ca="1">IFERROR(__xludf.DUMMYFUNCTION("""COMPUTED_VALUE"""),0)</f>
        <v>0</v>
      </c>
      <c r="BL284" s="24">
        <f ca="1">IFERROR(__xludf.DUMMYFUNCTION("""COMPUTED_VALUE"""),0)</f>
        <v>0</v>
      </c>
      <c r="BM284" s="24">
        <f ca="1">IFERROR(__xludf.DUMMYFUNCTION("""COMPUTED_VALUE"""),0)</f>
        <v>0</v>
      </c>
      <c r="BN284" s="24">
        <f ca="1">IFERROR(__xludf.DUMMYFUNCTION("""COMPUTED_VALUE"""),0)</f>
        <v>0</v>
      </c>
      <c r="BO284" s="20"/>
      <c r="BP284" s="24">
        <f ca="1">IFERROR(__xludf.DUMMYFUNCTION("""COMPUTED_VALUE"""),0)</f>
        <v>0</v>
      </c>
      <c r="BQ284" s="24">
        <f ca="1">IFERROR(__xludf.DUMMYFUNCTION("""COMPUTED_VALUE"""),0)</f>
        <v>0</v>
      </c>
      <c r="BR284" s="24">
        <f ca="1">IFERROR(__xludf.DUMMYFUNCTION("""COMPUTED_VALUE"""),0)</f>
        <v>0</v>
      </c>
      <c r="BS284" s="24">
        <f ca="1">IFERROR(__xludf.DUMMYFUNCTION("""COMPUTED_VALUE"""),0)</f>
        <v>0</v>
      </c>
      <c r="BT284" s="24">
        <f ca="1">IFERROR(__xludf.DUMMYFUNCTION("""COMPUTED_VALUE"""),0)</f>
        <v>0</v>
      </c>
      <c r="BU284" s="20"/>
      <c r="BV284" s="24">
        <f ca="1">IFERROR(__xludf.DUMMYFUNCTION("""COMPUTED_VALUE"""),0)</f>
        <v>0</v>
      </c>
      <c r="BW284" s="24">
        <f ca="1">IFERROR(__xludf.DUMMYFUNCTION("""COMPUTED_VALUE"""),0)</f>
        <v>0</v>
      </c>
      <c r="BX284" s="24">
        <f ca="1">IFERROR(__xludf.DUMMYFUNCTION("""COMPUTED_VALUE"""),0)</f>
        <v>0</v>
      </c>
      <c r="BY284" s="24">
        <f ca="1">IFERROR(__xludf.DUMMYFUNCTION("""COMPUTED_VALUE"""),0)</f>
        <v>0</v>
      </c>
      <c r="BZ284" s="24">
        <f ca="1">IFERROR(__xludf.DUMMYFUNCTION("""COMPUTED_VALUE"""),0)</f>
        <v>0</v>
      </c>
      <c r="CA284" s="20"/>
      <c r="CB284" s="20"/>
      <c r="CC284" s="20"/>
      <c r="CD284" s="20"/>
      <c r="CE284" s="20"/>
      <c r="CF284" s="20"/>
      <c r="CG284" s="20"/>
      <c r="CH284" s="20"/>
      <c r="CI284" s="20"/>
      <c r="CJ284" s="20"/>
      <c r="CK284" s="20"/>
      <c r="CL284" s="20"/>
      <c r="CM284" s="20"/>
      <c r="CN284" s="20"/>
      <c r="CO284" s="20"/>
      <c r="CP284" s="20"/>
      <c r="CQ284" s="20"/>
      <c r="CR284" s="20"/>
      <c r="CS284" s="20"/>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row>
    <row r="285" spans="1:123" ht="64.5" hidden="1" customHeight="1" x14ac:dyDescent="0.2">
      <c r="A285" s="19"/>
      <c r="B285" s="20" t="str">
        <f ca="1">IFERROR(__xludf.DUMMYFUNCTION("""COMPUTED_VALUE"""),"г.о. Волоколамский")</f>
        <v>г.о. Волоколамский</v>
      </c>
      <c r="C28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5" s="20" t="str">
        <f ca="1">IFERROR(__xludf.DUMMYFUNCTION("""COMPUTED_VALUE"""),"МинЖКХ")</f>
        <v>МинЖКХ</v>
      </c>
      <c r="E285" s="20" t="str">
        <f ca="1">IFERROR(__xludf.DUMMYFUNCTION("""COMPUTED_VALUE"""),"Строительство сетей теплоснабжения от котельной до потребителей в д. Судниково (ПИР)")</f>
        <v>Строительство сетей теплоснабжения от котельной до потребителей в д. Судниково (ПИР)</v>
      </c>
      <c r="F285" s="32" t="str">
        <f ca="1">IFERROR(__xludf.DUMMYFUNCTION("""COMPUTED_VALUE"""),"Сети")</f>
        <v>Сети</v>
      </c>
      <c r="G285" s="20">
        <f ca="1">IFERROR(__xludf.DUMMYFUNCTION("""COMPUTED_VALUE"""),2020)</f>
        <v>2020</v>
      </c>
      <c r="H285" s="20" t="str">
        <f ca="1">IFERROR(__xludf.DUMMYFUNCTION("""COMPUTED_VALUE"""),"ПИР")</f>
        <v>ПИР</v>
      </c>
      <c r="I285" s="20"/>
      <c r="J285" s="20" t="str">
        <f ca="1">IFERROR(__xludf.DUMMYFUNCTION("""COMPUTED_VALUE"""),"Находятся на стадии ПИРов. В конце ноября получают согласование сервитута на двух участков физ. лиц где должны проходить сети. Риск неосвоения лимитов в 2020 году. Документация в МинЖКХ не поступала. Если не зайдут в экспертизу до конца ноября, ДЕНЬГИ СНИ"&amp;"МАЮТ!")</f>
        <v>Находятся на стадии ПИРов. В конце ноября получают согласование сервитута на двух участков физ. лиц где должны проходить сети. Риск неосвоения лимитов в 2020 году. Документация в МинЖКХ не поступала. Если не зайдут в экспертизу до конца ноября, ДЕНЬГИ СНИМАЮТ!</v>
      </c>
      <c r="K285" s="20" t="str">
        <f ca="1">IFERROR(__xludf.DUMMYFUNCTION("""COMPUTED_VALUE"""),"-")</f>
        <v>-</v>
      </c>
      <c r="L285" s="20" t="str">
        <f ca="1">IFERROR(__xludf.DUMMYFUNCTION("""COMPUTED_VALUE"""),"-")</f>
        <v>-</v>
      </c>
      <c r="M285" s="20"/>
      <c r="N285" s="24">
        <f ca="1">IFERROR(__xludf.DUMMYFUNCTION("""COMPUTED_VALUE"""),0)</f>
        <v>0</v>
      </c>
      <c r="O285" s="20"/>
      <c r="P285" s="24">
        <f ca="1">IFERROR(__xludf.DUMMYFUNCTION("""COMPUTED_VALUE"""),0)</f>
        <v>0</v>
      </c>
      <c r="Q285" s="20"/>
      <c r="R285" s="20"/>
      <c r="S285" s="20"/>
      <c r="T285" s="20"/>
      <c r="U285" s="24">
        <f ca="1">IFERROR(__xludf.DUMMYFUNCTION("""COMPUTED_VALUE"""),0)</f>
        <v>0</v>
      </c>
      <c r="V285" s="24">
        <f ca="1">IFERROR(__xludf.DUMMYFUNCTION("""COMPUTED_VALUE"""),0)</f>
        <v>0</v>
      </c>
      <c r="W285" s="24">
        <f ca="1">IFERROR(__xludf.DUMMYFUNCTION("""COMPUTED_VALUE"""),0)</f>
        <v>0</v>
      </c>
      <c r="X285" s="24">
        <f ca="1">IFERROR(__xludf.DUMMYFUNCTION("""COMPUTED_VALUE"""),0)</f>
        <v>0</v>
      </c>
      <c r="Y285" s="24">
        <f ca="1">IFERROR(__xludf.DUMMYFUNCTION("""COMPUTED_VALUE"""),0)</f>
        <v>0</v>
      </c>
      <c r="Z285" s="24">
        <f ca="1">IFERROR(__xludf.DUMMYFUNCTION("""COMPUTED_VALUE"""),0)</f>
        <v>0</v>
      </c>
      <c r="AA285" s="20" t="str">
        <f ca="1">IFERROR(__xludf.DUMMYFUNCTION("""COMPUTED_VALUE"""),"10 3 02 64080")</f>
        <v>10 3 02 64080</v>
      </c>
      <c r="AB285" s="20">
        <f ca="1">IFERROR(__xludf.DUMMYFUNCTION("""COMPUTED_VALUE"""),522)</f>
        <v>522</v>
      </c>
      <c r="AC285" s="20"/>
      <c r="AD285" s="20"/>
      <c r="AE285" s="20"/>
      <c r="AF285" s="24">
        <f ca="1">IFERROR(__xludf.DUMMYFUNCTION("""COMPUTED_VALUE"""),0)</f>
        <v>0</v>
      </c>
      <c r="AG285" s="24">
        <f ca="1">IFERROR(__xludf.DUMMYFUNCTION("""COMPUTED_VALUE"""),0)</f>
        <v>0</v>
      </c>
      <c r="AH285" s="24">
        <f ca="1">IFERROR(__xludf.DUMMYFUNCTION("""COMPUTED_VALUE"""),0)</f>
        <v>0</v>
      </c>
      <c r="AI285" s="24">
        <f ca="1">IFERROR(__xludf.DUMMYFUNCTION("""COMPUTED_VALUE"""),0)</f>
        <v>0</v>
      </c>
      <c r="AJ285" s="24">
        <f ca="1">IFERROR(__xludf.DUMMYFUNCTION("""COMPUTED_VALUE"""),0)</f>
        <v>0</v>
      </c>
      <c r="AK285" s="24">
        <f ca="1">IFERROR(__xludf.DUMMYFUNCTION("""COMPUTED_VALUE"""),0)</f>
        <v>0</v>
      </c>
      <c r="AL285" s="24">
        <f ca="1">IFERROR(__xludf.DUMMYFUNCTION("""COMPUTED_VALUE"""),0)</f>
        <v>0</v>
      </c>
      <c r="AM285" s="20"/>
      <c r="AN285" s="20"/>
      <c r="AO285" s="20"/>
      <c r="AP285" s="20"/>
      <c r="AQ285" s="20"/>
      <c r="AR285" s="24">
        <f ca="1">IFERROR(__xludf.DUMMYFUNCTION("""COMPUTED_VALUE"""),0)</f>
        <v>0</v>
      </c>
      <c r="AS285" s="20"/>
      <c r="AT285" s="20"/>
      <c r="AU285" s="20"/>
      <c r="AV285" s="20"/>
      <c r="AW285" s="20"/>
      <c r="AX285" s="24">
        <f ca="1">IFERROR(__xludf.DUMMYFUNCTION("""COMPUTED_VALUE"""),0)</f>
        <v>0</v>
      </c>
      <c r="AY285" s="24">
        <f ca="1">IFERROR(__xludf.DUMMYFUNCTION("""COMPUTED_VALUE"""),0)</f>
        <v>0</v>
      </c>
      <c r="AZ285" s="24">
        <f ca="1">IFERROR(__xludf.DUMMYFUNCTION("""COMPUTED_VALUE"""),0)</f>
        <v>0</v>
      </c>
      <c r="BA285" s="24">
        <f ca="1">IFERROR(__xludf.DUMMYFUNCTION("""COMPUTED_VALUE"""),0)</f>
        <v>0</v>
      </c>
      <c r="BB285" s="24">
        <f ca="1">IFERROR(__xludf.DUMMYFUNCTION("""COMPUTED_VALUE"""),0)</f>
        <v>0</v>
      </c>
      <c r="BC285" s="20"/>
      <c r="BD285" s="24">
        <f ca="1">IFERROR(__xludf.DUMMYFUNCTION("""COMPUTED_VALUE"""),0)</f>
        <v>0</v>
      </c>
      <c r="BE285" s="24">
        <f ca="1">IFERROR(__xludf.DUMMYFUNCTION("""COMPUTED_VALUE"""),0)</f>
        <v>0</v>
      </c>
      <c r="BF285" s="24">
        <f ca="1">IFERROR(__xludf.DUMMYFUNCTION("""COMPUTED_VALUE"""),0)</f>
        <v>0</v>
      </c>
      <c r="BG285" s="24">
        <f ca="1">IFERROR(__xludf.DUMMYFUNCTION("""COMPUTED_VALUE"""),0)</f>
        <v>0</v>
      </c>
      <c r="BH285" s="24">
        <f ca="1">IFERROR(__xludf.DUMMYFUNCTION("""COMPUTED_VALUE"""),0)</f>
        <v>0</v>
      </c>
      <c r="BI285" s="20"/>
      <c r="BJ285" s="24">
        <f ca="1">IFERROR(__xludf.DUMMYFUNCTION("""COMPUTED_VALUE"""),0)</f>
        <v>0</v>
      </c>
      <c r="BK285" s="24">
        <f ca="1">IFERROR(__xludf.DUMMYFUNCTION("""COMPUTED_VALUE"""),0)</f>
        <v>0</v>
      </c>
      <c r="BL285" s="24">
        <f ca="1">IFERROR(__xludf.DUMMYFUNCTION("""COMPUTED_VALUE"""),0)</f>
        <v>0</v>
      </c>
      <c r="BM285" s="24">
        <f ca="1">IFERROR(__xludf.DUMMYFUNCTION("""COMPUTED_VALUE"""),0)</f>
        <v>0</v>
      </c>
      <c r="BN285" s="24">
        <f ca="1">IFERROR(__xludf.DUMMYFUNCTION("""COMPUTED_VALUE"""),0)</f>
        <v>0</v>
      </c>
      <c r="BO285" s="20"/>
      <c r="BP285" s="24">
        <f ca="1">IFERROR(__xludf.DUMMYFUNCTION("""COMPUTED_VALUE"""),0)</f>
        <v>0</v>
      </c>
      <c r="BQ285" s="24">
        <f ca="1">IFERROR(__xludf.DUMMYFUNCTION("""COMPUTED_VALUE"""),0)</f>
        <v>0</v>
      </c>
      <c r="BR285" s="24">
        <f ca="1">IFERROR(__xludf.DUMMYFUNCTION("""COMPUTED_VALUE"""),0)</f>
        <v>0</v>
      </c>
      <c r="BS285" s="24">
        <f ca="1">IFERROR(__xludf.DUMMYFUNCTION("""COMPUTED_VALUE"""),0)</f>
        <v>0</v>
      </c>
      <c r="BT285" s="24">
        <f ca="1">IFERROR(__xludf.DUMMYFUNCTION("""COMPUTED_VALUE"""),0)</f>
        <v>0</v>
      </c>
      <c r="BU285" s="20"/>
      <c r="BV285" s="24">
        <f ca="1">IFERROR(__xludf.DUMMYFUNCTION("""COMPUTED_VALUE"""),0)</f>
        <v>0</v>
      </c>
      <c r="BW285" s="24">
        <f ca="1">IFERROR(__xludf.DUMMYFUNCTION("""COMPUTED_VALUE"""),0)</f>
        <v>0</v>
      </c>
      <c r="BX285" s="24">
        <f ca="1">IFERROR(__xludf.DUMMYFUNCTION("""COMPUTED_VALUE"""),0)</f>
        <v>0</v>
      </c>
      <c r="BY285" s="24">
        <f ca="1">IFERROR(__xludf.DUMMYFUNCTION("""COMPUTED_VALUE"""),0)</f>
        <v>0</v>
      </c>
      <c r="BZ285" s="24">
        <f ca="1">IFERROR(__xludf.DUMMYFUNCTION("""COMPUTED_VALUE"""),0)</f>
        <v>0</v>
      </c>
      <c r="CA285" s="20"/>
      <c r="CB285" s="20" t="str">
        <f ca="1">IFERROR(__xludf.DUMMYFUNCTION("""COMPUTED_VALUE"""),"заключен")</f>
        <v>заключен</v>
      </c>
      <c r="CC285" s="26">
        <f ca="1">IFERROR(__xludf.DUMMYFUNCTION("""COMPUTED_VALUE"""),43677)</f>
        <v>43677</v>
      </c>
      <c r="CD285" s="20" t="str">
        <f ca="1">IFERROR(__xludf.DUMMYFUNCTION("""COMPUTED_VALUE"""),"0848300057719000286")</f>
        <v>0848300057719000286</v>
      </c>
      <c r="CE285" s="26">
        <f ca="1">IFERROR(__xludf.DUMMYFUNCTION("""COMPUTED_VALUE"""),43717)</f>
        <v>43717</v>
      </c>
      <c r="CF285" s="20" t="str">
        <f ca="1">IFERROR(__xludf.DUMMYFUNCTION("""COMPUTED_VALUE"""),"0848300057719000286")</f>
        <v>0848300057719000286</v>
      </c>
      <c r="CG285" s="20" t="str">
        <f ca="1">IFERROR(__xludf.DUMMYFUNCTION("""COMPUTED_VALUE"""),"8 184 717,00")</f>
        <v>8 184 717,00</v>
      </c>
      <c r="CH285" s="20" t="str">
        <f ca="1">IFERROR(__xludf.DUMMYFUNCTION("""COMPUTED_VALUE"""),"Общество с ограниченной ответственностью ""Стройстандарт сервис""")</f>
        <v>Общество с ограниченной ответственностью "Стройстандарт сервис"</v>
      </c>
      <c r="CI285" s="27" t="str">
        <f ca="1">IFERROR(__xludf.DUMMYFUNCTION("""COMPUTED_VALUE"""),"https://zakupki.gov.ru/epz/contract/contractCard/common-info.html?reestrNumber=3500400389019000081&amp;backUrl=5a463841-8dc6-46e8-88f8-4314e028b5f6")</f>
        <v>https://zakupki.gov.ru/epz/contract/contractCard/common-info.html?reestrNumber=3500400389019000081&amp;backUrl=5a463841-8dc6-46e8-88f8-4314e028b5f6</v>
      </c>
      <c r="CJ285" s="20" t="str">
        <f ca="1">IFERROR(__xludf.DUMMYFUNCTION("""COMPUTED_VALUE"""),"Ожидаем
повторную заявку
")</f>
        <v xml:space="preserve">Ожидаем
повторную заявку
</v>
      </c>
      <c r="CK285" s="20"/>
      <c r="CL285" s="20"/>
      <c r="CM285" s="20"/>
      <c r="CN285" s="20"/>
      <c r="CO285" s="20"/>
      <c r="CP285" s="20"/>
      <c r="CQ285" s="20"/>
      <c r="CR285" s="20"/>
      <c r="CS285" s="20"/>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row>
    <row r="286" spans="1:123" ht="64.5" hidden="1" customHeight="1" x14ac:dyDescent="0.2">
      <c r="A286" s="19"/>
      <c r="B286" s="20" t="str">
        <f ca="1">IFERROR(__xludf.DUMMYFUNCTION("""COMPUTED_VALUE"""),"г.о. Талдомский")</f>
        <v>г.о. Талдомский</v>
      </c>
      <c r="C28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6" s="20" t="str">
        <f ca="1">IFERROR(__xludf.DUMMYFUNCTION("""COMPUTED_VALUE"""),"МинЖКХ")</f>
        <v>МинЖКХ</v>
      </c>
      <c r="E286" s="20" t="str">
        <f ca="1">IFERROR(__xludf.DUMMYFUNCTION("""COMPUTED_VALUE"""),"Строительство автоматизированной блочно-модульной котельной производительностью 11,0 МВт по адресу: Талдомский район, р.п. Северный, ул. Садовая,  д. 12 ")</f>
        <v xml:space="preserve">Строительство автоматизированной блочно-модульной котельной производительностью 11,0 МВт по адресу: Талдомский район, р.п. Северный, ул. Садовая,  д. 12 </v>
      </c>
      <c r="F286" s="32" t="str">
        <f ca="1">IFERROR(__xludf.DUMMYFUNCTION("""COMPUTED_VALUE"""),"БМК")</f>
        <v>БМК</v>
      </c>
      <c r="G286" s="20">
        <f ca="1">IFERROR(__xludf.DUMMYFUNCTION("""COMPUTED_VALUE"""),2022)</f>
        <v>2022</v>
      </c>
      <c r="H286" s="20" t="str">
        <f ca="1">IFERROR(__xludf.DUMMYFUNCTION("""COMPUTED_VALUE"""),"СМР")</f>
        <v>СМР</v>
      </c>
      <c r="I286" s="20"/>
      <c r="J286" s="20"/>
      <c r="K286" s="20"/>
      <c r="L286" s="20"/>
      <c r="M286" s="20"/>
      <c r="N286" s="24">
        <f ca="1">IFERROR(__xludf.DUMMYFUNCTION("""COMPUTED_VALUE"""),0)</f>
        <v>0</v>
      </c>
      <c r="O286" s="20"/>
      <c r="P286" s="20"/>
      <c r="Q286" s="20"/>
      <c r="R286" s="20"/>
      <c r="S286" s="20"/>
      <c r="T286" s="20"/>
      <c r="U286" s="24">
        <f ca="1">IFERROR(__xludf.DUMMYFUNCTION("""COMPUTED_VALUE"""),0)</f>
        <v>0</v>
      </c>
      <c r="V286" s="24">
        <f ca="1">IFERROR(__xludf.DUMMYFUNCTION("""COMPUTED_VALUE"""),0)</f>
        <v>0</v>
      </c>
      <c r="W286" s="24">
        <f ca="1">IFERROR(__xludf.DUMMYFUNCTION("""COMPUTED_VALUE"""),0)</f>
        <v>0</v>
      </c>
      <c r="X286" s="24">
        <f ca="1">IFERROR(__xludf.DUMMYFUNCTION("""COMPUTED_VALUE"""),0)</f>
        <v>0</v>
      </c>
      <c r="Y286" s="24">
        <f ca="1">IFERROR(__xludf.DUMMYFUNCTION("""COMPUTED_VALUE"""),0)</f>
        <v>0</v>
      </c>
      <c r="Z286" s="24">
        <f ca="1">IFERROR(__xludf.DUMMYFUNCTION("""COMPUTED_VALUE"""),0)</f>
        <v>0</v>
      </c>
      <c r="AA286" s="20" t="str">
        <f ca="1">IFERROR(__xludf.DUMMYFUNCTION("""COMPUTED_VALUE"""),"10 3 02 64080")</f>
        <v>10 3 02 64080</v>
      </c>
      <c r="AB286" s="20">
        <f ca="1">IFERROR(__xludf.DUMMYFUNCTION("""COMPUTED_VALUE"""),522)</f>
        <v>522</v>
      </c>
      <c r="AC286" s="20"/>
      <c r="AD286" s="20"/>
      <c r="AE286" s="20"/>
      <c r="AF286" s="24">
        <f ca="1">IFERROR(__xludf.DUMMYFUNCTION("""COMPUTED_VALUE"""),64667.78)</f>
        <v>64667.78</v>
      </c>
      <c r="AG286" s="24">
        <f ca="1">IFERROR(__xludf.DUMMYFUNCTION("""COMPUTED_VALUE"""),0)</f>
        <v>0</v>
      </c>
      <c r="AH286" s="24">
        <f ca="1">IFERROR(__xludf.DUMMYFUNCTION("""COMPUTED_VALUE"""),54081.66)</f>
        <v>54081.66</v>
      </c>
      <c r="AI286" s="24">
        <f ca="1">IFERROR(__xludf.DUMMYFUNCTION("""COMPUTED_VALUE"""),0)</f>
        <v>0</v>
      </c>
      <c r="AJ286" s="24">
        <f ca="1">IFERROR(__xludf.DUMMYFUNCTION("""COMPUTED_VALUE"""),10586.12)</f>
        <v>10586.12</v>
      </c>
      <c r="AK286" s="24">
        <f ca="1">IFERROR(__xludf.DUMMYFUNCTION("""COMPUTED_VALUE"""),0)</f>
        <v>0</v>
      </c>
      <c r="AL286" s="24">
        <f ca="1">IFERROR(__xludf.DUMMYFUNCTION("""COMPUTED_VALUE"""),0)</f>
        <v>0</v>
      </c>
      <c r="AM286" s="20"/>
      <c r="AN286" s="20"/>
      <c r="AO286" s="20"/>
      <c r="AP286" s="20"/>
      <c r="AQ286" s="20"/>
      <c r="AR286" s="24">
        <f ca="1">IFERROR(__xludf.DUMMYFUNCTION("""COMPUTED_VALUE"""),0)</f>
        <v>0</v>
      </c>
      <c r="AS286" s="20"/>
      <c r="AT286" s="20"/>
      <c r="AU286" s="20"/>
      <c r="AV286" s="20"/>
      <c r="AW286" s="20"/>
      <c r="AX286" s="24">
        <f ca="1">IFERROR(__xludf.DUMMYFUNCTION("""COMPUTED_VALUE"""),0)</f>
        <v>0</v>
      </c>
      <c r="AY286" s="24">
        <f ca="1">IFERROR(__xludf.DUMMYFUNCTION("""COMPUTED_VALUE"""),0)</f>
        <v>0</v>
      </c>
      <c r="AZ286" s="24">
        <f ca="1">IFERROR(__xludf.DUMMYFUNCTION("""COMPUTED_VALUE"""),0)</f>
        <v>0</v>
      </c>
      <c r="BA286" s="24">
        <f ca="1">IFERROR(__xludf.DUMMYFUNCTION("""COMPUTED_VALUE"""),0)</f>
        <v>0</v>
      </c>
      <c r="BB286" s="24">
        <f ca="1">IFERROR(__xludf.DUMMYFUNCTION("""COMPUTED_VALUE"""),0)</f>
        <v>0</v>
      </c>
      <c r="BC286" s="20"/>
      <c r="BD286" s="24">
        <f ca="1">IFERROR(__xludf.DUMMYFUNCTION("""COMPUTED_VALUE"""),0)</f>
        <v>0</v>
      </c>
      <c r="BE286" s="24">
        <f ca="1">IFERROR(__xludf.DUMMYFUNCTION("""COMPUTED_VALUE"""),0)</f>
        <v>0</v>
      </c>
      <c r="BF286" s="24">
        <f ca="1">IFERROR(__xludf.DUMMYFUNCTION("""COMPUTED_VALUE"""),0)</f>
        <v>0</v>
      </c>
      <c r="BG286" s="24">
        <f ca="1">IFERROR(__xludf.DUMMYFUNCTION("""COMPUTED_VALUE"""),0)</f>
        <v>0</v>
      </c>
      <c r="BH286" s="24">
        <f ca="1">IFERROR(__xludf.DUMMYFUNCTION("""COMPUTED_VALUE"""),0)</f>
        <v>0</v>
      </c>
      <c r="BI286" s="20"/>
      <c r="BJ286" s="24">
        <f ca="1">IFERROR(__xludf.DUMMYFUNCTION("""COMPUTED_VALUE"""),64667.78)</f>
        <v>64667.78</v>
      </c>
      <c r="BK286" s="24">
        <f ca="1">IFERROR(__xludf.DUMMYFUNCTION("""COMPUTED_VALUE"""),0)</f>
        <v>0</v>
      </c>
      <c r="BL286" s="24">
        <f ca="1">IFERROR(__xludf.DUMMYFUNCTION("""COMPUTED_VALUE"""),54081.66)</f>
        <v>54081.66</v>
      </c>
      <c r="BM286" s="24">
        <f ca="1">IFERROR(__xludf.DUMMYFUNCTION("""COMPUTED_VALUE"""),0)</f>
        <v>0</v>
      </c>
      <c r="BN286" s="24">
        <f ca="1">IFERROR(__xludf.DUMMYFUNCTION("""COMPUTED_VALUE"""),10586.12)</f>
        <v>10586.12</v>
      </c>
      <c r="BO286" s="20"/>
      <c r="BP286" s="24">
        <f ca="1">IFERROR(__xludf.DUMMYFUNCTION("""COMPUTED_VALUE"""),0)</f>
        <v>0</v>
      </c>
      <c r="BQ286" s="24">
        <f ca="1">IFERROR(__xludf.DUMMYFUNCTION("""COMPUTED_VALUE"""),0)</f>
        <v>0</v>
      </c>
      <c r="BR286" s="24">
        <f ca="1">IFERROR(__xludf.DUMMYFUNCTION("""COMPUTED_VALUE"""),0)</f>
        <v>0</v>
      </c>
      <c r="BS286" s="24">
        <f ca="1">IFERROR(__xludf.DUMMYFUNCTION("""COMPUTED_VALUE"""),0)</f>
        <v>0</v>
      </c>
      <c r="BT286" s="24">
        <f ca="1">IFERROR(__xludf.DUMMYFUNCTION("""COMPUTED_VALUE"""),0)</f>
        <v>0</v>
      </c>
      <c r="BU286" s="20"/>
      <c r="BV286" s="24">
        <f ca="1">IFERROR(__xludf.DUMMYFUNCTION("""COMPUTED_VALUE"""),0)</f>
        <v>0</v>
      </c>
      <c r="BW286" s="24">
        <f ca="1">IFERROR(__xludf.DUMMYFUNCTION("""COMPUTED_VALUE"""),0)</f>
        <v>0</v>
      </c>
      <c r="BX286" s="24">
        <f ca="1">IFERROR(__xludf.DUMMYFUNCTION("""COMPUTED_VALUE"""),0)</f>
        <v>0</v>
      </c>
      <c r="BY286" s="24">
        <f ca="1">IFERROR(__xludf.DUMMYFUNCTION("""COMPUTED_VALUE"""),0)</f>
        <v>0</v>
      </c>
      <c r="BZ286" s="24">
        <f ca="1">IFERROR(__xludf.DUMMYFUNCTION("""COMPUTED_VALUE"""),0)</f>
        <v>0</v>
      </c>
      <c r="CA286" s="20"/>
      <c r="CB286" s="20"/>
      <c r="CC286" s="20"/>
      <c r="CD286" s="20"/>
      <c r="CE286" s="20"/>
      <c r="CF286" s="20"/>
      <c r="CG286" s="20"/>
      <c r="CH286" s="20"/>
      <c r="CI286" s="20"/>
      <c r="CJ286" s="33">
        <f ca="1">IFERROR(__xludf.DUMMYFUNCTION("""COMPUTED_VALUE"""),43920)</f>
        <v>43920</v>
      </c>
      <c r="CK286" s="20"/>
      <c r="CL286" s="20" t="str">
        <f ca="1">IFERROR(__xludf.DUMMYFUNCTION("""COMPUTED_VALUE"""),"ПД: №50-1-1-2-1704-18 от 04.12.2018, ИИ: № 50-1-1-1-0081-18 от 22.02.2018")</f>
        <v>ПД: №50-1-1-2-1704-18 от 04.12.2018, ИИ: № 50-1-1-1-0081-18 от 22.02.2018</v>
      </c>
      <c r="CM286" s="20"/>
      <c r="CN286" s="20"/>
      <c r="CO286" s="20"/>
      <c r="CP286" s="20"/>
      <c r="CQ286" s="20"/>
      <c r="CR286" s="20"/>
      <c r="CS286" s="20"/>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row>
    <row r="287" spans="1:123" ht="64.5" customHeight="1" x14ac:dyDescent="0.2">
      <c r="A287" s="19"/>
      <c r="B287" s="20" t="str">
        <f ca="1">IFERROR(__xludf.DUMMYFUNCTION("""COMPUTED_VALUE"""),"г.о. Егорьевск")</f>
        <v>г.о. Егорьевск</v>
      </c>
      <c r="C28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7" s="20" t="str">
        <f ca="1">IFERROR(__xludf.DUMMYFUNCTION("""COMPUTED_VALUE"""),"МинЖКХ")</f>
        <v>МинЖКХ</v>
      </c>
      <c r="E287" s="20" t="str">
        <f ca="1">IFERROR(__xludf.DUMMYFUNCTION("""COMPUTED_VALUE"""),"Строительство сетей водоснабжения от д. Поповская к д. Круги, д. Соломаево и д. Поцелуево г.о. Егорьевск (ПИР)")</f>
        <v>Строительство сетей водоснабжения от д. Поповская к д. Круги, д. Соломаево и д. Поцелуево г.о. Егорьевск (ПИР)</v>
      </c>
      <c r="F287" s="32" t="str">
        <f ca="1">IFERROR(__xludf.DUMMYFUNCTION("""COMPUTED_VALUE"""),"Сети")</f>
        <v>Сети</v>
      </c>
      <c r="G287" s="20">
        <f ca="1">IFERROR(__xludf.DUMMYFUNCTION("""COMPUTED_VALUE"""),2020)</f>
        <v>2020</v>
      </c>
      <c r="H287" s="20" t="str">
        <f ca="1">IFERROR(__xludf.DUMMYFUNCTION("""COMPUTED_VALUE"""),"ПИР")</f>
        <v>ПИР</v>
      </c>
      <c r="I287" s="20"/>
      <c r="J287" s="20" t="str">
        <f ca="1">IFERROR(__xludf.DUMMYFUNCTION("""COMPUTED_VALUE"""),"ПСД в МОГЭ. Выход из МОГЭ 2021 году. Требуется перенос лимитов.")</f>
        <v>ПСД в МОГЭ. Выход из МОГЭ 2021 году. Требуется перенос лимитов.</v>
      </c>
      <c r="K287" s="20" t="str">
        <f ca="1">IFERROR(__xludf.DUMMYFUNCTION("""COMPUTED_VALUE"""),"-")</f>
        <v>-</v>
      </c>
      <c r="L287" s="20" t="str">
        <f ca="1">IFERROR(__xludf.DUMMYFUNCTION("""COMPUTED_VALUE"""),"-")</f>
        <v>-</v>
      </c>
      <c r="M287" s="20"/>
      <c r="N287" s="24">
        <f ca="1">IFERROR(__xludf.DUMMYFUNCTION("""COMPUTED_VALUE"""),0)</f>
        <v>0</v>
      </c>
      <c r="O287" s="20"/>
      <c r="P287" s="24">
        <f ca="1">IFERROR(__xludf.DUMMYFUNCTION("""COMPUTED_VALUE"""),0)</f>
        <v>0</v>
      </c>
      <c r="Q287" s="20"/>
      <c r="R287" s="20"/>
      <c r="S287" s="20"/>
      <c r="T287" s="20" t="str">
        <f ca="1">IFERROR(__xludf.DUMMYFUNCTION("""COMPUTED_VALUE"""),"Нарушен срок получения положительного заключения государственной экспертизы.")</f>
        <v>Нарушен срок получения положительного заключения государственной экспертизы.</v>
      </c>
      <c r="U287" s="24">
        <f ca="1">IFERROR(__xludf.DUMMYFUNCTION("""COMPUTED_VALUE"""),5128.51999999999)</f>
        <v>5128.5199999999904</v>
      </c>
      <c r="V287" s="24">
        <f ca="1">IFERROR(__xludf.DUMMYFUNCTION("""COMPUTED_VALUE"""),0)</f>
        <v>0</v>
      </c>
      <c r="W287" s="24">
        <f ca="1">IFERROR(__xludf.DUMMYFUNCTION("""COMPUTED_VALUE"""),4702.4)</f>
        <v>4702.3999999999996</v>
      </c>
      <c r="X287" s="24">
        <f ca="1">IFERROR(__xludf.DUMMYFUNCTION("""COMPUTED_VALUE"""),0)</f>
        <v>0</v>
      </c>
      <c r="Y287" s="24">
        <f ca="1">IFERROR(__xludf.DUMMYFUNCTION("""COMPUTED_VALUE"""),426.12)</f>
        <v>426.12</v>
      </c>
      <c r="Z287" s="24">
        <f ca="1">IFERROR(__xludf.DUMMYFUNCTION("""COMPUTED_VALUE"""),0)</f>
        <v>0</v>
      </c>
      <c r="AA287" s="20" t="str">
        <f ca="1">IFERROR(__xludf.DUMMYFUNCTION("""COMPUTED_VALUE"""),"10 3 02 64080")</f>
        <v>10 3 02 64080</v>
      </c>
      <c r="AB287" s="20">
        <f ca="1">IFERROR(__xludf.DUMMYFUNCTION("""COMPUTED_VALUE"""),522)</f>
        <v>522</v>
      </c>
      <c r="AC287" s="20"/>
      <c r="AD287" s="20"/>
      <c r="AE287" s="20"/>
      <c r="AF287" s="24">
        <f ca="1">IFERROR(__xludf.DUMMYFUNCTION("""COMPUTED_VALUE"""),5128.51999999999)</f>
        <v>5128.5199999999904</v>
      </c>
      <c r="AG287" s="24">
        <f ca="1">IFERROR(__xludf.DUMMYFUNCTION("""COMPUTED_VALUE"""),0)</f>
        <v>0</v>
      </c>
      <c r="AH287" s="24">
        <f ca="1">IFERROR(__xludf.DUMMYFUNCTION("""COMPUTED_VALUE"""),4702.4)</f>
        <v>4702.3999999999996</v>
      </c>
      <c r="AI287" s="24">
        <f ca="1">IFERROR(__xludf.DUMMYFUNCTION("""COMPUTED_VALUE"""),0)</f>
        <v>0</v>
      </c>
      <c r="AJ287" s="24">
        <f ca="1">IFERROR(__xludf.DUMMYFUNCTION("""COMPUTED_VALUE"""),426.12)</f>
        <v>426.12</v>
      </c>
      <c r="AK287" s="24">
        <f ca="1">IFERROR(__xludf.DUMMYFUNCTION("""COMPUTED_VALUE"""),0)</f>
        <v>0</v>
      </c>
      <c r="AL287" s="24">
        <f ca="1">IFERROR(__xludf.DUMMYFUNCTION("""COMPUTED_VALUE"""),0)</f>
        <v>0</v>
      </c>
      <c r="AM287" s="20"/>
      <c r="AN287" s="20"/>
      <c r="AO287" s="20"/>
      <c r="AP287" s="20"/>
      <c r="AQ287" s="20"/>
      <c r="AR287" s="24">
        <f ca="1">IFERROR(__xludf.DUMMYFUNCTION("""COMPUTED_VALUE"""),0)</f>
        <v>0</v>
      </c>
      <c r="AS287" s="20"/>
      <c r="AT287" s="20"/>
      <c r="AU287" s="20"/>
      <c r="AV287" s="20"/>
      <c r="AW287" s="20"/>
      <c r="AX287" s="24">
        <f ca="1">IFERROR(__xludf.DUMMYFUNCTION("""COMPUTED_VALUE"""),5128.51999999999)</f>
        <v>5128.5199999999904</v>
      </c>
      <c r="AY287" s="24">
        <f ca="1">IFERROR(__xludf.DUMMYFUNCTION("""COMPUTED_VALUE"""),0)</f>
        <v>0</v>
      </c>
      <c r="AZ287" s="24">
        <f ca="1">IFERROR(__xludf.DUMMYFUNCTION("""COMPUTED_VALUE"""),4702.4)</f>
        <v>4702.3999999999996</v>
      </c>
      <c r="BA287" s="24">
        <f ca="1">IFERROR(__xludf.DUMMYFUNCTION("""COMPUTED_VALUE"""),0)</f>
        <v>0</v>
      </c>
      <c r="BB287" s="24">
        <f ca="1">IFERROR(__xludf.DUMMYFUNCTION("""COMPUTED_VALUE"""),426.12)</f>
        <v>426.12</v>
      </c>
      <c r="BC287" s="20"/>
      <c r="BD287" s="24">
        <f ca="1">IFERROR(__xludf.DUMMYFUNCTION("""COMPUTED_VALUE"""),0)</f>
        <v>0</v>
      </c>
      <c r="BE287" s="24">
        <f ca="1">IFERROR(__xludf.DUMMYFUNCTION("""COMPUTED_VALUE"""),0)</f>
        <v>0</v>
      </c>
      <c r="BF287" s="24">
        <f ca="1">IFERROR(__xludf.DUMMYFUNCTION("""COMPUTED_VALUE"""),0)</f>
        <v>0</v>
      </c>
      <c r="BG287" s="24">
        <f ca="1">IFERROR(__xludf.DUMMYFUNCTION("""COMPUTED_VALUE"""),0)</f>
        <v>0</v>
      </c>
      <c r="BH287" s="24">
        <f ca="1">IFERROR(__xludf.DUMMYFUNCTION("""COMPUTED_VALUE"""),0)</f>
        <v>0</v>
      </c>
      <c r="BI287" s="20"/>
      <c r="BJ287" s="24">
        <f ca="1">IFERROR(__xludf.DUMMYFUNCTION("""COMPUTED_VALUE"""),0)</f>
        <v>0</v>
      </c>
      <c r="BK287" s="24">
        <f ca="1">IFERROR(__xludf.DUMMYFUNCTION("""COMPUTED_VALUE"""),0)</f>
        <v>0</v>
      </c>
      <c r="BL287" s="24">
        <f ca="1">IFERROR(__xludf.DUMMYFUNCTION("""COMPUTED_VALUE"""),0)</f>
        <v>0</v>
      </c>
      <c r="BM287" s="24">
        <f ca="1">IFERROR(__xludf.DUMMYFUNCTION("""COMPUTED_VALUE"""),0)</f>
        <v>0</v>
      </c>
      <c r="BN287" s="24">
        <f ca="1">IFERROR(__xludf.DUMMYFUNCTION("""COMPUTED_VALUE"""),0)</f>
        <v>0</v>
      </c>
      <c r="BO287" s="20"/>
      <c r="BP287" s="24">
        <f ca="1">IFERROR(__xludf.DUMMYFUNCTION("""COMPUTED_VALUE"""),0)</f>
        <v>0</v>
      </c>
      <c r="BQ287" s="24">
        <f ca="1">IFERROR(__xludf.DUMMYFUNCTION("""COMPUTED_VALUE"""),0)</f>
        <v>0</v>
      </c>
      <c r="BR287" s="24">
        <f ca="1">IFERROR(__xludf.DUMMYFUNCTION("""COMPUTED_VALUE"""),0)</f>
        <v>0</v>
      </c>
      <c r="BS287" s="24">
        <f ca="1">IFERROR(__xludf.DUMMYFUNCTION("""COMPUTED_VALUE"""),0)</f>
        <v>0</v>
      </c>
      <c r="BT287" s="24">
        <f ca="1">IFERROR(__xludf.DUMMYFUNCTION("""COMPUTED_VALUE"""),0)</f>
        <v>0</v>
      </c>
      <c r="BU287" s="20"/>
      <c r="BV287" s="24">
        <f ca="1">IFERROR(__xludf.DUMMYFUNCTION("""COMPUTED_VALUE"""),0)</f>
        <v>0</v>
      </c>
      <c r="BW287" s="24">
        <f ca="1">IFERROR(__xludf.DUMMYFUNCTION("""COMPUTED_VALUE"""),0)</f>
        <v>0</v>
      </c>
      <c r="BX287" s="24">
        <f ca="1">IFERROR(__xludf.DUMMYFUNCTION("""COMPUTED_VALUE"""),0)</f>
        <v>0</v>
      </c>
      <c r="BY287" s="24">
        <f ca="1">IFERROR(__xludf.DUMMYFUNCTION("""COMPUTED_VALUE"""),0)</f>
        <v>0</v>
      </c>
      <c r="BZ287" s="24">
        <f ca="1">IFERROR(__xludf.DUMMYFUNCTION("""COMPUTED_VALUE"""),0)</f>
        <v>0</v>
      </c>
      <c r="CA287" s="20"/>
      <c r="CB287" s="20" t="str">
        <f ca="1">IFERROR(__xludf.DUMMYFUNCTION("""COMPUTED_VALUE"""),"заключен")</f>
        <v>заключен</v>
      </c>
      <c r="CC287" s="26">
        <f ca="1">IFERROR(__xludf.DUMMYFUNCTION("""COMPUTED_VALUE"""),43909)</f>
        <v>43909</v>
      </c>
      <c r="CD287" s="20" t="str">
        <f ca="1">IFERROR(__xludf.DUMMYFUNCTION("""COMPUTED_VALUE"""),"0848300046020000122")</f>
        <v>0848300046020000122</v>
      </c>
      <c r="CE287" s="26">
        <f ca="1">IFERROR(__xludf.DUMMYFUNCTION("""COMPUTED_VALUE"""),43963)</f>
        <v>43963</v>
      </c>
      <c r="CF287" s="20" t="str">
        <f ca="1">IFERROR(__xludf.DUMMYFUNCTION("""COMPUTED_VALUE"""),"0848300046020000122-2/48")</f>
        <v>0848300046020000122-2/48</v>
      </c>
      <c r="CG287" s="20" t="str">
        <f ca="1">IFERROR(__xludf.DUMMYFUNCTION("""COMPUTED_VALUE"""),"4 870 430,25")</f>
        <v>4 870 430,25</v>
      </c>
      <c r="CH287" s="20" t="str">
        <f ca="1">IFERROR(__xludf.DUMMYFUNCTION("""COMPUTED_VALUE"""),"ООО ""РБК СТРОЙИНВЕСТ""")</f>
        <v>ООО "РБК СТРОЙИНВЕСТ"</v>
      </c>
      <c r="CI287" s="27" t="str">
        <f ca="1">IFERROR(__xludf.DUMMYFUNCTION("""COMPUTED_VALUE"""),"https://zakupki.gov.ru/epz/contract/contractCard/common-info.html?reestrNumber=3501102549320000033&amp;backUrl=dea90917-64d3-4ba4-b5b3-28c55c106e72")</f>
        <v>https://zakupki.gov.ru/epz/contract/contractCard/common-info.html?reestrNumber=3501102549320000033&amp;backUrl=dea90917-64d3-4ba4-b5b3-28c55c106e72</v>
      </c>
      <c r="CJ287" s="20"/>
      <c r="CK287" s="20"/>
      <c r="CL287" s="20"/>
      <c r="CM287" s="20"/>
      <c r="CN287" s="20"/>
      <c r="CO287" s="20"/>
      <c r="CP287" s="20"/>
      <c r="CQ287" s="20"/>
      <c r="CR287" s="20"/>
      <c r="CS287" s="20"/>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row>
    <row r="288" spans="1:123" ht="64.5" customHeight="1" x14ac:dyDescent="0.2">
      <c r="A288" s="19"/>
      <c r="B288" s="20" t="str">
        <f ca="1">IFERROR(__xludf.DUMMYFUNCTION("""COMPUTED_VALUE"""),"г.о. Зарайск")</f>
        <v>г.о. Зарайск</v>
      </c>
      <c r="C288"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8" s="20" t="str">
        <f ca="1">IFERROR(__xludf.DUMMYFUNCTION("""COMPUTED_VALUE"""),"МинЖКХ")</f>
        <v>МинЖКХ</v>
      </c>
      <c r="E288" s="20" t="str">
        <f ca="1">IFERROR(__xludf.DUMMYFUNCTION("""COMPUTED_VALUE"""),"Приобретение , монтаж и ввод в эксплуатацию  котельной в д. Козловка г.о. Зарайск")</f>
        <v>Приобретение , монтаж и ввод в эксплуатацию  котельной в д. Козловка г.о. Зарайск</v>
      </c>
      <c r="F288" s="32" t="str">
        <f ca="1">IFERROR(__xludf.DUMMYFUNCTION("""COMPUTED_VALUE"""),"Котельная")</f>
        <v>Котельная</v>
      </c>
      <c r="G288" s="20">
        <f ca="1">IFERROR(__xludf.DUMMYFUNCTION("""COMPUTED_VALUE"""),2020)</f>
        <v>2020</v>
      </c>
      <c r="H288" s="20" t="str">
        <f ca="1">IFERROR(__xludf.DUMMYFUNCTION("""COMPUTED_VALUE"""),"СМР")</f>
        <v>СМР</v>
      </c>
      <c r="I288" s="20">
        <f ca="1">IFERROR(__xludf.DUMMYFUNCTION("""COMPUTED_VALUE"""),100)</f>
        <v>100</v>
      </c>
      <c r="J288" s="20" t="str">
        <f ca="1">IFERROR(__xludf.DUMMYFUNCTION("""COMPUTED_VALUE"""),"Заявка направлена в МинЖКХ  от 30.10.2020 (Утверждена). ")</f>
        <v xml:space="preserve">Заявка направлена в МинЖКХ  от 30.10.2020 (Утверждена). </v>
      </c>
      <c r="K288" s="20">
        <f ca="1">IFERROR(__xludf.DUMMYFUNCTION("""COMPUTED_VALUE"""),140)</f>
        <v>140</v>
      </c>
      <c r="L288" s="20">
        <f ca="1">IFERROR(__xludf.DUMMYFUNCTION("""COMPUTED_VALUE"""),140)</f>
        <v>140</v>
      </c>
      <c r="M288" s="20"/>
      <c r="N288" s="24">
        <f ca="1">IFERROR(__xludf.DUMMYFUNCTION("""COMPUTED_VALUE"""),1582.02)</f>
        <v>1582.02</v>
      </c>
      <c r="O288" s="20"/>
      <c r="P288" s="20"/>
      <c r="Q288" s="24">
        <f ca="1">IFERROR(__xludf.DUMMYFUNCTION("""COMPUTED_VALUE"""),1582.02)</f>
        <v>1582.02</v>
      </c>
      <c r="R288" s="20"/>
      <c r="S288" s="20"/>
      <c r="T288" s="20"/>
      <c r="U288" s="24">
        <f ca="1">IFERROR(__xludf.DUMMYFUNCTION("""COMPUTED_VALUE"""),152.119999999999)</f>
        <v>152.11999999999901</v>
      </c>
      <c r="V288" s="24">
        <f ca="1">IFERROR(__xludf.DUMMYFUNCTION("""COMPUTED_VALUE"""),0)</f>
        <v>0</v>
      </c>
      <c r="W288" s="24">
        <f ca="1">IFERROR(__xludf.DUMMYFUNCTION("""COMPUTED_VALUE"""),0)</f>
        <v>0</v>
      </c>
      <c r="X288" s="24">
        <f ca="1">IFERROR(__xludf.DUMMYFUNCTION("""COMPUTED_VALUE"""),15.98)</f>
        <v>15.98</v>
      </c>
      <c r="Y288" s="24">
        <f ca="1">IFERROR(__xludf.DUMMYFUNCTION("""COMPUTED_VALUE"""),136.14)</f>
        <v>136.13999999999999</v>
      </c>
      <c r="Z288" s="24">
        <f ca="1">IFERROR(__xludf.DUMMYFUNCTION("""COMPUTED_VALUE"""),0)</f>
        <v>0</v>
      </c>
      <c r="AA288" s="20" t="str">
        <f ca="1">IFERROR(__xludf.DUMMYFUNCTION("""COMPUTED_VALUE"""),"10 3 02 60320")</f>
        <v>10 3 02 60320</v>
      </c>
      <c r="AB288" s="20">
        <f ca="1">IFERROR(__xludf.DUMMYFUNCTION("""COMPUTED_VALUE"""),521)</f>
        <v>521</v>
      </c>
      <c r="AC288" s="20"/>
      <c r="AD288" s="20"/>
      <c r="AE288" s="20"/>
      <c r="AF288" s="24">
        <f ca="1">IFERROR(__xludf.DUMMYFUNCTION("""COMPUTED_VALUE"""),1734.13999999999)</f>
        <v>1734.1399999999901</v>
      </c>
      <c r="AG288" s="24">
        <f ca="1">IFERROR(__xludf.DUMMYFUNCTION("""COMPUTED_VALUE"""),0)</f>
        <v>0</v>
      </c>
      <c r="AH288" s="24">
        <f ca="1">IFERROR(__xludf.DUMMYFUNCTION("""COMPUTED_VALUE"""),0)</f>
        <v>0</v>
      </c>
      <c r="AI288" s="24">
        <f ca="1">IFERROR(__xludf.DUMMYFUNCTION("""COMPUTED_VALUE"""),1598)</f>
        <v>1598</v>
      </c>
      <c r="AJ288" s="24">
        <f ca="1">IFERROR(__xludf.DUMMYFUNCTION("""COMPUTED_VALUE"""),136.14)</f>
        <v>136.13999999999999</v>
      </c>
      <c r="AK288" s="24">
        <f ca="1">IFERROR(__xludf.DUMMYFUNCTION("""COMPUTED_VALUE"""),0)</f>
        <v>0</v>
      </c>
      <c r="AL288" s="24">
        <f ca="1">IFERROR(__xludf.DUMMYFUNCTION("""COMPUTED_VALUE"""),0)</f>
        <v>0</v>
      </c>
      <c r="AM288" s="20"/>
      <c r="AN288" s="20"/>
      <c r="AO288" s="20"/>
      <c r="AP288" s="20"/>
      <c r="AQ288" s="20"/>
      <c r="AR288" s="24">
        <f ca="1">IFERROR(__xludf.DUMMYFUNCTION("""COMPUTED_VALUE"""),0)</f>
        <v>0</v>
      </c>
      <c r="AS288" s="20"/>
      <c r="AT288" s="20"/>
      <c r="AU288" s="20"/>
      <c r="AV288" s="20"/>
      <c r="AW288" s="20"/>
      <c r="AX288" s="24">
        <f ca="1">IFERROR(__xludf.DUMMYFUNCTION("""COMPUTED_VALUE"""),1734.13999999999)</f>
        <v>1734.1399999999901</v>
      </c>
      <c r="AY288" s="24">
        <f ca="1">IFERROR(__xludf.DUMMYFUNCTION("""COMPUTED_VALUE"""),0)</f>
        <v>0</v>
      </c>
      <c r="AZ288" s="24">
        <f ca="1">IFERROR(__xludf.DUMMYFUNCTION("""COMPUTED_VALUE"""),0)</f>
        <v>0</v>
      </c>
      <c r="BA288" s="24">
        <f ca="1">IFERROR(__xludf.DUMMYFUNCTION("""COMPUTED_VALUE"""),1598)</f>
        <v>1598</v>
      </c>
      <c r="BB288" s="24">
        <f ca="1">IFERROR(__xludf.DUMMYFUNCTION("""COMPUTED_VALUE"""),136.14)</f>
        <v>136.13999999999999</v>
      </c>
      <c r="BC288" s="20"/>
      <c r="BD288" s="24">
        <f ca="1">IFERROR(__xludf.DUMMYFUNCTION("""COMPUTED_VALUE"""),0)</f>
        <v>0</v>
      </c>
      <c r="BE288" s="24">
        <f ca="1">IFERROR(__xludf.DUMMYFUNCTION("""COMPUTED_VALUE"""),0)</f>
        <v>0</v>
      </c>
      <c r="BF288" s="24">
        <f ca="1">IFERROR(__xludf.DUMMYFUNCTION("""COMPUTED_VALUE"""),0)</f>
        <v>0</v>
      </c>
      <c r="BG288" s="24">
        <f ca="1">IFERROR(__xludf.DUMMYFUNCTION("""COMPUTED_VALUE"""),0)</f>
        <v>0</v>
      </c>
      <c r="BH288" s="24">
        <f ca="1">IFERROR(__xludf.DUMMYFUNCTION("""COMPUTED_VALUE"""),0)</f>
        <v>0</v>
      </c>
      <c r="BI288" s="20"/>
      <c r="BJ288" s="24">
        <f ca="1">IFERROR(__xludf.DUMMYFUNCTION("""COMPUTED_VALUE"""),0)</f>
        <v>0</v>
      </c>
      <c r="BK288" s="24">
        <f ca="1">IFERROR(__xludf.DUMMYFUNCTION("""COMPUTED_VALUE"""),0)</f>
        <v>0</v>
      </c>
      <c r="BL288" s="24">
        <f ca="1">IFERROR(__xludf.DUMMYFUNCTION("""COMPUTED_VALUE"""),0)</f>
        <v>0</v>
      </c>
      <c r="BM288" s="24">
        <f ca="1">IFERROR(__xludf.DUMMYFUNCTION("""COMPUTED_VALUE"""),0)</f>
        <v>0</v>
      </c>
      <c r="BN288" s="24">
        <f ca="1">IFERROR(__xludf.DUMMYFUNCTION("""COMPUTED_VALUE"""),0)</f>
        <v>0</v>
      </c>
      <c r="BO288" s="20"/>
      <c r="BP288" s="24">
        <f ca="1">IFERROR(__xludf.DUMMYFUNCTION("""COMPUTED_VALUE"""),0)</f>
        <v>0</v>
      </c>
      <c r="BQ288" s="24">
        <f ca="1">IFERROR(__xludf.DUMMYFUNCTION("""COMPUTED_VALUE"""),0)</f>
        <v>0</v>
      </c>
      <c r="BR288" s="24">
        <f ca="1">IFERROR(__xludf.DUMMYFUNCTION("""COMPUTED_VALUE"""),0)</f>
        <v>0</v>
      </c>
      <c r="BS288" s="24">
        <f ca="1">IFERROR(__xludf.DUMMYFUNCTION("""COMPUTED_VALUE"""),0)</f>
        <v>0</v>
      </c>
      <c r="BT288" s="24">
        <f ca="1">IFERROR(__xludf.DUMMYFUNCTION("""COMPUTED_VALUE"""),0)</f>
        <v>0</v>
      </c>
      <c r="BU288" s="20"/>
      <c r="BV288" s="24">
        <f ca="1">IFERROR(__xludf.DUMMYFUNCTION("""COMPUTED_VALUE"""),0)</f>
        <v>0</v>
      </c>
      <c r="BW288" s="24">
        <f ca="1">IFERROR(__xludf.DUMMYFUNCTION("""COMPUTED_VALUE"""),0)</f>
        <v>0</v>
      </c>
      <c r="BX288" s="24">
        <f ca="1">IFERROR(__xludf.DUMMYFUNCTION("""COMPUTED_VALUE"""),0)</f>
        <v>0</v>
      </c>
      <c r="BY288" s="24">
        <f ca="1">IFERROR(__xludf.DUMMYFUNCTION("""COMPUTED_VALUE"""),0)</f>
        <v>0</v>
      </c>
      <c r="BZ288" s="24">
        <f ca="1">IFERROR(__xludf.DUMMYFUNCTION("""COMPUTED_VALUE"""),0)</f>
        <v>0</v>
      </c>
      <c r="CA288" s="20"/>
      <c r="CB288" s="20"/>
      <c r="CC288" s="20"/>
      <c r="CD288" s="20"/>
      <c r="CE288" s="20"/>
      <c r="CF288" s="20"/>
      <c r="CG288" s="20"/>
      <c r="CH288" s="20"/>
      <c r="CI288" s="20"/>
      <c r="CJ288" s="33">
        <f ca="1">IFERROR(__xludf.DUMMYFUNCTION("""COMPUTED_VALUE"""),43957)</f>
        <v>43957</v>
      </c>
      <c r="CK288" s="33">
        <f ca="1">IFERROR(__xludf.DUMMYFUNCTION("""COMPUTED_VALUE"""),43991)</f>
        <v>43991</v>
      </c>
      <c r="CL288" s="20" t="str">
        <f ca="1">IFERROR(__xludf.DUMMYFUNCTION("""COMPUTED_VALUE"""),"№50-1-1-2-1010-20 ")</f>
        <v xml:space="preserve">№50-1-1-2-1010-20 </v>
      </c>
      <c r="CM288" s="25">
        <f ca="1">IFERROR(__xludf.DUMMYFUNCTION("""COMPUTED_VALUE"""),43790)</f>
        <v>43790</v>
      </c>
      <c r="CN288" s="27" t="str">
        <f ca="1">IFERROR(__xludf.DUMMYFUNCTION("""COMPUTED_VALUE"""),"0848300069519000443")</f>
        <v>0848300069519000443</v>
      </c>
      <c r="CO288" s="25">
        <f ca="1">IFERROR(__xludf.DUMMYFUNCTION("""COMPUTED_VALUE"""),43819)</f>
        <v>43819</v>
      </c>
      <c r="CP288" s="20" t="str">
        <f ca="1">IFERROR(__xludf.DUMMYFUNCTION("""COMPUTED_VALUE"""),"08483000695190004430001")</f>
        <v>08483000695190004430001</v>
      </c>
      <c r="CQ288" s="20">
        <f ca="1">IFERROR(__xludf.DUMMYFUNCTION("""COMPUTED_VALUE"""),11412997.2)</f>
        <v>11412997.199999999</v>
      </c>
      <c r="CR288" s="20" t="str">
        <f ca="1">IFERROR(__xludf.DUMMYFUNCTION("""COMPUTED_VALUE"""),"ООО ""ИНВЕСТПРОЕКТ""")</f>
        <v>ООО "ИНВЕСТПРОЕКТ"</v>
      </c>
      <c r="CS288" s="27" t="str">
        <f ca="1">IFERROR(__xludf.DUMMYFUNCTION("""COMPUTED_VALUE"""),"https://zakupki.gov.ru/epz/contract/contractCard/common-info.html?reestrNumber=3501400314519000073&amp;backUrl=c51a1be5-5aeb-4b65-8557-7db8ab7fa78c")</f>
        <v>https://zakupki.gov.ru/epz/contract/contractCard/common-info.html?reestrNumber=3501400314519000073&amp;backUrl=c51a1be5-5aeb-4b65-8557-7db8ab7fa78c</v>
      </c>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row>
    <row r="289" spans="1:123" ht="64.5" customHeight="1" x14ac:dyDescent="0.2">
      <c r="A289" s="19"/>
      <c r="B289" s="20" t="str">
        <f ca="1">IFERROR(__xludf.DUMMYFUNCTION("""COMPUTED_VALUE"""),"г.о. Зарайск")</f>
        <v>г.о. Зарайск</v>
      </c>
      <c r="C289"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9" s="20" t="str">
        <f ca="1">IFERROR(__xludf.DUMMYFUNCTION("""COMPUTED_VALUE"""),"МинЖКХ")</f>
        <v>МинЖКХ</v>
      </c>
      <c r="E289" s="20" t="str">
        <f ca="1">IFERROR(__xludf.DUMMYFUNCTION("""COMPUTED_VALUE"""),"Приобретение , монтаж и ввод в эксплуатацию котельной д. Новоселки г.о. Зарайск")</f>
        <v>Приобретение , монтаж и ввод в эксплуатацию котельной д. Новоселки г.о. Зарайск</v>
      </c>
      <c r="F289" s="32" t="str">
        <f ca="1">IFERROR(__xludf.DUMMYFUNCTION("""COMPUTED_VALUE"""),"Котельная")</f>
        <v>Котельная</v>
      </c>
      <c r="G289" s="20">
        <f ca="1">IFERROR(__xludf.DUMMYFUNCTION("""COMPUTED_VALUE"""),2020)</f>
        <v>2020</v>
      </c>
      <c r="H289" s="20" t="str">
        <f ca="1">IFERROR(__xludf.DUMMYFUNCTION("""COMPUTED_VALUE"""),"СМР")</f>
        <v>СМР</v>
      </c>
      <c r="I289" s="20">
        <f ca="1">IFERROR(__xludf.DUMMYFUNCTION("""COMPUTED_VALUE"""),100)</f>
        <v>100</v>
      </c>
      <c r="J289" s="20" t="str">
        <f ca="1">IFERROR(__xludf.DUMMYFUNCTION("""COMPUTED_VALUE"""),"Заявка направлена в МинЖКХ  от 30.10.2020 (Утверждена). ")</f>
        <v xml:space="preserve">Заявка направлена в МинЖКХ  от 30.10.2020 (Утверждена). </v>
      </c>
      <c r="K289" s="20">
        <f ca="1">IFERROR(__xludf.DUMMYFUNCTION("""COMPUTED_VALUE"""),190)</f>
        <v>190</v>
      </c>
      <c r="L289" s="20">
        <f ca="1">IFERROR(__xludf.DUMMYFUNCTION("""COMPUTED_VALUE"""),190)</f>
        <v>190</v>
      </c>
      <c r="M289" s="20"/>
      <c r="N289" s="24">
        <f ca="1">IFERROR(__xludf.DUMMYFUNCTION("""COMPUTED_VALUE"""),1582.02)</f>
        <v>1582.02</v>
      </c>
      <c r="O289" s="20"/>
      <c r="P289" s="20"/>
      <c r="Q289" s="24">
        <f ca="1">IFERROR(__xludf.DUMMYFUNCTION("""COMPUTED_VALUE"""),1582.02)</f>
        <v>1582.02</v>
      </c>
      <c r="R289" s="20"/>
      <c r="S289" s="20"/>
      <c r="T289" s="20"/>
      <c r="U289" s="24">
        <f ca="1">IFERROR(__xludf.DUMMYFUNCTION("""COMPUTED_VALUE"""),152.119999999999)</f>
        <v>152.11999999999901</v>
      </c>
      <c r="V289" s="24">
        <f ca="1">IFERROR(__xludf.DUMMYFUNCTION("""COMPUTED_VALUE"""),0)</f>
        <v>0</v>
      </c>
      <c r="W289" s="24">
        <f ca="1">IFERROR(__xludf.DUMMYFUNCTION("""COMPUTED_VALUE"""),0)</f>
        <v>0</v>
      </c>
      <c r="X289" s="24">
        <f ca="1">IFERROR(__xludf.DUMMYFUNCTION("""COMPUTED_VALUE"""),15.98)</f>
        <v>15.98</v>
      </c>
      <c r="Y289" s="24">
        <f ca="1">IFERROR(__xludf.DUMMYFUNCTION("""COMPUTED_VALUE"""),136.14)</f>
        <v>136.13999999999999</v>
      </c>
      <c r="Z289" s="24">
        <f ca="1">IFERROR(__xludf.DUMMYFUNCTION("""COMPUTED_VALUE"""),0)</f>
        <v>0</v>
      </c>
      <c r="AA289" s="20" t="str">
        <f ca="1">IFERROR(__xludf.DUMMYFUNCTION("""COMPUTED_VALUE"""),"10 3 02 60320")</f>
        <v>10 3 02 60320</v>
      </c>
      <c r="AB289" s="20">
        <f ca="1">IFERROR(__xludf.DUMMYFUNCTION("""COMPUTED_VALUE"""),521)</f>
        <v>521</v>
      </c>
      <c r="AC289" s="20"/>
      <c r="AD289" s="20"/>
      <c r="AE289" s="20"/>
      <c r="AF289" s="24">
        <f ca="1">IFERROR(__xludf.DUMMYFUNCTION("""COMPUTED_VALUE"""),1734.13999999999)</f>
        <v>1734.1399999999901</v>
      </c>
      <c r="AG289" s="24">
        <f ca="1">IFERROR(__xludf.DUMMYFUNCTION("""COMPUTED_VALUE"""),0)</f>
        <v>0</v>
      </c>
      <c r="AH289" s="24">
        <f ca="1">IFERROR(__xludf.DUMMYFUNCTION("""COMPUTED_VALUE"""),0)</f>
        <v>0</v>
      </c>
      <c r="AI289" s="24">
        <f ca="1">IFERROR(__xludf.DUMMYFUNCTION("""COMPUTED_VALUE"""),1598)</f>
        <v>1598</v>
      </c>
      <c r="AJ289" s="24">
        <f ca="1">IFERROR(__xludf.DUMMYFUNCTION("""COMPUTED_VALUE"""),136.14)</f>
        <v>136.13999999999999</v>
      </c>
      <c r="AK289" s="24">
        <f ca="1">IFERROR(__xludf.DUMMYFUNCTION("""COMPUTED_VALUE"""),0)</f>
        <v>0</v>
      </c>
      <c r="AL289" s="24">
        <f ca="1">IFERROR(__xludf.DUMMYFUNCTION("""COMPUTED_VALUE"""),0)</f>
        <v>0</v>
      </c>
      <c r="AM289" s="20"/>
      <c r="AN289" s="20"/>
      <c r="AO289" s="20"/>
      <c r="AP289" s="20"/>
      <c r="AQ289" s="20"/>
      <c r="AR289" s="24">
        <f ca="1">IFERROR(__xludf.DUMMYFUNCTION("""COMPUTED_VALUE"""),0)</f>
        <v>0</v>
      </c>
      <c r="AS289" s="20"/>
      <c r="AT289" s="20"/>
      <c r="AU289" s="20"/>
      <c r="AV289" s="20"/>
      <c r="AW289" s="20"/>
      <c r="AX289" s="24">
        <f ca="1">IFERROR(__xludf.DUMMYFUNCTION("""COMPUTED_VALUE"""),1734.13999999999)</f>
        <v>1734.1399999999901</v>
      </c>
      <c r="AY289" s="24">
        <f ca="1">IFERROR(__xludf.DUMMYFUNCTION("""COMPUTED_VALUE"""),0)</f>
        <v>0</v>
      </c>
      <c r="AZ289" s="24">
        <f ca="1">IFERROR(__xludf.DUMMYFUNCTION("""COMPUTED_VALUE"""),0)</f>
        <v>0</v>
      </c>
      <c r="BA289" s="24">
        <f ca="1">IFERROR(__xludf.DUMMYFUNCTION("""COMPUTED_VALUE"""),1598)</f>
        <v>1598</v>
      </c>
      <c r="BB289" s="24">
        <f ca="1">IFERROR(__xludf.DUMMYFUNCTION("""COMPUTED_VALUE"""),136.14)</f>
        <v>136.13999999999999</v>
      </c>
      <c r="BC289" s="20"/>
      <c r="BD289" s="24">
        <f ca="1">IFERROR(__xludf.DUMMYFUNCTION("""COMPUTED_VALUE"""),0)</f>
        <v>0</v>
      </c>
      <c r="BE289" s="24">
        <f ca="1">IFERROR(__xludf.DUMMYFUNCTION("""COMPUTED_VALUE"""),0)</f>
        <v>0</v>
      </c>
      <c r="BF289" s="24">
        <f ca="1">IFERROR(__xludf.DUMMYFUNCTION("""COMPUTED_VALUE"""),0)</f>
        <v>0</v>
      </c>
      <c r="BG289" s="24">
        <f ca="1">IFERROR(__xludf.DUMMYFUNCTION("""COMPUTED_VALUE"""),0)</f>
        <v>0</v>
      </c>
      <c r="BH289" s="24">
        <f ca="1">IFERROR(__xludf.DUMMYFUNCTION("""COMPUTED_VALUE"""),0)</f>
        <v>0</v>
      </c>
      <c r="BI289" s="20"/>
      <c r="BJ289" s="24">
        <f ca="1">IFERROR(__xludf.DUMMYFUNCTION("""COMPUTED_VALUE"""),0)</f>
        <v>0</v>
      </c>
      <c r="BK289" s="24">
        <f ca="1">IFERROR(__xludf.DUMMYFUNCTION("""COMPUTED_VALUE"""),0)</f>
        <v>0</v>
      </c>
      <c r="BL289" s="24">
        <f ca="1">IFERROR(__xludf.DUMMYFUNCTION("""COMPUTED_VALUE"""),0)</f>
        <v>0</v>
      </c>
      <c r="BM289" s="24">
        <f ca="1">IFERROR(__xludf.DUMMYFUNCTION("""COMPUTED_VALUE"""),0)</f>
        <v>0</v>
      </c>
      <c r="BN289" s="24">
        <f ca="1">IFERROR(__xludf.DUMMYFUNCTION("""COMPUTED_VALUE"""),0)</f>
        <v>0</v>
      </c>
      <c r="BO289" s="20"/>
      <c r="BP289" s="24">
        <f ca="1">IFERROR(__xludf.DUMMYFUNCTION("""COMPUTED_VALUE"""),0)</f>
        <v>0</v>
      </c>
      <c r="BQ289" s="24">
        <f ca="1">IFERROR(__xludf.DUMMYFUNCTION("""COMPUTED_VALUE"""),0)</f>
        <v>0</v>
      </c>
      <c r="BR289" s="24">
        <f ca="1">IFERROR(__xludf.DUMMYFUNCTION("""COMPUTED_VALUE"""),0)</f>
        <v>0</v>
      </c>
      <c r="BS289" s="24">
        <f ca="1">IFERROR(__xludf.DUMMYFUNCTION("""COMPUTED_VALUE"""),0)</f>
        <v>0</v>
      </c>
      <c r="BT289" s="24">
        <f ca="1">IFERROR(__xludf.DUMMYFUNCTION("""COMPUTED_VALUE"""),0)</f>
        <v>0</v>
      </c>
      <c r="BU289" s="20"/>
      <c r="BV289" s="24">
        <f ca="1">IFERROR(__xludf.DUMMYFUNCTION("""COMPUTED_VALUE"""),0)</f>
        <v>0</v>
      </c>
      <c r="BW289" s="24">
        <f ca="1">IFERROR(__xludf.DUMMYFUNCTION("""COMPUTED_VALUE"""),0)</f>
        <v>0</v>
      </c>
      <c r="BX289" s="24">
        <f ca="1">IFERROR(__xludf.DUMMYFUNCTION("""COMPUTED_VALUE"""),0)</f>
        <v>0</v>
      </c>
      <c r="BY289" s="24">
        <f ca="1">IFERROR(__xludf.DUMMYFUNCTION("""COMPUTED_VALUE"""),0)</f>
        <v>0</v>
      </c>
      <c r="BZ289" s="24">
        <f ca="1">IFERROR(__xludf.DUMMYFUNCTION("""COMPUTED_VALUE"""),0)</f>
        <v>0</v>
      </c>
      <c r="CA289" s="20"/>
      <c r="CB289" s="20"/>
      <c r="CC289" s="20"/>
      <c r="CD289" s="20"/>
      <c r="CE289" s="20"/>
      <c r="CF289" s="20"/>
      <c r="CG289" s="20"/>
      <c r="CH289" s="20"/>
      <c r="CI289" s="20"/>
      <c r="CJ289" s="33">
        <f ca="1">IFERROR(__xludf.DUMMYFUNCTION("""COMPUTED_VALUE"""),6684065)</f>
        <v>6684065</v>
      </c>
      <c r="CK289" s="33">
        <f ca="1">IFERROR(__xludf.DUMMYFUNCTION("""COMPUTED_VALUE"""),43991)</f>
        <v>43991</v>
      </c>
      <c r="CL289" s="20" t="str">
        <f ca="1">IFERROR(__xludf.DUMMYFUNCTION("""COMPUTED_VALUE""")," №50-1-1-2-1011-20")</f>
        <v xml:space="preserve"> №50-1-1-2-1011-20</v>
      </c>
      <c r="CM289" s="25">
        <f ca="1">IFERROR(__xludf.DUMMYFUNCTION("""COMPUTED_VALUE"""),43790)</f>
        <v>43790</v>
      </c>
      <c r="CN289" s="27" t="str">
        <f ca="1">IFERROR(__xludf.DUMMYFUNCTION("""COMPUTED_VALUE"""),"0848300069519000443")</f>
        <v>0848300069519000443</v>
      </c>
      <c r="CO289" s="25">
        <f ca="1">IFERROR(__xludf.DUMMYFUNCTION("""COMPUTED_VALUE"""),43819)</f>
        <v>43819</v>
      </c>
      <c r="CP289" s="20" t="str">
        <f ca="1">IFERROR(__xludf.DUMMYFUNCTION("""COMPUTED_VALUE"""),"08483000695190004430001")</f>
        <v>08483000695190004430001</v>
      </c>
      <c r="CQ289" s="20">
        <f ca="1">IFERROR(__xludf.DUMMYFUNCTION("""COMPUTED_VALUE"""),11412997.2)</f>
        <v>11412997.199999999</v>
      </c>
      <c r="CR289" s="20" t="str">
        <f ca="1">IFERROR(__xludf.DUMMYFUNCTION("""COMPUTED_VALUE"""),"ООО ""ИНВЕСТПРОЕКТ""")</f>
        <v>ООО "ИНВЕСТПРОЕКТ"</v>
      </c>
      <c r="CS289" s="27" t="str">
        <f ca="1">IFERROR(__xludf.DUMMYFUNCTION("""COMPUTED_VALUE"""),"https://zakupki.gov.ru/epz/contract/contractCard/common-info.html?reestrNumber=3501400314519000073&amp;backUrl=c51a1be5-5aeb-4b65-8557-7db8ab7fa78cc")</f>
        <v>https://zakupki.gov.ru/epz/contract/contractCard/common-info.html?reestrNumber=3501400314519000073&amp;backUrl=c51a1be5-5aeb-4b65-8557-7db8ab7fa78cc</v>
      </c>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row>
    <row r="290" spans="1:123" ht="64.5" customHeight="1" x14ac:dyDescent="0.2">
      <c r="A290" s="19"/>
      <c r="B290" s="20" t="str">
        <f ca="1">IFERROR(__xludf.DUMMYFUNCTION("""COMPUTED_VALUE"""),"г.о. Зарайск")</f>
        <v>г.о. Зарайск</v>
      </c>
      <c r="C29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0" s="20" t="str">
        <f ca="1">IFERROR(__xludf.DUMMYFUNCTION("""COMPUTED_VALUE"""),"МинЖКХ ""ТОП 5 (1 этап)""")</f>
        <v>МинЖКХ "ТОП 5 (1 этап)"</v>
      </c>
      <c r="E290" s="20" t="str">
        <f ca="1">IFERROR(__xludf.DUMMYFUNCTION("""COMPUTED_VALUE"""),"Строительство блочно-модульной котельной ""ГПТУ"" со снижением мощности в г. Зарайск, г.о. Зарайск (в т.ч. ПИР) ")</f>
        <v xml:space="preserve">Строительство блочно-модульной котельной "ГПТУ" со снижением мощности в г. Зарайск, г.о. Зарайск (в т.ч. ПИР) </v>
      </c>
      <c r="F290" s="32" t="str">
        <f ca="1">IFERROR(__xludf.DUMMYFUNCTION("""COMPUTED_VALUE"""),"БМК")</f>
        <v>БМК</v>
      </c>
      <c r="G290" s="20">
        <f ca="1">IFERROR(__xludf.DUMMYFUNCTION("""COMPUTED_VALUE"""),2020)</f>
        <v>2020</v>
      </c>
      <c r="H290" s="20" t="str">
        <f ca="1">IFERROR(__xludf.DUMMYFUNCTION("""COMPUTED_VALUE"""),"СМР")</f>
        <v>СМР</v>
      </c>
      <c r="I290" s="20">
        <f ca="1">IFERROR(__xludf.DUMMYFUNCTION("""COMPUTED_VALUE"""),12)</f>
        <v>12</v>
      </c>
      <c r="J290" s="20" t="str">
        <f ca="1">IFERROR(__xludf.DUMMYFUNCTION("""COMPUTED_VALUE"""),"Фундамент залит , врезка в сети водоснабжения и канализации произведен. Горелки и котельная поставлены  на объект. ")</f>
        <v xml:space="preserve">Фундамент залит , врезка в сети водоснабжения и канализации произведен. Горелки и котельная поставлены  на объект. </v>
      </c>
      <c r="K290" s="20">
        <f ca="1">IFERROR(__xludf.DUMMYFUNCTION("""COMPUTED_VALUE"""),620)</f>
        <v>620</v>
      </c>
      <c r="L290" s="20">
        <f ca="1">IFERROR(__xludf.DUMMYFUNCTION("""COMPUTED_VALUE"""),620)</f>
        <v>620</v>
      </c>
      <c r="M290" s="20"/>
      <c r="N290" s="24">
        <f ca="1">IFERROR(__xludf.DUMMYFUNCTION("""COMPUTED_VALUE"""),28034.31)</f>
        <v>28034.31</v>
      </c>
      <c r="O290" s="20"/>
      <c r="P290" s="24">
        <f ca="1">IFERROR(__xludf.DUMMYFUNCTION("""COMPUTED_VALUE"""),0)</f>
        <v>0</v>
      </c>
      <c r="Q290" s="20">
        <f ca="1">IFERROR(__xludf.DUMMYFUNCTION("""COMPUTED_VALUE"""),28034.31)</f>
        <v>28034.31</v>
      </c>
      <c r="R290" s="20"/>
      <c r="S290" s="20"/>
      <c r="T290" s="20"/>
      <c r="U290" s="24">
        <f ca="1">IFERROR(__xludf.DUMMYFUNCTION("""COMPUTED_VALUE"""),3547.56999999999)</f>
        <v>3547.5699999999902</v>
      </c>
      <c r="V290" s="24">
        <f ca="1">IFERROR(__xludf.DUMMYFUNCTION("""COMPUTED_VALUE"""),0)</f>
        <v>0</v>
      </c>
      <c r="W290" s="24">
        <f ca="1">IFERROR(__xludf.DUMMYFUNCTION("""COMPUTED_VALUE"""),0)</f>
        <v>0</v>
      </c>
      <c r="X290" s="24">
        <f ca="1">IFERROR(__xludf.DUMMYFUNCTION("""COMPUTED_VALUE"""),1210.50999999999)</f>
        <v>1210.50999999999</v>
      </c>
      <c r="Y290" s="24">
        <f ca="1">IFERROR(__xludf.DUMMYFUNCTION("""COMPUTED_VALUE"""),2337.06)</f>
        <v>2337.06</v>
      </c>
      <c r="Z290" s="24">
        <f ca="1">IFERROR(__xludf.DUMMYFUNCTION("""COMPUTED_VALUE"""),0)</f>
        <v>0</v>
      </c>
      <c r="AA290" s="20" t="str">
        <f ca="1">IFERROR(__xludf.DUMMYFUNCTION("""COMPUTED_VALUE"""),"10 3 02 64080")</f>
        <v>10 3 02 64080</v>
      </c>
      <c r="AB290" s="20">
        <f ca="1">IFERROR(__xludf.DUMMYFUNCTION("""COMPUTED_VALUE"""),522)</f>
        <v>522</v>
      </c>
      <c r="AC290" s="20"/>
      <c r="AD290" s="20"/>
      <c r="AE290" s="20"/>
      <c r="AF290" s="24">
        <f ca="1">IFERROR(__xludf.DUMMYFUNCTION("""COMPUTED_VALUE"""),31581.88)</f>
        <v>31581.88</v>
      </c>
      <c r="AG290" s="24">
        <f ca="1">IFERROR(__xludf.DUMMYFUNCTION("""COMPUTED_VALUE"""),0)</f>
        <v>0</v>
      </c>
      <c r="AH290" s="24">
        <f ca="1">IFERROR(__xludf.DUMMYFUNCTION("""COMPUTED_VALUE"""),0)</f>
        <v>0</v>
      </c>
      <c r="AI290" s="24">
        <f ca="1">IFERROR(__xludf.DUMMYFUNCTION("""COMPUTED_VALUE"""),29244.82)</f>
        <v>29244.82</v>
      </c>
      <c r="AJ290" s="24">
        <f ca="1">IFERROR(__xludf.DUMMYFUNCTION("""COMPUTED_VALUE"""),2337.06)</f>
        <v>2337.06</v>
      </c>
      <c r="AK290" s="24">
        <f ca="1">IFERROR(__xludf.DUMMYFUNCTION("""COMPUTED_VALUE"""),0)</f>
        <v>0</v>
      </c>
      <c r="AL290" s="24">
        <f ca="1">IFERROR(__xludf.DUMMYFUNCTION("""COMPUTED_VALUE"""),0)</f>
        <v>0</v>
      </c>
      <c r="AM290" s="20"/>
      <c r="AN290" s="20"/>
      <c r="AO290" s="20"/>
      <c r="AP290" s="20"/>
      <c r="AQ290" s="20"/>
      <c r="AR290" s="24">
        <f ca="1">IFERROR(__xludf.DUMMYFUNCTION("""COMPUTED_VALUE"""),0)</f>
        <v>0</v>
      </c>
      <c r="AS290" s="20"/>
      <c r="AT290" s="20"/>
      <c r="AU290" s="20"/>
      <c r="AV290" s="20"/>
      <c r="AW290" s="20"/>
      <c r="AX290" s="24">
        <f ca="1">IFERROR(__xludf.DUMMYFUNCTION("""COMPUTED_VALUE"""),31581.88)</f>
        <v>31581.88</v>
      </c>
      <c r="AY290" s="24">
        <f ca="1">IFERROR(__xludf.DUMMYFUNCTION("""COMPUTED_VALUE"""),0)</f>
        <v>0</v>
      </c>
      <c r="AZ290" s="24">
        <f ca="1">IFERROR(__xludf.DUMMYFUNCTION("""COMPUTED_VALUE"""),0)</f>
        <v>0</v>
      </c>
      <c r="BA290" s="24">
        <f ca="1">IFERROR(__xludf.DUMMYFUNCTION("""COMPUTED_VALUE"""),29244.82)</f>
        <v>29244.82</v>
      </c>
      <c r="BB290" s="24">
        <f ca="1">IFERROR(__xludf.DUMMYFUNCTION("""COMPUTED_VALUE"""),2337.06)</f>
        <v>2337.06</v>
      </c>
      <c r="BC290" s="20"/>
      <c r="BD290" s="24">
        <f ca="1">IFERROR(__xludf.DUMMYFUNCTION("""COMPUTED_VALUE"""),0)</f>
        <v>0</v>
      </c>
      <c r="BE290" s="24">
        <f ca="1">IFERROR(__xludf.DUMMYFUNCTION("""COMPUTED_VALUE"""),0)</f>
        <v>0</v>
      </c>
      <c r="BF290" s="24">
        <f ca="1">IFERROR(__xludf.DUMMYFUNCTION("""COMPUTED_VALUE"""),0)</f>
        <v>0</v>
      </c>
      <c r="BG290" s="24">
        <f ca="1">IFERROR(__xludf.DUMMYFUNCTION("""COMPUTED_VALUE"""),0)</f>
        <v>0</v>
      </c>
      <c r="BH290" s="24">
        <f ca="1">IFERROR(__xludf.DUMMYFUNCTION("""COMPUTED_VALUE"""),0)</f>
        <v>0</v>
      </c>
      <c r="BI290" s="20"/>
      <c r="BJ290" s="24">
        <f ca="1">IFERROR(__xludf.DUMMYFUNCTION("""COMPUTED_VALUE"""),0)</f>
        <v>0</v>
      </c>
      <c r="BK290" s="24">
        <f ca="1">IFERROR(__xludf.DUMMYFUNCTION("""COMPUTED_VALUE"""),0)</f>
        <v>0</v>
      </c>
      <c r="BL290" s="24">
        <f ca="1">IFERROR(__xludf.DUMMYFUNCTION("""COMPUTED_VALUE"""),0)</f>
        <v>0</v>
      </c>
      <c r="BM290" s="24">
        <f ca="1">IFERROR(__xludf.DUMMYFUNCTION("""COMPUTED_VALUE"""),0)</f>
        <v>0</v>
      </c>
      <c r="BN290" s="24">
        <f ca="1">IFERROR(__xludf.DUMMYFUNCTION("""COMPUTED_VALUE"""),0)</f>
        <v>0</v>
      </c>
      <c r="BO290" s="20"/>
      <c r="BP290" s="24">
        <f ca="1">IFERROR(__xludf.DUMMYFUNCTION("""COMPUTED_VALUE"""),0)</f>
        <v>0</v>
      </c>
      <c r="BQ290" s="24">
        <f ca="1">IFERROR(__xludf.DUMMYFUNCTION("""COMPUTED_VALUE"""),0)</f>
        <v>0</v>
      </c>
      <c r="BR290" s="24">
        <f ca="1">IFERROR(__xludf.DUMMYFUNCTION("""COMPUTED_VALUE"""),0)</f>
        <v>0</v>
      </c>
      <c r="BS290" s="24">
        <f ca="1">IFERROR(__xludf.DUMMYFUNCTION("""COMPUTED_VALUE"""),0)</f>
        <v>0</v>
      </c>
      <c r="BT290" s="24">
        <f ca="1">IFERROR(__xludf.DUMMYFUNCTION("""COMPUTED_VALUE"""),0)</f>
        <v>0</v>
      </c>
      <c r="BU290" s="20"/>
      <c r="BV290" s="24">
        <f ca="1">IFERROR(__xludf.DUMMYFUNCTION("""COMPUTED_VALUE"""),0)</f>
        <v>0</v>
      </c>
      <c r="BW290" s="24">
        <f ca="1">IFERROR(__xludf.DUMMYFUNCTION("""COMPUTED_VALUE"""),0)</f>
        <v>0</v>
      </c>
      <c r="BX290" s="24">
        <f ca="1">IFERROR(__xludf.DUMMYFUNCTION("""COMPUTED_VALUE"""),0)</f>
        <v>0</v>
      </c>
      <c r="BY290" s="24">
        <f ca="1">IFERROR(__xludf.DUMMYFUNCTION("""COMPUTED_VALUE"""),0)</f>
        <v>0</v>
      </c>
      <c r="BZ290" s="24">
        <f ca="1">IFERROR(__xludf.DUMMYFUNCTION("""COMPUTED_VALUE"""),0)</f>
        <v>0</v>
      </c>
      <c r="CA290" s="20"/>
      <c r="CB290" s="20"/>
      <c r="CC290" s="20"/>
      <c r="CD290" s="20"/>
      <c r="CE290" s="20"/>
      <c r="CF290" s="20"/>
      <c r="CG290" s="20"/>
      <c r="CH290" s="20"/>
      <c r="CI290" s="20"/>
      <c r="CJ290" s="20"/>
      <c r="CK290" s="25">
        <f ca="1">IFERROR(__xludf.DUMMYFUNCTION("""COMPUTED_VALUE"""),44125)</f>
        <v>44125</v>
      </c>
      <c r="CL290" s="20" t="str">
        <f ca="1">IFERROR(__xludf.DUMMYFUNCTION("""COMPUTED_VALUE"""),"50-1-1-3-1647-20")</f>
        <v>50-1-1-3-1647-20</v>
      </c>
      <c r="CM290" s="20"/>
      <c r="CN290" s="20"/>
      <c r="CO290" s="20"/>
      <c r="CP290" s="20"/>
      <c r="CQ290" s="20"/>
      <c r="CR290" s="20"/>
      <c r="CS290" s="20"/>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row>
    <row r="291" spans="1:123" ht="64.5" customHeight="1" x14ac:dyDescent="0.2">
      <c r="A291" s="19"/>
      <c r="B291" s="20" t="str">
        <f ca="1">IFERROR(__xludf.DUMMYFUNCTION("""COMPUTED_VALUE"""),"г.о. Зарайск")</f>
        <v>г.о. Зарайск</v>
      </c>
      <c r="C29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1" s="20" t="str">
        <f ca="1">IFERROR(__xludf.DUMMYFUNCTION("""COMPUTED_VALUE"""),"МинЖКХ ""ТОП 5 (1 этап)""")</f>
        <v>МинЖКХ "ТОП 5 (1 этап)"</v>
      </c>
      <c r="E291" s="20" t="str">
        <f ca="1">IFERROR(__xludf.DUMMYFUNCTION("""COMPUTED_VALUE"""),"Строительство блочно-модульной котельной ""Струпна"" со снижением мощности в с. Чулки-Соколово, г.о. Зарайск (в т.ч. ПИР) ")</f>
        <v xml:space="preserve">Строительство блочно-модульной котельной "Струпна" со снижением мощности в с. Чулки-Соколово, г.о. Зарайск (в т.ч. ПИР) </v>
      </c>
      <c r="F291" s="32" t="str">
        <f ca="1">IFERROR(__xludf.DUMMYFUNCTION("""COMPUTED_VALUE"""),"БМК")</f>
        <v>БМК</v>
      </c>
      <c r="G291" s="20" t="str">
        <f ca="1">IFERROR(__xludf.DUMMYFUNCTION("""COMPUTED_VALUE"""),"2020-2021")</f>
        <v>2020-2021</v>
      </c>
      <c r="H291" s="20" t="str">
        <f ca="1">IFERROR(__xludf.DUMMYFUNCTION("""COMPUTED_VALUE"""),"ПИР ")</f>
        <v xml:space="preserve">ПИР </v>
      </c>
      <c r="I291" s="20"/>
      <c r="J291" s="20"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K291" s="20">
        <f ca="1">IFERROR(__xludf.DUMMYFUNCTION("""COMPUTED_VALUE"""),950)</f>
        <v>950</v>
      </c>
      <c r="L291" s="20">
        <f ca="1">IFERROR(__xludf.DUMMYFUNCTION("""COMPUTED_VALUE"""),950)</f>
        <v>950</v>
      </c>
      <c r="M291" s="20"/>
      <c r="N291" s="24">
        <f ca="1">IFERROR(__xludf.DUMMYFUNCTION("""COMPUTED_VALUE"""),0)</f>
        <v>0</v>
      </c>
      <c r="O291" s="20"/>
      <c r="P291" s="24">
        <f ca="1">IFERROR(__xludf.DUMMYFUNCTION("""COMPUTED_VALUE"""),0)</f>
        <v>0</v>
      </c>
      <c r="Q291" s="20"/>
      <c r="R291" s="20"/>
      <c r="S291" s="20"/>
      <c r="T291" s="20"/>
      <c r="U291" s="24">
        <f ca="1">IFERROR(__xludf.DUMMYFUNCTION("""COMPUTED_VALUE"""),1900)</f>
        <v>1900</v>
      </c>
      <c r="V291" s="24">
        <f ca="1">IFERROR(__xludf.DUMMYFUNCTION("""COMPUTED_VALUE"""),0)</f>
        <v>0</v>
      </c>
      <c r="W291" s="24">
        <f ca="1">IFERROR(__xludf.DUMMYFUNCTION("""COMPUTED_VALUE"""),0)</f>
        <v>0</v>
      </c>
      <c r="X291" s="24">
        <f ca="1">IFERROR(__xludf.DUMMYFUNCTION("""COMPUTED_VALUE"""),1759.4)</f>
        <v>1759.4</v>
      </c>
      <c r="Y291" s="24">
        <f ca="1">IFERROR(__xludf.DUMMYFUNCTION("""COMPUTED_VALUE"""),140.6)</f>
        <v>140.6</v>
      </c>
      <c r="Z291" s="24">
        <f ca="1">IFERROR(__xludf.DUMMYFUNCTION("""COMPUTED_VALUE"""),0)</f>
        <v>0</v>
      </c>
      <c r="AA291" s="20" t="str">
        <f ca="1">IFERROR(__xludf.DUMMYFUNCTION("""COMPUTED_VALUE"""),"10 3 02 64080")</f>
        <v>10 3 02 64080</v>
      </c>
      <c r="AB291" s="20">
        <f ca="1">IFERROR(__xludf.DUMMYFUNCTION("""COMPUTED_VALUE"""),522)</f>
        <v>522</v>
      </c>
      <c r="AC291" s="20"/>
      <c r="AD291" s="20"/>
      <c r="AE291" s="20"/>
      <c r="AF291" s="24">
        <f ca="1">IFERROR(__xludf.DUMMYFUNCTION("""COMPUTED_VALUE"""),16722.01)</f>
        <v>16722.009999999998</v>
      </c>
      <c r="AG291" s="24">
        <f ca="1">IFERROR(__xludf.DUMMYFUNCTION("""COMPUTED_VALUE"""),0)</f>
        <v>0</v>
      </c>
      <c r="AH291" s="24">
        <f ca="1">IFERROR(__xludf.DUMMYFUNCTION("""COMPUTED_VALUE"""),0)</f>
        <v>0</v>
      </c>
      <c r="AI291" s="24">
        <f ca="1">IFERROR(__xludf.DUMMYFUNCTION("""COMPUTED_VALUE"""),15484.58)</f>
        <v>15484.58</v>
      </c>
      <c r="AJ291" s="24">
        <f ca="1">IFERROR(__xludf.DUMMYFUNCTION("""COMPUTED_VALUE"""),1237.42999999999)</f>
        <v>1237.4299999999901</v>
      </c>
      <c r="AK291" s="24">
        <f ca="1">IFERROR(__xludf.DUMMYFUNCTION("""COMPUTED_VALUE"""),0)</f>
        <v>0</v>
      </c>
      <c r="AL291" s="24">
        <f ca="1">IFERROR(__xludf.DUMMYFUNCTION("""COMPUTED_VALUE"""),0)</f>
        <v>0</v>
      </c>
      <c r="AM291" s="20"/>
      <c r="AN291" s="20"/>
      <c r="AO291" s="20"/>
      <c r="AP291" s="20"/>
      <c r="AQ291" s="20"/>
      <c r="AR291" s="24">
        <f ca="1">IFERROR(__xludf.DUMMYFUNCTION("""COMPUTED_VALUE"""),0)</f>
        <v>0</v>
      </c>
      <c r="AS291" s="20"/>
      <c r="AT291" s="20"/>
      <c r="AU291" s="20"/>
      <c r="AV291" s="20"/>
      <c r="AW291" s="20"/>
      <c r="AX291" s="24">
        <f ca="1">IFERROR(__xludf.DUMMYFUNCTION("""COMPUTED_VALUE"""),1900)</f>
        <v>1900</v>
      </c>
      <c r="AY291" s="24">
        <f ca="1">IFERROR(__xludf.DUMMYFUNCTION("""COMPUTED_VALUE"""),0)</f>
        <v>0</v>
      </c>
      <c r="AZ291" s="24">
        <f ca="1">IFERROR(__xludf.DUMMYFUNCTION("""COMPUTED_VALUE"""),0)</f>
        <v>0</v>
      </c>
      <c r="BA291" s="24">
        <f ca="1">IFERROR(__xludf.DUMMYFUNCTION("""COMPUTED_VALUE"""),1759.4)</f>
        <v>1759.4</v>
      </c>
      <c r="BB291" s="24">
        <f ca="1">IFERROR(__xludf.DUMMYFUNCTION("""COMPUTED_VALUE"""),140.6)</f>
        <v>140.6</v>
      </c>
      <c r="BC291" s="20"/>
      <c r="BD291" s="24">
        <f ca="1">IFERROR(__xludf.DUMMYFUNCTION("""COMPUTED_VALUE"""),14822.01)</f>
        <v>14822.01</v>
      </c>
      <c r="BE291" s="24">
        <f ca="1">IFERROR(__xludf.DUMMYFUNCTION("""COMPUTED_VALUE"""),0)</f>
        <v>0</v>
      </c>
      <c r="BF291" s="24">
        <f ca="1">IFERROR(__xludf.DUMMYFUNCTION("""COMPUTED_VALUE"""),0)</f>
        <v>0</v>
      </c>
      <c r="BG291" s="24">
        <f ca="1">IFERROR(__xludf.DUMMYFUNCTION("""COMPUTED_VALUE"""),13725.18)</f>
        <v>13725.18</v>
      </c>
      <c r="BH291" s="24">
        <f ca="1">IFERROR(__xludf.DUMMYFUNCTION("""COMPUTED_VALUE"""),1096.83)</f>
        <v>1096.83</v>
      </c>
      <c r="BI291" s="20"/>
      <c r="BJ291" s="24">
        <f ca="1">IFERROR(__xludf.DUMMYFUNCTION("""COMPUTED_VALUE"""),0)</f>
        <v>0</v>
      </c>
      <c r="BK291" s="24">
        <f ca="1">IFERROR(__xludf.DUMMYFUNCTION("""COMPUTED_VALUE"""),0)</f>
        <v>0</v>
      </c>
      <c r="BL291" s="24">
        <f ca="1">IFERROR(__xludf.DUMMYFUNCTION("""COMPUTED_VALUE"""),0)</f>
        <v>0</v>
      </c>
      <c r="BM291" s="24">
        <f ca="1">IFERROR(__xludf.DUMMYFUNCTION("""COMPUTED_VALUE"""),0)</f>
        <v>0</v>
      </c>
      <c r="BN291" s="24">
        <f ca="1">IFERROR(__xludf.DUMMYFUNCTION("""COMPUTED_VALUE"""),0)</f>
        <v>0</v>
      </c>
      <c r="BO291" s="20"/>
      <c r="BP291" s="24">
        <f ca="1">IFERROR(__xludf.DUMMYFUNCTION("""COMPUTED_VALUE"""),0)</f>
        <v>0</v>
      </c>
      <c r="BQ291" s="24">
        <f ca="1">IFERROR(__xludf.DUMMYFUNCTION("""COMPUTED_VALUE"""),0)</f>
        <v>0</v>
      </c>
      <c r="BR291" s="24">
        <f ca="1">IFERROR(__xludf.DUMMYFUNCTION("""COMPUTED_VALUE"""),0)</f>
        <v>0</v>
      </c>
      <c r="BS291" s="24">
        <f ca="1">IFERROR(__xludf.DUMMYFUNCTION("""COMPUTED_VALUE"""),0)</f>
        <v>0</v>
      </c>
      <c r="BT291" s="24">
        <f ca="1">IFERROR(__xludf.DUMMYFUNCTION("""COMPUTED_VALUE"""),0)</f>
        <v>0</v>
      </c>
      <c r="BU291" s="20"/>
      <c r="BV291" s="24">
        <f ca="1">IFERROR(__xludf.DUMMYFUNCTION("""COMPUTED_VALUE"""),0)</f>
        <v>0</v>
      </c>
      <c r="BW291" s="24">
        <f ca="1">IFERROR(__xludf.DUMMYFUNCTION("""COMPUTED_VALUE"""),0)</f>
        <v>0</v>
      </c>
      <c r="BX291" s="24">
        <f ca="1">IFERROR(__xludf.DUMMYFUNCTION("""COMPUTED_VALUE"""),0)</f>
        <v>0</v>
      </c>
      <c r="BY291" s="24">
        <f ca="1">IFERROR(__xludf.DUMMYFUNCTION("""COMPUTED_VALUE"""),0)</f>
        <v>0</v>
      </c>
      <c r="BZ291" s="24">
        <f ca="1">IFERROR(__xludf.DUMMYFUNCTION("""COMPUTED_VALUE"""),0)</f>
        <v>0</v>
      </c>
      <c r="CA291" s="20"/>
      <c r="CB291" s="20"/>
      <c r="CC291" s="20"/>
      <c r="CD291" s="20"/>
      <c r="CE291" s="20"/>
      <c r="CF291" s="20"/>
      <c r="CG291" s="20"/>
      <c r="CH291" s="20"/>
      <c r="CI291" s="20"/>
      <c r="CJ291" s="20"/>
      <c r="CK291" s="20"/>
      <c r="CL291" s="20"/>
      <c r="CM291" s="20"/>
      <c r="CN291" s="20"/>
      <c r="CO291" s="20"/>
      <c r="CP291" s="20"/>
      <c r="CQ291" s="20"/>
      <c r="CR291" s="20"/>
      <c r="CS291" s="20"/>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row>
    <row r="292" spans="1:123" ht="64.5" customHeight="1" x14ac:dyDescent="0.2">
      <c r="A292" s="19"/>
      <c r="B292" s="20" t="str">
        <f ca="1">IFERROR(__xludf.DUMMYFUNCTION("""COMPUTED_VALUE"""),"г.о. Зарайск")</f>
        <v>г.о. Зарайск</v>
      </c>
      <c r="C29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2" s="20" t="str">
        <f ca="1">IFERROR(__xludf.DUMMYFUNCTION("""COMPUTED_VALUE"""),"МинЖКХ ""ТОП 5 (1 этап)""")</f>
        <v>МинЖКХ "ТОП 5 (1 этап)"</v>
      </c>
      <c r="E292" s="20" t="str">
        <f ca="1">IFERROR(__xludf.DUMMYFUNCTION("""COMPUTED_VALUE"""),"Строительство блочно-модульной котельной со снижением мощности в г. Зарайск, пос. ПМК-6  г.о. Зарайск (в т.ч. ПИР)")</f>
        <v>Строительство блочно-модульной котельной со снижением мощности в г. Зарайск, пос. ПМК-6  г.о. Зарайск (в т.ч. ПИР)</v>
      </c>
      <c r="F292" s="32" t="str">
        <f ca="1">IFERROR(__xludf.DUMMYFUNCTION("""COMPUTED_VALUE"""),"БМК")</f>
        <v>БМК</v>
      </c>
      <c r="G292" s="20" t="str">
        <f ca="1">IFERROR(__xludf.DUMMYFUNCTION("""COMPUTED_VALUE"""),"2020-2021")</f>
        <v>2020-2021</v>
      </c>
      <c r="H292" s="20" t="str">
        <f ca="1">IFERROR(__xludf.DUMMYFUNCTION("""COMPUTED_VALUE"""),"ПИР ")</f>
        <v xml:space="preserve">ПИР </v>
      </c>
      <c r="I292" s="20"/>
      <c r="J292" s="20"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K292" s="20">
        <f ca="1">IFERROR(__xludf.DUMMYFUNCTION("""COMPUTED_VALUE"""),250)</f>
        <v>250</v>
      </c>
      <c r="L292" s="20">
        <f ca="1">IFERROR(__xludf.DUMMYFUNCTION("""COMPUTED_VALUE"""),250)</f>
        <v>250</v>
      </c>
      <c r="M292" s="20"/>
      <c r="N292" s="24">
        <f ca="1">IFERROR(__xludf.DUMMYFUNCTION("""COMPUTED_VALUE"""),0)</f>
        <v>0</v>
      </c>
      <c r="O292" s="20"/>
      <c r="P292" s="24">
        <f ca="1">IFERROR(__xludf.DUMMYFUNCTION("""COMPUTED_VALUE"""),0)</f>
        <v>0</v>
      </c>
      <c r="Q292" s="20"/>
      <c r="R292" s="20"/>
      <c r="S292" s="20"/>
      <c r="T292" s="20"/>
      <c r="U292" s="24">
        <f ca="1">IFERROR(__xludf.DUMMYFUNCTION("""COMPUTED_VALUE"""),1900)</f>
        <v>1900</v>
      </c>
      <c r="V292" s="24">
        <f ca="1">IFERROR(__xludf.DUMMYFUNCTION("""COMPUTED_VALUE"""),0)</f>
        <v>0</v>
      </c>
      <c r="W292" s="24">
        <f ca="1">IFERROR(__xludf.DUMMYFUNCTION("""COMPUTED_VALUE"""),0)</f>
        <v>0</v>
      </c>
      <c r="X292" s="24">
        <f ca="1">IFERROR(__xludf.DUMMYFUNCTION("""COMPUTED_VALUE"""),1759.4)</f>
        <v>1759.4</v>
      </c>
      <c r="Y292" s="24">
        <f ca="1">IFERROR(__xludf.DUMMYFUNCTION("""COMPUTED_VALUE"""),140.6)</f>
        <v>140.6</v>
      </c>
      <c r="Z292" s="24">
        <f ca="1">IFERROR(__xludf.DUMMYFUNCTION("""COMPUTED_VALUE"""),0)</f>
        <v>0</v>
      </c>
      <c r="AA292" s="20" t="str">
        <f ca="1">IFERROR(__xludf.DUMMYFUNCTION("""COMPUTED_VALUE"""),"10 3 02 64080")</f>
        <v>10 3 02 64080</v>
      </c>
      <c r="AB292" s="20">
        <f ca="1">IFERROR(__xludf.DUMMYFUNCTION("""COMPUTED_VALUE"""),522)</f>
        <v>522</v>
      </c>
      <c r="AC292" s="20"/>
      <c r="AD292" s="20"/>
      <c r="AE292" s="20"/>
      <c r="AF292" s="24">
        <f ca="1">IFERROR(__xludf.DUMMYFUNCTION("""COMPUTED_VALUE"""),16063.3)</f>
        <v>16063.3</v>
      </c>
      <c r="AG292" s="24">
        <f ca="1">IFERROR(__xludf.DUMMYFUNCTION("""COMPUTED_VALUE"""),0)</f>
        <v>0</v>
      </c>
      <c r="AH292" s="24">
        <f ca="1">IFERROR(__xludf.DUMMYFUNCTION("""COMPUTED_VALUE"""),0)</f>
        <v>0</v>
      </c>
      <c r="AI292" s="24">
        <f ca="1">IFERROR(__xludf.DUMMYFUNCTION("""COMPUTED_VALUE"""),14874.6199999999)</f>
        <v>14874.619999999901</v>
      </c>
      <c r="AJ292" s="24">
        <f ca="1">IFERROR(__xludf.DUMMYFUNCTION("""COMPUTED_VALUE"""),1188.67999999999)</f>
        <v>1188.6799999999901</v>
      </c>
      <c r="AK292" s="24">
        <f ca="1">IFERROR(__xludf.DUMMYFUNCTION("""COMPUTED_VALUE"""),0)</f>
        <v>0</v>
      </c>
      <c r="AL292" s="24">
        <f ca="1">IFERROR(__xludf.DUMMYFUNCTION("""COMPUTED_VALUE"""),0)</f>
        <v>0</v>
      </c>
      <c r="AM292" s="20"/>
      <c r="AN292" s="20"/>
      <c r="AO292" s="20"/>
      <c r="AP292" s="20"/>
      <c r="AQ292" s="20"/>
      <c r="AR292" s="24">
        <f ca="1">IFERROR(__xludf.DUMMYFUNCTION("""COMPUTED_VALUE"""),0)</f>
        <v>0</v>
      </c>
      <c r="AS292" s="20"/>
      <c r="AT292" s="20"/>
      <c r="AU292" s="20"/>
      <c r="AV292" s="20"/>
      <c r="AW292" s="20"/>
      <c r="AX292" s="24">
        <f ca="1">IFERROR(__xludf.DUMMYFUNCTION("""COMPUTED_VALUE"""),1900)</f>
        <v>1900</v>
      </c>
      <c r="AY292" s="24">
        <f ca="1">IFERROR(__xludf.DUMMYFUNCTION("""COMPUTED_VALUE"""),0)</f>
        <v>0</v>
      </c>
      <c r="AZ292" s="24">
        <f ca="1">IFERROR(__xludf.DUMMYFUNCTION("""COMPUTED_VALUE"""),0)</f>
        <v>0</v>
      </c>
      <c r="BA292" s="24">
        <f ca="1">IFERROR(__xludf.DUMMYFUNCTION("""COMPUTED_VALUE"""),1759.4)</f>
        <v>1759.4</v>
      </c>
      <c r="BB292" s="24">
        <f ca="1">IFERROR(__xludf.DUMMYFUNCTION("""COMPUTED_VALUE"""),140.6)</f>
        <v>140.6</v>
      </c>
      <c r="BC292" s="20"/>
      <c r="BD292" s="24">
        <f ca="1">IFERROR(__xludf.DUMMYFUNCTION("""COMPUTED_VALUE"""),14163.3)</f>
        <v>14163.3</v>
      </c>
      <c r="BE292" s="24">
        <f ca="1">IFERROR(__xludf.DUMMYFUNCTION("""COMPUTED_VALUE"""),0)</f>
        <v>0</v>
      </c>
      <c r="BF292" s="24">
        <f ca="1">IFERROR(__xludf.DUMMYFUNCTION("""COMPUTED_VALUE"""),0)</f>
        <v>0</v>
      </c>
      <c r="BG292" s="24">
        <f ca="1">IFERROR(__xludf.DUMMYFUNCTION("""COMPUTED_VALUE"""),13115.22)</f>
        <v>13115.22</v>
      </c>
      <c r="BH292" s="24">
        <f ca="1">IFERROR(__xludf.DUMMYFUNCTION("""COMPUTED_VALUE"""),1048.08)</f>
        <v>1048.08</v>
      </c>
      <c r="BI292" s="20"/>
      <c r="BJ292" s="24">
        <f ca="1">IFERROR(__xludf.DUMMYFUNCTION("""COMPUTED_VALUE"""),0)</f>
        <v>0</v>
      </c>
      <c r="BK292" s="24">
        <f ca="1">IFERROR(__xludf.DUMMYFUNCTION("""COMPUTED_VALUE"""),0)</f>
        <v>0</v>
      </c>
      <c r="BL292" s="24">
        <f ca="1">IFERROR(__xludf.DUMMYFUNCTION("""COMPUTED_VALUE"""),0)</f>
        <v>0</v>
      </c>
      <c r="BM292" s="24">
        <f ca="1">IFERROR(__xludf.DUMMYFUNCTION("""COMPUTED_VALUE"""),0)</f>
        <v>0</v>
      </c>
      <c r="BN292" s="24">
        <f ca="1">IFERROR(__xludf.DUMMYFUNCTION("""COMPUTED_VALUE"""),0)</f>
        <v>0</v>
      </c>
      <c r="BO292" s="20"/>
      <c r="BP292" s="24">
        <f ca="1">IFERROR(__xludf.DUMMYFUNCTION("""COMPUTED_VALUE"""),0)</f>
        <v>0</v>
      </c>
      <c r="BQ292" s="24">
        <f ca="1">IFERROR(__xludf.DUMMYFUNCTION("""COMPUTED_VALUE"""),0)</f>
        <v>0</v>
      </c>
      <c r="BR292" s="24">
        <f ca="1">IFERROR(__xludf.DUMMYFUNCTION("""COMPUTED_VALUE"""),0)</f>
        <v>0</v>
      </c>
      <c r="BS292" s="24">
        <f ca="1">IFERROR(__xludf.DUMMYFUNCTION("""COMPUTED_VALUE"""),0)</f>
        <v>0</v>
      </c>
      <c r="BT292" s="24">
        <f ca="1">IFERROR(__xludf.DUMMYFUNCTION("""COMPUTED_VALUE"""),0)</f>
        <v>0</v>
      </c>
      <c r="BU292" s="20"/>
      <c r="BV292" s="24">
        <f ca="1">IFERROR(__xludf.DUMMYFUNCTION("""COMPUTED_VALUE"""),0)</f>
        <v>0</v>
      </c>
      <c r="BW292" s="24">
        <f ca="1">IFERROR(__xludf.DUMMYFUNCTION("""COMPUTED_VALUE"""),0)</f>
        <v>0</v>
      </c>
      <c r="BX292" s="24">
        <f ca="1">IFERROR(__xludf.DUMMYFUNCTION("""COMPUTED_VALUE"""),0)</f>
        <v>0</v>
      </c>
      <c r="BY292" s="24">
        <f ca="1">IFERROR(__xludf.DUMMYFUNCTION("""COMPUTED_VALUE"""),0)</f>
        <v>0</v>
      </c>
      <c r="BZ292" s="24">
        <f ca="1">IFERROR(__xludf.DUMMYFUNCTION("""COMPUTED_VALUE"""),0)</f>
        <v>0</v>
      </c>
      <c r="CA292" s="20"/>
      <c r="CB292" s="20"/>
      <c r="CC292" s="20"/>
      <c r="CD292" s="20"/>
      <c r="CE292" s="20"/>
      <c r="CF292" s="20"/>
      <c r="CG292" s="20"/>
      <c r="CH292" s="20"/>
      <c r="CI292" s="20"/>
      <c r="CJ292" s="20"/>
      <c r="CK292" s="20"/>
      <c r="CL292" s="20"/>
      <c r="CM292" s="20"/>
      <c r="CN292" s="20"/>
      <c r="CO292" s="20"/>
      <c r="CP292" s="20"/>
      <c r="CQ292" s="20"/>
      <c r="CR292" s="20"/>
      <c r="CS292" s="20"/>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row>
    <row r="293" spans="1:123" ht="64.5" hidden="1" customHeight="1" x14ac:dyDescent="0.2">
      <c r="A293" s="19"/>
      <c r="B293" s="20" t="str">
        <f ca="1">IFERROR(__xludf.DUMMYFUNCTION("""COMPUTED_VALUE"""),"г.о. Раменский")</f>
        <v>г.о. Раменский</v>
      </c>
      <c r="C29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3" s="20" t="str">
        <f ca="1">IFERROR(__xludf.DUMMYFUNCTION("""COMPUTED_VALUE"""),"МинЖКХ")</f>
        <v>МинЖКХ</v>
      </c>
      <c r="E293" s="20" t="str">
        <f ca="1">IFERROR(__xludf.DUMMYFUNCTION("""COMPUTED_VALUE"""),"Строительство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"&amp;"и электроснабжения) ")</f>
        <v xml:space="preserv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и электроснабжения) </v>
      </c>
      <c r="F293" s="32" t="str">
        <f ca="1">IFERROR(__xludf.DUMMYFUNCTION("""COMPUTED_VALUE"""),"Котельная")</f>
        <v>Котельная</v>
      </c>
      <c r="G293" s="20" t="str">
        <f ca="1">IFERROR(__xludf.DUMMYFUNCTION("""COMPUTED_VALUE"""),"2021-2022")</f>
        <v>2021-2022</v>
      </c>
      <c r="H293" s="20" t="str">
        <f ca="1">IFERROR(__xludf.DUMMYFUNCTION("""COMPUTED_VALUE"""),"СМР")</f>
        <v>СМР</v>
      </c>
      <c r="I293" s="20">
        <f ca="1">IFERROR(__xludf.DUMMYFUNCTION("""COMPUTED_VALUE"""),8)</f>
        <v>8</v>
      </c>
      <c r="J293" s="20" t="str">
        <f ca="1">IFERROR(__xludf.DUMMYFUNCTION("""COMPUTED_VALUE"""),"На данный момент проект Постановления находиться на доработке в правовом Управление Губернатора Московской области.
Выполнены работы по разработке котлована и монтажу ж/б фундаментных столбов. Завезены металлоконструкции каркаса здания, а также стеновые "&amp;"панели кровли и стены.
")</f>
        <v xml:space="preserve">На данный момент проект Постановления находиться на доработке в правовом Управление Губернатора Московской области.
Выполнены работы по разработке котлована и монтажу ж/б фундаментных столбов. Завезены металлоконструкции каркаса здания, а также стеновые панели кровли и стены.
</v>
      </c>
      <c r="K293" s="20">
        <f ca="1">IFERROR(__xludf.DUMMYFUNCTION("""COMPUTED_VALUE"""),3490)</f>
        <v>3490</v>
      </c>
      <c r="L293" s="20">
        <f ca="1">IFERROR(__xludf.DUMMYFUNCTION("""COMPUTED_VALUE"""),3490)</f>
        <v>3490</v>
      </c>
      <c r="M293" s="20"/>
      <c r="N293" s="24">
        <f ca="1">IFERROR(__xludf.DUMMYFUNCTION("""COMPUTED_VALUE"""),0)</f>
        <v>0</v>
      </c>
      <c r="O293" s="20"/>
      <c r="P293" s="20"/>
      <c r="Q293" s="20"/>
      <c r="R293" s="20"/>
      <c r="S293" s="20"/>
      <c r="T293" s="20"/>
      <c r="U293" s="24">
        <f ca="1">IFERROR(__xludf.DUMMYFUNCTION("""COMPUTED_VALUE"""),0)</f>
        <v>0</v>
      </c>
      <c r="V293" s="24">
        <f ca="1">IFERROR(__xludf.DUMMYFUNCTION("""COMPUTED_VALUE"""),0)</f>
        <v>0</v>
      </c>
      <c r="W293" s="24">
        <f ca="1">IFERROR(__xludf.DUMMYFUNCTION("""COMPUTED_VALUE"""),0)</f>
        <v>0</v>
      </c>
      <c r="X293" s="24">
        <f ca="1">IFERROR(__xludf.DUMMYFUNCTION("""COMPUTED_VALUE"""),0)</f>
        <v>0</v>
      </c>
      <c r="Y293" s="24">
        <f ca="1">IFERROR(__xludf.DUMMYFUNCTION("""COMPUTED_VALUE"""),0)</f>
        <v>0</v>
      </c>
      <c r="Z293" s="24">
        <f ca="1">IFERROR(__xludf.DUMMYFUNCTION("""COMPUTED_VALUE"""),0)</f>
        <v>0</v>
      </c>
      <c r="AA293" s="20" t="str">
        <f ca="1">IFERROR(__xludf.DUMMYFUNCTION("""COMPUTED_VALUE"""),"10 3 02 64080")</f>
        <v>10 3 02 64080</v>
      </c>
      <c r="AB293" s="20">
        <f ca="1">IFERROR(__xludf.DUMMYFUNCTION("""COMPUTED_VALUE"""),522)</f>
        <v>522</v>
      </c>
      <c r="AC293" s="20"/>
      <c r="AD293" s="20"/>
      <c r="AE293" s="20"/>
      <c r="AF293" s="24">
        <f ca="1">IFERROR(__xludf.DUMMYFUNCTION("""COMPUTED_VALUE"""),277078.79)</f>
        <v>277078.78999999998</v>
      </c>
      <c r="AG293" s="24">
        <f ca="1">IFERROR(__xludf.DUMMYFUNCTION("""COMPUTED_VALUE"""),0)</f>
        <v>0</v>
      </c>
      <c r="AH293" s="24">
        <f ca="1">IFERROR(__xludf.DUMMYFUNCTION("""COMPUTED_VALUE"""),263224.83)</f>
        <v>263224.83</v>
      </c>
      <c r="AI293" s="24">
        <f ca="1">IFERROR(__xludf.DUMMYFUNCTION("""COMPUTED_VALUE"""),0)</f>
        <v>0</v>
      </c>
      <c r="AJ293" s="24">
        <f ca="1">IFERROR(__xludf.DUMMYFUNCTION("""COMPUTED_VALUE"""),13853.96)</f>
        <v>13853.96</v>
      </c>
      <c r="AK293" s="24">
        <f ca="1">IFERROR(__xludf.DUMMYFUNCTION("""COMPUTED_VALUE"""),0)</f>
        <v>0</v>
      </c>
      <c r="AL293" s="24">
        <f ca="1">IFERROR(__xludf.DUMMYFUNCTION("""COMPUTED_VALUE"""),0)</f>
        <v>0</v>
      </c>
      <c r="AM293" s="20"/>
      <c r="AN293" s="20"/>
      <c r="AO293" s="20"/>
      <c r="AP293" s="20"/>
      <c r="AQ293" s="20"/>
      <c r="AR293" s="24">
        <f ca="1">IFERROR(__xludf.DUMMYFUNCTION("""COMPUTED_VALUE"""),0)</f>
        <v>0</v>
      </c>
      <c r="AS293" s="20"/>
      <c r="AT293" s="20"/>
      <c r="AU293" s="20"/>
      <c r="AV293" s="20"/>
      <c r="AW293" s="20"/>
      <c r="AX293" s="24">
        <f ca="1">IFERROR(__xludf.DUMMYFUNCTION("""COMPUTED_VALUE"""),0)</f>
        <v>0</v>
      </c>
      <c r="AY293" s="24">
        <f ca="1">IFERROR(__xludf.DUMMYFUNCTION("""COMPUTED_VALUE"""),0)</f>
        <v>0</v>
      </c>
      <c r="AZ293" s="24">
        <f ca="1">IFERROR(__xludf.DUMMYFUNCTION("""COMPUTED_VALUE"""),0)</f>
        <v>0</v>
      </c>
      <c r="BA293" s="24">
        <f ca="1">IFERROR(__xludf.DUMMYFUNCTION("""COMPUTED_VALUE"""),0)</f>
        <v>0</v>
      </c>
      <c r="BB293" s="24">
        <f ca="1">IFERROR(__xludf.DUMMYFUNCTION("""COMPUTED_VALUE"""),0)</f>
        <v>0</v>
      </c>
      <c r="BC293" s="20"/>
      <c r="BD293" s="24">
        <f ca="1">IFERROR(__xludf.DUMMYFUNCTION("""COMPUTED_VALUE"""),94055.63)</f>
        <v>94055.63</v>
      </c>
      <c r="BE293" s="24">
        <f ca="1">IFERROR(__xludf.DUMMYFUNCTION("""COMPUTED_VALUE"""),0)</f>
        <v>0</v>
      </c>
      <c r="BF293" s="24">
        <f ca="1">IFERROR(__xludf.DUMMYFUNCTION("""COMPUTED_VALUE"""),89352.83)</f>
        <v>89352.83</v>
      </c>
      <c r="BG293" s="24">
        <f ca="1">IFERROR(__xludf.DUMMYFUNCTION("""COMPUTED_VALUE"""),0)</f>
        <v>0</v>
      </c>
      <c r="BH293" s="24">
        <f ca="1">IFERROR(__xludf.DUMMYFUNCTION("""COMPUTED_VALUE"""),4702.8)</f>
        <v>4702.8</v>
      </c>
      <c r="BI293" s="20"/>
      <c r="BJ293" s="24">
        <f ca="1">IFERROR(__xludf.DUMMYFUNCTION("""COMPUTED_VALUE"""),183023.16)</f>
        <v>183023.16</v>
      </c>
      <c r="BK293" s="24">
        <f ca="1">IFERROR(__xludf.DUMMYFUNCTION("""COMPUTED_VALUE"""),0)</f>
        <v>0</v>
      </c>
      <c r="BL293" s="24">
        <f ca="1">IFERROR(__xludf.DUMMYFUNCTION("""COMPUTED_VALUE"""),173872)</f>
        <v>173872</v>
      </c>
      <c r="BM293" s="24">
        <f ca="1">IFERROR(__xludf.DUMMYFUNCTION("""COMPUTED_VALUE"""),0)</f>
        <v>0</v>
      </c>
      <c r="BN293" s="24">
        <f ca="1">IFERROR(__xludf.DUMMYFUNCTION("""COMPUTED_VALUE"""),9151.16)</f>
        <v>9151.16</v>
      </c>
      <c r="BO293" s="20"/>
      <c r="BP293" s="24">
        <f ca="1">IFERROR(__xludf.DUMMYFUNCTION("""COMPUTED_VALUE"""),0)</f>
        <v>0</v>
      </c>
      <c r="BQ293" s="24">
        <f ca="1">IFERROR(__xludf.DUMMYFUNCTION("""COMPUTED_VALUE"""),0)</f>
        <v>0</v>
      </c>
      <c r="BR293" s="24">
        <f ca="1">IFERROR(__xludf.DUMMYFUNCTION("""COMPUTED_VALUE"""),0)</f>
        <v>0</v>
      </c>
      <c r="BS293" s="24">
        <f ca="1">IFERROR(__xludf.DUMMYFUNCTION("""COMPUTED_VALUE"""),0)</f>
        <v>0</v>
      </c>
      <c r="BT293" s="24">
        <f ca="1">IFERROR(__xludf.DUMMYFUNCTION("""COMPUTED_VALUE"""),0)</f>
        <v>0</v>
      </c>
      <c r="BU293" s="20"/>
      <c r="BV293" s="24">
        <f ca="1">IFERROR(__xludf.DUMMYFUNCTION("""COMPUTED_VALUE"""),0)</f>
        <v>0</v>
      </c>
      <c r="BW293" s="24">
        <f ca="1">IFERROR(__xludf.DUMMYFUNCTION("""COMPUTED_VALUE"""),0)</f>
        <v>0</v>
      </c>
      <c r="BX293" s="24">
        <f ca="1">IFERROR(__xludf.DUMMYFUNCTION("""COMPUTED_VALUE"""),0)</f>
        <v>0</v>
      </c>
      <c r="BY293" s="24">
        <f ca="1">IFERROR(__xludf.DUMMYFUNCTION("""COMPUTED_VALUE"""),0)</f>
        <v>0</v>
      </c>
      <c r="BZ293" s="24">
        <f ca="1">IFERROR(__xludf.DUMMYFUNCTION("""COMPUTED_VALUE"""),0)</f>
        <v>0</v>
      </c>
      <c r="CA293" s="20"/>
      <c r="CB293" s="20"/>
      <c r="CC293" s="20"/>
      <c r="CD293" s="20"/>
      <c r="CE293" s="20"/>
      <c r="CF293" s="20"/>
      <c r="CG293" s="20"/>
      <c r="CH293" s="20"/>
      <c r="CI293" s="20"/>
      <c r="CJ293" s="20"/>
      <c r="CK293" s="20"/>
      <c r="CL293" s="20"/>
      <c r="CM293" s="20"/>
      <c r="CN293" s="20"/>
      <c r="CO293" s="20"/>
      <c r="CP293" s="20"/>
      <c r="CQ293" s="20"/>
      <c r="CR293" s="20"/>
      <c r="CS293" s="20"/>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row>
    <row r="294" spans="1:123" ht="64.5" customHeight="1" x14ac:dyDescent="0.2">
      <c r="A294" s="19"/>
      <c r="B294" s="20" t="str">
        <f ca="1">IFERROR(__xludf.DUMMYFUNCTION("""COMPUTED_VALUE"""),"г.о. Зарайск")</f>
        <v>г.о. Зарайск</v>
      </c>
      <c r="C29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4" s="20" t="str">
        <f ca="1">IFERROR(__xludf.DUMMYFUNCTION("""COMPUTED_VALUE"""),"МинЖКХ ""ТОП 5 (1 этап)""")</f>
        <v>МинЖКХ "ТОП 5 (1 этап)"</v>
      </c>
      <c r="E294" s="20" t="str">
        <f ca="1">IFERROR(__xludf.DUMMYFUNCTION("""COMPUTED_VALUE"""),"Строительство блочно-модульной котельной со снижением мощности в д. Авдеево, г.о. Зарайск (в т.ч. ПИР) ")</f>
        <v xml:space="preserve">Строительство блочно-модульной котельной со снижением мощности в д. Авдеево, г.о. Зарайск (в т.ч. ПИР) </v>
      </c>
      <c r="F294" s="32" t="str">
        <f ca="1">IFERROR(__xludf.DUMMYFUNCTION("""COMPUTED_VALUE"""),"БМК")</f>
        <v>БМК</v>
      </c>
      <c r="G294" s="20" t="str">
        <f ca="1">IFERROR(__xludf.DUMMYFUNCTION("""COMPUTED_VALUE"""),"2020-2021")</f>
        <v>2020-2021</v>
      </c>
      <c r="H294" s="20" t="str">
        <f ca="1">IFERROR(__xludf.DUMMYFUNCTION("""COMPUTED_VALUE"""),"ПИР ")</f>
        <v xml:space="preserve">ПИР </v>
      </c>
      <c r="I294" s="20"/>
      <c r="J294" s="20"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K294" s="20">
        <f ca="1">IFERROR(__xludf.DUMMYFUNCTION("""COMPUTED_VALUE"""),760)</f>
        <v>760</v>
      </c>
      <c r="L294" s="20">
        <f ca="1">IFERROR(__xludf.DUMMYFUNCTION("""COMPUTED_VALUE"""),760)</f>
        <v>760</v>
      </c>
      <c r="M294" s="20"/>
      <c r="N294" s="24">
        <f ca="1">IFERROR(__xludf.DUMMYFUNCTION("""COMPUTED_VALUE"""),0)</f>
        <v>0</v>
      </c>
      <c r="O294" s="20"/>
      <c r="P294" s="24">
        <f ca="1">IFERROR(__xludf.DUMMYFUNCTION("""COMPUTED_VALUE"""),0)</f>
        <v>0</v>
      </c>
      <c r="Q294" s="20"/>
      <c r="R294" s="20"/>
      <c r="S294" s="20"/>
      <c r="T294" s="20"/>
      <c r="U294" s="24">
        <f ca="1">IFERROR(__xludf.DUMMYFUNCTION("""COMPUTED_VALUE"""),1900)</f>
        <v>1900</v>
      </c>
      <c r="V294" s="24">
        <f ca="1">IFERROR(__xludf.DUMMYFUNCTION("""COMPUTED_VALUE"""),0)</f>
        <v>0</v>
      </c>
      <c r="W294" s="24">
        <f ca="1">IFERROR(__xludf.DUMMYFUNCTION("""COMPUTED_VALUE"""),0)</f>
        <v>0</v>
      </c>
      <c r="X294" s="24">
        <f ca="1">IFERROR(__xludf.DUMMYFUNCTION("""COMPUTED_VALUE"""),1759.4)</f>
        <v>1759.4</v>
      </c>
      <c r="Y294" s="24">
        <f ca="1">IFERROR(__xludf.DUMMYFUNCTION("""COMPUTED_VALUE"""),140.6)</f>
        <v>140.6</v>
      </c>
      <c r="Z294" s="24">
        <f ca="1">IFERROR(__xludf.DUMMYFUNCTION("""COMPUTED_VALUE"""),0)</f>
        <v>0</v>
      </c>
      <c r="AA294" s="20" t="str">
        <f ca="1">IFERROR(__xludf.DUMMYFUNCTION("""COMPUTED_VALUE"""),"10 3 02 64080")</f>
        <v>10 3 02 64080</v>
      </c>
      <c r="AB294" s="20">
        <f ca="1">IFERROR(__xludf.DUMMYFUNCTION("""COMPUTED_VALUE"""),522)</f>
        <v>522</v>
      </c>
      <c r="AC294" s="20"/>
      <c r="AD294" s="20"/>
      <c r="AE294" s="20"/>
      <c r="AF294" s="24">
        <f ca="1">IFERROR(__xludf.DUMMYFUNCTION("""COMPUTED_VALUE"""),16063.3)</f>
        <v>16063.3</v>
      </c>
      <c r="AG294" s="24">
        <f ca="1">IFERROR(__xludf.DUMMYFUNCTION("""COMPUTED_VALUE"""),0)</f>
        <v>0</v>
      </c>
      <c r="AH294" s="24">
        <f ca="1">IFERROR(__xludf.DUMMYFUNCTION("""COMPUTED_VALUE"""),0)</f>
        <v>0</v>
      </c>
      <c r="AI294" s="24">
        <f ca="1">IFERROR(__xludf.DUMMYFUNCTION("""COMPUTED_VALUE"""),14874.6199999999)</f>
        <v>14874.619999999901</v>
      </c>
      <c r="AJ294" s="24">
        <f ca="1">IFERROR(__xludf.DUMMYFUNCTION("""COMPUTED_VALUE"""),1188.67999999999)</f>
        <v>1188.6799999999901</v>
      </c>
      <c r="AK294" s="24">
        <f ca="1">IFERROR(__xludf.DUMMYFUNCTION("""COMPUTED_VALUE"""),0)</f>
        <v>0</v>
      </c>
      <c r="AL294" s="24">
        <f ca="1">IFERROR(__xludf.DUMMYFUNCTION("""COMPUTED_VALUE"""),0)</f>
        <v>0</v>
      </c>
      <c r="AM294" s="20"/>
      <c r="AN294" s="20"/>
      <c r="AO294" s="20"/>
      <c r="AP294" s="20"/>
      <c r="AQ294" s="20"/>
      <c r="AR294" s="24">
        <f ca="1">IFERROR(__xludf.DUMMYFUNCTION("""COMPUTED_VALUE"""),0)</f>
        <v>0</v>
      </c>
      <c r="AS294" s="20"/>
      <c r="AT294" s="20"/>
      <c r="AU294" s="20"/>
      <c r="AV294" s="20"/>
      <c r="AW294" s="20"/>
      <c r="AX294" s="24">
        <f ca="1">IFERROR(__xludf.DUMMYFUNCTION("""COMPUTED_VALUE"""),1900)</f>
        <v>1900</v>
      </c>
      <c r="AY294" s="24">
        <f ca="1">IFERROR(__xludf.DUMMYFUNCTION("""COMPUTED_VALUE"""),0)</f>
        <v>0</v>
      </c>
      <c r="AZ294" s="24">
        <f ca="1">IFERROR(__xludf.DUMMYFUNCTION("""COMPUTED_VALUE"""),0)</f>
        <v>0</v>
      </c>
      <c r="BA294" s="24">
        <f ca="1">IFERROR(__xludf.DUMMYFUNCTION("""COMPUTED_VALUE"""),1759.4)</f>
        <v>1759.4</v>
      </c>
      <c r="BB294" s="24">
        <f ca="1">IFERROR(__xludf.DUMMYFUNCTION("""COMPUTED_VALUE"""),140.6)</f>
        <v>140.6</v>
      </c>
      <c r="BC294" s="20"/>
      <c r="BD294" s="24">
        <f ca="1">IFERROR(__xludf.DUMMYFUNCTION("""COMPUTED_VALUE"""),14163.3)</f>
        <v>14163.3</v>
      </c>
      <c r="BE294" s="24">
        <f ca="1">IFERROR(__xludf.DUMMYFUNCTION("""COMPUTED_VALUE"""),0)</f>
        <v>0</v>
      </c>
      <c r="BF294" s="24">
        <f ca="1">IFERROR(__xludf.DUMMYFUNCTION("""COMPUTED_VALUE"""),0)</f>
        <v>0</v>
      </c>
      <c r="BG294" s="24">
        <f ca="1">IFERROR(__xludf.DUMMYFUNCTION("""COMPUTED_VALUE"""),13115.22)</f>
        <v>13115.22</v>
      </c>
      <c r="BH294" s="24">
        <f ca="1">IFERROR(__xludf.DUMMYFUNCTION("""COMPUTED_VALUE"""),1048.08)</f>
        <v>1048.08</v>
      </c>
      <c r="BI294" s="20"/>
      <c r="BJ294" s="24">
        <f ca="1">IFERROR(__xludf.DUMMYFUNCTION("""COMPUTED_VALUE"""),0)</f>
        <v>0</v>
      </c>
      <c r="BK294" s="24">
        <f ca="1">IFERROR(__xludf.DUMMYFUNCTION("""COMPUTED_VALUE"""),0)</f>
        <v>0</v>
      </c>
      <c r="BL294" s="24">
        <f ca="1">IFERROR(__xludf.DUMMYFUNCTION("""COMPUTED_VALUE"""),0)</f>
        <v>0</v>
      </c>
      <c r="BM294" s="24">
        <f ca="1">IFERROR(__xludf.DUMMYFUNCTION("""COMPUTED_VALUE"""),0)</f>
        <v>0</v>
      </c>
      <c r="BN294" s="24">
        <f ca="1">IFERROR(__xludf.DUMMYFUNCTION("""COMPUTED_VALUE"""),0)</f>
        <v>0</v>
      </c>
      <c r="BO294" s="20"/>
      <c r="BP294" s="24">
        <f ca="1">IFERROR(__xludf.DUMMYFUNCTION("""COMPUTED_VALUE"""),0)</f>
        <v>0</v>
      </c>
      <c r="BQ294" s="24">
        <f ca="1">IFERROR(__xludf.DUMMYFUNCTION("""COMPUTED_VALUE"""),0)</f>
        <v>0</v>
      </c>
      <c r="BR294" s="24">
        <f ca="1">IFERROR(__xludf.DUMMYFUNCTION("""COMPUTED_VALUE"""),0)</f>
        <v>0</v>
      </c>
      <c r="BS294" s="24">
        <f ca="1">IFERROR(__xludf.DUMMYFUNCTION("""COMPUTED_VALUE"""),0)</f>
        <v>0</v>
      </c>
      <c r="BT294" s="24">
        <f ca="1">IFERROR(__xludf.DUMMYFUNCTION("""COMPUTED_VALUE"""),0)</f>
        <v>0</v>
      </c>
      <c r="BU294" s="20"/>
      <c r="BV294" s="24">
        <f ca="1">IFERROR(__xludf.DUMMYFUNCTION("""COMPUTED_VALUE"""),0)</f>
        <v>0</v>
      </c>
      <c r="BW294" s="24">
        <f ca="1">IFERROR(__xludf.DUMMYFUNCTION("""COMPUTED_VALUE"""),0)</f>
        <v>0</v>
      </c>
      <c r="BX294" s="24">
        <f ca="1">IFERROR(__xludf.DUMMYFUNCTION("""COMPUTED_VALUE"""),0)</f>
        <v>0</v>
      </c>
      <c r="BY294" s="24">
        <f ca="1">IFERROR(__xludf.DUMMYFUNCTION("""COMPUTED_VALUE"""),0)</f>
        <v>0</v>
      </c>
      <c r="BZ294" s="24">
        <f ca="1">IFERROR(__xludf.DUMMYFUNCTION("""COMPUTED_VALUE"""),0)</f>
        <v>0</v>
      </c>
      <c r="CA294" s="20"/>
      <c r="CB294" s="20"/>
      <c r="CC294" s="20"/>
      <c r="CD294" s="20"/>
      <c r="CE294" s="20"/>
      <c r="CF294" s="20"/>
      <c r="CG294" s="20"/>
      <c r="CH294" s="20"/>
      <c r="CI294" s="20"/>
      <c r="CJ294" s="20"/>
      <c r="CK294" s="20"/>
      <c r="CL294" s="20"/>
      <c r="CM294" s="20"/>
      <c r="CN294" s="20"/>
      <c r="CO294" s="20"/>
      <c r="CP294" s="20"/>
      <c r="CQ294" s="20"/>
      <c r="CR294" s="20"/>
      <c r="CS294" s="20"/>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row>
    <row r="295" spans="1:123" ht="64.5" hidden="1" customHeight="1" x14ac:dyDescent="0.2">
      <c r="A295" s="19"/>
      <c r="B295" s="20" t="str">
        <f ca="1">IFERROR(__xludf.DUMMYFUNCTION("""COMPUTED_VALUE"""),"г.о. Красногорск")</f>
        <v>г.о. Красногорск</v>
      </c>
      <c r="C29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5" s="20" t="str">
        <f ca="1">IFERROR(__xludf.DUMMYFUNCTION("""COMPUTED_VALUE"""),"МинЖКХ")</f>
        <v>МинЖКХ</v>
      </c>
      <c r="E295" s="20" t="str">
        <f ca="1">IFERROR(__xludf.DUMMYFUNCTION("""COMPUTED_VALUE"""),"Строительство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f>
        <v>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v>
      </c>
      <c r="F295" s="32" t="str">
        <f ca="1">IFERROR(__xludf.DUMMYFUNCTION("""COMPUTED_VALUE"""),"Котельная")</f>
        <v>Котельная</v>
      </c>
      <c r="G295" s="20" t="str">
        <f ca="1">IFERROR(__xludf.DUMMYFUNCTION("""COMPUTED_VALUE"""),"2022-2023")</f>
        <v>2022-2023</v>
      </c>
      <c r="H295" s="20" t="str">
        <f ca="1">IFERROR(__xludf.DUMMYFUNCTION("""COMPUTED_VALUE"""),"СМР")</f>
        <v>СМР</v>
      </c>
      <c r="I295" s="20"/>
      <c r="J295" s="20"/>
      <c r="K295" s="20"/>
      <c r="L295" s="20"/>
      <c r="M295" s="20"/>
      <c r="N295" s="24">
        <f ca="1">IFERROR(__xludf.DUMMYFUNCTION("""COMPUTED_VALUE"""),0)</f>
        <v>0</v>
      </c>
      <c r="O295" s="20"/>
      <c r="P295" s="20"/>
      <c r="Q295" s="20"/>
      <c r="R295" s="20"/>
      <c r="S295" s="20"/>
      <c r="T295" s="20"/>
      <c r="U295" s="24">
        <f ca="1">IFERROR(__xludf.DUMMYFUNCTION("""COMPUTED_VALUE"""),0)</f>
        <v>0</v>
      </c>
      <c r="V295" s="24">
        <f ca="1">IFERROR(__xludf.DUMMYFUNCTION("""COMPUTED_VALUE"""),0)</f>
        <v>0</v>
      </c>
      <c r="W295" s="24">
        <f ca="1">IFERROR(__xludf.DUMMYFUNCTION("""COMPUTED_VALUE"""),0)</f>
        <v>0</v>
      </c>
      <c r="X295" s="24">
        <f ca="1">IFERROR(__xludf.DUMMYFUNCTION("""COMPUTED_VALUE"""),0)</f>
        <v>0</v>
      </c>
      <c r="Y295" s="24">
        <f ca="1">IFERROR(__xludf.DUMMYFUNCTION("""COMPUTED_VALUE"""),0)</f>
        <v>0</v>
      </c>
      <c r="Z295" s="24">
        <f ca="1">IFERROR(__xludf.DUMMYFUNCTION("""COMPUTED_VALUE"""),0)</f>
        <v>0</v>
      </c>
      <c r="AA295" s="20" t="str">
        <f ca="1">IFERROR(__xludf.DUMMYFUNCTION("""COMPUTED_VALUE"""),"10 3 02 64080")</f>
        <v>10 3 02 64080</v>
      </c>
      <c r="AB295" s="20">
        <f ca="1">IFERROR(__xludf.DUMMYFUNCTION("""COMPUTED_VALUE"""),522)</f>
        <v>522</v>
      </c>
      <c r="AC295" s="20"/>
      <c r="AD295" s="20"/>
      <c r="AE295" s="20"/>
      <c r="AF295" s="24">
        <f ca="1">IFERROR(__xludf.DUMMYFUNCTION("""COMPUTED_VALUE"""),99944.2)</f>
        <v>99944.2</v>
      </c>
      <c r="AG295" s="24">
        <f ca="1">IFERROR(__xludf.DUMMYFUNCTION("""COMPUTED_VALUE"""),0)</f>
        <v>0</v>
      </c>
      <c r="AH295" s="24">
        <f ca="1">IFERROR(__xludf.DUMMYFUNCTION("""COMPUTED_VALUE"""),98806)</f>
        <v>98806</v>
      </c>
      <c r="AI295" s="24">
        <f ca="1">IFERROR(__xludf.DUMMYFUNCTION("""COMPUTED_VALUE"""),0)</f>
        <v>0</v>
      </c>
      <c r="AJ295" s="24">
        <f ca="1">IFERROR(__xludf.DUMMYFUNCTION("""COMPUTED_VALUE"""),1138.2)</f>
        <v>1138.2</v>
      </c>
      <c r="AK295" s="24">
        <f ca="1">IFERROR(__xludf.DUMMYFUNCTION("""COMPUTED_VALUE"""),0)</f>
        <v>0</v>
      </c>
      <c r="AL295" s="24">
        <f ca="1">IFERROR(__xludf.DUMMYFUNCTION("""COMPUTED_VALUE"""),0)</f>
        <v>0</v>
      </c>
      <c r="AM295" s="20"/>
      <c r="AN295" s="20"/>
      <c r="AO295" s="20"/>
      <c r="AP295" s="20"/>
      <c r="AQ295" s="20"/>
      <c r="AR295" s="24">
        <f ca="1">IFERROR(__xludf.DUMMYFUNCTION("""COMPUTED_VALUE"""),0)</f>
        <v>0</v>
      </c>
      <c r="AS295" s="20"/>
      <c r="AT295" s="20"/>
      <c r="AU295" s="20"/>
      <c r="AV295" s="20"/>
      <c r="AW295" s="20"/>
      <c r="AX295" s="24">
        <f ca="1">IFERROR(__xludf.DUMMYFUNCTION("""COMPUTED_VALUE"""),0)</f>
        <v>0</v>
      </c>
      <c r="AY295" s="24">
        <f ca="1">IFERROR(__xludf.DUMMYFUNCTION("""COMPUTED_VALUE"""),0)</f>
        <v>0</v>
      </c>
      <c r="AZ295" s="24">
        <f ca="1">IFERROR(__xludf.DUMMYFUNCTION("""COMPUTED_VALUE"""),0)</f>
        <v>0</v>
      </c>
      <c r="BA295" s="24">
        <f ca="1">IFERROR(__xludf.DUMMYFUNCTION("""COMPUTED_VALUE"""),0)</f>
        <v>0</v>
      </c>
      <c r="BB295" s="24">
        <f ca="1">IFERROR(__xludf.DUMMYFUNCTION("""COMPUTED_VALUE"""),0)</f>
        <v>0</v>
      </c>
      <c r="BC295" s="20"/>
      <c r="BD295" s="24">
        <f ca="1">IFERROR(__xludf.DUMMYFUNCTION("""COMPUTED_VALUE"""),0)</f>
        <v>0</v>
      </c>
      <c r="BE295" s="24">
        <f ca="1">IFERROR(__xludf.DUMMYFUNCTION("""COMPUTED_VALUE"""),0)</f>
        <v>0</v>
      </c>
      <c r="BF295" s="24">
        <f ca="1">IFERROR(__xludf.DUMMYFUNCTION("""COMPUTED_VALUE"""),0)</f>
        <v>0</v>
      </c>
      <c r="BG295" s="24">
        <f ca="1">IFERROR(__xludf.DUMMYFUNCTION("""COMPUTED_VALUE"""),0)</f>
        <v>0</v>
      </c>
      <c r="BH295" s="24">
        <f ca="1">IFERROR(__xludf.DUMMYFUNCTION("""COMPUTED_VALUE"""),0)</f>
        <v>0</v>
      </c>
      <c r="BI295" s="20"/>
      <c r="BJ295" s="24">
        <f ca="1">IFERROR(__xludf.DUMMYFUNCTION("""COMPUTED_VALUE"""),29796.34)</f>
        <v>29796.34</v>
      </c>
      <c r="BK295" s="24">
        <f ca="1">IFERROR(__xludf.DUMMYFUNCTION("""COMPUTED_VALUE"""),0)</f>
        <v>0</v>
      </c>
      <c r="BL295" s="24">
        <f ca="1">IFERROR(__xludf.DUMMYFUNCTION("""COMPUTED_VALUE"""),29429)</f>
        <v>29429</v>
      </c>
      <c r="BM295" s="24">
        <f ca="1">IFERROR(__xludf.DUMMYFUNCTION("""COMPUTED_VALUE"""),0)</f>
        <v>0</v>
      </c>
      <c r="BN295" s="24">
        <f ca="1">IFERROR(__xludf.DUMMYFUNCTION("""COMPUTED_VALUE"""),367.34)</f>
        <v>367.34</v>
      </c>
      <c r="BO295" s="20"/>
      <c r="BP295" s="24">
        <f ca="1">IFERROR(__xludf.DUMMYFUNCTION("""COMPUTED_VALUE"""),70147.86)</f>
        <v>70147.86</v>
      </c>
      <c r="BQ295" s="24">
        <f ca="1">IFERROR(__xludf.DUMMYFUNCTION("""COMPUTED_VALUE"""),0)</f>
        <v>0</v>
      </c>
      <c r="BR295" s="24">
        <f ca="1">IFERROR(__xludf.DUMMYFUNCTION("""COMPUTED_VALUE"""),69377)</f>
        <v>69377</v>
      </c>
      <c r="BS295" s="24">
        <f ca="1">IFERROR(__xludf.DUMMYFUNCTION("""COMPUTED_VALUE"""),0)</f>
        <v>0</v>
      </c>
      <c r="BT295" s="24">
        <f ca="1">IFERROR(__xludf.DUMMYFUNCTION("""COMPUTED_VALUE"""),770.86)</f>
        <v>770.86</v>
      </c>
      <c r="BU295" s="20"/>
      <c r="BV295" s="24">
        <f ca="1">IFERROR(__xludf.DUMMYFUNCTION("""COMPUTED_VALUE"""),0)</f>
        <v>0</v>
      </c>
      <c r="BW295" s="24">
        <f ca="1">IFERROR(__xludf.DUMMYFUNCTION("""COMPUTED_VALUE"""),0)</f>
        <v>0</v>
      </c>
      <c r="BX295" s="24">
        <f ca="1">IFERROR(__xludf.DUMMYFUNCTION("""COMPUTED_VALUE"""),0)</f>
        <v>0</v>
      </c>
      <c r="BY295" s="24">
        <f ca="1">IFERROR(__xludf.DUMMYFUNCTION("""COMPUTED_VALUE"""),0)</f>
        <v>0</v>
      </c>
      <c r="BZ295" s="24">
        <f ca="1">IFERROR(__xludf.DUMMYFUNCTION("""COMPUTED_VALUE"""),0)</f>
        <v>0</v>
      </c>
      <c r="CA295" s="20"/>
      <c r="CB295" s="20"/>
      <c r="CC295" s="20"/>
      <c r="CD295" s="20"/>
      <c r="CE295" s="20"/>
      <c r="CF295" s="20"/>
      <c r="CG295" s="20"/>
      <c r="CH295" s="20"/>
      <c r="CI295" s="20"/>
      <c r="CJ295" s="20"/>
      <c r="CK295" s="20"/>
      <c r="CL295" s="20"/>
      <c r="CM295" s="20"/>
      <c r="CN295" s="20"/>
      <c r="CO295" s="20"/>
      <c r="CP295" s="20"/>
      <c r="CQ295" s="20"/>
      <c r="CR295" s="20"/>
      <c r="CS295" s="20"/>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row>
    <row r="296" spans="1:123" ht="64.5" customHeight="1" x14ac:dyDescent="0.2">
      <c r="A296" s="19"/>
      <c r="B296" s="20" t="str">
        <f ca="1">IFERROR(__xludf.DUMMYFUNCTION("""COMPUTED_VALUE"""),"г.о. Зарайск")</f>
        <v>г.о. Зарайск</v>
      </c>
      <c r="C29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6" s="20" t="str">
        <f ca="1">IFERROR(__xludf.DUMMYFUNCTION("""COMPUTED_VALUE"""),"МинЖКХ ""ТОП 5 (1 этап)""")</f>
        <v>МинЖКХ "ТОП 5 (1 этап)"</v>
      </c>
      <c r="E296" s="20" t="str">
        <f ca="1">IFERROR(__xludf.DUMMYFUNCTION("""COMPUTED_VALUE"""),"Строительство блочно-модульной котельной со снижением мощности в д. Алферьево, г.о. Зарайск (в т.ч. ПИР) ")</f>
        <v xml:space="preserve">Строительство блочно-модульной котельной со снижением мощности в д. Алферьево, г.о. Зарайск (в т.ч. ПИР) </v>
      </c>
      <c r="F296" s="32" t="str">
        <f ca="1">IFERROR(__xludf.DUMMYFUNCTION("""COMPUTED_VALUE"""),"БМК")</f>
        <v>БМК</v>
      </c>
      <c r="G296" s="20" t="str">
        <f ca="1">IFERROR(__xludf.DUMMYFUNCTION("""COMPUTED_VALUE"""),"2020-2021")</f>
        <v>2020-2021</v>
      </c>
      <c r="H296" s="20" t="str">
        <f ca="1">IFERROR(__xludf.DUMMYFUNCTION("""COMPUTED_VALUE"""),"ПИР ")</f>
        <v xml:space="preserve">ПИР </v>
      </c>
      <c r="I296" s="20"/>
      <c r="J296" s="20"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K296" s="20">
        <f ca="1">IFERROR(__xludf.DUMMYFUNCTION("""COMPUTED_VALUE"""),530)</f>
        <v>530</v>
      </c>
      <c r="L296" s="20">
        <f ca="1">IFERROR(__xludf.DUMMYFUNCTION("""COMPUTED_VALUE"""),530)</f>
        <v>530</v>
      </c>
      <c r="M296" s="20"/>
      <c r="N296" s="24">
        <f ca="1">IFERROR(__xludf.DUMMYFUNCTION("""COMPUTED_VALUE"""),0)</f>
        <v>0</v>
      </c>
      <c r="O296" s="20"/>
      <c r="P296" s="24">
        <f ca="1">IFERROR(__xludf.DUMMYFUNCTION("""COMPUTED_VALUE"""),0)</f>
        <v>0</v>
      </c>
      <c r="Q296" s="20"/>
      <c r="R296" s="20"/>
      <c r="S296" s="20"/>
      <c r="T296" s="20"/>
      <c r="U296" s="24">
        <f ca="1">IFERROR(__xludf.DUMMYFUNCTION("""COMPUTED_VALUE"""),1900)</f>
        <v>1900</v>
      </c>
      <c r="V296" s="24">
        <f ca="1">IFERROR(__xludf.DUMMYFUNCTION("""COMPUTED_VALUE"""),0)</f>
        <v>0</v>
      </c>
      <c r="W296" s="24">
        <f ca="1">IFERROR(__xludf.DUMMYFUNCTION("""COMPUTED_VALUE"""),0)</f>
        <v>0</v>
      </c>
      <c r="X296" s="24">
        <f ca="1">IFERROR(__xludf.DUMMYFUNCTION("""COMPUTED_VALUE"""),1759.4)</f>
        <v>1759.4</v>
      </c>
      <c r="Y296" s="24">
        <f ca="1">IFERROR(__xludf.DUMMYFUNCTION("""COMPUTED_VALUE"""),140.6)</f>
        <v>140.6</v>
      </c>
      <c r="Z296" s="24">
        <f ca="1">IFERROR(__xludf.DUMMYFUNCTION("""COMPUTED_VALUE"""),0)</f>
        <v>0</v>
      </c>
      <c r="AA296" s="20" t="str">
        <f ca="1">IFERROR(__xludf.DUMMYFUNCTION("""COMPUTED_VALUE"""),"10 3 02 64080")</f>
        <v>10 3 02 64080</v>
      </c>
      <c r="AB296" s="20">
        <f ca="1">IFERROR(__xludf.DUMMYFUNCTION("""COMPUTED_VALUE"""),522)</f>
        <v>522</v>
      </c>
      <c r="AC296" s="20"/>
      <c r="AD296" s="20"/>
      <c r="AE296" s="20"/>
      <c r="AF296" s="24">
        <f ca="1">IFERROR(__xludf.DUMMYFUNCTION("""COMPUTED_VALUE"""),13675.31)</f>
        <v>13675.31</v>
      </c>
      <c r="AG296" s="24">
        <f ca="1">IFERROR(__xludf.DUMMYFUNCTION("""COMPUTED_VALUE"""),0)</f>
        <v>0</v>
      </c>
      <c r="AH296" s="24">
        <f ca="1">IFERROR(__xludf.DUMMYFUNCTION("""COMPUTED_VALUE"""),0)</f>
        <v>0</v>
      </c>
      <c r="AI296" s="24">
        <f ca="1">IFERROR(__xludf.DUMMYFUNCTION("""COMPUTED_VALUE"""),12663.34)</f>
        <v>12663.34</v>
      </c>
      <c r="AJ296" s="24">
        <f ca="1">IFERROR(__xludf.DUMMYFUNCTION("""COMPUTED_VALUE"""),1011.97)</f>
        <v>1011.97</v>
      </c>
      <c r="AK296" s="24">
        <f ca="1">IFERROR(__xludf.DUMMYFUNCTION("""COMPUTED_VALUE"""),0)</f>
        <v>0</v>
      </c>
      <c r="AL296" s="24">
        <f ca="1">IFERROR(__xludf.DUMMYFUNCTION("""COMPUTED_VALUE"""),0)</f>
        <v>0</v>
      </c>
      <c r="AM296" s="20"/>
      <c r="AN296" s="20"/>
      <c r="AO296" s="20"/>
      <c r="AP296" s="20"/>
      <c r="AQ296" s="20"/>
      <c r="AR296" s="24">
        <f ca="1">IFERROR(__xludf.DUMMYFUNCTION("""COMPUTED_VALUE"""),0)</f>
        <v>0</v>
      </c>
      <c r="AS296" s="20"/>
      <c r="AT296" s="20"/>
      <c r="AU296" s="20"/>
      <c r="AV296" s="20"/>
      <c r="AW296" s="20"/>
      <c r="AX296" s="24">
        <f ca="1">IFERROR(__xludf.DUMMYFUNCTION("""COMPUTED_VALUE"""),1900)</f>
        <v>1900</v>
      </c>
      <c r="AY296" s="24">
        <f ca="1">IFERROR(__xludf.DUMMYFUNCTION("""COMPUTED_VALUE"""),0)</f>
        <v>0</v>
      </c>
      <c r="AZ296" s="24">
        <f ca="1">IFERROR(__xludf.DUMMYFUNCTION("""COMPUTED_VALUE"""),0)</f>
        <v>0</v>
      </c>
      <c r="BA296" s="24">
        <f ca="1">IFERROR(__xludf.DUMMYFUNCTION("""COMPUTED_VALUE"""),1759.4)</f>
        <v>1759.4</v>
      </c>
      <c r="BB296" s="24">
        <f ca="1">IFERROR(__xludf.DUMMYFUNCTION("""COMPUTED_VALUE"""),140.6)</f>
        <v>140.6</v>
      </c>
      <c r="BC296" s="20"/>
      <c r="BD296" s="24">
        <f ca="1">IFERROR(__xludf.DUMMYFUNCTION("""COMPUTED_VALUE"""),11775.31)</f>
        <v>11775.31</v>
      </c>
      <c r="BE296" s="24">
        <f ca="1">IFERROR(__xludf.DUMMYFUNCTION("""COMPUTED_VALUE"""),0)</f>
        <v>0</v>
      </c>
      <c r="BF296" s="24">
        <f ca="1">IFERROR(__xludf.DUMMYFUNCTION("""COMPUTED_VALUE"""),0)</f>
        <v>0</v>
      </c>
      <c r="BG296" s="24">
        <f ca="1">IFERROR(__xludf.DUMMYFUNCTION("""COMPUTED_VALUE"""),10903.94)</f>
        <v>10903.94</v>
      </c>
      <c r="BH296" s="24">
        <f ca="1">IFERROR(__xludf.DUMMYFUNCTION("""COMPUTED_VALUE"""),871.37)</f>
        <v>871.37</v>
      </c>
      <c r="BI296" s="20"/>
      <c r="BJ296" s="24">
        <f ca="1">IFERROR(__xludf.DUMMYFUNCTION("""COMPUTED_VALUE"""),0)</f>
        <v>0</v>
      </c>
      <c r="BK296" s="24">
        <f ca="1">IFERROR(__xludf.DUMMYFUNCTION("""COMPUTED_VALUE"""),0)</f>
        <v>0</v>
      </c>
      <c r="BL296" s="24">
        <f ca="1">IFERROR(__xludf.DUMMYFUNCTION("""COMPUTED_VALUE"""),0)</f>
        <v>0</v>
      </c>
      <c r="BM296" s="24">
        <f ca="1">IFERROR(__xludf.DUMMYFUNCTION("""COMPUTED_VALUE"""),0)</f>
        <v>0</v>
      </c>
      <c r="BN296" s="24">
        <f ca="1">IFERROR(__xludf.DUMMYFUNCTION("""COMPUTED_VALUE"""),0)</f>
        <v>0</v>
      </c>
      <c r="BO296" s="20"/>
      <c r="BP296" s="24">
        <f ca="1">IFERROR(__xludf.DUMMYFUNCTION("""COMPUTED_VALUE"""),0)</f>
        <v>0</v>
      </c>
      <c r="BQ296" s="24">
        <f ca="1">IFERROR(__xludf.DUMMYFUNCTION("""COMPUTED_VALUE"""),0)</f>
        <v>0</v>
      </c>
      <c r="BR296" s="24">
        <f ca="1">IFERROR(__xludf.DUMMYFUNCTION("""COMPUTED_VALUE"""),0)</f>
        <v>0</v>
      </c>
      <c r="BS296" s="24">
        <f ca="1">IFERROR(__xludf.DUMMYFUNCTION("""COMPUTED_VALUE"""),0)</f>
        <v>0</v>
      </c>
      <c r="BT296" s="24">
        <f ca="1">IFERROR(__xludf.DUMMYFUNCTION("""COMPUTED_VALUE"""),0)</f>
        <v>0</v>
      </c>
      <c r="BU296" s="20"/>
      <c r="BV296" s="24">
        <f ca="1">IFERROR(__xludf.DUMMYFUNCTION("""COMPUTED_VALUE"""),0)</f>
        <v>0</v>
      </c>
      <c r="BW296" s="24">
        <f ca="1">IFERROR(__xludf.DUMMYFUNCTION("""COMPUTED_VALUE"""),0)</f>
        <v>0</v>
      </c>
      <c r="BX296" s="24">
        <f ca="1">IFERROR(__xludf.DUMMYFUNCTION("""COMPUTED_VALUE"""),0)</f>
        <v>0</v>
      </c>
      <c r="BY296" s="24">
        <f ca="1">IFERROR(__xludf.DUMMYFUNCTION("""COMPUTED_VALUE"""),0)</f>
        <v>0</v>
      </c>
      <c r="BZ296" s="24">
        <f ca="1">IFERROR(__xludf.DUMMYFUNCTION("""COMPUTED_VALUE"""),0)</f>
        <v>0</v>
      </c>
      <c r="CA296" s="20"/>
      <c r="CB296" s="20"/>
      <c r="CC296" s="20"/>
      <c r="CD296" s="20"/>
      <c r="CE296" s="20"/>
      <c r="CF296" s="20"/>
      <c r="CG296" s="20"/>
      <c r="CH296" s="20"/>
      <c r="CI296" s="20"/>
      <c r="CJ296" s="20"/>
      <c r="CK296" s="20"/>
      <c r="CL296" s="20"/>
      <c r="CM296" s="20"/>
      <c r="CN296" s="20"/>
      <c r="CO296" s="20"/>
      <c r="CP296" s="20"/>
      <c r="CQ296" s="20"/>
      <c r="CR296" s="20"/>
      <c r="CS296" s="20"/>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row>
    <row r="297" spans="1:123" ht="64.5" hidden="1" customHeight="1" x14ac:dyDescent="0.2">
      <c r="A297" s="19"/>
      <c r="B297" s="20" t="str">
        <f ca="1">IFERROR(__xludf.DUMMYFUNCTION("""COMPUTED_VALUE"""),"г.о. Красногорск")</f>
        <v>г.о. Красногорск</v>
      </c>
      <c r="C29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7" s="20" t="str">
        <f ca="1">IFERROR(__xludf.DUMMYFUNCTION("""COMPUTED_VALUE"""),"МинЖКХ")</f>
        <v>МинЖКХ</v>
      </c>
      <c r="E297" s="20" t="str">
        <f ca="1">IFERROR(__xludf.DUMMYFUNCTION("""COMPUTED_VALUE"""),"Реконструкция   тепловых сетей отопления и горячего водоснабжения   (в том числе ПИР) по адресу: городской округ Красногорск, пос. Архангельское")</f>
        <v>Реконструкция   тепловых сетей отопления и горячего водоснабжения   (в том числе ПИР) по адресу: городской округ Красногорск, пос. Архангельское</v>
      </c>
      <c r="F297" s="32" t="str">
        <f ca="1">IFERROR(__xludf.DUMMYFUNCTION("""COMPUTED_VALUE"""),"Сети")</f>
        <v>Сети</v>
      </c>
      <c r="G297" s="20" t="str">
        <f ca="1">IFERROR(__xludf.DUMMYFUNCTION("""COMPUTED_VALUE"""),"2021-2022")</f>
        <v>2021-2022</v>
      </c>
      <c r="H297" s="20" t="str">
        <f ca="1">IFERROR(__xludf.DUMMYFUNCTION("""COMPUTED_VALUE"""),"СМР")</f>
        <v>СМР</v>
      </c>
      <c r="I297" s="20"/>
      <c r="J297" s="20"/>
      <c r="K297" s="20"/>
      <c r="L297" s="20"/>
      <c r="M297" s="20"/>
      <c r="N297" s="24">
        <f ca="1">IFERROR(__xludf.DUMMYFUNCTION("""COMPUTED_VALUE"""),0)</f>
        <v>0</v>
      </c>
      <c r="O297" s="20"/>
      <c r="P297" s="20"/>
      <c r="Q297" s="20"/>
      <c r="R297" s="20"/>
      <c r="S297" s="20"/>
      <c r="T297" s="20"/>
      <c r="U297" s="24">
        <f ca="1">IFERROR(__xludf.DUMMYFUNCTION("""COMPUTED_VALUE"""),0)</f>
        <v>0</v>
      </c>
      <c r="V297" s="24">
        <f ca="1">IFERROR(__xludf.DUMMYFUNCTION("""COMPUTED_VALUE"""),0)</f>
        <v>0</v>
      </c>
      <c r="W297" s="24">
        <f ca="1">IFERROR(__xludf.DUMMYFUNCTION("""COMPUTED_VALUE"""),0)</f>
        <v>0</v>
      </c>
      <c r="X297" s="24">
        <f ca="1">IFERROR(__xludf.DUMMYFUNCTION("""COMPUTED_VALUE"""),0)</f>
        <v>0</v>
      </c>
      <c r="Y297" s="24">
        <f ca="1">IFERROR(__xludf.DUMMYFUNCTION("""COMPUTED_VALUE"""),0)</f>
        <v>0</v>
      </c>
      <c r="Z297" s="24">
        <f ca="1">IFERROR(__xludf.DUMMYFUNCTION("""COMPUTED_VALUE"""),0)</f>
        <v>0</v>
      </c>
      <c r="AA297" s="20" t="str">
        <f ca="1">IFERROR(__xludf.DUMMYFUNCTION("""COMPUTED_VALUE"""),"10 3 02 64080")</f>
        <v>10 3 02 64080</v>
      </c>
      <c r="AB297" s="20">
        <f ca="1">IFERROR(__xludf.DUMMYFUNCTION("""COMPUTED_VALUE"""),522)</f>
        <v>522</v>
      </c>
      <c r="AC297" s="20"/>
      <c r="AD297" s="20"/>
      <c r="AE297" s="20"/>
      <c r="AF297" s="24">
        <f ca="1">IFERROR(__xludf.DUMMYFUNCTION("""COMPUTED_VALUE"""),786758.89)</f>
        <v>786758.89</v>
      </c>
      <c r="AG297" s="24">
        <f ca="1">IFERROR(__xludf.DUMMYFUNCTION("""COMPUTED_VALUE"""),0)</f>
        <v>0</v>
      </c>
      <c r="AH297" s="24">
        <f ca="1">IFERROR(__xludf.DUMMYFUNCTION("""COMPUTED_VALUE"""),778892)</f>
        <v>778892</v>
      </c>
      <c r="AI297" s="24">
        <f ca="1">IFERROR(__xludf.DUMMYFUNCTION("""COMPUTED_VALUE"""),0)</f>
        <v>0</v>
      </c>
      <c r="AJ297" s="24">
        <f ca="1">IFERROR(__xludf.DUMMYFUNCTION("""COMPUTED_VALUE"""),7866.88999999999)</f>
        <v>7866.8899999999903</v>
      </c>
      <c r="AK297" s="24">
        <f ca="1">IFERROR(__xludf.DUMMYFUNCTION("""COMPUTED_VALUE"""),0)</f>
        <v>0</v>
      </c>
      <c r="AL297" s="24">
        <f ca="1">IFERROR(__xludf.DUMMYFUNCTION("""COMPUTED_VALUE"""),0)</f>
        <v>0</v>
      </c>
      <c r="AM297" s="20"/>
      <c r="AN297" s="20"/>
      <c r="AO297" s="20"/>
      <c r="AP297" s="20"/>
      <c r="AQ297" s="20"/>
      <c r="AR297" s="24">
        <f ca="1">IFERROR(__xludf.DUMMYFUNCTION("""COMPUTED_VALUE"""),0)</f>
        <v>0</v>
      </c>
      <c r="AS297" s="20"/>
      <c r="AT297" s="20"/>
      <c r="AU297" s="20"/>
      <c r="AV297" s="20"/>
      <c r="AW297" s="20"/>
      <c r="AX297" s="24">
        <f ca="1">IFERROR(__xludf.DUMMYFUNCTION("""COMPUTED_VALUE"""),0)</f>
        <v>0</v>
      </c>
      <c r="AY297" s="24">
        <f ca="1">IFERROR(__xludf.DUMMYFUNCTION("""COMPUTED_VALUE"""),0)</f>
        <v>0</v>
      </c>
      <c r="AZ297" s="24">
        <f ca="1">IFERROR(__xludf.DUMMYFUNCTION("""COMPUTED_VALUE"""),0)</f>
        <v>0</v>
      </c>
      <c r="BA297" s="24">
        <f ca="1">IFERROR(__xludf.DUMMYFUNCTION("""COMPUTED_VALUE"""),0)</f>
        <v>0</v>
      </c>
      <c r="BB297" s="24">
        <f ca="1">IFERROR(__xludf.DUMMYFUNCTION("""COMPUTED_VALUE"""),0)</f>
        <v>0</v>
      </c>
      <c r="BC297" s="20"/>
      <c r="BD297" s="24">
        <f ca="1">IFERROR(__xludf.DUMMYFUNCTION("""COMPUTED_VALUE"""),203029.6)</f>
        <v>203029.6</v>
      </c>
      <c r="BE297" s="24">
        <f ca="1">IFERROR(__xludf.DUMMYFUNCTION("""COMPUTED_VALUE"""),0)</f>
        <v>0</v>
      </c>
      <c r="BF297" s="24">
        <f ca="1">IFERROR(__xludf.DUMMYFUNCTION("""COMPUTED_VALUE"""),201000)</f>
        <v>201000</v>
      </c>
      <c r="BG297" s="24">
        <f ca="1">IFERROR(__xludf.DUMMYFUNCTION("""COMPUTED_VALUE"""),0)</f>
        <v>0</v>
      </c>
      <c r="BH297" s="24">
        <f ca="1">IFERROR(__xludf.DUMMYFUNCTION("""COMPUTED_VALUE"""),2029.6)</f>
        <v>2029.6</v>
      </c>
      <c r="BI297" s="20"/>
      <c r="BJ297" s="24">
        <f ca="1">IFERROR(__xludf.DUMMYFUNCTION("""COMPUTED_VALUE"""),583729.29)</f>
        <v>583729.29</v>
      </c>
      <c r="BK297" s="24">
        <f ca="1">IFERROR(__xludf.DUMMYFUNCTION("""COMPUTED_VALUE"""),0)</f>
        <v>0</v>
      </c>
      <c r="BL297" s="24">
        <f ca="1">IFERROR(__xludf.DUMMYFUNCTION("""COMPUTED_VALUE"""),577892)</f>
        <v>577892</v>
      </c>
      <c r="BM297" s="24">
        <f ca="1">IFERROR(__xludf.DUMMYFUNCTION("""COMPUTED_VALUE"""),0)</f>
        <v>0</v>
      </c>
      <c r="BN297" s="24">
        <f ca="1">IFERROR(__xludf.DUMMYFUNCTION("""COMPUTED_VALUE"""),5837.29)</f>
        <v>5837.29</v>
      </c>
      <c r="BO297" s="20"/>
      <c r="BP297" s="24">
        <f ca="1">IFERROR(__xludf.DUMMYFUNCTION("""COMPUTED_VALUE"""),0)</f>
        <v>0</v>
      </c>
      <c r="BQ297" s="24">
        <f ca="1">IFERROR(__xludf.DUMMYFUNCTION("""COMPUTED_VALUE"""),0)</f>
        <v>0</v>
      </c>
      <c r="BR297" s="24">
        <f ca="1">IFERROR(__xludf.DUMMYFUNCTION("""COMPUTED_VALUE"""),0)</f>
        <v>0</v>
      </c>
      <c r="BS297" s="24">
        <f ca="1">IFERROR(__xludf.DUMMYFUNCTION("""COMPUTED_VALUE"""),0)</f>
        <v>0</v>
      </c>
      <c r="BT297" s="24">
        <f ca="1">IFERROR(__xludf.DUMMYFUNCTION("""COMPUTED_VALUE"""),0)</f>
        <v>0</v>
      </c>
      <c r="BU297" s="20"/>
      <c r="BV297" s="24">
        <f ca="1">IFERROR(__xludf.DUMMYFUNCTION("""COMPUTED_VALUE"""),0)</f>
        <v>0</v>
      </c>
      <c r="BW297" s="24">
        <f ca="1">IFERROR(__xludf.DUMMYFUNCTION("""COMPUTED_VALUE"""),0)</f>
        <v>0</v>
      </c>
      <c r="BX297" s="24">
        <f ca="1">IFERROR(__xludf.DUMMYFUNCTION("""COMPUTED_VALUE"""),0)</f>
        <v>0</v>
      </c>
      <c r="BY297" s="24">
        <f ca="1">IFERROR(__xludf.DUMMYFUNCTION("""COMPUTED_VALUE"""),0)</f>
        <v>0</v>
      </c>
      <c r="BZ297" s="24">
        <f ca="1">IFERROR(__xludf.DUMMYFUNCTION("""COMPUTED_VALUE"""),0)</f>
        <v>0</v>
      </c>
      <c r="CA297" s="20"/>
      <c r="CB297" s="20"/>
      <c r="CC297" s="20"/>
      <c r="CD297" s="20"/>
      <c r="CE297" s="20"/>
      <c r="CF297" s="20"/>
      <c r="CG297" s="20"/>
      <c r="CH297" s="20"/>
      <c r="CI297" s="20"/>
      <c r="CJ297" s="20"/>
      <c r="CK297" s="20"/>
      <c r="CL297" s="20"/>
      <c r="CM297" s="20"/>
      <c r="CN297" s="20"/>
      <c r="CO297" s="20"/>
      <c r="CP297" s="20"/>
      <c r="CQ297" s="20"/>
      <c r="CR297" s="20"/>
      <c r="CS297" s="20"/>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row>
    <row r="298" spans="1:123" ht="64.5" customHeight="1" x14ac:dyDescent="0.2">
      <c r="A298" s="19"/>
      <c r="B298" s="20" t="str">
        <f ca="1">IFERROR(__xludf.DUMMYFUNCTION("""COMPUTED_VALUE"""),"г.о. Зарайск")</f>
        <v>г.о. Зарайск</v>
      </c>
      <c r="C29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8" s="20" t="str">
        <f ca="1">IFERROR(__xludf.DUMMYFUNCTION("""COMPUTED_VALUE"""),"МинЖКХ ""ТОП 5 (1 этап)""")</f>
        <v>МинЖКХ "ТОП 5 (1 этап)"</v>
      </c>
      <c r="E298" s="20" t="str">
        <f ca="1">IFERROR(__xludf.DUMMYFUNCTION("""COMPUTED_VALUE"""),"Строительство блочно-модульной котельной со снижением мощности в д. Гололобово г.о. Зарайск")</f>
        <v>Строительство блочно-модульной котельной со снижением мощности в д. Гололобово г.о. Зарайск</v>
      </c>
      <c r="F298" s="32" t="str">
        <f ca="1">IFERROR(__xludf.DUMMYFUNCTION("""COMPUTED_VALUE"""),"БМК")</f>
        <v>БМК</v>
      </c>
      <c r="G298" s="20">
        <f ca="1">IFERROR(__xludf.DUMMYFUNCTION("""COMPUTED_VALUE"""),2020)</f>
        <v>2020</v>
      </c>
      <c r="H298" s="20" t="str">
        <f ca="1">IFERROR(__xludf.DUMMYFUNCTION("""COMPUTED_VALUE"""),"СМР")</f>
        <v>СМР</v>
      </c>
      <c r="I298" s="20">
        <f ca="1">IFERROR(__xludf.DUMMYFUNCTION("""COMPUTED_VALUE"""),60)</f>
        <v>60</v>
      </c>
      <c r="J298" s="20" t="str">
        <f ca="1">IFERROR(__xludf.DUMMYFUNCTION("""COMPUTED_VALUE"""),"Фундамент залит , врезка в сети водоснабжения и канализации произведен. Горелки и котельная поставлены  на объект. ")</f>
        <v xml:space="preserve">Фундамент залит , врезка в сети водоснабжения и канализации произведен. Горелки и котельная поставлены  на объект. </v>
      </c>
      <c r="K298" s="20">
        <f ca="1">IFERROR(__xludf.DUMMYFUNCTION("""COMPUTED_VALUE"""),1010)</f>
        <v>1010</v>
      </c>
      <c r="L298" s="20">
        <f ca="1">IFERROR(__xludf.DUMMYFUNCTION("""COMPUTED_VALUE"""),1010)</f>
        <v>1010</v>
      </c>
      <c r="M298" s="20"/>
      <c r="N298" s="24">
        <f ca="1">IFERROR(__xludf.DUMMYFUNCTION("""COMPUTED_VALUE"""),10903.94)</f>
        <v>10903.94</v>
      </c>
      <c r="O298" s="20"/>
      <c r="P298" s="24">
        <f ca="1">IFERROR(__xludf.DUMMYFUNCTION("""COMPUTED_VALUE"""),0)</f>
        <v>0</v>
      </c>
      <c r="Q298" s="20">
        <f ca="1">IFERROR(__xludf.DUMMYFUNCTION("""COMPUTED_VALUE"""),10903.94)</f>
        <v>10903.94</v>
      </c>
      <c r="R298" s="20"/>
      <c r="S298" s="20"/>
      <c r="T298" s="20"/>
      <c r="U298" s="24">
        <f ca="1">IFERROR(__xludf.DUMMYFUNCTION("""COMPUTED_VALUE"""),871.37)</f>
        <v>871.37</v>
      </c>
      <c r="V298" s="24">
        <f ca="1">IFERROR(__xludf.DUMMYFUNCTION("""COMPUTED_VALUE"""),0)</f>
        <v>0</v>
      </c>
      <c r="W298" s="24">
        <f ca="1">IFERROR(__xludf.DUMMYFUNCTION("""COMPUTED_VALUE"""),0)</f>
        <v>0</v>
      </c>
      <c r="X298" s="24">
        <f ca="1">IFERROR(__xludf.DUMMYFUNCTION("""COMPUTED_VALUE"""),0)</f>
        <v>0</v>
      </c>
      <c r="Y298" s="24">
        <f ca="1">IFERROR(__xludf.DUMMYFUNCTION("""COMPUTED_VALUE"""),871.37)</f>
        <v>871.37</v>
      </c>
      <c r="Z298" s="24">
        <f ca="1">IFERROR(__xludf.DUMMYFUNCTION("""COMPUTED_VALUE"""),0)</f>
        <v>0</v>
      </c>
      <c r="AA298" s="20" t="str">
        <f ca="1">IFERROR(__xludf.DUMMYFUNCTION("""COMPUTED_VALUE"""),"10 3 02 64080")</f>
        <v>10 3 02 64080</v>
      </c>
      <c r="AB298" s="20">
        <f ca="1">IFERROR(__xludf.DUMMYFUNCTION("""COMPUTED_VALUE"""),522)</f>
        <v>522</v>
      </c>
      <c r="AC298" s="20"/>
      <c r="AD298" s="20"/>
      <c r="AE298" s="20"/>
      <c r="AF298" s="24">
        <f ca="1">IFERROR(__xludf.DUMMYFUNCTION("""COMPUTED_VALUE"""),11775.31)</f>
        <v>11775.31</v>
      </c>
      <c r="AG298" s="24">
        <f ca="1">IFERROR(__xludf.DUMMYFUNCTION("""COMPUTED_VALUE"""),0)</f>
        <v>0</v>
      </c>
      <c r="AH298" s="24">
        <f ca="1">IFERROR(__xludf.DUMMYFUNCTION("""COMPUTED_VALUE"""),0)</f>
        <v>0</v>
      </c>
      <c r="AI298" s="24">
        <f ca="1">IFERROR(__xludf.DUMMYFUNCTION("""COMPUTED_VALUE"""),10903.94)</f>
        <v>10903.94</v>
      </c>
      <c r="AJ298" s="24">
        <f ca="1">IFERROR(__xludf.DUMMYFUNCTION("""COMPUTED_VALUE"""),871.37)</f>
        <v>871.37</v>
      </c>
      <c r="AK298" s="24">
        <f ca="1">IFERROR(__xludf.DUMMYFUNCTION("""COMPUTED_VALUE"""),0)</f>
        <v>0</v>
      </c>
      <c r="AL298" s="24">
        <f ca="1">IFERROR(__xludf.DUMMYFUNCTION("""COMPUTED_VALUE"""),0)</f>
        <v>0</v>
      </c>
      <c r="AM298" s="20"/>
      <c r="AN298" s="20"/>
      <c r="AO298" s="20"/>
      <c r="AP298" s="20"/>
      <c r="AQ298" s="20"/>
      <c r="AR298" s="24">
        <f ca="1">IFERROR(__xludf.DUMMYFUNCTION("""COMPUTED_VALUE"""),0)</f>
        <v>0</v>
      </c>
      <c r="AS298" s="20"/>
      <c r="AT298" s="20"/>
      <c r="AU298" s="20"/>
      <c r="AV298" s="20"/>
      <c r="AW298" s="20"/>
      <c r="AX298" s="24">
        <f ca="1">IFERROR(__xludf.DUMMYFUNCTION("""COMPUTED_VALUE"""),11775.31)</f>
        <v>11775.31</v>
      </c>
      <c r="AY298" s="24">
        <f ca="1">IFERROR(__xludf.DUMMYFUNCTION("""COMPUTED_VALUE"""),0)</f>
        <v>0</v>
      </c>
      <c r="AZ298" s="24">
        <f ca="1">IFERROR(__xludf.DUMMYFUNCTION("""COMPUTED_VALUE"""),0)</f>
        <v>0</v>
      </c>
      <c r="BA298" s="24">
        <f ca="1">IFERROR(__xludf.DUMMYFUNCTION("""COMPUTED_VALUE"""),10903.94)</f>
        <v>10903.94</v>
      </c>
      <c r="BB298" s="24">
        <f ca="1">IFERROR(__xludf.DUMMYFUNCTION("""COMPUTED_VALUE"""),871.37)</f>
        <v>871.37</v>
      </c>
      <c r="BC298" s="20"/>
      <c r="BD298" s="24">
        <f ca="1">IFERROR(__xludf.DUMMYFUNCTION("""COMPUTED_VALUE"""),0)</f>
        <v>0</v>
      </c>
      <c r="BE298" s="24">
        <f ca="1">IFERROR(__xludf.DUMMYFUNCTION("""COMPUTED_VALUE"""),0)</f>
        <v>0</v>
      </c>
      <c r="BF298" s="24">
        <f ca="1">IFERROR(__xludf.DUMMYFUNCTION("""COMPUTED_VALUE"""),0)</f>
        <v>0</v>
      </c>
      <c r="BG298" s="24">
        <f ca="1">IFERROR(__xludf.DUMMYFUNCTION("""COMPUTED_VALUE"""),0)</f>
        <v>0</v>
      </c>
      <c r="BH298" s="24">
        <f ca="1">IFERROR(__xludf.DUMMYFUNCTION("""COMPUTED_VALUE"""),0)</f>
        <v>0</v>
      </c>
      <c r="BI298" s="20"/>
      <c r="BJ298" s="24">
        <f ca="1">IFERROR(__xludf.DUMMYFUNCTION("""COMPUTED_VALUE"""),0)</f>
        <v>0</v>
      </c>
      <c r="BK298" s="24">
        <f ca="1">IFERROR(__xludf.DUMMYFUNCTION("""COMPUTED_VALUE"""),0)</f>
        <v>0</v>
      </c>
      <c r="BL298" s="24">
        <f ca="1">IFERROR(__xludf.DUMMYFUNCTION("""COMPUTED_VALUE"""),0)</f>
        <v>0</v>
      </c>
      <c r="BM298" s="24">
        <f ca="1">IFERROR(__xludf.DUMMYFUNCTION("""COMPUTED_VALUE"""),0)</f>
        <v>0</v>
      </c>
      <c r="BN298" s="24">
        <f ca="1">IFERROR(__xludf.DUMMYFUNCTION("""COMPUTED_VALUE"""),0)</f>
        <v>0</v>
      </c>
      <c r="BO298" s="20"/>
      <c r="BP298" s="24">
        <f ca="1">IFERROR(__xludf.DUMMYFUNCTION("""COMPUTED_VALUE"""),0)</f>
        <v>0</v>
      </c>
      <c r="BQ298" s="24">
        <f ca="1">IFERROR(__xludf.DUMMYFUNCTION("""COMPUTED_VALUE"""),0)</f>
        <v>0</v>
      </c>
      <c r="BR298" s="24">
        <f ca="1">IFERROR(__xludf.DUMMYFUNCTION("""COMPUTED_VALUE"""),0)</f>
        <v>0</v>
      </c>
      <c r="BS298" s="24">
        <f ca="1">IFERROR(__xludf.DUMMYFUNCTION("""COMPUTED_VALUE"""),0)</f>
        <v>0</v>
      </c>
      <c r="BT298" s="24">
        <f ca="1">IFERROR(__xludf.DUMMYFUNCTION("""COMPUTED_VALUE"""),0)</f>
        <v>0</v>
      </c>
      <c r="BU298" s="20"/>
      <c r="BV298" s="24">
        <f ca="1">IFERROR(__xludf.DUMMYFUNCTION("""COMPUTED_VALUE"""),0)</f>
        <v>0</v>
      </c>
      <c r="BW298" s="24">
        <f ca="1">IFERROR(__xludf.DUMMYFUNCTION("""COMPUTED_VALUE"""),0)</f>
        <v>0</v>
      </c>
      <c r="BX298" s="24">
        <f ca="1">IFERROR(__xludf.DUMMYFUNCTION("""COMPUTED_VALUE"""),0)</f>
        <v>0</v>
      </c>
      <c r="BY298" s="24">
        <f ca="1">IFERROR(__xludf.DUMMYFUNCTION("""COMPUTED_VALUE"""),0)</f>
        <v>0</v>
      </c>
      <c r="BZ298" s="24">
        <f ca="1">IFERROR(__xludf.DUMMYFUNCTION("""COMPUTED_VALUE"""),0)</f>
        <v>0</v>
      </c>
      <c r="CA298" s="20"/>
      <c r="CB298" s="20"/>
      <c r="CC298" s="20"/>
      <c r="CD298" s="20"/>
      <c r="CE298" s="20"/>
      <c r="CF298" s="20"/>
      <c r="CG298" s="20"/>
      <c r="CH298" s="20"/>
      <c r="CI298" s="20"/>
      <c r="CJ298" s="20"/>
      <c r="CK298" s="20"/>
      <c r="CL298" s="20"/>
      <c r="CM298" s="20"/>
      <c r="CN298" s="20"/>
      <c r="CO298" s="20"/>
      <c r="CP298" s="20"/>
      <c r="CQ298" s="20"/>
      <c r="CR298" s="20"/>
      <c r="CS298" s="20"/>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row>
    <row r="299" spans="1:123" ht="64.5" hidden="1" customHeight="1" x14ac:dyDescent="0.2">
      <c r="A299" s="19"/>
      <c r="B299" s="20" t="str">
        <f ca="1">IFERROR(__xludf.DUMMYFUNCTION("""COMPUTED_VALUE"""),"г.о. Орехово-Зуево")</f>
        <v>г.о. Орехово-Зуево</v>
      </c>
      <c r="C29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9" s="20" t="str">
        <f ca="1">IFERROR(__xludf.DUMMYFUNCTION("""COMPUTED_VALUE"""),"МинЖКХ")</f>
        <v>МинЖКХ</v>
      </c>
      <c r="E299" s="20" t="str">
        <f ca="1">IFERROR(__xludf.DUMMYFUNCTION("""COMPUTED_VALUE"""),"Строительство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f>
        <v>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v>
      </c>
      <c r="F299" s="32" t="str">
        <f ca="1">IFERROR(__xludf.DUMMYFUNCTION("""COMPUTED_VALUE"""),"БМК")</f>
        <v>БМК</v>
      </c>
      <c r="G299" s="20">
        <f ca="1">IFERROR(__xludf.DUMMYFUNCTION("""COMPUTED_VALUE"""),2021)</f>
        <v>2021</v>
      </c>
      <c r="H299" s="20" t="str">
        <f ca="1">IFERROR(__xludf.DUMMYFUNCTION("""COMPUTED_VALUE"""),"СМР")</f>
        <v>СМР</v>
      </c>
      <c r="I299" s="20"/>
      <c r="J299" s="20"/>
      <c r="K299" s="20"/>
      <c r="L299" s="20"/>
      <c r="M299" s="20"/>
      <c r="N299" s="24">
        <f ca="1">IFERROR(__xludf.DUMMYFUNCTION("""COMPUTED_VALUE"""),0)</f>
        <v>0</v>
      </c>
      <c r="O299" s="20"/>
      <c r="P299" s="20"/>
      <c r="Q299" s="20"/>
      <c r="R299" s="20"/>
      <c r="S299" s="20"/>
      <c r="T299" s="20"/>
      <c r="U299" s="24">
        <f ca="1">IFERROR(__xludf.DUMMYFUNCTION("""COMPUTED_VALUE"""),0)</f>
        <v>0</v>
      </c>
      <c r="V299" s="24">
        <f ca="1">IFERROR(__xludf.DUMMYFUNCTION("""COMPUTED_VALUE"""),0)</f>
        <v>0</v>
      </c>
      <c r="W299" s="24">
        <f ca="1">IFERROR(__xludf.DUMMYFUNCTION("""COMPUTED_VALUE"""),0)</f>
        <v>0</v>
      </c>
      <c r="X299" s="24">
        <f ca="1">IFERROR(__xludf.DUMMYFUNCTION("""COMPUTED_VALUE"""),0)</f>
        <v>0</v>
      </c>
      <c r="Y299" s="24">
        <f ca="1">IFERROR(__xludf.DUMMYFUNCTION("""COMPUTED_VALUE"""),0)</f>
        <v>0</v>
      </c>
      <c r="Z299" s="24">
        <f ca="1">IFERROR(__xludf.DUMMYFUNCTION("""COMPUTED_VALUE"""),0)</f>
        <v>0</v>
      </c>
      <c r="AA299" s="20"/>
      <c r="AB299" s="20"/>
      <c r="AC299" s="20"/>
      <c r="AD299" s="20"/>
      <c r="AE299" s="20"/>
      <c r="AF299" s="24">
        <f ca="1">IFERROR(__xludf.DUMMYFUNCTION("""COMPUTED_VALUE"""),30000)</f>
        <v>30000</v>
      </c>
      <c r="AG299" s="24">
        <f ca="1">IFERROR(__xludf.DUMMYFUNCTION("""COMPUTED_VALUE"""),0)</f>
        <v>0</v>
      </c>
      <c r="AH299" s="24">
        <f ca="1">IFERROR(__xludf.DUMMYFUNCTION("""COMPUTED_VALUE"""),28500)</f>
        <v>28500</v>
      </c>
      <c r="AI299" s="24">
        <f ca="1">IFERROR(__xludf.DUMMYFUNCTION("""COMPUTED_VALUE"""),0)</f>
        <v>0</v>
      </c>
      <c r="AJ299" s="24">
        <f ca="1">IFERROR(__xludf.DUMMYFUNCTION("""COMPUTED_VALUE"""),1500)</f>
        <v>1500</v>
      </c>
      <c r="AK299" s="24">
        <f ca="1">IFERROR(__xludf.DUMMYFUNCTION("""COMPUTED_VALUE"""),0)</f>
        <v>0</v>
      </c>
      <c r="AL299" s="24">
        <f ca="1">IFERROR(__xludf.DUMMYFUNCTION("""COMPUTED_VALUE"""),0)</f>
        <v>0</v>
      </c>
      <c r="AM299" s="20"/>
      <c r="AN299" s="20"/>
      <c r="AO299" s="20"/>
      <c r="AP299" s="20"/>
      <c r="AQ299" s="20"/>
      <c r="AR299" s="24">
        <f ca="1">IFERROR(__xludf.DUMMYFUNCTION("""COMPUTED_VALUE"""),0)</f>
        <v>0</v>
      </c>
      <c r="AS299" s="20"/>
      <c r="AT299" s="20"/>
      <c r="AU299" s="20"/>
      <c r="AV299" s="20"/>
      <c r="AW299" s="20"/>
      <c r="AX299" s="24">
        <f ca="1">IFERROR(__xludf.DUMMYFUNCTION("""COMPUTED_VALUE"""),0)</f>
        <v>0</v>
      </c>
      <c r="AY299" s="24">
        <f ca="1">IFERROR(__xludf.DUMMYFUNCTION("""COMPUTED_VALUE"""),0)</f>
        <v>0</v>
      </c>
      <c r="AZ299" s="24">
        <f ca="1">IFERROR(__xludf.DUMMYFUNCTION("""COMPUTED_VALUE"""),0)</f>
        <v>0</v>
      </c>
      <c r="BA299" s="24">
        <f ca="1">IFERROR(__xludf.DUMMYFUNCTION("""COMPUTED_VALUE"""),0)</f>
        <v>0</v>
      </c>
      <c r="BB299" s="24">
        <f ca="1">IFERROR(__xludf.DUMMYFUNCTION("""COMPUTED_VALUE"""),0)</f>
        <v>0</v>
      </c>
      <c r="BC299" s="20"/>
      <c r="BD299" s="24">
        <f ca="1">IFERROR(__xludf.DUMMYFUNCTION("""COMPUTED_VALUE"""),5000)</f>
        <v>5000</v>
      </c>
      <c r="BE299" s="24">
        <f ca="1">IFERROR(__xludf.DUMMYFUNCTION("""COMPUTED_VALUE"""),0)</f>
        <v>0</v>
      </c>
      <c r="BF299" s="24">
        <f ca="1">IFERROR(__xludf.DUMMYFUNCTION("""COMPUTED_VALUE"""),4750)</f>
        <v>4750</v>
      </c>
      <c r="BG299" s="24">
        <f ca="1">IFERROR(__xludf.DUMMYFUNCTION("""COMPUTED_VALUE"""),0)</f>
        <v>0</v>
      </c>
      <c r="BH299" s="24">
        <f ca="1">IFERROR(__xludf.DUMMYFUNCTION("""COMPUTED_VALUE"""),250)</f>
        <v>250</v>
      </c>
      <c r="BI299" s="20"/>
      <c r="BJ299" s="24">
        <f ca="1">IFERROR(__xludf.DUMMYFUNCTION("""COMPUTED_VALUE"""),25000)</f>
        <v>25000</v>
      </c>
      <c r="BK299" s="24">
        <f ca="1">IFERROR(__xludf.DUMMYFUNCTION("""COMPUTED_VALUE"""),0)</f>
        <v>0</v>
      </c>
      <c r="BL299" s="24">
        <f ca="1">IFERROR(__xludf.DUMMYFUNCTION("""COMPUTED_VALUE"""),23750)</f>
        <v>23750</v>
      </c>
      <c r="BM299" s="24">
        <f ca="1">IFERROR(__xludf.DUMMYFUNCTION("""COMPUTED_VALUE"""),0)</f>
        <v>0</v>
      </c>
      <c r="BN299" s="24">
        <f ca="1">IFERROR(__xludf.DUMMYFUNCTION("""COMPUTED_VALUE"""),1250)</f>
        <v>1250</v>
      </c>
      <c r="BO299" s="20"/>
      <c r="BP299" s="24">
        <f ca="1">IFERROR(__xludf.DUMMYFUNCTION("""COMPUTED_VALUE"""),0)</f>
        <v>0</v>
      </c>
      <c r="BQ299" s="24">
        <f ca="1">IFERROR(__xludf.DUMMYFUNCTION("""COMPUTED_VALUE"""),0)</f>
        <v>0</v>
      </c>
      <c r="BR299" s="24">
        <f ca="1">IFERROR(__xludf.DUMMYFUNCTION("""COMPUTED_VALUE"""),0)</f>
        <v>0</v>
      </c>
      <c r="BS299" s="24">
        <f ca="1">IFERROR(__xludf.DUMMYFUNCTION("""COMPUTED_VALUE"""),0)</f>
        <v>0</v>
      </c>
      <c r="BT299" s="24">
        <f ca="1">IFERROR(__xludf.DUMMYFUNCTION("""COMPUTED_VALUE"""),0)</f>
        <v>0</v>
      </c>
      <c r="BU299" s="20"/>
      <c r="BV299" s="24">
        <f ca="1">IFERROR(__xludf.DUMMYFUNCTION("""COMPUTED_VALUE"""),0)</f>
        <v>0</v>
      </c>
      <c r="BW299" s="24">
        <f ca="1">IFERROR(__xludf.DUMMYFUNCTION("""COMPUTED_VALUE"""),0)</f>
        <v>0</v>
      </c>
      <c r="BX299" s="24">
        <f ca="1">IFERROR(__xludf.DUMMYFUNCTION("""COMPUTED_VALUE"""),0)</f>
        <v>0</v>
      </c>
      <c r="BY299" s="24">
        <f ca="1">IFERROR(__xludf.DUMMYFUNCTION("""COMPUTED_VALUE"""),0)</f>
        <v>0</v>
      </c>
      <c r="BZ299" s="24">
        <f ca="1">IFERROR(__xludf.DUMMYFUNCTION("""COMPUTED_VALUE"""),0)</f>
        <v>0</v>
      </c>
      <c r="CA299" s="20"/>
      <c r="CB299" s="20"/>
      <c r="CC299" s="20"/>
      <c r="CD299" s="20"/>
      <c r="CE299" s="20"/>
      <c r="CF299" s="20"/>
      <c r="CG299" s="20"/>
      <c r="CH299" s="20"/>
      <c r="CI299" s="20"/>
      <c r="CJ299" s="20"/>
      <c r="CK299" s="20"/>
      <c r="CL299" s="20"/>
      <c r="CM299" s="20"/>
      <c r="CN299" s="20"/>
      <c r="CO299" s="20"/>
      <c r="CP299" s="20"/>
      <c r="CQ299" s="20"/>
      <c r="CR299" s="20"/>
      <c r="CS299" s="20"/>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row>
    <row r="300" spans="1:123" ht="64.5" hidden="1" customHeight="1" x14ac:dyDescent="0.2">
      <c r="A300" s="19"/>
      <c r="B300" s="20" t="str">
        <f ca="1">IFERROR(__xludf.DUMMYFUNCTION("""COMPUTED_VALUE"""),"г.о. Рузский")</f>
        <v>г.о. Рузский</v>
      </c>
      <c r="C30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0" s="20" t="str">
        <f ca="1">IFERROR(__xludf.DUMMYFUNCTION("""COMPUTED_VALUE"""),"МинЖКХ")</f>
        <v>МинЖКХ</v>
      </c>
      <c r="E300" s="20" t="str">
        <f ca="1">IFERROR(__xludf.DUMMYFUNCTION("""COMPUTED_VALUE"""),"Строительство БМК г. Руза, ул. Говорова, д.1А")</f>
        <v>Строительство БМК г. Руза, ул. Говорова, д.1А</v>
      </c>
      <c r="F300" s="32" t="str">
        <f ca="1">IFERROR(__xludf.DUMMYFUNCTION("""COMPUTED_VALUE"""),"БМК")</f>
        <v>БМК</v>
      </c>
      <c r="G300" s="20">
        <f ca="1">IFERROR(__xludf.DUMMYFUNCTION("""COMPUTED_VALUE"""),2021)</f>
        <v>2021</v>
      </c>
      <c r="H300" s="20" t="str">
        <f ca="1">IFERROR(__xludf.DUMMYFUNCTION("""COMPUTED_VALUE"""),"СМР")</f>
        <v>СМР</v>
      </c>
      <c r="I300" s="20"/>
      <c r="J300" s="20"/>
      <c r="K300" s="20"/>
      <c r="L300" s="20"/>
      <c r="M300" s="20"/>
      <c r="N300" s="24">
        <f ca="1">IFERROR(__xludf.DUMMYFUNCTION("""COMPUTED_VALUE"""),0)</f>
        <v>0</v>
      </c>
      <c r="O300" s="20"/>
      <c r="P300" s="20"/>
      <c r="Q300" s="20"/>
      <c r="R300" s="20"/>
      <c r="S300" s="20"/>
      <c r="T300" s="20"/>
      <c r="U300" s="24">
        <f ca="1">IFERROR(__xludf.DUMMYFUNCTION("""COMPUTED_VALUE"""),0)</f>
        <v>0</v>
      </c>
      <c r="V300" s="24">
        <f ca="1">IFERROR(__xludf.DUMMYFUNCTION("""COMPUTED_VALUE"""),0)</f>
        <v>0</v>
      </c>
      <c r="W300" s="24">
        <f ca="1">IFERROR(__xludf.DUMMYFUNCTION("""COMPUTED_VALUE"""),0)</f>
        <v>0</v>
      </c>
      <c r="X300" s="24">
        <f ca="1">IFERROR(__xludf.DUMMYFUNCTION("""COMPUTED_VALUE"""),0)</f>
        <v>0</v>
      </c>
      <c r="Y300" s="24">
        <f ca="1">IFERROR(__xludf.DUMMYFUNCTION("""COMPUTED_VALUE"""),0)</f>
        <v>0</v>
      </c>
      <c r="Z300" s="24">
        <f ca="1">IFERROR(__xludf.DUMMYFUNCTION("""COMPUTED_VALUE"""),0)</f>
        <v>0</v>
      </c>
      <c r="AA300" s="20"/>
      <c r="AB300" s="20"/>
      <c r="AC300" s="20"/>
      <c r="AD300" s="20"/>
      <c r="AE300" s="20"/>
      <c r="AF300" s="24">
        <f ca="1">IFERROR(__xludf.DUMMYFUNCTION("""COMPUTED_VALUE"""),41064.51)</f>
        <v>41064.51</v>
      </c>
      <c r="AG300" s="24">
        <f ca="1">IFERROR(__xludf.DUMMYFUNCTION("""COMPUTED_VALUE"""),0)</f>
        <v>0</v>
      </c>
      <c r="AH300" s="24">
        <f ca="1">IFERROR(__xludf.DUMMYFUNCTION("""COMPUTED_VALUE"""),29519)</f>
        <v>29519</v>
      </c>
      <c r="AI300" s="24">
        <f ca="1">IFERROR(__xludf.DUMMYFUNCTION("""COMPUTED_VALUE"""),0)</f>
        <v>0</v>
      </c>
      <c r="AJ300" s="24">
        <f ca="1">IFERROR(__xludf.DUMMYFUNCTION("""COMPUTED_VALUE"""),6175.05)</f>
        <v>6175.05</v>
      </c>
      <c r="AK300" s="24">
        <f ca="1">IFERROR(__xludf.DUMMYFUNCTION("""COMPUTED_VALUE"""),5370.46)</f>
        <v>5370.46</v>
      </c>
      <c r="AL300" s="24">
        <f ca="1">IFERROR(__xludf.DUMMYFUNCTION("""COMPUTED_VALUE"""),0)</f>
        <v>0</v>
      </c>
      <c r="AM300" s="20"/>
      <c r="AN300" s="20"/>
      <c r="AO300" s="20"/>
      <c r="AP300" s="20"/>
      <c r="AQ300" s="20"/>
      <c r="AR300" s="24">
        <f ca="1">IFERROR(__xludf.DUMMYFUNCTION("""COMPUTED_VALUE"""),0)</f>
        <v>0</v>
      </c>
      <c r="AS300" s="20"/>
      <c r="AT300" s="20"/>
      <c r="AU300" s="20"/>
      <c r="AV300" s="20"/>
      <c r="AW300" s="20"/>
      <c r="AX300" s="24">
        <f ca="1">IFERROR(__xludf.DUMMYFUNCTION("""COMPUTED_VALUE"""),0)</f>
        <v>0</v>
      </c>
      <c r="AY300" s="24">
        <f ca="1">IFERROR(__xludf.DUMMYFUNCTION("""COMPUTED_VALUE"""),0)</f>
        <v>0</v>
      </c>
      <c r="AZ300" s="24">
        <f ca="1">IFERROR(__xludf.DUMMYFUNCTION("""COMPUTED_VALUE"""),0)</f>
        <v>0</v>
      </c>
      <c r="BA300" s="24">
        <f ca="1">IFERROR(__xludf.DUMMYFUNCTION("""COMPUTED_VALUE"""),0)</f>
        <v>0</v>
      </c>
      <c r="BB300" s="24">
        <f ca="1">IFERROR(__xludf.DUMMYFUNCTION("""COMPUTED_VALUE"""),0)</f>
        <v>0</v>
      </c>
      <c r="BC300" s="20"/>
      <c r="BD300" s="24">
        <f ca="1">IFERROR(__xludf.DUMMYFUNCTION("""COMPUTED_VALUE"""),41064.51)</f>
        <v>41064.51</v>
      </c>
      <c r="BE300" s="24">
        <f ca="1">IFERROR(__xludf.DUMMYFUNCTION("""COMPUTED_VALUE"""),0)</f>
        <v>0</v>
      </c>
      <c r="BF300" s="24">
        <f ca="1">IFERROR(__xludf.DUMMYFUNCTION("""COMPUTED_VALUE"""),29519)</f>
        <v>29519</v>
      </c>
      <c r="BG300" s="24">
        <f ca="1">IFERROR(__xludf.DUMMYFUNCTION("""COMPUTED_VALUE"""),0)</f>
        <v>0</v>
      </c>
      <c r="BH300" s="24">
        <f ca="1">IFERROR(__xludf.DUMMYFUNCTION("""COMPUTED_VALUE"""),6175.05)</f>
        <v>6175.05</v>
      </c>
      <c r="BI300" s="24">
        <f ca="1">IFERROR(__xludf.DUMMYFUNCTION("""COMPUTED_VALUE"""),5370.46)</f>
        <v>5370.46</v>
      </c>
      <c r="BJ300" s="24">
        <f ca="1">IFERROR(__xludf.DUMMYFUNCTION("""COMPUTED_VALUE"""),0)</f>
        <v>0</v>
      </c>
      <c r="BK300" s="24">
        <f ca="1">IFERROR(__xludf.DUMMYFUNCTION("""COMPUTED_VALUE"""),0)</f>
        <v>0</v>
      </c>
      <c r="BL300" s="24">
        <f ca="1">IFERROR(__xludf.DUMMYFUNCTION("""COMPUTED_VALUE"""),0)</f>
        <v>0</v>
      </c>
      <c r="BM300" s="24">
        <f ca="1">IFERROR(__xludf.DUMMYFUNCTION("""COMPUTED_VALUE"""),0)</f>
        <v>0</v>
      </c>
      <c r="BN300" s="24">
        <f ca="1">IFERROR(__xludf.DUMMYFUNCTION("""COMPUTED_VALUE"""),0)</f>
        <v>0</v>
      </c>
      <c r="BO300" s="20"/>
      <c r="BP300" s="24">
        <f ca="1">IFERROR(__xludf.DUMMYFUNCTION("""COMPUTED_VALUE"""),0)</f>
        <v>0</v>
      </c>
      <c r="BQ300" s="24">
        <f ca="1">IFERROR(__xludf.DUMMYFUNCTION("""COMPUTED_VALUE"""),0)</f>
        <v>0</v>
      </c>
      <c r="BR300" s="24">
        <f ca="1">IFERROR(__xludf.DUMMYFUNCTION("""COMPUTED_VALUE"""),0)</f>
        <v>0</v>
      </c>
      <c r="BS300" s="24">
        <f ca="1">IFERROR(__xludf.DUMMYFUNCTION("""COMPUTED_VALUE"""),0)</f>
        <v>0</v>
      </c>
      <c r="BT300" s="24">
        <f ca="1">IFERROR(__xludf.DUMMYFUNCTION("""COMPUTED_VALUE"""),0)</f>
        <v>0</v>
      </c>
      <c r="BU300" s="20"/>
      <c r="BV300" s="24">
        <f ca="1">IFERROR(__xludf.DUMMYFUNCTION("""COMPUTED_VALUE"""),0)</f>
        <v>0</v>
      </c>
      <c r="BW300" s="24">
        <f ca="1">IFERROR(__xludf.DUMMYFUNCTION("""COMPUTED_VALUE"""),0)</f>
        <v>0</v>
      </c>
      <c r="BX300" s="24">
        <f ca="1">IFERROR(__xludf.DUMMYFUNCTION("""COMPUTED_VALUE"""),0)</f>
        <v>0</v>
      </c>
      <c r="BY300" s="24">
        <f ca="1">IFERROR(__xludf.DUMMYFUNCTION("""COMPUTED_VALUE"""),0)</f>
        <v>0</v>
      </c>
      <c r="BZ300" s="24">
        <f ca="1">IFERROR(__xludf.DUMMYFUNCTION("""COMPUTED_VALUE"""),0)</f>
        <v>0</v>
      </c>
      <c r="CA300" s="20"/>
      <c r="CB300" s="20"/>
      <c r="CC300" s="20"/>
      <c r="CD300" s="20"/>
      <c r="CE300" s="20"/>
      <c r="CF300" s="20"/>
      <c r="CG300" s="20"/>
      <c r="CH300" s="20"/>
      <c r="CI300" s="20"/>
      <c r="CJ300" s="20"/>
      <c r="CK300" s="20"/>
      <c r="CL300" s="20"/>
      <c r="CM300" s="20"/>
      <c r="CN300" s="20"/>
      <c r="CO300" s="20"/>
      <c r="CP300" s="20"/>
      <c r="CQ300" s="20"/>
      <c r="CR300" s="20"/>
      <c r="CS300" s="20"/>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row>
    <row r="301" spans="1:123" ht="64.5" hidden="1" customHeight="1" x14ac:dyDescent="0.2">
      <c r="A301" s="19"/>
      <c r="B301" s="20" t="str">
        <f ca="1">IFERROR(__xludf.DUMMYFUNCTION("""COMPUTED_VALUE"""),"г.о. Рузский")</f>
        <v>г.о. Рузский</v>
      </c>
      <c r="C30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1" s="20" t="str">
        <f ca="1">IFERROR(__xludf.DUMMYFUNCTION("""COMPUTED_VALUE"""),"МинЖКХ")</f>
        <v>МинЖКХ</v>
      </c>
      <c r="E301" s="20" t="str">
        <f ca="1">IFERROR(__xludf.DUMMYFUNCTION("""COMPUTED_VALUE"""),"Строительсвто БМК г. Руза, Волоколамское шоссе")</f>
        <v>Строительсвто БМК г. Руза, Волоколамское шоссе</v>
      </c>
      <c r="F301" s="32" t="str">
        <f ca="1">IFERROR(__xludf.DUMMYFUNCTION("""COMPUTED_VALUE"""),"БМК")</f>
        <v>БМК</v>
      </c>
      <c r="G301" s="20">
        <f ca="1">IFERROR(__xludf.DUMMYFUNCTION("""COMPUTED_VALUE"""),2021)</f>
        <v>2021</v>
      </c>
      <c r="H301" s="20" t="str">
        <f ca="1">IFERROR(__xludf.DUMMYFUNCTION("""COMPUTED_VALUE"""),"СМР")</f>
        <v>СМР</v>
      </c>
      <c r="I301" s="20"/>
      <c r="J301" s="20"/>
      <c r="K301" s="20"/>
      <c r="L301" s="20"/>
      <c r="M301" s="20"/>
      <c r="N301" s="24">
        <f ca="1">IFERROR(__xludf.DUMMYFUNCTION("""COMPUTED_VALUE"""),0)</f>
        <v>0</v>
      </c>
      <c r="O301" s="20"/>
      <c r="P301" s="20"/>
      <c r="Q301" s="20"/>
      <c r="R301" s="20"/>
      <c r="S301" s="20"/>
      <c r="T301" s="20"/>
      <c r="U301" s="24">
        <f ca="1">IFERROR(__xludf.DUMMYFUNCTION("""COMPUTED_VALUE"""),0)</f>
        <v>0</v>
      </c>
      <c r="V301" s="24">
        <f ca="1">IFERROR(__xludf.DUMMYFUNCTION("""COMPUTED_VALUE"""),0)</f>
        <v>0</v>
      </c>
      <c r="W301" s="24">
        <f ca="1">IFERROR(__xludf.DUMMYFUNCTION("""COMPUTED_VALUE"""),0)</f>
        <v>0</v>
      </c>
      <c r="X301" s="24">
        <f ca="1">IFERROR(__xludf.DUMMYFUNCTION("""COMPUTED_VALUE"""),0)</f>
        <v>0</v>
      </c>
      <c r="Y301" s="24">
        <f ca="1">IFERROR(__xludf.DUMMYFUNCTION("""COMPUTED_VALUE"""),0)</f>
        <v>0</v>
      </c>
      <c r="Z301" s="24">
        <f ca="1">IFERROR(__xludf.DUMMYFUNCTION("""COMPUTED_VALUE"""),0)</f>
        <v>0</v>
      </c>
      <c r="AA301" s="20"/>
      <c r="AB301" s="20"/>
      <c r="AC301" s="20"/>
      <c r="AD301" s="20"/>
      <c r="AE301" s="20"/>
      <c r="AF301" s="24">
        <f ca="1">IFERROR(__xludf.DUMMYFUNCTION("""COMPUTED_VALUE"""),25619.39)</f>
        <v>25619.39</v>
      </c>
      <c r="AG301" s="24">
        <f ca="1">IFERROR(__xludf.DUMMYFUNCTION("""COMPUTED_VALUE"""),0)</f>
        <v>0</v>
      </c>
      <c r="AH301" s="24">
        <f ca="1">IFERROR(__xludf.DUMMYFUNCTION("""COMPUTED_VALUE"""),18756)</f>
        <v>18756</v>
      </c>
      <c r="AI301" s="24">
        <f ca="1">IFERROR(__xludf.DUMMYFUNCTION("""COMPUTED_VALUE"""),0)</f>
        <v>0</v>
      </c>
      <c r="AJ301" s="24">
        <f ca="1">IFERROR(__xludf.DUMMYFUNCTION("""COMPUTED_VALUE"""),3923.42)</f>
        <v>3923.42</v>
      </c>
      <c r="AK301" s="24">
        <f ca="1">IFERROR(__xludf.DUMMYFUNCTION("""COMPUTED_VALUE"""),2939.97)</f>
        <v>2939.97</v>
      </c>
      <c r="AL301" s="24">
        <f ca="1">IFERROR(__xludf.DUMMYFUNCTION("""COMPUTED_VALUE"""),0)</f>
        <v>0</v>
      </c>
      <c r="AM301" s="20"/>
      <c r="AN301" s="20"/>
      <c r="AO301" s="20"/>
      <c r="AP301" s="20"/>
      <c r="AQ301" s="20"/>
      <c r="AR301" s="24">
        <f ca="1">IFERROR(__xludf.DUMMYFUNCTION("""COMPUTED_VALUE"""),0)</f>
        <v>0</v>
      </c>
      <c r="AS301" s="20"/>
      <c r="AT301" s="20"/>
      <c r="AU301" s="20"/>
      <c r="AV301" s="20"/>
      <c r="AW301" s="20"/>
      <c r="AX301" s="24">
        <f ca="1">IFERROR(__xludf.DUMMYFUNCTION("""COMPUTED_VALUE"""),0)</f>
        <v>0</v>
      </c>
      <c r="AY301" s="24">
        <f ca="1">IFERROR(__xludf.DUMMYFUNCTION("""COMPUTED_VALUE"""),0)</f>
        <v>0</v>
      </c>
      <c r="AZ301" s="24">
        <f ca="1">IFERROR(__xludf.DUMMYFUNCTION("""COMPUTED_VALUE"""),0)</f>
        <v>0</v>
      </c>
      <c r="BA301" s="24">
        <f ca="1">IFERROR(__xludf.DUMMYFUNCTION("""COMPUTED_VALUE"""),0)</f>
        <v>0</v>
      </c>
      <c r="BB301" s="24">
        <f ca="1">IFERROR(__xludf.DUMMYFUNCTION("""COMPUTED_VALUE"""),0)</f>
        <v>0</v>
      </c>
      <c r="BC301" s="20"/>
      <c r="BD301" s="24">
        <f ca="1">IFERROR(__xludf.DUMMYFUNCTION("""COMPUTED_VALUE"""),25619.39)</f>
        <v>25619.39</v>
      </c>
      <c r="BE301" s="24">
        <f ca="1">IFERROR(__xludf.DUMMYFUNCTION("""COMPUTED_VALUE"""),0)</f>
        <v>0</v>
      </c>
      <c r="BF301" s="24">
        <f ca="1">IFERROR(__xludf.DUMMYFUNCTION("""COMPUTED_VALUE"""),18756)</f>
        <v>18756</v>
      </c>
      <c r="BG301" s="24">
        <f ca="1">IFERROR(__xludf.DUMMYFUNCTION("""COMPUTED_VALUE"""),0)</f>
        <v>0</v>
      </c>
      <c r="BH301" s="24">
        <f ca="1">IFERROR(__xludf.DUMMYFUNCTION("""COMPUTED_VALUE"""),3923.42)</f>
        <v>3923.42</v>
      </c>
      <c r="BI301" s="24">
        <f ca="1">IFERROR(__xludf.DUMMYFUNCTION("""COMPUTED_VALUE"""),2939.97)</f>
        <v>2939.97</v>
      </c>
      <c r="BJ301" s="24">
        <f ca="1">IFERROR(__xludf.DUMMYFUNCTION("""COMPUTED_VALUE"""),0)</f>
        <v>0</v>
      </c>
      <c r="BK301" s="24">
        <f ca="1">IFERROR(__xludf.DUMMYFUNCTION("""COMPUTED_VALUE"""),0)</f>
        <v>0</v>
      </c>
      <c r="BL301" s="24">
        <f ca="1">IFERROR(__xludf.DUMMYFUNCTION("""COMPUTED_VALUE"""),0)</f>
        <v>0</v>
      </c>
      <c r="BM301" s="24">
        <f ca="1">IFERROR(__xludf.DUMMYFUNCTION("""COMPUTED_VALUE"""),0)</f>
        <v>0</v>
      </c>
      <c r="BN301" s="24">
        <f ca="1">IFERROR(__xludf.DUMMYFUNCTION("""COMPUTED_VALUE"""),0)</f>
        <v>0</v>
      </c>
      <c r="BO301" s="20"/>
      <c r="BP301" s="24">
        <f ca="1">IFERROR(__xludf.DUMMYFUNCTION("""COMPUTED_VALUE"""),0)</f>
        <v>0</v>
      </c>
      <c r="BQ301" s="24">
        <f ca="1">IFERROR(__xludf.DUMMYFUNCTION("""COMPUTED_VALUE"""),0)</f>
        <v>0</v>
      </c>
      <c r="BR301" s="24">
        <f ca="1">IFERROR(__xludf.DUMMYFUNCTION("""COMPUTED_VALUE"""),0)</f>
        <v>0</v>
      </c>
      <c r="BS301" s="24">
        <f ca="1">IFERROR(__xludf.DUMMYFUNCTION("""COMPUTED_VALUE"""),0)</f>
        <v>0</v>
      </c>
      <c r="BT301" s="24">
        <f ca="1">IFERROR(__xludf.DUMMYFUNCTION("""COMPUTED_VALUE"""),0)</f>
        <v>0</v>
      </c>
      <c r="BU301" s="20"/>
      <c r="BV301" s="24">
        <f ca="1">IFERROR(__xludf.DUMMYFUNCTION("""COMPUTED_VALUE"""),0)</f>
        <v>0</v>
      </c>
      <c r="BW301" s="24">
        <f ca="1">IFERROR(__xludf.DUMMYFUNCTION("""COMPUTED_VALUE"""),0)</f>
        <v>0</v>
      </c>
      <c r="BX301" s="24">
        <f ca="1">IFERROR(__xludf.DUMMYFUNCTION("""COMPUTED_VALUE"""),0)</f>
        <v>0</v>
      </c>
      <c r="BY301" s="24">
        <f ca="1">IFERROR(__xludf.DUMMYFUNCTION("""COMPUTED_VALUE"""),0)</f>
        <v>0</v>
      </c>
      <c r="BZ301" s="24">
        <f ca="1">IFERROR(__xludf.DUMMYFUNCTION("""COMPUTED_VALUE"""),0)</f>
        <v>0</v>
      </c>
      <c r="CA301" s="20"/>
      <c r="CB301" s="20"/>
      <c r="CC301" s="20"/>
      <c r="CD301" s="20"/>
      <c r="CE301" s="20"/>
      <c r="CF301" s="20"/>
      <c r="CG301" s="20"/>
      <c r="CH301" s="20"/>
      <c r="CI301" s="20"/>
      <c r="CJ301" s="20"/>
      <c r="CK301" s="20"/>
      <c r="CL301" s="20"/>
      <c r="CM301" s="20"/>
      <c r="CN301" s="20"/>
      <c r="CO301" s="20"/>
      <c r="CP301" s="20"/>
      <c r="CQ301" s="20"/>
      <c r="CR301" s="20"/>
      <c r="CS301" s="20"/>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row>
    <row r="302" spans="1:123" ht="64.5" customHeight="1" x14ac:dyDescent="0.2">
      <c r="A302" s="19"/>
      <c r="B302" s="20" t="str">
        <f ca="1">IFERROR(__xludf.DUMMYFUNCTION("""COMPUTED_VALUE"""),"г.о. Зарайск")</f>
        <v>г.о. Зарайск</v>
      </c>
      <c r="C30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2" s="20" t="str">
        <f ca="1">IFERROR(__xludf.DUMMYFUNCTION("""COMPUTED_VALUE"""),"МинЖКХ ""ТОП 5 (1 этап)""")</f>
        <v>МинЖКХ "ТОП 5 (1 этап)"</v>
      </c>
      <c r="E302" s="20" t="str">
        <f ca="1">IFERROR(__xludf.DUMMYFUNCTION("""COMPUTED_VALUE"""),"Строительство блочно-модульной котельной со снижением мощности в д. Ерново г.о. Зарайск (в т.ч. ПИР)")</f>
        <v>Строительство блочно-модульной котельной со снижением мощности в д. Ерново г.о. Зарайск (в т.ч. ПИР)</v>
      </c>
      <c r="F302" s="32" t="str">
        <f ca="1">IFERROR(__xludf.DUMMYFUNCTION("""COMPUTED_VALUE"""),"БМК")</f>
        <v>БМК</v>
      </c>
      <c r="G302" s="20">
        <f ca="1">IFERROR(__xludf.DUMMYFUNCTION("""COMPUTED_VALUE"""),2020)</f>
        <v>2020</v>
      </c>
      <c r="H302" s="20" t="str">
        <f ca="1">IFERROR(__xludf.DUMMYFUNCTION("""COMPUTED_VALUE"""),"СМР")</f>
        <v>СМР</v>
      </c>
      <c r="I302" s="20">
        <f ca="1">IFERROR(__xludf.DUMMYFUNCTION("""COMPUTED_VALUE"""),15)</f>
        <v>15</v>
      </c>
      <c r="J302" s="20" t="str">
        <f ca="1">IFERROR(__xludf.DUMMYFUNCTION("""COMPUTED_VALUE"""),"Фундамент залит. Ведутся земляные работы  до 15.11.2020. Горелки и котельная поставлены  на объект. ")</f>
        <v xml:space="preserve">Фундамент залит. Ведутся земляные работы  до 15.11.2020. Горелки и котельная поставлены  на объект. </v>
      </c>
      <c r="K302" s="20">
        <f ca="1">IFERROR(__xludf.DUMMYFUNCTION("""COMPUTED_VALUE"""),980)</f>
        <v>980</v>
      </c>
      <c r="L302" s="20">
        <f ca="1">IFERROR(__xludf.DUMMYFUNCTION("""COMPUTED_VALUE"""),980)</f>
        <v>980</v>
      </c>
      <c r="M302" s="20"/>
      <c r="N302" s="24">
        <f ca="1">IFERROR(__xludf.DUMMYFUNCTION("""COMPUTED_VALUE"""),10454.95)</f>
        <v>10454.950000000001</v>
      </c>
      <c r="O302" s="20"/>
      <c r="P302" s="24">
        <f ca="1">IFERROR(__xludf.DUMMYFUNCTION("""COMPUTED_VALUE"""),0)</f>
        <v>0</v>
      </c>
      <c r="Q302" s="20">
        <f ca="1">IFERROR(__xludf.DUMMYFUNCTION("""COMPUTED_VALUE"""),10454.95)</f>
        <v>10454.950000000001</v>
      </c>
      <c r="R302" s="20"/>
      <c r="S302" s="20"/>
      <c r="T302" s="20"/>
      <c r="U302" s="24">
        <f ca="1">IFERROR(__xludf.DUMMYFUNCTION("""COMPUTED_VALUE"""),1320.36)</f>
        <v>1320.36</v>
      </c>
      <c r="V302" s="24">
        <f ca="1">IFERROR(__xludf.DUMMYFUNCTION("""COMPUTED_VALUE"""),0)</f>
        <v>0</v>
      </c>
      <c r="W302" s="24">
        <f ca="1">IFERROR(__xludf.DUMMYFUNCTION("""COMPUTED_VALUE"""),0)</f>
        <v>0</v>
      </c>
      <c r="X302" s="24">
        <f ca="1">IFERROR(__xludf.DUMMYFUNCTION("""COMPUTED_VALUE"""),448.989999999999)</f>
        <v>448.98999999999899</v>
      </c>
      <c r="Y302" s="24">
        <f ca="1">IFERROR(__xludf.DUMMYFUNCTION("""COMPUTED_VALUE"""),871.37)</f>
        <v>871.37</v>
      </c>
      <c r="Z302" s="24">
        <f ca="1">IFERROR(__xludf.DUMMYFUNCTION("""COMPUTED_VALUE"""),0)</f>
        <v>0</v>
      </c>
      <c r="AA302" s="20" t="str">
        <f ca="1">IFERROR(__xludf.DUMMYFUNCTION("""COMPUTED_VALUE"""),"10 3 02 64080")</f>
        <v>10 3 02 64080</v>
      </c>
      <c r="AB302" s="20">
        <f ca="1">IFERROR(__xludf.DUMMYFUNCTION("""COMPUTED_VALUE"""),522)</f>
        <v>522</v>
      </c>
      <c r="AC302" s="20"/>
      <c r="AD302" s="20"/>
      <c r="AE302" s="20"/>
      <c r="AF302" s="24">
        <f ca="1">IFERROR(__xludf.DUMMYFUNCTION("""COMPUTED_VALUE"""),11775.31)</f>
        <v>11775.31</v>
      </c>
      <c r="AG302" s="24">
        <f ca="1">IFERROR(__xludf.DUMMYFUNCTION("""COMPUTED_VALUE"""),0)</f>
        <v>0</v>
      </c>
      <c r="AH302" s="24">
        <f ca="1">IFERROR(__xludf.DUMMYFUNCTION("""COMPUTED_VALUE"""),0)</f>
        <v>0</v>
      </c>
      <c r="AI302" s="24">
        <f ca="1">IFERROR(__xludf.DUMMYFUNCTION("""COMPUTED_VALUE"""),10903.94)</f>
        <v>10903.94</v>
      </c>
      <c r="AJ302" s="24">
        <f ca="1">IFERROR(__xludf.DUMMYFUNCTION("""COMPUTED_VALUE"""),871.37)</f>
        <v>871.37</v>
      </c>
      <c r="AK302" s="24">
        <f ca="1">IFERROR(__xludf.DUMMYFUNCTION("""COMPUTED_VALUE"""),0)</f>
        <v>0</v>
      </c>
      <c r="AL302" s="24">
        <f ca="1">IFERROR(__xludf.DUMMYFUNCTION("""COMPUTED_VALUE"""),0)</f>
        <v>0</v>
      </c>
      <c r="AM302" s="20"/>
      <c r="AN302" s="20"/>
      <c r="AO302" s="20"/>
      <c r="AP302" s="20"/>
      <c r="AQ302" s="20"/>
      <c r="AR302" s="24">
        <f ca="1">IFERROR(__xludf.DUMMYFUNCTION("""COMPUTED_VALUE"""),0)</f>
        <v>0</v>
      </c>
      <c r="AS302" s="20"/>
      <c r="AT302" s="20"/>
      <c r="AU302" s="20"/>
      <c r="AV302" s="20"/>
      <c r="AW302" s="20"/>
      <c r="AX302" s="24">
        <f ca="1">IFERROR(__xludf.DUMMYFUNCTION("""COMPUTED_VALUE"""),11775.31)</f>
        <v>11775.31</v>
      </c>
      <c r="AY302" s="24">
        <f ca="1">IFERROR(__xludf.DUMMYFUNCTION("""COMPUTED_VALUE"""),0)</f>
        <v>0</v>
      </c>
      <c r="AZ302" s="24">
        <f ca="1">IFERROR(__xludf.DUMMYFUNCTION("""COMPUTED_VALUE"""),0)</f>
        <v>0</v>
      </c>
      <c r="BA302" s="24">
        <f ca="1">IFERROR(__xludf.DUMMYFUNCTION("""COMPUTED_VALUE"""),10903.94)</f>
        <v>10903.94</v>
      </c>
      <c r="BB302" s="24">
        <f ca="1">IFERROR(__xludf.DUMMYFUNCTION("""COMPUTED_VALUE"""),871.37)</f>
        <v>871.37</v>
      </c>
      <c r="BC302" s="20"/>
      <c r="BD302" s="24">
        <f ca="1">IFERROR(__xludf.DUMMYFUNCTION("""COMPUTED_VALUE"""),0)</f>
        <v>0</v>
      </c>
      <c r="BE302" s="24">
        <f ca="1">IFERROR(__xludf.DUMMYFUNCTION("""COMPUTED_VALUE"""),0)</f>
        <v>0</v>
      </c>
      <c r="BF302" s="24">
        <f ca="1">IFERROR(__xludf.DUMMYFUNCTION("""COMPUTED_VALUE"""),0)</f>
        <v>0</v>
      </c>
      <c r="BG302" s="24">
        <f ca="1">IFERROR(__xludf.DUMMYFUNCTION("""COMPUTED_VALUE"""),0)</f>
        <v>0</v>
      </c>
      <c r="BH302" s="24">
        <f ca="1">IFERROR(__xludf.DUMMYFUNCTION("""COMPUTED_VALUE"""),0)</f>
        <v>0</v>
      </c>
      <c r="BI302" s="20"/>
      <c r="BJ302" s="24">
        <f ca="1">IFERROR(__xludf.DUMMYFUNCTION("""COMPUTED_VALUE"""),0)</f>
        <v>0</v>
      </c>
      <c r="BK302" s="24">
        <f ca="1">IFERROR(__xludf.DUMMYFUNCTION("""COMPUTED_VALUE"""),0)</f>
        <v>0</v>
      </c>
      <c r="BL302" s="24">
        <f ca="1">IFERROR(__xludf.DUMMYFUNCTION("""COMPUTED_VALUE"""),0)</f>
        <v>0</v>
      </c>
      <c r="BM302" s="24">
        <f ca="1">IFERROR(__xludf.DUMMYFUNCTION("""COMPUTED_VALUE"""),0)</f>
        <v>0</v>
      </c>
      <c r="BN302" s="24">
        <f ca="1">IFERROR(__xludf.DUMMYFUNCTION("""COMPUTED_VALUE"""),0)</f>
        <v>0</v>
      </c>
      <c r="BO302" s="20"/>
      <c r="BP302" s="24">
        <f ca="1">IFERROR(__xludf.DUMMYFUNCTION("""COMPUTED_VALUE"""),0)</f>
        <v>0</v>
      </c>
      <c r="BQ302" s="24">
        <f ca="1">IFERROR(__xludf.DUMMYFUNCTION("""COMPUTED_VALUE"""),0)</f>
        <v>0</v>
      </c>
      <c r="BR302" s="24">
        <f ca="1">IFERROR(__xludf.DUMMYFUNCTION("""COMPUTED_VALUE"""),0)</f>
        <v>0</v>
      </c>
      <c r="BS302" s="24">
        <f ca="1">IFERROR(__xludf.DUMMYFUNCTION("""COMPUTED_VALUE"""),0)</f>
        <v>0</v>
      </c>
      <c r="BT302" s="24">
        <f ca="1">IFERROR(__xludf.DUMMYFUNCTION("""COMPUTED_VALUE"""),0)</f>
        <v>0</v>
      </c>
      <c r="BU302" s="20"/>
      <c r="BV302" s="24">
        <f ca="1">IFERROR(__xludf.DUMMYFUNCTION("""COMPUTED_VALUE"""),0)</f>
        <v>0</v>
      </c>
      <c r="BW302" s="24">
        <f ca="1">IFERROR(__xludf.DUMMYFUNCTION("""COMPUTED_VALUE"""),0)</f>
        <v>0</v>
      </c>
      <c r="BX302" s="24">
        <f ca="1">IFERROR(__xludf.DUMMYFUNCTION("""COMPUTED_VALUE"""),0)</f>
        <v>0</v>
      </c>
      <c r="BY302" s="24">
        <f ca="1">IFERROR(__xludf.DUMMYFUNCTION("""COMPUTED_VALUE"""),0)</f>
        <v>0</v>
      </c>
      <c r="BZ302" s="24">
        <f ca="1">IFERROR(__xludf.DUMMYFUNCTION("""COMPUTED_VALUE"""),0)</f>
        <v>0</v>
      </c>
      <c r="CA302" s="20"/>
      <c r="CB302" s="20"/>
      <c r="CC302" s="20"/>
      <c r="CD302" s="20"/>
      <c r="CE302" s="20"/>
      <c r="CF302" s="20"/>
      <c r="CG302" s="20"/>
      <c r="CH302" s="20"/>
      <c r="CI302" s="20"/>
      <c r="CJ302" s="20"/>
      <c r="CK302" s="25">
        <f ca="1">IFERROR(__xludf.DUMMYFUNCTION("""COMPUTED_VALUE"""),44125)</f>
        <v>44125</v>
      </c>
      <c r="CL302" s="20" t="str">
        <f ca="1">IFERROR(__xludf.DUMMYFUNCTION("""COMPUTED_VALUE"""),"50-1-1-3-1653-20")</f>
        <v>50-1-1-3-1653-20</v>
      </c>
      <c r="CM302" s="20"/>
      <c r="CN302" s="20"/>
      <c r="CO302" s="20"/>
      <c r="CP302" s="20"/>
      <c r="CQ302" s="20"/>
      <c r="CR302" s="20"/>
      <c r="CS302" s="20"/>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row>
    <row r="303" spans="1:123" ht="64.5" customHeight="1" x14ac:dyDescent="0.2">
      <c r="A303" s="19"/>
      <c r="B303" s="20" t="str">
        <f ca="1">IFERROR(__xludf.DUMMYFUNCTION("""COMPUTED_VALUE"""),"г.о. Зарайск")</f>
        <v>г.о. Зарайск</v>
      </c>
      <c r="C30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3" s="20" t="str">
        <f ca="1">IFERROR(__xludf.DUMMYFUNCTION("""COMPUTED_VALUE"""),"МинЖКХ ""ТОП 5 (1 этап)""")</f>
        <v>МинЖКХ "ТОП 5 (1 этап)"</v>
      </c>
      <c r="E303" s="20" t="str">
        <f ca="1">IFERROR(__xludf.DUMMYFUNCTION("""COMPUTED_VALUE"""),"Строительство блочно-модульной котельной со снижением мощности в д. Летуново  г.о. Зарайск (в т.ч. ПИР)")</f>
        <v>Строительство блочно-модульной котельной со снижением мощности в д. Летуново  г.о. Зарайск (в т.ч. ПИР)</v>
      </c>
      <c r="F303" s="32" t="str">
        <f ca="1">IFERROR(__xludf.DUMMYFUNCTION("""COMPUTED_VALUE"""),"БМК")</f>
        <v>БМК</v>
      </c>
      <c r="G303" s="20" t="str">
        <f ca="1">IFERROR(__xludf.DUMMYFUNCTION("""COMPUTED_VALUE"""),"2020-2021")</f>
        <v>2020-2021</v>
      </c>
      <c r="H303" s="20" t="str">
        <f ca="1">IFERROR(__xludf.DUMMYFUNCTION("""COMPUTED_VALUE"""),"ПИР ")</f>
        <v xml:space="preserve">ПИР </v>
      </c>
      <c r="I303" s="20"/>
      <c r="J303" s="20"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K303" s="20">
        <f ca="1">IFERROR(__xludf.DUMMYFUNCTION("""COMPUTED_VALUE"""),400)</f>
        <v>400</v>
      </c>
      <c r="L303" s="20">
        <f ca="1">IFERROR(__xludf.DUMMYFUNCTION("""COMPUTED_VALUE"""),400)</f>
        <v>400</v>
      </c>
      <c r="M303" s="20"/>
      <c r="N303" s="24">
        <f ca="1">IFERROR(__xludf.DUMMYFUNCTION("""COMPUTED_VALUE"""),0)</f>
        <v>0</v>
      </c>
      <c r="O303" s="20"/>
      <c r="P303" s="24">
        <f ca="1">IFERROR(__xludf.DUMMYFUNCTION("""COMPUTED_VALUE"""),0)</f>
        <v>0</v>
      </c>
      <c r="Q303" s="20"/>
      <c r="R303" s="20"/>
      <c r="S303" s="20"/>
      <c r="T303" s="20"/>
      <c r="U303" s="24">
        <f ca="1">IFERROR(__xludf.DUMMYFUNCTION("""COMPUTED_VALUE"""),2500)</f>
        <v>2500</v>
      </c>
      <c r="V303" s="24">
        <f ca="1">IFERROR(__xludf.DUMMYFUNCTION("""COMPUTED_VALUE"""),0)</f>
        <v>0</v>
      </c>
      <c r="W303" s="24">
        <f ca="1">IFERROR(__xludf.DUMMYFUNCTION("""COMPUTED_VALUE"""),0)</f>
        <v>0</v>
      </c>
      <c r="X303" s="24">
        <f ca="1">IFERROR(__xludf.DUMMYFUNCTION("""COMPUTED_VALUE"""),2315)</f>
        <v>2315</v>
      </c>
      <c r="Y303" s="24">
        <f ca="1">IFERROR(__xludf.DUMMYFUNCTION("""COMPUTED_VALUE"""),185)</f>
        <v>185</v>
      </c>
      <c r="Z303" s="24">
        <f ca="1">IFERROR(__xludf.DUMMYFUNCTION("""COMPUTED_VALUE"""),0)</f>
        <v>0</v>
      </c>
      <c r="AA303" s="20" t="str">
        <f ca="1">IFERROR(__xludf.DUMMYFUNCTION("""COMPUTED_VALUE"""),"10 3 02 64080")</f>
        <v>10 3 02 64080</v>
      </c>
      <c r="AB303" s="20">
        <f ca="1">IFERROR(__xludf.DUMMYFUNCTION("""COMPUTED_VALUE"""),522)</f>
        <v>522</v>
      </c>
      <c r="AC303" s="20"/>
      <c r="AD303" s="20"/>
      <c r="AE303" s="20"/>
      <c r="AF303" s="24">
        <f ca="1">IFERROR(__xludf.DUMMYFUNCTION("""COMPUTED_VALUE"""),8481.51)</f>
        <v>8481.51</v>
      </c>
      <c r="AG303" s="24">
        <f ca="1">IFERROR(__xludf.DUMMYFUNCTION("""COMPUTED_VALUE"""),0)</f>
        <v>0</v>
      </c>
      <c r="AH303" s="24">
        <f ca="1">IFERROR(__xludf.DUMMYFUNCTION("""COMPUTED_VALUE"""),0)</f>
        <v>0</v>
      </c>
      <c r="AI303" s="24">
        <f ca="1">IFERROR(__xludf.DUMMYFUNCTION("""COMPUTED_VALUE"""),7853.88)</f>
        <v>7853.88</v>
      </c>
      <c r="AJ303" s="24">
        <f ca="1">IFERROR(__xludf.DUMMYFUNCTION("""COMPUTED_VALUE"""),627.63)</f>
        <v>627.63</v>
      </c>
      <c r="AK303" s="24">
        <f ca="1">IFERROR(__xludf.DUMMYFUNCTION("""COMPUTED_VALUE"""),0)</f>
        <v>0</v>
      </c>
      <c r="AL303" s="24">
        <f ca="1">IFERROR(__xludf.DUMMYFUNCTION("""COMPUTED_VALUE"""),0)</f>
        <v>0</v>
      </c>
      <c r="AM303" s="20"/>
      <c r="AN303" s="20"/>
      <c r="AO303" s="20"/>
      <c r="AP303" s="20"/>
      <c r="AQ303" s="20"/>
      <c r="AR303" s="24">
        <f ca="1">IFERROR(__xludf.DUMMYFUNCTION("""COMPUTED_VALUE"""),0)</f>
        <v>0</v>
      </c>
      <c r="AS303" s="20"/>
      <c r="AT303" s="20"/>
      <c r="AU303" s="20"/>
      <c r="AV303" s="20"/>
      <c r="AW303" s="20"/>
      <c r="AX303" s="24">
        <f ca="1">IFERROR(__xludf.DUMMYFUNCTION("""COMPUTED_VALUE"""),2500)</f>
        <v>2500</v>
      </c>
      <c r="AY303" s="24">
        <f ca="1">IFERROR(__xludf.DUMMYFUNCTION("""COMPUTED_VALUE"""),0)</f>
        <v>0</v>
      </c>
      <c r="AZ303" s="24">
        <f ca="1">IFERROR(__xludf.DUMMYFUNCTION("""COMPUTED_VALUE"""),0)</f>
        <v>0</v>
      </c>
      <c r="BA303" s="24">
        <f ca="1">IFERROR(__xludf.DUMMYFUNCTION("""COMPUTED_VALUE"""),2315)</f>
        <v>2315</v>
      </c>
      <c r="BB303" s="24">
        <f ca="1">IFERROR(__xludf.DUMMYFUNCTION("""COMPUTED_VALUE"""),185)</f>
        <v>185</v>
      </c>
      <c r="BC303" s="20"/>
      <c r="BD303" s="24">
        <f ca="1">IFERROR(__xludf.DUMMYFUNCTION("""COMPUTED_VALUE"""),5981.51)</f>
        <v>5981.51</v>
      </c>
      <c r="BE303" s="24">
        <f ca="1">IFERROR(__xludf.DUMMYFUNCTION("""COMPUTED_VALUE"""),0)</f>
        <v>0</v>
      </c>
      <c r="BF303" s="24">
        <f ca="1">IFERROR(__xludf.DUMMYFUNCTION("""COMPUTED_VALUE"""),0)</f>
        <v>0</v>
      </c>
      <c r="BG303" s="24">
        <f ca="1">IFERROR(__xludf.DUMMYFUNCTION("""COMPUTED_VALUE"""),5538.88)</f>
        <v>5538.88</v>
      </c>
      <c r="BH303" s="24">
        <f ca="1">IFERROR(__xludf.DUMMYFUNCTION("""COMPUTED_VALUE"""),442.63)</f>
        <v>442.63</v>
      </c>
      <c r="BI303" s="20"/>
      <c r="BJ303" s="24">
        <f ca="1">IFERROR(__xludf.DUMMYFUNCTION("""COMPUTED_VALUE"""),0)</f>
        <v>0</v>
      </c>
      <c r="BK303" s="24">
        <f ca="1">IFERROR(__xludf.DUMMYFUNCTION("""COMPUTED_VALUE"""),0)</f>
        <v>0</v>
      </c>
      <c r="BL303" s="24">
        <f ca="1">IFERROR(__xludf.DUMMYFUNCTION("""COMPUTED_VALUE"""),0)</f>
        <v>0</v>
      </c>
      <c r="BM303" s="24">
        <f ca="1">IFERROR(__xludf.DUMMYFUNCTION("""COMPUTED_VALUE"""),0)</f>
        <v>0</v>
      </c>
      <c r="BN303" s="24">
        <f ca="1">IFERROR(__xludf.DUMMYFUNCTION("""COMPUTED_VALUE"""),0)</f>
        <v>0</v>
      </c>
      <c r="BO303" s="20"/>
      <c r="BP303" s="24">
        <f ca="1">IFERROR(__xludf.DUMMYFUNCTION("""COMPUTED_VALUE"""),0)</f>
        <v>0</v>
      </c>
      <c r="BQ303" s="24">
        <f ca="1">IFERROR(__xludf.DUMMYFUNCTION("""COMPUTED_VALUE"""),0)</f>
        <v>0</v>
      </c>
      <c r="BR303" s="24">
        <f ca="1">IFERROR(__xludf.DUMMYFUNCTION("""COMPUTED_VALUE"""),0)</f>
        <v>0</v>
      </c>
      <c r="BS303" s="24">
        <f ca="1">IFERROR(__xludf.DUMMYFUNCTION("""COMPUTED_VALUE"""),0)</f>
        <v>0</v>
      </c>
      <c r="BT303" s="24">
        <f ca="1">IFERROR(__xludf.DUMMYFUNCTION("""COMPUTED_VALUE"""),0)</f>
        <v>0</v>
      </c>
      <c r="BU303" s="20"/>
      <c r="BV303" s="24">
        <f ca="1">IFERROR(__xludf.DUMMYFUNCTION("""COMPUTED_VALUE"""),0)</f>
        <v>0</v>
      </c>
      <c r="BW303" s="24">
        <f ca="1">IFERROR(__xludf.DUMMYFUNCTION("""COMPUTED_VALUE"""),0)</f>
        <v>0</v>
      </c>
      <c r="BX303" s="24">
        <f ca="1">IFERROR(__xludf.DUMMYFUNCTION("""COMPUTED_VALUE"""),0)</f>
        <v>0</v>
      </c>
      <c r="BY303" s="24">
        <f ca="1">IFERROR(__xludf.DUMMYFUNCTION("""COMPUTED_VALUE"""),0)</f>
        <v>0</v>
      </c>
      <c r="BZ303" s="24">
        <f ca="1">IFERROR(__xludf.DUMMYFUNCTION("""COMPUTED_VALUE"""),0)</f>
        <v>0</v>
      </c>
      <c r="CA303" s="20"/>
      <c r="CB303" s="20"/>
      <c r="CC303" s="20"/>
      <c r="CD303" s="20"/>
      <c r="CE303" s="20"/>
      <c r="CF303" s="20"/>
      <c r="CG303" s="20"/>
      <c r="CH303" s="20"/>
      <c r="CI303" s="20"/>
      <c r="CJ303" s="20"/>
      <c r="CK303" s="20"/>
      <c r="CL303" s="20"/>
      <c r="CM303" s="20"/>
      <c r="CN303" s="20"/>
      <c r="CO303" s="20"/>
      <c r="CP303" s="20"/>
      <c r="CQ303" s="20"/>
      <c r="CR303" s="20"/>
      <c r="CS303" s="20"/>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row>
    <row r="304" spans="1:123" ht="64.5" customHeight="1" x14ac:dyDescent="0.2">
      <c r="A304" s="19"/>
      <c r="B304" s="20" t="str">
        <f ca="1">IFERROR(__xludf.DUMMYFUNCTION("""COMPUTED_VALUE"""),"г.о. Зарайск")</f>
        <v>г.о. Зарайск</v>
      </c>
      <c r="C30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4" s="20" t="str">
        <f ca="1">IFERROR(__xludf.DUMMYFUNCTION("""COMPUTED_VALUE"""),"МинЖКХ ""ТОП 5 (1 этап)""")</f>
        <v>МинЖКХ "ТОП 5 (1 этап)"</v>
      </c>
      <c r="E304" s="20" t="str">
        <f ca="1">IFERROR(__xludf.DUMMYFUNCTION("""COMPUTED_VALUE"""),"Строительство блочно-модульной котельной со снижением мощности в д. Мендюкино, г.о. Зарайск (в т.ч. ПИР) ")</f>
        <v xml:space="preserve">Строительство блочно-модульной котельной со снижением мощности в д. Мендюкино, г.о. Зарайск (в т.ч. ПИР) </v>
      </c>
      <c r="F304" s="32" t="str">
        <f ca="1">IFERROR(__xludf.DUMMYFUNCTION("""COMPUTED_VALUE"""),"БМК")</f>
        <v>БМК</v>
      </c>
      <c r="G304" s="20" t="str">
        <f ca="1">IFERROR(__xludf.DUMMYFUNCTION("""COMPUTED_VALUE"""),"2020-2021")</f>
        <v>2020-2021</v>
      </c>
      <c r="H304" s="20" t="str">
        <f ca="1">IFERROR(__xludf.DUMMYFUNCTION("""COMPUTED_VALUE"""),"ПИР ")</f>
        <v xml:space="preserve">ПИР </v>
      </c>
      <c r="I304" s="20"/>
      <c r="J304" s="20" t="str">
        <f ca="1">IFERROR(__xludf.DUMMYFUNCTION("""COMPUTED_VALUE"""),"На стадии ПИР. Предварительная дата выхода 30.12.2020. Проблема с ГПЗУ. Риск не совоения лимитов в 2020 году.")</f>
        <v>На стадии ПИР. Предварительная дата выхода 30.12.2020. Проблема с ГПЗУ. Риск не совоения лимитов в 2020 году.</v>
      </c>
      <c r="K304" s="20">
        <f ca="1">IFERROR(__xludf.DUMMYFUNCTION("""COMPUTED_VALUE"""),950)</f>
        <v>950</v>
      </c>
      <c r="L304" s="20">
        <f ca="1">IFERROR(__xludf.DUMMYFUNCTION("""COMPUTED_VALUE"""),950)</f>
        <v>950</v>
      </c>
      <c r="M304" s="20"/>
      <c r="N304" s="24">
        <f ca="1">IFERROR(__xludf.DUMMYFUNCTION("""COMPUTED_VALUE"""),0)</f>
        <v>0</v>
      </c>
      <c r="O304" s="20"/>
      <c r="P304" s="24">
        <f ca="1">IFERROR(__xludf.DUMMYFUNCTION("""COMPUTED_VALUE"""),0)</f>
        <v>0</v>
      </c>
      <c r="Q304" s="20"/>
      <c r="R304" s="20"/>
      <c r="S304" s="20"/>
      <c r="T304" s="20"/>
      <c r="U304" s="24">
        <f ca="1">IFERROR(__xludf.DUMMYFUNCTION("""COMPUTED_VALUE"""),1900)</f>
        <v>1900</v>
      </c>
      <c r="V304" s="24">
        <f ca="1">IFERROR(__xludf.DUMMYFUNCTION("""COMPUTED_VALUE"""),0)</f>
        <v>0</v>
      </c>
      <c r="W304" s="24">
        <f ca="1">IFERROR(__xludf.DUMMYFUNCTION("""COMPUTED_VALUE"""),0)</f>
        <v>0</v>
      </c>
      <c r="X304" s="24">
        <f ca="1">IFERROR(__xludf.DUMMYFUNCTION("""COMPUTED_VALUE"""),1759.4)</f>
        <v>1759.4</v>
      </c>
      <c r="Y304" s="24">
        <f ca="1">IFERROR(__xludf.DUMMYFUNCTION("""COMPUTED_VALUE"""),140.6)</f>
        <v>140.6</v>
      </c>
      <c r="Z304" s="24">
        <f ca="1">IFERROR(__xludf.DUMMYFUNCTION("""COMPUTED_VALUE"""),0)</f>
        <v>0</v>
      </c>
      <c r="AA304" s="20" t="str">
        <f ca="1">IFERROR(__xludf.DUMMYFUNCTION("""COMPUTED_VALUE"""),"10 3 02 64080")</f>
        <v>10 3 02 64080</v>
      </c>
      <c r="AB304" s="20">
        <f ca="1">IFERROR(__xludf.DUMMYFUNCTION("""COMPUTED_VALUE"""),522)</f>
        <v>522</v>
      </c>
      <c r="AC304" s="20"/>
      <c r="AD304" s="20"/>
      <c r="AE304" s="20"/>
      <c r="AF304" s="24">
        <f ca="1">IFERROR(__xludf.DUMMYFUNCTION("""COMPUTED_VALUE"""),16722.01)</f>
        <v>16722.009999999998</v>
      </c>
      <c r="AG304" s="24">
        <f ca="1">IFERROR(__xludf.DUMMYFUNCTION("""COMPUTED_VALUE"""),0)</f>
        <v>0</v>
      </c>
      <c r="AH304" s="24">
        <f ca="1">IFERROR(__xludf.DUMMYFUNCTION("""COMPUTED_VALUE"""),0)</f>
        <v>0</v>
      </c>
      <c r="AI304" s="24">
        <f ca="1">IFERROR(__xludf.DUMMYFUNCTION("""COMPUTED_VALUE"""),15484.58)</f>
        <v>15484.58</v>
      </c>
      <c r="AJ304" s="24">
        <f ca="1">IFERROR(__xludf.DUMMYFUNCTION("""COMPUTED_VALUE"""),1237.42999999999)</f>
        <v>1237.4299999999901</v>
      </c>
      <c r="AK304" s="24">
        <f ca="1">IFERROR(__xludf.DUMMYFUNCTION("""COMPUTED_VALUE"""),0)</f>
        <v>0</v>
      </c>
      <c r="AL304" s="24">
        <f ca="1">IFERROR(__xludf.DUMMYFUNCTION("""COMPUTED_VALUE"""),0)</f>
        <v>0</v>
      </c>
      <c r="AM304" s="20"/>
      <c r="AN304" s="20"/>
      <c r="AO304" s="20"/>
      <c r="AP304" s="20"/>
      <c r="AQ304" s="20"/>
      <c r="AR304" s="24">
        <f ca="1">IFERROR(__xludf.DUMMYFUNCTION("""COMPUTED_VALUE"""),0)</f>
        <v>0</v>
      </c>
      <c r="AS304" s="20"/>
      <c r="AT304" s="20"/>
      <c r="AU304" s="20"/>
      <c r="AV304" s="20"/>
      <c r="AW304" s="20"/>
      <c r="AX304" s="24">
        <f ca="1">IFERROR(__xludf.DUMMYFUNCTION("""COMPUTED_VALUE"""),1900)</f>
        <v>1900</v>
      </c>
      <c r="AY304" s="24">
        <f ca="1">IFERROR(__xludf.DUMMYFUNCTION("""COMPUTED_VALUE"""),0)</f>
        <v>0</v>
      </c>
      <c r="AZ304" s="24">
        <f ca="1">IFERROR(__xludf.DUMMYFUNCTION("""COMPUTED_VALUE"""),0)</f>
        <v>0</v>
      </c>
      <c r="BA304" s="24">
        <f ca="1">IFERROR(__xludf.DUMMYFUNCTION("""COMPUTED_VALUE"""),1759.4)</f>
        <v>1759.4</v>
      </c>
      <c r="BB304" s="24">
        <f ca="1">IFERROR(__xludf.DUMMYFUNCTION("""COMPUTED_VALUE"""),140.6)</f>
        <v>140.6</v>
      </c>
      <c r="BC304" s="20"/>
      <c r="BD304" s="24">
        <f ca="1">IFERROR(__xludf.DUMMYFUNCTION("""COMPUTED_VALUE"""),14822.01)</f>
        <v>14822.01</v>
      </c>
      <c r="BE304" s="24">
        <f ca="1">IFERROR(__xludf.DUMMYFUNCTION("""COMPUTED_VALUE"""),0)</f>
        <v>0</v>
      </c>
      <c r="BF304" s="24">
        <f ca="1">IFERROR(__xludf.DUMMYFUNCTION("""COMPUTED_VALUE"""),0)</f>
        <v>0</v>
      </c>
      <c r="BG304" s="24">
        <f ca="1">IFERROR(__xludf.DUMMYFUNCTION("""COMPUTED_VALUE"""),13725.18)</f>
        <v>13725.18</v>
      </c>
      <c r="BH304" s="24">
        <f ca="1">IFERROR(__xludf.DUMMYFUNCTION("""COMPUTED_VALUE"""),1096.83)</f>
        <v>1096.83</v>
      </c>
      <c r="BI304" s="20"/>
      <c r="BJ304" s="24">
        <f ca="1">IFERROR(__xludf.DUMMYFUNCTION("""COMPUTED_VALUE"""),0)</f>
        <v>0</v>
      </c>
      <c r="BK304" s="24">
        <f ca="1">IFERROR(__xludf.DUMMYFUNCTION("""COMPUTED_VALUE"""),0)</f>
        <v>0</v>
      </c>
      <c r="BL304" s="24">
        <f ca="1">IFERROR(__xludf.DUMMYFUNCTION("""COMPUTED_VALUE"""),0)</f>
        <v>0</v>
      </c>
      <c r="BM304" s="24">
        <f ca="1">IFERROR(__xludf.DUMMYFUNCTION("""COMPUTED_VALUE"""),0)</f>
        <v>0</v>
      </c>
      <c r="BN304" s="24">
        <f ca="1">IFERROR(__xludf.DUMMYFUNCTION("""COMPUTED_VALUE"""),0)</f>
        <v>0</v>
      </c>
      <c r="BO304" s="20"/>
      <c r="BP304" s="24">
        <f ca="1">IFERROR(__xludf.DUMMYFUNCTION("""COMPUTED_VALUE"""),0)</f>
        <v>0</v>
      </c>
      <c r="BQ304" s="24">
        <f ca="1">IFERROR(__xludf.DUMMYFUNCTION("""COMPUTED_VALUE"""),0)</f>
        <v>0</v>
      </c>
      <c r="BR304" s="24">
        <f ca="1">IFERROR(__xludf.DUMMYFUNCTION("""COMPUTED_VALUE"""),0)</f>
        <v>0</v>
      </c>
      <c r="BS304" s="24">
        <f ca="1">IFERROR(__xludf.DUMMYFUNCTION("""COMPUTED_VALUE"""),0)</f>
        <v>0</v>
      </c>
      <c r="BT304" s="24">
        <f ca="1">IFERROR(__xludf.DUMMYFUNCTION("""COMPUTED_VALUE"""),0)</f>
        <v>0</v>
      </c>
      <c r="BU304" s="20"/>
      <c r="BV304" s="24">
        <f ca="1">IFERROR(__xludf.DUMMYFUNCTION("""COMPUTED_VALUE"""),0)</f>
        <v>0</v>
      </c>
      <c r="BW304" s="24">
        <f ca="1">IFERROR(__xludf.DUMMYFUNCTION("""COMPUTED_VALUE"""),0)</f>
        <v>0</v>
      </c>
      <c r="BX304" s="24">
        <f ca="1">IFERROR(__xludf.DUMMYFUNCTION("""COMPUTED_VALUE"""),0)</f>
        <v>0</v>
      </c>
      <c r="BY304" s="24">
        <f ca="1">IFERROR(__xludf.DUMMYFUNCTION("""COMPUTED_VALUE"""),0)</f>
        <v>0</v>
      </c>
      <c r="BZ304" s="24">
        <f ca="1">IFERROR(__xludf.DUMMYFUNCTION("""COMPUTED_VALUE"""),0)</f>
        <v>0</v>
      </c>
      <c r="CA304" s="20"/>
      <c r="CB304" s="20"/>
      <c r="CC304" s="20"/>
      <c r="CD304" s="20"/>
      <c r="CE304" s="20"/>
      <c r="CF304" s="20"/>
      <c r="CG304" s="20"/>
      <c r="CH304" s="20"/>
      <c r="CI304" s="20"/>
      <c r="CJ304" s="20"/>
      <c r="CK304" s="20"/>
      <c r="CL304" s="20"/>
      <c r="CM304" s="20"/>
      <c r="CN304" s="20"/>
      <c r="CO304" s="20"/>
      <c r="CP304" s="20"/>
      <c r="CQ304" s="20"/>
      <c r="CR304" s="20"/>
      <c r="CS304" s="20"/>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row>
    <row r="305" spans="1:123" ht="64.5" customHeight="1" x14ac:dyDescent="0.2">
      <c r="A305" s="19"/>
      <c r="B305" s="20" t="str">
        <f ca="1">IFERROR(__xludf.DUMMYFUNCTION("""COMPUTED_VALUE"""),"г.о. Зарайск")</f>
        <v>г.о. Зарайск</v>
      </c>
      <c r="C30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5" s="20" t="str">
        <f ca="1">IFERROR(__xludf.DUMMYFUNCTION("""COMPUTED_VALUE"""),"МинЖКХ ""ТОП 5 (1 этап)""")</f>
        <v>МинЖКХ "ТОП 5 (1 этап)"</v>
      </c>
      <c r="E305" s="20" t="str">
        <f ca="1">IFERROR(__xludf.DUMMYFUNCTION("""COMPUTED_VALUE"""),"Строительство блочно-модульной котельной со снижением мощности в д. Протекино, г.о. Зарайск (в т.ч. ПИР) ")</f>
        <v xml:space="preserve">Строительство блочно-модульной котельной со снижением мощности в д. Протекино, г.о. Зарайск (в т.ч. ПИР) </v>
      </c>
      <c r="F305" s="32" t="str">
        <f ca="1">IFERROR(__xludf.DUMMYFUNCTION("""COMPUTED_VALUE"""),"БМК")</f>
        <v>БМК</v>
      </c>
      <c r="G305" s="20" t="str">
        <f ca="1">IFERROR(__xludf.DUMMYFUNCTION("""COMPUTED_VALUE"""),"2020-2021")</f>
        <v>2020-2021</v>
      </c>
      <c r="H305" s="20" t="str">
        <f ca="1">IFERROR(__xludf.DUMMYFUNCTION("""COMPUTED_VALUE"""),"ПИР ")</f>
        <v xml:space="preserve">ПИР </v>
      </c>
      <c r="I305" s="20"/>
      <c r="J305" s="20"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K305" s="20">
        <f ca="1">IFERROR(__xludf.DUMMYFUNCTION("""COMPUTED_VALUE"""),490)</f>
        <v>490</v>
      </c>
      <c r="L305" s="20">
        <f ca="1">IFERROR(__xludf.DUMMYFUNCTION("""COMPUTED_VALUE"""),490)</f>
        <v>490</v>
      </c>
      <c r="M305" s="20"/>
      <c r="N305" s="24">
        <f ca="1">IFERROR(__xludf.DUMMYFUNCTION("""COMPUTED_VALUE"""),0)</f>
        <v>0</v>
      </c>
      <c r="O305" s="20"/>
      <c r="P305" s="24">
        <f ca="1">IFERROR(__xludf.DUMMYFUNCTION("""COMPUTED_VALUE"""),0)</f>
        <v>0</v>
      </c>
      <c r="Q305" s="20"/>
      <c r="R305" s="20"/>
      <c r="S305" s="20"/>
      <c r="T305" s="20"/>
      <c r="U305" s="24">
        <f ca="1">IFERROR(__xludf.DUMMYFUNCTION("""COMPUTED_VALUE"""),1900)</f>
        <v>1900</v>
      </c>
      <c r="V305" s="24">
        <f ca="1">IFERROR(__xludf.DUMMYFUNCTION("""COMPUTED_VALUE"""),0)</f>
        <v>0</v>
      </c>
      <c r="W305" s="24">
        <f ca="1">IFERROR(__xludf.DUMMYFUNCTION("""COMPUTED_VALUE"""),0)</f>
        <v>0</v>
      </c>
      <c r="X305" s="24">
        <f ca="1">IFERROR(__xludf.DUMMYFUNCTION("""COMPUTED_VALUE"""),1759.4)</f>
        <v>1759.4</v>
      </c>
      <c r="Y305" s="24">
        <f ca="1">IFERROR(__xludf.DUMMYFUNCTION("""COMPUTED_VALUE"""),140.6)</f>
        <v>140.6</v>
      </c>
      <c r="Z305" s="24">
        <f ca="1">IFERROR(__xludf.DUMMYFUNCTION("""COMPUTED_VALUE"""),0)</f>
        <v>0</v>
      </c>
      <c r="AA305" s="20" t="str">
        <f ca="1">IFERROR(__xludf.DUMMYFUNCTION("""COMPUTED_VALUE"""),"10 3 02 64080")</f>
        <v>10 3 02 64080</v>
      </c>
      <c r="AB305" s="20">
        <f ca="1">IFERROR(__xludf.DUMMYFUNCTION("""COMPUTED_VALUE"""),522)</f>
        <v>522</v>
      </c>
      <c r="AC305" s="20"/>
      <c r="AD305" s="20"/>
      <c r="AE305" s="20"/>
      <c r="AF305" s="24">
        <f ca="1">IFERROR(__xludf.DUMMYFUNCTION("""COMPUTED_VALUE"""),10390.51)</f>
        <v>10390.51</v>
      </c>
      <c r="AG305" s="24">
        <f ca="1">IFERROR(__xludf.DUMMYFUNCTION("""COMPUTED_VALUE"""),0)</f>
        <v>0</v>
      </c>
      <c r="AH305" s="24">
        <f ca="1">IFERROR(__xludf.DUMMYFUNCTION("""COMPUTED_VALUE"""),0)</f>
        <v>0</v>
      </c>
      <c r="AI305" s="24">
        <f ca="1">IFERROR(__xludf.DUMMYFUNCTION("""COMPUTED_VALUE"""),9621.61)</f>
        <v>9621.61</v>
      </c>
      <c r="AJ305" s="24">
        <f ca="1">IFERROR(__xludf.DUMMYFUNCTION("""COMPUTED_VALUE"""),768.9)</f>
        <v>768.9</v>
      </c>
      <c r="AK305" s="24">
        <f ca="1">IFERROR(__xludf.DUMMYFUNCTION("""COMPUTED_VALUE"""),0)</f>
        <v>0</v>
      </c>
      <c r="AL305" s="24">
        <f ca="1">IFERROR(__xludf.DUMMYFUNCTION("""COMPUTED_VALUE"""),0)</f>
        <v>0</v>
      </c>
      <c r="AM305" s="20"/>
      <c r="AN305" s="20"/>
      <c r="AO305" s="20"/>
      <c r="AP305" s="20"/>
      <c r="AQ305" s="20"/>
      <c r="AR305" s="24">
        <f ca="1">IFERROR(__xludf.DUMMYFUNCTION("""COMPUTED_VALUE"""),0)</f>
        <v>0</v>
      </c>
      <c r="AS305" s="20"/>
      <c r="AT305" s="20"/>
      <c r="AU305" s="20"/>
      <c r="AV305" s="20"/>
      <c r="AW305" s="20"/>
      <c r="AX305" s="24">
        <f ca="1">IFERROR(__xludf.DUMMYFUNCTION("""COMPUTED_VALUE"""),1900)</f>
        <v>1900</v>
      </c>
      <c r="AY305" s="24">
        <f ca="1">IFERROR(__xludf.DUMMYFUNCTION("""COMPUTED_VALUE"""),0)</f>
        <v>0</v>
      </c>
      <c r="AZ305" s="24">
        <f ca="1">IFERROR(__xludf.DUMMYFUNCTION("""COMPUTED_VALUE"""),0)</f>
        <v>0</v>
      </c>
      <c r="BA305" s="24">
        <f ca="1">IFERROR(__xludf.DUMMYFUNCTION("""COMPUTED_VALUE"""),1759.4)</f>
        <v>1759.4</v>
      </c>
      <c r="BB305" s="24">
        <f ca="1">IFERROR(__xludf.DUMMYFUNCTION("""COMPUTED_VALUE"""),140.6)</f>
        <v>140.6</v>
      </c>
      <c r="BC305" s="20"/>
      <c r="BD305" s="24">
        <f ca="1">IFERROR(__xludf.DUMMYFUNCTION("""COMPUTED_VALUE"""),8490.51)</f>
        <v>8490.51</v>
      </c>
      <c r="BE305" s="24">
        <f ca="1">IFERROR(__xludf.DUMMYFUNCTION("""COMPUTED_VALUE"""),0)</f>
        <v>0</v>
      </c>
      <c r="BF305" s="24">
        <f ca="1">IFERROR(__xludf.DUMMYFUNCTION("""COMPUTED_VALUE"""),0)</f>
        <v>0</v>
      </c>
      <c r="BG305" s="24">
        <f ca="1">IFERROR(__xludf.DUMMYFUNCTION("""COMPUTED_VALUE"""),7862.21)</f>
        <v>7862.21</v>
      </c>
      <c r="BH305" s="24">
        <f ca="1">IFERROR(__xludf.DUMMYFUNCTION("""COMPUTED_VALUE"""),628.3)</f>
        <v>628.29999999999995</v>
      </c>
      <c r="BI305" s="20"/>
      <c r="BJ305" s="24">
        <f ca="1">IFERROR(__xludf.DUMMYFUNCTION("""COMPUTED_VALUE"""),0)</f>
        <v>0</v>
      </c>
      <c r="BK305" s="24">
        <f ca="1">IFERROR(__xludf.DUMMYFUNCTION("""COMPUTED_VALUE"""),0)</f>
        <v>0</v>
      </c>
      <c r="BL305" s="24">
        <f ca="1">IFERROR(__xludf.DUMMYFUNCTION("""COMPUTED_VALUE"""),0)</f>
        <v>0</v>
      </c>
      <c r="BM305" s="24">
        <f ca="1">IFERROR(__xludf.DUMMYFUNCTION("""COMPUTED_VALUE"""),0)</f>
        <v>0</v>
      </c>
      <c r="BN305" s="24">
        <f ca="1">IFERROR(__xludf.DUMMYFUNCTION("""COMPUTED_VALUE"""),0)</f>
        <v>0</v>
      </c>
      <c r="BO305" s="20"/>
      <c r="BP305" s="24">
        <f ca="1">IFERROR(__xludf.DUMMYFUNCTION("""COMPUTED_VALUE"""),0)</f>
        <v>0</v>
      </c>
      <c r="BQ305" s="24">
        <f ca="1">IFERROR(__xludf.DUMMYFUNCTION("""COMPUTED_VALUE"""),0)</f>
        <v>0</v>
      </c>
      <c r="BR305" s="24">
        <f ca="1">IFERROR(__xludf.DUMMYFUNCTION("""COMPUTED_VALUE"""),0)</f>
        <v>0</v>
      </c>
      <c r="BS305" s="24">
        <f ca="1">IFERROR(__xludf.DUMMYFUNCTION("""COMPUTED_VALUE"""),0)</f>
        <v>0</v>
      </c>
      <c r="BT305" s="24">
        <f ca="1">IFERROR(__xludf.DUMMYFUNCTION("""COMPUTED_VALUE"""),0)</f>
        <v>0</v>
      </c>
      <c r="BU305" s="20"/>
      <c r="BV305" s="24">
        <f ca="1">IFERROR(__xludf.DUMMYFUNCTION("""COMPUTED_VALUE"""),0)</f>
        <v>0</v>
      </c>
      <c r="BW305" s="24">
        <f ca="1">IFERROR(__xludf.DUMMYFUNCTION("""COMPUTED_VALUE"""),0)</f>
        <v>0</v>
      </c>
      <c r="BX305" s="24">
        <f ca="1">IFERROR(__xludf.DUMMYFUNCTION("""COMPUTED_VALUE"""),0)</f>
        <v>0</v>
      </c>
      <c r="BY305" s="24">
        <f ca="1">IFERROR(__xludf.DUMMYFUNCTION("""COMPUTED_VALUE"""),0)</f>
        <v>0</v>
      </c>
      <c r="BZ305" s="24">
        <f ca="1">IFERROR(__xludf.DUMMYFUNCTION("""COMPUTED_VALUE"""),0)</f>
        <v>0</v>
      </c>
      <c r="CA305" s="20"/>
      <c r="CB305" s="20"/>
      <c r="CC305" s="20"/>
      <c r="CD305" s="20"/>
      <c r="CE305" s="20"/>
      <c r="CF305" s="20"/>
      <c r="CG305" s="20"/>
      <c r="CH305" s="20"/>
      <c r="CI305" s="20"/>
      <c r="CJ305" s="20"/>
      <c r="CK305" s="20"/>
      <c r="CL305" s="20"/>
      <c r="CM305" s="20"/>
      <c r="CN305" s="20"/>
      <c r="CO305" s="20"/>
      <c r="CP305" s="20"/>
      <c r="CQ305" s="20"/>
      <c r="CR305" s="20"/>
      <c r="CS305" s="20"/>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row>
    <row r="306" spans="1:123" ht="64.5" customHeight="1" x14ac:dyDescent="0.2">
      <c r="A306" s="19"/>
      <c r="B306" s="20" t="str">
        <f ca="1">IFERROR(__xludf.DUMMYFUNCTION("""COMPUTED_VALUE"""),"г.о. Зарайск")</f>
        <v>г.о. Зарайск</v>
      </c>
      <c r="C30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6" s="20" t="str">
        <f ca="1">IFERROR(__xludf.DUMMYFUNCTION("""COMPUTED_VALUE"""),"МинЖКХ ""ТОП 5 (1 этап)""")</f>
        <v>МинЖКХ "ТОП 5 (1 этап)"</v>
      </c>
      <c r="E306" s="20" t="str">
        <f ca="1">IFERROR(__xludf.DUMMYFUNCTION("""COMPUTED_VALUE"""),"Строительство блочно-модульной котельной со снижением мощности в п. Масловский, г.о. Зарайск (в т.ч. ПИР) ")</f>
        <v xml:space="preserve">Строительство блочно-модульной котельной со снижением мощности в п. Масловский, г.о. Зарайск (в т.ч. ПИР) </v>
      </c>
      <c r="F306" s="32" t="str">
        <f ca="1">IFERROR(__xludf.DUMMYFUNCTION("""COMPUTED_VALUE"""),"БМК")</f>
        <v>БМК</v>
      </c>
      <c r="G306" s="20" t="str">
        <f ca="1">IFERROR(__xludf.DUMMYFUNCTION("""COMPUTED_VALUE"""),"2020-2021")</f>
        <v>2020-2021</v>
      </c>
      <c r="H306" s="20" t="str">
        <f ca="1">IFERROR(__xludf.DUMMYFUNCTION("""COMPUTED_VALUE"""),"ПИР ")</f>
        <v xml:space="preserve">ПИР </v>
      </c>
      <c r="I306" s="20"/>
      <c r="J306" s="20"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K306" s="20">
        <f ca="1">IFERROR(__xludf.DUMMYFUNCTION("""COMPUTED_VALUE"""),1180)</f>
        <v>1180</v>
      </c>
      <c r="L306" s="20">
        <f ca="1">IFERROR(__xludf.DUMMYFUNCTION("""COMPUTED_VALUE"""),1180)</f>
        <v>1180</v>
      </c>
      <c r="M306" s="20"/>
      <c r="N306" s="24">
        <f ca="1">IFERROR(__xludf.DUMMYFUNCTION("""COMPUTED_VALUE"""),0)</f>
        <v>0</v>
      </c>
      <c r="O306" s="20"/>
      <c r="P306" s="24">
        <f ca="1">IFERROR(__xludf.DUMMYFUNCTION("""COMPUTED_VALUE"""),0)</f>
        <v>0</v>
      </c>
      <c r="Q306" s="20"/>
      <c r="R306" s="20"/>
      <c r="S306" s="20"/>
      <c r="T306" s="20"/>
      <c r="U306" s="24">
        <f ca="1">IFERROR(__xludf.DUMMYFUNCTION("""COMPUTED_VALUE"""),1900)</f>
        <v>1900</v>
      </c>
      <c r="V306" s="24">
        <f ca="1">IFERROR(__xludf.DUMMYFUNCTION("""COMPUTED_VALUE"""),0)</f>
        <v>0</v>
      </c>
      <c r="W306" s="24">
        <f ca="1">IFERROR(__xludf.DUMMYFUNCTION("""COMPUTED_VALUE"""),0)</f>
        <v>0</v>
      </c>
      <c r="X306" s="24">
        <f ca="1">IFERROR(__xludf.DUMMYFUNCTION("""COMPUTED_VALUE"""),1759.4)</f>
        <v>1759.4</v>
      </c>
      <c r="Y306" s="24">
        <f ca="1">IFERROR(__xludf.DUMMYFUNCTION("""COMPUTED_VALUE"""),140.6)</f>
        <v>140.6</v>
      </c>
      <c r="Z306" s="24">
        <f ca="1">IFERROR(__xludf.DUMMYFUNCTION("""COMPUTED_VALUE"""),0)</f>
        <v>0</v>
      </c>
      <c r="AA306" s="20" t="str">
        <f ca="1">IFERROR(__xludf.DUMMYFUNCTION("""COMPUTED_VALUE"""),"10 3 02 64080")</f>
        <v>10 3 02 64080</v>
      </c>
      <c r="AB306" s="20">
        <f ca="1">IFERROR(__xludf.DUMMYFUNCTION("""COMPUTED_VALUE"""),522)</f>
        <v>522</v>
      </c>
      <c r="AC306" s="20"/>
      <c r="AD306" s="20"/>
      <c r="AE306" s="20"/>
      <c r="AF306" s="24">
        <f ca="1">IFERROR(__xludf.DUMMYFUNCTION("""COMPUTED_VALUE"""),16063.3)</f>
        <v>16063.3</v>
      </c>
      <c r="AG306" s="24">
        <f ca="1">IFERROR(__xludf.DUMMYFUNCTION("""COMPUTED_VALUE"""),0)</f>
        <v>0</v>
      </c>
      <c r="AH306" s="24">
        <f ca="1">IFERROR(__xludf.DUMMYFUNCTION("""COMPUTED_VALUE"""),0)</f>
        <v>0</v>
      </c>
      <c r="AI306" s="24">
        <f ca="1">IFERROR(__xludf.DUMMYFUNCTION("""COMPUTED_VALUE"""),14874.6199999999)</f>
        <v>14874.619999999901</v>
      </c>
      <c r="AJ306" s="24">
        <f ca="1">IFERROR(__xludf.DUMMYFUNCTION("""COMPUTED_VALUE"""),1188.67999999999)</f>
        <v>1188.6799999999901</v>
      </c>
      <c r="AK306" s="24">
        <f ca="1">IFERROR(__xludf.DUMMYFUNCTION("""COMPUTED_VALUE"""),0)</f>
        <v>0</v>
      </c>
      <c r="AL306" s="24">
        <f ca="1">IFERROR(__xludf.DUMMYFUNCTION("""COMPUTED_VALUE"""),0)</f>
        <v>0</v>
      </c>
      <c r="AM306" s="20"/>
      <c r="AN306" s="20"/>
      <c r="AO306" s="20"/>
      <c r="AP306" s="20"/>
      <c r="AQ306" s="20"/>
      <c r="AR306" s="24">
        <f ca="1">IFERROR(__xludf.DUMMYFUNCTION("""COMPUTED_VALUE"""),0)</f>
        <v>0</v>
      </c>
      <c r="AS306" s="20"/>
      <c r="AT306" s="20"/>
      <c r="AU306" s="20"/>
      <c r="AV306" s="20"/>
      <c r="AW306" s="20"/>
      <c r="AX306" s="24">
        <f ca="1">IFERROR(__xludf.DUMMYFUNCTION("""COMPUTED_VALUE"""),1900)</f>
        <v>1900</v>
      </c>
      <c r="AY306" s="24">
        <f ca="1">IFERROR(__xludf.DUMMYFUNCTION("""COMPUTED_VALUE"""),0)</f>
        <v>0</v>
      </c>
      <c r="AZ306" s="24">
        <f ca="1">IFERROR(__xludf.DUMMYFUNCTION("""COMPUTED_VALUE"""),0)</f>
        <v>0</v>
      </c>
      <c r="BA306" s="24">
        <f ca="1">IFERROR(__xludf.DUMMYFUNCTION("""COMPUTED_VALUE"""),1759.4)</f>
        <v>1759.4</v>
      </c>
      <c r="BB306" s="24">
        <f ca="1">IFERROR(__xludf.DUMMYFUNCTION("""COMPUTED_VALUE"""),140.6)</f>
        <v>140.6</v>
      </c>
      <c r="BC306" s="20"/>
      <c r="BD306" s="24">
        <f ca="1">IFERROR(__xludf.DUMMYFUNCTION("""COMPUTED_VALUE"""),14163.3)</f>
        <v>14163.3</v>
      </c>
      <c r="BE306" s="24">
        <f ca="1">IFERROR(__xludf.DUMMYFUNCTION("""COMPUTED_VALUE"""),0)</f>
        <v>0</v>
      </c>
      <c r="BF306" s="24">
        <f ca="1">IFERROR(__xludf.DUMMYFUNCTION("""COMPUTED_VALUE"""),0)</f>
        <v>0</v>
      </c>
      <c r="BG306" s="24">
        <f ca="1">IFERROR(__xludf.DUMMYFUNCTION("""COMPUTED_VALUE"""),13115.22)</f>
        <v>13115.22</v>
      </c>
      <c r="BH306" s="24">
        <f ca="1">IFERROR(__xludf.DUMMYFUNCTION("""COMPUTED_VALUE"""),1048.08)</f>
        <v>1048.08</v>
      </c>
      <c r="BI306" s="20"/>
      <c r="BJ306" s="24">
        <f ca="1">IFERROR(__xludf.DUMMYFUNCTION("""COMPUTED_VALUE"""),0)</f>
        <v>0</v>
      </c>
      <c r="BK306" s="24">
        <f ca="1">IFERROR(__xludf.DUMMYFUNCTION("""COMPUTED_VALUE"""),0)</f>
        <v>0</v>
      </c>
      <c r="BL306" s="24">
        <f ca="1">IFERROR(__xludf.DUMMYFUNCTION("""COMPUTED_VALUE"""),0)</f>
        <v>0</v>
      </c>
      <c r="BM306" s="24">
        <f ca="1">IFERROR(__xludf.DUMMYFUNCTION("""COMPUTED_VALUE"""),0)</f>
        <v>0</v>
      </c>
      <c r="BN306" s="24">
        <f ca="1">IFERROR(__xludf.DUMMYFUNCTION("""COMPUTED_VALUE"""),0)</f>
        <v>0</v>
      </c>
      <c r="BO306" s="20"/>
      <c r="BP306" s="24">
        <f ca="1">IFERROR(__xludf.DUMMYFUNCTION("""COMPUTED_VALUE"""),0)</f>
        <v>0</v>
      </c>
      <c r="BQ306" s="24">
        <f ca="1">IFERROR(__xludf.DUMMYFUNCTION("""COMPUTED_VALUE"""),0)</f>
        <v>0</v>
      </c>
      <c r="BR306" s="24">
        <f ca="1">IFERROR(__xludf.DUMMYFUNCTION("""COMPUTED_VALUE"""),0)</f>
        <v>0</v>
      </c>
      <c r="BS306" s="24">
        <f ca="1">IFERROR(__xludf.DUMMYFUNCTION("""COMPUTED_VALUE"""),0)</f>
        <v>0</v>
      </c>
      <c r="BT306" s="24">
        <f ca="1">IFERROR(__xludf.DUMMYFUNCTION("""COMPUTED_VALUE"""),0)</f>
        <v>0</v>
      </c>
      <c r="BU306" s="20"/>
      <c r="BV306" s="24">
        <f ca="1">IFERROR(__xludf.DUMMYFUNCTION("""COMPUTED_VALUE"""),0)</f>
        <v>0</v>
      </c>
      <c r="BW306" s="24">
        <f ca="1">IFERROR(__xludf.DUMMYFUNCTION("""COMPUTED_VALUE"""),0)</f>
        <v>0</v>
      </c>
      <c r="BX306" s="24">
        <f ca="1">IFERROR(__xludf.DUMMYFUNCTION("""COMPUTED_VALUE"""),0)</f>
        <v>0</v>
      </c>
      <c r="BY306" s="24">
        <f ca="1">IFERROR(__xludf.DUMMYFUNCTION("""COMPUTED_VALUE"""),0)</f>
        <v>0</v>
      </c>
      <c r="BZ306" s="24">
        <f ca="1">IFERROR(__xludf.DUMMYFUNCTION("""COMPUTED_VALUE"""),0)</f>
        <v>0</v>
      </c>
      <c r="CA306" s="20"/>
      <c r="CB306" s="20"/>
      <c r="CC306" s="20"/>
      <c r="CD306" s="20"/>
      <c r="CE306" s="20"/>
      <c r="CF306" s="20"/>
      <c r="CG306" s="20"/>
      <c r="CH306" s="20"/>
      <c r="CI306" s="20"/>
      <c r="CJ306" s="20"/>
      <c r="CK306" s="20"/>
      <c r="CL306" s="20"/>
      <c r="CM306" s="20"/>
      <c r="CN306" s="20"/>
      <c r="CO306" s="20"/>
      <c r="CP306" s="20"/>
      <c r="CQ306" s="20"/>
      <c r="CR306" s="20"/>
      <c r="CS306" s="20"/>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row>
    <row r="307" spans="1:123" ht="64.5" hidden="1" customHeight="1" x14ac:dyDescent="0.2">
      <c r="A307" s="19"/>
      <c r="B307" s="20" t="str">
        <f ca="1">IFERROR(__xludf.DUMMYFUNCTION("""COMPUTED_VALUE"""),"г.о. Рузский")</f>
        <v>г.о. Рузский</v>
      </c>
      <c r="C30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7" s="20" t="str">
        <f ca="1">IFERROR(__xludf.DUMMYFUNCTION("""COMPUTED_VALUE"""),"МинЖКХ")</f>
        <v>МинЖКХ</v>
      </c>
      <c r="E307" s="20" t="str">
        <f ca="1">IFERROR(__xludf.DUMMYFUNCTION("""COMPUTED_VALUE"""),"Строительство БМК д. Сумароково, д.34  г.о. Рузский")</f>
        <v>Строительство БМК д. Сумароково, д.34  г.о. Рузский</v>
      </c>
      <c r="F307" s="32" t="str">
        <f ca="1">IFERROR(__xludf.DUMMYFUNCTION("""COMPUTED_VALUE"""),"БМК")</f>
        <v>БМК</v>
      </c>
      <c r="G307" s="20">
        <f ca="1">IFERROR(__xludf.DUMMYFUNCTION("""COMPUTED_VALUE"""),2021)</f>
        <v>2021</v>
      </c>
      <c r="H307" s="20" t="str">
        <f ca="1">IFERROR(__xludf.DUMMYFUNCTION("""COMPUTED_VALUE"""),"СМР")</f>
        <v>СМР</v>
      </c>
      <c r="I307" s="20"/>
      <c r="J307" s="20"/>
      <c r="K307" s="20"/>
      <c r="L307" s="20"/>
      <c r="M307" s="20"/>
      <c r="N307" s="24">
        <f ca="1">IFERROR(__xludf.DUMMYFUNCTION("""COMPUTED_VALUE"""),0)</f>
        <v>0</v>
      </c>
      <c r="O307" s="20"/>
      <c r="P307" s="20"/>
      <c r="Q307" s="20"/>
      <c r="R307" s="20"/>
      <c r="S307" s="20"/>
      <c r="T307" s="20"/>
      <c r="U307" s="24">
        <f ca="1">IFERROR(__xludf.DUMMYFUNCTION("""COMPUTED_VALUE"""),0)</f>
        <v>0</v>
      </c>
      <c r="V307" s="24">
        <f ca="1">IFERROR(__xludf.DUMMYFUNCTION("""COMPUTED_VALUE"""),0)</f>
        <v>0</v>
      </c>
      <c r="W307" s="24">
        <f ca="1">IFERROR(__xludf.DUMMYFUNCTION("""COMPUTED_VALUE"""),0)</f>
        <v>0</v>
      </c>
      <c r="X307" s="24">
        <f ca="1">IFERROR(__xludf.DUMMYFUNCTION("""COMPUTED_VALUE"""),0)</f>
        <v>0</v>
      </c>
      <c r="Y307" s="24">
        <f ca="1">IFERROR(__xludf.DUMMYFUNCTION("""COMPUTED_VALUE"""),0)</f>
        <v>0</v>
      </c>
      <c r="Z307" s="24">
        <f ca="1">IFERROR(__xludf.DUMMYFUNCTION("""COMPUTED_VALUE"""),0)</f>
        <v>0</v>
      </c>
      <c r="AA307" s="20"/>
      <c r="AB307" s="20"/>
      <c r="AC307" s="20"/>
      <c r="AD307" s="20"/>
      <c r="AE307" s="20"/>
      <c r="AF307" s="24">
        <f ca="1">IFERROR(__xludf.DUMMYFUNCTION("""COMPUTED_VALUE"""),11518.77)</f>
        <v>11518.77</v>
      </c>
      <c r="AG307" s="24">
        <f ca="1">IFERROR(__xludf.DUMMYFUNCTION("""COMPUTED_VALUE"""),0)</f>
        <v>0</v>
      </c>
      <c r="AH307" s="24">
        <f ca="1">IFERROR(__xludf.DUMMYFUNCTION("""COMPUTED_VALUE"""),7678)</f>
        <v>7678</v>
      </c>
      <c r="AI307" s="24">
        <f ca="1">IFERROR(__xludf.DUMMYFUNCTION("""COMPUTED_VALUE"""),0)</f>
        <v>0</v>
      </c>
      <c r="AJ307" s="24">
        <f ca="1">IFERROR(__xludf.DUMMYFUNCTION("""COMPUTED_VALUE"""),1605.92)</f>
        <v>1605.92</v>
      </c>
      <c r="AK307" s="24">
        <f ca="1">IFERROR(__xludf.DUMMYFUNCTION("""COMPUTED_VALUE"""),2234.85)</f>
        <v>2234.85</v>
      </c>
      <c r="AL307" s="24">
        <f ca="1">IFERROR(__xludf.DUMMYFUNCTION("""COMPUTED_VALUE"""),0)</f>
        <v>0</v>
      </c>
      <c r="AM307" s="20"/>
      <c r="AN307" s="20"/>
      <c r="AO307" s="20"/>
      <c r="AP307" s="20"/>
      <c r="AQ307" s="20"/>
      <c r="AR307" s="24">
        <f ca="1">IFERROR(__xludf.DUMMYFUNCTION("""COMPUTED_VALUE"""),0)</f>
        <v>0</v>
      </c>
      <c r="AS307" s="20"/>
      <c r="AT307" s="20"/>
      <c r="AU307" s="20"/>
      <c r="AV307" s="20"/>
      <c r="AW307" s="20"/>
      <c r="AX307" s="24">
        <f ca="1">IFERROR(__xludf.DUMMYFUNCTION("""COMPUTED_VALUE"""),0)</f>
        <v>0</v>
      </c>
      <c r="AY307" s="24">
        <f ca="1">IFERROR(__xludf.DUMMYFUNCTION("""COMPUTED_VALUE"""),0)</f>
        <v>0</v>
      </c>
      <c r="AZ307" s="24">
        <f ca="1">IFERROR(__xludf.DUMMYFUNCTION("""COMPUTED_VALUE"""),0)</f>
        <v>0</v>
      </c>
      <c r="BA307" s="24">
        <f ca="1">IFERROR(__xludf.DUMMYFUNCTION("""COMPUTED_VALUE"""),0)</f>
        <v>0</v>
      </c>
      <c r="BB307" s="24">
        <f ca="1">IFERROR(__xludf.DUMMYFUNCTION("""COMPUTED_VALUE"""),0)</f>
        <v>0</v>
      </c>
      <c r="BC307" s="20"/>
      <c r="BD307" s="24">
        <f ca="1">IFERROR(__xludf.DUMMYFUNCTION("""COMPUTED_VALUE"""),11518.77)</f>
        <v>11518.77</v>
      </c>
      <c r="BE307" s="24">
        <f ca="1">IFERROR(__xludf.DUMMYFUNCTION("""COMPUTED_VALUE"""),0)</f>
        <v>0</v>
      </c>
      <c r="BF307" s="24">
        <f ca="1">IFERROR(__xludf.DUMMYFUNCTION("""COMPUTED_VALUE"""),7678)</f>
        <v>7678</v>
      </c>
      <c r="BG307" s="24">
        <f ca="1">IFERROR(__xludf.DUMMYFUNCTION("""COMPUTED_VALUE"""),0)</f>
        <v>0</v>
      </c>
      <c r="BH307" s="24">
        <f ca="1">IFERROR(__xludf.DUMMYFUNCTION("""COMPUTED_VALUE"""),1605.92)</f>
        <v>1605.92</v>
      </c>
      <c r="BI307" s="24">
        <f ca="1">IFERROR(__xludf.DUMMYFUNCTION("""COMPUTED_VALUE"""),2234.85)</f>
        <v>2234.85</v>
      </c>
      <c r="BJ307" s="24">
        <f ca="1">IFERROR(__xludf.DUMMYFUNCTION("""COMPUTED_VALUE"""),0)</f>
        <v>0</v>
      </c>
      <c r="BK307" s="24">
        <f ca="1">IFERROR(__xludf.DUMMYFUNCTION("""COMPUTED_VALUE"""),0)</f>
        <v>0</v>
      </c>
      <c r="BL307" s="24">
        <f ca="1">IFERROR(__xludf.DUMMYFUNCTION("""COMPUTED_VALUE"""),0)</f>
        <v>0</v>
      </c>
      <c r="BM307" s="24">
        <f ca="1">IFERROR(__xludf.DUMMYFUNCTION("""COMPUTED_VALUE"""),0)</f>
        <v>0</v>
      </c>
      <c r="BN307" s="24">
        <f ca="1">IFERROR(__xludf.DUMMYFUNCTION("""COMPUTED_VALUE"""),0)</f>
        <v>0</v>
      </c>
      <c r="BO307" s="20"/>
      <c r="BP307" s="24">
        <f ca="1">IFERROR(__xludf.DUMMYFUNCTION("""COMPUTED_VALUE"""),0)</f>
        <v>0</v>
      </c>
      <c r="BQ307" s="24">
        <f ca="1">IFERROR(__xludf.DUMMYFUNCTION("""COMPUTED_VALUE"""),0)</f>
        <v>0</v>
      </c>
      <c r="BR307" s="24">
        <f ca="1">IFERROR(__xludf.DUMMYFUNCTION("""COMPUTED_VALUE"""),0)</f>
        <v>0</v>
      </c>
      <c r="BS307" s="24">
        <f ca="1">IFERROR(__xludf.DUMMYFUNCTION("""COMPUTED_VALUE"""),0)</f>
        <v>0</v>
      </c>
      <c r="BT307" s="24">
        <f ca="1">IFERROR(__xludf.DUMMYFUNCTION("""COMPUTED_VALUE"""),0)</f>
        <v>0</v>
      </c>
      <c r="BU307" s="20"/>
      <c r="BV307" s="24">
        <f ca="1">IFERROR(__xludf.DUMMYFUNCTION("""COMPUTED_VALUE"""),0)</f>
        <v>0</v>
      </c>
      <c r="BW307" s="24">
        <f ca="1">IFERROR(__xludf.DUMMYFUNCTION("""COMPUTED_VALUE"""),0)</f>
        <v>0</v>
      </c>
      <c r="BX307" s="24">
        <f ca="1">IFERROR(__xludf.DUMMYFUNCTION("""COMPUTED_VALUE"""),0)</f>
        <v>0</v>
      </c>
      <c r="BY307" s="24">
        <f ca="1">IFERROR(__xludf.DUMMYFUNCTION("""COMPUTED_VALUE"""),0)</f>
        <v>0</v>
      </c>
      <c r="BZ307" s="24">
        <f ca="1">IFERROR(__xludf.DUMMYFUNCTION("""COMPUTED_VALUE"""),0)</f>
        <v>0</v>
      </c>
      <c r="CA307" s="20"/>
      <c r="CB307" s="20"/>
      <c r="CC307" s="20"/>
      <c r="CD307" s="20"/>
      <c r="CE307" s="20"/>
      <c r="CF307" s="20"/>
      <c r="CG307" s="20"/>
      <c r="CH307" s="20"/>
      <c r="CI307" s="20"/>
      <c r="CJ307" s="20"/>
      <c r="CK307" s="20"/>
      <c r="CL307" s="20"/>
      <c r="CM307" s="20"/>
      <c r="CN307" s="20"/>
      <c r="CO307" s="20"/>
      <c r="CP307" s="20"/>
      <c r="CQ307" s="20"/>
      <c r="CR307" s="20"/>
      <c r="CS307" s="20"/>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row>
    <row r="308" spans="1:123" ht="64.5" hidden="1" customHeight="1" x14ac:dyDescent="0.2">
      <c r="A308" s="19"/>
      <c r="B308" s="20" t="str">
        <f ca="1">IFERROR(__xludf.DUMMYFUNCTION("""COMPUTED_VALUE"""),"г.о. Рузский")</f>
        <v>г.о. Рузский</v>
      </c>
      <c r="C30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8" s="20" t="str">
        <f ca="1">IFERROR(__xludf.DUMMYFUNCTION("""COMPUTED_VALUE"""),"МинЖКХ")</f>
        <v>МинЖКХ</v>
      </c>
      <c r="E308" s="20" t="str">
        <f ca="1">IFERROR(__xludf.DUMMYFUNCTION("""COMPUTED_VALUE"""),"Строительсвто БМК д. Старониколаево, д. 195  г.о. Рузский")</f>
        <v>Строительсвто БМК д. Старониколаево, д. 195  г.о. Рузский</v>
      </c>
      <c r="F308" s="32" t="str">
        <f ca="1">IFERROR(__xludf.DUMMYFUNCTION("""COMPUTED_VALUE"""),"БМК")</f>
        <v>БМК</v>
      </c>
      <c r="G308" s="20">
        <f ca="1">IFERROR(__xludf.DUMMYFUNCTION("""COMPUTED_VALUE"""),2021)</f>
        <v>2021</v>
      </c>
      <c r="H308" s="20" t="str">
        <f ca="1">IFERROR(__xludf.DUMMYFUNCTION("""COMPUTED_VALUE"""),"СМР")</f>
        <v>СМР</v>
      </c>
      <c r="I308" s="20"/>
      <c r="J308" s="20"/>
      <c r="K308" s="20"/>
      <c r="L308" s="20"/>
      <c r="M308" s="20"/>
      <c r="N308" s="24">
        <f ca="1">IFERROR(__xludf.DUMMYFUNCTION("""COMPUTED_VALUE"""),0)</f>
        <v>0</v>
      </c>
      <c r="O308" s="20"/>
      <c r="P308" s="20"/>
      <c r="Q308" s="20"/>
      <c r="R308" s="20"/>
      <c r="S308" s="20"/>
      <c r="T308" s="20"/>
      <c r="U308" s="24">
        <f ca="1">IFERROR(__xludf.DUMMYFUNCTION("""COMPUTED_VALUE"""),0)</f>
        <v>0</v>
      </c>
      <c r="V308" s="24">
        <f ca="1">IFERROR(__xludf.DUMMYFUNCTION("""COMPUTED_VALUE"""),0)</f>
        <v>0</v>
      </c>
      <c r="W308" s="24">
        <f ca="1">IFERROR(__xludf.DUMMYFUNCTION("""COMPUTED_VALUE"""),0)</f>
        <v>0</v>
      </c>
      <c r="X308" s="24">
        <f ca="1">IFERROR(__xludf.DUMMYFUNCTION("""COMPUTED_VALUE"""),0)</f>
        <v>0</v>
      </c>
      <c r="Y308" s="24">
        <f ca="1">IFERROR(__xludf.DUMMYFUNCTION("""COMPUTED_VALUE"""),0)</f>
        <v>0</v>
      </c>
      <c r="Z308" s="24">
        <f ca="1">IFERROR(__xludf.DUMMYFUNCTION("""COMPUTED_VALUE"""),0)</f>
        <v>0</v>
      </c>
      <c r="AA308" s="20"/>
      <c r="AB308" s="20"/>
      <c r="AC308" s="20"/>
      <c r="AD308" s="20"/>
      <c r="AE308" s="20"/>
      <c r="AF308" s="24">
        <f ca="1">IFERROR(__xludf.DUMMYFUNCTION("""COMPUTED_VALUE"""),13578.77)</f>
        <v>13578.77</v>
      </c>
      <c r="AG308" s="24">
        <f ca="1">IFERROR(__xludf.DUMMYFUNCTION("""COMPUTED_VALUE"""),0)</f>
        <v>0</v>
      </c>
      <c r="AH308" s="24">
        <f ca="1">IFERROR(__xludf.DUMMYFUNCTION("""COMPUTED_VALUE"""),9381)</f>
        <v>9381</v>
      </c>
      <c r="AI308" s="24">
        <f ca="1">IFERROR(__xludf.DUMMYFUNCTION("""COMPUTED_VALUE"""),0)</f>
        <v>0</v>
      </c>
      <c r="AJ308" s="24">
        <f ca="1">IFERROR(__xludf.DUMMYFUNCTION("""COMPUTED_VALUE"""),1962.92)</f>
        <v>1962.92</v>
      </c>
      <c r="AK308" s="24">
        <f ca="1">IFERROR(__xludf.DUMMYFUNCTION("""COMPUTED_VALUE"""),2234.85)</f>
        <v>2234.85</v>
      </c>
      <c r="AL308" s="24">
        <f ca="1">IFERROR(__xludf.DUMMYFUNCTION("""COMPUTED_VALUE"""),0)</f>
        <v>0</v>
      </c>
      <c r="AM308" s="20"/>
      <c r="AN308" s="20"/>
      <c r="AO308" s="20"/>
      <c r="AP308" s="20"/>
      <c r="AQ308" s="20"/>
      <c r="AR308" s="24">
        <f ca="1">IFERROR(__xludf.DUMMYFUNCTION("""COMPUTED_VALUE"""),0)</f>
        <v>0</v>
      </c>
      <c r="AS308" s="20"/>
      <c r="AT308" s="20"/>
      <c r="AU308" s="20"/>
      <c r="AV308" s="20"/>
      <c r="AW308" s="20"/>
      <c r="AX308" s="24">
        <f ca="1">IFERROR(__xludf.DUMMYFUNCTION("""COMPUTED_VALUE"""),0)</f>
        <v>0</v>
      </c>
      <c r="AY308" s="24">
        <f ca="1">IFERROR(__xludf.DUMMYFUNCTION("""COMPUTED_VALUE"""),0)</f>
        <v>0</v>
      </c>
      <c r="AZ308" s="24">
        <f ca="1">IFERROR(__xludf.DUMMYFUNCTION("""COMPUTED_VALUE"""),0)</f>
        <v>0</v>
      </c>
      <c r="BA308" s="24">
        <f ca="1">IFERROR(__xludf.DUMMYFUNCTION("""COMPUTED_VALUE"""),0)</f>
        <v>0</v>
      </c>
      <c r="BB308" s="24">
        <f ca="1">IFERROR(__xludf.DUMMYFUNCTION("""COMPUTED_VALUE"""),0)</f>
        <v>0</v>
      </c>
      <c r="BC308" s="20"/>
      <c r="BD308" s="24">
        <f ca="1">IFERROR(__xludf.DUMMYFUNCTION("""COMPUTED_VALUE"""),13578.77)</f>
        <v>13578.77</v>
      </c>
      <c r="BE308" s="24">
        <f ca="1">IFERROR(__xludf.DUMMYFUNCTION("""COMPUTED_VALUE"""),0)</f>
        <v>0</v>
      </c>
      <c r="BF308" s="24">
        <f ca="1">IFERROR(__xludf.DUMMYFUNCTION("""COMPUTED_VALUE"""),9381)</f>
        <v>9381</v>
      </c>
      <c r="BG308" s="24">
        <f ca="1">IFERROR(__xludf.DUMMYFUNCTION("""COMPUTED_VALUE"""),0)</f>
        <v>0</v>
      </c>
      <c r="BH308" s="24">
        <f ca="1">IFERROR(__xludf.DUMMYFUNCTION("""COMPUTED_VALUE"""),1962.92)</f>
        <v>1962.92</v>
      </c>
      <c r="BI308" s="24">
        <f ca="1">IFERROR(__xludf.DUMMYFUNCTION("""COMPUTED_VALUE"""),2234.85)</f>
        <v>2234.85</v>
      </c>
      <c r="BJ308" s="24">
        <f ca="1">IFERROR(__xludf.DUMMYFUNCTION("""COMPUTED_VALUE"""),0)</f>
        <v>0</v>
      </c>
      <c r="BK308" s="24">
        <f ca="1">IFERROR(__xludf.DUMMYFUNCTION("""COMPUTED_VALUE"""),0)</f>
        <v>0</v>
      </c>
      <c r="BL308" s="24">
        <f ca="1">IFERROR(__xludf.DUMMYFUNCTION("""COMPUTED_VALUE"""),0)</f>
        <v>0</v>
      </c>
      <c r="BM308" s="24">
        <f ca="1">IFERROR(__xludf.DUMMYFUNCTION("""COMPUTED_VALUE"""),0)</f>
        <v>0</v>
      </c>
      <c r="BN308" s="24">
        <f ca="1">IFERROR(__xludf.DUMMYFUNCTION("""COMPUTED_VALUE"""),0)</f>
        <v>0</v>
      </c>
      <c r="BO308" s="20"/>
      <c r="BP308" s="24">
        <f ca="1">IFERROR(__xludf.DUMMYFUNCTION("""COMPUTED_VALUE"""),0)</f>
        <v>0</v>
      </c>
      <c r="BQ308" s="24">
        <f ca="1">IFERROR(__xludf.DUMMYFUNCTION("""COMPUTED_VALUE"""),0)</f>
        <v>0</v>
      </c>
      <c r="BR308" s="24">
        <f ca="1">IFERROR(__xludf.DUMMYFUNCTION("""COMPUTED_VALUE"""),0)</f>
        <v>0</v>
      </c>
      <c r="BS308" s="24">
        <f ca="1">IFERROR(__xludf.DUMMYFUNCTION("""COMPUTED_VALUE"""),0)</f>
        <v>0</v>
      </c>
      <c r="BT308" s="24">
        <f ca="1">IFERROR(__xludf.DUMMYFUNCTION("""COMPUTED_VALUE"""),0)</f>
        <v>0</v>
      </c>
      <c r="BU308" s="20"/>
      <c r="BV308" s="24">
        <f ca="1">IFERROR(__xludf.DUMMYFUNCTION("""COMPUTED_VALUE"""),0)</f>
        <v>0</v>
      </c>
      <c r="BW308" s="24">
        <f ca="1">IFERROR(__xludf.DUMMYFUNCTION("""COMPUTED_VALUE"""),0)</f>
        <v>0</v>
      </c>
      <c r="BX308" s="24">
        <f ca="1">IFERROR(__xludf.DUMMYFUNCTION("""COMPUTED_VALUE"""),0)</f>
        <v>0</v>
      </c>
      <c r="BY308" s="24">
        <f ca="1">IFERROR(__xludf.DUMMYFUNCTION("""COMPUTED_VALUE"""),0)</f>
        <v>0</v>
      </c>
      <c r="BZ308" s="24">
        <f ca="1">IFERROR(__xludf.DUMMYFUNCTION("""COMPUTED_VALUE"""),0)</f>
        <v>0</v>
      </c>
      <c r="CA308" s="20"/>
      <c r="CB308" s="20"/>
      <c r="CC308" s="20"/>
      <c r="CD308" s="20"/>
      <c r="CE308" s="20"/>
      <c r="CF308" s="20"/>
      <c r="CG308" s="20"/>
      <c r="CH308" s="20"/>
      <c r="CI308" s="20"/>
      <c r="CJ308" s="20"/>
      <c r="CK308" s="20"/>
      <c r="CL308" s="20"/>
      <c r="CM308" s="20"/>
      <c r="CN308" s="20"/>
      <c r="CO308" s="20"/>
      <c r="CP308" s="20"/>
      <c r="CQ308" s="20"/>
      <c r="CR308" s="20"/>
      <c r="CS308" s="20"/>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row>
    <row r="309" spans="1:123" ht="64.5" customHeight="1" x14ac:dyDescent="0.2">
      <c r="A309" s="19"/>
      <c r="B309" s="20" t="str">
        <f ca="1">IFERROR(__xludf.DUMMYFUNCTION("""COMPUTED_VALUE"""),"г.о. Зарайск")</f>
        <v>г.о. Зарайск</v>
      </c>
      <c r="C30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9" s="20" t="str">
        <f ca="1">IFERROR(__xludf.DUMMYFUNCTION("""COMPUTED_VALUE"""),"МинЖКХ ""ТОП 5 (1 этап)""")</f>
        <v>МинЖКХ "ТОП 5 (1 этап)"</v>
      </c>
      <c r="E309" s="20" t="str">
        <f ca="1">IFERROR(__xludf.DUMMYFUNCTION("""COMPUTED_VALUE"""),"Строительство блочно-модульной котельной со снижением мощности в г.о. Зарайск, пос. Зарайский, котельная «Карино» (в т.ч. ПИР)")</f>
        <v>Строительство блочно-модульной котельной со снижением мощности в г.о. Зарайск, пос. Зарайский, котельная «Карино» (в т.ч. ПИР)</v>
      </c>
      <c r="F309" s="32" t="str">
        <f ca="1">IFERROR(__xludf.DUMMYFUNCTION("""COMPUTED_VALUE"""),"БМК")</f>
        <v>БМК</v>
      </c>
      <c r="G309" s="20">
        <f ca="1">IFERROR(__xludf.DUMMYFUNCTION("""COMPUTED_VALUE"""),2020)</f>
        <v>2020</v>
      </c>
      <c r="H309" s="20" t="str">
        <f ca="1">IFERROR(__xludf.DUMMYFUNCTION("""COMPUTED_VALUE"""),"СМР")</f>
        <v>СМР</v>
      </c>
      <c r="I309" s="20">
        <f ca="1">IFERROR(__xludf.DUMMYFUNCTION("""COMPUTED_VALUE"""),12)</f>
        <v>12</v>
      </c>
      <c r="J309" s="20" t="str">
        <f ca="1">IFERROR(__xludf.DUMMYFUNCTION("""COMPUTED_VALUE"""),"Фундамент залит , врезка в сети водоснабжения и канализации произведен. Горелки и котельная поставлены  на объект. ")</f>
        <v xml:space="preserve">Фундамент залит , врезка в сети водоснабжения и канализации произведен. Горелки и котельная поставлены  на объект. </v>
      </c>
      <c r="K309" s="20">
        <f ca="1">IFERROR(__xludf.DUMMYFUNCTION("""COMPUTED_VALUE"""),680)</f>
        <v>680</v>
      </c>
      <c r="L309" s="20">
        <f ca="1">IFERROR(__xludf.DUMMYFUNCTION("""COMPUTED_VALUE"""),680)</f>
        <v>680</v>
      </c>
      <c r="M309" s="20"/>
      <c r="N309" s="24">
        <f ca="1">IFERROR(__xludf.DUMMYFUNCTION("""COMPUTED_VALUE"""),12592.35)</f>
        <v>12592.35</v>
      </c>
      <c r="O309" s="20"/>
      <c r="P309" s="24">
        <f ca="1">IFERROR(__xludf.DUMMYFUNCTION("""COMPUTED_VALUE"""),0)</f>
        <v>0</v>
      </c>
      <c r="Q309" s="20">
        <f ca="1">IFERROR(__xludf.DUMMYFUNCTION("""COMPUTED_VALUE"""),12592.35)</f>
        <v>12592.35</v>
      </c>
      <c r="R309" s="20"/>
      <c r="S309" s="20"/>
      <c r="T309" s="20"/>
      <c r="U309" s="24">
        <f ca="1">IFERROR(__xludf.DUMMYFUNCTION("""COMPUTED_VALUE"""),1570.94999999999)</f>
        <v>1570.94999999999</v>
      </c>
      <c r="V309" s="24">
        <f ca="1">IFERROR(__xludf.DUMMYFUNCTION("""COMPUTED_VALUE"""),0)</f>
        <v>0</v>
      </c>
      <c r="W309" s="24">
        <f ca="1">IFERROR(__xludf.DUMMYFUNCTION("""COMPUTED_VALUE"""),0)</f>
        <v>0</v>
      </c>
      <c r="X309" s="24">
        <f ca="1">IFERROR(__xludf.DUMMYFUNCTION("""COMPUTED_VALUE"""),522.869999999999)</f>
        <v>522.86999999999898</v>
      </c>
      <c r="Y309" s="24">
        <f ca="1">IFERROR(__xludf.DUMMYFUNCTION("""COMPUTED_VALUE"""),1048.08)</f>
        <v>1048.08</v>
      </c>
      <c r="Z309" s="24">
        <f ca="1">IFERROR(__xludf.DUMMYFUNCTION("""COMPUTED_VALUE"""),0)</f>
        <v>0</v>
      </c>
      <c r="AA309" s="20" t="str">
        <f ca="1">IFERROR(__xludf.DUMMYFUNCTION("""COMPUTED_VALUE"""),"10 3 02 64080")</f>
        <v>10 3 02 64080</v>
      </c>
      <c r="AB309" s="20">
        <f ca="1">IFERROR(__xludf.DUMMYFUNCTION("""COMPUTED_VALUE"""),522)</f>
        <v>522</v>
      </c>
      <c r="AC309" s="20"/>
      <c r="AD309" s="20"/>
      <c r="AE309" s="20"/>
      <c r="AF309" s="24">
        <f ca="1">IFERROR(__xludf.DUMMYFUNCTION("""COMPUTED_VALUE"""),14163.3)</f>
        <v>14163.3</v>
      </c>
      <c r="AG309" s="24">
        <f ca="1">IFERROR(__xludf.DUMMYFUNCTION("""COMPUTED_VALUE"""),0)</f>
        <v>0</v>
      </c>
      <c r="AH309" s="24">
        <f ca="1">IFERROR(__xludf.DUMMYFUNCTION("""COMPUTED_VALUE"""),0)</f>
        <v>0</v>
      </c>
      <c r="AI309" s="24">
        <f ca="1">IFERROR(__xludf.DUMMYFUNCTION("""COMPUTED_VALUE"""),13115.22)</f>
        <v>13115.22</v>
      </c>
      <c r="AJ309" s="24">
        <f ca="1">IFERROR(__xludf.DUMMYFUNCTION("""COMPUTED_VALUE"""),1048.08)</f>
        <v>1048.08</v>
      </c>
      <c r="AK309" s="24">
        <f ca="1">IFERROR(__xludf.DUMMYFUNCTION("""COMPUTED_VALUE"""),0)</f>
        <v>0</v>
      </c>
      <c r="AL309" s="24">
        <f ca="1">IFERROR(__xludf.DUMMYFUNCTION("""COMPUTED_VALUE"""),0)</f>
        <v>0</v>
      </c>
      <c r="AM309" s="20"/>
      <c r="AN309" s="20"/>
      <c r="AO309" s="20"/>
      <c r="AP309" s="20"/>
      <c r="AQ309" s="20"/>
      <c r="AR309" s="24">
        <f ca="1">IFERROR(__xludf.DUMMYFUNCTION("""COMPUTED_VALUE"""),0)</f>
        <v>0</v>
      </c>
      <c r="AS309" s="20"/>
      <c r="AT309" s="20"/>
      <c r="AU309" s="20"/>
      <c r="AV309" s="20"/>
      <c r="AW309" s="20"/>
      <c r="AX309" s="24">
        <f ca="1">IFERROR(__xludf.DUMMYFUNCTION("""COMPUTED_VALUE"""),14163.3)</f>
        <v>14163.3</v>
      </c>
      <c r="AY309" s="24">
        <f ca="1">IFERROR(__xludf.DUMMYFUNCTION("""COMPUTED_VALUE"""),0)</f>
        <v>0</v>
      </c>
      <c r="AZ309" s="24">
        <f ca="1">IFERROR(__xludf.DUMMYFUNCTION("""COMPUTED_VALUE"""),0)</f>
        <v>0</v>
      </c>
      <c r="BA309" s="24">
        <f ca="1">IFERROR(__xludf.DUMMYFUNCTION("""COMPUTED_VALUE"""),13115.22)</f>
        <v>13115.22</v>
      </c>
      <c r="BB309" s="24">
        <f ca="1">IFERROR(__xludf.DUMMYFUNCTION("""COMPUTED_VALUE"""),1048.08)</f>
        <v>1048.08</v>
      </c>
      <c r="BC309" s="20"/>
      <c r="BD309" s="24">
        <f ca="1">IFERROR(__xludf.DUMMYFUNCTION("""COMPUTED_VALUE"""),0)</f>
        <v>0</v>
      </c>
      <c r="BE309" s="24">
        <f ca="1">IFERROR(__xludf.DUMMYFUNCTION("""COMPUTED_VALUE"""),0)</f>
        <v>0</v>
      </c>
      <c r="BF309" s="24">
        <f ca="1">IFERROR(__xludf.DUMMYFUNCTION("""COMPUTED_VALUE"""),0)</f>
        <v>0</v>
      </c>
      <c r="BG309" s="24">
        <f ca="1">IFERROR(__xludf.DUMMYFUNCTION("""COMPUTED_VALUE"""),0)</f>
        <v>0</v>
      </c>
      <c r="BH309" s="24">
        <f ca="1">IFERROR(__xludf.DUMMYFUNCTION("""COMPUTED_VALUE"""),0)</f>
        <v>0</v>
      </c>
      <c r="BI309" s="20"/>
      <c r="BJ309" s="24">
        <f ca="1">IFERROR(__xludf.DUMMYFUNCTION("""COMPUTED_VALUE"""),0)</f>
        <v>0</v>
      </c>
      <c r="BK309" s="24">
        <f ca="1">IFERROR(__xludf.DUMMYFUNCTION("""COMPUTED_VALUE"""),0)</f>
        <v>0</v>
      </c>
      <c r="BL309" s="24">
        <f ca="1">IFERROR(__xludf.DUMMYFUNCTION("""COMPUTED_VALUE"""),0)</f>
        <v>0</v>
      </c>
      <c r="BM309" s="24">
        <f ca="1">IFERROR(__xludf.DUMMYFUNCTION("""COMPUTED_VALUE"""),0)</f>
        <v>0</v>
      </c>
      <c r="BN309" s="24">
        <f ca="1">IFERROR(__xludf.DUMMYFUNCTION("""COMPUTED_VALUE"""),0)</f>
        <v>0</v>
      </c>
      <c r="BO309" s="20"/>
      <c r="BP309" s="24">
        <f ca="1">IFERROR(__xludf.DUMMYFUNCTION("""COMPUTED_VALUE"""),0)</f>
        <v>0</v>
      </c>
      <c r="BQ309" s="24">
        <f ca="1">IFERROR(__xludf.DUMMYFUNCTION("""COMPUTED_VALUE"""),0)</f>
        <v>0</v>
      </c>
      <c r="BR309" s="24">
        <f ca="1">IFERROR(__xludf.DUMMYFUNCTION("""COMPUTED_VALUE"""),0)</f>
        <v>0</v>
      </c>
      <c r="BS309" s="24">
        <f ca="1">IFERROR(__xludf.DUMMYFUNCTION("""COMPUTED_VALUE"""),0)</f>
        <v>0</v>
      </c>
      <c r="BT309" s="24">
        <f ca="1">IFERROR(__xludf.DUMMYFUNCTION("""COMPUTED_VALUE"""),0)</f>
        <v>0</v>
      </c>
      <c r="BU309" s="20"/>
      <c r="BV309" s="24">
        <f ca="1">IFERROR(__xludf.DUMMYFUNCTION("""COMPUTED_VALUE"""),0)</f>
        <v>0</v>
      </c>
      <c r="BW309" s="24">
        <f ca="1">IFERROR(__xludf.DUMMYFUNCTION("""COMPUTED_VALUE"""),0)</f>
        <v>0</v>
      </c>
      <c r="BX309" s="24">
        <f ca="1">IFERROR(__xludf.DUMMYFUNCTION("""COMPUTED_VALUE"""),0)</f>
        <v>0</v>
      </c>
      <c r="BY309" s="24">
        <f ca="1">IFERROR(__xludf.DUMMYFUNCTION("""COMPUTED_VALUE"""),0)</f>
        <v>0</v>
      </c>
      <c r="BZ309" s="24">
        <f ca="1">IFERROR(__xludf.DUMMYFUNCTION("""COMPUTED_VALUE"""),0)</f>
        <v>0</v>
      </c>
      <c r="CA309" s="20"/>
      <c r="CB309" s="20"/>
      <c r="CC309" s="20"/>
      <c r="CD309" s="20"/>
      <c r="CE309" s="20"/>
      <c r="CF309" s="20"/>
      <c r="CG309" s="20"/>
      <c r="CH309" s="20"/>
      <c r="CI309" s="20"/>
      <c r="CJ309" s="20"/>
      <c r="CK309" s="25">
        <f ca="1">IFERROR(__xludf.DUMMYFUNCTION("""COMPUTED_VALUE"""),44125)</f>
        <v>44125</v>
      </c>
      <c r="CL309" s="20" t="str">
        <f ca="1">IFERROR(__xludf.DUMMYFUNCTION("""COMPUTED_VALUE"""),"50-1-1-3-1651-20")</f>
        <v>50-1-1-3-1651-20</v>
      </c>
      <c r="CM309" s="20"/>
      <c r="CN309" s="20"/>
      <c r="CO309" s="20"/>
      <c r="CP309" s="20"/>
      <c r="CQ309" s="20"/>
      <c r="CR309" s="20"/>
      <c r="CS309" s="20"/>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row>
    <row r="310" spans="1:123" ht="64.5" customHeight="1" x14ac:dyDescent="0.2">
      <c r="A310" s="19"/>
      <c r="B310" s="20" t="str">
        <f ca="1">IFERROR(__xludf.DUMMYFUNCTION("""COMPUTED_VALUE"""),"г.о. Зарайск")</f>
        <v>г.о. Зарайск</v>
      </c>
      <c r="C31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0" s="20" t="str">
        <f ca="1">IFERROR(__xludf.DUMMYFUNCTION("""COMPUTED_VALUE"""),"МинЖКХ ""ТОП 5 (1 этап)""")</f>
        <v>МинЖКХ "ТОП 5 (1 этап)"</v>
      </c>
      <c r="E310" s="20" t="str">
        <f ca="1">IFERROR(__xludf.DUMMYFUNCTION("""COMPUTED_VALUE"""),"Строительство блочно-модульной котельной со снижением мощности в пос. ц.у. с/х ""40 лет Октября, г.о. Зарайск (в т.ч. ПИР) ")</f>
        <v xml:space="preserve">Строительство блочно-модульной котельной со снижением мощности в пос. ц.у. с/х "40 лет Октября, г.о. Зарайск (в т.ч. ПИР) </v>
      </c>
      <c r="F310" s="32" t="str">
        <f ca="1">IFERROR(__xludf.DUMMYFUNCTION("""COMPUTED_VALUE"""),"БМК")</f>
        <v>БМК</v>
      </c>
      <c r="G310" s="20">
        <f ca="1">IFERROR(__xludf.DUMMYFUNCTION("""COMPUTED_VALUE"""),2020)</f>
        <v>2020</v>
      </c>
      <c r="H310" s="20" t="str">
        <f ca="1">IFERROR(__xludf.DUMMYFUNCTION("""COMPUTED_VALUE"""),"СМР")</f>
        <v>СМР</v>
      </c>
      <c r="I310" s="20">
        <f ca="1">IFERROR(__xludf.DUMMYFUNCTION("""COMPUTED_VALUE"""),12)</f>
        <v>12</v>
      </c>
      <c r="J310" s="20" t="str">
        <f ca="1">IFERROR(__xludf.DUMMYFUNCTION("""COMPUTED_VALUE"""),"Ведутся земляные работы и устройство фундамента до 15.11.2020. Горелки и котельная поставлены  на объект. ")</f>
        <v xml:space="preserve">Ведутся земляные работы и устройство фундамента до 15.11.2020. Горелки и котельная поставлены  на объект. </v>
      </c>
      <c r="K310" s="20">
        <f ca="1">IFERROR(__xludf.DUMMYFUNCTION("""COMPUTED_VALUE"""),520)</f>
        <v>520</v>
      </c>
      <c r="L310" s="20">
        <f ca="1">IFERROR(__xludf.DUMMYFUNCTION("""COMPUTED_VALUE"""),520)</f>
        <v>520</v>
      </c>
      <c r="M310" s="20"/>
      <c r="N310" s="24">
        <f ca="1">IFERROR(__xludf.DUMMYFUNCTION("""COMPUTED_VALUE"""),14224.31)</f>
        <v>14224.31</v>
      </c>
      <c r="O310" s="20"/>
      <c r="P310" s="24">
        <f ca="1">IFERROR(__xludf.DUMMYFUNCTION("""COMPUTED_VALUE"""),0)</f>
        <v>0</v>
      </c>
      <c r="Q310" s="20">
        <f ca="1">IFERROR(__xludf.DUMMYFUNCTION("""COMPUTED_VALUE"""),14224.31)</f>
        <v>14224.31</v>
      </c>
      <c r="R310" s="20"/>
      <c r="S310" s="20"/>
      <c r="T310" s="20"/>
      <c r="U310" s="24">
        <f ca="1">IFERROR(__xludf.DUMMYFUNCTION("""COMPUTED_VALUE"""),1838.99)</f>
        <v>1838.99</v>
      </c>
      <c r="V310" s="24">
        <f ca="1">IFERROR(__xludf.DUMMYFUNCTION("""COMPUTED_VALUE"""),0)</f>
        <v>0</v>
      </c>
      <c r="W310" s="24">
        <f ca="1">IFERROR(__xludf.DUMMYFUNCTION("""COMPUTED_VALUE"""),0)</f>
        <v>0</v>
      </c>
      <c r="X310" s="24">
        <f ca="1">IFERROR(__xludf.DUMMYFUNCTION("""COMPUTED_VALUE"""),650.310000000001)</f>
        <v>650.31000000000097</v>
      </c>
      <c r="Y310" s="24">
        <f ca="1">IFERROR(__xludf.DUMMYFUNCTION("""COMPUTED_VALUE"""),1188.68)</f>
        <v>1188.68</v>
      </c>
      <c r="Z310" s="24">
        <f ca="1">IFERROR(__xludf.DUMMYFUNCTION("""COMPUTED_VALUE"""),0)</f>
        <v>0</v>
      </c>
      <c r="AA310" s="20" t="str">
        <f ca="1">IFERROR(__xludf.DUMMYFUNCTION("""COMPUTED_VALUE"""),"10 3 02 64080")</f>
        <v>10 3 02 64080</v>
      </c>
      <c r="AB310" s="20">
        <f ca="1">IFERROR(__xludf.DUMMYFUNCTION("""COMPUTED_VALUE"""),522)</f>
        <v>522</v>
      </c>
      <c r="AC310" s="20"/>
      <c r="AD310" s="20"/>
      <c r="AE310" s="20"/>
      <c r="AF310" s="24">
        <f ca="1">IFERROR(__xludf.DUMMYFUNCTION("""COMPUTED_VALUE"""),16063.3)</f>
        <v>16063.3</v>
      </c>
      <c r="AG310" s="24">
        <f ca="1">IFERROR(__xludf.DUMMYFUNCTION("""COMPUTED_VALUE"""),0)</f>
        <v>0</v>
      </c>
      <c r="AH310" s="24">
        <f ca="1">IFERROR(__xludf.DUMMYFUNCTION("""COMPUTED_VALUE"""),0)</f>
        <v>0</v>
      </c>
      <c r="AI310" s="24">
        <f ca="1">IFERROR(__xludf.DUMMYFUNCTION("""COMPUTED_VALUE"""),14874.62)</f>
        <v>14874.62</v>
      </c>
      <c r="AJ310" s="24">
        <f ca="1">IFERROR(__xludf.DUMMYFUNCTION("""COMPUTED_VALUE"""),1188.68)</f>
        <v>1188.68</v>
      </c>
      <c r="AK310" s="24">
        <f ca="1">IFERROR(__xludf.DUMMYFUNCTION("""COMPUTED_VALUE"""),0)</f>
        <v>0</v>
      </c>
      <c r="AL310" s="24">
        <f ca="1">IFERROR(__xludf.DUMMYFUNCTION("""COMPUTED_VALUE"""),0)</f>
        <v>0</v>
      </c>
      <c r="AM310" s="20"/>
      <c r="AN310" s="20"/>
      <c r="AO310" s="20"/>
      <c r="AP310" s="20"/>
      <c r="AQ310" s="20"/>
      <c r="AR310" s="24">
        <f ca="1">IFERROR(__xludf.DUMMYFUNCTION("""COMPUTED_VALUE"""),0)</f>
        <v>0</v>
      </c>
      <c r="AS310" s="20"/>
      <c r="AT310" s="20"/>
      <c r="AU310" s="20"/>
      <c r="AV310" s="20"/>
      <c r="AW310" s="20"/>
      <c r="AX310" s="24">
        <f ca="1">IFERROR(__xludf.DUMMYFUNCTION("""COMPUTED_VALUE"""),16063.3)</f>
        <v>16063.3</v>
      </c>
      <c r="AY310" s="24">
        <f ca="1">IFERROR(__xludf.DUMMYFUNCTION("""COMPUTED_VALUE"""),0)</f>
        <v>0</v>
      </c>
      <c r="AZ310" s="24">
        <f ca="1">IFERROR(__xludf.DUMMYFUNCTION("""COMPUTED_VALUE"""),0)</f>
        <v>0</v>
      </c>
      <c r="BA310" s="24">
        <f ca="1">IFERROR(__xludf.DUMMYFUNCTION("""COMPUTED_VALUE"""),14874.62)</f>
        <v>14874.62</v>
      </c>
      <c r="BB310" s="24">
        <f ca="1">IFERROR(__xludf.DUMMYFUNCTION("""COMPUTED_VALUE"""),1188.68)</f>
        <v>1188.68</v>
      </c>
      <c r="BC310" s="20"/>
      <c r="BD310" s="24">
        <f ca="1">IFERROR(__xludf.DUMMYFUNCTION("""COMPUTED_VALUE"""),0)</f>
        <v>0</v>
      </c>
      <c r="BE310" s="24">
        <f ca="1">IFERROR(__xludf.DUMMYFUNCTION("""COMPUTED_VALUE"""),0)</f>
        <v>0</v>
      </c>
      <c r="BF310" s="24">
        <f ca="1">IFERROR(__xludf.DUMMYFUNCTION("""COMPUTED_VALUE"""),0)</f>
        <v>0</v>
      </c>
      <c r="BG310" s="24">
        <f ca="1">IFERROR(__xludf.DUMMYFUNCTION("""COMPUTED_VALUE"""),0)</f>
        <v>0</v>
      </c>
      <c r="BH310" s="24">
        <f ca="1">IFERROR(__xludf.DUMMYFUNCTION("""COMPUTED_VALUE"""),0)</f>
        <v>0</v>
      </c>
      <c r="BI310" s="20"/>
      <c r="BJ310" s="24">
        <f ca="1">IFERROR(__xludf.DUMMYFUNCTION("""COMPUTED_VALUE"""),0)</f>
        <v>0</v>
      </c>
      <c r="BK310" s="24">
        <f ca="1">IFERROR(__xludf.DUMMYFUNCTION("""COMPUTED_VALUE"""),0)</f>
        <v>0</v>
      </c>
      <c r="BL310" s="24">
        <f ca="1">IFERROR(__xludf.DUMMYFUNCTION("""COMPUTED_VALUE"""),0)</f>
        <v>0</v>
      </c>
      <c r="BM310" s="24">
        <f ca="1">IFERROR(__xludf.DUMMYFUNCTION("""COMPUTED_VALUE"""),0)</f>
        <v>0</v>
      </c>
      <c r="BN310" s="24">
        <f ca="1">IFERROR(__xludf.DUMMYFUNCTION("""COMPUTED_VALUE"""),0)</f>
        <v>0</v>
      </c>
      <c r="BO310" s="20"/>
      <c r="BP310" s="24">
        <f ca="1">IFERROR(__xludf.DUMMYFUNCTION("""COMPUTED_VALUE"""),0)</f>
        <v>0</v>
      </c>
      <c r="BQ310" s="24">
        <f ca="1">IFERROR(__xludf.DUMMYFUNCTION("""COMPUTED_VALUE"""),0)</f>
        <v>0</v>
      </c>
      <c r="BR310" s="24">
        <f ca="1">IFERROR(__xludf.DUMMYFUNCTION("""COMPUTED_VALUE"""),0)</f>
        <v>0</v>
      </c>
      <c r="BS310" s="24">
        <f ca="1">IFERROR(__xludf.DUMMYFUNCTION("""COMPUTED_VALUE"""),0)</f>
        <v>0</v>
      </c>
      <c r="BT310" s="24">
        <f ca="1">IFERROR(__xludf.DUMMYFUNCTION("""COMPUTED_VALUE"""),0)</f>
        <v>0</v>
      </c>
      <c r="BU310" s="20"/>
      <c r="BV310" s="24">
        <f ca="1">IFERROR(__xludf.DUMMYFUNCTION("""COMPUTED_VALUE"""),0)</f>
        <v>0</v>
      </c>
      <c r="BW310" s="24">
        <f ca="1">IFERROR(__xludf.DUMMYFUNCTION("""COMPUTED_VALUE"""),0)</f>
        <v>0</v>
      </c>
      <c r="BX310" s="24">
        <f ca="1">IFERROR(__xludf.DUMMYFUNCTION("""COMPUTED_VALUE"""),0)</f>
        <v>0</v>
      </c>
      <c r="BY310" s="24">
        <f ca="1">IFERROR(__xludf.DUMMYFUNCTION("""COMPUTED_VALUE"""),0)</f>
        <v>0</v>
      </c>
      <c r="BZ310" s="24">
        <f ca="1">IFERROR(__xludf.DUMMYFUNCTION("""COMPUTED_VALUE"""),0)</f>
        <v>0</v>
      </c>
      <c r="CA310" s="20"/>
      <c r="CB310" s="20"/>
      <c r="CC310" s="20"/>
      <c r="CD310" s="20"/>
      <c r="CE310" s="20"/>
      <c r="CF310" s="20"/>
      <c r="CG310" s="20"/>
      <c r="CH310" s="20"/>
      <c r="CI310" s="20"/>
      <c r="CJ310" s="20"/>
      <c r="CK310" s="25">
        <f ca="1">IFERROR(__xludf.DUMMYFUNCTION("""COMPUTED_VALUE"""),44125)</f>
        <v>44125</v>
      </c>
      <c r="CL310" s="20" t="str">
        <f ca="1">IFERROR(__xludf.DUMMYFUNCTION("""COMPUTED_VALUE"""),"50-1-1-3-1642-20 ")</f>
        <v xml:space="preserve">50-1-1-3-1642-20 </v>
      </c>
      <c r="CM310" s="20"/>
      <c r="CN310" s="20"/>
      <c r="CO310" s="20"/>
      <c r="CP310" s="20"/>
      <c r="CQ310" s="20"/>
      <c r="CR310" s="20"/>
      <c r="CS310" s="20"/>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row>
    <row r="311" spans="1:123" ht="64.5" customHeight="1" x14ac:dyDescent="0.2">
      <c r="A311" s="19"/>
      <c r="B311" s="20" t="str">
        <f ca="1">IFERROR(__xludf.DUMMYFUNCTION("""COMPUTED_VALUE"""),"г.о. Зарайск")</f>
        <v>г.о. Зарайск</v>
      </c>
      <c r="C31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1" s="20" t="str">
        <f ca="1">IFERROR(__xludf.DUMMYFUNCTION("""COMPUTED_VALUE"""),"МинЖКХ ""ТОП 5 (1 этап)""")</f>
        <v>МинЖКХ "ТОП 5 (1 этап)"</v>
      </c>
      <c r="E311" s="20" t="str">
        <f ca="1">IFERROR(__xludf.DUMMYFUNCTION("""COMPUTED_VALUE"""),"Строительство блочно-модульной котельной со снижением мощности в с. Макеево, г.о. Зарайск (в т.ч. ПИР) ")</f>
        <v xml:space="preserve">Строительство блочно-модульной котельной со снижением мощности в с. Макеево, г.о. Зарайск (в т.ч. ПИР) </v>
      </c>
      <c r="F311" s="32" t="str">
        <f ca="1">IFERROR(__xludf.DUMMYFUNCTION("""COMPUTED_VALUE"""),"БМК")</f>
        <v>БМК</v>
      </c>
      <c r="G311" s="20" t="str">
        <f ca="1">IFERROR(__xludf.DUMMYFUNCTION("""COMPUTED_VALUE"""),"2020-2021")</f>
        <v>2020-2021</v>
      </c>
      <c r="H311" s="20" t="str">
        <f ca="1">IFERROR(__xludf.DUMMYFUNCTION("""COMPUTED_VALUE"""),"ПИР ")</f>
        <v xml:space="preserve">ПИР </v>
      </c>
      <c r="I311" s="20"/>
      <c r="J311" s="20"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K311" s="20">
        <f ca="1">IFERROR(__xludf.DUMMYFUNCTION("""COMPUTED_VALUE"""),1100)</f>
        <v>1100</v>
      </c>
      <c r="L311" s="20">
        <f ca="1">IFERROR(__xludf.DUMMYFUNCTION("""COMPUTED_VALUE"""),1100)</f>
        <v>1100</v>
      </c>
      <c r="M311" s="20"/>
      <c r="N311" s="24">
        <f ca="1">IFERROR(__xludf.DUMMYFUNCTION("""COMPUTED_VALUE"""),0)</f>
        <v>0</v>
      </c>
      <c r="O311" s="20"/>
      <c r="P311" s="24">
        <f ca="1">IFERROR(__xludf.DUMMYFUNCTION("""COMPUTED_VALUE"""),0)</f>
        <v>0</v>
      </c>
      <c r="Q311" s="20"/>
      <c r="R311" s="20"/>
      <c r="S311" s="20"/>
      <c r="T311" s="20"/>
      <c r="U311" s="24">
        <f ca="1">IFERROR(__xludf.DUMMYFUNCTION("""COMPUTED_VALUE"""),2500)</f>
        <v>2500</v>
      </c>
      <c r="V311" s="24">
        <f ca="1">IFERROR(__xludf.DUMMYFUNCTION("""COMPUTED_VALUE"""),0)</f>
        <v>0</v>
      </c>
      <c r="W311" s="24">
        <f ca="1">IFERROR(__xludf.DUMMYFUNCTION("""COMPUTED_VALUE"""),0)</f>
        <v>0</v>
      </c>
      <c r="X311" s="24">
        <f ca="1">IFERROR(__xludf.DUMMYFUNCTION("""COMPUTED_VALUE"""),2315)</f>
        <v>2315</v>
      </c>
      <c r="Y311" s="24">
        <f ca="1">IFERROR(__xludf.DUMMYFUNCTION("""COMPUTED_VALUE"""),185)</f>
        <v>185</v>
      </c>
      <c r="Z311" s="24">
        <f ca="1">IFERROR(__xludf.DUMMYFUNCTION("""COMPUTED_VALUE"""),0)</f>
        <v>0</v>
      </c>
      <c r="AA311" s="20" t="str">
        <f ca="1">IFERROR(__xludf.DUMMYFUNCTION("""COMPUTED_VALUE"""),"10 3 02 64080")</f>
        <v>10 3 02 64080</v>
      </c>
      <c r="AB311" s="20">
        <f ca="1">IFERROR(__xludf.DUMMYFUNCTION("""COMPUTED_VALUE"""),522)</f>
        <v>522</v>
      </c>
      <c r="AC311" s="20"/>
      <c r="AD311" s="20"/>
      <c r="AE311" s="20"/>
      <c r="AF311" s="24">
        <f ca="1">IFERROR(__xludf.DUMMYFUNCTION("""COMPUTED_VALUE"""),17322.01)</f>
        <v>17322.009999999998</v>
      </c>
      <c r="AG311" s="24">
        <f ca="1">IFERROR(__xludf.DUMMYFUNCTION("""COMPUTED_VALUE"""),0)</f>
        <v>0</v>
      </c>
      <c r="AH311" s="24">
        <f ca="1">IFERROR(__xludf.DUMMYFUNCTION("""COMPUTED_VALUE"""),0)</f>
        <v>0</v>
      </c>
      <c r="AI311" s="24">
        <f ca="1">IFERROR(__xludf.DUMMYFUNCTION("""COMPUTED_VALUE"""),16040.18)</f>
        <v>16040.18</v>
      </c>
      <c r="AJ311" s="24">
        <f ca="1">IFERROR(__xludf.DUMMYFUNCTION("""COMPUTED_VALUE"""),1281.83)</f>
        <v>1281.83</v>
      </c>
      <c r="AK311" s="24">
        <f ca="1">IFERROR(__xludf.DUMMYFUNCTION("""COMPUTED_VALUE"""),0)</f>
        <v>0</v>
      </c>
      <c r="AL311" s="24">
        <f ca="1">IFERROR(__xludf.DUMMYFUNCTION("""COMPUTED_VALUE"""),0)</f>
        <v>0</v>
      </c>
      <c r="AM311" s="20"/>
      <c r="AN311" s="20"/>
      <c r="AO311" s="20"/>
      <c r="AP311" s="20"/>
      <c r="AQ311" s="20"/>
      <c r="AR311" s="24">
        <f ca="1">IFERROR(__xludf.DUMMYFUNCTION("""COMPUTED_VALUE"""),0)</f>
        <v>0</v>
      </c>
      <c r="AS311" s="20"/>
      <c r="AT311" s="20"/>
      <c r="AU311" s="20"/>
      <c r="AV311" s="20"/>
      <c r="AW311" s="20"/>
      <c r="AX311" s="24">
        <f ca="1">IFERROR(__xludf.DUMMYFUNCTION("""COMPUTED_VALUE"""),2500)</f>
        <v>2500</v>
      </c>
      <c r="AY311" s="24">
        <f ca="1">IFERROR(__xludf.DUMMYFUNCTION("""COMPUTED_VALUE"""),0)</f>
        <v>0</v>
      </c>
      <c r="AZ311" s="24">
        <f ca="1">IFERROR(__xludf.DUMMYFUNCTION("""COMPUTED_VALUE"""),0)</f>
        <v>0</v>
      </c>
      <c r="BA311" s="24">
        <f ca="1">IFERROR(__xludf.DUMMYFUNCTION("""COMPUTED_VALUE"""),2315)</f>
        <v>2315</v>
      </c>
      <c r="BB311" s="24">
        <f ca="1">IFERROR(__xludf.DUMMYFUNCTION("""COMPUTED_VALUE"""),185)</f>
        <v>185</v>
      </c>
      <c r="BC311" s="20"/>
      <c r="BD311" s="24">
        <f ca="1">IFERROR(__xludf.DUMMYFUNCTION("""COMPUTED_VALUE"""),14822.01)</f>
        <v>14822.01</v>
      </c>
      <c r="BE311" s="24">
        <f ca="1">IFERROR(__xludf.DUMMYFUNCTION("""COMPUTED_VALUE"""),0)</f>
        <v>0</v>
      </c>
      <c r="BF311" s="24">
        <f ca="1">IFERROR(__xludf.DUMMYFUNCTION("""COMPUTED_VALUE"""),0)</f>
        <v>0</v>
      </c>
      <c r="BG311" s="24">
        <f ca="1">IFERROR(__xludf.DUMMYFUNCTION("""COMPUTED_VALUE"""),13725.18)</f>
        <v>13725.18</v>
      </c>
      <c r="BH311" s="24">
        <f ca="1">IFERROR(__xludf.DUMMYFUNCTION("""COMPUTED_VALUE"""),1096.83)</f>
        <v>1096.83</v>
      </c>
      <c r="BI311" s="20"/>
      <c r="BJ311" s="24">
        <f ca="1">IFERROR(__xludf.DUMMYFUNCTION("""COMPUTED_VALUE"""),0)</f>
        <v>0</v>
      </c>
      <c r="BK311" s="24">
        <f ca="1">IFERROR(__xludf.DUMMYFUNCTION("""COMPUTED_VALUE"""),0)</f>
        <v>0</v>
      </c>
      <c r="BL311" s="24">
        <f ca="1">IFERROR(__xludf.DUMMYFUNCTION("""COMPUTED_VALUE"""),0)</f>
        <v>0</v>
      </c>
      <c r="BM311" s="24">
        <f ca="1">IFERROR(__xludf.DUMMYFUNCTION("""COMPUTED_VALUE"""),0)</f>
        <v>0</v>
      </c>
      <c r="BN311" s="24">
        <f ca="1">IFERROR(__xludf.DUMMYFUNCTION("""COMPUTED_VALUE"""),0)</f>
        <v>0</v>
      </c>
      <c r="BO311" s="20"/>
      <c r="BP311" s="24">
        <f ca="1">IFERROR(__xludf.DUMMYFUNCTION("""COMPUTED_VALUE"""),0)</f>
        <v>0</v>
      </c>
      <c r="BQ311" s="24">
        <f ca="1">IFERROR(__xludf.DUMMYFUNCTION("""COMPUTED_VALUE"""),0)</f>
        <v>0</v>
      </c>
      <c r="BR311" s="24">
        <f ca="1">IFERROR(__xludf.DUMMYFUNCTION("""COMPUTED_VALUE"""),0)</f>
        <v>0</v>
      </c>
      <c r="BS311" s="24">
        <f ca="1">IFERROR(__xludf.DUMMYFUNCTION("""COMPUTED_VALUE"""),0)</f>
        <v>0</v>
      </c>
      <c r="BT311" s="24">
        <f ca="1">IFERROR(__xludf.DUMMYFUNCTION("""COMPUTED_VALUE"""),0)</f>
        <v>0</v>
      </c>
      <c r="BU311" s="20"/>
      <c r="BV311" s="24">
        <f ca="1">IFERROR(__xludf.DUMMYFUNCTION("""COMPUTED_VALUE"""),0)</f>
        <v>0</v>
      </c>
      <c r="BW311" s="24">
        <f ca="1">IFERROR(__xludf.DUMMYFUNCTION("""COMPUTED_VALUE"""),0)</f>
        <v>0</v>
      </c>
      <c r="BX311" s="24">
        <f ca="1">IFERROR(__xludf.DUMMYFUNCTION("""COMPUTED_VALUE"""),0)</f>
        <v>0</v>
      </c>
      <c r="BY311" s="24">
        <f ca="1">IFERROR(__xludf.DUMMYFUNCTION("""COMPUTED_VALUE"""),0)</f>
        <v>0</v>
      </c>
      <c r="BZ311" s="24">
        <f ca="1">IFERROR(__xludf.DUMMYFUNCTION("""COMPUTED_VALUE"""),0)</f>
        <v>0</v>
      </c>
      <c r="CA311" s="20"/>
      <c r="CB311" s="20"/>
      <c r="CC311" s="20"/>
      <c r="CD311" s="20"/>
      <c r="CE311" s="20"/>
      <c r="CF311" s="20"/>
      <c r="CG311" s="20"/>
      <c r="CH311" s="20"/>
      <c r="CI311" s="20"/>
      <c r="CJ311" s="20"/>
      <c r="CK311" s="20"/>
      <c r="CL311" s="20"/>
      <c r="CM311" s="20"/>
      <c r="CN311" s="20"/>
      <c r="CO311" s="20"/>
      <c r="CP311" s="20"/>
      <c r="CQ311" s="20"/>
      <c r="CR311" s="20"/>
      <c r="CS311" s="20"/>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row>
    <row r="312" spans="1:123" ht="64.5" customHeight="1" x14ac:dyDescent="0.2">
      <c r="A312" s="19"/>
      <c r="B312" s="20" t="str">
        <f ca="1">IFERROR(__xludf.DUMMYFUNCTION("""COMPUTED_VALUE"""),"г.о. Кашира")</f>
        <v>г.о. Кашира</v>
      </c>
      <c r="C312" s="20" t="str">
        <f ca="1">IFERROR(__xludf.DUMMYFUNCTION("""COMPUTED_VALUE"""),"Предоставление иных межбюджетных трансфертов из бюджета Московской области  бюджетам муниципальных образований Московской области  на реализацию проектов государственно - частного партнерства в сфере теплоснабжения")</f>
        <v>Предоставление иных межбюджетных трансфертов из бюджета Московской области  бюджетам муниципальных образований Московской области  на реализацию проектов государственно - частного партнерства в сфере теплоснабжения</v>
      </c>
      <c r="D312" s="20" t="str">
        <f ca="1">IFERROR(__xludf.DUMMYFUNCTION("""COMPUTED_VALUE"""),"МинЖКХ")</f>
        <v>МинЖКХ</v>
      </c>
      <c r="E312" s="20" t="str">
        <f ca="1">IFERROR(__xludf.DUMMYFUNCTION("""COMPUTED_VALUE"""),"Создание и модернизация объектов централизованного теплоснабжения и горячего водоснабжения на территории г.о.  Кашира")</f>
        <v>Создание и модернизация объектов централизованного теплоснабжения и горячего водоснабжения на территории г.о.  Кашира</v>
      </c>
      <c r="F312" s="32" t="str">
        <f ca="1">IFERROR(__xludf.DUMMYFUNCTION("""COMPUTED_VALUE"""),"Сети")</f>
        <v>Сети</v>
      </c>
      <c r="G312" s="20">
        <f ca="1">IFERROR(__xludf.DUMMYFUNCTION("""COMPUTED_VALUE"""),2020)</f>
        <v>2020</v>
      </c>
      <c r="H312" s="20" t="str">
        <f ca="1">IFERROR(__xludf.DUMMYFUNCTION("""COMPUTED_VALUE"""),"СМР")</f>
        <v>СМР</v>
      </c>
      <c r="I312" s="20"/>
      <c r="J312" s="20" t="str">
        <f ca="1">IFERROR(__xludf.DUMMYFUNCTION("""COMPUTED_VALUE"""),"Последняя оплата должна пройти в ноябре 45 000 тыс. руб . По данным ОМСУ подрядчик не добросовестно выполняет обязательства по соглашению, глава пока платить не хочет.")</f>
        <v>Последняя оплата должна пройти в ноябре 45 000 тыс. руб . По данным ОМСУ подрядчик не добросовестно выполняет обязательства по соглашению, глава пока платить не хочет.</v>
      </c>
      <c r="K312" s="20">
        <f ca="1">IFERROR(__xludf.DUMMYFUNCTION("""COMPUTED_VALUE"""),28000)</f>
        <v>28000</v>
      </c>
      <c r="L312" s="20">
        <f ca="1">IFERROR(__xludf.DUMMYFUNCTION("""COMPUTED_VALUE"""),28000)</f>
        <v>28000</v>
      </c>
      <c r="M312" s="20"/>
      <c r="N312" s="24">
        <f ca="1">IFERROR(__xludf.DUMMYFUNCTION("""COMPUTED_VALUE"""),230000)</f>
        <v>230000</v>
      </c>
      <c r="O312" s="20"/>
      <c r="P312" s="24">
        <f ca="1">IFERROR(__xludf.DUMMYFUNCTION("""COMPUTED_VALUE"""),230000)</f>
        <v>230000</v>
      </c>
      <c r="Q312" s="20"/>
      <c r="R312" s="20"/>
      <c r="S312" s="20"/>
      <c r="T312" s="20"/>
      <c r="U312" s="24">
        <f ca="1">IFERROR(__xludf.DUMMYFUNCTION("""COMPUTED_VALUE"""),0)</f>
        <v>0</v>
      </c>
      <c r="V312" s="24">
        <f ca="1">IFERROR(__xludf.DUMMYFUNCTION("""COMPUTED_VALUE"""),0)</f>
        <v>0</v>
      </c>
      <c r="W312" s="24">
        <f ca="1">IFERROR(__xludf.DUMMYFUNCTION("""COMPUTED_VALUE"""),0)</f>
        <v>0</v>
      </c>
      <c r="X312" s="24">
        <f ca="1">IFERROR(__xludf.DUMMYFUNCTION("""COMPUTED_VALUE"""),0)</f>
        <v>0</v>
      </c>
      <c r="Y312" s="24">
        <f ca="1">IFERROR(__xludf.DUMMYFUNCTION("""COMPUTED_VALUE"""),0)</f>
        <v>0</v>
      </c>
      <c r="Z312" s="24">
        <f ca="1">IFERROR(__xludf.DUMMYFUNCTION("""COMPUTED_VALUE"""),0)</f>
        <v>0</v>
      </c>
      <c r="AA312" s="20"/>
      <c r="AB312" s="20"/>
      <c r="AC312" s="20"/>
      <c r="AD312" s="20"/>
      <c r="AE312" s="20"/>
      <c r="AF312" s="24">
        <f ca="1">IFERROR(__xludf.DUMMYFUNCTION("""COMPUTED_VALUE"""),230000)</f>
        <v>230000</v>
      </c>
      <c r="AG312" s="24">
        <f ca="1">IFERROR(__xludf.DUMMYFUNCTION("""COMPUTED_VALUE"""),0)</f>
        <v>0</v>
      </c>
      <c r="AH312" s="24">
        <f ca="1">IFERROR(__xludf.DUMMYFUNCTION("""COMPUTED_VALUE"""),230000)</f>
        <v>230000</v>
      </c>
      <c r="AI312" s="24">
        <f ca="1">IFERROR(__xludf.DUMMYFUNCTION("""COMPUTED_VALUE"""),0)</f>
        <v>0</v>
      </c>
      <c r="AJ312" s="24">
        <f ca="1">IFERROR(__xludf.DUMMYFUNCTION("""COMPUTED_VALUE"""),0)</f>
        <v>0</v>
      </c>
      <c r="AK312" s="24">
        <f ca="1">IFERROR(__xludf.DUMMYFUNCTION("""COMPUTED_VALUE"""),0)</f>
        <v>0</v>
      </c>
      <c r="AL312" s="24">
        <f ca="1">IFERROR(__xludf.DUMMYFUNCTION("""COMPUTED_VALUE"""),0)</f>
        <v>0</v>
      </c>
      <c r="AM312" s="20"/>
      <c r="AN312" s="20"/>
      <c r="AO312" s="20"/>
      <c r="AP312" s="20"/>
      <c r="AQ312" s="20"/>
      <c r="AR312" s="24">
        <f ca="1">IFERROR(__xludf.DUMMYFUNCTION("""COMPUTED_VALUE"""),0)</f>
        <v>0</v>
      </c>
      <c r="AS312" s="20"/>
      <c r="AT312" s="20"/>
      <c r="AU312" s="20"/>
      <c r="AV312" s="20"/>
      <c r="AW312" s="20"/>
      <c r="AX312" s="24">
        <f ca="1">IFERROR(__xludf.DUMMYFUNCTION("""COMPUTED_VALUE"""),230000)</f>
        <v>230000</v>
      </c>
      <c r="AY312" s="24">
        <f ca="1">IFERROR(__xludf.DUMMYFUNCTION("""COMPUTED_VALUE"""),0)</f>
        <v>0</v>
      </c>
      <c r="AZ312" s="24">
        <f ca="1">IFERROR(__xludf.DUMMYFUNCTION("""COMPUTED_VALUE"""),230000)</f>
        <v>230000</v>
      </c>
      <c r="BA312" s="24">
        <f ca="1">IFERROR(__xludf.DUMMYFUNCTION("""COMPUTED_VALUE"""),0)</f>
        <v>0</v>
      </c>
      <c r="BB312" s="24">
        <f ca="1">IFERROR(__xludf.DUMMYFUNCTION("""COMPUTED_VALUE"""),0)</f>
        <v>0</v>
      </c>
      <c r="BC312" s="20"/>
      <c r="BD312" s="24">
        <f ca="1">IFERROR(__xludf.DUMMYFUNCTION("""COMPUTED_VALUE"""),0)</f>
        <v>0</v>
      </c>
      <c r="BE312" s="24">
        <f ca="1">IFERROR(__xludf.DUMMYFUNCTION("""COMPUTED_VALUE"""),0)</f>
        <v>0</v>
      </c>
      <c r="BF312" s="24">
        <f ca="1">IFERROR(__xludf.DUMMYFUNCTION("""COMPUTED_VALUE"""),0)</f>
        <v>0</v>
      </c>
      <c r="BG312" s="24">
        <f ca="1">IFERROR(__xludf.DUMMYFUNCTION("""COMPUTED_VALUE"""),0)</f>
        <v>0</v>
      </c>
      <c r="BH312" s="24">
        <f ca="1">IFERROR(__xludf.DUMMYFUNCTION("""COMPUTED_VALUE"""),0)</f>
        <v>0</v>
      </c>
      <c r="BI312" s="20"/>
      <c r="BJ312" s="24">
        <f ca="1">IFERROR(__xludf.DUMMYFUNCTION("""COMPUTED_VALUE"""),0)</f>
        <v>0</v>
      </c>
      <c r="BK312" s="24">
        <f ca="1">IFERROR(__xludf.DUMMYFUNCTION("""COMPUTED_VALUE"""),0)</f>
        <v>0</v>
      </c>
      <c r="BL312" s="24">
        <f ca="1">IFERROR(__xludf.DUMMYFUNCTION("""COMPUTED_VALUE"""),0)</f>
        <v>0</v>
      </c>
      <c r="BM312" s="24">
        <f ca="1">IFERROR(__xludf.DUMMYFUNCTION("""COMPUTED_VALUE"""),0)</f>
        <v>0</v>
      </c>
      <c r="BN312" s="24">
        <f ca="1">IFERROR(__xludf.DUMMYFUNCTION("""COMPUTED_VALUE"""),0)</f>
        <v>0</v>
      </c>
      <c r="BO312" s="20"/>
      <c r="BP312" s="24">
        <f ca="1">IFERROR(__xludf.DUMMYFUNCTION("""COMPUTED_VALUE"""),0)</f>
        <v>0</v>
      </c>
      <c r="BQ312" s="24">
        <f ca="1">IFERROR(__xludf.DUMMYFUNCTION("""COMPUTED_VALUE"""),0)</f>
        <v>0</v>
      </c>
      <c r="BR312" s="24">
        <f ca="1">IFERROR(__xludf.DUMMYFUNCTION("""COMPUTED_VALUE"""),0)</f>
        <v>0</v>
      </c>
      <c r="BS312" s="24">
        <f ca="1">IFERROR(__xludf.DUMMYFUNCTION("""COMPUTED_VALUE"""),0)</f>
        <v>0</v>
      </c>
      <c r="BT312" s="24">
        <f ca="1">IFERROR(__xludf.DUMMYFUNCTION("""COMPUTED_VALUE"""),0)</f>
        <v>0</v>
      </c>
      <c r="BU312" s="20"/>
      <c r="BV312" s="24">
        <f ca="1">IFERROR(__xludf.DUMMYFUNCTION("""COMPUTED_VALUE"""),0)</f>
        <v>0</v>
      </c>
      <c r="BW312" s="24">
        <f ca="1">IFERROR(__xludf.DUMMYFUNCTION("""COMPUTED_VALUE"""),0)</f>
        <v>0</v>
      </c>
      <c r="BX312" s="24">
        <f ca="1">IFERROR(__xludf.DUMMYFUNCTION("""COMPUTED_VALUE"""),0)</f>
        <v>0</v>
      </c>
      <c r="BY312" s="24">
        <f ca="1">IFERROR(__xludf.DUMMYFUNCTION("""COMPUTED_VALUE"""),0)</f>
        <v>0</v>
      </c>
      <c r="BZ312" s="24">
        <f ca="1">IFERROR(__xludf.DUMMYFUNCTION("""COMPUTED_VALUE"""),0)</f>
        <v>0</v>
      </c>
      <c r="CA312" s="20"/>
      <c r="CB312" s="20"/>
      <c r="CC312" s="20"/>
      <c r="CD312" s="20"/>
      <c r="CE312" s="20"/>
      <c r="CF312" s="20"/>
      <c r="CG312" s="20"/>
      <c r="CH312" s="20"/>
      <c r="CI312" s="20"/>
      <c r="CJ312" s="20"/>
      <c r="CK312" s="20"/>
      <c r="CL312" s="20"/>
      <c r="CM312" s="20"/>
      <c r="CN312" s="20"/>
      <c r="CO312" s="20"/>
      <c r="CP312" s="20"/>
      <c r="CQ312" s="20"/>
      <c r="CR312" s="20"/>
      <c r="CS312" s="20"/>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row>
    <row r="313" spans="1:123" ht="64.5" customHeight="1" x14ac:dyDescent="0.2">
      <c r="A313" s="19"/>
      <c r="B313" s="20" t="str">
        <f ca="1">IFERROR(__xludf.DUMMYFUNCTION("""COMPUTED_VALUE"""),"г.о. Кашира")</f>
        <v>г.о. Кашира</v>
      </c>
      <c r="C313" s="20" t="str">
        <f ca="1">IFERROR(__xludf.DUMMYFUNCTION("""COMPUTED_VALUE"""),"Предоставление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v>
      </c>
      <c r="D313" s="20" t="str">
        <f ca="1">IFERROR(__xludf.DUMMYFUNCTION("""COMPUTED_VALUE"""),"МинЖКХ")</f>
        <v>МинЖКХ</v>
      </c>
      <c r="E313" s="20" t="str">
        <f ca="1">IFERROR(__xludf.DUMMYFUNCTION("""COMPUTED_VALUE"""),"Субсидия на приобретение тепловых сетей филиала  ""Каширская ГРЭС"" АО ""Интер РАО -Электрогенерация"".")</f>
        <v>Субсидия на приобретение тепловых сетей филиала  "Каширская ГРЭС" АО "Интер РАО -Электрогенерация".</v>
      </c>
      <c r="F313" s="32" t="str">
        <f ca="1">IFERROR(__xludf.DUMMYFUNCTION("""COMPUTED_VALUE"""),"Сети")</f>
        <v>Сети</v>
      </c>
      <c r="G313" s="20">
        <f ca="1">IFERROR(__xludf.DUMMYFUNCTION("""COMPUTED_VALUE"""),2020)</f>
        <v>2020</v>
      </c>
      <c r="H313" s="20"/>
      <c r="I313" s="20"/>
      <c r="J313" s="20" t="str">
        <f ca="1">IFERROR(__xludf.DUMMYFUNCTION("""COMPUTED_VALUE"""),"Заключен муниципальный контракт с единственным поставщиком от 06.12.2019 № 8-КАШ/009-0282-19. Частичная оплта за приобретение сетей произведена в 2019 г., окончательная оплата планируется в соответствии с контрактом до 20.12.2020. Плановые работы отсутств"&amp;"уют.")</f>
        <v>Заключен муниципальный контракт с единственным поставщиком от 06.12.2019 № 8-КАШ/009-0282-19. Частичная оплта за приобретение сетей произведена в 2019 г., окончательная оплата планируется в соответствии с контрактом до 20.12.2020. Плановые работы отсутствуют.</v>
      </c>
      <c r="K313" s="20">
        <f ca="1">IFERROR(__xludf.DUMMYFUNCTION("""COMPUTED_VALUE"""),26000)</f>
        <v>26000</v>
      </c>
      <c r="L313" s="20">
        <f ca="1">IFERROR(__xludf.DUMMYFUNCTION("""COMPUTED_VALUE"""),26000)</f>
        <v>26000</v>
      </c>
      <c r="M313" s="20"/>
      <c r="N313" s="24">
        <f ca="1">IFERROR(__xludf.DUMMYFUNCTION("""COMPUTED_VALUE"""),63685)</f>
        <v>63685</v>
      </c>
      <c r="O313" s="20"/>
      <c r="P313" s="24">
        <f ca="1">IFERROR(__xludf.DUMMYFUNCTION("""COMPUTED_VALUE"""),52158)</f>
        <v>52158</v>
      </c>
      <c r="Q313" s="20"/>
      <c r="R313" s="20">
        <f ca="1">IFERROR(__xludf.DUMMYFUNCTION("""COMPUTED_VALUE"""),11527)</f>
        <v>11527</v>
      </c>
      <c r="S313" s="20"/>
      <c r="T313" s="20"/>
      <c r="U313" s="24">
        <f ca="1">IFERROR(__xludf.DUMMYFUNCTION("""COMPUTED_VALUE"""),0)</f>
        <v>0</v>
      </c>
      <c r="V313" s="24">
        <f ca="1">IFERROR(__xludf.DUMMYFUNCTION("""COMPUTED_VALUE"""),0)</f>
        <v>0</v>
      </c>
      <c r="W313" s="24">
        <f ca="1">IFERROR(__xludf.DUMMYFUNCTION("""COMPUTED_VALUE"""),0)</f>
        <v>0</v>
      </c>
      <c r="X313" s="24">
        <f ca="1">IFERROR(__xludf.DUMMYFUNCTION("""COMPUTED_VALUE"""),0)</f>
        <v>0</v>
      </c>
      <c r="Y313" s="24">
        <f ca="1">IFERROR(__xludf.DUMMYFUNCTION("""COMPUTED_VALUE"""),0)</f>
        <v>0</v>
      </c>
      <c r="Z313" s="24">
        <f ca="1">IFERROR(__xludf.DUMMYFUNCTION("""COMPUTED_VALUE"""),0)</f>
        <v>0</v>
      </c>
      <c r="AA313" s="20" t="str">
        <f ca="1">IFERROR(__xludf.DUMMYFUNCTION("""COMPUTED_VALUE"""),"10 3 02 64060")</f>
        <v>10 3 02 64060</v>
      </c>
      <c r="AB313" s="20">
        <f ca="1">IFERROR(__xludf.DUMMYFUNCTION("""COMPUTED_VALUE"""),520)</f>
        <v>520</v>
      </c>
      <c r="AC313" s="20"/>
      <c r="AD313" s="20"/>
      <c r="AE313" s="20"/>
      <c r="AF313" s="24">
        <f ca="1">IFERROR(__xludf.DUMMYFUNCTION("""COMPUTED_VALUE"""),63685)</f>
        <v>63685</v>
      </c>
      <c r="AG313" s="24">
        <f ca="1">IFERROR(__xludf.DUMMYFUNCTION("""COMPUTED_VALUE"""),0)</f>
        <v>0</v>
      </c>
      <c r="AH313" s="24">
        <f ca="1">IFERROR(__xludf.DUMMYFUNCTION("""COMPUTED_VALUE"""),52158)</f>
        <v>52158</v>
      </c>
      <c r="AI313" s="24">
        <f ca="1">IFERROR(__xludf.DUMMYFUNCTION("""COMPUTED_VALUE"""),0)</f>
        <v>0</v>
      </c>
      <c r="AJ313" s="24">
        <f ca="1">IFERROR(__xludf.DUMMYFUNCTION("""COMPUTED_VALUE"""),11527)</f>
        <v>11527</v>
      </c>
      <c r="AK313" s="24">
        <f ca="1">IFERROR(__xludf.DUMMYFUNCTION("""COMPUTED_VALUE"""),0)</f>
        <v>0</v>
      </c>
      <c r="AL313" s="24">
        <f ca="1">IFERROR(__xludf.DUMMYFUNCTION("""COMPUTED_VALUE"""),0)</f>
        <v>0</v>
      </c>
      <c r="AM313" s="20"/>
      <c r="AN313" s="20"/>
      <c r="AO313" s="20"/>
      <c r="AP313" s="20"/>
      <c r="AQ313" s="20"/>
      <c r="AR313" s="24">
        <f ca="1">IFERROR(__xludf.DUMMYFUNCTION("""COMPUTED_VALUE"""),0)</f>
        <v>0</v>
      </c>
      <c r="AS313" s="20"/>
      <c r="AT313" s="20"/>
      <c r="AU313" s="20"/>
      <c r="AV313" s="20"/>
      <c r="AW313" s="20"/>
      <c r="AX313" s="24">
        <f ca="1">IFERROR(__xludf.DUMMYFUNCTION("""COMPUTED_VALUE"""),63685)</f>
        <v>63685</v>
      </c>
      <c r="AY313" s="24">
        <f ca="1">IFERROR(__xludf.DUMMYFUNCTION("""COMPUTED_VALUE"""),0)</f>
        <v>0</v>
      </c>
      <c r="AZ313" s="24">
        <f ca="1">IFERROR(__xludf.DUMMYFUNCTION("""COMPUTED_VALUE"""),52158)</f>
        <v>52158</v>
      </c>
      <c r="BA313" s="24">
        <f ca="1">IFERROR(__xludf.DUMMYFUNCTION("""COMPUTED_VALUE"""),0)</f>
        <v>0</v>
      </c>
      <c r="BB313" s="24">
        <f ca="1">IFERROR(__xludf.DUMMYFUNCTION("""COMPUTED_VALUE"""),11527)</f>
        <v>11527</v>
      </c>
      <c r="BC313" s="20"/>
      <c r="BD313" s="24">
        <f ca="1">IFERROR(__xludf.DUMMYFUNCTION("""COMPUTED_VALUE"""),0)</f>
        <v>0</v>
      </c>
      <c r="BE313" s="24">
        <f ca="1">IFERROR(__xludf.DUMMYFUNCTION("""COMPUTED_VALUE"""),0)</f>
        <v>0</v>
      </c>
      <c r="BF313" s="24">
        <f ca="1">IFERROR(__xludf.DUMMYFUNCTION("""COMPUTED_VALUE"""),0)</f>
        <v>0</v>
      </c>
      <c r="BG313" s="24">
        <f ca="1">IFERROR(__xludf.DUMMYFUNCTION("""COMPUTED_VALUE"""),0)</f>
        <v>0</v>
      </c>
      <c r="BH313" s="24">
        <f ca="1">IFERROR(__xludf.DUMMYFUNCTION("""COMPUTED_VALUE"""),0)</f>
        <v>0</v>
      </c>
      <c r="BI313" s="20"/>
      <c r="BJ313" s="24">
        <f ca="1">IFERROR(__xludf.DUMMYFUNCTION("""COMPUTED_VALUE"""),0)</f>
        <v>0</v>
      </c>
      <c r="BK313" s="24">
        <f ca="1">IFERROR(__xludf.DUMMYFUNCTION("""COMPUTED_VALUE"""),0)</f>
        <v>0</v>
      </c>
      <c r="BL313" s="24">
        <f ca="1">IFERROR(__xludf.DUMMYFUNCTION("""COMPUTED_VALUE"""),0)</f>
        <v>0</v>
      </c>
      <c r="BM313" s="24">
        <f ca="1">IFERROR(__xludf.DUMMYFUNCTION("""COMPUTED_VALUE"""),0)</f>
        <v>0</v>
      </c>
      <c r="BN313" s="24">
        <f ca="1">IFERROR(__xludf.DUMMYFUNCTION("""COMPUTED_VALUE"""),0)</f>
        <v>0</v>
      </c>
      <c r="BO313" s="20"/>
      <c r="BP313" s="24">
        <f ca="1">IFERROR(__xludf.DUMMYFUNCTION("""COMPUTED_VALUE"""),0)</f>
        <v>0</v>
      </c>
      <c r="BQ313" s="24">
        <f ca="1">IFERROR(__xludf.DUMMYFUNCTION("""COMPUTED_VALUE"""),0)</f>
        <v>0</v>
      </c>
      <c r="BR313" s="24">
        <f ca="1">IFERROR(__xludf.DUMMYFUNCTION("""COMPUTED_VALUE"""),0)</f>
        <v>0</v>
      </c>
      <c r="BS313" s="24">
        <f ca="1">IFERROR(__xludf.DUMMYFUNCTION("""COMPUTED_VALUE"""),0)</f>
        <v>0</v>
      </c>
      <c r="BT313" s="24">
        <f ca="1">IFERROR(__xludf.DUMMYFUNCTION("""COMPUTED_VALUE"""),0)</f>
        <v>0</v>
      </c>
      <c r="BU313" s="20"/>
      <c r="BV313" s="24">
        <f ca="1">IFERROR(__xludf.DUMMYFUNCTION("""COMPUTED_VALUE"""),0)</f>
        <v>0</v>
      </c>
      <c r="BW313" s="24">
        <f ca="1">IFERROR(__xludf.DUMMYFUNCTION("""COMPUTED_VALUE"""),0)</f>
        <v>0</v>
      </c>
      <c r="BX313" s="24">
        <f ca="1">IFERROR(__xludf.DUMMYFUNCTION("""COMPUTED_VALUE"""),0)</f>
        <v>0</v>
      </c>
      <c r="BY313" s="24">
        <f ca="1">IFERROR(__xludf.DUMMYFUNCTION("""COMPUTED_VALUE"""),0)</f>
        <v>0</v>
      </c>
      <c r="BZ313" s="24">
        <f ca="1">IFERROR(__xludf.DUMMYFUNCTION("""COMPUTED_VALUE"""),0)</f>
        <v>0</v>
      </c>
      <c r="CA313" s="20"/>
      <c r="CB313" s="20"/>
      <c r="CC313" s="20"/>
      <c r="CD313" s="20"/>
      <c r="CE313" s="20"/>
      <c r="CF313" s="20"/>
      <c r="CG313" s="20"/>
      <c r="CH313" s="20"/>
      <c r="CI313" s="20"/>
      <c r="CJ313" s="20"/>
      <c r="CK313" s="20"/>
      <c r="CL313" s="20"/>
      <c r="CM313" s="20"/>
      <c r="CN313" s="20"/>
      <c r="CO313" s="20"/>
      <c r="CP313" s="20"/>
      <c r="CQ313" s="20"/>
      <c r="CR313" s="20"/>
      <c r="CS313" s="20"/>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row>
    <row r="314" spans="1:123" ht="64.5" customHeight="1" x14ac:dyDescent="0.2">
      <c r="A314" s="19"/>
      <c r="B314" s="20" t="str">
        <f ca="1">IFERROR(__xludf.DUMMYFUNCTION("""COMPUTED_VALUE"""),"г.о. Красногорск")</f>
        <v>г.о. Красногорск</v>
      </c>
      <c r="C31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4" s="20" t="str">
        <f ca="1">IFERROR(__xludf.DUMMYFUNCTION("""COMPUTED_VALUE"""),"МинЖКХ")</f>
        <v>МинЖКХ</v>
      </c>
      <c r="E314" s="20" t="str">
        <f ca="1">IFERROR(__xludf.DUMMYFUNCTION("""COMPUTED_VALUE"""),"Реконструкция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"&amp;"выполненные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f>
        <v xml:space="preserv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v>
      </c>
      <c r="F314" s="32" t="str">
        <f ca="1">IFERROR(__xludf.DUMMYFUNCTION("""COMPUTED_VALUE"""),"ЦТП")</f>
        <v>ЦТП</v>
      </c>
      <c r="G314" s="20">
        <f ca="1">IFERROR(__xludf.DUMMYFUNCTION("""COMPUTED_VALUE"""),2020)</f>
        <v>2020</v>
      </c>
      <c r="H314" s="20" t="str">
        <f ca="1">IFERROR(__xludf.DUMMYFUNCTION("""COMPUTED_VALUE"""),"ПИР")</f>
        <v>ПИР</v>
      </c>
      <c r="I314" s="20"/>
      <c r="J314" s="20" t="str">
        <f ca="1">IFERROR(__xludf.DUMMYFUNCTION("""COMPUTED_VALUE"""),"9 октября в 11:30 под руководством министра ЖКХ МО проведено совещание по вопросу реализации объектов 2021 года. По результатам проведенного совещания выполнено следующее:
- Изменение границ земельного участка невозможно. Принято решение о реконструкции "&amp;"действующей котельной без изменения ее параметров. Земельный участок получен в собственность Администрацией (выписка из ЕГРН от 08.10.2020).
На выездном совещании 28.10.2020 2020 совместно с представителями Администрации и другими заинтересованными орган"&amp;"изациями были приняты решения:  перепроектировать с разделением этапов на 2021-2022 годы и выполнить СМР в 2021 году по двум участкам сетей:
Санаторий (ХВС и канализация);
Дворец Юсупова (ХВС и теплоснабжение)
Дорожная карта по передаче электросетей на"&amp;" баланс Администрацией утверждена. Получено согласования по переводу в мун. собственность объектов электросетевого хозяйства  от Министерства благоустройства и Министерства энергетики. Подготовка комплекта документации необходимого для проектирования Адми"&amp;"нистрацией, АО ""Красногорская теплосеть"" выполнено. Подготовка конкурсной документации будет возможно после внесения изменений в ГП в части наименования мероприятия.  Администрацией направлены запросы балансодержателям о передаче объектов в муниципальну"&amp;"ю собственность.")</f>
        <v>9 октября в 11:30 под руководством министра ЖКХ МО проведено совещание по вопросу реализации объектов 2021 года. По результатам проведенного совещания выполнено следующее:
- Изменение границ земельного участка невозможно. Принято решение о реконструкции действующей котельной без изменения ее параметров. Земельный участок получен в собственность Администрацией (выписка из ЕГРН от 08.10.2020).
На выездном совещании 28.10.2020 2020 совместно с представителями Администрации и другими заинтересованными организациями были приняты решения:  перепроектировать с разделением этапов на 2021-2022 годы и выполнить СМР в 2021 году по двум участкам сетей:
Санаторий (ХВС и канализация);
Дворец Юсупова (ХВС и теплоснабжение)
Дорожная карта по передаче электросетей на баланс Администрацией утверждена. Получено согласования по переводу в мун. собственность объектов электросетевого хозяйства  от Министерства благоустройства и Министерства энергетики. Подготовка комплекта документации необходимого для проектирования Администрацией, АО "Красногорская теплосеть" выполнено. Подготовка конкурсной документации будет возможно после внесения изменений в ГП в части наименования мероприятия.  Администрацией направлены запросы балансодержателям о передаче объектов в муниципальную собственность.</v>
      </c>
      <c r="K314" s="20" t="str">
        <f ca="1">IFERROR(__xludf.DUMMYFUNCTION("""COMPUTED_VALUE"""),"-")</f>
        <v>-</v>
      </c>
      <c r="L314" s="20" t="str">
        <f ca="1">IFERROR(__xludf.DUMMYFUNCTION("""COMPUTED_VALUE"""),"-")</f>
        <v>-</v>
      </c>
      <c r="M314" s="20"/>
      <c r="N314" s="24">
        <f ca="1">IFERROR(__xludf.DUMMYFUNCTION("""COMPUTED_VALUE"""),4621.03)</f>
        <v>4621.03</v>
      </c>
      <c r="O314" s="20"/>
      <c r="P314" s="24">
        <f ca="1">IFERROR(__xludf.DUMMYFUNCTION("""COMPUTED_VALUE"""),4607.3)</f>
        <v>4607.3</v>
      </c>
      <c r="Q314" s="20"/>
      <c r="R314" s="20">
        <f ca="1">IFERROR(__xludf.DUMMYFUNCTION("""COMPUTED_VALUE"""),13.73)</f>
        <v>13.73</v>
      </c>
      <c r="S314" s="20"/>
      <c r="T314" s="20" t="str">
        <f ca="1">IFERROR(__xludf.DUMMYFUNCTION("""COMPUTED_VALUE"""),"Оплачено")</f>
        <v>Оплачено</v>
      </c>
      <c r="U314" s="24">
        <f ca="1">IFERROR(__xludf.DUMMYFUNCTION("""COMPUTED_VALUE"""),0)</f>
        <v>0</v>
      </c>
      <c r="V314" s="24">
        <f ca="1">IFERROR(__xludf.DUMMYFUNCTION("""COMPUTED_VALUE"""),0)</f>
        <v>0</v>
      </c>
      <c r="W314" s="24">
        <f ca="1">IFERROR(__xludf.DUMMYFUNCTION("""COMPUTED_VALUE"""),0)</f>
        <v>0</v>
      </c>
      <c r="X314" s="24">
        <f ca="1">IFERROR(__xludf.DUMMYFUNCTION("""COMPUTED_VALUE"""),0)</f>
        <v>0</v>
      </c>
      <c r="Y314" s="24">
        <f ca="1">IFERROR(__xludf.DUMMYFUNCTION("""COMPUTED_VALUE"""),0)</f>
        <v>0</v>
      </c>
      <c r="Z314" s="24">
        <f ca="1">IFERROR(__xludf.DUMMYFUNCTION("""COMPUTED_VALUE"""),0)</f>
        <v>0</v>
      </c>
      <c r="AA314" s="20" t="str">
        <f ca="1">IFERROR(__xludf.DUMMYFUNCTION("""COMPUTED_VALUE"""),"10 3 02 64080")</f>
        <v>10 3 02 64080</v>
      </c>
      <c r="AB314" s="20">
        <f ca="1">IFERROR(__xludf.DUMMYFUNCTION("""COMPUTED_VALUE"""),522)</f>
        <v>522</v>
      </c>
      <c r="AC314" s="20"/>
      <c r="AD314" s="20"/>
      <c r="AE314" s="20"/>
      <c r="AF314" s="24">
        <f ca="1">IFERROR(__xludf.DUMMYFUNCTION("""COMPUTED_VALUE"""),4621.03)</f>
        <v>4621.03</v>
      </c>
      <c r="AG314" s="24">
        <f ca="1">IFERROR(__xludf.DUMMYFUNCTION("""COMPUTED_VALUE"""),0)</f>
        <v>0</v>
      </c>
      <c r="AH314" s="24">
        <f ca="1">IFERROR(__xludf.DUMMYFUNCTION("""COMPUTED_VALUE"""),4607.3)</f>
        <v>4607.3</v>
      </c>
      <c r="AI314" s="24">
        <f ca="1">IFERROR(__xludf.DUMMYFUNCTION("""COMPUTED_VALUE"""),0)</f>
        <v>0</v>
      </c>
      <c r="AJ314" s="24">
        <f ca="1">IFERROR(__xludf.DUMMYFUNCTION("""COMPUTED_VALUE"""),13.73)</f>
        <v>13.73</v>
      </c>
      <c r="AK314" s="24">
        <f ca="1">IFERROR(__xludf.DUMMYFUNCTION("""COMPUTED_VALUE"""),0)</f>
        <v>0</v>
      </c>
      <c r="AL314" s="24">
        <f ca="1">IFERROR(__xludf.DUMMYFUNCTION("""COMPUTED_VALUE"""),0)</f>
        <v>0</v>
      </c>
      <c r="AM314" s="20"/>
      <c r="AN314" s="20"/>
      <c r="AO314" s="20"/>
      <c r="AP314" s="20"/>
      <c r="AQ314" s="20"/>
      <c r="AR314" s="24">
        <f ca="1">IFERROR(__xludf.DUMMYFUNCTION("""COMPUTED_VALUE"""),0)</f>
        <v>0</v>
      </c>
      <c r="AS314" s="20"/>
      <c r="AT314" s="20"/>
      <c r="AU314" s="20"/>
      <c r="AV314" s="20"/>
      <c r="AW314" s="20"/>
      <c r="AX314" s="24">
        <f ca="1">IFERROR(__xludf.DUMMYFUNCTION("""COMPUTED_VALUE"""),4621.03)</f>
        <v>4621.03</v>
      </c>
      <c r="AY314" s="24">
        <f ca="1">IFERROR(__xludf.DUMMYFUNCTION("""COMPUTED_VALUE"""),0)</f>
        <v>0</v>
      </c>
      <c r="AZ314" s="24">
        <f ca="1">IFERROR(__xludf.DUMMYFUNCTION("""COMPUTED_VALUE"""),4607.3)</f>
        <v>4607.3</v>
      </c>
      <c r="BA314" s="24">
        <f ca="1">IFERROR(__xludf.DUMMYFUNCTION("""COMPUTED_VALUE"""),0)</f>
        <v>0</v>
      </c>
      <c r="BB314" s="24">
        <f ca="1">IFERROR(__xludf.DUMMYFUNCTION("""COMPUTED_VALUE"""),13.73)</f>
        <v>13.73</v>
      </c>
      <c r="BC314" s="20"/>
      <c r="BD314" s="24">
        <f ca="1">IFERROR(__xludf.DUMMYFUNCTION("""COMPUTED_VALUE"""),0)</f>
        <v>0</v>
      </c>
      <c r="BE314" s="24">
        <f ca="1">IFERROR(__xludf.DUMMYFUNCTION("""COMPUTED_VALUE"""),0)</f>
        <v>0</v>
      </c>
      <c r="BF314" s="24">
        <f ca="1">IFERROR(__xludf.DUMMYFUNCTION("""COMPUTED_VALUE"""),0)</f>
        <v>0</v>
      </c>
      <c r="BG314" s="24">
        <f ca="1">IFERROR(__xludf.DUMMYFUNCTION("""COMPUTED_VALUE"""),0)</f>
        <v>0</v>
      </c>
      <c r="BH314" s="24">
        <f ca="1">IFERROR(__xludf.DUMMYFUNCTION("""COMPUTED_VALUE"""),0)</f>
        <v>0</v>
      </c>
      <c r="BI314" s="20"/>
      <c r="BJ314" s="24">
        <f ca="1">IFERROR(__xludf.DUMMYFUNCTION("""COMPUTED_VALUE"""),0)</f>
        <v>0</v>
      </c>
      <c r="BK314" s="24">
        <f ca="1">IFERROR(__xludf.DUMMYFUNCTION("""COMPUTED_VALUE"""),0)</f>
        <v>0</v>
      </c>
      <c r="BL314" s="24">
        <f ca="1">IFERROR(__xludf.DUMMYFUNCTION("""COMPUTED_VALUE"""),0)</f>
        <v>0</v>
      </c>
      <c r="BM314" s="24">
        <f ca="1">IFERROR(__xludf.DUMMYFUNCTION("""COMPUTED_VALUE"""),0)</f>
        <v>0</v>
      </c>
      <c r="BN314" s="24">
        <f ca="1">IFERROR(__xludf.DUMMYFUNCTION("""COMPUTED_VALUE"""),0)</f>
        <v>0</v>
      </c>
      <c r="BO314" s="20"/>
      <c r="BP314" s="24">
        <f ca="1">IFERROR(__xludf.DUMMYFUNCTION("""COMPUTED_VALUE"""),0)</f>
        <v>0</v>
      </c>
      <c r="BQ314" s="24">
        <f ca="1">IFERROR(__xludf.DUMMYFUNCTION("""COMPUTED_VALUE"""),0)</f>
        <v>0</v>
      </c>
      <c r="BR314" s="24">
        <f ca="1">IFERROR(__xludf.DUMMYFUNCTION("""COMPUTED_VALUE"""),0)</f>
        <v>0</v>
      </c>
      <c r="BS314" s="24">
        <f ca="1">IFERROR(__xludf.DUMMYFUNCTION("""COMPUTED_VALUE"""),0)</f>
        <v>0</v>
      </c>
      <c r="BT314" s="24">
        <f ca="1">IFERROR(__xludf.DUMMYFUNCTION("""COMPUTED_VALUE"""),0)</f>
        <v>0</v>
      </c>
      <c r="BU314" s="20"/>
      <c r="BV314" s="24">
        <f ca="1">IFERROR(__xludf.DUMMYFUNCTION("""COMPUTED_VALUE"""),0)</f>
        <v>0</v>
      </c>
      <c r="BW314" s="24">
        <f ca="1">IFERROR(__xludf.DUMMYFUNCTION("""COMPUTED_VALUE"""),0)</f>
        <v>0</v>
      </c>
      <c r="BX314" s="24">
        <f ca="1">IFERROR(__xludf.DUMMYFUNCTION("""COMPUTED_VALUE"""),0)</f>
        <v>0</v>
      </c>
      <c r="BY314" s="24">
        <f ca="1">IFERROR(__xludf.DUMMYFUNCTION("""COMPUTED_VALUE"""),0)</f>
        <v>0</v>
      </c>
      <c r="BZ314" s="24">
        <f ca="1">IFERROR(__xludf.DUMMYFUNCTION("""COMPUTED_VALUE"""),0)</f>
        <v>0</v>
      </c>
      <c r="CA314" s="20"/>
      <c r="CB314" s="20"/>
      <c r="CC314" s="20"/>
      <c r="CD314" s="20"/>
      <c r="CE314" s="20"/>
      <c r="CF314" s="20"/>
      <c r="CG314" s="20"/>
      <c r="CH314" s="20"/>
      <c r="CI314" s="20"/>
      <c r="CJ314" s="33">
        <f ca="1">IFERROR(__xludf.DUMMYFUNCTION("""COMPUTED_VALUE"""),43763)</f>
        <v>43763</v>
      </c>
      <c r="CK314" s="33">
        <f ca="1">IFERROR(__xludf.DUMMYFUNCTION("""COMPUTED_VALUE"""),43915)</f>
        <v>43915</v>
      </c>
      <c r="CL314" s="20" t="str">
        <f ca="1">IFERROR(__xludf.DUMMYFUNCTION("""COMPUTED_VALUE"""),"50-1-1-3-0537-20")</f>
        <v>50-1-1-3-0537-20</v>
      </c>
      <c r="CM314" s="20"/>
      <c r="CN314" s="20"/>
      <c r="CO314" s="20"/>
      <c r="CP314" s="20"/>
      <c r="CQ314" s="20"/>
      <c r="CR314" s="20"/>
      <c r="CS314" s="20"/>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row>
    <row r="315" spans="1:123" ht="64.5" customHeight="1" x14ac:dyDescent="0.2">
      <c r="A315" s="19"/>
      <c r="B315" s="20" t="str">
        <f ca="1">IFERROR(__xludf.DUMMYFUNCTION("""COMPUTED_VALUE"""),"г.о. Краснознаменск")</f>
        <v>г.о. Краснознаменск</v>
      </c>
      <c r="C31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5" s="20" t="str">
        <f ca="1">IFERROR(__xludf.DUMMYFUNCTION("""COMPUTED_VALUE"""),"МинЖКХ")</f>
        <v>МинЖКХ</v>
      </c>
      <c r="E315" s="20" t="str">
        <f ca="1">IFERROR(__xludf.DUMMYFUNCTION("""COMPUTED_VALUE"""),"Строительство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f>
        <v>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v>
      </c>
      <c r="F315" s="32" t="str">
        <f ca="1">IFERROR(__xludf.DUMMYFUNCTION("""COMPUTED_VALUE"""),"Котельная")</f>
        <v>Котельная</v>
      </c>
      <c r="G315" s="20" t="str">
        <f ca="1">IFERROR(__xludf.DUMMYFUNCTION("""COMPUTED_VALUE"""),"2020-2022")</f>
        <v>2020-2022</v>
      </c>
      <c r="H315" s="20" t="str">
        <f ca="1">IFERROR(__xludf.DUMMYFUNCTION("""COMPUTED_VALUE"""),"СМР")</f>
        <v>СМР</v>
      </c>
      <c r="I315" s="20"/>
      <c r="J315" s="20" t="str">
        <f ca="1">IFERROR(__xludf.DUMMYFUNCTION("""COMPUTED_VALUE"""),"9 октября в 11:30 под руководством министра ЖКХ МО проведено совещание по вопросу реализации объектов 2021 года. По результатам проведенного совещания выполнено следующее:
- Изменение границ земельного участка невозможно. Принято решение о реконструкции д"&amp;"ействующей котельной без изменения ее параметров. Земельный участок получен в собственность Администрацией (выписка из ЕГРН от 08.10.2020).
На выездном совещании 28.10.2020 2020 совместно с представителями Администрации и другими заинтересованными организ"&amp;"ациями были приняты решения:  перепроектировать с разделением этапов на 2021-2022 годы и выполнить СМР в 2021 году по двум участкам сетей:
Санаторий (ХВС и канализация);
Дворец Юсупова (ХВС и теплоснабжение)
Дорожная карта по передаче электросетей на бала"&amp;"нс Администрацией утверждена. Получение согласования по переводу в мун. собственность объектов электросетевого хозяйства  от Министерства благоустройства и Министерства энергетики до 16.11.2020.""")</f>
        <v>9 октября в 11:30 под руководством министра ЖКХ МО проведено совещание по вопросу реализации объектов 2021 года. По результатам проведенного совещания выполнено следующее:
- Изменение границ земельного участка невозможно. Принято решение о реконструкции действующей котельной без изменения ее параметров. Земельный участок получен в собственность Администрацией (выписка из ЕГРН от 08.10.2020).
На выездном совещании 28.10.2020 2020 совместно с представителями Администрации и другими заинтересованными организациями были приняты решения:  перепроектировать с разделением этапов на 2021-2022 годы и выполнить СМР в 2021 году по двум участкам сетей:
Санаторий (ХВС и канализация);
Дворец Юсупова (ХВС и теплоснабжение)
Дорожная карта по передаче электросетей на баланс Администрацией утверждена. Получение согласования по переводу в мун. собственность объектов электросетевого хозяйства  от Министерства благоустройства и Министерства энергетики до 16.11.2020."</v>
      </c>
      <c r="K315" s="20"/>
      <c r="L315" s="20"/>
      <c r="M315" s="20"/>
      <c r="N315" s="24">
        <f ca="1">IFERROR(__xludf.DUMMYFUNCTION("""COMPUTED_VALUE"""),63300.87)</f>
        <v>63300.87</v>
      </c>
      <c r="O315" s="20"/>
      <c r="P315" s="24">
        <f ca="1">IFERROR(__xludf.DUMMYFUNCTION("""COMPUTED_VALUE"""),63300.87)</f>
        <v>63300.87</v>
      </c>
      <c r="Q315" s="20"/>
      <c r="R315" s="20"/>
      <c r="S315" s="20"/>
      <c r="T315" s="20"/>
      <c r="U315" s="24">
        <f ca="1">IFERROR(__xludf.DUMMYFUNCTION("""COMPUTED_VALUE"""),7037.48999999999)</f>
        <v>7037.4899999999898</v>
      </c>
      <c r="V315" s="24">
        <f ca="1">IFERROR(__xludf.DUMMYFUNCTION("""COMPUTED_VALUE"""),0)</f>
        <v>0</v>
      </c>
      <c r="W315" s="24">
        <f ca="1">IFERROR(__xludf.DUMMYFUNCTION("""COMPUTED_VALUE"""),3.94999999999708)</f>
        <v>3.9499999999970798</v>
      </c>
      <c r="X315" s="24">
        <f ca="1">IFERROR(__xludf.DUMMYFUNCTION("""COMPUTED_VALUE"""),0)</f>
        <v>0</v>
      </c>
      <c r="Y315" s="24">
        <f ca="1">IFERROR(__xludf.DUMMYFUNCTION("""COMPUTED_VALUE"""),7033.54)</f>
        <v>7033.54</v>
      </c>
      <c r="Z315" s="24">
        <f ca="1">IFERROR(__xludf.DUMMYFUNCTION("""COMPUTED_VALUE"""),0)</f>
        <v>0</v>
      </c>
      <c r="AA315" s="20" t="str">
        <f ca="1">IFERROR(__xludf.DUMMYFUNCTION("""COMPUTED_VALUE"""),"10 3 02 64080")</f>
        <v>10 3 02 64080</v>
      </c>
      <c r="AB315" s="20">
        <f ca="1">IFERROR(__xludf.DUMMYFUNCTION("""COMPUTED_VALUE"""),522)</f>
        <v>522</v>
      </c>
      <c r="AC315" s="20"/>
      <c r="AD315" s="20"/>
      <c r="AE315" s="20"/>
      <c r="AF315" s="24">
        <f ca="1">IFERROR(__xludf.DUMMYFUNCTION("""COMPUTED_VALUE"""),321042.57)</f>
        <v>321042.57</v>
      </c>
      <c r="AG315" s="24">
        <f ca="1">IFERROR(__xludf.DUMMYFUNCTION("""COMPUTED_VALUE"""),0)</f>
        <v>0</v>
      </c>
      <c r="AH315" s="24">
        <f ca="1">IFERROR(__xludf.DUMMYFUNCTION("""COMPUTED_VALUE"""),288937.13)</f>
        <v>288937.13</v>
      </c>
      <c r="AI315" s="24">
        <f ca="1">IFERROR(__xludf.DUMMYFUNCTION("""COMPUTED_VALUE"""),0)</f>
        <v>0</v>
      </c>
      <c r="AJ315" s="24">
        <f ca="1">IFERROR(__xludf.DUMMYFUNCTION("""COMPUTED_VALUE"""),32105.44)</f>
        <v>32105.439999999999</v>
      </c>
      <c r="AK315" s="24">
        <f ca="1">IFERROR(__xludf.DUMMYFUNCTION("""COMPUTED_VALUE"""),0)</f>
        <v>0</v>
      </c>
      <c r="AL315" s="24">
        <f ca="1">IFERROR(__xludf.DUMMYFUNCTION("""COMPUTED_VALUE"""),6961.8)</f>
        <v>6961.8</v>
      </c>
      <c r="AM315" s="20"/>
      <c r="AN315" s="24">
        <f ca="1">IFERROR(__xludf.DUMMYFUNCTION("""COMPUTED_VALUE"""),6265.62)</f>
        <v>6265.62</v>
      </c>
      <c r="AO315" s="20"/>
      <c r="AP315" s="24">
        <f ca="1">IFERROR(__xludf.DUMMYFUNCTION("""COMPUTED_VALUE"""),696.18)</f>
        <v>696.18</v>
      </c>
      <c r="AQ315" s="20"/>
      <c r="AR315" s="24">
        <f ca="1">IFERROR(__xludf.DUMMYFUNCTION("""COMPUTED_VALUE"""),100137.95)</f>
        <v>100137.95</v>
      </c>
      <c r="AS315" s="24">
        <f ca="1">IFERROR(__xludf.DUMMYFUNCTION("""COMPUTED_VALUE"""),0)</f>
        <v>0</v>
      </c>
      <c r="AT315" s="24">
        <f ca="1">IFERROR(__xludf.DUMMYFUNCTION("""COMPUTED_VALUE"""),90122.51)</f>
        <v>90122.51</v>
      </c>
      <c r="AU315" s="24">
        <f ca="1">IFERROR(__xludf.DUMMYFUNCTION("""COMPUTED_VALUE"""),0)</f>
        <v>0</v>
      </c>
      <c r="AV315" s="24">
        <f ca="1">IFERROR(__xludf.DUMMYFUNCTION("""COMPUTED_VALUE"""),10015.44)</f>
        <v>10015.44</v>
      </c>
      <c r="AW315" s="24">
        <f ca="1">IFERROR(__xludf.DUMMYFUNCTION("""COMPUTED_VALUE"""),0)</f>
        <v>0</v>
      </c>
      <c r="AX315" s="24">
        <f ca="1">IFERROR(__xludf.DUMMYFUNCTION("""COMPUTED_VALUE"""),70338.36)</f>
        <v>70338.36</v>
      </c>
      <c r="AY315" s="24">
        <f ca="1">IFERROR(__xludf.DUMMYFUNCTION("""COMPUTED_VALUE"""),0)</f>
        <v>0</v>
      </c>
      <c r="AZ315" s="24">
        <f ca="1">IFERROR(__xludf.DUMMYFUNCTION("""COMPUTED_VALUE"""),63304.82)</f>
        <v>63304.82</v>
      </c>
      <c r="BA315" s="24">
        <f ca="1">IFERROR(__xludf.DUMMYFUNCTION("""COMPUTED_VALUE"""),0)</f>
        <v>0</v>
      </c>
      <c r="BB315" s="24">
        <f ca="1">IFERROR(__xludf.DUMMYFUNCTION("""COMPUTED_VALUE"""),7033.54)</f>
        <v>7033.54</v>
      </c>
      <c r="BC315" s="20"/>
      <c r="BD315" s="24">
        <f ca="1">IFERROR(__xludf.DUMMYFUNCTION("""COMPUTED_VALUE"""),60411.32)</f>
        <v>60411.32</v>
      </c>
      <c r="BE315" s="24">
        <f ca="1">IFERROR(__xludf.DUMMYFUNCTION("""COMPUTED_VALUE"""),0)</f>
        <v>0</v>
      </c>
      <c r="BF315" s="24">
        <f ca="1">IFERROR(__xludf.DUMMYFUNCTION("""COMPUTED_VALUE"""),54370)</f>
        <v>54370</v>
      </c>
      <c r="BG315" s="24">
        <f ca="1">IFERROR(__xludf.DUMMYFUNCTION("""COMPUTED_VALUE"""),0)</f>
        <v>0</v>
      </c>
      <c r="BH315" s="24">
        <f ca="1">IFERROR(__xludf.DUMMYFUNCTION("""COMPUTED_VALUE"""),6041.32)</f>
        <v>6041.32</v>
      </c>
      <c r="BI315" s="20"/>
      <c r="BJ315" s="24">
        <f ca="1">IFERROR(__xludf.DUMMYFUNCTION("""COMPUTED_VALUE"""),83193.1399999999)</f>
        <v>83193.139999999898</v>
      </c>
      <c r="BK315" s="24">
        <f ca="1">IFERROR(__xludf.DUMMYFUNCTION("""COMPUTED_VALUE"""),0)</f>
        <v>0</v>
      </c>
      <c r="BL315" s="24">
        <f ca="1">IFERROR(__xludf.DUMMYFUNCTION("""COMPUTED_VALUE"""),74874.18)</f>
        <v>74874.179999999993</v>
      </c>
      <c r="BM315" s="24">
        <f ca="1">IFERROR(__xludf.DUMMYFUNCTION("""COMPUTED_VALUE"""),0)</f>
        <v>0</v>
      </c>
      <c r="BN315" s="24">
        <f ca="1">IFERROR(__xludf.DUMMYFUNCTION("""COMPUTED_VALUE"""),8318.96)</f>
        <v>8318.9599999999991</v>
      </c>
      <c r="BO315" s="20"/>
      <c r="BP315" s="24">
        <f ca="1">IFERROR(__xludf.DUMMYFUNCTION("""COMPUTED_VALUE"""),0)</f>
        <v>0</v>
      </c>
      <c r="BQ315" s="24">
        <f ca="1">IFERROR(__xludf.DUMMYFUNCTION("""COMPUTED_VALUE"""),0)</f>
        <v>0</v>
      </c>
      <c r="BR315" s="24">
        <f ca="1">IFERROR(__xludf.DUMMYFUNCTION("""COMPUTED_VALUE"""),0)</f>
        <v>0</v>
      </c>
      <c r="BS315" s="24">
        <f ca="1">IFERROR(__xludf.DUMMYFUNCTION("""COMPUTED_VALUE"""),0)</f>
        <v>0</v>
      </c>
      <c r="BT315" s="24">
        <f ca="1">IFERROR(__xludf.DUMMYFUNCTION("""COMPUTED_VALUE"""),0)</f>
        <v>0</v>
      </c>
      <c r="BU315" s="20"/>
      <c r="BV315" s="24">
        <f ca="1">IFERROR(__xludf.DUMMYFUNCTION("""COMPUTED_VALUE"""),0)</f>
        <v>0</v>
      </c>
      <c r="BW315" s="24">
        <f ca="1">IFERROR(__xludf.DUMMYFUNCTION("""COMPUTED_VALUE"""),0)</f>
        <v>0</v>
      </c>
      <c r="BX315" s="24">
        <f ca="1">IFERROR(__xludf.DUMMYFUNCTION("""COMPUTED_VALUE"""),0)</f>
        <v>0</v>
      </c>
      <c r="BY315" s="24">
        <f ca="1">IFERROR(__xludf.DUMMYFUNCTION("""COMPUTED_VALUE"""),0)</f>
        <v>0</v>
      </c>
      <c r="BZ315" s="24">
        <f ca="1">IFERROR(__xludf.DUMMYFUNCTION("""COMPUTED_VALUE"""),0)</f>
        <v>0</v>
      </c>
      <c r="CA315" s="20"/>
      <c r="CB315" s="20"/>
      <c r="CC315" s="20"/>
      <c r="CD315" s="20"/>
      <c r="CE315" s="20"/>
      <c r="CF315" s="20"/>
      <c r="CG315" s="20"/>
      <c r="CH315" s="20"/>
      <c r="CI315" s="20"/>
      <c r="CJ315" s="20"/>
      <c r="CK315" s="20"/>
      <c r="CL315" s="20"/>
      <c r="CM315" s="20"/>
      <c r="CN315" s="20"/>
      <c r="CO315" s="20"/>
      <c r="CP315" s="20"/>
      <c r="CQ315" s="20"/>
      <c r="CR315" s="20"/>
      <c r="CS315" s="20"/>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row>
    <row r="316" spans="1:123" ht="64.5" customHeight="1" x14ac:dyDescent="0.2">
      <c r="A316" s="19"/>
      <c r="B316" s="20" t="str">
        <f ca="1">IFERROR(__xludf.DUMMYFUNCTION("""COMPUTED_VALUE"""),"г.о. Луховицы")</f>
        <v>г.о. Луховицы</v>
      </c>
      <c r="C31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6" s="20" t="str">
        <f ca="1">IFERROR(__xludf.DUMMYFUNCTION("""COMPUTED_VALUE"""),"МинЖКХ ""ТОП 5 (1 этап)""")</f>
        <v>МинЖКХ "ТОП 5 (1 этап)"</v>
      </c>
      <c r="E316" s="20" t="str">
        <f ca="1">IFERROR(__xludf.DUMMYFUNCTION("""COMPUTED_VALUE"""),"Реконструкция котельной ""Школа-интернат"" р.п. Белоомут, ул. Центральная, д.57 (в т.ч. ПИР), г.о. Луховицы")</f>
        <v>Реконструкция котельной "Школа-интернат" р.п. Белоомут, ул. Центральная, д.57 (в т.ч. ПИР), г.о. Луховицы</v>
      </c>
      <c r="F316" s="32" t="str">
        <f ca="1">IFERROR(__xludf.DUMMYFUNCTION("""COMPUTED_VALUE"""),"Котельная")</f>
        <v>Котельная</v>
      </c>
      <c r="G316" s="20" t="str">
        <f ca="1">IFERROR(__xludf.DUMMYFUNCTION("""COMPUTED_VALUE"""),"2020-2021")</f>
        <v>2020-2021</v>
      </c>
      <c r="H316" s="20" t="str">
        <f ca="1">IFERROR(__xludf.DUMMYFUNCTION("""COMPUTED_VALUE"""),"ПИР")</f>
        <v>ПИР</v>
      </c>
      <c r="I316" s="20"/>
      <c r="J316" s="20" t="str">
        <f ca="1">IFERROR(__xludf.DUMMYFUNCTION("""COMPUTED_VALUE"""),"Получение положительного заключения  МОГЭ - 07.12.2020
Завершение работ СМР
- 30.11.2021")</f>
        <v>Получение положительного заключения  МОГЭ - 07.12.2020
Завершение работ СМР
- 30.11.2021</v>
      </c>
      <c r="K316" s="20"/>
      <c r="L316" s="20"/>
      <c r="M316" s="20"/>
      <c r="N316" s="24">
        <f ca="1">IFERROR(__xludf.DUMMYFUNCTION("""COMPUTED_VALUE"""),1431.99)</f>
        <v>1431.99</v>
      </c>
      <c r="O316" s="20"/>
      <c r="P316" s="24">
        <f ca="1">IFERROR(__xludf.DUMMYFUNCTION("""COMPUTED_VALUE"""),0)</f>
        <v>0</v>
      </c>
      <c r="Q316" s="20">
        <f ca="1">IFERROR(__xludf.DUMMYFUNCTION("""COMPUTED_VALUE"""),1431.99)</f>
        <v>1431.99</v>
      </c>
      <c r="R316" s="20"/>
      <c r="S316" s="20"/>
      <c r="T316" s="20" t="str">
        <f ca="1">IFERROR(__xludf.DUMMYFUNCTION("""COMPUTED_VALUE"""),"СМР 2021 год")</f>
        <v>СМР 2021 год</v>
      </c>
      <c r="U316" s="24">
        <f ca="1">IFERROR(__xludf.DUMMYFUNCTION("""COMPUTED_VALUE"""),695.609999999999)</f>
        <v>695.60999999999899</v>
      </c>
      <c r="V316" s="24">
        <f ca="1">IFERROR(__xludf.DUMMYFUNCTION("""COMPUTED_VALUE"""),0)</f>
        <v>0</v>
      </c>
      <c r="W316" s="24">
        <f ca="1">IFERROR(__xludf.DUMMYFUNCTION("""COMPUTED_VALUE"""),0)</f>
        <v>0</v>
      </c>
      <c r="X316" s="24">
        <f ca="1">IFERROR(__xludf.DUMMYFUNCTION("""COMPUTED_VALUE"""),472.21)</f>
        <v>472.21</v>
      </c>
      <c r="Y316" s="24">
        <f ca="1">IFERROR(__xludf.DUMMYFUNCTION("""COMPUTED_VALUE"""),223.4)</f>
        <v>223.4</v>
      </c>
      <c r="Z316" s="24">
        <f ca="1">IFERROR(__xludf.DUMMYFUNCTION("""COMPUTED_VALUE"""),0)</f>
        <v>0</v>
      </c>
      <c r="AA316" s="20" t="str">
        <f ca="1">IFERROR(__xludf.DUMMYFUNCTION("""COMPUTED_VALUE"""),"10 3 02 64080")</f>
        <v>10 3 02 64080</v>
      </c>
      <c r="AB316" s="20">
        <f ca="1">IFERROR(__xludf.DUMMYFUNCTION("""COMPUTED_VALUE"""),522)</f>
        <v>522</v>
      </c>
      <c r="AC316" s="20"/>
      <c r="AD316" s="20"/>
      <c r="AE316" s="20"/>
      <c r="AF316" s="24">
        <f ca="1">IFERROR(__xludf.DUMMYFUNCTION("""COMPUTED_VALUE"""),8214)</f>
        <v>8214</v>
      </c>
      <c r="AG316" s="24">
        <f ca="1">IFERROR(__xludf.DUMMYFUNCTION("""COMPUTED_VALUE"""),0)</f>
        <v>0</v>
      </c>
      <c r="AH316" s="24">
        <f ca="1">IFERROR(__xludf.DUMMYFUNCTION("""COMPUTED_VALUE"""),0)</f>
        <v>0</v>
      </c>
      <c r="AI316" s="24">
        <f ca="1">IFERROR(__xludf.DUMMYFUNCTION("""COMPUTED_VALUE"""),7351.53)</f>
        <v>7351.53</v>
      </c>
      <c r="AJ316" s="24">
        <f ca="1">IFERROR(__xludf.DUMMYFUNCTION("""COMPUTED_VALUE"""),862.47)</f>
        <v>862.47</v>
      </c>
      <c r="AK316" s="24">
        <f ca="1">IFERROR(__xludf.DUMMYFUNCTION("""COMPUTED_VALUE"""),0)</f>
        <v>0</v>
      </c>
      <c r="AL316" s="24">
        <f ca="1">IFERROR(__xludf.DUMMYFUNCTION("""COMPUTED_VALUE"""),0)</f>
        <v>0</v>
      </c>
      <c r="AM316" s="20"/>
      <c r="AN316" s="20"/>
      <c r="AO316" s="20"/>
      <c r="AP316" s="20"/>
      <c r="AQ316" s="20"/>
      <c r="AR316" s="24">
        <f ca="1">IFERROR(__xludf.DUMMYFUNCTION("""COMPUTED_VALUE"""),0)</f>
        <v>0</v>
      </c>
      <c r="AS316" s="20"/>
      <c r="AT316" s="20"/>
      <c r="AU316" s="20"/>
      <c r="AV316" s="20"/>
      <c r="AW316" s="20"/>
      <c r="AX316" s="24">
        <f ca="1">IFERROR(__xludf.DUMMYFUNCTION("""COMPUTED_VALUE"""),2127.6)</f>
        <v>2127.6</v>
      </c>
      <c r="AY316" s="24">
        <f ca="1">IFERROR(__xludf.DUMMYFUNCTION("""COMPUTED_VALUE"""),0)</f>
        <v>0</v>
      </c>
      <c r="AZ316" s="24">
        <f ca="1">IFERROR(__xludf.DUMMYFUNCTION("""COMPUTED_VALUE"""),0)</f>
        <v>0</v>
      </c>
      <c r="BA316" s="24">
        <f ca="1">IFERROR(__xludf.DUMMYFUNCTION("""COMPUTED_VALUE"""),1904.2)</f>
        <v>1904.2</v>
      </c>
      <c r="BB316" s="24">
        <f ca="1">IFERROR(__xludf.DUMMYFUNCTION("""COMPUTED_VALUE"""),223.4)</f>
        <v>223.4</v>
      </c>
      <c r="BC316" s="20"/>
      <c r="BD316" s="24">
        <f ca="1">IFERROR(__xludf.DUMMYFUNCTION("""COMPUTED_VALUE"""),6086.4)</f>
        <v>6086.4</v>
      </c>
      <c r="BE316" s="24">
        <f ca="1">IFERROR(__xludf.DUMMYFUNCTION("""COMPUTED_VALUE"""),0)</f>
        <v>0</v>
      </c>
      <c r="BF316" s="24">
        <f ca="1">IFERROR(__xludf.DUMMYFUNCTION("""COMPUTED_VALUE"""),0)</f>
        <v>0</v>
      </c>
      <c r="BG316" s="24">
        <f ca="1">IFERROR(__xludf.DUMMYFUNCTION("""COMPUTED_VALUE"""),5447.33)</f>
        <v>5447.33</v>
      </c>
      <c r="BH316" s="24">
        <f ca="1">IFERROR(__xludf.DUMMYFUNCTION("""COMPUTED_VALUE"""),639.07)</f>
        <v>639.07000000000005</v>
      </c>
      <c r="BI316" s="20"/>
      <c r="BJ316" s="24">
        <f ca="1">IFERROR(__xludf.DUMMYFUNCTION("""COMPUTED_VALUE"""),0)</f>
        <v>0</v>
      </c>
      <c r="BK316" s="24">
        <f ca="1">IFERROR(__xludf.DUMMYFUNCTION("""COMPUTED_VALUE"""),0)</f>
        <v>0</v>
      </c>
      <c r="BL316" s="24">
        <f ca="1">IFERROR(__xludf.DUMMYFUNCTION("""COMPUTED_VALUE"""),0)</f>
        <v>0</v>
      </c>
      <c r="BM316" s="24">
        <f ca="1">IFERROR(__xludf.DUMMYFUNCTION("""COMPUTED_VALUE"""),0)</f>
        <v>0</v>
      </c>
      <c r="BN316" s="24">
        <f ca="1">IFERROR(__xludf.DUMMYFUNCTION("""COMPUTED_VALUE"""),0)</f>
        <v>0</v>
      </c>
      <c r="BO316" s="20"/>
      <c r="BP316" s="24">
        <f ca="1">IFERROR(__xludf.DUMMYFUNCTION("""COMPUTED_VALUE"""),0)</f>
        <v>0</v>
      </c>
      <c r="BQ316" s="24">
        <f ca="1">IFERROR(__xludf.DUMMYFUNCTION("""COMPUTED_VALUE"""),0)</f>
        <v>0</v>
      </c>
      <c r="BR316" s="24">
        <f ca="1">IFERROR(__xludf.DUMMYFUNCTION("""COMPUTED_VALUE"""),0)</f>
        <v>0</v>
      </c>
      <c r="BS316" s="24">
        <f ca="1">IFERROR(__xludf.DUMMYFUNCTION("""COMPUTED_VALUE"""),0)</f>
        <v>0</v>
      </c>
      <c r="BT316" s="24">
        <f ca="1">IFERROR(__xludf.DUMMYFUNCTION("""COMPUTED_VALUE"""),0)</f>
        <v>0</v>
      </c>
      <c r="BU316" s="20"/>
      <c r="BV316" s="24">
        <f ca="1">IFERROR(__xludf.DUMMYFUNCTION("""COMPUTED_VALUE"""),0)</f>
        <v>0</v>
      </c>
      <c r="BW316" s="24">
        <f ca="1">IFERROR(__xludf.DUMMYFUNCTION("""COMPUTED_VALUE"""),0)</f>
        <v>0</v>
      </c>
      <c r="BX316" s="24">
        <f ca="1">IFERROR(__xludf.DUMMYFUNCTION("""COMPUTED_VALUE"""),0)</f>
        <v>0</v>
      </c>
      <c r="BY316" s="24">
        <f ca="1">IFERROR(__xludf.DUMMYFUNCTION("""COMPUTED_VALUE"""),0)</f>
        <v>0</v>
      </c>
      <c r="BZ316" s="24">
        <f ca="1">IFERROR(__xludf.DUMMYFUNCTION("""COMPUTED_VALUE"""),0)</f>
        <v>0</v>
      </c>
      <c r="CA316" s="20"/>
      <c r="CB316" s="20" t="str">
        <f ca="1">IFERROR(__xludf.DUMMYFUNCTION("""COMPUTED_VALUE"""),"заключен")</f>
        <v>заключен</v>
      </c>
      <c r="CC316" s="26">
        <f ca="1">IFERROR(__xludf.DUMMYFUNCTION("""COMPUTED_VALUE"""),43959)</f>
        <v>43959</v>
      </c>
      <c r="CD316" s="20" t="str">
        <f ca="1">IFERROR(__xludf.DUMMYFUNCTION("""COMPUTED_VALUE"""),"0848300048320000053")</f>
        <v>0848300048320000053</v>
      </c>
      <c r="CE316" s="26">
        <f ca="1">IFERROR(__xludf.DUMMYFUNCTION("""COMPUTED_VALUE"""),44004)</f>
        <v>44004</v>
      </c>
      <c r="CF316" s="20" t="str">
        <f ca="1">IFERROR(__xludf.DUMMYFUNCTION("""COMPUTED_VALUE"""),"08483000483200000530001")</f>
        <v>08483000483200000530001</v>
      </c>
      <c r="CG316" s="20" t="str">
        <f ca="1">IFERROR(__xludf.DUMMYFUNCTION("""COMPUTED_VALUE"""),"1 600 000,00")</f>
        <v>1 600 000,00</v>
      </c>
      <c r="CH316" s="20" t="str">
        <f ca="1">IFERROR(__xludf.DUMMYFUNCTION("""COMPUTED_VALUE"""),"АКЦИОНЕРНОЕ ОБЩЕСТВО ""МОСОБЛГАЗ""")</f>
        <v>АКЦИОНЕРНОЕ ОБЩЕСТВО "МОСОБЛГАЗ"</v>
      </c>
      <c r="CI316" s="27" t="str">
        <f ca="1">IFERROR(__xludf.DUMMYFUNCTION("""COMPUTED_VALUE"""),"https://zakupki.gov.ru/epz/contract/contractCard/common-info.html?reestrNumber=3507272297420000053&amp;backUrl=5dd64fef-f458-4b30-808e-2a85b2bb3a65")</f>
        <v>https://zakupki.gov.ru/epz/contract/contractCard/common-info.html?reestrNumber=3507272297420000053&amp;backUrl=5dd64fef-f458-4b30-808e-2a85b2bb3a65</v>
      </c>
      <c r="CJ316" s="20"/>
      <c r="CK316" s="20"/>
      <c r="CL316" s="20"/>
      <c r="CM316" s="20"/>
      <c r="CN316" s="20"/>
      <c r="CO316" s="20"/>
      <c r="CP316" s="20"/>
      <c r="CQ316" s="20"/>
      <c r="CR316" s="20"/>
      <c r="CS316" s="20"/>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row>
    <row r="317" spans="1:123" ht="64.5" customHeight="1" x14ac:dyDescent="0.2">
      <c r="A317" s="19"/>
      <c r="B317" s="20" t="str">
        <f ca="1">IFERROR(__xludf.DUMMYFUNCTION("""COMPUTED_VALUE"""),"ФПЛК г.о. Можайск")</f>
        <v>ФПЛК г.о. Можайск</v>
      </c>
      <c r="C317" s="20" t="str">
        <f ca="1">IFERROR(__xludf.DUMMYFUNCTION("""COMPUTED_VALUE"""),"Финансовое обеспечение (возмещение) затрат, связанных с капитальным ремонтом объектов теплоснабжения")</f>
        <v>Финансовое обеспечение (возмещение) затрат, связанных с капитальным ремонтом объектов теплоснабжения</v>
      </c>
      <c r="D317" s="20" t="str">
        <f ca="1">IFERROR(__xludf.DUMMYFUNCTION("""COMPUTED_VALUE"""),"МинЖКХ")</f>
        <v>МинЖКХ</v>
      </c>
      <c r="E317" s="20" t="str">
        <f ca="1">IFERROR(__xludf.DUMMYFUNCTION("""COMPUTED_VALUE"""),"Капитальный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f>
        <v>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v>
      </c>
      <c r="F317" s="32" t="str">
        <f ca="1">IFERROR(__xludf.DUMMYFUNCTION("""COMPUTED_VALUE"""),"Котельная")</f>
        <v>Котельная</v>
      </c>
      <c r="G317" s="20" t="str">
        <f ca="1">IFERROR(__xludf.DUMMYFUNCTION("""COMPUTED_VALUE"""),"2020-2021")</f>
        <v>2020-2021</v>
      </c>
      <c r="H317" s="20" t="str">
        <f ca="1">IFERROR(__xludf.DUMMYFUNCTION("""COMPUTED_VALUE"""),"СМР")</f>
        <v>СМР</v>
      </c>
      <c r="I317" s="20">
        <f ca="1">IFERROR(__xludf.DUMMYFUNCTION("""COMPUTED_VALUE"""),5)</f>
        <v>5</v>
      </c>
      <c r="J317" s="20" t="str">
        <f ca="1">IFERROR(__xludf.DUMMYFUNCTION("""COMPUTED_VALUE"""),"Завершение работ СМР 25.11.2021")</f>
        <v>Завершение работ СМР 25.11.2021</v>
      </c>
      <c r="K317" s="20">
        <f ca="1">IFERROR(__xludf.DUMMYFUNCTION("""COMPUTED_VALUE"""),8500)</f>
        <v>8500</v>
      </c>
      <c r="L317" s="20">
        <f ca="1">IFERROR(__xludf.DUMMYFUNCTION("""COMPUTED_VALUE"""),8500)</f>
        <v>8500</v>
      </c>
      <c r="M317" s="20"/>
      <c r="N317" s="24">
        <f ca="1">IFERROR(__xludf.DUMMYFUNCTION("""COMPUTED_VALUE"""),140263)</f>
        <v>140263</v>
      </c>
      <c r="O317" s="20"/>
      <c r="P317" s="20"/>
      <c r="Q317" s="24">
        <f ca="1">IFERROR(__xludf.DUMMYFUNCTION("""COMPUTED_VALUE"""),140263)</f>
        <v>140263</v>
      </c>
      <c r="R317" s="20"/>
      <c r="S317" s="20"/>
      <c r="T317" s="20"/>
      <c r="U317" s="24">
        <f ca="1">IFERROR(__xludf.DUMMYFUNCTION("""COMPUTED_VALUE"""),0)</f>
        <v>0</v>
      </c>
      <c r="V317" s="24">
        <f ca="1">IFERROR(__xludf.DUMMYFUNCTION("""COMPUTED_VALUE"""),0)</f>
        <v>0</v>
      </c>
      <c r="W317" s="24">
        <f ca="1">IFERROR(__xludf.DUMMYFUNCTION("""COMPUTED_VALUE"""),0)</f>
        <v>0</v>
      </c>
      <c r="X317" s="24">
        <f ca="1">IFERROR(__xludf.DUMMYFUNCTION("""COMPUTED_VALUE"""),0)</f>
        <v>0</v>
      </c>
      <c r="Y317" s="24">
        <f ca="1">IFERROR(__xludf.DUMMYFUNCTION("""COMPUTED_VALUE"""),0)</f>
        <v>0</v>
      </c>
      <c r="Z317" s="24">
        <f ca="1">IFERROR(__xludf.DUMMYFUNCTION("""COMPUTED_VALUE"""),0)</f>
        <v>0</v>
      </c>
      <c r="AA317" s="20" t="str">
        <f ca="1">IFERROR(__xludf.DUMMYFUNCTION("""COMPUTED_VALUE"""),"10 3 02 00090")</f>
        <v>10 3 02 00090</v>
      </c>
      <c r="AB317" s="20">
        <f ca="1">IFERROR(__xludf.DUMMYFUNCTION("""COMPUTED_VALUE"""),812)</f>
        <v>812</v>
      </c>
      <c r="AC317" s="20"/>
      <c r="AD317" s="20"/>
      <c r="AE317" s="20"/>
      <c r="AF317" s="24">
        <f ca="1">IFERROR(__xludf.DUMMYFUNCTION("""COMPUTED_VALUE"""),261787)</f>
        <v>261787</v>
      </c>
      <c r="AG317" s="24">
        <f ca="1">IFERROR(__xludf.DUMMYFUNCTION("""COMPUTED_VALUE"""),0)</f>
        <v>0</v>
      </c>
      <c r="AH317" s="24">
        <f ca="1">IFERROR(__xludf.DUMMYFUNCTION("""COMPUTED_VALUE"""),8912)</f>
        <v>8912</v>
      </c>
      <c r="AI317" s="24">
        <f ca="1">IFERROR(__xludf.DUMMYFUNCTION("""COMPUTED_VALUE"""),252875)</f>
        <v>252875</v>
      </c>
      <c r="AJ317" s="24">
        <f ca="1">IFERROR(__xludf.DUMMYFUNCTION("""COMPUTED_VALUE"""),0)</f>
        <v>0</v>
      </c>
      <c r="AK317" s="24">
        <f ca="1">IFERROR(__xludf.DUMMYFUNCTION("""COMPUTED_VALUE"""),0)</f>
        <v>0</v>
      </c>
      <c r="AL317" s="24">
        <f ca="1">IFERROR(__xludf.DUMMYFUNCTION("""COMPUTED_VALUE"""),0)</f>
        <v>0</v>
      </c>
      <c r="AM317" s="20"/>
      <c r="AN317" s="20"/>
      <c r="AO317" s="20"/>
      <c r="AP317" s="20"/>
      <c r="AQ317" s="20"/>
      <c r="AR317" s="24">
        <f ca="1">IFERROR(__xludf.DUMMYFUNCTION("""COMPUTED_VALUE"""),0)</f>
        <v>0</v>
      </c>
      <c r="AS317" s="20"/>
      <c r="AT317" s="20"/>
      <c r="AU317" s="20"/>
      <c r="AV317" s="20"/>
      <c r="AW317" s="20"/>
      <c r="AX317" s="24">
        <f ca="1">IFERROR(__xludf.DUMMYFUNCTION("""COMPUTED_VALUE"""),140263)</f>
        <v>140263</v>
      </c>
      <c r="AY317" s="24">
        <f ca="1">IFERROR(__xludf.DUMMYFUNCTION("""COMPUTED_VALUE"""),0)</f>
        <v>0</v>
      </c>
      <c r="AZ317" s="24">
        <f ca="1">IFERROR(__xludf.DUMMYFUNCTION("""COMPUTED_VALUE"""),0)</f>
        <v>0</v>
      </c>
      <c r="BA317" s="24">
        <f ca="1">IFERROR(__xludf.DUMMYFUNCTION("""COMPUTED_VALUE"""),140263)</f>
        <v>140263</v>
      </c>
      <c r="BB317" s="24">
        <f ca="1">IFERROR(__xludf.DUMMYFUNCTION("""COMPUTED_VALUE"""),0)</f>
        <v>0</v>
      </c>
      <c r="BC317" s="20"/>
      <c r="BD317" s="24">
        <f ca="1">IFERROR(__xludf.DUMMYFUNCTION("""COMPUTED_VALUE"""),121524)</f>
        <v>121524</v>
      </c>
      <c r="BE317" s="24">
        <f ca="1">IFERROR(__xludf.DUMMYFUNCTION("""COMPUTED_VALUE"""),0)</f>
        <v>0</v>
      </c>
      <c r="BF317" s="24">
        <f ca="1">IFERROR(__xludf.DUMMYFUNCTION("""COMPUTED_VALUE"""),8912)</f>
        <v>8912</v>
      </c>
      <c r="BG317" s="24">
        <f ca="1">IFERROR(__xludf.DUMMYFUNCTION("""COMPUTED_VALUE"""),112612)</f>
        <v>112612</v>
      </c>
      <c r="BH317" s="24">
        <f ca="1">IFERROR(__xludf.DUMMYFUNCTION("""COMPUTED_VALUE"""),0)</f>
        <v>0</v>
      </c>
      <c r="BI317" s="20"/>
      <c r="BJ317" s="24">
        <f ca="1">IFERROR(__xludf.DUMMYFUNCTION("""COMPUTED_VALUE"""),0)</f>
        <v>0</v>
      </c>
      <c r="BK317" s="24">
        <f ca="1">IFERROR(__xludf.DUMMYFUNCTION("""COMPUTED_VALUE"""),0)</f>
        <v>0</v>
      </c>
      <c r="BL317" s="24">
        <f ca="1">IFERROR(__xludf.DUMMYFUNCTION("""COMPUTED_VALUE"""),0)</f>
        <v>0</v>
      </c>
      <c r="BM317" s="24">
        <f ca="1">IFERROR(__xludf.DUMMYFUNCTION("""COMPUTED_VALUE"""),0)</f>
        <v>0</v>
      </c>
      <c r="BN317" s="24">
        <f ca="1">IFERROR(__xludf.DUMMYFUNCTION("""COMPUTED_VALUE"""),0)</f>
        <v>0</v>
      </c>
      <c r="BO317" s="20"/>
      <c r="BP317" s="24">
        <f ca="1">IFERROR(__xludf.DUMMYFUNCTION("""COMPUTED_VALUE"""),0)</f>
        <v>0</v>
      </c>
      <c r="BQ317" s="24">
        <f ca="1">IFERROR(__xludf.DUMMYFUNCTION("""COMPUTED_VALUE"""),0)</f>
        <v>0</v>
      </c>
      <c r="BR317" s="24">
        <f ca="1">IFERROR(__xludf.DUMMYFUNCTION("""COMPUTED_VALUE"""),0)</f>
        <v>0</v>
      </c>
      <c r="BS317" s="24">
        <f ca="1">IFERROR(__xludf.DUMMYFUNCTION("""COMPUTED_VALUE"""),0)</f>
        <v>0</v>
      </c>
      <c r="BT317" s="24">
        <f ca="1">IFERROR(__xludf.DUMMYFUNCTION("""COMPUTED_VALUE"""),0)</f>
        <v>0</v>
      </c>
      <c r="BU317" s="20"/>
      <c r="BV317" s="24">
        <f ca="1">IFERROR(__xludf.DUMMYFUNCTION("""COMPUTED_VALUE"""),0)</f>
        <v>0</v>
      </c>
      <c r="BW317" s="24">
        <f ca="1">IFERROR(__xludf.DUMMYFUNCTION("""COMPUTED_VALUE"""),0)</f>
        <v>0</v>
      </c>
      <c r="BX317" s="24">
        <f ca="1">IFERROR(__xludf.DUMMYFUNCTION("""COMPUTED_VALUE"""),0)</f>
        <v>0</v>
      </c>
      <c r="BY317" s="24">
        <f ca="1">IFERROR(__xludf.DUMMYFUNCTION("""COMPUTED_VALUE"""),0)</f>
        <v>0</v>
      </c>
      <c r="BZ317" s="24">
        <f ca="1">IFERROR(__xludf.DUMMYFUNCTION("""COMPUTED_VALUE"""),0)</f>
        <v>0</v>
      </c>
      <c r="CA317" s="20"/>
      <c r="CB317" s="20"/>
      <c r="CC317" s="20"/>
      <c r="CD317" s="20"/>
      <c r="CE317" s="20"/>
      <c r="CF317" s="20"/>
      <c r="CG317" s="20"/>
      <c r="CH317" s="20"/>
      <c r="CI317" s="20"/>
      <c r="CJ317" s="20"/>
      <c r="CK317" s="20"/>
      <c r="CL317" s="20"/>
      <c r="CM317" s="26">
        <f ca="1">IFERROR(__xludf.DUMMYFUNCTION("""COMPUTED_VALUE"""),44098)</f>
        <v>44098</v>
      </c>
      <c r="CN317" s="20">
        <f ca="1">IFERROR(__xludf.DUMMYFUNCTION("""COMPUTED_VALUE"""),32009522630)</f>
        <v>32009522630</v>
      </c>
      <c r="CO317" s="25">
        <f ca="1">IFERROR(__xludf.DUMMYFUNCTION("""COMPUTED_VALUE"""),44133)</f>
        <v>44133</v>
      </c>
      <c r="CP317" s="20" t="str">
        <f ca="1">IFERROR(__xludf.DUMMYFUNCTION("""COMPUTED_VALUE"""),"55024070944200000330000")</f>
        <v>55024070944200000330000</v>
      </c>
      <c r="CQ317" s="20">
        <f ca="1">IFERROR(__xludf.DUMMYFUNCTION("""COMPUTED_VALUE"""),2387986.02)</f>
        <v>2387986.02</v>
      </c>
      <c r="CR317" s="20"/>
      <c r="CS317" s="27" t="str">
        <f ca="1">IFERROR(__xludf.DUMMYFUNCTION("""COMPUTED_VALUE"""),"https://zakupki.gov.ru/223/purchase/public/purchase/info/contractInfo.html?noticeInfoId=11698279")</f>
        <v>https://zakupki.gov.ru/223/purchase/public/purchase/info/contractInfo.html?noticeInfoId=11698279</v>
      </c>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row>
    <row r="318" spans="1:123" ht="64.5" customHeight="1" x14ac:dyDescent="0.2">
      <c r="A318" s="19"/>
      <c r="B318" s="20" t="str">
        <f ca="1">IFERROR(__xludf.DUMMYFUNCTION("""COMPUTED_VALUE"""),"ФПЛК г.о. Можайск")</f>
        <v>ФПЛК г.о. Можайск</v>
      </c>
      <c r="C318" s="20" t="str">
        <f ca="1">IFERROR(__xludf.DUMMYFUNCTION("""COMPUTED_VALUE"""),"Финансовое обеспечение (возмещение) затрат, связанных с капитальным ремонтом объектов теплоснабжения")</f>
        <v>Финансовое обеспечение (возмещение) затрат, связанных с капитальным ремонтом объектов теплоснабжения</v>
      </c>
      <c r="D318" s="20" t="str">
        <f ca="1">IFERROR(__xludf.DUMMYFUNCTION("""COMPUTED_VALUE"""),"МинЖКХ")</f>
        <v>МинЖКХ</v>
      </c>
      <c r="E318" s="20" t="str">
        <f ca="1">IFERROR(__xludf.DUMMYFUNCTION("""COMPUTED_VALUE"""),"Капитальный ремонт котельной № 40 по адресу: Московская область, г. Можайск, ул. Российская, д. 4а")</f>
        <v>Капитальный ремонт котельной № 40 по адресу: Московская область, г. Можайск, ул. Российская, д. 4а</v>
      </c>
      <c r="F318" s="32" t="str">
        <f ca="1">IFERROR(__xludf.DUMMYFUNCTION("""COMPUTED_VALUE"""),"Котельная")</f>
        <v>Котельная</v>
      </c>
      <c r="G318" s="20">
        <f ca="1">IFERROR(__xludf.DUMMYFUNCTION("""COMPUTED_VALUE"""),2020)</f>
        <v>2020</v>
      </c>
      <c r="H318" s="20" t="str">
        <f ca="1">IFERROR(__xludf.DUMMYFUNCTION("""COMPUTED_VALUE"""),"СМР")</f>
        <v>СМР</v>
      </c>
      <c r="I318" s="20">
        <f ca="1">IFERROR(__xludf.DUMMYFUNCTION("""COMPUTED_VALUE"""),55)</f>
        <v>55</v>
      </c>
      <c r="J318" s="20" t="str">
        <f ca="1">IFERROR(__xludf.DUMMYFUNCTION("""COMPUTED_VALUE"""),"СМР: монтаж теплотрассы, промывка котла, установка автоматики управление котлами, монтаж оконных конструкций")</f>
        <v>СМР: монтаж теплотрассы, промывка котла, установка автоматики управление котлами, монтаж оконных конструкций</v>
      </c>
      <c r="K318" s="20">
        <f ca="1">IFERROR(__xludf.DUMMYFUNCTION("""COMPUTED_VALUE"""),26000)</f>
        <v>26000</v>
      </c>
      <c r="L318" s="20">
        <f ca="1">IFERROR(__xludf.DUMMYFUNCTION("""COMPUTED_VALUE"""),26000)</f>
        <v>26000</v>
      </c>
      <c r="M318" s="20"/>
      <c r="N318" s="24">
        <f ca="1">IFERROR(__xludf.DUMMYFUNCTION("""COMPUTED_VALUE"""),158072)</f>
        <v>158072</v>
      </c>
      <c r="O318" s="20"/>
      <c r="P318" s="20"/>
      <c r="Q318" s="24">
        <f ca="1">IFERROR(__xludf.DUMMYFUNCTION("""COMPUTED_VALUE"""),158072)</f>
        <v>158072</v>
      </c>
      <c r="R318" s="20"/>
      <c r="S318" s="20"/>
      <c r="T318" s="20"/>
      <c r="U318" s="24">
        <f ca="1">IFERROR(__xludf.DUMMYFUNCTION("""COMPUTED_VALUE"""),2782)</f>
        <v>2782</v>
      </c>
      <c r="V318" s="24">
        <f ca="1">IFERROR(__xludf.DUMMYFUNCTION("""COMPUTED_VALUE"""),0)</f>
        <v>0</v>
      </c>
      <c r="W318" s="24">
        <f ca="1">IFERROR(__xludf.DUMMYFUNCTION("""COMPUTED_VALUE"""),0)</f>
        <v>0</v>
      </c>
      <c r="X318" s="24">
        <f ca="1">IFERROR(__xludf.DUMMYFUNCTION("""COMPUTED_VALUE"""),2782)</f>
        <v>2782</v>
      </c>
      <c r="Y318" s="24">
        <f ca="1">IFERROR(__xludf.DUMMYFUNCTION("""COMPUTED_VALUE"""),0)</f>
        <v>0</v>
      </c>
      <c r="Z318" s="24">
        <f ca="1">IFERROR(__xludf.DUMMYFUNCTION("""COMPUTED_VALUE"""),0)</f>
        <v>0</v>
      </c>
      <c r="AA318" s="20" t="str">
        <f ca="1">IFERROR(__xludf.DUMMYFUNCTION("""COMPUTED_VALUE"""),"10 3 02 00090")</f>
        <v>10 3 02 00090</v>
      </c>
      <c r="AB318" s="20">
        <f ca="1">IFERROR(__xludf.DUMMYFUNCTION("""COMPUTED_VALUE"""),812)</f>
        <v>812</v>
      </c>
      <c r="AC318" s="20"/>
      <c r="AD318" s="20"/>
      <c r="AE318" s="20"/>
      <c r="AF318" s="24">
        <f ca="1">IFERROR(__xludf.DUMMYFUNCTION("""COMPUTED_VALUE"""),160854)</f>
        <v>160854</v>
      </c>
      <c r="AG318" s="24">
        <f ca="1">IFERROR(__xludf.DUMMYFUNCTION("""COMPUTED_VALUE"""),0)</f>
        <v>0</v>
      </c>
      <c r="AH318" s="24">
        <f ca="1">IFERROR(__xludf.DUMMYFUNCTION("""COMPUTED_VALUE"""),0)</f>
        <v>0</v>
      </c>
      <c r="AI318" s="24">
        <f ca="1">IFERROR(__xludf.DUMMYFUNCTION("""COMPUTED_VALUE"""),160854)</f>
        <v>160854</v>
      </c>
      <c r="AJ318" s="24">
        <f ca="1">IFERROR(__xludf.DUMMYFUNCTION("""COMPUTED_VALUE"""),0)</f>
        <v>0</v>
      </c>
      <c r="AK318" s="24">
        <f ca="1">IFERROR(__xludf.DUMMYFUNCTION("""COMPUTED_VALUE"""),0)</f>
        <v>0</v>
      </c>
      <c r="AL318" s="24">
        <f ca="1">IFERROR(__xludf.DUMMYFUNCTION("""COMPUTED_VALUE"""),0)</f>
        <v>0</v>
      </c>
      <c r="AM318" s="20"/>
      <c r="AN318" s="20"/>
      <c r="AO318" s="20"/>
      <c r="AP318" s="20"/>
      <c r="AQ318" s="20"/>
      <c r="AR318" s="24">
        <f ca="1">IFERROR(__xludf.DUMMYFUNCTION("""COMPUTED_VALUE"""),0)</f>
        <v>0</v>
      </c>
      <c r="AS318" s="20"/>
      <c r="AT318" s="20"/>
      <c r="AU318" s="20"/>
      <c r="AV318" s="20"/>
      <c r="AW318" s="20"/>
      <c r="AX318" s="24">
        <f ca="1">IFERROR(__xludf.DUMMYFUNCTION("""COMPUTED_VALUE"""),160854)</f>
        <v>160854</v>
      </c>
      <c r="AY318" s="24">
        <f ca="1">IFERROR(__xludf.DUMMYFUNCTION("""COMPUTED_VALUE"""),0)</f>
        <v>0</v>
      </c>
      <c r="AZ318" s="24">
        <f ca="1">IFERROR(__xludf.DUMMYFUNCTION("""COMPUTED_VALUE"""),0)</f>
        <v>0</v>
      </c>
      <c r="BA318" s="24">
        <f ca="1">IFERROR(__xludf.DUMMYFUNCTION("""COMPUTED_VALUE"""),160854)</f>
        <v>160854</v>
      </c>
      <c r="BB318" s="24">
        <f ca="1">IFERROR(__xludf.DUMMYFUNCTION("""COMPUTED_VALUE"""),0)</f>
        <v>0</v>
      </c>
      <c r="BC318" s="20"/>
      <c r="BD318" s="24">
        <f ca="1">IFERROR(__xludf.DUMMYFUNCTION("""COMPUTED_VALUE"""),0)</f>
        <v>0</v>
      </c>
      <c r="BE318" s="24">
        <f ca="1">IFERROR(__xludf.DUMMYFUNCTION("""COMPUTED_VALUE"""),0)</f>
        <v>0</v>
      </c>
      <c r="BF318" s="24">
        <f ca="1">IFERROR(__xludf.DUMMYFUNCTION("""COMPUTED_VALUE"""),0)</f>
        <v>0</v>
      </c>
      <c r="BG318" s="24">
        <f ca="1">IFERROR(__xludf.DUMMYFUNCTION("""COMPUTED_VALUE"""),0)</f>
        <v>0</v>
      </c>
      <c r="BH318" s="24">
        <f ca="1">IFERROR(__xludf.DUMMYFUNCTION("""COMPUTED_VALUE"""),0)</f>
        <v>0</v>
      </c>
      <c r="BI318" s="20"/>
      <c r="BJ318" s="24">
        <f ca="1">IFERROR(__xludf.DUMMYFUNCTION("""COMPUTED_VALUE"""),0)</f>
        <v>0</v>
      </c>
      <c r="BK318" s="24">
        <f ca="1">IFERROR(__xludf.DUMMYFUNCTION("""COMPUTED_VALUE"""),0)</f>
        <v>0</v>
      </c>
      <c r="BL318" s="24">
        <f ca="1">IFERROR(__xludf.DUMMYFUNCTION("""COMPUTED_VALUE"""),0)</f>
        <v>0</v>
      </c>
      <c r="BM318" s="24">
        <f ca="1">IFERROR(__xludf.DUMMYFUNCTION("""COMPUTED_VALUE"""),0)</f>
        <v>0</v>
      </c>
      <c r="BN318" s="24">
        <f ca="1">IFERROR(__xludf.DUMMYFUNCTION("""COMPUTED_VALUE"""),0)</f>
        <v>0</v>
      </c>
      <c r="BO318" s="20"/>
      <c r="BP318" s="24">
        <f ca="1">IFERROR(__xludf.DUMMYFUNCTION("""COMPUTED_VALUE"""),0)</f>
        <v>0</v>
      </c>
      <c r="BQ318" s="24">
        <f ca="1">IFERROR(__xludf.DUMMYFUNCTION("""COMPUTED_VALUE"""),0)</f>
        <v>0</v>
      </c>
      <c r="BR318" s="24">
        <f ca="1">IFERROR(__xludf.DUMMYFUNCTION("""COMPUTED_VALUE"""),0)</f>
        <v>0</v>
      </c>
      <c r="BS318" s="24">
        <f ca="1">IFERROR(__xludf.DUMMYFUNCTION("""COMPUTED_VALUE"""),0)</f>
        <v>0</v>
      </c>
      <c r="BT318" s="24">
        <f ca="1">IFERROR(__xludf.DUMMYFUNCTION("""COMPUTED_VALUE"""),0)</f>
        <v>0</v>
      </c>
      <c r="BU318" s="20"/>
      <c r="BV318" s="24">
        <f ca="1">IFERROR(__xludf.DUMMYFUNCTION("""COMPUTED_VALUE"""),0)</f>
        <v>0</v>
      </c>
      <c r="BW318" s="24">
        <f ca="1">IFERROR(__xludf.DUMMYFUNCTION("""COMPUTED_VALUE"""),0)</f>
        <v>0</v>
      </c>
      <c r="BX318" s="24">
        <f ca="1">IFERROR(__xludf.DUMMYFUNCTION("""COMPUTED_VALUE"""),0)</f>
        <v>0</v>
      </c>
      <c r="BY318" s="24">
        <f ca="1">IFERROR(__xludf.DUMMYFUNCTION("""COMPUTED_VALUE"""),0)</f>
        <v>0</v>
      </c>
      <c r="BZ318" s="24">
        <f ca="1">IFERROR(__xludf.DUMMYFUNCTION("""COMPUTED_VALUE"""),0)</f>
        <v>0</v>
      </c>
      <c r="CA318" s="20"/>
      <c r="CB318" s="20"/>
      <c r="CC318" s="20"/>
      <c r="CD318" s="20"/>
      <c r="CE318" s="20"/>
      <c r="CF318" s="20"/>
      <c r="CG318" s="20"/>
      <c r="CH318" s="20"/>
      <c r="CI318" s="20"/>
      <c r="CJ318" s="20"/>
      <c r="CK318" s="20"/>
      <c r="CL318" s="20"/>
      <c r="CM318" s="20"/>
      <c r="CN318" s="20"/>
      <c r="CO318" s="20"/>
      <c r="CP318" s="20"/>
      <c r="CQ318" s="20"/>
      <c r="CR318" s="20"/>
      <c r="CS318" s="20"/>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row>
    <row r="319" spans="1:123" ht="64.5" customHeight="1" x14ac:dyDescent="0.2">
      <c r="A319" s="19"/>
      <c r="B319" s="20" t="str">
        <f ca="1">IFERROR(__xludf.DUMMYFUNCTION("""COMPUTED_VALUE"""),"г.о. Одинцово")</f>
        <v>г.о. Одинцово</v>
      </c>
      <c r="C31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9" s="20" t="str">
        <f ca="1">IFERROR(__xludf.DUMMYFUNCTION("""COMPUTED_VALUE"""),"МинЖКХ")</f>
        <v>МинЖКХ</v>
      </c>
      <c r="E319" s="20" t="str">
        <f ca="1">IFERROR(__xludf.DUMMYFUNCTION("""COMPUTED_VALUE"""),"Строительство хозяйственно-бытовой канализации в дер. Раздоры Одинцовского городского округа Московской области»  (в .т.ч. Тех.присоединение )")</f>
        <v>Строительство хозяйственно-бытовой канализации в дер. Раздоры Одинцовского городского округа Московской области»  (в .т.ч. Тех.присоединение )</v>
      </c>
      <c r="F319" s="32" t="str">
        <f ca="1">IFERROR(__xludf.DUMMYFUNCTION("""COMPUTED_VALUE"""),"Сети")</f>
        <v>Сети</v>
      </c>
      <c r="G319" s="20" t="str">
        <f ca="1">IFERROR(__xludf.DUMMYFUNCTION("""COMPUTED_VALUE"""),"2020-2021")</f>
        <v>2020-2021</v>
      </c>
      <c r="H319" s="20" t="str">
        <f ca="1">IFERROR(__xludf.DUMMYFUNCTION("""COMPUTED_VALUE"""),"СМР")</f>
        <v>СМР</v>
      </c>
      <c r="I319" s="20"/>
      <c r="J319" s="20"/>
      <c r="K319" s="20"/>
      <c r="L319" s="20"/>
      <c r="M319" s="20"/>
      <c r="N319" s="24">
        <f ca="1">IFERROR(__xludf.DUMMYFUNCTION("""COMPUTED_VALUE"""),74666.24)</f>
        <v>74666.240000000005</v>
      </c>
      <c r="O319" s="20"/>
      <c r="P319" s="24">
        <f ca="1">IFERROR(__xludf.DUMMYFUNCTION("""COMPUTED_VALUE"""),74666.24)</f>
        <v>74666.240000000005</v>
      </c>
      <c r="Q319" s="20"/>
      <c r="R319" s="20"/>
      <c r="S319" s="20"/>
      <c r="T319" s="20" t="str">
        <f ca="1">IFERROR(__xludf.DUMMYFUNCTION("""COMPUTED_VALUE"""),"Техприз оплачен, не направлена заявка на опалту  аванса ")</f>
        <v xml:space="preserve">Техприз оплачен, не направлена заявка на опалту  аванса </v>
      </c>
      <c r="U319" s="24">
        <f ca="1">IFERROR(__xludf.DUMMYFUNCTION("""COMPUTED_VALUE"""),54538.56)</f>
        <v>54538.559999999998</v>
      </c>
      <c r="V319" s="24">
        <f ca="1">IFERROR(__xludf.DUMMYFUNCTION("""COMPUTED_VALUE"""),0)</f>
        <v>0</v>
      </c>
      <c r="W319" s="24">
        <f ca="1">IFERROR(__xludf.DUMMYFUNCTION("""COMPUTED_VALUE"""),6086.75999999999)</f>
        <v>6086.7599999999902</v>
      </c>
      <c r="X319" s="24">
        <f ca="1">IFERROR(__xludf.DUMMYFUNCTION("""COMPUTED_VALUE"""),0)</f>
        <v>0</v>
      </c>
      <c r="Y319" s="24">
        <f ca="1">IFERROR(__xludf.DUMMYFUNCTION("""COMPUTED_VALUE"""),48451.8)</f>
        <v>48451.8</v>
      </c>
      <c r="Z319" s="24">
        <f ca="1">IFERROR(__xludf.DUMMYFUNCTION("""COMPUTED_VALUE"""),0)</f>
        <v>0</v>
      </c>
      <c r="AA319" s="20" t="str">
        <f ca="1">IFERROR(__xludf.DUMMYFUNCTION("""COMPUTED_VALUE"""),"10 3 02 64080")</f>
        <v>10 3 02 64080</v>
      </c>
      <c r="AB319" s="20">
        <f ca="1">IFERROR(__xludf.DUMMYFUNCTION("""COMPUTED_VALUE"""),522)</f>
        <v>522</v>
      </c>
      <c r="AC319" s="20" t="str">
        <f ca="1">IFERROR(__xludf.DUMMYFUNCTION("""COMPUTED_VALUE"""),"не требуется")</f>
        <v>не требуется</v>
      </c>
      <c r="AD319" s="20"/>
      <c r="AE319" s="20"/>
      <c r="AF319" s="24">
        <f ca="1">IFERROR(__xludf.DUMMYFUNCTION("""COMPUTED_VALUE"""),417243.2)</f>
        <v>417243.2</v>
      </c>
      <c r="AG319" s="24">
        <f ca="1">IFERROR(__xludf.DUMMYFUNCTION("""COMPUTED_VALUE"""),0)</f>
        <v>0</v>
      </c>
      <c r="AH319" s="24">
        <f ca="1">IFERROR(__xludf.DUMMYFUNCTION("""COMPUTED_VALUE"""),260777)</f>
        <v>260777</v>
      </c>
      <c r="AI319" s="24">
        <f ca="1">IFERROR(__xludf.DUMMYFUNCTION("""COMPUTED_VALUE"""),0)</f>
        <v>0</v>
      </c>
      <c r="AJ319" s="24">
        <f ca="1">IFERROR(__xludf.DUMMYFUNCTION("""COMPUTED_VALUE"""),156466.2)</f>
        <v>156466.20000000001</v>
      </c>
      <c r="AK319" s="24">
        <f ca="1">IFERROR(__xludf.DUMMYFUNCTION("""COMPUTED_VALUE"""),0)</f>
        <v>0</v>
      </c>
      <c r="AL319" s="24">
        <f ca="1">IFERROR(__xludf.DUMMYFUNCTION("""COMPUTED_VALUE"""),0)</f>
        <v>0</v>
      </c>
      <c r="AM319" s="20"/>
      <c r="AN319" s="20"/>
      <c r="AO319" s="20"/>
      <c r="AP319" s="20"/>
      <c r="AQ319" s="20"/>
      <c r="AR319" s="24">
        <f ca="1">IFERROR(__xludf.DUMMYFUNCTION("""COMPUTED_VALUE"""),0)</f>
        <v>0</v>
      </c>
      <c r="AS319" s="20"/>
      <c r="AT319" s="20"/>
      <c r="AU319" s="20"/>
      <c r="AV319" s="20"/>
      <c r="AW319" s="20"/>
      <c r="AX319" s="24">
        <f ca="1">IFERROR(__xludf.DUMMYFUNCTION("""COMPUTED_VALUE"""),129204.8)</f>
        <v>129204.8</v>
      </c>
      <c r="AY319" s="24">
        <f ca="1">IFERROR(__xludf.DUMMYFUNCTION("""COMPUTED_VALUE"""),0)</f>
        <v>0</v>
      </c>
      <c r="AZ319" s="24">
        <f ca="1">IFERROR(__xludf.DUMMYFUNCTION("""COMPUTED_VALUE"""),80753)</f>
        <v>80753</v>
      </c>
      <c r="BA319" s="24">
        <f ca="1">IFERROR(__xludf.DUMMYFUNCTION("""COMPUTED_VALUE"""),0)</f>
        <v>0</v>
      </c>
      <c r="BB319" s="24">
        <f ca="1">IFERROR(__xludf.DUMMYFUNCTION("""COMPUTED_VALUE"""),48451.8)</f>
        <v>48451.8</v>
      </c>
      <c r="BC319" s="20"/>
      <c r="BD319" s="24">
        <f ca="1">IFERROR(__xludf.DUMMYFUNCTION("""COMPUTED_VALUE"""),288038.4)</f>
        <v>288038.40000000002</v>
      </c>
      <c r="BE319" s="24">
        <f ca="1">IFERROR(__xludf.DUMMYFUNCTION("""COMPUTED_VALUE"""),0)</f>
        <v>0</v>
      </c>
      <c r="BF319" s="24">
        <f ca="1">IFERROR(__xludf.DUMMYFUNCTION("""COMPUTED_VALUE"""),180024)</f>
        <v>180024</v>
      </c>
      <c r="BG319" s="24">
        <f ca="1">IFERROR(__xludf.DUMMYFUNCTION("""COMPUTED_VALUE"""),0)</f>
        <v>0</v>
      </c>
      <c r="BH319" s="24">
        <f ca="1">IFERROR(__xludf.DUMMYFUNCTION("""COMPUTED_VALUE"""),108014.4)</f>
        <v>108014.39999999999</v>
      </c>
      <c r="BI319" s="20"/>
      <c r="BJ319" s="24">
        <f ca="1">IFERROR(__xludf.DUMMYFUNCTION("""COMPUTED_VALUE"""),0)</f>
        <v>0</v>
      </c>
      <c r="BK319" s="24">
        <f ca="1">IFERROR(__xludf.DUMMYFUNCTION("""COMPUTED_VALUE"""),0)</f>
        <v>0</v>
      </c>
      <c r="BL319" s="24">
        <f ca="1">IFERROR(__xludf.DUMMYFUNCTION("""COMPUTED_VALUE"""),0)</f>
        <v>0</v>
      </c>
      <c r="BM319" s="24">
        <f ca="1">IFERROR(__xludf.DUMMYFUNCTION("""COMPUTED_VALUE"""),0)</f>
        <v>0</v>
      </c>
      <c r="BN319" s="24">
        <f ca="1">IFERROR(__xludf.DUMMYFUNCTION("""COMPUTED_VALUE"""),0)</f>
        <v>0</v>
      </c>
      <c r="BO319" s="20"/>
      <c r="BP319" s="24">
        <f ca="1">IFERROR(__xludf.DUMMYFUNCTION("""COMPUTED_VALUE"""),0)</f>
        <v>0</v>
      </c>
      <c r="BQ319" s="24">
        <f ca="1">IFERROR(__xludf.DUMMYFUNCTION("""COMPUTED_VALUE"""),0)</f>
        <v>0</v>
      </c>
      <c r="BR319" s="24">
        <f ca="1">IFERROR(__xludf.DUMMYFUNCTION("""COMPUTED_VALUE"""),0)</f>
        <v>0</v>
      </c>
      <c r="BS319" s="24">
        <f ca="1">IFERROR(__xludf.DUMMYFUNCTION("""COMPUTED_VALUE"""),0)</f>
        <v>0</v>
      </c>
      <c r="BT319" s="24">
        <f ca="1">IFERROR(__xludf.DUMMYFUNCTION("""COMPUTED_VALUE"""),0)</f>
        <v>0</v>
      </c>
      <c r="BU319" s="20"/>
      <c r="BV319" s="24">
        <f ca="1">IFERROR(__xludf.DUMMYFUNCTION("""COMPUTED_VALUE"""),0)</f>
        <v>0</v>
      </c>
      <c r="BW319" s="24">
        <f ca="1">IFERROR(__xludf.DUMMYFUNCTION("""COMPUTED_VALUE"""),0)</f>
        <v>0</v>
      </c>
      <c r="BX319" s="24">
        <f ca="1">IFERROR(__xludf.DUMMYFUNCTION("""COMPUTED_VALUE"""),0)</f>
        <v>0</v>
      </c>
      <c r="BY319" s="24">
        <f ca="1">IFERROR(__xludf.DUMMYFUNCTION("""COMPUTED_VALUE"""),0)</f>
        <v>0</v>
      </c>
      <c r="BZ319" s="24">
        <f ca="1">IFERROR(__xludf.DUMMYFUNCTION("""COMPUTED_VALUE"""),0)</f>
        <v>0</v>
      </c>
      <c r="CA319" s="20"/>
      <c r="CB319" s="20"/>
      <c r="CC319" s="20"/>
      <c r="CD319" s="20"/>
      <c r="CE319" s="20"/>
      <c r="CF319" s="20"/>
      <c r="CG319" s="20"/>
      <c r="CH319" s="20"/>
      <c r="CI319" s="20"/>
      <c r="CJ319" s="33">
        <f ca="1">IFERROR(__xludf.DUMMYFUNCTION("""COMPUTED_VALUE"""),43928)</f>
        <v>43928</v>
      </c>
      <c r="CK319" s="33">
        <f ca="1">IFERROR(__xludf.DUMMYFUNCTION("""COMPUTED_VALUE"""),44068)</f>
        <v>44068</v>
      </c>
      <c r="CL319" s="20" t="str">
        <f ca="1">IFERROR(__xludf.DUMMYFUNCTION("""COMPUTED_VALUE"""),"50-1-1-3-1352-20")</f>
        <v>50-1-1-3-1352-20</v>
      </c>
      <c r="CM319" s="26">
        <f ca="1">IFERROR(__xludf.DUMMYFUNCTION("""COMPUTED_VALUE"""),44110)</f>
        <v>44110</v>
      </c>
      <c r="CN319" s="20" t="str">
        <f ca="1">IFERROR(__xludf.DUMMYFUNCTION("""COMPUTED_VALUE"""),"0148200005420000326")</f>
        <v>0148200005420000326</v>
      </c>
      <c r="CO319" s="25">
        <f ca="1">IFERROR(__xludf.DUMMYFUNCTION("""COMPUTED_VALUE"""),44145)</f>
        <v>44145</v>
      </c>
      <c r="CP319" s="20">
        <f ca="1">IFERROR(__xludf.DUMMYFUNCTION("""COMPUTED_VALUE"""),124)</f>
        <v>124</v>
      </c>
      <c r="CQ319" s="20">
        <f ca="1">IFERROR(__xludf.DUMMYFUNCTION("""COMPUTED_VALUE"""),284460636.34)</f>
        <v>284460636.33999997</v>
      </c>
      <c r="CR319" s="20" t="str">
        <f ca="1">IFERROR(__xludf.DUMMYFUNCTION("""COMPUTED_VALUE"""),"ООО ""АСГ ТЕХНО СТРОЙ""")</f>
        <v>ООО "АСГ ТЕХНО СТРОЙ"</v>
      </c>
      <c r="CS319" s="27" t="str">
        <f ca="1">IFERROR(__xludf.DUMMYFUNCTION("""COMPUTED_VALUE"""),"https://zakupki.gov.ru/epz/contract/contractCard/common-info.html?reestrNumber=3503200422220000169&amp;backUrl=c54e7e55-709a-4c28-86e6-ecfca358ffaa")</f>
        <v>https://zakupki.gov.ru/epz/contract/contractCard/common-info.html?reestrNumber=3503200422220000169&amp;backUrl=c54e7e55-709a-4c28-86e6-ecfca358ffaa</v>
      </c>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row>
    <row r="320" spans="1:123" ht="64.5" customHeight="1" x14ac:dyDescent="0.2">
      <c r="A320" s="19"/>
      <c r="B320" s="20" t="str">
        <f ca="1">IFERROR(__xludf.DUMMYFUNCTION("""COMPUTED_VALUE"""),"г.о. Озеры")</f>
        <v>г.о. Озеры</v>
      </c>
      <c r="C32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0" s="20" t="str">
        <f ca="1">IFERROR(__xludf.DUMMYFUNCTION("""COMPUTED_VALUE"""),"МинЖКХ")</f>
        <v>МинЖКХ</v>
      </c>
      <c r="E320" s="20" t="str">
        <f ca="1">IFERROR(__xludf.DUMMYFUNCTION("""COMPUTED_VALUE"""),"Реконструкция газовой котельной №5 в поселке центральной усадьбы совхоза ""Озёры"", г.о. Озёры")</f>
        <v>Реконструкция газовой котельной №5 в поселке центральной усадьбы совхоза "Озёры", г.о. Озёры</v>
      </c>
      <c r="F320" s="32" t="str">
        <f ca="1">IFERROR(__xludf.DUMMYFUNCTION("""COMPUTED_VALUE"""),"Котельная")</f>
        <v>Котельная</v>
      </c>
      <c r="G320" s="20">
        <f ca="1">IFERROR(__xludf.DUMMYFUNCTION("""COMPUTED_VALUE"""),2020)</f>
        <v>2020</v>
      </c>
      <c r="H320" s="20" t="str">
        <f ca="1">IFERROR(__xludf.DUMMYFUNCTION("""COMPUTED_VALUE"""),"СМР")</f>
        <v>СМР</v>
      </c>
      <c r="I320" s="20">
        <f ca="1">IFERROR(__xludf.DUMMYFUNCTION("""COMPUTED_VALUE"""),100)</f>
        <v>100</v>
      </c>
      <c r="J320" s="20" t="str">
        <f ca="1">IFERROR(__xludf.DUMMYFUNCTION("""COMPUTED_VALUE"""),"Заяака на оплату находится на рассмотрение в МинЖКХ от 01.12.2020.")</f>
        <v>Заяака на оплату находится на рассмотрение в МинЖКХ от 01.12.2020.</v>
      </c>
      <c r="K320" s="20">
        <f ca="1">IFERROR(__xludf.DUMMYFUNCTION("""COMPUTED_VALUE"""),1800)</f>
        <v>1800</v>
      </c>
      <c r="L320" s="20">
        <f ca="1">IFERROR(__xludf.DUMMYFUNCTION("""COMPUTED_VALUE"""),1800)</f>
        <v>1800</v>
      </c>
      <c r="M320" s="20"/>
      <c r="N320" s="24">
        <f ca="1">IFERROR(__xludf.DUMMYFUNCTION("""COMPUTED_VALUE"""),35955.06)</f>
        <v>35955.06</v>
      </c>
      <c r="O320" s="20"/>
      <c r="P320" s="24">
        <f ca="1">IFERROR(__xludf.DUMMYFUNCTION("""COMPUTED_VALUE"""),35955.06)</f>
        <v>35955.06</v>
      </c>
      <c r="Q320" s="20"/>
      <c r="R320" s="20"/>
      <c r="S320" s="20"/>
      <c r="T320" s="20"/>
      <c r="U320" s="24">
        <f ca="1">IFERROR(__xludf.DUMMYFUNCTION("""COMPUTED_VALUE"""),11345.31)</f>
        <v>11345.31</v>
      </c>
      <c r="V320" s="24">
        <f ca="1">IFERROR(__xludf.DUMMYFUNCTION("""COMPUTED_VALUE"""),0)</f>
        <v>0</v>
      </c>
      <c r="W320" s="24">
        <f ca="1">IFERROR(__xludf.DUMMYFUNCTION("""COMPUTED_VALUE"""),2121.73)</f>
        <v>2121.73</v>
      </c>
      <c r="X320" s="24">
        <f ca="1">IFERROR(__xludf.DUMMYFUNCTION("""COMPUTED_VALUE"""),0)</f>
        <v>0</v>
      </c>
      <c r="Y320" s="24">
        <f ca="1">IFERROR(__xludf.DUMMYFUNCTION("""COMPUTED_VALUE"""),9223.58)</f>
        <v>9223.58</v>
      </c>
      <c r="Z320" s="24">
        <f ca="1">IFERROR(__xludf.DUMMYFUNCTION("""COMPUTED_VALUE"""),0)</f>
        <v>0</v>
      </c>
      <c r="AA320" s="20" t="str">
        <f ca="1">IFERROR(__xludf.DUMMYFUNCTION("""COMPUTED_VALUE"""),"10 3 02 64080")</f>
        <v>10 3 02 64080</v>
      </c>
      <c r="AB320" s="20">
        <f ca="1">IFERROR(__xludf.DUMMYFUNCTION("""COMPUTED_VALUE"""),522)</f>
        <v>522</v>
      </c>
      <c r="AC320" s="20"/>
      <c r="AD320" s="20"/>
      <c r="AE320" s="20"/>
      <c r="AF320" s="24">
        <f ca="1">IFERROR(__xludf.DUMMYFUNCTION("""COMPUTED_VALUE"""),47300.37)</f>
        <v>47300.37</v>
      </c>
      <c r="AG320" s="24">
        <f ca="1">IFERROR(__xludf.DUMMYFUNCTION("""COMPUTED_VALUE"""),0)</f>
        <v>0</v>
      </c>
      <c r="AH320" s="24">
        <f ca="1">IFERROR(__xludf.DUMMYFUNCTION("""COMPUTED_VALUE"""),38076.79)</f>
        <v>38076.79</v>
      </c>
      <c r="AI320" s="24">
        <f ca="1">IFERROR(__xludf.DUMMYFUNCTION("""COMPUTED_VALUE"""),0)</f>
        <v>0</v>
      </c>
      <c r="AJ320" s="24">
        <f ca="1">IFERROR(__xludf.DUMMYFUNCTION("""COMPUTED_VALUE"""),9223.58)</f>
        <v>9223.58</v>
      </c>
      <c r="AK320" s="24">
        <f ca="1">IFERROR(__xludf.DUMMYFUNCTION("""COMPUTED_VALUE"""),0)</f>
        <v>0</v>
      </c>
      <c r="AL320" s="24">
        <f ca="1">IFERROR(__xludf.DUMMYFUNCTION("""COMPUTED_VALUE"""),0)</f>
        <v>0</v>
      </c>
      <c r="AM320" s="20"/>
      <c r="AN320" s="20"/>
      <c r="AO320" s="20"/>
      <c r="AP320" s="20"/>
      <c r="AQ320" s="20"/>
      <c r="AR320" s="24">
        <f ca="1">IFERROR(__xludf.DUMMYFUNCTION("""COMPUTED_VALUE"""),0)</f>
        <v>0</v>
      </c>
      <c r="AS320" s="20"/>
      <c r="AT320" s="20"/>
      <c r="AU320" s="20"/>
      <c r="AV320" s="20"/>
      <c r="AW320" s="20"/>
      <c r="AX320" s="24">
        <f ca="1">IFERROR(__xludf.DUMMYFUNCTION("""COMPUTED_VALUE"""),47300.37)</f>
        <v>47300.37</v>
      </c>
      <c r="AY320" s="24">
        <f ca="1">IFERROR(__xludf.DUMMYFUNCTION("""COMPUTED_VALUE"""),0)</f>
        <v>0</v>
      </c>
      <c r="AZ320" s="24">
        <f ca="1">IFERROR(__xludf.DUMMYFUNCTION("""COMPUTED_VALUE"""),38076.79)</f>
        <v>38076.79</v>
      </c>
      <c r="BA320" s="24">
        <f ca="1">IFERROR(__xludf.DUMMYFUNCTION("""COMPUTED_VALUE"""),0)</f>
        <v>0</v>
      </c>
      <c r="BB320" s="24">
        <f ca="1">IFERROR(__xludf.DUMMYFUNCTION("""COMPUTED_VALUE"""),9223.58)</f>
        <v>9223.58</v>
      </c>
      <c r="BC320" s="20"/>
      <c r="BD320" s="24">
        <f ca="1">IFERROR(__xludf.DUMMYFUNCTION("""COMPUTED_VALUE"""),0)</f>
        <v>0</v>
      </c>
      <c r="BE320" s="24">
        <f ca="1">IFERROR(__xludf.DUMMYFUNCTION("""COMPUTED_VALUE"""),0)</f>
        <v>0</v>
      </c>
      <c r="BF320" s="24">
        <f ca="1">IFERROR(__xludf.DUMMYFUNCTION("""COMPUTED_VALUE"""),0)</f>
        <v>0</v>
      </c>
      <c r="BG320" s="24">
        <f ca="1">IFERROR(__xludf.DUMMYFUNCTION("""COMPUTED_VALUE"""),0)</f>
        <v>0</v>
      </c>
      <c r="BH320" s="24">
        <f ca="1">IFERROR(__xludf.DUMMYFUNCTION("""COMPUTED_VALUE"""),0)</f>
        <v>0</v>
      </c>
      <c r="BI320" s="20"/>
      <c r="BJ320" s="24">
        <f ca="1">IFERROR(__xludf.DUMMYFUNCTION("""COMPUTED_VALUE"""),0)</f>
        <v>0</v>
      </c>
      <c r="BK320" s="24">
        <f ca="1">IFERROR(__xludf.DUMMYFUNCTION("""COMPUTED_VALUE"""),0)</f>
        <v>0</v>
      </c>
      <c r="BL320" s="24">
        <f ca="1">IFERROR(__xludf.DUMMYFUNCTION("""COMPUTED_VALUE"""),0)</f>
        <v>0</v>
      </c>
      <c r="BM320" s="24">
        <f ca="1">IFERROR(__xludf.DUMMYFUNCTION("""COMPUTED_VALUE"""),0)</f>
        <v>0</v>
      </c>
      <c r="BN320" s="24">
        <f ca="1">IFERROR(__xludf.DUMMYFUNCTION("""COMPUTED_VALUE"""),0)</f>
        <v>0</v>
      </c>
      <c r="BO320" s="20"/>
      <c r="BP320" s="24">
        <f ca="1">IFERROR(__xludf.DUMMYFUNCTION("""COMPUTED_VALUE"""),0)</f>
        <v>0</v>
      </c>
      <c r="BQ320" s="24">
        <f ca="1">IFERROR(__xludf.DUMMYFUNCTION("""COMPUTED_VALUE"""),0)</f>
        <v>0</v>
      </c>
      <c r="BR320" s="24">
        <f ca="1">IFERROR(__xludf.DUMMYFUNCTION("""COMPUTED_VALUE"""),0)</f>
        <v>0</v>
      </c>
      <c r="BS320" s="24">
        <f ca="1">IFERROR(__xludf.DUMMYFUNCTION("""COMPUTED_VALUE"""),0)</f>
        <v>0</v>
      </c>
      <c r="BT320" s="24">
        <f ca="1">IFERROR(__xludf.DUMMYFUNCTION("""COMPUTED_VALUE"""),0)</f>
        <v>0</v>
      </c>
      <c r="BU320" s="20"/>
      <c r="BV320" s="24">
        <f ca="1">IFERROR(__xludf.DUMMYFUNCTION("""COMPUTED_VALUE"""),0)</f>
        <v>0</v>
      </c>
      <c r="BW320" s="24">
        <f ca="1">IFERROR(__xludf.DUMMYFUNCTION("""COMPUTED_VALUE"""),0)</f>
        <v>0</v>
      </c>
      <c r="BX320" s="24">
        <f ca="1">IFERROR(__xludf.DUMMYFUNCTION("""COMPUTED_VALUE"""),0)</f>
        <v>0</v>
      </c>
      <c r="BY320" s="24">
        <f ca="1">IFERROR(__xludf.DUMMYFUNCTION("""COMPUTED_VALUE"""),0)</f>
        <v>0</v>
      </c>
      <c r="BZ320" s="24">
        <f ca="1">IFERROR(__xludf.DUMMYFUNCTION("""COMPUTED_VALUE"""),0)</f>
        <v>0</v>
      </c>
      <c r="CA320" s="20"/>
      <c r="CB320" s="20"/>
      <c r="CC320" s="20"/>
      <c r="CD320" s="20"/>
      <c r="CE320" s="20"/>
      <c r="CF320" s="20"/>
      <c r="CG320" s="20"/>
      <c r="CH320" s="20"/>
      <c r="CI320" s="20"/>
      <c r="CJ320" s="20"/>
      <c r="CK320" s="20"/>
      <c r="CL320" s="20"/>
      <c r="CM320" s="26">
        <f ca="1">IFERROR(__xludf.DUMMYFUNCTION("""COMPUTED_VALUE"""),43894)</f>
        <v>43894</v>
      </c>
      <c r="CN320" s="20" t="str">
        <f ca="1">IFERROR(__xludf.DUMMYFUNCTION("""COMPUTED_VALUE"""),"0848300041120000027")</f>
        <v>0848300041120000027</v>
      </c>
      <c r="CO320" s="26">
        <f ca="1">IFERROR(__xludf.DUMMYFUNCTION("""COMPUTED_VALUE"""),43938)</f>
        <v>43938</v>
      </c>
      <c r="CP320" s="20" t="str">
        <f ca="1">IFERROR(__xludf.DUMMYFUNCTION("""COMPUTED_VALUE"""),"Ф.27")</f>
        <v>Ф.27</v>
      </c>
      <c r="CQ320" s="20">
        <f ca="1">IFERROR(__xludf.DUMMYFUNCTION("""COMPUTED_VALUE"""),44664681.63)</f>
        <v>44664681.630000003</v>
      </c>
      <c r="CR320" s="20" t="str">
        <f ca="1">IFERROR(__xludf.DUMMYFUNCTION("""COMPUTED_VALUE"""),"Общество с ограниченной ответственностью ""Энергетическая компания ""Маяк""")</f>
        <v>Общество с ограниченной ответственностью "Энергетическая компания "Маяк"</v>
      </c>
      <c r="CS320" s="27" t="str">
        <f ca="1">IFERROR(__xludf.DUMMYFUNCTION("""COMPUTED_VALUE"""),"https://zakupki.gov.ru/epz/contract/contractCard/common-info.html?reestrNumber=3503300233020000028&amp;backUrl=5eb2eef2-2279-41f2-b687-253a9e3ce2ba")</f>
        <v>https://zakupki.gov.ru/epz/contract/contractCard/common-info.html?reestrNumber=3503300233020000028&amp;backUrl=5eb2eef2-2279-41f2-b687-253a9e3ce2ba</v>
      </c>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row>
    <row r="321" spans="1:123" ht="64.5" customHeight="1" x14ac:dyDescent="0.2">
      <c r="A321" s="19"/>
      <c r="B321" s="20" t="str">
        <f ca="1">IFERROR(__xludf.DUMMYFUNCTION("""COMPUTED_VALUE"""),"г.о. Пущино")</f>
        <v>г.о. Пущино</v>
      </c>
      <c r="C321"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21" s="20" t="str">
        <f ca="1">IFERROR(__xludf.DUMMYFUNCTION("""COMPUTED_VALUE"""),"МинЖКХ")</f>
        <v>МинЖКХ</v>
      </c>
      <c r="E321" s="20" t="str">
        <f ca="1">IFERROR(__xludf.DUMMYFUNCTION("""COMPUTED_VALUE"""),"Капитальный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f>
        <v xml:space="preserv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v>
      </c>
      <c r="F321" s="32" t="str">
        <f ca="1">IFERROR(__xludf.DUMMYFUNCTION("""COMPUTED_VALUE"""),"Сети")</f>
        <v>Сети</v>
      </c>
      <c r="G321" s="20">
        <f ca="1">IFERROR(__xludf.DUMMYFUNCTION("""COMPUTED_VALUE"""),2020)</f>
        <v>2020</v>
      </c>
      <c r="H321" s="20" t="str">
        <f ca="1">IFERROR(__xludf.DUMMYFUNCTION("""COMPUTED_VALUE"""),"СМР")</f>
        <v>СМР</v>
      </c>
      <c r="I321" s="20">
        <f ca="1">IFERROR(__xludf.DUMMYFUNCTION("""COMPUTED_VALUE"""),100)</f>
        <v>100</v>
      </c>
      <c r="J321" s="20" t="str">
        <f ca="1">IFERROR(__xludf.DUMMYFUNCTION("""COMPUTED_VALUE"""),"До 15.12.2020 должны присалть заявку на оплату.")</f>
        <v>До 15.12.2020 должны присалть заявку на оплату.</v>
      </c>
      <c r="K321" s="20">
        <f ca="1">IFERROR(__xludf.DUMMYFUNCTION("""COMPUTED_VALUE"""),1200)</f>
        <v>1200</v>
      </c>
      <c r="L321" s="20">
        <f ca="1">IFERROR(__xludf.DUMMYFUNCTION("""COMPUTED_VALUE"""),1200)</f>
        <v>1200</v>
      </c>
      <c r="M321" s="20"/>
      <c r="N321" s="24">
        <f ca="1">IFERROR(__xludf.DUMMYFUNCTION("""COMPUTED_VALUE"""),14703.53)</f>
        <v>14703.53</v>
      </c>
      <c r="O321" s="20"/>
      <c r="P321" s="24">
        <f ca="1">IFERROR(__xludf.DUMMYFUNCTION("""COMPUTED_VALUE"""),14703.53)</f>
        <v>14703.53</v>
      </c>
      <c r="Q321" s="20"/>
      <c r="R321" s="20"/>
      <c r="S321" s="20"/>
      <c r="T321" s="20" t="str">
        <f ca="1">IFERROR(__xludf.DUMMYFUNCTION("""COMPUTED_VALUE"""),"Оплаят по окончание работ ")</f>
        <v xml:space="preserve">Оплаят по окончание работ </v>
      </c>
      <c r="U321" s="24">
        <f ca="1">IFERROR(__xludf.DUMMYFUNCTION("""COMPUTED_VALUE"""),1726.55)</f>
        <v>1726.55</v>
      </c>
      <c r="V321" s="24">
        <f ca="1">IFERROR(__xludf.DUMMYFUNCTION("""COMPUTED_VALUE"""),0)</f>
        <v>0</v>
      </c>
      <c r="W321" s="24">
        <f ca="1">IFERROR(__xludf.DUMMYFUNCTION("""COMPUTED_VALUE"""),576.469999999999)</f>
        <v>576.469999999999</v>
      </c>
      <c r="X321" s="24">
        <f ca="1">IFERROR(__xludf.DUMMYFUNCTION("""COMPUTED_VALUE"""),0)</f>
        <v>0</v>
      </c>
      <c r="Y321" s="24">
        <f ca="1">IFERROR(__xludf.DUMMYFUNCTION("""COMPUTED_VALUE"""),1150.08)</f>
        <v>1150.08</v>
      </c>
      <c r="Z321" s="24">
        <f ca="1">IFERROR(__xludf.DUMMYFUNCTION("""COMPUTED_VALUE"""),0)</f>
        <v>0</v>
      </c>
      <c r="AA321" s="20" t="str">
        <f ca="1">IFERROR(__xludf.DUMMYFUNCTION("""COMPUTED_VALUE"""),"10 3 02 60320")</f>
        <v>10 3 02 60320</v>
      </c>
      <c r="AB321" s="20">
        <f ca="1">IFERROR(__xludf.DUMMYFUNCTION("""COMPUTED_VALUE"""),521)</f>
        <v>521</v>
      </c>
      <c r="AC321" s="20"/>
      <c r="AD321" s="20"/>
      <c r="AE321" s="20"/>
      <c r="AF321" s="24">
        <f ca="1">IFERROR(__xludf.DUMMYFUNCTION("""COMPUTED_VALUE"""),16430.08)</f>
        <v>16430.080000000002</v>
      </c>
      <c r="AG321" s="24">
        <f ca="1">IFERROR(__xludf.DUMMYFUNCTION("""COMPUTED_VALUE"""),0)</f>
        <v>0</v>
      </c>
      <c r="AH321" s="24">
        <f ca="1">IFERROR(__xludf.DUMMYFUNCTION("""COMPUTED_VALUE"""),15280)</f>
        <v>15280</v>
      </c>
      <c r="AI321" s="24">
        <f ca="1">IFERROR(__xludf.DUMMYFUNCTION("""COMPUTED_VALUE"""),0)</f>
        <v>0</v>
      </c>
      <c r="AJ321" s="24">
        <f ca="1">IFERROR(__xludf.DUMMYFUNCTION("""COMPUTED_VALUE"""),1150.08)</f>
        <v>1150.08</v>
      </c>
      <c r="AK321" s="24">
        <f ca="1">IFERROR(__xludf.DUMMYFUNCTION("""COMPUTED_VALUE"""),0)</f>
        <v>0</v>
      </c>
      <c r="AL321" s="24">
        <f ca="1">IFERROR(__xludf.DUMMYFUNCTION("""COMPUTED_VALUE"""),0)</f>
        <v>0</v>
      </c>
      <c r="AM321" s="20"/>
      <c r="AN321" s="20"/>
      <c r="AO321" s="20"/>
      <c r="AP321" s="20"/>
      <c r="AQ321" s="20"/>
      <c r="AR321" s="24">
        <f ca="1">IFERROR(__xludf.DUMMYFUNCTION("""COMPUTED_VALUE"""),0)</f>
        <v>0</v>
      </c>
      <c r="AS321" s="20"/>
      <c r="AT321" s="20"/>
      <c r="AU321" s="20"/>
      <c r="AV321" s="20"/>
      <c r="AW321" s="20"/>
      <c r="AX321" s="24">
        <f ca="1">IFERROR(__xludf.DUMMYFUNCTION("""COMPUTED_VALUE"""),16430.08)</f>
        <v>16430.080000000002</v>
      </c>
      <c r="AY321" s="24">
        <f ca="1">IFERROR(__xludf.DUMMYFUNCTION("""COMPUTED_VALUE"""),0)</f>
        <v>0</v>
      </c>
      <c r="AZ321" s="24">
        <f ca="1">IFERROR(__xludf.DUMMYFUNCTION("""COMPUTED_VALUE"""),15280)</f>
        <v>15280</v>
      </c>
      <c r="BA321" s="24">
        <f ca="1">IFERROR(__xludf.DUMMYFUNCTION("""COMPUTED_VALUE"""),0)</f>
        <v>0</v>
      </c>
      <c r="BB321" s="24">
        <f ca="1">IFERROR(__xludf.DUMMYFUNCTION("""COMPUTED_VALUE"""),1150.08)</f>
        <v>1150.08</v>
      </c>
      <c r="BC321" s="20"/>
      <c r="BD321" s="24">
        <f ca="1">IFERROR(__xludf.DUMMYFUNCTION("""COMPUTED_VALUE"""),0)</f>
        <v>0</v>
      </c>
      <c r="BE321" s="24">
        <f ca="1">IFERROR(__xludf.DUMMYFUNCTION("""COMPUTED_VALUE"""),0)</f>
        <v>0</v>
      </c>
      <c r="BF321" s="24">
        <f ca="1">IFERROR(__xludf.DUMMYFUNCTION("""COMPUTED_VALUE"""),0)</f>
        <v>0</v>
      </c>
      <c r="BG321" s="24">
        <f ca="1">IFERROR(__xludf.DUMMYFUNCTION("""COMPUTED_VALUE"""),0)</f>
        <v>0</v>
      </c>
      <c r="BH321" s="24">
        <f ca="1">IFERROR(__xludf.DUMMYFUNCTION("""COMPUTED_VALUE"""),0)</f>
        <v>0</v>
      </c>
      <c r="BI321" s="20"/>
      <c r="BJ321" s="24">
        <f ca="1">IFERROR(__xludf.DUMMYFUNCTION("""COMPUTED_VALUE"""),0)</f>
        <v>0</v>
      </c>
      <c r="BK321" s="24">
        <f ca="1">IFERROR(__xludf.DUMMYFUNCTION("""COMPUTED_VALUE"""),0)</f>
        <v>0</v>
      </c>
      <c r="BL321" s="24">
        <f ca="1">IFERROR(__xludf.DUMMYFUNCTION("""COMPUTED_VALUE"""),0)</f>
        <v>0</v>
      </c>
      <c r="BM321" s="24">
        <f ca="1">IFERROR(__xludf.DUMMYFUNCTION("""COMPUTED_VALUE"""),0)</f>
        <v>0</v>
      </c>
      <c r="BN321" s="24">
        <f ca="1">IFERROR(__xludf.DUMMYFUNCTION("""COMPUTED_VALUE"""),0)</f>
        <v>0</v>
      </c>
      <c r="BO321" s="20"/>
      <c r="BP321" s="24">
        <f ca="1">IFERROR(__xludf.DUMMYFUNCTION("""COMPUTED_VALUE"""),0)</f>
        <v>0</v>
      </c>
      <c r="BQ321" s="24">
        <f ca="1">IFERROR(__xludf.DUMMYFUNCTION("""COMPUTED_VALUE"""),0)</f>
        <v>0</v>
      </c>
      <c r="BR321" s="24">
        <f ca="1">IFERROR(__xludf.DUMMYFUNCTION("""COMPUTED_VALUE"""),0)</f>
        <v>0</v>
      </c>
      <c r="BS321" s="24">
        <f ca="1">IFERROR(__xludf.DUMMYFUNCTION("""COMPUTED_VALUE"""),0)</f>
        <v>0</v>
      </c>
      <c r="BT321" s="24">
        <f ca="1">IFERROR(__xludf.DUMMYFUNCTION("""COMPUTED_VALUE"""),0)</f>
        <v>0</v>
      </c>
      <c r="BU321" s="20"/>
      <c r="BV321" s="24">
        <f ca="1">IFERROR(__xludf.DUMMYFUNCTION("""COMPUTED_VALUE"""),0)</f>
        <v>0</v>
      </c>
      <c r="BW321" s="24">
        <f ca="1">IFERROR(__xludf.DUMMYFUNCTION("""COMPUTED_VALUE"""),0)</f>
        <v>0</v>
      </c>
      <c r="BX321" s="24">
        <f ca="1">IFERROR(__xludf.DUMMYFUNCTION("""COMPUTED_VALUE"""),0)</f>
        <v>0</v>
      </c>
      <c r="BY321" s="24">
        <f ca="1">IFERROR(__xludf.DUMMYFUNCTION("""COMPUTED_VALUE"""),0)</f>
        <v>0</v>
      </c>
      <c r="BZ321" s="24">
        <f ca="1">IFERROR(__xludf.DUMMYFUNCTION("""COMPUTED_VALUE"""),0)</f>
        <v>0</v>
      </c>
      <c r="CA321" s="20"/>
      <c r="CB321" s="20"/>
      <c r="CC321" s="20"/>
      <c r="CD321" s="20"/>
      <c r="CE321" s="20"/>
      <c r="CF321" s="20"/>
      <c r="CG321" s="20"/>
      <c r="CH321" s="20"/>
      <c r="CI321" s="20"/>
      <c r="CJ321" s="20"/>
      <c r="CK321" s="20"/>
      <c r="CL321" s="20"/>
      <c r="CM321" s="25">
        <f ca="1">IFERROR(__xludf.DUMMYFUNCTION("""COMPUTED_VALUE"""),43752)</f>
        <v>43752</v>
      </c>
      <c r="CN321" s="20" t="str">
        <f ca="1">IFERROR(__xludf.DUMMYFUNCTION("""COMPUTED_VALUE"""),"0848300029219000116")</f>
        <v>0848300029219000116</v>
      </c>
      <c r="CO321" s="25">
        <f ca="1">IFERROR(__xludf.DUMMYFUNCTION("""COMPUTED_VALUE"""),43781)</f>
        <v>43781</v>
      </c>
      <c r="CP321" s="20" t="str">
        <f ca="1">IFERROR(__xludf.DUMMYFUNCTION("""COMPUTED_VALUE"""),"08483000292190001160001")</f>
        <v>08483000292190001160001</v>
      </c>
      <c r="CQ321" s="20">
        <f ca="1">IFERROR(__xludf.DUMMYFUNCTION("""COMPUTED_VALUE"""),23101914.41)</f>
        <v>23101914.41</v>
      </c>
      <c r="CR321" s="20" t="str">
        <f ca="1">IFERROR(__xludf.DUMMYFUNCTION("""COMPUTED_VALUE"""),"ООО ""ТЕХНОПРОМ""")</f>
        <v>ООО "ТЕХНОПРОМ"</v>
      </c>
      <c r="CS321" s="27" t="str">
        <f ca="1">IFERROR(__xludf.DUMMYFUNCTION("""COMPUTED_VALUE"""),"https://zakupki.gov.ru/epz/contract/contractCard/common-info.html?reestrNumber=3503900368319000071&amp;backUrl=eff1c657-f871-4941-9c8b-f98ec2dd4418")</f>
        <v>https://zakupki.gov.ru/epz/contract/contractCard/common-info.html?reestrNumber=3503900368319000071&amp;backUrl=eff1c657-f871-4941-9c8b-f98ec2dd4418</v>
      </c>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row>
    <row r="322" spans="1:123" ht="64.5" customHeight="1" x14ac:dyDescent="0.2">
      <c r="A322" s="19"/>
      <c r="B322" s="20" t="str">
        <f ca="1">IFERROR(__xludf.DUMMYFUNCTION("""COMPUTED_VALUE"""),"г.о. Раменский")</f>
        <v>г.о. Раменский</v>
      </c>
      <c r="C32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2" s="20" t="str">
        <f ca="1">IFERROR(__xludf.DUMMYFUNCTION("""COMPUTED_VALUE"""),"МинЖКХ")</f>
        <v>МинЖКХ</v>
      </c>
      <c r="E322" s="20" t="str">
        <f ca="1">IFERROR(__xludf.DUMMYFUNCTION("""COMPUTED_VALUE"""),"Строительство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разме"&amp;"ре 2 047,50 тыс.руб. из них средства бюджета Московской области - 2 047,19 тыс.руб., средства бюджета муниципального образования - 0,31 тыс.руб.  ")</f>
        <v xml:space="preserv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2 047,50 тыс.руб. из них средства бюджета Московской области - 2 047,19 тыс.руб., средства бюджета муниципального образования - 0,31 тыс.руб.  </v>
      </c>
      <c r="F322" s="32" t="str">
        <f ca="1">IFERROR(__xludf.DUMMYFUNCTION("""COMPUTED_VALUE"""),"Сети")</f>
        <v>Сети</v>
      </c>
      <c r="G322" s="20">
        <f ca="1">IFERROR(__xludf.DUMMYFUNCTION("""COMPUTED_VALUE"""),2020)</f>
        <v>2020</v>
      </c>
      <c r="H322" s="20" t="str">
        <f ca="1">IFERROR(__xludf.DUMMYFUNCTION("""COMPUTED_VALUE"""),"СМР")</f>
        <v>СМР</v>
      </c>
      <c r="I322" s="20">
        <f ca="1">IFERROR(__xludf.DUMMYFUNCTION("""COMPUTED_VALUE"""),100)</f>
        <v>100</v>
      </c>
      <c r="J322" s="20" t="str">
        <f ca="1">IFERROR(__xludf.DUMMYFUNCTION("""COMPUTED_VALUE"""),"ЗАВЕРШЕНО")</f>
        <v>ЗАВЕРШЕНО</v>
      </c>
      <c r="K322" s="20"/>
      <c r="L322" s="20"/>
      <c r="M322" s="20"/>
      <c r="N322" s="24">
        <f ca="1">IFERROR(__xludf.DUMMYFUNCTION("""COMPUTED_VALUE"""),2047.5)</f>
        <v>2047.5</v>
      </c>
      <c r="O322" s="20"/>
      <c r="P322" s="24">
        <f ca="1">IFERROR(__xludf.DUMMYFUNCTION("""COMPUTED_VALUE"""),2047.19)</f>
        <v>2047.19</v>
      </c>
      <c r="Q322" s="20"/>
      <c r="R322" s="20">
        <f ca="1">IFERROR(__xludf.DUMMYFUNCTION("""COMPUTED_VALUE"""),0.31)</f>
        <v>0.31</v>
      </c>
      <c r="S322" s="20"/>
      <c r="T322" s="20"/>
      <c r="U322" s="24">
        <f ca="1">IFERROR(__xludf.DUMMYFUNCTION("""COMPUTED_VALUE"""),0)</f>
        <v>0</v>
      </c>
      <c r="V322" s="24">
        <f ca="1">IFERROR(__xludf.DUMMYFUNCTION("""COMPUTED_VALUE"""),0)</f>
        <v>0</v>
      </c>
      <c r="W322" s="24">
        <f ca="1">IFERROR(__xludf.DUMMYFUNCTION("""COMPUTED_VALUE"""),0)</f>
        <v>0</v>
      </c>
      <c r="X322" s="24">
        <f ca="1">IFERROR(__xludf.DUMMYFUNCTION("""COMPUTED_VALUE"""),0)</f>
        <v>0</v>
      </c>
      <c r="Y322" s="24">
        <f ca="1">IFERROR(__xludf.DUMMYFUNCTION("""COMPUTED_VALUE"""),0)</f>
        <v>0</v>
      </c>
      <c r="Z322" s="24">
        <f ca="1">IFERROR(__xludf.DUMMYFUNCTION("""COMPUTED_VALUE"""),0)</f>
        <v>0</v>
      </c>
      <c r="AA322" s="20" t="str">
        <f ca="1">IFERROR(__xludf.DUMMYFUNCTION("""COMPUTED_VALUE"""),"10 3 02 64080")</f>
        <v>10 3 02 64080</v>
      </c>
      <c r="AB322" s="20">
        <f ca="1">IFERROR(__xludf.DUMMYFUNCTION("""COMPUTED_VALUE"""),522)</f>
        <v>522</v>
      </c>
      <c r="AC322" s="20"/>
      <c r="AD322" s="20"/>
      <c r="AE322" s="20"/>
      <c r="AF322" s="24">
        <f ca="1">IFERROR(__xludf.DUMMYFUNCTION("""COMPUTED_VALUE"""),2047.5)</f>
        <v>2047.5</v>
      </c>
      <c r="AG322" s="24">
        <f ca="1">IFERROR(__xludf.DUMMYFUNCTION("""COMPUTED_VALUE"""),0)</f>
        <v>0</v>
      </c>
      <c r="AH322" s="24">
        <f ca="1">IFERROR(__xludf.DUMMYFUNCTION("""COMPUTED_VALUE"""),2047.19)</f>
        <v>2047.19</v>
      </c>
      <c r="AI322" s="24">
        <f ca="1">IFERROR(__xludf.DUMMYFUNCTION("""COMPUTED_VALUE"""),0)</f>
        <v>0</v>
      </c>
      <c r="AJ322" s="24">
        <f ca="1">IFERROR(__xludf.DUMMYFUNCTION("""COMPUTED_VALUE"""),0.31)</f>
        <v>0.31</v>
      </c>
      <c r="AK322" s="24">
        <f ca="1">IFERROR(__xludf.DUMMYFUNCTION("""COMPUTED_VALUE"""),0)</f>
        <v>0</v>
      </c>
      <c r="AL322" s="24">
        <f ca="1">IFERROR(__xludf.DUMMYFUNCTION("""COMPUTED_VALUE"""),0)</f>
        <v>0</v>
      </c>
      <c r="AM322" s="20"/>
      <c r="AN322" s="20"/>
      <c r="AO322" s="20"/>
      <c r="AP322" s="20"/>
      <c r="AQ322" s="20"/>
      <c r="AR322" s="24">
        <f ca="1">IFERROR(__xludf.DUMMYFUNCTION("""COMPUTED_VALUE"""),0)</f>
        <v>0</v>
      </c>
      <c r="AS322" s="20"/>
      <c r="AT322" s="20"/>
      <c r="AU322" s="20"/>
      <c r="AV322" s="20"/>
      <c r="AW322" s="20"/>
      <c r="AX322" s="24">
        <f ca="1">IFERROR(__xludf.DUMMYFUNCTION("""COMPUTED_VALUE"""),2047.5)</f>
        <v>2047.5</v>
      </c>
      <c r="AY322" s="24">
        <f ca="1">IFERROR(__xludf.DUMMYFUNCTION("""COMPUTED_VALUE"""),0)</f>
        <v>0</v>
      </c>
      <c r="AZ322" s="24">
        <f ca="1">IFERROR(__xludf.DUMMYFUNCTION("""COMPUTED_VALUE"""),2047.19)</f>
        <v>2047.19</v>
      </c>
      <c r="BA322" s="24">
        <f ca="1">IFERROR(__xludf.DUMMYFUNCTION("""COMPUTED_VALUE"""),0)</f>
        <v>0</v>
      </c>
      <c r="BB322" s="24">
        <f ca="1">IFERROR(__xludf.DUMMYFUNCTION("""COMPUTED_VALUE"""),0.31)</f>
        <v>0.31</v>
      </c>
      <c r="BC322" s="20"/>
      <c r="BD322" s="24">
        <f ca="1">IFERROR(__xludf.DUMMYFUNCTION("""COMPUTED_VALUE"""),0)</f>
        <v>0</v>
      </c>
      <c r="BE322" s="24">
        <f ca="1">IFERROR(__xludf.DUMMYFUNCTION("""COMPUTED_VALUE"""),0)</f>
        <v>0</v>
      </c>
      <c r="BF322" s="24">
        <f ca="1">IFERROR(__xludf.DUMMYFUNCTION("""COMPUTED_VALUE"""),0)</f>
        <v>0</v>
      </c>
      <c r="BG322" s="24">
        <f ca="1">IFERROR(__xludf.DUMMYFUNCTION("""COMPUTED_VALUE"""),0)</f>
        <v>0</v>
      </c>
      <c r="BH322" s="24">
        <f ca="1">IFERROR(__xludf.DUMMYFUNCTION("""COMPUTED_VALUE"""),0)</f>
        <v>0</v>
      </c>
      <c r="BI322" s="20"/>
      <c r="BJ322" s="24">
        <f ca="1">IFERROR(__xludf.DUMMYFUNCTION("""COMPUTED_VALUE"""),0)</f>
        <v>0</v>
      </c>
      <c r="BK322" s="24">
        <f ca="1">IFERROR(__xludf.DUMMYFUNCTION("""COMPUTED_VALUE"""),0)</f>
        <v>0</v>
      </c>
      <c r="BL322" s="24">
        <f ca="1">IFERROR(__xludf.DUMMYFUNCTION("""COMPUTED_VALUE"""),0)</f>
        <v>0</v>
      </c>
      <c r="BM322" s="24">
        <f ca="1">IFERROR(__xludf.DUMMYFUNCTION("""COMPUTED_VALUE"""),0)</f>
        <v>0</v>
      </c>
      <c r="BN322" s="24">
        <f ca="1">IFERROR(__xludf.DUMMYFUNCTION("""COMPUTED_VALUE"""),0)</f>
        <v>0</v>
      </c>
      <c r="BO322" s="20"/>
      <c r="BP322" s="24">
        <f ca="1">IFERROR(__xludf.DUMMYFUNCTION("""COMPUTED_VALUE"""),0)</f>
        <v>0</v>
      </c>
      <c r="BQ322" s="24">
        <f ca="1">IFERROR(__xludf.DUMMYFUNCTION("""COMPUTED_VALUE"""),0)</f>
        <v>0</v>
      </c>
      <c r="BR322" s="24">
        <f ca="1">IFERROR(__xludf.DUMMYFUNCTION("""COMPUTED_VALUE"""),0)</f>
        <v>0</v>
      </c>
      <c r="BS322" s="24">
        <f ca="1">IFERROR(__xludf.DUMMYFUNCTION("""COMPUTED_VALUE"""),0)</f>
        <v>0</v>
      </c>
      <c r="BT322" s="24">
        <f ca="1">IFERROR(__xludf.DUMMYFUNCTION("""COMPUTED_VALUE"""),0)</f>
        <v>0</v>
      </c>
      <c r="BU322" s="20"/>
      <c r="BV322" s="24">
        <f ca="1">IFERROR(__xludf.DUMMYFUNCTION("""COMPUTED_VALUE"""),0)</f>
        <v>0</v>
      </c>
      <c r="BW322" s="24">
        <f ca="1">IFERROR(__xludf.DUMMYFUNCTION("""COMPUTED_VALUE"""),0)</f>
        <v>0</v>
      </c>
      <c r="BX322" s="24">
        <f ca="1">IFERROR(__xludf.DUMMYFUNCTION("""COMPUTED_VALUE"""),0)</f>
        <v>0</v>
      </c>
      <c r="BY322" s="24">
        <f ca="1">IFERROR(__xludf.DUMMYFUNCTION("""COMPUTED_VALUE"""),0)</f>
        <v>0</v>
      </c>
      <c r="BZ322" s="24">
        <f ca="1">IFERROR(__xludf.DUMMYFUNCTION("""COMPUTED_VALUE"""),0)</f>
        <v>0</v>
      </c>
      <c r="CA322" s="20"/>
      <c r="CB322" s="20"/>
      <c r="CC322" s="20"/>
      <c r="CD322" s="20"/>
      <c r="CE322" s="20"/>
      <c r="CF322" s="20"/>
      <c r="CG322" s="20"/>
      <c r="CH322" s="20"/>
      <c r="CI322" s="20"/>
      <c r="CJ322" s="20"/>
      <c r="CK322" s="20"/>
      <c r="CL322" s="20"/>
      <c r="CM322" s="26">
        <f ca="1">IFERROR(__xludf.DUMMYFUNCTION("""COMPUTED_VALUE"""),43514)</f>
        <v>43514</v>
      </c>
      <c r="CN322" s="20" t="str">
        <f ca="1">IFERROR(__xludf.DUMMYFUNCTION("""COMPUTED_VALUE"""),"0848300051619000193")</f>
        <v>0848300051619000193</v>
      </c>
      <c r="CO322" s="26">
        <f ca="1">IFERROR(__xludf.DUMMYFUNCTION("""COMPUTED_VALUE"""),43591)</f>
        <v>43591</v>
      </c>
      <c r="CP322" s="20">
        <f ca="1">IFERROR(__xludf.DUMMYFUNCTION("""COMPUTED_VALUE"""),7)</f>
        <v>7</v>
      </c>
      <c r="CQ322" s="20">
        <f ca="1">IFERROR(__xludf.DUMMYFUNCTION("""COMPUTED_VALUE"""),38356536.99)</f>
        <v>38356536.990000002</v>
      </c>
      <c r="CR322" s="20" t="str">
        <f ca="1">IFERROR(__xludf.DUMMYFUNCTION("""COMPUTED_VALUE"""),"ОБЩЕСТВО С ОГРАНИЧЕННОЙ ОТВЕТСТВЕННОСТЬЮ ""СК АВРОРА""")</f>
        <v>ОБЩЕСТВО С ОГРАНИЧЕННОЙ ОТВЕТСТВЕННОСТЬЮ "СК АВРОРА"</v>
      </c>
      <c r="CS322" s="27" t="str">
        <f ca="1">IFERROR(__xludf.DUMMYFUNCTION("""COMPUTED_VALUE"""),"https://zakupki.gov.ru/epz/contract/contractCard/common-info.html?reestrNumber=3504015306619000015&amp;backUrl=347c8773-fe58-42b3-b4d0-d1b5f159733b")</f>
        <v>https://zakupki.gov.ru/epz/contract/contractCard/common-info.html?reestrNumber=3504015306619000015&amp;backUrl=347c8773-fe58-42b3-b4d0-d1b5f159733b</v>
      </c>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row>
    <row r="323" spans="1:123" ht="64.5" customHeight="1" x14ac:dyDescent="0.2">
      <c r="A323" s="19"/>
      <c r="B323" s="20" t="str">
        <f ca="1">IFERROR(__xludf.DUMMYFUNCTION("""COMPUTED_VALUE"""),"г.о. Раменский")</f>
        <v>г.о. Раменский</v>
      </c>
      <c r="C32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3" s="20" t="str">
        <f ca="1">IFERROR(__xludf.DUMMYFUNCTION("""COMPUTED_VALUE"""),"МинЖКХ")</f>
        <v>МинЖКХ</v>
      </c>
      <c r="E323" s="20" t="str">
        <f ca="1">IFERROR(__xludf.DUMMYFUNCTION("""COMPUTED_VALUE"""),"Строительство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f>
        <v>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v>
      </c>
      <c r="F323" s="32" t="str">
        <f ca="1">IFERROR(__xludf.DUMMYFUNCTION("""COMPUTED_VALUE"""),"Сети")</f>
        <v>Сети</v>
      </c>
      <c r="G323" s="20">
        <f ca="1">IFERROR(__xludf.DUMMYFUNCTION("""COMPUTED_VALUE"""),2020)</f>
        <v>2020</v>
      </c>
      <c r="H323" s="20" t="str">
        <f ca="1">IFERROR(__xludf.DUMMYFUNCTION("""COMPUTED_VALUE"""),"СМР")</f>
        <v>СМР</v>
      </c>
      <c r="I323" s="20">
        <f ca="1">IFERROR(__xludf.DUMMYFUNCTION("""COMPUTED_VALUE"""),100)</f>
        <v>100</v>
      </c>
      <c r="J323" s="20" t="str">
        <f ca="1">IFERROR(__xludf.DUMMYFUNCTION("""COMPUTED_VALUE"""),"ЗАВЕРШЕНО")</f>
        <v>ЗАВЕРШЕНО</v>
      </c>
      <c r="K323" s="20"/>
      <c r="L323" s="20"/>
      <c r="M323" s="20"/>
      <c r="N323" s="24">
        <f ca="1">IFERROR(__xludf.DUMMYFUNCTION("""COMPUTED_VALUE"""),665.2)</f>
        <v>665.2</v>
      </c>
      <c r="O323" s="20"/>
      <c r="P323" s="24">
        <f ca="1">IFERROR(__xludf.DUMMYFUNCTION("""COMPUTED_VALUE"""),665)</f>
        <v>665</v>
      </c>
      <c r="Q323" s="20"/>
      <c r="R323" s="24">
        <f ca="1">IFERROR(__xludf.DUMMYFUNCTION("""COMPUTED_VALUE"""),0.2)</f>
        <v>0.2</v>
      </c>
      <c r="S323" s="20"/>
      <c r="T323" s="20"/>
      <c r="U323" s="24">
        <f ca="1">IFERROR(__xludf.DUMMYFUNCTION("""COMPUTED_VALUE"""),0)</f>
        <v>0</v>
      </c>
      <c r="V323" s="24">
        <f ca="1">IFERROR(__xludf.DUMMYFUNCTION("""COMPUTED_VALUE"""),0)</f>
        <v>0</v>
      </c>
      <c r="W323" s="24">
        <f ca="1">IFERROR(__xludf.DUMMYFUNCTION("""COMPUTED_VALUE"""),0)</f>
        <v>0</v>
      </c>
      <c r="X323" s="24">
        <f ca="1">IFERROR(__xludf.DUMMYFUNCTION("""COMPUTED_VALUE"""),0)</f>
        <v>0</v>
      </c>
      <c r="Y323" s="24">
        <f ca="1">IFERROR(__xludf.DUMMYFUNCTION("""COMPUTED_VALUE"""),0)</f>
        <v>0</v>
      </c>
      <c r="Z323" s="24">
        <f ca="1">IFERROR(__xludf.DUMMYFUNCTION("""COMPUTED_VALUE"""),0)</f>
        <v>0</v>
      </c>
      <c r="AA323" s="20" t="str">
        <f ca="1">IFERROR(__xludf.DUMMYFUNCTION("""COMPUTED_VALUE"""),"10 3 02 64080")</f>
        <v>10 3 02 64080</v>
      </c>
      <c r="AB323" s="20">
        <f ca="1">IFERROR(__xludf.DUMMYFUNCTION("""COMPUTED_VALUE"""),522)</f>
        <v>522</v>
      </c>
      <c r="AC323" s="20"/>
      <c r="AD323" s="20"/>
      <c r="AE323" s="20"/>
      <c r="AF323" s="24">
        <f ca="1">IFERROR(__xludf.DUMMYFUNCTION("""COMPUTED_VALUE"""),665.2)</f>
        <v>665.2</v>
      </c>
      <c r="AG323" s="24">
        <f ca="1">IFERROR(__xludf.DUMMYFUNCTION("""COMPUTED_VALUE"""),0)</f>
        <v>0</v>
      </c>
      <c r="AH323" s="24">
        <f ca="1">IFERROR(__xludf.DUMMYFUNCTION("""COMPUTED_VALUE"""),665)</f>
        <v>665</v>
      </c>
      <c r="AI323" s="24">
        <f ca="1">IFERROR(__xludf.DUMMYFUNCTION("""COMPUTED_VALUE"""),0)</f>
        <v>0</v>
      </c>
      <c r="AJ323" s="24">
        <f ca="1">IFERROR(__xludf.DUMMYFUNCTION("""COMPUTED_VALUE"""),0.2)</f>
        <v>0.2</v>
      </c>
      <c r="AK323" s="24">
        <f ca="1">IFERROR(__xludf.DUMMYFUNCTION("""COMPUTED_VALUE"""),0)</f>
        <v>0</v>
      </c>
      <c r="AL323" s="24">
        <f ca="1">IFERROR(__xludf.DUMMYFUNCTION("""COMPUTED_VALUE"""),0)</f>
        <v>0</v>
      </c>
      <c r="AM323" s="20"/>
      <c r="AN323" s="20"/>
      <c r="AO323" s="20"/>
      <c r="AP323" s="20"/>
      <c r="AQ323" s="20"/>
      <c r="AR323" s="24">
        <f ca="1">IFERROR(__xludf.DUMMYFUNCTION("""COMPUTED_VALUE"""),0)</f>
        <v>0</v>
      </c>
      <c r="AS323" s="20"/>
      <c r="AT323" s="20"/>
      <c r="AU323" s="20"/>
      <c r="AV323" s="20"/>
      <c r="AW323" s="20"/>
      <c r="AX323" s="24">
        <f ca="1">IFERROR(__xludf.DUMMYFUNCTION("""COMPUTED_VALUE"""),665.2)</f>
        <v>665.2</v>
      </c>
      <c r="AY323" s="24">
        <f ca="1">IFERROR(__xludf.DUMMYFUNCTION("""COMPUTED_VALUE"""),0)</f>
        <v>0</v>
      </c>
      <c r="AZ323" s="24">
        <f ca="1">IFERROR(__xludf.DUMMYFUNCTION("""COMPUTED_VALUE"""),665)</f>
        <v>665</v>
      </c>
      <c r="BA323" s="24">
        <f ca="1">IFERROR(__xludf.DUMMYFUNCTION("""COMPUTED_VALUE"""),0)</f>
        <v>0</v>
      </c>
      <c r="BB323" s="24">
        <f ca="1">IFERROR(__xludf.DUMMYFUNCTION("""COMPUTED_VALUE"""),0.2)</f>
        <v>0.2</v>
      </c>
      <c r="BC323" s="20"/>
      <c r="BD323" s="24">
        <f ca="1">IFERROR(__xludf.DUMMYFUNCTION("""COMPUTED_VALUE"""),0)</f>
        <v>0</v>
      </c>
      <c r="BE323" s="24">
        <f ca="1">IFERROR(__xludf.DUMMYFUNCTION("""COMPUTED_VALUE"""),0)</f>
        <v>0</v>
      </c>
      <c r="BF323" s="24">
        <f ca="1">IFERROR(__xludf.DUMMYFUNCTION("""COMPUTED_VALUE"""),0)</f>
        <v>0</v>
      </c>
      <c r="BG323" s="24">
        <f ca="1">IFERROR(__xludf.DUMMYFUNCTION("""COMPUTED_VALUE"""),0)</f>
        <v>0</v>
      </c>
      <c r="BH323" s="24">
        <f ca="1">IFERROR(__xludf.DUMMYFUNCTION("""COMPUTED_VALUE"""),0)</f>
        <v>0</v>
      </c>
      <c r="BI323" s="20"/>
      <c r="BJ323" s="24">
        <f ca="1">IFERROR(__xludf.DUMMYFUNCTION("""COMPUTED_VALUE"""),0)</f>
        <v>0</v>
      </c>
      <c r="BK323" s="24">
        <f ca="1">IFERROR(__xludf.DUMMYFUNCTION("""COMPUTED_VALUE"""),0)</f>
        <v>0</v>
      </c>
      <c r="BL323" s="24">
        <f ca="1">IFERROR(__xludf.DUMMYFUNCTION("""COMPUTED_VALUE"""),0)</f>
        <v>0</v>
      </c>
      <c r="BM323" s="24">
        <f ca="1">IFERROR(__xludf.DUMMYFUNCTION("""COMPUTED_VALUE"""),0)</f>
        <v>0</v>
      </c>
      <c r="BN323" s="24">
        <f ca="1">IFERROR(__xludf.DUMMYFUNCTION("""COMPUTED_VALUE"""),0)</f>
        <v>0</v>
      </c>
      <c r="BO323" s="20"/>
      <c r="BP323" s="24">
        <f ca="1">IFERROR(__xludf.DUMMYFUNCTION("""COMPUTED_VALUE"""),0)</f>
        <v>0</v>
      </c>
      <c r="BQ323" s="24">
        <f ca="1">IFERROR(__xludf.DUMMYFUNCTION("""COMPUTED_VALUE"""),0)</f>
        <v>0</v>
      </c>
      <c r="BR323" s="24">
        <f ca="1">IFERROR(__xludf.DUMMYFUNCTION("""COMPUTED_VALUE"""),0)</f>
        <v>0</v>
      </c>
      <c r="BS323" s="24">
        <f ca="1">IFERROR(__xludf.DUMMYFUNCTION("""COMPUTED_VALUE"""),0)</f>
        <v>0</v>
      </c>
      <c r="BT323" s="24">
        <f ca="1">IFERROR(__xludf.DUMMYFUNCTION("""COMPUTED_VALUE"""),0)</f>
        <v>0</v>
      </c>
      <c r="BU323" s="20"/>
      <c r="BV323" s="24">
        <f ca="1">IFERROR(__xludf.DUMMYFUNCTION("""COMPUTED_VALUE"""),0)</f>
        <v>0</v>
      </c>
      <c r="BW323" s="24">
        <f ca="1">IFERROR(__xludf.DUMMYFUNCTION("""COMPUTED_VALUE"""),0)</f>
        <v>0</v>
      </c>
      <c r="BX323" s="24">
        <f ca="1">IFERROR(__xludf.DUMMYFUNCTION("""COMPUTED_VALUE"""),0)</f>
        <v>0</v>
      </c>
      <c r="BY323" s="24">
        <f ca="1">IFERROR(__xludf.DUMMYFUNCTION("""COMPUTED_VALUE"""),0)</f>
        <v>0</v>
      </c>
      <c r="BZ323" s="24">
        <f ca="1">IFERROR(__xludf.DUMMYFUNCTION("""COMPUTED_VALUE"""),0)</f>
        <v>0</v>
      </c>
      <c r="CA323" s="20"/>
      <c r="CB323" s="20" t="str">
        <f ca="1">IFERROR(__xludf.DUMMYFUNCTION("""COMPUTED_VALUE"""),"заключен")</f>
        <v>заключен</v>
      </c>
      <c r="CC323" s="26">
        <f ca="1">IFERROR(__xludf.DUMMYFUNCTION("""COMPUTED_VALUE"""),43164)</f>
        <v>43164</v>
      </c>
      <c r="CD323" s="20" t="str">
        <f ca="1">IFERROR(__xludf.DUMMYFUNCTION("""COMPUTED_VALUE"""),"0848300051618000137")</f>
        <v>0848300051618000137</v>
      </c>
      <c r="CE323" s="26">
        <f ca="1">IFERROR(__xludf.DUMMYFUNCTION("""COMPUTED_VALUE"""),43206)</f>
        <v>43206</v>
      </c>
      <c r="CF323" s="20">
        <f ca="1">IFERROR(__xludf.DUMMYFUNCTION("""COMPUTED_VALUE"""),1)</f>
        <v>1</v>
      </c>
      <c r="CG323" s="20" t="str">
        <f ca="1">IFERROR(__xludf.DUMMYFUNCTION("""COMPUTED_VALUE"""),"914 332,17")</f>
        <v>914 332,17</v>
      </c>
      <c r="CH323" s="20" t="str">
        <f ca="1">IFERROR(__xludf.DUMMYFUNCTION("""COMPUTED_VALUE"""),"ОБЩЕСТВО С ОГРАНИЧЕННОЙ ОТВЕТСТВЕННОСТЬЮ ""ИНЖПРОЕКТСТРОЙ""")</f>
        <v>ОБЩЕСТВО С ОГРАНИЧЕННОЙ ОТВЕТСТВЕННОСТЬЮ "ИНЖПРОЕКТСТРОЙ"</v>
      </c>
      <c r="CI323" s="27" t="str">
        <f ca="1">IFERROR(__xludf.DUMMYFUNCTION("""COMPUTED_VALUE"""),"https://zakupki.gov.ru/epz/contract/contractCard/common-info.html?reestrNumber=3504015306618000007&amp;backUrl=f4e0b326-d3eb-46ee-8e63-5c7714120cb0")</f>
        <v>https://zakupki.gov.ru/epz/contract/contractCard/common-info.html?reestrNumber=3504015306618000007&amp;backUrl=f4e0b326-d3eb-46ee-8e63-5c7714120cb0</v>
      </c>
      <c r="CJ323" s="20"/>
      <c r="CK323" s="20"/>
      <c r="CL323" s="20"/>
      <c r="CM323" s="20"/>
      <c r="CN323" s="20"/>
      <c r="CO323" s="20"/>
      <c r="CP323" s="20"/>
      <c r="CQ323" s="20"/>
      <c r="CR323" s="20"/>
      <c r="CS323" s="20"/>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row>
    <row r="324" spans="1:123" ht="64.5" customHeight="1" x14ac:dyDescent="0.2">
      <c r="A324" s="19"/>
      <c r="B324" s="20" t="str">
        <f ca="1">IFERROR(__xludf.DUMMYFUNCTION("""COMPUTED_VALUE"""),"г.о. Рузский")</f>
        <v>г.о. Рузский</v>
      </c>
      <c r="C32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4" s="20" t="str">
        <f ca="1">IFERROR(__xludf.DUMMYFUNCTION("""COMPUTED_VALUE"""),"МинЖКХ")</f>
        <v>МинЖКХ</v>
      </c>
      <c r="E324" s="20" t="str">
        <f ca="1">IFERROR(__xludf.DUMMYFUNCTION("""COMPUTED_VALUE"""),"Строительство БМК  д. Колодкино, д.10  г.о. Рузский")</f>
        <v>Строительство БМК  д. Колодкино, д.10  г.о. Рузский</v>
      </c>
      <c r="F324" s="32" t="str">
        <f ca="1">IFERROR(__xludf.DUMMYFUNCTION("""COMPUTED_VALUE"""),"БМК")</f>
        <v>БМК</v>
      </c>
      <c r="G324" s="20">
        <f ca="1">IFERROR(__xludf.DUMMYFUNCTION("""COMPUTED_VALUE"""),2020)</f>
        <v>2020</v>
      </c>
      <c r="H324" s="20" t="str">
        <f ca="1">IFERROR(__xludf.DUMMYFUNCTION("""COMPUTED_VALUE"""),"СМР")</f>
        <v>СМР</v>
      </c>
      <c r="I324" s="20">
        <f ca="1">IFERROR(__xludf.DUMMYFUNCTION("""COMPUTED_VALUE"""),94)</f>
        <v>94</v>
      </c>
      <c r="J324" s="20" t="str">
        <f ca="1">IFERROR(__xludf.DUMMYFUNCTION("""COMPUTED_VALUE"""),"Опрессовка оборудования
- Межрегионгаз опломбировали счетчики 
Остались работы: 
- благоустройство (договор с АО «Жилсервис». Работы ведутся),
- папки для сдачи в Ростехнадзор (собраны. на согласование в МОГ 02.12.2020),
- сети связи (подписание 02.12."&amp;"2020 с Эдельвейс)
- пуско-наладочные работы (запланированы на отопительный период 2020-2021).
")</f>
        <v xml:space="preserve">Опрессовка оборудования
- Межрегионгаз опломбировали счетчики 
Остались работы: 
- благоустройство (договор с АО «Жилсервис». Работы ведутся),
- папки для сдачи в Ростехнадзор (собраны. на согласование в МОГ 02.12.2020),
- сети связи (подписание 02.12.2020 с Эдельвейс)
- пуско-наладочные работы (запланированы на отопительный период 2020-2021).
</v>
      </c>
      <c r="K324" s="20">
        <f ca="1">IFERROR(__xludf.DUMMYFUNCTION("""COMPUTED_VALUE"""),71)</f>
        <v>71</v>
      </c>
      <c r="L324" s="20">
        <f ca="1">IFERROR(__xludf.DUMMYFUNCTION("""COMPUTED_VALUE"""),71)</f>
        <v>71</v>
      </c>
      <c r="M324" s="20"/>
      <c r="N324" s="24">
        <f ca="1">IFERROR(__xludf.DUMMYFUNCTION("""COMPUTED_VALUE"""),5804.12)</f>
        <v>5804.12</v>
      </c>
      <c r="O324" s="20"/>
      <c r="P324" s="24">
        <f ca="1">IFERROR(__xludf.DUMMYFUNCTION("""COMPUTED_VALUE"""),5804.12)</f>
        <v>5804.12</v>
      </c>
      <c r="Q324" s="20"/>
      <c r="R324" s="20"/>
      <c r="S324" s="20"/>
      <c r="T324" s="20" t="str">
        <f ca="1">IFERROR(__xludf.DUMMYFUNCTION("""COMPUTED_VALUE"""),"Оплата после завершение контракта ")</f>
        <v xml:space="preserve">Оплата после завершение контракта </v>
      </c>
      <c r="U324" s="24">
        <f ca="1">IFERROR(__xludf.DUMMYFUNCTION("""COMPUTED_VALUE"""),1764.27999999999)</f>
        <v>1764.27999999999</v>
      </c>
      <c r="V324" s="24">
        <f ca="1">IFERROR(__xludf.DUMMYFUNCTION("""COMPUTED_VALUE"""),0)</f>
        <v>0</v>
      </c>
      <c r="W324" s="24">
        <f ca="1">IFERROR(__xludf.DUMMYFUNCTION("""COMPUTED_VALUE"""),454.71)</f>
        <v>454.71</v>
      </c>
      <c r="X324" s="24">
        <f ca="1">IFERROR(__xludf.DUMMYFUNCTION("""COMPUTED_VALUE"""),0)</f>
        <v>0</v>
      </c>
      <c r="Y324" s="24">
        <f ca="1">IFERROR(__xludf.DUMMYFUNCTION("""COMPUTED_VALUE"""),1309.57)</f>
        <v>1309.57</v>
      </c>
      <c r="Z324" s="24">
        <f ca="1">IFERROR(__xludf.DUMMYFUNCTION("""COMPUTED_VALUE"""),0)</f>
        <v>0</v>
      </c>
      <c r="AA324" s="20" t="str">
        <f ca="1">IFERROR(__xludf.DUMMYFUNCTION("""COMPUTED_VALUE"""),"10 3 02 64080")</f>
        <v>10 3 02 64080</v>
      </c>
      <c r="AB324" s="20">
        <f ca="1">IFERROR(__xludf.DUMMYFUNCTION("""COMPUTED_VALUE"""),522)</f>
        <v>522</v>
      </c>
      <c r="AC324" s="20" t="str">
        <f ca="1">IFERROR(__xludf.DUMMYFUNCTION("""COMPUTED_VALUE"""),"да")</f>
        <v>да</v>
      </c>
      <c r="AD324" s="20"/>
      <c r="AE324" s="20" t="str">
        <f ca="1">IFERROR(__xludf.DUMMYFUNCTION("""COMPUTED_VALUE"""),"RU50-19-15782-2020 от 06.05.2020")</f>
        <v>RU50-19-15782-2020 от 06.05.2020</v>
      </c>
      <c r="AF324" s="24">
        <f ca="1">IFERROR(__xludf.DUMMYFUNCTION("""COMPUTED_VALUE"""),7568.4)</f>
        <v>7568.4</v>
      </c>
      <c r="AG324" s="24">
        <f ca="1">IFERROR(__xludf.DUMMYFUNCTION("""COMPUTED_VALUE"""),0)</f>
        <v>0</v>
      </c>
      <c r="AH324" s="24">
        <f ca="1">IFERROR(__xludf.DUMMYFUNCTION("""COMPUTED_VALUE"""),6258.83)</f>
        <v>6258.83</v>
      </c>
      <c r="AI324" s="24">
        <f ca="1">IFERROR(__xludf.DUMMYFUNCTION("""COMPUTED_VALUE"""),0)</f>
        <v>0</v>
      </c>
      <c r="AJ324" s="24">
        <f ca="1">IFERROR(__xludf.DUMMYFUNCTION("""COMPUTED_VALUE"""),1309.57)</f>
        <v>1309.57</v>
      </c>
      <c r="AK324" s="24">
        <f ca="1">IFERROR(__xludf.DUMMYFUNCTION("""COMPUTED_VALUE"""),0)</f>
        <v>0</v>
      </c>
      <c r="AL324" s="24">
        <f ca="1">IFERROR(__xludf.DUMMYFUNCTION("""COMPUTED_VALUE"""),0)</f>
        <v>0</v>
      </c>
      <c r="AM324" s="20"/>
      <c r="AN324" s="20"/>
      <c r="AO324" s="20"/>
      <c r="AP324" s="20"/>
      <c r="AQ324" s="20"/>
      <c r="AR324" s="24">
        <f ca="1">IFERROR(__xludf.DUMMYFUNCTION("""COMPUTED_VALUE"""),0)</f>
        <v>0</v>
      </c>
      <c r="AS324" s="20"/>
      <c r="AT324" s="20"/>
      <c r="AU324" s="20"/>
      <c r="AV324" s="20"/>
      <c r="AW324" s="20"/>
      <c r="AX324" s="24">
        <f ca="1">IFERROR(__xludf.DUMMYFUNCTION("""COMPUTED_VALUE"""),7568.4)</f>
        <v>7568.4</v>
      </c>
      <c r="AY324" s="24">
        <f ca="1">IFERROR(__xludf.DUMMYFUNCTION("""COMPUTED_VALUE"""),0)</f>
        <v>0</v>
      </c>
      <c r="AZ324" s="24">
        <f ca="1">IFERROR(__xludf.DUMMYFUNCTION("""COMPUTED_VALUE"""),6258.83)</f>
        <v>6258.83</v>
      </c>
      <c r="BA324" s="24">
        <f ca="1">IFERROR(__xludf.DUMMYFUNCTION("""COMPUTED_VALUE"""),0)</f>
        <v>0</v>
      </c>
      <c r="BB324" s="24">
        <f ca="1">IFERROR(__xludf.DUMMYFUNCTION("""COMPUTED_VALUE"""),1309.57)</f>
        <v>1309.57</v>
      </c>
      <c r="BC324" s="20"/>
      <c r="BD324" s="24">
        <f ca="1">IFERROR(__xludf.DUMMYFUNCTION("""COMPUTED_VALUE"""),0)</f>
        <v>0</v>
      </c>
      <c r="BE324" s="24">
        <f ca="1">IFERROR(__xludf.DUMMYFUNCTION("""COMPUTED_VALUE"""),0)</f>
        <v>0</v>
      </c>
      <c r="BF324" s="24">
        <f ca="1">IFERROR(__xludf.DUMMYFUNCTION("""COMPUTED_VALUE"""),0)</f>
        <v>0</v>
      </c>
      <c r="BG324" s="24">
        <f ca="1">IFERROR(__xludf.DUMMYFUNCTION("""COMPUTED_VALUE"""),0)</f>
        <v>0</v>
      </c>
      <c r="BH324" s="24">
        <f ca="1">IFERROR(__xludf.DUMMYFUNCTION("""COMPUTED_VALUE"""),0)</f>
        <v>0</v>
      </c>
      <c r="BI324" s="20"/>
      <c r="BJ324" s="24">
        <f ca="1">IFERROR(__xludf.DUMMYFUNCTION("""COMPUTED_VALUE"""),0)</f>
        <v>0</v>
      </c>
      <c r="BK324" s="24">
        <f ca="1">IFERROR(__xludf.DUMMYFUNCTION("""COMPUTED_VALUE"""),0)</f>
        <v>0</v>
      </c>
      <c r="BL324" s="24">
        <f ca="1">IFERROR(__xludf.DUMMYFUNCTION("""COMPUTED_VALUE"""),0)</f>
        <v>0</v>
      </c>
      <c r="BM324" s="24">
        <f ca="1">IFERROR(__xludf.DUMMYFUNCTION("""COMPUTED_VALUE"""),0)</f>
        <v>0</v>
      </c>
      <c r="BN324" s="24">
        <f ca="1">IFERROR(__xludf.DUMMYFUNCTION("""COMPUTED_VALUE"""),0)</f>
        <v>0</v>
      </c>
      <c r="BO324" s="20"/>
      <c r="BP324" s="24">
        <f ca="1">IFERROR(__xludf.DUMMYFUNCTION("""COMPUTED_VALUE"""),0)</f>
        <v>0</v>
      </c>
      <c r="BQ324" s="24">
        <f ca="1">IFERROR(__xludf.DUMMYFUNCTION("""COMPUTED_VALUE"""),0)</f>
        <v>0</v>
      </c>
      <c r="BR324" s="24">
        <f ca="1">IFERROR(__xludf.DUMMYFUNCTION("""COMPUTED_VALUE"""),0)</f>
        <v>0</v>
      </c>
      <c r="BS324" s="24">
        <f ca="1">IFERROR(__xludf.DUMMYFUNCTION("""COMPUTED_VALUE"""),0)</f>
        <v>0</v>
      </c>
      <c r="BT324" s="24">
        <f ca="1">IFERROR(__xludf.DUMMYFUNCTION("""COMPUTED_VALUE"""),0)</f>
        <v>0</v>
      </c>
      <c r="BU324" s="20"/>
      <c r="BV324" s="24">
        <f ca="1">IFERROR(__xludf.DUMMYFUNCTION("""COMPUTED_VALUE"""),0)</f>
        <v>0</v>
      </c>
      <c r="BW324" s="24">
        <f ca="1">IFERROR(__xludf.DUMMYFUNCTION("""COMPUTED_VALUE"""),0)</f>
        <v>0</v>
      </c>
      <c r="BX324" s="24">
        <f ca="1">IFERROR(__xludf.DUMMYFUNCTION("""COMPUTED_VALUE"""),0)</f>
        <v>0</v>
      </c>
      <c r="BY324" s="24">
        <f ca="1">IFERROR(__xludf.DUMMYFUNCTION("""COMPUTED_VALUE"""),0)</f>
        <v>0</v>
      </c>
      <c r="BZ324" s="24">
        <f ca="1">IFERROR(__xludf.DUMMYFUNCTION("""COMPUTED_VALUE"""),0)</f>
        <v>0</v>
      </c>
      <c r="CA324" s="20"/>
      <c r="CB324" s="20"/>
      <c r="CC324" s="20"/>
      <c r="CD324" s="20"/>
      <c r="CE324" s="20"/>
      <c r="CF324" s="20"/>
      <c r="CG324" s="20"/>
      <c r="CH324" s="20"/>
      <c r="CI324" s="20"/>
      <c r="CJ324" s="20"/>
      <c r="CK324" s="20"/>
      <c r="CL324" s="20"/>
      <c r="CM324" s="20"/>
      <c r="CN324" s="20"/>
      <c r="CO324" s="20"/>
      <c r="CP324" s="20"/>
      <c r="CQ324" s="20"/>
      <c r="CR324" s="20"/>
      <c r="CS324" s="20"/>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row>
    <row r="325" spans="1:123" ht="64.5" customHeight="1" x14ac:dyDescent="0.2">
      <c r="A325" s="19"/>
      <c r="B325" s="20" t="str">
        <f ca="1">IFERROR(__xludf.DUMMYFUNCTION("""COMPUTED_VALUE"""),"г.о. Рузский")</f>
        <v>г.о. Рузский</v>
      </c>
      <c r="C32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5" s="20" t="str">
        <f ca="1">IFERROR(__xludf.DUMMYFUNCTION("""COMPUTED_VALUE"""),"МинЖКХ")</f>
        <v>МинЖКХ</v>
      </c>
      <c r="E325" s="20" t="str">
        <f ca="1">IFERROR(__xludf.DUMMYFUNCTION("""COMPUTED_VALUE"""),"Строительство БМК д. Грибцово, ул. Больничная, д.13  г.о. Рузский")</f>
        <v>Строительство БМК д. Грибцово, ул. Больничная, д.13  г.о. Рузский</v>
      </c>
      <c r="F325" s="32" t="str">
        <f ca="1">IFERROR(__xludf.DUMMYFUNCTION("""COMPUTED_VALUE"""),"БМК")</f>
        <v>БМК</v>
      </c>
      <c r="G325" s="20">
        <f ca="1">IFERROR(__xludf.DUMMYFUNCTION("""COMPUTED_VALUE"""),2020)</f>
        <v>2020</v>
      </c>
      <c r="H325" s="20" t="str">
        <f ca="1">IFERROR(__xludf.DUMMYFUNCTION("""COMPUTED_VALUE"""),"СМР")</f>
        <v>СМР</v>
      </c>
      <c r="I325" s="20">
        <f ca="1">IFERROR(__xludf.DUMMYFUNCTION("""COMPUTED_VALUE"""),97)</f>
        <v>97</v>
      </c>
      <c r="J325" s="20" t="str">
        <f ca="1">IFERROR(__xludf.DUMMYFUNCTION("""COMPUTED_VALUE"""),"- произведен монтаж датчиков преобразователя давления
- Опрессовка оборудования
- Межрегионгаз опломбировали счетчики 
Вывезен грунт с площадки 
 Работы: - по устройству системы ОПС выполнено
- по устройству видеонаблюдения выполнено 
- благоустройство вы"&amp;"полнено),
- папки для сдачи в Ростехнадзор (03.12.2020),
- пуско-наладочные работы (запланированы на отопительный период 2020-2021)
")</f>
        <v xml:space="preserve">- произведен монтаж датчиков преобразователя давления
- Опрессовка оборудования
- Межрегионгаз опломбировали счетчики 
Вывезен грунт с площадки 
 Работы: - по устройству системы ОПС выполнено
- по устройству видеонаблюдения выполнено 
- благоустройство выполнено),
- папки для сдачи в Ростехнадзор (03.12.2020),
- пуско-наладочные работы (запланированы на отопительный период 2020-2021)
</v>
      </c>
      <c r="K325" s="20">
        <f ca="1">IFERROR(__xludf.DUMMYFUNCTION("""COMPUTED_VALUE"""),29)</f>
        <v>29</v>
      </c>
      <c r="L325" s="20">
        <f ca="1">IFERROR(__xludf.DUMMYFUNCTION("""COMPUTED_VALUE"""),29)</f>
        <v>29</v>
      </c>
      <c r="M325" s="20"/>
      <c r="N325" s="24">
        <f ca="1">IFERROR(__xludf.DUMMYFUNCTION("""COMPUTED_VALUE"""),6120.53)</f>
        <v>6120.53</v>
      </c>
      <c r="O325" s="20"/>
      <c r="P325" s="24">
        <f ca="1">IFERROR(__xludf.DUMMYFUNCTION("""COMPUTED_VALUE"""),6120.53)</f>
        <v>6120.53</v>
      </c>
      <c r="Q325" s="20"/>
      <c r="R325" s="20"/>
      <c r="S325" s="20"/>
      <c r="T325" s="20" t="str">
        <f ca="1">IFERROR(__xludf.DUMMYFUNCTION("""COMPUTED_VALUE"""),"Оплата после завершение контракта ")</f>
        <v xml:space="preserve">Оплата после завершение контракта </v>
      </c>
      <c r="U325" s="24">
        <f ca="1">IFERROR(__xludf.DUMMYFUNCTION("""COMPUTED_VALUE"""),1860.84)</f>
        <v>1860.84</v>
      </c>
      <c r="V325" s="24">
        <f ca="1">IFERROR(__xludf.DUMMYFUNCTION("""COMPUTED_VALUE"""),0)</f>
        <v>0</v>
      </c>
      <c r="W325" s="24">
        <f ca="1">IFERROR(__xludf.DUMMYFUNCTION("""COMPUTED_VALUE"""),479.72)</f>
        <v>479.72</v>
      </c>
      <c r="X325" s="24">
        <f ca="1">IFERROR(__xludf.DUMMYFUNCTION("""COMPUTED_VALUE"""),0)</f>
        <v>0</v>
      </c>
      <c r="Y325" s="24">
        <f ca="1">IFERROR(__xludf.DUMMYFUNCTION("""COMPUTED_VALUE"""),1381.12)</f>
        <v>1381.12</v>
      </c>
      <c r="Z325" s="24">
        <f ca="1">IFERROR(__xludf.DUMMYFUNCTION("""COMPUTED_VALUE"""),0)</f>
        <v>0</v>
      </c>
      <c r="AA325" s="20" t="str">
        <f ca="1">IFERROR(__xludf.DUMMYFUNCTION("""COMPUTED_VALUE"""),"10 3 02 64080")</f>
        <v>10 3 02 64080</v>
      </c>
      <c r="AB325" s="20">
        <f ca="1">IFERROR(__xludf.DUMMYFUNCTION("""COMPUTED_VALUE"""),522)</f>
        <v>522</v>
      </c>
      <c r="AC325" s="20" t="str">
        <f ca="1">IFERROR(__xludf.DUMMYFUNCTION("""COMPUTED_VALUE"""),"да")</f>
        <v>да</v>
      </c>
      <c r="AD325" s="20"/>
      <c r="AE325" s="20" t="str">
        <f ca="1">IFERROR(__xludf.DUMMYFUNCTION("""COMPUTED_VALUE"""),"RU50-19-16140-2020 от 10.07.2020")</f>
        <v>RU50-19-16140-2020 от 10.07.2020</v>
      </c>
      <c r="AF325" s="24">
        <f ca="1">IFERROR(__xludf.DUMMYFUNCTION("""COMPUTED_VALUE"""),7981.37)</f>
        <v>7981.37</v>
      </c>
      <c r="AG325" s="24">
        <f ca="1">IFERROR(__xludf.DUMMYFUNCTION("""COMPUTED_VALUE"""),0)</f>
        <v>0</v>
      </c>
      <c r="AH325" s="24">
        <f ca="1">IFERROR(__xludf.DUMMYFUNCTION("""COMPUTED_VALUE"""),6600.25)</f>
        <v>6600.25</v>
      </c>
      <c r="AI325" s="24">
        <f ca="1">IFERROR(__xludf.DUMMYFUNCTION("""COMPUTED_VALUE"""),0)</f>
        <v>0</v>
      </c>
      <c r="AJ325" s="24">
        <f ca="1">IFERROR(__xludf.DUMMYFUNCTION("""COMPUTED_VALUE"""),1381.12)</f>
        <v>1381.12</v>
      </c>
      <c r="AK325" s="24">
        <f ca="1">IFERROR(__xludf.DUMMYFUNCTION("""COMPUTED_VALUE"""),0)</f>
        <v>0</v>
      </c>
      <c r="AL325" s="24">
        <f ca="1">IFERROR(__xludf.DUMMYFUNCTION("""COMPUTED_VALUE"""),0)</f>
        <v>0</v>
      </c>
      <c r="AM325" s="20"/>
      <c r="AN325" s="20"/>
      <c r="AO325" s="20"/>
      <c r="AP325" s="20"/>
      <c r="AQ325" s="20"/>
      <c r="AR325" s="24">
        <f ca="1">IFERROR(__xludf.DUMMYFUNCTION("""COMPUTED_VALUE"""),0)</f>
        <v>0</v>
      </c>
      <c r="AS325" s="20"/>
      <c r="AT325" s="20"/>
      <c r="AU325" s="20"/>
      <c r="AV325" s="20"/>
      <c r="AW325" s="20"/>
      <c r="AX325" s="24">
        <f ca="1">IFERROR(__xludf.DUMMYFUNCTION("""COMPUTED_VALUE"""),7981.37)</f>
        <v>7981.37</v>
      </c>
      <c r="AY325" s="24">
        <f ca="1">IFERROR(__xludf.DUMMYFUNCTION("""COMPUTED_VALUE"""),0)</f>
        <v>0</v>
      </c>
      <c r="AZ325" s="24">
        <f ca="1">IFERROR(__xludf.DUMMYFUNCTION("""COMPUTED_VALUE"""),6600.25)</f>
        <v>6600.25</v>
      </c>
      <c r="BA325" s="24">
        <f ca="1">IFERROR(__xludf.DUMMYFUNCTION("""COMPUTED_VALUE"""),0)</f>
        <v>0</v>
      </c>
      <c r="BB325" s="24">
        <f ca="1">IFERROR(__xludf.DUMMYFUNCTION("""COMPUTED_VALUE"""),1381.12)</f>
        <v>1381.12</v>
      </c>
      <c r="BC325" s="20"/>
      <c r="BD325" s="24">
        <f ca="1">IFERROR(__xludf.DUMMYFUNCTION("""COMPUTED_VALUE"""),0)</f>
        <v>0</v>
      </c>
      <c r="BE325" s="24">
        <f ca="1">IFERROR(__xludf.DUMMYFUNCTION("""COMPUTED_VALUE"""),0)</f>
        <v>0</v>
      </c>
      <c r="BF325" s="24">
        <f ca="1">IFERROR(__xludf.DUMMYFUNCTION("""COMPUTED_VALUE"""),0)</f>
        <v>0</v>
      </c>
      <c r="BG325" s="24">
        <f ca="1">IFERROR(__xludf.DUMMYFUNCTION("""COMPUTED_VALUE"""),0)</f>
        <v>0</v>
      </c>
      <c r="BH325" s="24">
        <f ca="1">IFERROR(__xludf.DUMMYFUNCTION("""COMPUTED_VALUE"""),0)</f>
        <v>0</v>
      </c>
      <c r="BI325" s="20"/>
      <c r="BJ325" s="24">
        <f ca="1">IFERROR(__xludf.DUMMYFUNCTION("""COMPUTED_VALUE"""),0)</f>
        <v>0</v>
      </c>
      <c r="BK325" s="24">
        <f ca="1">IFERROR(__xludf.DUMMYFUNCTION("""COMPUTED_VALUE"""),0)</f>
        <v>0</v>
      </c>
      <c r="BL325" s="24">
        <f ca="1">IFERROR(__xludf.DUMMYFUNCTION("""COMPUTED_VALUE"""),0)</f>
        <v>0</v>
      </c>
      <c r="BM325" s="24">
        <f ca="1">IFERROR(__xludf.DUMMYFUNCTION("""COMPUTED_VALUE"""),0)</f>
        <v>0</v>
      </c>
      <c r="BN325" s="24">
        <f ca="1">IFERROR(__xludf.DUMMYFUNCTION("""COMPUTED_VALUE"""),0)</f>
        <v>0</v>
      </c>
      <c r="BO325" s="20"/>
      <c r="BP325" s="24">
        <f ca="1">IFERROR(__xludf.DUMMYFUNCTION("""COMPUTED_VALUE"""),0)</f>
        <v>0</v>
      </c>
      <c r="BQ325" s="24">
        <f ca="1">IFERROR(__xludf.DUMMYFUNCTION("""COMPUTED_VALUE"""),0)</f>
        <v>0</v>
      </c>
      <c r="BR325" s="24">
        <f ca="1">IFERROR(__xludf.DUMMYFUNCTION("""COMPUTED_VALUE"""),0)</f>
        <v>0</v>
      </c>
      <c r="BS325" s="24">
        <f ca="1">IFERROR(__xludf.DUMMYFUNCTION("""COMPUTED_VALUE"""),0)</f>
        <v>0</v>
      </c>
      <c r="BT325" s="24">
        <f ca="1">IFERROR(__xludf.DUMMYFUNCTION("""COMPUTED_VALUE"""),0)</f>
        <v>0</v>
      </c>
      <c r="BU325" s="20"/>
      <c r="BV325" s="24">
        <f ca="1">IFERROR(__xludf.DUMMYFUNCTION("""COMPUTED_VALUE"""),0)</f>
        <v>0</v>
      </c>
      <c r="BW325" s="24">
        <f ca="1">IFERROR(__xludf.DUMMYFUNCTION("""COMPUTED_VALUE"""),0)</f>
        <v>0</v>
      </c>
      <c r="BX325" s="24">
        <f ca="1">IFERROR(__xludf.DUMMYFUNCTION("""COMPUTED_VALUE"""),0)</f>
        <v>0</v>
      </c>
      <c r="BY325" s="24">
        <f ca="1">IFERROR(__xludf.DUMMYFUNCTION("""COMPUTED_VALUE"""),0)</f>
        <v>0</v>
      </c>
      <c r="BZ325" s="24">
        <f ca="1">IFERROR(__xludf.DUMMYFUNCTION("""COMPUTED_VALUE"""),0)</f>
        <v>0</v>
      </c>
      <c r="CA325" s="20"/>
      <c r="CB325" s="20"/>
      <c r="CC325" s="20"/>
      <c r="CD325" s="20"/>
      <c r="CE325" s="20"/>
      <c r="CF325" s="20"/>
      <c r="CG325" s="20"/>
      <c r="CH325" s="20"/>
      <c r="CI325" s="20"/>
      <c r="CJ325" s="20"/>
      <c r="CK325" s="20"/>
      <c r="CL325" s="20"/>
      <c r="CM325" s="20"/>
      <c r="CN325" s="20"/>
      <c r="CO325" s="20"/>
      <c r="CP325" s="20"/>
      <c r="CQ325" s="20"/>
      <c r="CR325" s="20"/>
      <c r="CS325" s="20"/>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row>
    <row r="326" spans="1:123" ht="64.5" customHeight="1" x14ac:dyDescent="0.2">
      <c r="A326" s="19"/>
      <c r="B326" s="20" t="str">
        <f ca="1">IFERROR(__xludf.DUMMYFUNCTION("""COMPUTED_VALUE"""),"г.о. Рузский")</f>
        <v>г.о. Рузский</v>
      </c>
      <c r="C32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6" s="20" t="str">
        <f ca="1">IFERROR(__xludf.DUMMYFUNCTION("""COMPUTED_VALUE"""),"МинЖКХ")</f>
        <v>МинЖКХ</v>
      </c>
      <c r="E326" s="20" t="str">
        <f ca="1">IFERROR(__xludf.DUMMYFUNCTION("""COMPUTED_VALUE"""),"Строительство БМК д. Ивойлово, д.18  г.о. Рузский")</f>
        <v>Строительство БМК д. Ивойлово, д.18  г.о. Рузский</v>
      </c>
      <c r="F326" s="32" t="str">
        <f ca="1">IFERROR(__xludf.DUMMYFUNCTION("""COMPUTED_VALUE"""),"БМК")</f>
        <v>БМК</v>
      </c>
      <c r="G326" s="20">
        <f ca="1">IFERROR(__xludf.DUMMYFUNCTION("""COMPUTED_VALUE"""),2020)</f>
        <v>2020</v>
      </c>
      <c r="H326" s="20" t="str">
        <f ca="1">IFERROR(__xludf.DUMMYFUNCTION("""COMPUTED_VALUE"""),"СМР")</f>
        <v>СМР</v>
      </c>
      <c r="I326" s="20">
        <f ca="1">IFERROR(__xludf.DUMMYFUNCTION("""COMPUTED_VALUE"""),97)</f>
        <v>97</v>
      </c>
      <c r="J326" s="20" t="str">
        <f ca="1">IFERROR(__xludf.DUMMYFUNCTION("""COMPUTED_VALUE"""),"произведен монтаж датчиков преобразователя давления
Опрессовка оборудования
- Межрегионгаз опломбировали счетчики 
Остались работы: 
- благоустройство (договор с АО «Жилсервис». Работы ведутся),
- папки для сдачи в Ростехнадзор (собраны. на согласование"&amp;" в МОГ 02.12.2020)
- сети связи (подписание 02.12.2020 с Эдельвейс)
")</f>
        <v xml:space="preserve">произведен монтаж датчиков преобразователя давления
Опрессовка оборудования
- Межрегионгаз опломбировали счетчики 
Остались работы: 
- благоустройство (договор с АО «Жилсервис». Работы ведутся),
- папки для сдачи в Ростехнадзор (собраны. на согласование в МОГ 02.12.2020)
- сети связи (подписание 02.12.2020 с Эдельвейс)
</v>
      </c>
      <c r="K326" s="20">
        <f ca="1">IFERROR(__xludf.DUMMYFUNCTION("""COMPUTED_VALUE"""),240)</f>
        <v>240</v>
      </c>
      <c r="L326" s="20">
        <f ca="1">IFERROR(__xludf.DUMMYFUNCTION("""COMPUTED_VALUE"""),240)</f>
        <v>240</v>
      </c>
      <c r="M326" s="20"/>
      <c r="N326" s="24">
        <f ca="1">IFERROR(__xludf.DUMMYFUNCTION("""COMPUTED_VALUE"""),6452.61)</f>
        <v>6452.61</v>
      </c>
      <c r="O326" s="20"/>
      <c r="P326" s="24">
        <f ca="1">IFERROR(__xludf.DUMMYFUNCTION("""COMPUTED_VALUE"""),6452.61)</f>
        <v>6452.61</v>
      </c>
      <c r="Q326" s="20"/>
      <c r="R326" s="20"/>
      <c r="S326" s="20"/>
      <c r="T326" s="20" t="str">
        <f ca="1">IFERROR(__xludf.DUMMYFUNCTION("""COMPUTED_VALUE"""),"Оплата после завершение контракта ")</f>
        <v xml:space="preserve">Оплата после завершение контракта </v>
      </c>
      <c r="U326" s="24">
        <f ca="1">IFERROR(__xludf.DUMMYFUNCTION("""COMPUTED_VALUE"""),1961.08999999999)</f>
        <v>1961.0899999999899</v>
      </c>
      <c r="V326" s="24">
        <f ca="1">IFERROR(__xludf.DUMMYFUNCTION("""COMPUTED_VALUE"""),0)</f>
        <v>0</v>
      </c>
      <c r="W326" s="24">
        <f ca="1">IFERROR(__xludf.DUMMYFUNCTION("""COMPUTED_VALUE"""),505.75)</f>
        <v>505.75</v>
      </c>
      <c r="X326" s="24">
        <f ca="1">IFERROR(__xludf.DUMMYFUNCTION("""COMPUTED_VALUE"""),0)</f>
        <v>0</v>
      </c>
      <c r="Y326" s="24">
        <f ca="1">IFERROR(__xludf.DUMMYFUNCTION("""COMPUTED_VALUE"""),1455.34)</f>
        <v>1455.34</v>
      </c>
      <c r="Z326" s="24">
        <f ca="1">IFERROR(__xludf.DUMMYFUNCTION("""COMPUTED_VALUE"""),0)</f>
        <v>0</v>
      </c>
      <c r="AA326" s="20" t="str">
        <f ca="1">IFERROR(__xludf.DUMMYFUNCTION("""COMPUTED_VALUE"""),"10 3 02 64080")</f>
        <v>10 3 02 64080</v>
      </c>
      <c r="AB326" s="20">
        <f ca="1">IFERROR(__xludf.DUMMYFUNCTION("""COMPUTED_VALUE"""),522)</f>
        <v>522</v>
      </c>
      <c r="AC326" s="20" t="str">
        <f ca="1">IFERROR(__xludf.DUMMYFUNCTION("""COMPUTED_VALUE"""),"да")</f>
        <v>да</v>
      </c>
      <c r="AD326" s="20"/>
      <c r="AE326" s="20" t="str">
        <f ca="1">IFERROR(__xludf.DUMMYFUNCTION("""COMPUTED_VALUE"""),"RU50-19-16141-2020 от 10.07.2020")</f>
        <v>RU50-19-16141-2020 от 10.07.2020</v>
      </c>
      <c r="AF326" s="24">
        <f ca="1">IFERROR(__xludf.DUMMYFUNCTION("""COMPUTED_VALUE"""),8413.69999999999)</f>
        <v>8413.6999999999898</v>
      </c>
      <c r="AG326" s="24">
        <f ca="1">IFERROR(__xludf.DUMMYFUNCTION("""COMPUTED_VALUE"""),0)</f>
        <v>0</v>
      </c>
      <c r="AH326" s="24">
        <f ca="1">IFERROR(__xludf.DUMMYFUNCTION("""COMPUTED_VALUE"""),6958.36)</f>
        <v>6958.36</v>
      </c>
      <c r="AI326" s="24">
        <f ca="1">IFERROR(__xludf.DUMMYFUNCTION("""COMPUTED_VALUE"""),0)</f>
        <v>0</v>
      </c>
      <c r="AJ326" s="24">
        <f ca="1">IFERROR(__xludf.DUMMYFUNCTION("""COMPUTED_VALUE"""),1455.34)</f>
        <v>1455.34</v>
      </c>
      <c r="AK326" s="24">
        <f ca="1">IFERROR(__xludf.DUMMYFUNCTION("""COMPUTED_VALUE"""),0)</f>
        <v>0</v>
      </c>
      <c r="AL326" s="24">
        <f ca="1">IFERROR(__xludf.DUMMYFUNCTION("""COMPUTED_VALUE"""),0)</f>
        <v>0</v>
      </c>
      <c r="AM326" s="20"/>
      <c r="AN326" s="20"/>
      <c r="AO326" s="20"/>
      <c r="AP326" s="20"/>
      <c r="AQ326" s="20"/>
      <c r="AR326" s="24">
        <f ca="1">IFERROR(__xludf.DUMMYFUNCTION("""COMPUTED_VALUE"""),0)</f>
        <v>0</v>
      </c>
      <c r="AS326" s="20"/>
      <c r="AT326" s="20"/>
      <c r="AU326" s="20"/>
      <c r="AV326" s="20"/>
      <c r="AW326" s="20"/>
      <c r="AX326" s="24">
        <f ca="1">IFERROR(__xludf.DUMMYFUNCTION("""COMPUTED_VALUE"""),8413.69999999999)</f>
        <v>8413.6999999999898</v>
      </c>
      <c r="AY326" s="24">
        <f ca="1">IFERROR(__xludf.DUMMYFUNCTION("""COMPUTED_VALUE"""),0)</f>
        <v>0</v>
      </c>
      <c r="AZ326" s="24">
        <f ca="1">IFERROR(__xludf.DUMMYFUNCTION("""COMPUTED_VALUE"""),6958.36)</f>
        <v>6958.36</v>
      </c>
      <c r="BA326" s="24">
        <f ca="1">IFERROR(__xludf.DUMMYFUNCTION("""COMPUTED_VALUE"""),0)</f>
        <v>0</v>
      </c>
      <c r="BB326" s="24">
        <f ca="1">IFERROR(__xludf.DUMMYFUNCTION("""COMPUTED_VALUE"""),1455.34)</f>
        <v>1455.34</v>
      </c>
      <c r="BC326" s="20"/>
      <c r="BD326" s="24">
        <f ca="1">IFERROR(__xludf.DUMMYFUNCTION("""COMPUTED_VALUE"""),0)</f>
        <v>0</v>
      </c>
      <c r="BE326" s="24">
        <f ca="1">IFERROR(__xludf.DUMMYFUNCTION("""COMPUTED_VALUE"""),0)</f>
        <v>0</v>
      </c>
      <c r="BF326" s="24">
        <f ca="1">IFERROR(__xludf.DUMMYFUNCTION("""COMPUTED_VALUE"""),0)</f>
        <v>0</v>
      </c>
      <c r="BG326" s="24">
        <f ca="1">IFERROR(__xludf.DUMMYFUNCTION("""COMPUTED_VALUE"""),0)</f>
        <v>0</v>
      </c>
      <c r="BH326" s="24">
        <f ca="1">IFERROR(__xludf.DUMMYFUNCTION("""COMPUTED_VALUE"""),0)</f>
        <v>0</v>
      </c>
      <c r="BI326" s="20"/>
      <c r="BJ326" s="24">
        <f ca="1">IFERROR(__xludf.DUMMYFUNCTION("""COMPUTED_VALUE"""),0)</f>
        <v>0</v>
      </c>
      <c r="BK326" s="24">
        <f ca="1">IFERROR(__xludf.DUMMYFUNCTION("""COMPUTED_VALUE"""),0)</f>
        <v>0</v>
      </c>
      <c r="BL326" s="24">
        <f ca="1">IFERROR(__xludf.DUMMYFUNCTION("""COMPUTED_VALUE"""),0)</f>
        <v>0</v>
      </c>
      <c r="BM326" s="24">
        <f ca="1">IFERROR(__xludf.DUMMYFUNCTION("""COMPUTED_VALUE"""),0)</f>
        <v>0</v>
      </c>
      <c r="BN326" s="24">
        <f ca="1">IFERROR(__xludf.DUMMYFUNCTION("""COMPUTED_VALUE"""),0)</f>
        <v>0</v>
      </c>
      <c r="BO326" s="20"/>
      <c r="BP326" s="24">
        <f ca="1">IFERROR(__xludf.DUMMYFUNCTION("""COMPUTED_VALUE"""),0)</f>
        <v>0</v>
      </c>
      <c r="BQ326" s="24">
        <f ca="1">IFERROR(__xludf.DUMMYFUNCTION("""COMPUTED_VALUE"""),0)</f>
        <v>0</v>
      </c>
      <c r="BR326" s="24">
        <f ca="1">IFERROR(__xludf.DUMMYFUNCTION("""COMPUTED_VALUE"""),0)</f>
        <v>0</v>
      </c>
      <c r="BS326" s="24">
        <f ca="1">IFERROR(__xludf.DUMMYFUNCTION("""COMPUTED_VALUE"""),0)</f>
        <v>0</v>
      </c>
      <c r="BT326" s="24">
        <f ca="1">IFERROR(__xludf.DUMMYFUNCTION("""COMPUTED_VALUE"""),0)</f>
        <v>0</v>
      </c>
      <c r="BU326" s="20"/>
      <c r="BV326" s="24">
        <f ca="1">IFERROR(__xludf.DUMMYFUNCTION("""COMPUTED_VALUE"""),0)</f>
        <v>0</v>
      </c>
      <c r="BW326" s="24">
        <f ca="1">IFERROR(__xludf.DUMMYFUNCTION("""COMPUTED_VALUE"""),0)</f>
        <v>0</v>
      </c>
      <c r="BX326" s="24">
        <f ca="1">IFERROR(__xludf.DUMMYFUNCTION("""COMPUTED_VALUE"""),0)</f>
        <v>0</v>
      </c>
      <c r="BY326" s="24">
        <f ca="1">IFERROR(__xludf.DUMMYFUNCTION("""COMPUTED_VALUE"""),0)</f>
        <v>0</v>
      </c>
      <c r="BZ326" s="24">
        <f ca="1">IFERROR(__xludf.DUMMYFUNCTION("""COMPUTED_VALUE"""),0)</f>
        <v>0</v>
      </c>
      <c r="CA326" s="20"/>
      <c r="CB326" s="20"/>
      <c r="CC326" s="20"/>
      <c r="CD326" s="20"/>
      <c r="CE326" s="20"/>
      <c r="CF326" s="20"/>
      <c r="CG326" s="20"/>
      <c r="CH326" s="20"/>
      <c r="CI326" s="20"/>
      <c r="CJ326" s="20"/>
      <c r="CK326" s="20"/>
      <c r="CL326" s="20"/>
      <c r="CM326" s="20"/>
      <c r="CN326" s="20"/>
      <c r="CO326" s="20"/>
      <c r="CP326" s="20"/>
      <c r="CQ326" s="20"/>
      <c r="CR326" s="20"/>
      <c r="CS326" s="20"/>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row>
    <row r="327" spans="1:123" ht="64.5" customHeight="1" x14ac:dyDescent="0.2">
      <c r="A327" s="19"/>
      <c r="B327" s="20" t="str">
        <f ca="1">IFERROR(__xludf.DUMMYFUNCTION("""COMPUTED_VALUE"""),"г.о. Рузский")</f>
        <v>г.о. Рузский</v>
      </c>
      <c r="C32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7" s="20" t="str">
        <f ca="1">IFERROR(__xludf.DUMMYFUNCTION("""COMPUTED_VALUE"""),"МинЖКХ")</f>
        <v>МинЖКХ</v>
      </c>
      <c r="E327" s="20" t="str">
        <f ca="1">IFERROR(__xludf.DUMMYFUNCTION("""COMPUTED_VALUE"""),"Строительство БМК д. Лихачево, д.78  г.о. Рузский")</f>
        <v>Строительство БМК д. Лихачево, д.78  г.о. Рузский</v>
      </c>
      <c r="F327" s="32" t="str">
        <f ca="1">IFERROR(__xludf.DUMMYFUNCTION("""COMPUTED_VALUE"""),"БМК")</f>
        <v>БМК</v>
      </c>
      <c r="G327" s="20">
        <f ca="1">IFERROR(__xludf.DUMMYFUNCTION("""COMPUTED_VALUE"""),2020)</f>
        <v>2020</v>
      </c>
      <c r="H327" s="20" t="str">
        <f ca="1">IFERROR(__xludf.DUMMYFUNCTION("""COMPUTED_VALUE"""),"СМР")</f>
        <v>СМР</v>
      </c>
      <c r="I327" s="20">
        <f ca="1">IFERROR(__xludf.DUMMYFUNCTION("""COMPUTED_VALUE"""),95)</f>
        <v>95</v>
      </c>
      <c r="J327" s="20" t="str">
        <f ca="1">IFERROR(__xludf.DUMMYFUNCTION("""COMPUTED_VALUE"""),"Физические работы выполнены на 95% (остались работы по узлам учета газа). 
Благоустройство выполнено. 
Документация сдана в Ростехнадзор. Замечания по теплу устранены. Получены устные замечания от Ростехнадзора по газовой части.
Пуско-наладка назначена"&amp;" на отопительный период 2020-2021гг. 
")</f>
        <v xml:space="preserve">Физические работы выполнены на 95% (остались работы по узлам учета газа). 
Благоустройство выполнено. 
Документация сдана в Ростехнадзор. Замечания по теплу устранены. Получены устные замечания от Ростехнадзора по газовой части.
Пуско-наладка назначена на отопительный период 2020-2021гг. 
</v>
      </c>
      <c r="K327" s="20">
        <f ca="1">IFERROR(__xludf.DUMMYFUNCTION("""COMPUTED_VALUE"""),65)</f>
        <v>65</v>
      </c>
      <c r="L327" s="20">
        <f ca="1">IFERROR(__xludf.DUMMYFUNCTION("""COMPUTED_VALUE"""),65)</f>
        <v>65</v>
      </c>
      <c r="M327" s="20"/>
      <c r="N327" s="24">
        <f ca="1">IFERROR(__xludf.DUMMYFUNCTION("""COMPUTED_VALUE"""),8551.76)</f>
        <v>8551.76</v>
      </c>
      <c r="O327" s="20"/>
      <c r="P327" s="24">
        <f ca="1">IFERROR(__xludf.DUMMYFUNCTION("""COMPUTED_VALUE"""),8551.76)</f>
        <v>8551.76</v>
      </c>
      <c r="Q327" s="20"/>
      <c r="R327" s="20"/>
      <c r="S327" s="20"/>
      <c r="T327" s="20" t="str">
        <f ca="1">IFERROR(__xludf.DUMMYFUNCTION("""COMPUTED_VALUE"""),"Оплата после завершение контракта ")</f>
        <v xml:space="preserve">Оплата после завершение контракта </v>
      </c>
      <c r="U327" s="24">
        <f ca="1">IFERROR(__xludf.DUMMYFUNCTION("""COMPUTED_VALUE"""),2188.22999999999)</f>
        <v>2188.22999999999</v>
      </c>
      <c r="V327" s="24">
        <f ca="1">IFERROR(__xludf.DUMMYFUNCTION("""COMPUTED_VALUE"""),0)</f>
        <v>0</v>
      </c>
      <c r="W327" s="24">
        <f ca="1">IFERROR(__xludf.DUMMYFUNCTION("""COMPUTED_VALUE"""),330.209999999999)</f>
        <v>330.20999999999901</v>
      </c>
      <c r="X327" s="24">
        <f ca="1">IFERROR(__xludf.DUMMYFUNCTION("""COMPUTED_VALUE"""),0)</f>
        <v>0</v>
      </c>
      <c r="Y327" s="24">
        <f ca="1">IFERROR(__xludf.DUMMYFUNCTION("""COMPUTED_VALUE"""),1858.02)</f>
        <v>1858.02</v>
      </c>
      <c r="Z327" s="24">
        <f ca="1">IFERROR(__xludf.DUMMYFUNCTION("""COMPUTED_VALUE"""),0)</f>
        <v>0</v>
      </c>
      <c r="AA327" s="20" t="str">
        <f ca="1">IFERROR(__xludf.DUMMYFUNCTION("""COMPUTED_VALUE"""),"10 3 02 64080")</f>
        <v>10 3 02 64080</v>
      </c>
      <c r="AB327" s="20">
        <f ca="1">IFERROR(__xludf.DUMMYFUNCTION("""COMPUTED_VALUE"""),522)</f>
        <v>522</v>
      </c>
      <c r="AC327" s="20" t="str">
        <f ca="1">IFERROR(__xludf.DUMMYFUNCTION("""COMPUTED_VALUE"""),"да")</f>
        <v>да</v>
      </c>
      <c r="AD327" s="20"/>
      <c r="AE327" s="20" t="str">
        <f ca="1">IFERROR(__xludf.DUMMYFUNCTION("""COMPUTED_VALUE"""),"RU50-19-15816-2020 от 12.05.2020")</f>
        <v>RU50-19-15816-2020 от 12.05.2020</v>
      </c>
      <c r="AF327" s="24">
        <f ca="1">IFERROR(__xludf.DUMMYFUNCTION("""COMPUTED_VALUE"""),10739.99)</f>
        <v>10739.99</v>
      </c>
      <c r="AG327" s="24">
        <f ca="1">IFERROR(__xludf.DUMMYFUNCTION("""COMPUTED_VALUE"""),0)</f>
        <v>0</v>
      </c>
      <c r="AH327" s="24">
        <f ca="1">IFERROR(__xludf.DUMMYFUNCTION("""COMPUTED_VALUE"""),8881.97)</f>
        <v>8881.9699999999993</v>
      </c>
      <c r="AI327" s="24">
        <f ca="1">IFERROR(__xludf.DUMMYFUNCTION("""COMPUTED_VALUE"""),0)</f>
        <v>0</v>
      </c>
      <c r="AJ327" s="24">
        <f ca="1">IFERROR(__xludf.DUMMYFUNCTION("""COMPUTED_VALUE"""),1858.02)</f>
        <v>1858.02</v>
      </c>
      <c r="AK327" s="24">
        <f ca="1">IFERROR(__xludf.DUMMYFUNCTION("""COMPUTED_VALUE"""),0)</f>
        <v>0</v>
      </c>
      <c r="AL327" s="24">
        <f ca="1">IFERROR(__xludf.DUMMYFUNCTION("""COMPUTED_VALUE"""),0)</f>
        <v>0</v>
      </c>
      <c r="AM327" s="20"/>
      <c r="AN327" s="20"/>
      <c r="AO327" s="20"/>
      <c r="AP327" s="20"/>
      <c r="AQ327" s="20"/>
      <c r="AR327" s="24">
        <f ca="1">IFERROR(__xludf.DUMMYFUNCTION("""COMPUTED_VALUE"""),0)</f>
        <v>0</v>
      </c>
      <c r="AS327" s="20"/>
      <c r="AT327" s="20"/>
      <c r="AU327" s="20"/>
      <c r="AV327" s="20"/>
      <c r="AW327" s="20"/>
      <c r="AX327" s="24">
        <f ca="1">IFERROR(__xludf.DUMMYFUNCTION("""COMPUTED_VALUE"""),10739.99)</f>
        <v>10739.99</v>
      </c>
      <c r="AY327" s="24">
        <f ca="1">IFERROR(__xludf.DUMMYFUNCTION("""COMPUTED_VALUE"""),0)</f>
        <v>0</v>
      </c>
      <c r="AZ327" s="24">
        <f ca="1">IFERROR(__xludf.DUMMYFUNCTION("""COMPUTED_VALUE"""),8881.97)</f>
        <v>8881.9699999999993</v>
      </c>
      <c r="BA327" s="24">
        <f ca="1">IFERROR(__xludf.DUMMYFUNCTION("""COMPUTED_VALUE"""),0)</f>
        <v>0</v>
      </c>
      <c r="BB327" s="24">
        <f ca="1">IFERROR(__xludf.DUMMYFUNCTION("""COMPUTED_VALUE"""),1858.02)</f>
        <v>1858.02</v>
      </c>
      <c r="BC327" s="20"/>
      <c r="BD327" s="24">
        <f ca="1">IFERROR(__xludf.DUMMYFUNCTION("""COMPUTED_VALUE"""),0)</f>
        <v>0</v>
      </c>
      <c r="BE327" s="24">
        <f ca="1">IFERROR(__xludf.DUMMYFUNCTION("""COMPUTED_VALUE"""),0)</f>
        <v>0</v>
      </c>
      <c r="BF327" s="24">
        <f ca="1">IFERROR(__xludf.DUMMYFUNCTION("""COMPUTED_VALUE"""),0)</f>
        <v>0</v>
      </c>
      <c r="BG327" s="24">
        <f ca="1">IFERROR(__xludf.DUMMYFUNCTION("""COMPUTED_VALUE"""),0)</f>
        <v>0</v>
      </c>
      <c r="BH327" s="24">
        <f ca="1">IFERROR(__xludf.DUMMYFUNCTION("""COMPUTED_VALUE"""),0)</f>
        <v>0</v>
      </c>
      <c r="BI327" s="20"/>
      <c r="BJ327" s="24">
        <f ca="1">IFERROR(__xludf.DUMMYFUNCTION("""COMPUTED_VALUE"""),0)</f>
        <v>0</v>
      </c>
      <c r="BK327" s="24">
        <f ca="1">IFERROR(__xludf.DUMMYFUNCTION("""COMPUTED_VALUE"""),0)</f>
        <v>0</v>
      </c>
      <c r="BL327" s="24">
        <f ca="1">IFERROR(__xludf.DUMMYFUNCTION("""COMPUTED_VALUE"""),0)</f>
        <v>0</v>
      </c>
      <c r="BM327" s="24">
        <f ca="1">IFERROR(__xludf.DUMMYFUNCTION("""COMPUTED_VALUE"""),0)</f>
        <v>0</v>
      </c>
      <c r="BN327" s="24">
        <f ca="1">IFERROR(__xludf.DUMMYFUNCTION("""COMPUTED_VALUE"""),0)</f>
        <v>0</v>
      </c>
      <c r="BO327" s="20"/>
      <c r="BP327" s="24">
        <f ca="1">IFERROR(__xludf.DUMMYFUNCTION("""COMPUTED_VALUE"""),0)</f>
        <v>0</v>
      </c>
      <c r="BQ327" s="24">
        <f ca="1">IFERROR(__xludf.DUMMYFUNCTION("""COMPUTED_VALUE"""),0)</f>
        <v>0</v>
      </c>
      <c r="BR327" s="24">
        <f ca="1">IFERROR(__xludf.DUMMYFUNCTION("""COMPUTED_VALUE"""),0)</f>
        <v>0</v>
      </c>
      <c r="BS327" s="24">
        <f ca="1">IFERROR(__xludf.DUMMYFUNCTION("""COMPUTED_VALUE"""),0)</f>
        <v>0</v>
      </c>
      <c r="BT327" s="24">
        <f ca="1">IFERROR(__xludf.DUMMYFUNCTION("""COMPUTED_VALUE"""),0)</f>
        <v>0</v>
      </c>
      <c r="BU327" s="20"/>
      <c r="BV327" s="24">
        <f ca="1">IFERROR(__xludf.DUMMYFUNCTION("""COMPUTED_VALUE"""),0)</f>
        <v>0</v>
      </c>
      <c r="BW327" s="24">
        <f ca="1">IFERROR(__xludf.DUMMYFUNCTION("""COMPUTED_VALUE"""),0)</f>
        <v>0</v>
      </c>
      <c r="BX327" s="24">
        <f ca="1">IFERROR(__xludf.DUMMYFUNCTION("""COMPUTED_VALUE"""),0)</f>
        <v>0</v>
      </c>
      <c r="BY327" s="24">
        <f ca="1">IFERROR(__xludf.DUMMYFUNCTION("""COMPUTED_VALUE"""),0)</f>
        <v>0</v>
      </c>
      <c r="BZ327" s="24">
        <f ca="1">IFERROR(__xludf.DUMMYFUNCTION("""COMPUTED_VALUE"""),0)</f>
        <v>0</v>
      </c>
      <c r="CA327" s="20"/>
      <c r="CB327" s="20"/>
      <c r="CC327" s="20"/>
      <c r="CD327" s="20"/>
      <c r="CE327" s="20"/>
      <c r="CF327" s="20"/>
      <c r="CG327" s="20"/>
      <c r="CH327" s="20"/>
      <c r="CI327" s="20"/>
      <c r="CJ327" s="20"/>
      <c r="CK327" s="20"/>
      <c r="CL327" s="20"/>
      <c r="CM327" s="26">
        <f ca="1">IFERROR(__xludf.DUMMYFUNCTION("""COMPUTED_VALUE"""),43742)</f>
        <v>43742</v>
      </c>
      <c r="CN327" s="20" t="str">
        <f ca="1">IFERROR(__xludf.DUMMYFUNCTION("""COMPUTED_VALUE"""),"0848300059119000391")</f>
        <v>0848300059119000391</v>
      </c>
      <c r="CO327" s="25">
        <f ca="1">IFERROR(__xludf.DUMMYFUNCTION("""COMPUTED_VALUE"""),43766)</f>
        <v>43766</v>
      </c>
      <c r="CP327" s="20" t="str">
        <f ca="1">IFERROR(__xludf.DUMMYFUNCTION("""COMPUTED_VALUE"""),"08483000591190003910001")</f>
        <v>08483000591190003910001</v>
      </c>
      <c r="CQ327" s="20">
        <f ca="1">IFERROR(__xludf.DUMMYFUNCTION("""COMPUTED_VALUE"""),18632745.23)</f>
        <v>18632745.23</v>
      </c>
      <c r="CR327" s="20" t="str">
        <f ca="1">IFERROR(__xludf.DUMMYFUNCTION("""COMPUTED_VALUE"""),"Общество с ограниченной ответственностью ""ИнжСтройПроект"" (ООО ""ИСП"")")</f>
        <v>Общество с ограниченной ответственностью "ИнжСтройПроект" (ООО "ИСП")</v>
      </c>
      <c r="CS327" s="27" t="str">
        <f ca="1">IFERROR(__xludf.DUMMYFUNCTION("""COMPUTED_VALUE"""),"https://zakupki.gov.ru/epz/contract/contractCard/common-info.html?reestrNumber=3507500328719000191")</f>
        <v>https://zakupki.gov.ru/epz/contract/contractCard/common-info.html?reestrNumber=3507500328719000191</v>
      </c>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row>
    <row r="328" spans="1:123" ht="64.5" customHeight="1" x14ac:dyDescent="0.2">
      <c r="A328" s="19"/>
      <c r="B328" s="20" t="str">
        <f ca="1">IFERROR(__xludf.DUMMYFUNCTION("""COMPUTED_VALUE"""),"г.о. Рузский")</f>
        <v>г.о. Рузский</v>
      </c>
      <c r="C32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8" s="20" t="str">
        <f ca="1">IFERROR(__xludf.DUMMYFUNCTION("""COMPUTED_VALUE"""),"МинЖКХ")</f>
        <v>МинЖКХ</v>
      </c>
      <c r="E328" s="20" t="str">
        <f ca="1">IFERROR(__xludf.DUMMYFUNCTION("""COMPUTED_VALUE"""),"Строительство БМК д. Лужки, д.1а, стр.1  г.о. Рузский")</f>
        <v>Строительство БМК д. Лужки, д.1а, стр.1  г.о. Рузский</v>
      </c>
      <c r="F328" s="32" t="str">
        <f ca="1">IFERROR(__xludf.DUMMYFUNCTION("""COMPUTED_VALUE"""),"БМК")</f>
        <v>БМК</v>
      </c>
      <c r="G328" s="20">
        <f ca="1">IFERROR(__xludf.DUMMYFUNCTION("""COMPUTED_VALUE"""),2020)</f>
        <v>2020</v>
      </c>
      <c r="H328" s="20" t="str">
        <f ca="1">IFERROR(__xludf.DUMMYFUNCTION("""COMPUTED_VALUE"""),"СМР")</f>
        <v>СМР</v>
      </c>
      <c r="I328" s="20">
        <f ca="1">IFERROR(__xludf.DUMMYFUNCTION("""COMPUTED_VALUE"""),95)</f>
        <v>95</v>
      </c>
      <c r="J328" s="20" t="str">
        <f ca="1">IFERROR(__xludf.DUMMYFUNCTION("""COMPUTED_VALUE"""),"Физические работы выполнены на 95% (остались работы по узлам учета газа).
Благоустройство выполнено. 
Документация сдана в Ростехнадзор. Замечания по теплу устранены. Получены устные замечания от Ростехнадзора по газовой части.
Пуско-наладка назначена "&amp;"на отопительный период 2020-2021гг. 
")</f>
        <v xml:space="preserve">Физические работы выполнены на 95% (остались работы по узлам учета газа).
Благоустройство выполнено. 
Документация сдана в Ростехнадзор. Замечания по теплу устранены. Получены устные замечания от Ростехнадзора по газовой части.
Пуско-наладка назначена на отопительный период 2020-2021гг. 
</v>
      </c>
      <c r="K328" s="20">
        <f ca="1">IFERROR(__xludf.DUMMYFUNCTION("""COMPUTED_VALUE"""),115)</f>
        <v>115</v>
      </c>
      <c r="L328" s="20">
        <f ca="1">IFERROR(__xludf.DUMMYFUNCTION("""COMPUTED_VALUE"""),115)</f>
        <v>115</v>
      </c>
      <c r="M328" s="20"/>
      <c r="N328" s="24">
        <f ca="1">IFERROR(__xludf.DUMMYFUNCTION("""COMPUTED_VALUE"""),7739.06)</f>
        <v>7739.06</v>
      </c>
      <c r="O328" s="20"/>
      <c r="P328" s="24">
        <f ca="1">IFERROR(__xludf.DUMMYFUNCTION("""COMPUTED_VALUE"""),7739.06)</f>
        <v>7739.06</v>
      </c>
      <c r="Q328" s="20"/>
      <c r="R328" s="20"/>
      <c r="S328" s="20"/>
      <c r="T328" s="20" t="str">
        <f ca="1">IFERROR(__xludf.DUMMYFUNCTION("""COMPUTED_VALUE"""),"Оплата после завершение контракта ")</f>
        <v xml:space="preserve">Оплата после завершение контракта </v>
      </c>
      <c r="U328" s="24">
        <f ca="1">IFERROR(__xludf.DUMMYFUNCTION("""COMPUTED_VALUE"""),1980.27999999999)</f>
        <v>1980.27999999999</v>
      </c>
      <c r="V328" s="24">
        <f ca="1">IFERROR(__xludf.DUMMYFUNCTION("""COMPUTED_VALUE"""),0)</f>
        <v>0</v>
      </c>
      <c r="W328" s="24">
        <f ca="1">IFERROR(__xludf.DUMMYFUNCTION("""COMPUTED_VALUE"""),298.829999999999)</f>
        <v>298.82999999999902</v>
      </c>
      <c r="X328" s="24">
        <f ca="1">IFERROR(__xludf.DUMMYFUNCTION("""COMPUTED_VALUE"""),0)</f>
        <v>0</v>
      </c>
      <c r="Y328" s="24">
        <f ca="1">IFERROR(__xludf.DUMMYFUNCTION("""COMPUTED_VALUE"""),1681.45)</f>
        <v>1681.45</v>
      </c>
      <c r="Z328" s="24">
        <f ca="1">IFERROR(__xludf.DUMMYFUNCTION("""COMPUTED_VALUE"""),0)</f>
        <v>0</v>
      </c>
      <c r="AA328" s="20" t="str">
        <f ca="1">IFERROR(__xludf.DUMMYFUNCTION("""COMPUTED_VALUE"""),"10 3 02 64080")</f>
        <v>10 3 02 64080</v>
      </c>
      <c r="AB328" s="20">
        <f ca="1">IFERROR(__xludf.DUMMYFUNCTION("""COMPUTED_VALUE"""),522)</f>
        <v>522</v>
      </c>
      <c r="AC328" s="20" t="str">
        <f ca="1">IFERROR(__xludf.DUMMYFUNCTION("""COMPUTED_VALUE"""),"да")</f>
        <v>да</v>
      </c>
      <c r="AD328" s="20"/>
      <c r="AE328" s="20" t="str">
        <f ca="1">IFERROR(__xludf.DUMMYFUNCTION("""COMPUTED_VALUE"""),"RU50-19-16150-2020 от 14.07.2020")</f>
        <v>RU50-19-16150-2020 от 14.07.2020</v>
      </c>
      <c r="AF328" s="24">
        <f ca="1">IFERROR(__xludf.DUMMYFUNCTION("""COMPUTED_VALUE"""),9719.34)</f>
        <v>9719.34</v>
      </c>
      <c r="AG328" s="24">
        <f ca="1">IFERROR(__xludf.DUMMYFUNCTION("""COMPUTED_VALUE"""),0)</f>
        <v>0</v>
      </c>
      <c r="AH328" s="24">
        <f ca="1">IFERROR(__xludf.DUMMYFUNCTION("""COMPUTED_VALUE"""),8037.89)</f>
        <v>8037.89</v>
      </c>
      <c r="AI328" s="24">
        <f ca="1">IFERROR(__xludf.DUMMYFUNCTION("""COMPUTED_VALUE"""),0)</f>
        <v>0</v>
      </c>
      <c r="AJ328" s="24">
        <f ca="1">IFERROR(__xludf.DUMMYFUNCTION("""COMPUTED_VALUE"""),1681.45)</f>
        <v>1681.45</v>
      </c>
      <c r="AK328" s="24">
        <f ca="1">IFERROR(__xludf.DUMMYFUNCTION("""COMPUTED_VALUE"""),0)</f>
        <v>0</v>
      </c>
      <c r="AL328" s="24">
        <f ca="1">IFERROR(__xludf.DUMMYFUNCTION("""COMPUTED_VALUE"""),0)</f>
        <v>0</v>
      </c>
      <c r="AM328" s="20"/>
      <c r="AN328" s="20"/>
      <c r="AO328" s="20"/>
      <c r="AP328" s="20"/>
      <c r="AQ328" s="20"/>
      <c r="AR328" s="24">
        <f ca="1">IFERROR(__xludf.DUMMYFUNCTION("""COMPUTED_VALUE"""),0)</f>
        <v>0</v>
      </c>
      <c r="AS328" s="20"/>
      <c r="AT328" s="20"/>
      <c r="AU328" s="20"/>
      <c r="AV328" s="20"/>
      <c r="AW328" s="20"/>
      <c r="AX328" s="24">
        <f ca="1">IFERROR(__xludf.DUMMYFUNCTION("""COMPUTED_VALUE"""),9719.34)</f>
        <v>9719.34</v>
      </c>
      <c r="AY328" s="24">
        <f ca="1">IFERROR(__xludf.DUMMYFUNCTION("""COMPUTED_VALUE"""),0)</f>
        <v>0</v>
      </c>
      <c r="AZ328" s="24">
        <f ca="1">IFERROR(__xludf.DUMMYFUNCTION("""COMPUTED_VALUE"""),8037.89)</f>
        <v>8037.89</v>
      </c>
      <c r="BA328" s="24">
        <f ca="1">IFERROR(__xludf.DUMMYFUNCTION("""COMPUTED_VALUE"""),0)</f>
        <v>0</v>
      </c>
      <c r="BB328" s="24">
        <f ca="1">IFERROR(__xludf.DUMMYFUNCTION("""COMPUTED_VALUE"""),1681.45)</f>
        <v>1681.45</v>
      </c>
      <c r="BC328" s="20"/>
      <c r="BD328" s="24">
        <f ca="1">IFERROR(__xludf.DUMMYFUNCTION("""COMPUTED_VALUE"""),0)</f>
        <v>0</v>
      </c>
      <c r="BE328" s="24">
        <f ca="1">IFERROR(__xludf.DUMMYFUNCTION("""COMPUTED_VALUE"""),0)</f>
        <v>0</v>
      </c>
      <c r="BF328" s="24">
        <f ca="1">IFERROR(__xludf.DUMMYFUNCTION("""COMPUTED_VALUE"""),0)</f>
        <v>0</v>
      </c>
      <c r="BG328" s="24">
        <f ca="1">IFERROR(__xludf.DUMMYFUNCTION("""COMPUTED_VALUE"""),0)</f>
        <v>0</v>
      </c>
      <c r="BH328" s="24">
        <f ca="1">IFERROR(__xludf.DUMMYFUNCTION("""COMPUTED_VALUE"""),0)</f>
        <v>0</v>
      </c>
      <c r="BI328" s="20"/>
      <c r="BJ328" s="24">
        <f ca="1">IFERROR(__xludf.DUMMYFUNCTION("""COMPUTED_VALUE"""),0)</f>
        <v>0</v>
      </c>
      <c r="BK328" s="24">
        <f ca="1">IFERROR(__xludf.DUMMYFUNCTION("""COMPUTED_VALUE"""),0)</f>
        <v>0</v>
      </c>
      <c r="BL328" s="24">
        <f ca="1">IFERROR(__xludf.DUMMYFUNCTION("""COMPUTED_VALUE"""),0)</f>
        <v>0</v>
      </c>
      <c r="BM328" s="24">
        <f ca="1">IFERROR(__xludf.DUMMYFUNCTION("""COMPUTED_VALUE"""),0)</f>
        <v>0</v>
      </c>
      <c r="BN328" s="24">
        <f ca="1">IFERROR(__xludf.DUMMYFUNCTION("""COMPUTED_VALUE"""),0)</f>
        <v>0</v>
      </c>
      <c r="BO328" s="20"/>
      <c r="BP328" s="24">
        <f ca="1">IFERROR(__xludf.DUMMYFUNCTION("""COMPUTED_VALUE"""),0)</f>
        <v>0</v>
      </c>
      <c r="BQ328" s="24">
        <f ca="1">IFERROR(__xludf.DUMMYFUNCTION("""COMPUTED_VALUE"""),0)</f>
        <v>0</v>
      </c>
      <c r="BR328" s="24">
        <f ca="1">IFERROR(__xludf.DUMMYFUNCTION("""COMPUTED_VALUE"""),0)</f>
        <v>0</v>
      </c>
      <c r="BS328" s="24">
        <f ca="1">IFERROR(__xludf.DUMMYFUNCTION("""COMPUTED_VALUE"""),0)</f>
        <v>0</v>
      </c>
      <c r="BT328" s="24">
        <f ca="1">IFERROR(__xludf.DUMMYFUNCTION("""COMPUTED_VALUE"""),0)</f>
        <v>0</v>
      </c>
      <c r="BU328" s="20"/>
      <c r="BV328" s="24">
        <f ca="1">IFERROR(__xludf.DUMMYFUNCTION("""COMPUTED_VALUE"""),0)</f>
        <v>0</v>
      </c>
      <c r="BW328" s="24">
        <f ca="1">IFERROR(__xludf.DUMMYFUNCTION("""COMPUTED_VALUE"""),0)</f>
        <v>0</v>
      </c>
      <c r="BX328" s="24">
        <f ca="1">IFERROR(__xludf.DUMMYFUNCTION("""COMPUTED_VALUE"""),0)</f>
        <v>0</v>
      </c>
      <c r="BY328" s="24">
        <f ca="1">IFERROR(__xludf.DUMMYFUNCTION("""COMPUTED_VALUE"""),0)</f>
        <v>0</v>
      </c>
      <c r="BZ328" s="24">
        <f ca="1">IFERROR(__xludf.DUMMYFUNCTION("""COMPUTED_VALUE"""),0)</f>
        <v>0</v>
      </c>
      <c r="CA328" s="20"/>
      <c r="CB328" s="20"/>
      <c r="CC328" s="20"/>
      <c r="CD328" s="20"/>
      <c r="CE328" s="20"/>
      <c r="CF328" s="20"/>
      <c r="CG328" s="20"/>
      <c r="CH328" s="20"/>
      <c r="CI328" s="20"/>
      <c r="CJ328" s="20"/>
      <c r="CK328" s="20"/>
      <c r="CL328" s="20"/>
      <c r="CM328" s="26">
        <f ca="1">IFERROR(__xludf.DUMMYFUNCTION("""COMPUTED_VALUE"""),43742)</f>
        <v>43742</v>
      </c>
      <c r="CN328" s="20" t="str">
        <f ca="1">IFERROR(__xludf.DUMMYFUNCTION("""COMPUTED_VALUE"""),"0848300059119000391")</f>
        <v>0848300059119000391</v>
      </c>
      <c r="CO328" s="25">
        <f ca="1">IFERROR(__xludf.DUMMYFUNCTION("""COMPUTED_VALUE"""),43766)</f>
        <v>43766</v>
      </c>
      <c r="CP328" s="20" t="str">
        <f ca="1">IFERROR(__xludf.DUMMYFUNCTION("""COMPUTED_VALUE"""),"08483000591190003910001")</f>
        <v>08483000591190003910001</v>
      </c>
      <c r="CQ328" s="20">
        <f ca="1">IFERROR(__xludf.DUMMYFUNCTION("""COMPUTED_VALUE"""),18632745.23)</f>
        <v>18632745.23</v>
      </c>
      <c r="CR328" s="20" t="str">
        <f ca="1">IFERROR(__xludf.DUMMYFUNCTION("""COMPUTED_VALUE"""),"Общество с ограниченной ответственностью ""ИнжСтройПроект"" (ООО ""ИСП"")")</f>
        <v>Общество с ограниченной ответственностью "ИнжСтройПроект" (ООО "ИСП")</v>
      </c>
      <c r="CS328" s="27" t="str">
        <f ca="1">IFERROR(__xludf.DUMMYFUNCTION("""COMPUTED_VALUE"""),"https://zakupki.gov.ru/epz/contract/contractCard/common-info.html?reestrNumber=3507500328719000191")</f>
        <v>https://zakupki.gov.ru/epz/contract/contractCard/common-info.html?reestrNumber=3507500328719000191</v>
      </c>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row>
    <row r="329" spans="1:123" ht="64.5" customHeight="1" x14ac:dyDescent="0.2">
      <c r="A329" s="19"/>
      <c r="B329" s="20" t="str">
        <f ca="1">IFERROR(__xludf.DUMMYFUNCTION("""COMPUTED_VALUE"""),"г.о. Рузский")</f>
        <v>г.о. Рузский</v>
      </c>
      <c r="C32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9" s="20" t="str">
        <f ca="1">IFERROR(__xludf.DUMMYFUNCTION("""COMPUTED_VALUE"""),"МинЖКХ")</f>
        <v>МинЖКХ</v>
      </c>
      <c r="E329" s="20" t="str">
        <f ca="1">IFERROR(__xludf.DUMMYFUNCTION("""COMPUTED_VALUE"""),"Строительство БМК д. Старая Руза, ул. ДТК  г.о. Рузский")</f>
        <v>Строительство БМК д. Старая Руза, ул. ДТК  г.о. Рузский</v>
      </c>
      <c r="F329" s="32" t="str">
        <f ca="1">IFERROR(__xludf.DUMMYFUNCTION("""COMPUTED_VALUE"""),"БМК")</f>
        <v>БМК</v>
      </c>
      <c r="G329" s="20">
        <f ca="1">IFERROR(__xludf.DUMMYFUNCTION("""COMPUTED_VALUE"""),2020)</f>
        <v>2020</v>
      </c>
      <c r="H329" s="20" t="str">
        <f ca="1">IFERROR(__xludf.DUMMYFUNCTION("""COMPUTED_VALUE"""),"СМР")</f>
        <v>СМР</v>
      </c>
      <c r="I329" s="20">
        <f ca="1">IFERROR(__xludf.DUMMYFUNCTION("""COMPUTED_VALUE"""),90)</f>
        <v>90</v>
      </c>
      <c r="J329" s="20" t="str">
        <f ca="1">IFERROR(__xludf.DUMMYFUNCTION("""COMPUTED_VALUE"""),"Проведены работы по заливке фундамента под здание БМК и дымовую трубу, сделали гидроизоляцию. 
Выполнены работы по наружному газоснабжению, водоснабжению. 
Выполнена поставка котлов, блок-модуля и стелы.
Подключено временное электроснабжение строй. пло"&amp;"щадки. 
Сборка каркаса БМК, установлена металлоконструкция под дымовую трубу.
Ввод объекта в эксплуатацию с 30.11.2020 по 25.12.2020.
")</f>
        <v xml:space="preserve">Проведены работы по заливке фундамента под здание БМК и дымовую трубу, сделали гидроизоляцию. 
Выполнены работы по наружному газоснабжению, водоснабжению. 
Выполнена поставка котлов, блок-модуля и стелы.
Подключено временное электроснабжение строй. площадки. 
Сборка каркаса БМК, установлена металлоконструкция под дымовую трубу.
Ввод объекта в эксплуатацию с 30.11.2020 по 25.12.2020.
</v>
      </c>
      <c r="K329" s="20">
        <f ca="1">IFERROR(__xludf.DUMMYFUNCTION("""COMPUTED_VALUE"""),510)</f>
        <v>510</v>
      </c>
      <c r="L329" s="20">
        <f ca="1">IFERROR(__xludf.DUMMYFUNCTION("""COMPUTED_VALUE"""),510)</f>
        <v>510</v>
      </c>
      <c r="M329" s="20"/>
      <c r="N329" s="24">
        <f ca="1">IFERROR(__xludf.DUMMYFUNCTION("""COMPUTED_VALUE"""),25487.41)</f>
        <v>25487.41</v>
      </c>
      <c r="O329" s="20"/>
      <c r="P329" s="24">
        <f ca="1">IFERROR(__xludf.DUMMYFUNCTION("""COMPUTED_VALUE"""),25487.41)</f>
        <v>25487.41</v>
      </c>
      <c r="Q329" s="20"/>
      <c r="R329" s="20"/>
      <c r="S329" s="20"/>
      <c r="T329" s="20" t="str">
        <f ca="1">IFERROR(__xludf.DUMMYFUNCTION("""COMPUTED_VALUE"""),"Оплата после завершение контракта ")</f>
        <v xml:space="preserve">Оплата после завершение контракта </v>
      </c>
      <c r="U329" s="24">
        <f ca="1">IFERROR(__xludf.DUMMYFUNCTION("""COMPUTED_VALUE"""),5560.25)</f>
        <v>5560.25</v>
      </c>
      <c r="V329" s="24">
        <f ca="1">IFERROR(__xludf.DUMMYFUNCTION("""COMPUTED_VALUE"""),0)</f>
        <v>0</v>
      </c>
      <c r="W329" s="24">
        <f ca="1">IFERROR(__xludf.DUMMYFUNCTION("""COMPUTED_VALUE"""),189.119999999998)</f>
        <v>189.11999999999799</v>
      </c>
      <c r="X329" s="24">
        <f ca="1">IFERROR(__xludf.DUMMYFUNCTION("""COMPUTED_VALUE"""),0)</f>
        <v>0</v>
      </c>
      <c r="Y329" s="24">
        <f ca="1">IFERROR(__xludf.DUMMYFUNCTION("""COMPUTED_VALUE"""),5371.13)</f>
        <v>5371.13</v>
      </c>
      <c r="Z329" s="24">
        <f ca="1">IFERROR(__xludf.DUMMYFUNCTION("""COMPUTED_VALUE"""),0)</f>
        <v>0</v>
      </c>
      <c r="AA329" s="20" t="str">
        <f ca="1">IFERROR(__xludf.DUMMYFUNCTION("""COMPUTED_VALUE"""),"10 3 02 64080")</f>
        <v>10 3 02 64080</v>
      </c>
      <c r="AB329" s="20">
        <f ca="1">IFERROR(__xludf.DUMMYFUNCTION("""COMPUTED_VALUE"""),522)</f>
        <v>522</v>
      </c>
      <c r="AC329" s="20" t="str">
        <f ca="1">IFERROR(__xludf.DUMMYFUNCTION("""COMPUTED_VALUE"""),"да")</f>
        <v>да</v>
      </c>
      <c r="AD329" s="20"/>
      <c r="AE329" s="20" t="str">
        <f ca="1">IFERROR(__xludf.DUMMYFUNCTION("""COMPUTED_VALUE"""),"RU50-19-16273-2020 от 04.08.2020")</f>
        <v>RU50-19-16273-2020 от 04.08.2020</v>
      </c>
      <c r="AF329" s="24">
        <f ca="1">IFERROR(__xludf.DUMMYFUNCTION("""COMPUTED_VALUE"""),31047.66)</f>
        <v>31047.66</v>
      </c>
      <c r="AG329" s="24">
        <f ca="1">IFERROR(__xludf.DUMMYFUNCTION("""COMPUTED_VALUE"""),0)</f>
        <v>0</v>
      </c>
      <c r="AH329" s="24">
        <f ca="1">IFERROR(__xludf.DUMMYFUNCTION("""COMPUTED_VALUE"""),25676.53)</f>
        <v>25676.53</v>
      </c>
      <c r="AI329" s="24">
        <f ca="1">IFERROR(__xludf.DUMMYFUNCTION("""COMPUTED_VALUE"""),0)</f>
        <v>0</v>
      </c>
      <c r="AJ329" s="24">
        <f ca="1">IFERROR(__xludf.DUMMYFUNCTION("""COMPUTED_VALUE"""),5371.13)</f>
        <v>5371.13</v>
      </c>
      <c r="AK329" s="24">
        <f ca="1">IFERROR(__xludf.DUMMYFUNCTION("""COMPUTED_VALUE"""),0)</f>
        <v>0</v>
      </c>
      <c r="AL329" s="24">
        <f ca="1">IFERROR(__xludf.DUMMYFUNCTION("""COMPUTED_VALUE"""),0)</f>
        <v>0</v>
      </c>
      <c r="AM329" s="20"/>
      <c r="AN329" s="20"/>
      <c r="AO329" s="20"/>
      <c r="AP329" s="20"/>
      <c r="AQ329" s="20"/>
      <c r="AR329" s="24">
        <f ca="1">IFERROR(__xludf.DUMMYFUNCTION("""COMPUTED_VALUE"""),0)</f>
        <v>0</v>
      </c>
      <c r="AS329" s="20"/>
      <c r="AT329" s="20"/>
      <c r="AU329" s="20"/>
      <c r="AV329" s="20"/>
      <c r="AW329" s="20"/>
      <c r="AX329" s="24">
        <f ca="1">IFERROR(__xludf.DUMMYFUNCTION("""COMPUTED_VALUE"""),31047.66)</f>
        <v>31047.66</v>
      </c>
      <c r="AY329" s="24">
        <f ca="1">IFERROR(__xludf.DUMMYFUNCTION("""COMPUTED_VALUE"""),0)</f>
        <v>0</v>
      </c>
      <c r="AZ329" s="24">
        <f ca="1">IFERROR(__xludf.DUMMYFUNCTION("""COMPUTED_VALUE"""),25676.53)</f>
        <v>25676.53</v>
      </c>
      <c r="BA329" s="24">
        <f ca="1">IFERROR(__xludf.DUMMYFUNCTION("""COMPUTED_VALUE"""),0)</f>
        <v>0</v>
      </c>
      <c r="BB329" s="24">
        <f ca="1">IFERROR(__xludf.DUMMYFUNCTION("""COMPUTED_VALUE"""),5371.13)</f>
        <v>5371.13</v>
      </c>
      <c r="BC329" s="24">
        <f ca="1">IFERROR(__xludf.DUMMYFUNCTION("""COMPUTED_VALUE"""),0)</f>
        <v>0</v>
      </c>
      <c r="BD329" s="24">
        <f ca="1">IFERROR(__xludf.DUMMYFUNCTION("""COMPUTED_VALUE"""),0)</f>
        <v>0</v>
      </c>
      <c r="BE329" s="24">
        <f ca="1">IFERROR(__xludf.DUMMYFUNCTION("""COMPUTED_VALUE"""),0)</f>
        <v>0</v>
      </c>
      <c r="BF329" s="24">
        <f ca="1">IFERROR(__xludf.DUMMYFUNCTION("""COMPUTED_VALUE"""),0)</f>
        <v>0</v>
      </c>
      <c r="BG329" s="24">
        <f ca="1">IFERROR(__xludf.DUMMYFUNCTION("""COMPUTED_VALUE"""),0)</f>
        <v>0</v>
      </c>
      <c r="BH329" s="24">
        <f ca="1">IFERROR(__xludf.DUMMYFUNCTION("""COMPUTED_VALUE"""),0)</f>
        <v>0</v>
      </c>
      <c r="BI329" s="20"/>
      <c r="BJ329" s="24">
        <f ca="1">IFERROR(__xludf.DUMMYFUNCTION("""COMPUTED_VALUE"""),0)</f>
        <v>0</v>
      </c>
      <c r="BK329" s="24">
        <f ca="1">IFERROR(__xludf.DUMMYFUNCTION("""COMPUTED_VALUE"""),0)</f>
        <v>0</v>
      </c>
      <c r="BL329" s="24">
        <f ca="1">IFERROR(__xludf.DUMMYFUNCTION("""COMPUTED_VALUE"""),0)</f>
        <v>0</v>
      </c>
      <c r="BM329" s="24">
        <f ca="1">IFERROR(__xludf.DUMMYFUNCTION("""COMPUTED_VALUE"""),0)</f>
        <v>0</v>
      </c>
      <c r="BN329" s="24">
        <f ca="1">IFERROR(__xludf.DUMMYFUNCTION("""COMPUTED_VALUE"""),0)</f>
        <v>0</v>
      </c>
      <c r="BO329" s="20"/>
      <c r="BP329" s="24">
        <f ca="1">IFERROR(__xludf.DUMMYFUNCTION("""COMPUTED_VALUE"""),0)</f>
        <v>0</v>
      </c>
      <c r="BQ329" s="24">
        <f ca="1">IFERROR(__xludf.DUMMYFUNCTION("""COMPUTED_VALUE"""),0)</f>
        <v>0</v>
      </c>
      <c r="BR329" s="24">
        <f ca="1">IFERROR(__xludf.DUMMYFUNCTION("""COMPUTED_VALUE"""),0)</f>
        <v>0</v>
      </c>
      <c r="BS329" s="24">
        <f ca="1">IFERROR(__xludf.DUMMYFUNCTION("""COMPUTED_VALUE"""),0)</f>
        <v>0</v>
      </c>
      <c r="BT329" s="24">
        <f ca="1">IFERROR(__xludf.DUMMYFUNCTION("""COMPUTED_VALUE"""),0)</f>
        <v>0</v>
      </c>
      <c r="BU329" s="20"/>
      <c r="BV329" s="24">
        <f ca="1">IFERROR(__xludf.DUMMYFUNCTION("""COMPUTED_VALUE"""),0)</f>
        <v>0</v>
      </c>
      <c r="BW329" s="24">
        <f ca="1">IFERROR(__xludf.DUMMYFUNCTION("""COMPUTED_VALUE"""),0)</f>
        <v>0</v>
      </c>
      <c r="BX329" s="24">
        <f ca="1">IFERROR(__xludf.DUMMYFUNCTION("""COMPUTED_VALUE"""),0)</f>
        <v>0</v>
      </c>
      <c r="BY329" s="24">
        <f ca="1">IFERROR(__xludf.DUMMYFUNCTION("""COMPUTED_VALUE"""),0)</f>
        <v>0</v>
      </c>
      <c r="BZ329" s="24">
        <f ca="1">IFERROR(__xludf.DUMMYFUNCTION("""COMPUTED_VALUE"""),0)</f>
        <v>0</v>
      </c>
      <c r="CA329" s="20"/>
      <c r="CB329" s="20"/>
      <c r="CC329" s="20"/>
      <c r="CD329" s="20"/>
      <c r="CE329" s="20"/>
      <c r="CF329" s="20"/>
      <c r="CG329" s="20"/>
      <c r="CH329" s="20"/>
      <c r="CI329" s="20"/>
      <c r="CJ329" s="20"/>
      <c r="CK329" s="20"/>
      <c r="CL329" s="20"/>
      <c r="CM329" s="20"/>
      <c r="CN329" s="20"/>
      <c r="CO329" s="20"/>
      <c r="CP329" s="20"/>
      <c r="CQ329" s="20"/>
      <c r="CR329" s="20"/>
      <c r="CS329" s="20"/>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row>
    <row r="330" spans="1:123" ht="64.5" customHeight="1" x14ac:dyDescent="0.2">
      <c r="A330" s="19"/>
      <c r="B330" s="20" t="str">
        <f ca="1">IFERROR(__xludf.DUMMYFUNCTION("""COMPUTED_VALUE"""),"г.о. Рузский")</f>
        <v>г.о. Рузский</v>
      </c>
      <c r="C33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0" s="20" t="str">
        <f ca="1">IFERROR(__xludf.DUMMYFUNCTION("""COMPUTED_VALUE"""),"МинЖКХ")</f>
        <v>МинЖКХ</v>
      </c>
      <c r="E330" s="20" t="str">
        <f ca="1">IFERROR(__xludf.DUMMYFUNCTION("""COMPUTED_VALUE"""),"Строительство БМК п. Тучково, ул. Луговая  г.о. Рузский")</f>
        <v>Строительство БМК п. Тучково, ул. Луговая  г.о. Рузский</v>
      </c>
      <c r="F330" s="32" t="str">
        <f ca="1">IFERROR(__xludf.DUMMYFUNCTION("""COMPUTED_VALUE"""),"БМК")</f>
        <v>БМК</v>
      </c>
      <c r="G330" s="20" t="str">
        <f ca="1">IFERROR(__xludf.DUMMYFUNCTION("""COMPUTED_VALUE"""),"2020-2021")</f>
        <v>2020-2021</v>
      </c>
      <c r="H330" s="20" t="str">
        <f ca="1">IFERROR(__xludf.DUMMYFUNCTION("""COMPUTED_VALUE"""),"СМР")</f>
        <v>СМР</v>
      </c>
      <c r="I330" s="20">
        <f ca="1">IFERROR(__xludf.DUMMYFUNCTION("""COMPUTED_VALUE"""),5)</f>
        <v>5</v>
      </c>
      <c r="J330" s="20" t="str">
        <f ca="1">IFERROR(__xludf.DUMMYFUNCTION("""COMPUTED_VALUE"""),"получено положительно заключение экспертизы, ИСОГД, РНС. Контракт подписан 11.11.2020.  Произведен выход техники на площадку. Заявка на оплату аванса в Минжкх поступила 02.12.2020")</f>
        <v>получено положительно заключение экспертизы, ИСОГД, РНС. Контракт подписан 11.11.2020.  Произведен выход техники на площадку. Заявка на оплату аванса в Минжкх поступила 02.12.2020</v>
      </c>
      <c r="K330" s="20">
        <f ca="1">IFERROR(__xludf.DUMMYFUNCTION("""COMPUTED_VALUE"""),631)</f>
        <v>631</v>
      </c>
      <c r="L330" s="20">
        <f ca="1">IFERROR(__xludf.DUMMYFUNCTION("""COMPUTED_VALUE"""),631)</f>
        <v>631</v>
      </c>
      <c r="M330" s="20"/>
      <c r="N330" s="24">
        <f ca="1">IFERROR(__xludf.DUMMYFUNCTION("""COMPUTED_VALUE"""),13152.63)</f>
        <v>13152.63</v>
      </c>
      <c r="O330" s="20"/>
      <c r="P330" s="24">
        <f ca="1">IFERROR(__xludf.DUMMYFUNCTION("""COMPUTED_VALUE"""),13152.63)</f>
        <v>13152.63</v>
      </c>
      <c r="Q330" s="20"/>
      <c r="R330" s="20"/>
      <c r="S330" s="20"/>
      <c r="T330" s="20" t="str">
        <f ca="1">IFERROR(__xludf.DUMMYFUNCTION("""COMPUTED_VALUE"""),"Оплата после заключение контракта. Оплата аванса 30 %. ")</f>
        <v xml:space="preserve">Оплата после заключение контракта. Оплата аванса 30 %. </v>
      </c>
      <c r="U330" s="24">
        <f ca="1">IFERROR(__xludf.DUMMYFUNCTION("""COMPUTED_VALUE"""),2963.82)</f>
        <v>2963.82</v>
      </c>
      <c r="V330" s="24">
        <f ca="1">IFERROR(__xludf.DUMMYFUNCTION("""COMPUTED_VALUE"""),0)</f>
        <v>0</v>
      </c>
      <c r="W330" s="24">
        <f ca="1">IFERROR(__xludf.DUMMYFUNCTION("""COMPUTED_VALUE"""),128.12)</f>
        <v>128.12</v>
      </c>
      <c r="X330" s="24">
        <f ca="1">IFERROR(__xludf.DUMMYFUNCTION("""COMPUTED_VALUE"""),0)</f>
        <v>0</v>
      </c>
      <c r="Y330" s="24">
        <f ca="1">IFERROR(__xludf.DUMMYFUNCTION("""COMPUTED_VALUE"""),2835.7)</f>
        <v>2835.7</v>
      </c>
      <c r="Z330" s="24">
        <f ca="1">IFERROR(__xludf.DUMMYFUNCTION("""COMPUTED_VALUE"""),0)</f>
        <v>0</v>
      </c>
      <c r="AA330" s="20" t="str">
        <f ca="1">IFERROR(__xludf.DUMMYFUNCTION("""COMPUTED_VALUE"""),"10 3 02 64080")</f>
        <v>10 3 02 64080</v>
      </c>
      <c r="AB330" s="20">
        <f ca="1">IFERROR(__xludf.DUMMYFUNCTION("""COMPUTED_VALUE"""),522)</f>
        <v>522</v>
      </c>
      <c r="AC330" s="20" t="str">
        <f ca="1">IFERROR(__xludf.DUMMYFUNCTION("""COMPUTED_VALUE"""),"да")</f>
        <v>да</v>
      </c>
      <c r="AD330" s="20"/>
      <c r="AE330" s="20" t="str">
        <f ca="1">IFERROR(__xludf.DUMMYFUNCTION("""COMPUTED_VALUE"""),"RU50-19-16676-2020 от 05.10.2020")</f>
        <v>RU50-19-16676-2020 от 05.10.2020</v>
      </c>
      <c r="AF330" s="24">
        <f ca="1">IFERROR(__xludf.DUMMYFUNCTION("""COMPUTED_VALUE"""),32232.9)</f>
        <v>32232.9</v>
      </c>
      <c r="AG330" s="24">
        <f ca="1">IFERROR(__xludf.DUMMYFUNCTION("""COMPUTED_VALUE"""),0)</f>
        <v>0</v>
      </c>
      <c r="AH330" s="24">
        <f ca="1">IFERROR(__xludf.DUMMYFUNCTION("""COMPUTED_VALUE"""),26561.5)</f>
        <v>26561.5</v>
      </c>
      <c r="AI330" s="24">
        <f ca="1">IFERROR(__xludf.DUMMYFUNCTION("""COMPUTED_VALUE"""),0)</f>
        <v>0</v>
      </c>
      <c r="AJ330" s="24">
        <f ca="1">IFERROR(__xludf.DUMMYFUNCTION("""COMPUTED_VALUE"""),5671.4)</f>
        <v>5671.4</v>
      </c>
      <c r="AK330" s="24">
        <f ca="1">IFERROR(__xludf.DUMMYFUNCTION("""COMPUTED_VALUE"""),0)</f>
        <v>0</v>
      </c>
      <c r="AL330" s="24">
        <f ca="1">IFERROR(__xludf.DUMMYFUNCTION("""COMPUTED_VALUE"""),0)</f>
        <v>0</v>
      </c>
      <c r="AM330" s="20"/>
      <c r="AN330" s="20"/>
      <c r="AO330" s="20"/>
      <c r="AP330" s="20"/>
      <c r="AQ330" s="20"/>
      <c r="AR330" s="24">
        <f ca="1">IFERROR(__xludf.DUMMYFUNCTION("""COMPUTED_VALUE"""),0)</f>
        <v>0</v>
      </c>
      <c r="AS330" s="20"/>
      <c r="AT330" s="20"/>
      <c r="AU330" s="20"/>
      <c r="AV330" s="20"/>
      <c r="AW330" s="20"/>
      <c r="AX330" s="24">
        <f ca="1">IFERROR(__xludf.DUMMYFUNCTION("""COMPUTED_VALUE"""),16116.45)</f>
        <v>16116.45</v>
      </c>
      <c r="AY330" s="24">
        <f ca="1">IFERROR(__xludf.DUMMYFUNCTION("""COMPUTED_VALUE"""),0)</f>
        <v>0</v>
      </c>
      <c r="AZ330" s="24">
        <f ca="1">IFERROR(__xludf.DUMMYFUNCTION("""COMPUTED_VALUE"""),13280.75)</f>
        <v>13280.75</v>
      </c>
      <c r="BA330" s="24">
        <f ca="1">IFERROR(__xludf.DUMMYFUNCTION("""COMPUTED_VALUE"""),0)</f>
        <v>0</v>
      </c>
      <c r="BB330" s="24">
        <f ca="1">IFERROR(__xludf.DUMMYFUNCTION("""COMPUTED_VALUE"""),2835.7)</f>
        <v>2835.7</v>
      </c>
      <c r="BC330" s="24">
        <f ca="1">IFERROR(__xludf.DUMMYFUNCTION("""COMPUTED_VALUE"""),0)</f>
        <v>0</v>
      </c>
      <c r="BD330" s="24">
        <f ca="1">IFERROR(__xludf.DUMMYFUNCTION("""COMPUTED_VALUE"""),16116.45)</f>
        <v>16116.45</v>
      </c>
      <c r="BE330" s="24">
        <f ca="1">IFERROR(__xludf.DUMMYFUNCTION("""COMPUTED_VALUE"""),0)</f>
        <v>0</v>
      </c>
      <c r="BF330" s="24">
        <f ca="1">IFERROR(__xludf.DUMMYFUNCTION("""COMPUTED_VALUE"""),13280.75)</f>
        <v>13280.75</v>
      </c>
      <c r="BG330" s="24">
        <f ca="1">IFERROR(__xludf.DUMMYFUNCTION("""COMPUTED_VALUE"""),0)</f>
        <v>0</v>
      </c>
      <c r="BH330" s="24">
        <f ca="1">IFERROR(__xludf.DUMMYFUNCTION("""COMPUTED_VALUE"""),2835.7)</f>
        <v>2835.7</v>
      </c>
      <c r="BI330" s="20"/>
      <c r="BJ330" s="24">
        <f ca="1">IFERROR(__xludf.DUMMYFUNCTION("""COMPUTED_VALUE"""),0)</f>
        <v>0</v>
      </c>
      <c r="BK330" s="24">
        <f ca="1">IFERROR(__xludf.DUMMYFUNCTION("""COMPUTED_VALUE"""),0)</f>
        <v>0</v>
      </c>
      <c r="BL330" s="24">
        <f ca="1">IFERROR(__xludf.DUMMYFUNCTION("""COMPUTED_VALUE"""),0)</f>
        <v>0</v>
      </c>
      <c r="BM330" s="24">
        <f ca="1">IFERROR(__xludf.DUMMYFUNCTION("""COMPUTED_VALUE"""),0)</f>
        <v>0</v>
      </c>
      <c r="BN330" s="24">
        <f ca="1">IFERROR(__xludf.DUMMYFUNCTION("""COMPUTED_VALUE"""),0)</f>
        <v>0</v>
      </c>
      <c r="BO330" s="20"/>
      <c r="BP330" s="24">
        <f ca="1">IFERROR(__xludf.DUMMYFUNCTION("""COMPUTED_VALUE"""),0)</f>
        <v>0</v>
      </c>
      <c r="BQ330" s="24">
        <f ca="1">IFERROR(__xludf.DUMMYFUNCTION("""COMPUTED_VALUE"""),0)</f>
        <v>0</v>
      </c>
      <c r="BR330" s="24">
        <f ca="1">IFERROR(__xludf.DUMMYFUNCTION("""COMPUTED_VALUE"""),0)</f>
        <v>0</v>
      </c>
      <c r="BS330" s="24">
        <f ca="1">IFERROR(__xludf.DUMMYFUNCTION("""COMPUTED_VALUE"""),0)</f>
        <v>0</v>
      </c>
      <c r="BT330" s="24">
        <f ca="1">IFERROR(__xludf.DUMMYFUNCTION("""COMPUTED_VALUE"""),0)</f>
        <v>0</v>
      </c>
      <c r="BU330" s="20"/>
      <c r="BV330" s="24">
        <f ca="1">IFERROR(__xludf.DUMMYFUNCTION("""COMPUTED_VALUE"""),0)</f>
        <v>0</v>
      </c>
      <c r="BW330" s="24">
        <f ca="1">IFERROR(__xludf.DUMMYFUNCTION("""COMPUTED_VALUE"""),0)</f>
        <v>0</v>
      </c>
      <c r="BX330" s="24">
        <f ca="1">IFERROR(__xludf.DUMMYFUNCTION("""COMPUTED_VALUE"""),0)</f>
        <v>0</v>
      </c>
      <c r="BY330" s="24">
        <f ca="1">IFERROR(__xludf.DUMMYFUNCTION("""COMPUTED_VALUE"""),0)</f>
        <v>0</v>
      </c>
      <c r="BZ330" s="24">
        <f ca="1">IFERROR(__xludf.DUMMYFUNCTION("""COMPUTED_VALUE"""),0)</f>
        <v>0</v>
      </c>
      <c r="CA330" s="20"/>
      <c r="CB330" s="20"/>
      <c r="CC330" s="20"/>
      <c r="CD330" s="20"/>
      <c r="CE330" s="20"/>
      <c r="CF330" s="20"/>
      <c r="CG330" s="20"/>
      <c r="CH330" s="20"/>
      <c r="CI330" s="20"/>
      <c r="CJ330" s="20" t="str">
        <f ca="1">IFERROR(__xludf.DUMMYFUNCTION("""COMPUTED_VALUE"""),"ПД: Черновик ЭЗ подготовлено без сметной документации.
СД: повт.замечания от 04.06.2020г. (НЦС откорректированный не представлен), корректируют в рабочем порядке.")</f>
        <v>ПД: Черновик ЭЗ подготовлено без сметной документации.
СД: повт.замечания от 04.06.2020г. (НЦС откорректированный не представлен), корректируют в рабочем порядке.</v>
      </c>
      <c r="CK330" s="20"/>
      <c r="CL330" s="20"/>
      <c r="CM330" s="20"/>
      <c r="CN330" s="20"/>
      <c r="CO330" s="20"/>
      <c r="CP330" s="20"/>
      <c r="CQ330" s="20"/>
      <c r="CR330" s="20"/>
      <c r="CS330" s="20"/>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row>
    <row r="331" spans="1:123" ht="64.5" customHeight="1" x14ac:dyDescent="0.2">
      <c r="A331" s="19"/>
      <c r="B331" s="20" t="str">
        <f ca="1">IFERROR(__xludf.DUMMYFUNCTION("""COMPUTED_VALUE"""),"г.о. Рузский")</f>
        <v>г.о. Рузский</v>
      </c>
      <c r="C33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1" s="20" t="str">
        <f ca="1">IFERROR(__xludf.DUMMYFUNCTION("""COMPUTED_VALUE"""),"МинЖКХ")</f>
        <v>МинЖКХ</v>
      </c>
      <c r="E331" s="20" t="str">
        <f ca="1">IFERROR(__xludf.DUMMYFUNCTION("""COMPUTED_VALUE"""),"Строительство БМК с. Богородское, д.30  г.о. Рузский")</f>
        <v>Строительство БМК с. Богородское, д.30  г.о. Рузский</v>
      </c>
      <c r="F331" s="32" t="str">
        <f ca="1">IFERROR(__xludf.DUMMYFUNCTION("""COMPUTED_VALUE"""),"БМК")</f>
        <v>БМК</v>
      </c>
      <c r="G331" s="20">
        <f ca="1">IFERROR(__xludf.DUMMYFUNCTION("""COMPUTED_VALUE"""),2020)</f>
        <v>2020</v>
      </c>
      <c r="H331" s="20" t="str">
        <f ca="1">IFERROR(__xludf.DUMMYFUNCTION("""COMPUTED_VALUE"""),"СМР")</f>
        <v>СМР</v>
      </c>
      <c r="I331" s="20">
        <f ca="1">IFERROR(__xludf.DUMMYFUNCTION("""COMPUTED_VALUE"""),95)</f>
        <v>95</v>
      </c>
      <c r="J331" s="20" t="str">
        <f ca="1">IFERROR(__xludf.DUMMYFUNCTION("""COMPUTED_VALUE"""),"произведен монтаж датчиков преобразователя давления
Опрессовка оборудования
Межрегионгаз опломбировали счетчики. 
Строительный мусор вывезен не в полном объеме
Остались работы: 
- благоустройство (договор с АО «Жилсервис». Работы ведутся),
- папки для "&amp;"сдачи в Ростехнадзор (собраны. на согласование в МОГ 02.12.2020),
- пуско-наладочные работы (запланированы на отопительный период 2020-2021) 
- сети связи (подписание 02.12.2020 с Эдельвейс)
")</f>
        <v xml:space="preserve">произведен монтаж датчиков преобразователя давления
Опрессовка оборудования
Межрегионгаз опломбировали счетчики. 
Строительный мусор вывезен не в полном объеме
Остались работы: 
- благоустройство (договор с АО «Жилсервис». Работы ведутся),
- папки для сдачи в Ростехнадзор (собраны. на согласование в МОГ 02.12.2020),
- пуско-наладочные работы (запланированы на отопительный период 2020-2021) 
- сети связи (подписание 02.12.2020 с Эдельвейс)
</v>
      </c>
      <c r="K331" s="20">
        <f ca="1">IFERROR(__xludf.DUMMYFUNCTION("""COMPUTED_VALUE"""),61)</f>
        <v>61</v>
      </c>
      <c r="L331" s="20">
        <f ca="1">IFERROR(__xludf.DUMMYFUNCTION("""COMPUTED_VALUE"""),61)</f>
        <v>61</v>
      </c>
      <c r="M331" s="20"/>
      <c r="N331" s="24">
        <f ca="1">IFERROR(__xludf.DUMMYFUNCTION("""COMPUTED_VALUE"""),8144.71)</f>
        <v>8144.71</v>
      </c>
      <c r="O331" s="20"/>
      <c r="P331" s="24">
        <f ca="1">IFERROR(__xludf.DUMMYFUNCTION("""COMPUTED_VALUE"""),8144.71)</f>
        <v>8144.71</v>
      </c>
      <c r="Q331" s="20"/>
      <c r="R331" s="20"/>
      <c r="S331" s="20"/>
      <c r="T331" s="20" t="str">
        <f ca="1">IFERROR(__xludf.DUMMYFUNCTION("""COMPUTED_VALUE"""),"Оплата после завершение контракта ")</f>
        <v xml:space="preserve">Оплата после завершение контракта </v>
      </c>
      <c r="U331" s="24">
        <f ca="1">IFERROR(__xludf.DUMMYFUNCTION("""COMPUTED_VALUE"""),2474.87)</f>
        <v>2474.87</v>
      </c>
      <c r="V331" s="24">
        <f ca="1">IFERROR(__xludf.DUMMYFUNCTION("""COMPUTED_VALUE"""),0)</f>
        <v>0</v>
      </c>
      <c r="W331" s="24">
        <f ca="1">IFERROR(__xludf.DUMMYFUNCTION("""COMPUTED_VALUE"""),638.08)</f>
        <v>638.08000000000004</v>
      </c>
      <c r="X331" s="24">
        <f ca="1">IFERROR(__xludf.DUMMYFUNCTION("""COMPUTED_VALUE"""),0)</f>
        <v>0</v>
      </c>
      <c r="Y331" s="24">
        <f ca="1">IFERROR(__xludf.DUMMYFUNCTION("""COMPUTED_VALUE"""),1836.79)</f>
        <v>1836.79</v>
      </c>
      <c r="Z331" s="24">
        <f ca="1">IFERROR(__xludf.DUMMYFUNCTION("""COMPUTED_VALUE"""),0)</f>
        <v>0</v>
      </c>
      <c r="AA331" s="20" t="str">
        <f ca="1">IFERROR(__xludf.DUMMYFUNCTION("""COMPUTED_VALUE"""),"10 3 02 64080")</f>
        <v>10 3 02 64080</v>
      </c>
      <c r="AB331" s="20">
        <f ca="1">IFERROR(__xludf.DUMMYFUNCTION("""COMPUTED_VALUE"""),522)</f>
        <v>522</v>
      </c>
      <c r="AC331" s="20" t="str">
        <f ca="1">IFERROR(__xludf.DUMMYFUNCTION("""COMPUTED_VALUE"""),"да")</f>
        <v>да</v>
      </c>
      <c r="AD331" s="20"/>
      <c r="AE331" s="20" t="str">
        <f ca="1">IFERROR(__xludf.DUMMYFUNCTION("""COMPUTED_VALUE"""),"RU50-19-15784-2020 от 06.05.2020")</f>
        <v>RU50-19-15784-2020 от 06.05.2020</v>
      </c>
      <c r="AF331" s="24">
        <f ca="1">IFERROR(__xludf.DUMMYFUNCTION("""COMPUTED_VALUE"""),10619.58)</f>
        <v>10619.58</v>
      </c>
      <c r="AG331" s="24">
        <f ca="1">IFERROR(__xludf.DUMMYFUNCTION("""COMPUTED_VALUE"""),0)</f>
        <v>0</v>
      </c>
      <c r="AH331" s="24">
        <f ca="1">IFERROR(__xludf.DUMMYFUNCTION("""COMPUTED_VALUE"""),8782.79)</f>
        <v>8782.7900000000009</v>
      </c>
      <c r="AI331" s="24">
        <f ca="1">IFERROR(__xludf.DUMMYFUNCTION("""COMPUTED_VALUE"""),0)</f>
        <v>0</v>
      </c>
      <c r="AJ331" s="24">
        <f ca="1">IFERROR(__xludf.DUMMYFUNCTION("""COMPUTED_VALUE"""),1836.79)</f>
        <v>1836.79</v>
      </c>
      <c r="AK331" s="24">
        <f ca="1">IFERROR(__xludf.DUMMYFUNCTION("""COMPUTED_VALUE"""),0)</f>
        <v>0</v>
      </c>
      <c r="AL331" s="24">
        <f ca="1">IFERROR(__xludf.DUMMYFUNCTION("""COMPUTED_VALUE"""),0)</f>
        <v>0</v>
      </c>
      <c r="AM331" s="20"/>
      <c r="AN331" s="20"/>
      <c r="AO331" s="20"/>
      <c r="AP331" s="20"/>
      <c r="AQ331" s="20"/>
      <c r="AR331" s="24">
        <f ca="1">IFERROR(__xludf.DUMMYFUNCTION("""COMPUTED_VALUE"""),0)</f>
        <v>0</v>
      </c>
      <c r="AS331" s="20"/>
      <c r="AT331" s="20"/>
      <c r="AU331" s="20"/>
      <c r="AV331" s="20"/>
      <c r="AW331" s="20"/>
      <c r="AX331" s="24">
        <f ca="1">IFERROR(__xludf.DUMMYFUNCTION("""COMPUTED_VALUE"""),10619.58)</f>
        <v>10619.58</v>
      </c>
      <c r="AY331" s="24">
        <f ca="1">IFERROR(__xludf.DUMMYFUNCTION("""COMPUTED_VALUE"""),0)</f>
        <v>0</v>
      </c>
      <c r="AZ331" s="24">
        <f ca="1">IFERROR(__xludf.DUMMYFUNCTION("""COMPUTED_VALUE"""),8782.79)</f>
        <v>8782.7900000000009</v>
      </c>
      <c r="BA331" s="24">
        <f ca="1">IFERROR(__xludf.DUMMYFUNCTION("""COMPUTED_VALUE"""),0)</f>
        <v>0</v>
      </c>
      <c r="BB331" s="24">
        <f ca="1">IFERROR(__xludf.DUMMYFUNCTION("""COMPUTED_VALUE"""),1836.79)</f>
        <v>1836.79</v>
      </c>
      <c r="BC331" s="20"/>
      <c r="BD331" s="24">
        <f ca="1">IFERROR(__xludf.DUMMYFUNCTION("""COMPUTED_VALUE"""),0)</f>
        <v>0</v>
      </c>
      <c r="BE331" s="24">
        <f ca="1">IFERROR(__xludf.DUMMYFUNCTION("""COMPUTED_VALUE"""),0)</f>
        <v>0</v>
      </c>
      <c r="BF331" s="24">
        <f ca="1">IFERROR(__xludf.DUMMYFUNCTION("""COMPUTED_VALUE"""),0)</f>
        <v>0</v>
      </c>
      <c r="BG331" s="24">
        <f ca="1">IFERROR(__xludf.DUMMYFUNCTION("""COMPUTED_VALUE"""),0)</f>
        <v>0</v>
      </c>
      <c r="BH331" s="24">
        <f ca="1">IFERROR(__xludf.DUMMYFUNCTION("""COMPUTED_VALUE"""),0)</f>
        <v>0</v>
      </c>
      <c r="BI331" s="20"/>
      <c r="BJ331" s="24">
        <f ca="1">IFERROR(__xludf.DUMMYFUNCTION("""COMPUTED_VALUE"""),0)</f>
        <v>0</v>
      </c>
      <c r="BK331" s="24">
        <f ca="1">IFERROR(__xludf.DUMMYFUNCTION("""COMPUTED_VALUE"""),0)</f>
        <v>0</v>
      </c>
      <c r="BL331" s="24">
        <f ca="1">IFERROR(__xludf.DUMMYFUNCTION("""COMPUTED_VALUE"""),0)</f>
        <v>0</v>
      </c>
      <c r="BM331" s="24">
        <f ca="1">IFERROR(__xludf.DUMMYFUNCTION("""COMPUTED_VALUE"""),0)</f>
        <v>0</v>
      </c>
      <c r="BN331" s="24">
        <f ca="1">IFERROR(__xludf.DUMMYFUNCTION("""COMPUTED_VALUE"""),0)</f>
        <v>0</v>
      </c>
      <c r="BO331" s="20"/>
      <c r="BP331" s="24">
        <f ca="1">IFERROR(__xludf.DUMMYFUNCTION("""COMPUTED_VALUE"""),0)</f>
        <v>0</v>
      </c>
      <c r="BQ331" s="24">
        <f ca="1">IFERROR(__xludf.DUMMYFUNCTION("""COMPUTED_VALUE"""),0)</f>
        <v>0</v>
      </c>
      <c r="BR331" s="24">
        <f ca="1">IFERROR(__xludf.DUMMYFUNCTION("""COMPUTED_VALUE"""),0)</f>
        <v>0</v>
      </c>
      <c r="BS331" s="24">
        <f ca="1">IFERROR(__xludf.DUMMYFUNCTION("""COMPUTED_VALUE"""),0)</f>
        <v>0</v>
      </c>
      <c r="BT331" s="24">
        <f ca="1">IFERROR(__xludf.DUMMYFUNCTION("""COMPUTED_VALUE"""),0)</f>
        <v>0</v>
      </c>
      <c r="BU331" s="20"/>
      <c r="BV331" s="24">
        <f ca="1">IFERROR(__xludf.DUMMYFUNCTION("""COMPUTED_VALUE"""),0)</f>
        <v>0</v>
      </c>
      <c r="BW331" s="24">
        <f ca="1">IFERROR(__xludf.DUMMYFUNCTION("""COMPUTED_VALUE"""),0)</f>
        <v>0</v>
      </c>
      <c r="BX331" s="24">
        <f ca="1">IFERROR(__xludf.DUMMYFUNCTION("""COMPUTED_VALUE"""),0)</f>
        <v>0</v>
      </c>
      <c r="BY331" s="24">
        <f ca="1">IFERROR(__xludf.DUMMYFUNCTION("""COMPUTED_VALUE"""),0)</f>
        <v>0</v>
      </c>
      <c r="BZ331" s="24">
        <f ca="1">IFERROR(__xludf.DUMMYFUNCTION("""COMPUTED_VALUE"""),0)</f>
        <v>0</v>
      </c>
      <c r="CA331" s="20"/>
      <c r="CB331" s="20"/>
      <c r="CC331" s="20"/>
      <c r="CD331" s="20"/>
      <c r="CE331" s="20"/>
      <c r="CF331" s="20"/>
      <c r="CG331" s="20"/>
      <c r="CH331" s="20"/>
      <c r="CI331" s="20"/>
      <c r="CJ331" s="20"/>
      <c r="CK331" s="20"/>
      <c r="CL331" s="20"/>
      <c r="CM331" s="20"/>
      <c r="CN331" s="20"/>
      <c r="CO331" s="20"/>
      <c r="CP331" s="20"/>
      <c r="CQ331" s="20"/>
      <c r="CR331" s="20"/>
      <c r="CS331" s="20"/>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row>
    <row r="332" spans="1:123" ht="64.5" customHeight="1" x14ac:dyDescent="0.2">
      <c r="A332" s="19"/>
      <c r="B332" s="20" t="str">
        <f ca="1">IFERROR(__xludf.DUMMYFUNCTION("""COMPUTED_VALUE"""),"г.о. Рузский")</f>
        <v>г.о. Рузский</v>
      </c>
      <c r="C33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2" s="20" t="str">
        <f ca="1">IFERROR(__xludf.DUMMYFUNCTION("""COMPUTED_VALUE"""),"МинЖКХ ""ТОП 5 (2 этап)""")</f>
        <v>МинЖКХ "ТОП 5 (2 этап)"</v>
      </c>
      <c r="E332" s="20" t="str">
        <f ca="1">IFERROR(__xludf.DUMMYFUNCTION("""COMPUTED_VALUE"""),"Строительство котельной по адресу: Рузский г.о., п.Тучково, ул. Лебеденко д.36")</f>
        <v>Строительство котельной по адресу: Рузский г.о., п.Тучково, ул. Лебеденко д.36</v>
      </c>
      <c r="F332" s="32" t="str">
        <f ca="1">IFERROR(__xludf.DUMMYFUNCTION("""COMPUTED_VALUE"""),"Котельная")</f>
        <v>Котельная</v>
      </c>
      <c r="G332" s="20" t="str">
        <f ca="1">IFERROR(__xludf.DUMMYFUNCTION("""COMPUTED_VALUE"""),"2020-2021")</f>
        <v>2020-2021</v>
      </c>
      <c r="H332" s="20" t="str">
        <f ca="1">IFERROR(__xludf.DUMMYFUNCTION("""COMPUTED_VALUE"""),"СМР")</f>
        <v>СМР</v>
      </c>
      <c r="I332" s="20"/>
      <c r="J332" s="20" t="str">
        <f ca="1">IFERROR(__xludf.DUMMYFUNCTION("""COMPUTED_VALUE"""),"Администрация будет писать письмо на перенос на 2021 год.
")</f>
        <v xml:space="preserve">Администрация будет писать письмо на перенос на 2021 год.
</v>
      </c>
      <c r="K332" s="20">
        <f ca="1">IFERROR(__xludf.DUMMYFUNCTION("""COMPUTED_VALUE"""),0)</f>
        <v>0</v>
      </c>
      <c r="L332" s="20">
        <f ca="1">IFERROR(__xludf.DUMMYFUNCTION("""COMPUTED_VALUE"""),1500)</f>
        <v>1500</v>
      </c>
      <c r="M332" s="20"/>
      <c r="N332" s="24">
        <f ca="1">IFERROR(__xludf.DUMMYFUNCTION("""COMPUTED_VALUE"""),0)</f>
        <v>0</v>
      </c>
      <c r="O332" s="20"/>
      <c r="P332" s="24">
        <f ca="1">IFERROR(__xludf.DUMMYFUNCTION("""COMPUTED_VALUE"""),0)</f>
        <v>0</v>
      </c>
      <c r="Q332" s="20"/>
      <c r="R332" s="20"/>
      <c r="S332" s="20"/>
      <c r="T332" s="20"/>
      <c r="U332" s="24">
        <f ca="1">IFERROR(__xludf.DUMMYFUNCTION("""COMPUTED_VALUE"""),29696.16)</f>
        <v>29696.16</v>
      </c>
      <c r="V332" s="24">
        <f ca="1">IFERROR(__xludf.DUMMYFUNCTION("""COMPUTED_VALUE"""),0)</f>
        <v>0</v>
      </c>
      <c r="W332" s="24">
        <f ca="1">IFERROR(__xludf.DUMMYFUNCTION("""COMPUTED_VALUE"""),24558.72)</f>
        <v>24558.720000000001</v>
      </c>
      <c r="X332" s="24">
        <f ca="1">IFERROR(__xludf.DUMMYFUNCTION("""COMPUTED_VALUE"""),0)</f>
        <v>0</v>
      </c>
      <c r="Y332" s="24">
        <f ca="1">IFERROR(__xludf.DUMMYFUNCTION("""COMPUTED_VALUE"""),5137.44)</f>
        <v>5137.4399999999996</v>
      </c>
      <c r="Z332" s="24">
        <f ca="1">IFERROR(__xludf.DUMMYFUNCTION("""COMPUTED_VALUE"""),0)</f>
        <v>0</v>
      </c>
      <c r="AA332" s="20" t="str">
        <f ca="1">IFERROR(__xludf.DUMMYFUNCTION("""COMPUTED_VALUE"""),"10 3 02 64080")</f>
        <v>10 3 02 64080</v>
      </c>
      <c r="AB332" s="20">
        <f ca="1">IFERROR(__xludf.DUMMYFUNCTION("""COMPUTED_VALUE"""),522)</f>
        <v>522</v>
      </c>
      <c r="AC332" s="20" t="str">
        <f ca="1">IFERROR(__xludf.DUMMYFUNCTION("""COMPUTED_VALUE"""),"да")</f>
        <v>да</v>
      </c>
      <c r="AD332" s="20"/>
      <c r="AE332" s="20"/>
      <c r="AF332" s="24">
        <f ca="1">IFERROR(__xludf.DUMMYFUNCTION("""COMPUTED_VALUE"""),100714.4)</f>
        <v>100714.4</v>
      </c>
      <c r="AG332" s="24">
        <f ca="1">IFERROR(__xludf.DUMMYFUNCTION("""COMPUTED_VALUE"""),0)</f>
        <v>0</v>
      </c>
      <c r="AH332" s="24">
        <f ca="1">IFERROR(__xludf.DUMMYFUNCTION("""COMPUTED_VALUE"""),75194.72)</f>
        <v>75194.720000000001</v>
      </c>
      <c r="AI332" s="24">
        <f ca="1">IFERROR(__xludf.DUMMYFUNCTION("""COMPUTED_VALUE"""),0)</f>
        <v>0</v>
      </c>
      <c r="AJ332" s="24">
        <f ca="1">IFERROR(__xludf.DUMMYFUNCTION("""COMPUTED_VALUE"""),25519.68)</f>
        <v>25519.68</v>
      </c>
      <c r="AK332" s="24">
        <f ca="1">IFERROR(__xludf.DUMMYFUNCTION("""COMPUTED_VALUE"""),0)</f>
        <v>0</v>
      </c>
      <c r="AL332" s="24">
        <f ca="1">IFERROR(__xludf.DUMMYFUNCTION("""COMPUTED_VALUE"""),0)</f>
        <v>0</v>
      </c>
      <c r="AM332" s="20"/>
      <c r="AN332" s="20"/>
      <c r="AO332" s="20"/>
      <c r="AP332" s="20"/>
      <c r="AQ332" s="20"/>
      <c r="AR332" s="24">
        <f ca="1">IFERROR(__xludf.DUMMYFUNCTION("""COMPUTED_VALUE"""),0)</f>
        <v>0</v>
      </c>
      <c r="AS332" s="20"/>
      <c r="AT332" s="20"/>
      <c r="AU332" s="20"/>
      <c r="AV332" s="20"/>
      <c r="AW332" s="20"/>
      <c r="AX332" s="24">
        <f ca="1">IFERROR(__xludf.DUMMYFUNCTION("""COMPUTED_VALUE"""),29696.16)</f>
        <v>29696.16</v>
      </c>
      <c r="AY332" s="24">
        <f ca="1">IFERROR(__xludf.DUMMYFUNCTION("""COMPUTED_VALUE"""),0)</f>
        <v>0</v>
      </c>
      <c r="AZ332" s="24">
        <f ca="1">IFERROR(__xludf.DUMMYFUNCTION("""COMPUTED_VALUE"""),24558.72)</f>
        <v>24558.720000000001</v>
      </c>
      <c r="BA332" s="24">
        <f ca="1">IFERROR(__xludf.DUMMYFUNCTION("""COMPUTED_VALUE"""),0)</f>
        <v>0</v>
      </c>
      <c r="BB332" s="24">
        <f ca="1">IFERROR(__xludf.DUMMYFUNCTION("""COMPUTED_VALUE"""),5137.44)</f>
        <v>5137.4399999999996</v>
      </c>
      <c r="BC332" s="20"/>
      <c r="BD332" s="24">
        <f ca="1">IFERROR(__xludf.DUMMYFUNCTION("""COMPUTED_VALUE"""),71018.24)</f>
        <v>71018.240000000005</v>
      </c>
      <c r="BE332" s="24">
        <f ca="1">IFERROR(__xludf.DUMMYFUNCTION("""COMPUTED_VALUE"""),0)</f>
        <v>0</v>
      </c>
      <c r="BF332" s="24">
        <f ca="1">IFERROR(__xludf.DUMMYFUNCTION("""COMPUTED_VALUE"""),50636)</f>
        <v>50636</v>
      </c>
      <c r="BG332" s="24">
        <f ca="1">IFERROR(__xludf.DUMMYFUNCTION("""COMPUTED_VALUE"""),0)</f>
        <v>0</v>
      </c>
      <c r="BH332" s="24">
        <f ca="1">IFERROR(__xludf.DUMMYFUNCTION("""COMPUTED_VALUE"""),20382.24)</f>
        <v>20382.240000000002</v>
      </c>
      <c r="BI332" s="20"/>
      <c r="BJ332" s="24">
        <f ca="1">IFERROR(__xludf.DUMMYFUNCTION("""COMPUTED_VALUE"""),0)</f>
        <v>0</v>
      </c>
      <c r="BK332" s="24">
        <f ca="1">IFERROR(__xludf.DUMMYFUNCTION("""COMPUTED_VALUE"""),0)</f>
        <v>0</v>
      </c>
      <c r="BL332" s="24">
        <f ca="1">IFERROR(__xludf.DUMMYFUNCTION("""COMPUTED_VALUE"""),0)</f>
        <v>0</v>
      </c>
      <c r="BM332" s="24">
        <f ca="1">IFERROR(__xludf.DUMMYFUNCTION("""COMPUTED_VALUE"""),0)</f>
        <v>0</v>
      </c>
      <c r="BN332" s="24">
        <f ca="1">IFERROR(__xludf.DUMMYFUNCTION("""COMPUTED_VALUE"""),0)</f>
        <v>0</v>
      </c>
      <c r="BO332" s="20"/>
      <c r="BP332" s="24">
        <f ca="1">IFERROR(__xludf.DUMMYFUNCTION("""COMPUTED_VALUE"""),0)</f>
        <v>0</v>
      </c>
      <c r="BQ332" s="24">
        <f ca="1">IFERROR(__xludf.DUMMYFUNCTION("""COMPUTED_VALUE"""),0)</f>
        <v>0</v>
      </c>
      <c r="BR332" s="24">
        <f ca="1">IFERROR(__xludf.DUMMYFUNCTION("""COMPUTED_VALUE"""),0)</f>
        <v>0</v>
      </c>
      <c r="BS332" s="24">
        <f ca="1">IFERROR(__xludf.DUMMYFUNCTION("""COMPUTED_VALUE"""),0)</f>
        <v>0</v>
      </c>
      <c r="BT332" s="24">
        <f ca="1">IFERROR(__xludf.DUMMYFUNCTION("""COMPUTED_VALUE"""),0)</f>
        <v>0</v>
      </c>
      <c r="BU332" s="20"/>
      <c r="BV332" s="24">
        <f ca="1">IFERROR(__xludf.DUMMYFUNCTION("""COMPUTED_VALUE"""),0)</f>
        <v>0</v>
      </c>
      <c r="BW332" s="24">
        <f ca="1">IFERROR(__xludf.DUMMYFUNCTION("""COMPUTED_VALUE"""),0)</f>
        <v>0</v>
      </c>
      <c r="BX332" s="24">
        <f ca="1">IFERROR(__xludf.DUMMYFUNCTION("""COMPUTED_VALUE"""),0)</f>
        <v>0</v>
      </c>
      <c r="BY332" s="24">
        <f ca="1">IFERROR(__xludf.DUMMYFUNCTION("""COMPUTED_VALUE"""),0)</f>
        <v>0</v>
      </c>
      <c r="BZ332" s="24">
        <f ca="1">IFERROR(__xludf.DUMMYFUNCTION("""COMPUTED_VALUE"""),0)</f>
        <v>0</v>
      </c>
      <c r="CA332" s="20"/>
      <c r="CB332" s="20"/>
      <c r="CC332" s="20"/>
      <c r="CD332" s="20"/>
      <c r="CE332" s="20"/>
      <c r="CF332" s="20"/>
      <c r="CG332" s="20"/>
      <c r="CH332" s="20"/>
      <c r="CI332" s="20"/>
      <c r="CJ332" s="20"/>
      <c r="CK332" s="20"/>
      <c r="CL332" s="20"/>
      <c r="CM332" s="20"/>
      <c r="CN332" s="20"/>
      <c r="CO332" s="20"/>
      <c r="CP332" s="20"/>
      <c r="CQ332" s="20"/>
      <c r="CR332" s="20"/>
      <c r="CS332" s="20"/>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row>
    <row r="333" spans="1:123" ht="64.5" customHeight="1" x14ac:dyDescent="0.2">
      <c r="A333" s="19"/>
      <c r="B333" s="20" t="str">
        <f ca="1">IFERROR(__xludf.DUMMYFUNCTION("""COMPUTED_VALUE"""),"г.о. Сергиев Посад")</f>
        <v>г.о. Сергиев Посад</v>
      </c>
      <c r="C33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3" s="20" t="str">
        <f ca="1">IFERROR(__xludf.DUMMYFUNCTION("""COMPUTED_VALUE"""),"МинЖКХ")</f>
        <v>МинЖКХ</v>
      </c>
      <c r="E333" s="20" t="str">
        <f ca="1">IFERROR(__xludf.DUMMYFUNCTION("""COMPUTED_VALUE"""),"Реконструкция объектов инженерной инфраструктуры по ул.Кооперативная, г.Хотьково")</f>
        <v>Реконструкция объектов инженерной инфраструктуры по ул.Кооперативная, г.Хотьково</v>
      </c>
      <c r="F333" s="32" t="str">
        <f ca="1">IFERROR(__xludf.DUMMYFUNCTION("""COMPUTED_VALUE"""),"Сети")</f>
        <v>Сети</v>
      </c>
      <c r="G333" s="20" t="str">
        <f ca="1">IFERROR(__xludf.DUMMYFUNCTION("""COMPUTED_VALUE"""),"2020-2021")</f>
        <v>2020-2021</v>
      </c>
      <c r="H333" s="20" t="str">
        <f ca="1">IFERROR(__xludf.DUMMYFUNCTION("""COMPUTED_VALUE"""),"СМР")</f>
        <v>СМР</v>
      </c>
      <c r="I333" s="20">
        <f ca="1">IFERROR(__xludf.DUMMYFUNCTION("""COMPUTED_VALUE"""),87)</f>
        <v>87</v>
      </c>
      <c r="J333" s="20" t="str">
        <f ca="1">IFERROR(__xludf.DUMMYFUNCTION("""COMPUTED_VALUE"""),"""• Разработка грунта  под сеть ТС в т. 13-13а, 66-67, 51-53
• Монтаж лотков сети ТС в т. 13-13а, 66-67, 51-53
• Обратная засыпка  песком  сети ТС в т. 13-13а, 66-67, 51-53
• Обвязка камер сети ТС
• Устройство байпаса теплосети на больничный комплекс "&amp;"(корпус монастыря)
• Подключение потребителнй к сети В1 по:
Станционной улице, Кооперативной улице, корпусов монастыря
")</f>
        <v xml:space="preserve">"• Разработка грунта  под сеть ТС в т. 13-13а, 66-67, 51-53
• Монтаж лотков сети ТС в т. 13-13а, 66-67, 51-53
• Обратная засыпка  песком  сети ТС в т. 13-13а, 66-67, 51-53
• Обвязка камер сети ТС
• Устройство байпаса теплосети на больничный комплекс (корпус монастыря)
• Подключение потребителнй к сети В1 по:
Станционной улице, Кооперативной улице, корпусов монастыря
</v>
      </c>
      <c r="K333" s="20">
        <f ca="1">IFERROR(__xludf.DUMMYFUNCTION("""COMPUTED_VALUE"""),1500)</f>
        <v>1500</v>
      </c>
      <c r="L333" s="20">
        <f ca="1">IFERROR(__xludf.DUMMYFUNCTION("""COMPUTED_VALUE"""),1500)</f>
        <v>1500</v>
      </c>
      <c r="M333" s="20"/>
      <c r="N333" s="24">
        <f ca="1">IFERROR(__xludf.DUMMYFUNCTION("""COMPUTED_VALUE"""),79292.78)</f>
        <v>79292.78</v>
      </c>
      <c r="O333" s="20"/>
      <c r="P333" s="24">
        <f ca="1">IFERROR(__xludf.DUMMYFUNCTION("""COMPUTED_VALUE"""),58638.69)</f>
        <v>58638.69</v>
      </c>
      <c r="Q333" s="20"/>
      <c r="R333" s="24">
        <f ca="1">IFERROR(__xludf.DUMMYFUNCTION("""COMPUTED_VALUE"""),20654.09)</f>
        <v>20654.09</v>
      </c>
      <c r="S333" s="20"/>
      <c r="T333" s="20"/>
      <c r="U333" s="24">
        <f ca="1">IFERROR(__xludf.DUMMYFUNCTION("""COMPUTED_VALUE"""),2978.58999999999)</f>
        <v>2978.5899999999901</v>
      </c>
      <c r="V333" s="24">
        <f ca="1">IFERROR(__xludf.DUMMYFUNCTION("""COMPUTED_VALUE"""),0)</f>
        <v>0</v>
      </c>
      <c r="W333" s="24">
        <f ca="1">IFERROR(__xludf.DUMMYFUNCTION("""COMPUTED_VALUE"""),1254.86999999999)</f>
        <v>1254.8699999999899</v>
      </c>
      <c r="X333" s="24">
        <f ca="1">IFERROR(__xludf.DUMMYFUNCTION("""COMPUTED_VALUE"""),0)</f>
        <v>0</v>
      </c>
      <c r="Y333" s="24">
        <f ca="1">IFERROR(__xludf.DUMMYFUNCTION("""COMPUTED_VALUE"""),1723.72)</f>
        <v>1723.72</v>
      </c>
      <c r="Z333" s="24">
        <f ca="1">IFERROR(__xludf.DUMMYFUNCTION("""COMPUTED_VALUE"""),0)</f>
        <v>0</v>
      </c>
      <c r="AA333" s="20" t="str">
        <f ca="1">IFERROR(__xludf.DUMMYFUNCTION("""COMPUTED_VALUE"""),"10 3 02 64080")</f>
        <v>10 3 02 64080</v>
      </c>
      <c r="AB333" s="20">
        <f ca="1">IFERROR(__xludf.DUMMYFUNCTION("""COMPUTED_VALUE"""),522)</f>
        <v>522</v>
      </c>
      <c r="AC333" s="20"/>
      <c r="AD333" s="20"/>
      <c r="AE333" s="20"/>
      <c r="AF333" s="24">
        <f ca="1">IFERROR(__xludf.DUMMYFUNCTION("""COMPUTED_VALUE"""),218962.729999999)</f>
        <v>218962.72999999899</v>
      </c>
      <c r="AG333" s="24">
        <f ca="1">IFERROR(__xludf.DUMMYFUNCTION("""COMPUTED_VALUE"""),0)</f>
        <v>0</v>
      </c>
      <c r="AH333" s="24">
        <f ca="1">IFERROR(__xludf.DUMMYFUNCTION("""COMPUTED_VALUE"""),159404.72)</f>
        <v>159404.72</v>
      </c>
      <c r="AI333" s="24">
        <f ca="1">IFERROR(__xludf.DUMMYFUNCTION("""COMPUTED_VALUE"""),0)</f>
        <v>0</v>
      </c>
      <c r="AJ333" s="24">
        <f ca="1">IFERROR(__xludf.DUMMYFUNCTION("""COMPUTED_VALUE"""),59558.0099999999)</f>
        <v>59558.0099999999</v>
      </c>
      <c r="AK333" s="24">
        <f ca="1">IFERROR(__xludf.DUMMYFUNCTION("""COMPUTED_VALUE"""),0)</f>
        <v>0</v>
      </c>
      <c r="AL333" s="24">
        <f ca="1">IFERROR(__xludf.DUMMYFUNCTION("""COMPUTED_VALUE"""),0)</f>
        <v>0</v>
      </c>
      <c r="AM333" s="20"/>
      <c r="AN333" s="20"/>
      <c r="AO333" s="20"/>
      <c r="AP333" s="20"/>
      <c r="AQ333" s="20"/>
      <c r="AR333" s="24">
        <f ca="1">IFERROR(__xludf.DUMMYFUNCTION("""COMPUTED_VALUE"""),0)</f>
        <v>0</v>
      </c>
      <c r="AS333" s="20"/>
      <c r="AT333" s="20"/>
      <c r="AU333" s="20"/>
      <c r="AV333" s="20"/>
      <c r="AW333" s="20"/>
      <c r="AX333" s="24">
        <f ca="1">IFERROR(__xludf.DUMMYFUNCTION("""COMPUTED_VALUE"""),82271.37)</f>
        <v>82271.37</v>
      </c>
      <c r="AY333" s="24">
        <f ca="1">IFERROR(__xludf.DUMMYFUNCTION("""COMPUTED_VALUE"""),0)</f>
        <v>0</v>
      </c>
      <c r="AZ333" s="24">
        <f ca="1">IFERROR(__xludf.DUMMYFUNCTION("""COMPUTED_VALUE"""),59893.56)</f>
        <v>59893.56</v>
      </c>
      <c r="BA333" s="24">
        <f ca="1">IFERROR(__xludf.DUMMYFUNCTION("""COMPUTED_VALUE"""),0)</f>
        <v>0</v>
      </c>
      <c r="BB333" s="24">
        <f ca="1">IFERROR(__xludf.DUMMYFUNCTION("""COMPUTED_VALUE"""),22377.81)</f>
        <v>22377.81</v>
      </c>
      <c r="BC333" s="20"/>
      <c r="BD333" s="24">
        <f ca="1">IFERROR(__xludf.DUMMYFUNCTION("""COMPUTED_VALUE"""),136691.36)</f>
        <v>136691.35999999999</v>
      </c>
      <c r="BE333" s="24">
        <f ca="1">IFERROR(__xludf.DUMMYFUNCTION("""COMPUTED_VALUE"""),0)</f>
        <v>0</v>
      </c>
      <c r="BF333" s="24">
        <f ca="1">IFERROR(__xludf.DUMMYFUNCTION("""COMPUTED_VALUE"""),99511.16)</f>
        <v>99511.16</v>
      </c>
      <c r="BG333" s="24">
        <f ca="1">IFERROR(__xludf.DUMMYFUNCTION("""COMPUTED_VALUE"""),0)</f>
        <v>0</v>
      </c>
      <c r="BH333" s="24">
        <f ca="1">IFERROR(__xludf.DUMMYFUNCTION("""COMPUTED_VALUE"""),37180.2)</f>
        <v>37180.199999999997</v>
      </c>
      <c r="BI333" s="20"/>
      <c r="BJ333" s="24">
        <f ca="1">IFERROR(__xludf.DUMMYFUNCTION("""COMPUTED_VALUE"""),0)</f>
        <v>0</v>
      </c>
      <c r="BK333" s="24">
        <f ca="1">IFERROR(__xludf.DUMMYFUNCTION("""COMPUTED_VALUE"""),0)</f>
        <v>0</v>
      </c>
      <c r="BL333" s="24">
        <f ca="1">IFERROR(__xludf.DUMMYFUNCTION("""COMPUTED_VALUE"""),0)</f>
        <v>0</v>
      </c>
      <c r="BM333" s="24">
        <f ca="1">IFERROR(__xludf.DUMMYFUNCTION("""COMPUTED_VALUE"""),0)</f>
        <v>0</v>
      </c>
      <c r="BN333" s="24">
        <f ca="1">IFERROR(__xludf.DUMMYFUNCTION("""COMPUTED_VALUE"""),0)</f>
        <v>0</v>
      </c>
      <c r="BO333" s="20"/>
      <c r="BP333" s="24">
        <f ca="1">IFERROR(__xludf.DUMMYFUNCTION("""COMPUTED_VALUE"""),0)</f>
        <v>0</v>
      </c>
      <c r="BQ333" s="24">
        <f ca="1">IFERROR(__xludf.DUMMYFUNCTION("""COMPUTED_VALUE"""),0)</f>
        <v>0</v>
      </c>
      <c r="BR333" s="24">
        <f ca="1">IFERROR(__xludf.DUMMYFUNCTION("""COMPUTED_VALUE"""),0)</f>
        <v>0</v>
      </c>
      <c r="BS333" s="24">
        <f ca="1">IFERROR(__xludf.DUMMYFUNCTION("""COMPUTED_VALUE"""),0)</f>
        <v>0</v>
      </c>
      <c r="BT333" s="24">
        <f ca="1">IFERROR(__xludf.DUMMYFUNCTION("""COMPUTED_VALUE"""),0)</f>
        <v>0</v>
      </c>
      <c r="BU333" s="20"/>
      <c r="BV333" s="24">
        <f ca="1">IFERROR(__xludf.DUMMYFUNCTION("""COMPUTED_VALUE"""),0)</f>
        <v>0</v>
      </c>
      <c r="BW333" s="24">
        <f ca="1">IFERROR(__xludf.DUMMYFUNCTION("""COMPUTED_VALUE"""),0)</f>
        <v>0</v>
      </c>
      <c r="BX333" s="24">
        <f ca="1">IFERROR(__xludf.DUMMYFUNCTION("""COMPUTED_VALUE"""),0)</f>
        <v>0</v>
      </c>
      <c r="BY333" s="24">
        <f ca="1">IFERROR(__xludf.DUMMYFUNCTION("""COMPUTED_VALUE"""),0)</f>
        <v>0</v>
      </c>
      <c r="BZ333" s="24">
        <f ca="1">IFERROR(__xludf.DUMMYFUNCTION("""COMPUTED_VALUE"""),0)</f>
        <v>0</v>
      </c>
      <c r="CA333" s="20"/>
      <c r="CB333" s="20"/>
      <c r="CC333" s="20"/>
      <c r="CD333" s="20"/>
      <c r="CE333" s="20"/>
      <c r="CF333" s="20"/>
      <c r="CG333" s="20"/>
      <c r="CH333" s="20"/>
      <c r="CI333" s="20"/>
      <c r="CJ333" s="20"/>
      <c r="CK333" s="20"/>
      <c r="CL333" s="20"/>
      <c r="CM333" s="25">
        <f ca="1">IFERROR(__xludf.DUMMYFUNCTION("""COMPUTED_VALUE"""),43787)</f>
        <v>43787</v>
      </c>
      <c r="CN333" s="20" t="str">
        <f ca="1">IFERROR(__xludf.DUMMYFUNCTION("""COMPUTED_VALUE"""),"0148200005419000635")</f>
        <v>0148200005419000635</v>
      </c>
      <c r="CO333" s="25">
        <f ca="1">IFERROR(__xludf.DUMMYFUNCTION("""COMPUTED_VALUE"""),43818)</f>
        <v>43818</v>
      </c>
      <c r="CP333" s="20" t="str">
        <f ca="1">IFERROR(__xludf.DUMMYFUNCTION("""COMPUTED_VALUE"""),"014820000541000635")</f>
        <v>014820000541000635</v>
      </c>
      <c r="CQ333" s="20">
        <f ca="1">IFERROR(__xludf.DUMMYFUNCTION("""COMPUTED_VALUE"""),174345550.44)</f>
        <v>174345550.44</v>
      </c>
      <c r="CR333" s="20" t="str">
        <f ca="1">IFERROR(__xludf.DUMMYFUNCTION("""COMPUTED_VALUE"""),"ОБЩЕСТВО С ОГРАНИЧЕННОЙ ОТВЕТСТВЕННОСТЬЮ ""РБК СТРОЙИНВЕСТ""")</f>
        <v>ОБЩЕСТВО С ОГРАНИЧЕННОЙ ОТВЕТСТВЕННОСТЬЮ "РБК СТРОЙИНВЕСТ"</v>
      </c>
      <c r="CS333" s="27" t="str">
        <f ca="1">IFERROR(__xludf.DUMMYFUNCTION("""COMPUTED_VALUE"""),"https://zakupki.gov.ru/epz/contract/contractCard/common-info.html?reestrNumber=3504202239719000252&amp;backUrl=250cdae6-0c05-4b5a-b127-60c58bc8b761")</f>
        <v>https://zakupki.gov.ru/epz/contract/contractCard/common-info.html?reestrNumber=3504202239719000252&amp;backUrl=250cdae6-0c05-4b5a-b127-60c58bc8b761</v>
      </c>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row>
    <row r="334" spans="1:123" ht="64.5" customHeight="1" x14ac:dyDescent="0.2">
      <c r="A334" s="19"/>
      <c r="B334" s="20" t="str">
        <f ca="1">IFERROR(__xludf.DUMMYFUNCTION("""COMPUTED_VALUE"""),"г.о. Сергиев Посад")</f>
        <v>г.о. Сергиев Посад</v>
      </c>
      <c r="C33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4" s="20" t="str">
        <f ca="1">IFERROR(__xludf.DUMMYFUNCTION("""COMPUTED_VALUE"""),"МинЖКХ")</f>
        <v>МинЖКХ</v>
      </c>
      <c r="E334" s="20" t="str">
        <f ca="1">IFERROR(__xludf.DUMMYFUNCTION("""COMPUTED_VALUE"""),"Строительство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в"&amp;" 2019 году в размере 699,6 тыс.руб. средства бюджета Московской области)")</f>
        <v>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 2019 году в размере 699,6 тыс.руб. средства бюджета Московской области)</v>
      </c>
      <c r="F334" s="32" t="str">
        <f ca="1">IFERROR(__xludf.DUMMYFUNCTION("""COMPUTED_VALUE"""),"БМК")</f>
        <v>БМК</v>
      </c>
      <c r="G334" s="20">
        <f ca="1">IFERROR(__xludf.DUMMYFUNCTION("""COMPUTED_VALUE"""),2020)</f>
        <v>2020</v>
      </c>
      <c r="H334" s="20" t="str">
        <f ca="1">IFERROR(__xludf.DUMMYFUNCTION("""COMPUTED_VALUE"""),"СМР")</f>
        <v>СМР</v>
      </c>
      <c r="I334" s="20">
        <f ca="1">IFERROR(__xludf.DUMMYFUNCTION("""COMPUTED_VALUE"""),84)</f>
        <v>84</v>
      </c>
      <c r="J334" s="20" t="str">
        <f ca="1">IFERROR(__xludf.DUMMYFUNCTION("""COMPUTED_VALUE"""),"Выполнены работы: поставка и сборка блока котельной, ведутся работы по электроснабжению, устройство фундамента под генератор. Администрацией риски неосвоения обозначены не были, но в связи с необходимостью корректировки ПСД и проведения ПНР существуют выс"&amp;"окие риски срыва реализации мероприятия и неосвоения лимитов 2020 года.
")</f>
        <v xml:space="preserve">Выполнены работы: поставка и сборка блока котельной, ведутся работы по электроснабжению, устройство фундамента под генератор. Администрацией риски неосвоения обозначены не были, но в связи с необходимостью корректировки ПСД и проведения ПНР существуют высокие риски срыва реализации мероприятия и неосвоения лимитов 2020 года.
</v>
      </c>
      <c r="K334" s="20">
        <f ca="1">IFERROR(__xludf.DUMMYFUNCTION("""COMPUTED_VALUE"""),793)</f>
        <v>793</v>
      </c>
      <c r="L334" s="20">
        <f ca="1">IFERROR(__xludf.DUMMYFUNCTION("""COMPUTED_VALUE"""),793)</f>
        <v>793</v>
      </c>
      <c r="M334" s="20"/>
      <c r="N334" s="24">
        <f ca="1">IFERROR(__xludf.DUMMYFUNCTION("""COMPUTED_VALUE"""),21574.47)</f>
        <v>21574.47</v>
      </c>
      <c r="O334" s="20"/>
      <c r="P334" s="24">
        <f ca="1">IFERROR(__xludf.DUMMYFUNCTION("""COMPUTED_VALUE"""),21574.47)</f>
        <v>21574.47</v>
      </c>
      <c r="Q334" s="20"/>
      <c r="R334" s="20"/>
      <c r="S334" s="20"/>
      <c r="T334" s="20" t="str">
        <f ca="1">IFERROR(__xludf.DUMMYFUNCTION("""COMPUTED_VALUE"""),"ОМСУ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f>
        <v>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v>
      </c>
      <c r="U334" s="24">
        <f ca="1">IFERROR(__xludf.DUMMYFUNCTION("""COMPUTED_VALUE"""),8491.80999999999)</f>
        <v>8491.8099999999904</v>
      </c>
      <c r="V334" s="24">
        <f ca="1">IFERROR(__xludf.DUMMYFUNCTION("""COMPUTED_VALUE"""),0)</f>
        <v>0</v>
      </c>
      <c r="W334" s="24">
        <f ca="1">IFERROR(__xludf.DUMMYFUNCTION("""COMPUTED_VALUE"""),79.3899999999994)</f>
        <v>79.389999999999404</v>
      </c>
      <c r="X334" s="24">
        <f ca="1">IFERROR(__xludf.DUMMYFUNCTION("""COMPUTED_VALUE"""),0)</f>
        <v>0</v>
      </c>
      <c r="Y334" s="24">
        <f ca="1">IFERROR(__xludf.DUMMYFUNCTION("""COMPUTED_VALUE"""),8412.42)</f>
        <v>8412.42</v>
      </c>
      <c r="Z334" s="24">
        <f ca="1">IFERROR(__xludf.DUMMYFUNCTION("""COMPUTED_VALUE"""),0)</f>
        <v>0</v>
      </c>
      <c r="AA334" s="20" t="str">
        <f ca="1">IFERROR(__xludf.DUMMYFUNCTION("""COMPUTED_VALUE"""),"10 3 02 64080")</f>
        <v>10 3 02 64080</v>
      </c>
      <c r="AB334" s="20">
        <f ca="1">IFERROR(__xludf.DUMMYFUNCTION("""COMPUTED_VALUE"""),522)</f>
        <v>522</v>
      </c>
      <c r="AC334" s="20"/>
      <c r="AD334" s="20"/>
      <c r="AE334" s="20"/>
      <c r="AF334" s="24">
        <f ca="1">IFERROR(__xludf.DUMMYFUNCTION("""COMPUTED_VALUE"""),30066.28)</f>
        <v>30066.28</v>
      </c>
      <c r="AG334" s="24">
        <f ca="1">IFERROR(__xludf.DUMMYFUNCTION("""COMPUTED_VALUE"""),0)</f>
        <v>0</v>
      </c>
      <c r="AH334" s="24">
        <f ca="1">IFERROR(__xludf.DUMMYFUNCTION("""COMPUTED_VALUE"""),21653.86)</f>
        <v>21653.86</v>
      </c>
      <c r="AI334" s="24">
        <f ca="1">IFERROR(__xludf.DUMMYFUNCTION("""COMPUTED_VALUE"""),0)</f>
        <v>0</v>
      </c>
      <c r="AJ334" s="24">
        <f ca="1">IFERROR(__xludf.DUMMYFUNCTION("""COMPUTED_VALUE"""),8412.42)</f>
        <v>8412.42</v>
      </c>
      <c r="AK334" s="24">
        <f ca="1">IFERROR(__xludf.DUMMYFUNCTION("""COMPUTED_VALUE"""),0)</f>
        <v>0</v>
      </c>
      <c r="AL334" s="24">
        <f ca="1">IFERROR(__xludf.DUMMYFUNCTION("""COMPUTED_VALUE"""),0)</f>
        <v>0</v>
      </c>
      <c r="AM334" s="20"/>
      <c r="AN334" s="20"/>
      <c r="AO334" s="20"/>
      <c r="AP334" s="20"/>
      <c r="AQ334" s="20"/>
      <c r="AR334" s="24">
        <f ca="1">IFERROR(__xludf.DUMMYFUNCTION("""COMPUTED_VALUE"""),0)</f>
        <v>0</v>
      </c>
      <c r="AS334" s="20"/>
      <c r="AT334" s="20"/>
      <c r="AU334" s="20"/>
      <c r="AV334" s="20"/>
      <c r="AW334" s="20"/>
      <c r="AX334" s="24">
        <f ca="1">IFERROR(__xludf.DUMMYFUNCTION("""COMPUTED_VALUE"""),30066.28)</f>
        <v>30066.28</v>
      </c>
      <c r="AY334" s="24">
        <f ca="1">IFERROR(__xludf.DUMMYFUNCTION("""COMPUTED_VALUE"""),0)</f>
        <v>0</v>
      </c>
      <c r="AZ334" s="24">
        <f ca="1">IFERROR(__xludf.DUMMYFUNCTION("""COMPUTED_VALUE"""),21653.86)</f>
        <v>21653.86</v>
      </c>
      <c r="BA334" s="24">
        <f ca="1">IFERROR(__xludf.DUMMYFUNCTION("""COMPUTED_VALUE"""),0)</f>
        <v>0</v>
      </c>
      <c r="BB334" s="24">
        <f ca="1">IFERROR(__xludf.DUMMYFUNCTION("""COMPUTED_VALUE"""),8412.42)</f>
        <v>8412.42</v>
      </c>
      <c r="BC334" s="20"/>
      <c r="BD334" s="24">
        <f ca="1">IFERROR(__xludf.DUMMYFUNCTION("""COMPUTED_VALUE"""),0)</f>
        <v>0</v>
      </c>
      <c r="BE334" s="24">
        <f ca="1">IFERROR(__xludf.DUMMYFUNCTION("""COMPUTED_VALUE"""),0)</f>
        <v>0</v>
      </c>
      <c r="BF334" s="24">
        <f ca="1">IFERROR(__xludf.DUMMYFUNCTION("""COMPUTED_VALUE"""),0)</f>
        <v>0</v>
      </c>
      <c r="BG334" s="24">
        <f ca="1">IFERROR(__xludf.DUMMYFUNCTION("""COMPUTED_VALUE"""),0)</f>
        <v>0</v>
      </c>
      <c r="BH334" s="24">
        <f ca="1">IFERROR(__xludf.DUMMYFUNCTION("""COMPUTED_VALUE"""),0)</f>
        <v>0</v>
      </c>
      <c r="BI334" s="20"/>
      <c r="BJ334" s="24">
        <f ca="1">IFERROR(__xludf.DUMMYFUNCTION("""COMPUTED_VALUE"""),0)</f>
        <v>0</v>
      </c>
      <c r="BK334" s="24">
        <f ca="1">IFERROR(__xludf.DUMMYFUNCTION("""COMPUTED_VALUE"""),0)</f>
        <v>0</v>
      </c>
      <c r="BL334" s="24">
        <f ca="1">IFERROR(__xludf.DUMMYFUNCTION("""COMPUTED_VALUE"""),0)</f>
        <v>0</v>
      </c>
      <c r="BM334" s="24">
        <f ca="1">IFERROR(__xludf.DUMMYFUNCTION("""COMPUTED_VALUE"""),0)</f>
        <v>0</v>
      </c>
      <c r="BN334" s="24">
        <f ca="1">IFERROR(__xludf.DUMMYFUNCTION("""COMPUTED_VALUE"""),0)</f>
        <v>0</v>
      </c>
      <c r="BO334" s="20"/>
      <c r="BP334" s="24">
        <f ca="1">IFERROR(__xludf.DUMMYFUNCTION("""COMPUTED_VALUE"""),0)</f>
        <v>0</v>
      </c>
      <c r="BQ334" s="24">
        <f ca="1">IFERROR(__xludf.DUMMYFUNCTION("""COMPUTED_VALUE"""),0)</f>
        <v>0</v>
      </c>
      <c r="BR334" s="24">
        <f ca="1">IFERROR(__xludf.DUMMYFUNCTION("""COMPUTED_VALUE"""),0)</f>
        <v>0</v>
      </c>
      <c r="BS334" s="24">
        <f ca="1">IFERROR(__xludf.DUMMYFUNCTION("""COMPUTED_VALUE"""),0)</f>
        <v>0</v>
      </c>
      <c r="BT334" s="24">
        <f ca="1">IFERROR(__xludf.DUMMYFUNCTION("""COMPUTED_VALUE"""),0)</f>
        <v>0</v>
      </c>
      <c r="BU334" s="20"/>
      <c r="BV334" s="24">
        <f ca="1">IFERROR(__xludf.DUMMYFUNCTION("""COMPUTED_VALUE"""),0)</f>
        <v>0</v>
      </c>
      <c r="BW334" s="24">
        <f ca="1">IFERROR(__xludf.DUMMYFUNCTION("""COMPUTED_VALUE"""),0)</f>
        <v>0</v>
      </c>
      <c r="BX334" s="24">
        <f ca="1">IFERROR(__xludf.DUMMYFUNCTION("""COMPUTED_VALUE"""),0)</f>
        <v>0</v>
      </c>
      <c r="BY334" s="24">
        <f ca="1">IFERROR(__xludf.DUMMYFUNCTION("""COMPUTED_VALUE"""),0)</f>
        <v>0</v>
      </c>
      <c r="BZ334" s="24">
        <f ca="1">IFERROR(__xludf.DUMMYFUNCTION("""COMPUTED_VALUE"""),0)</f>
        <v>0</v>
      </c>
      <c r="CA334" s="20"/>
      <c r="CB334" s="20"/>
      <c r="CC334" s="20"/>
      <c r="CD334" s="20"/>
      <c r="CE334" s="20"/>
      <c r="CF334" s="20"/>
      <c r="CG334" s="20"/>
      <c r="CH334" s="20"/>
      <c r="CI334" s="20"/>
      <c r="CJ334" s="20"/>
      <c r="CK334" s="20"/>
      <c r="CL334" s="20"/>
      <c r="CM334" s="26">
        <f ca="1">IFERROR(__xludf.DUMMYFUNCTION("""COMPUTED_VALUE"""),43685)</f>
        <v>43685</v>
      </c>
      <c r="CN334" s="20" t="str">
        <f ca="1">IFERROR(__xludf.DUMMYFUNCTION("""COMPUTED_VALUE"""),"0848300051719000615")</f>
        <v>0848300051719000615</v>
      </c>
      <c r="CO334" s="25">
        <f ca="1">IFERROR(__xludf.DUMMYFUNCTION("""COMPUTED_VALUE"""),43760)</f>
        <v>43760</v>
      </c>
      <c r="CP334" s="20" t="str">
        <f ca="1">IFERROR(__xludf.DUMMYFUNCTION("""COMPUTED_VALUE"""),"615/19")</f>
        <v>615/19</v>
      </c>
      <c r="CQ334" s="20">
        <f ca="1">IFERROR(__xludf.DUMMYFUNCTION("""COMPUTED_VALUE"""),30370076.55)</f>
        <v>30370076.550000001</v>
      </c>
      <c r="CR334" s="20" t="str">
        <f ca="1">IFERROR(__xludf.DUMMYFUNCTION("""COMPUTED_VALUE"""),"ОБЩЕСТВО С ОГРАНИЧЕННОЙ ОТВЕТСТВЕННОСТЬЮ ""СЕВГАЗИНЖЕНЕРИНГ""")</f>
        <v>ОБЩЕСТВО С ОГРАНИЧЕННОЙ ОТВЕТСТВЕННОСТЬЮ "СЕВГАЗИНЖЕНЕРИНГ"</v>
      </c>
      <c r="CS334" s="27" t="str">
        <f ca="1">IFERROR(__xludf.DUMMYFUNCTION("""COMPUTED_VALUE"""),"https://zakupki.gov.ru/epz/contract/contractCard/common-info.html?reestrNumber=3504210787619000051&amp;backUrl=c67375d9-0b28-45c1-acb8-ca7db0a385bf")</f>
        <v>https://zakupki.gov.ru/epz/contract/contractCard/common-info.html?reestrNumber=3504210787619000051&amp;backUrl=c67375d9-0b28-45c1-acb8-ca7db0a385bf</v>
      </c>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row>
    <row r="335" spans="1:123" ht="64.5" customHeight="1" x14ac:dyDescent="0.2">
      <c r="A335" s="19"/>
      <c r="B335" s="20" t="str">
        <f ca="1">IFERROR(__xludf.DUMMYFUNCTION("""COMPUTED_VALUE"""),"г.о. Сергиев Посад")</f>
        <v>г.о. Сергиев Посад</v>
      </c>
      <c r="C33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5" s="20" t="str">
        <f ca="1">IFERROR(__xludf.DUMMYFUNCTION("""COMPUTED_VALUE"""),"МинЖКХ")</f>
        <v>МинЖКХ</v>
      </c>
      <c r="E335" s="20" t="str">
        <f ca="1">IFERROR(__xludf.DUMMYFUNCTION("""COMPUTED_VALUE"""),"Строительство газовой блочно-модульной котельной с. Константиново, сельское поселение Шеметовское Сергиево-Посадского м.р. Московской области")</f>
        <v>Строительство газовой блочно-модульной котельной с. Константиново, сельское поселение Шеметовское Сергиево-Посадского м.р. Московской области</v>
      </c>
      <c r="F335" s="32" t="str">
        <f ca="1">IFERROR(__xludf.DUMMYFUNCTION("""COMPUTED_VALUE"""),"БМК")</f>
        <v>БМК</v>
      </c>
      <c r="G335" s="20">
        <f ca="1">IFERROR(__xludf.DUMMYFUNCTION("""COMPUTED_VALUE"""),2020)</f>
        <v>2020</v>
      </c>
      <c r="H335" s="20" t="str">
        <f ca="1">IFERROR(__xludf.DUMMYFUNCTION("""COMPUTED_VALUE"""),"СМР")</f>
        <v>СМР</v>
      </c>
      <c r="I335" s="20">
        <f ca="1">IFERROR(__xludf.DUMMYFUNCTION("""COMPUTED_VALUE"""),41)</f>
        <v>41</v>
      </c>
      <c r="J335" s="20" t="str">
        <f ca="1">IFERROR(__xludf.DUMMYFUNCTION("""COMPUTED_VALUE"""),"Доставка и сборка блоков котельной, ведутся работы по электроснабжению
Необходима корректировка проекта в связи заменой оборудования. 
Администрацией риски неосвоения обозначены не были, но в связи с необходимостью корректировки ПСД и проведения ПНР суще"&amp;"ствуют высокие риски срыва реализации мероприятия и неосвоения лимитов 2020 года.
")</f>
        <v xml:space="preserve">Доставка и сборка блоков котельной, ведутся работы по электроснабжению
Необходима корректировка проекта в связи заменой оборудования. 
Администрацией риски неосвоения обозначены не были, но в связи с необходимостью корректировки ПСД и проведения ПНР существуют высокие риски срыва реализации мероприятия и неосвоения лимитов 2020 года.
</v>
      </c>
      <c r="K335" s="20">
        <f ca="1">IFERROR(__xludf.DUMMYFUNCTION("""COMPUTED_VALUE"""),747)</f>
        <v>747</v>
      </c>
      <c r="L335" s="20">
        <f ca="1">IFERROR(__xludf.DUMMYFUNCTION("""COMPUTED_VALUE"""),747)</f>
        <v>747</v>
      </c>
      <c r="M335" s="20"/>
      <c r="N335" s="24">
        <f ca="1">IFERROR(__xludf.DUMMYFUNCTION("""COMPUTED_VALUE"""),16224.96)</f>
        <v>16224.96</v>
      </c>
      <c r="O335" s="20"/>
      <c r="P335" s="24">
        <f ca="1">IFERROR(__xludf.DUMMYFUNCTION("""COMPUTED_VALUE"""),16224.96)</f>
        <v>16224.96</v>
      </c>
      <c r="Q335" s="20"/>
      <c r="R335" s="20"/>
      <c r="S335" s="20"/>
      <c r="T335" s="20" t="str">
        <f ca="1">IFERROR(__xludf.DUMMYFUNCTION("""COMPUTED_VALUE"""),"Будет перенос на 2021 год 
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лим"&amp;"итов в 2020 году.")</f>
        <v>Будет перенос на 2021 год 
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v>
      </c>
      <c r="U335" s="24">
        <f ca="1">IFERROR(__xludf.DUMMYFUNCTION("""COMPUTED_VALUE"""),4988.37)</f>
        <v>4988.37</v>
      </c>
      <c r="V335" s="24">
        <f ca="1">IFERROR(__xludf.DUMMYFUNCTION("""COMPUTED_VALUE"""),0)</f>
        <v>0</v>
      </c>
      <c r="W335" s="24">
        <f ca="1">IFERROR(__xludf.DUMMYFUNCTION("""COMPUTED_VALUE"""),172.940000000002)</f>
        <v>172.94000000000199</v>
      </c>
      <c r="X335" s="24">
        <f ca="1">IFERROR(__xludf.DUMMYFUNCTION("""COMPUTED_VALUE"""),0)</f>
        <v>0</v>
      </c>
      <c r="Y335" s="24">
        <f ca="1">IFERROR(__xludf.DUMMYFUNCTION("""COMPUTED_VALUE"""),4815.43)</f>
        <v>4815.43</v>
      </c>
      <c r="Z335" s="24">
        <f ca="1">IFERROR(__xludf.DUMMYFUNCTION("""COMPUTED_VALUE"""),0)</f>
        <v>0</v>
      </c>
      <c r="AA335" s="20" t="str">
        <f ca="1">IFERROR(__xludf.DUMMYFUNCTION("""COMPUTED_VALUE"""),"10 3 02 64080")</f>
        <v>10 3 02 64080</v>
      </c>
      <c r="AB335" s="20">
        <f ca="1">IFERROR(__xludf.DUMMYFUNCTION("""COMPUTED_VALUE"""),522)</f>
        <v>522</v>
      </c>
      <c r="AC335" s="20"/>
      <c r="AD335" s="20"/>
      <c r="AE335" s="20"/>
      <c r="AF335" s="24">
        <f ca="1">IFERROR(__xludf.DUMMYFUNCTION("""COMPUTED_VALUE"""),21213.33)</f>
        <v>21213.33</v>
      </c>
      <c r="AG335" s="24">
        <f ca="1">IFERROR(__xludf.DUMMYFUNCTION("""COMPUTED_VALUE"""),0)</f>
        <v>0</v>
      </c>
      <c r="AH335" s="24">
        <f ca="1">IFERROR(__xludf.DUMMYFUNCTION("""COMPUTED_VALUE"""),16397.9)</f>
        <v>16397.900000000001</v>
      </c>
      <c r="AI335" s="24">
        <f ca="1">IFERROR(__xludf.DUMMYFUNCTION("""COMPUTED_VALUE"""),0)</f>
        <v>0</v>
      </c>
      <c r="AJ335" s="24">
        <f ca="1">IFERROR(__xludf.DUMMYFUNCTION("""COMPUTED_VALUE"""),4815.43)</f>
        <v>4815.43</v>
      </c>
      <c r="AK335" s="24">
        <f ca="1">IFERROR(__xludf.DUMMYFUNCTION("""COMPUTED_VALUE"""),0)</f>
        <v>0</v>
      </c>
      <c r="AL335" s="24">
        <f ca="1">IFERROR(__xludf.DUMMYFUNCTION("""COMPUTED_VALUE"""),0)</f>
        <v>0</v>
      </c>
      <c r="AM335" s="20"/>
      <c r="AN335" s="20"/>
      <c r="AO335" s="20"/>
      <c r="AP335" s="20"/>
      <c r="AQ335" s="20"/>
      <c r="AR335" s="24">
        <f ca="1">IFERROR(__xludf.DUMMYFUNCTION("""COMPUTED_VALUE"""),0)</f>
        <v>0</v>
      </c>
      <c r="AS335" s="20"/>
      <c r="AT335" s="20"/>
      <c r="AU335" s="20"/>
      <c r="AV335" s="20"/>
      <c r="AW335" s="20"/>
      <c r="AX335" s="24">
        <f ca="1">IFERROR(__xludf.DUMMYFUNCTION("""COMPUTED_VALUE"""),21213.33)</f>
        <v>21213.33</v>
      </c>
      <c r="AY335" s="24">
        <f ca="1">IFERROR(__xludf.DUMMYFUNCTION("""COMPUTED_VALUE"""),0)</f>
        <v>0</v>
      </c>
      <c r="AZ335" s="24">
        <f ca="1">IFERROR(__xludf.DUMMYFUNCTION("""COMPUTED_VALUE"""),16397.9)</f>
        <v>16397.900000000001</v>
      </c>
      <c r="BA335" s="24">
        <f ca="1">IFERROR(__xludf.DUMMYFUNCTION("""COMPUTED_VALUE"""),0)</f>
        <v>0</v>
      </c>
      <c r="BB335" s="24">
        <f ca="1">IFERROR(__xludf.DUMMYFUNCTION("""COMPUTED_VALUE"""),4815.43)</f>
        <v>4815.43</v>
      </c>
      <c r="BC335" s="20"/>
      <c r="BD335" s="24">
        <f ca="1">IFERROR(__xludf.DUMMYFUNCTION("""COMPUTED_VALUE"""),0)</f>
        <v>0</v>
      </c>
      <c r="BE335" s="24">
        <f ca="1">IFERROR(__xludf.DUMMYFUNCTION("""COMPUTED_VALUE"""),0)</f>
        <v>0</v>
      </c>
      <c r="BF335" s="24">
        <f ca="1">IFERROR(__xludf.DUMMYFUNCTION("""COMPUTED_VALUE"""),0)</f>
        <v>0</v>
      </c>
      <c r="BG335" s="24">
        <f ca="1">IFERROR(__xludf.DUMMYFUNCTION("""COMPUTED_VALUE"""),0)</f>
        <v>0</v>
      </c>
      <c r="BH335" s="24">
        <f ca="1">IFERROR(__xludf.DUMMYFUNCTION("""COMPUTED_VALUE"""),0)</f>
        <v>0</v>
      </c>
      <c r="BI335" s="20"/>
      <c r="BJ335" s="24">
        <f ca="1">IFERROR(__xludf.DUMMYFUNCTION("""COMPUTED_VALUE"""),0)</f>
        <v>0</v>
      </c>
      <c r="BK335" s="24">
        <f ca="1">IFERROR(__xludf.DUMMYFUNCTION("""COMPUTED_VALUE"""),0)</f>
        <v>0</v>
      </c>
      <c r="BL335" s="24">
        <f ca="1">IFERROR(__xludf.DUMMYFUNCTION("""COMPUTED_VALUE"""),0)</f>
        <v>0</v>
      </c>
      <c r="BM335" s="24">
        <f ca="1">IFERROR(__xludf.DUMMYFUNCTION("""COMPUTED_VALUE"""),0)</f>
        <v>0</v>
      </c>
      <c r="BN335" s="24">
        <f ca="1">IFERROR(__xludf.DUMMYFUNCTION("""COMPUTED_VALUE"""),0)</f>
        <v>0</v>
      </c>
      <c r="BO335" s="20"/>
      <c r="BP335" s="24">
        <f ca="1">IFERROR(__xludf.DUMMYFUNCTION("""COMPUTED_VALUE"""),0)</f>
        <v>0</v>
      </c>
      <c r="BQ335" s="24">
        <f ca="1">IFERROR(__xludf.DUMMYFUNCTION("""COMPUTED_VALUE"""),0)</f>
        <v>0</v>
      </c>
      <c r="BR335" s="24">
        <f ca="1">IFERROR(__xludf.DUMMYFUNCTION("""COMPUTED_VALUE"""),0)</f>
        <v>0</v>
      </c>
      <c r="BS335" s="24">
        <f ca="1">IFERROR(__xludf.DUMMYFUNCTION("""COMPUTED_VALUE"""),0)</f>
        <v>0</v>
      </c>
      <c r="BT335" s="24">
        <f ca="1">IFERROR(__xludf.DUMMYFUNCTION("""COMPUTED_VALUE"""),0)</f>
        <v>0</v>
      </c>
      <c r="BU335" s="20"/>
      <c r="BV335" s="24">
        <f ca="1">IFERROR(__xludf.DUMMYFUNCTION("""COMPUTED_VALUE"""),0)</f>
        <v>0</v>
      </c>
      <c r="BW335" s="24">
        <f ca="1">IFERROR(__xludf.DUMMYFUNCTION("""COMPUTED_VALUE"""),0)</f>
        <v>0</v>
      </c>
      <c r="BX335" s="24">
        <f ca="1">IFERROR(__xludf.DUMMYFUNCTION("""COMPUTED_VALUE"""),0)</f>
        <v>0</v>
      </c>
      <c r="BY335" s="24">
        <f ca="1">IFERROR(__xludf.DUMMYFUNCTION("""COMPUTED_VALUE"""),0)</f>
        <v>0</v>
      </c>
      <c r="BZ335" s="24">
        <f ca="1">IFERROR(__xludf.DUMMYFUNCTION("""COMPUTED_VALUE"""),0)</f>
        <v>0</v>
      </c>
      <c r="CA335" s="20"/>
      <c r="CB335" s="20"/>
      <c r="CC335" s="20"/>
      <c r="CD335" s="20"/>
      <c r="CE335" s="20"/>
      <c r="CF335" s="20"/>
      <c r="CG335" s="20"/>
      <c r="CH335" s="20"/>
      <c r="CI335" s="20"/>
      <c r="CJ335" s="20"/>
      <c r="CK335" s="20"/>
      <c r="CL335" s="20"/>
      <c r="CM335" s="26">
        <f ca="1">IFERROR(__xludf.DUMMYFUNCTION("""COMPUTED_VALUE"""),43686)</f>
        <v>43686</v>
      </c>
      <c r="CN335" s="20" t="str">
        <f ca="1">IFERROR(__xludf.DUMMYFUNCTION("""COMPUTED_VALUE"""),"0848300051719000616")</f>
        <v>0848300051719000616</v>
      </c>
      <c r="CO335" s="25">
        <f ca="1">IFERROR(__xludf.DUMMYFUNCTION("""COMPUTED_VALUE"""),43749)</f>
        <v>43749</v>
      </c>
      <c r="CP335" s="20" t="str">
        <f ca="1">IFERROR(__xludf.DUMMYFUNCTION("""COMPUTED_VALUE"""),"616/19")</f>
        <v>616/19</v>
      </c>
      <c r="CQ335" s="20">
        <f ca="1">IFERROR(__xludf.DUMMYFUNCTION("""COMPUTED_VALUE"""),21213332.34)</f>
        <v>21213332.34</v>
      </c>
      <c r="CR335" s="20" t="str">
        <f ca="1">IFERROR(__xludf.DUMMYFUNCTION("""COMPUTED_VALUE"""),"ООО ""СЕВГАЗИНЖЕНЕРИНГ""")</f>
        <v>ООО "СЕВГАЗИНЖЕНЕРИНГ"</v>
      </c>
      <c r="CS335" s="27" t="str">
        <f ca="1">IFERROR(__xludf.DUMMYFUNCTION("""COMPUTED_VALUE"""),"https://zakupki.gov.ru/epz/contract/contractCard/common-info.html?reestrNumber=3504210787619000050&amp;backUrl=801e6e9c-1636-4935-b6ca-74dd3d3aec3a")</f>
        <v>https://zakupki.gov.ru/epz/contract/contractCard/common-info.html?reestrNumber=3504210787619000050&amp;backUrl=801e6e9c-1636-4935-b6ca-74dd3d3aec3a</v>
      </c>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row>
    <row r="336" spans="1:123" ht="64.5" customHeight="1" x14ac:dyDescent="0.2">
      <c r="A336" s="19"/>
      <c r="B336" s="20" t="str">
        <f ca="1">IFERROR(__xludf.DUMMYFUNCTION("""COMPUTED_VALUE"""),"г.о. Серебряные Пруды")</f>
        <v>г.о. Серебряные Пруды</v>
      </c>
      <c r="C336"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36" s="20" t="str">
        <f ca="1">IFERROR(__xludf.DUMMYFUNCTION("""COMPUTED_VALUE"""),"МинЖКХ")</f>
        <v>МинЖКХ</v>
      </c>
      <c r="E336" s="20" t="str">
        <f ca="1">IFERROR(__xludf.DUMMYFUNCTION("""COMPUTED_VALUE"""),"Капитальный ремонт котельной №14 с. Петрово мощностью 4,0 МВт г.о. Серебрянные Пруды")</f>
        <v>Капитальный ремонт котельной №14 с. Петрово мощностью 4,0 МВт г.о. Серебрянные Пруды</v>
      </c>
      <c r="F336" s="32" t="str">
        <f ca="1">IFERROR(__xludf.DUMMYFUNCTION("""COMPUTED_VALUE"""),"Котельная")</f>
        <v>Котельная</v>
      </c>
      <c r="G336" s="20">
        <f ca="1">IFERROR(__xludf.DUMMYFUNCTION("""COMPUTED_VALUE"""),2020)</f>
        <v>2020</v>
      </c>
      <c r="H336" s="20" t="str">
        <f ca="1">IFERROR(__xludf.DUMMYFUNCTION("""COMPUTED_VALUE"""),"СМР")</f>
        <v>СМР</v>
      </c>
      <c r="I336" s="20">
        <f ca="1">IFERROR(__xludf.DUMMYFUNCTION("""COMPUTED_VALUE"""),100)</f>
        <v>100</v>
      </c>
      <c r="J336" s="20" t="str">
        <f ca="1">IFERROR(__xludf.DUMMYFUNCTION("""COMPUTED_VALUE"""),"Ведена в эксплуатацию.")</f>
        <v>Ведена в эксплуатацию.</v>
      </c>
      <c r="K336" s="20">
        <f ca="1">IFERROR(__xludf.DUMMYFUNCTION("""COMPUTED_VALUE"""),600)</f>
        <v>600</v>
      </c>
      <c r="L336" s="20">
        <f ca="1">IFERROR(__xludf.DUMMYFUNCTION("""COMPUTED_VALUE"""),600)</f>
        <v>600</v>
      </c>
      <c r="M336" s="20"/>
      <c r="N336" s="24">
        <f ca="1">IFERROR(__xludf.DUMMYFUNCTION("""COMPUTED_VALUE"""),4318.34)</f>
        <v>4318.34</v>
      </c>
      <c r="O336" s="20"/>
      <c r="P336" s="20"/>
      <c r="Q336" s="24">
        <f ca="1">IFERROR(__xludf.DUMMYFUNCTION("""COMPUTED_VALUE"""),3839.85)</f>
        <v>3839.85</v>
      </c>
      <c r="R336" s="20">
        <f ca="1">IFERROR(__xludf.DUMMYFUNCTION("""COMPUTED_VALUE"""),478.49)</f>
        <v>478.49</v>
      </c>
      <c r="S336" s="20"/>
      <c r="T336" s="20"/>
      <c r="U336" s="24">
        <f ca="1">IFERROR(__xludf.DUMMYFUNCTION("""COMPUTED_VALUE"""),317.159999999999)</f>
        <v>317.159999999999</v>
      </c>
      <c r="V336" s="24">
        <f ca="1">IFERROR(__xludf.DUMMYFUNCTION("""COMPUTED_VALUE"""),0)</f>
        <v>0</v>
      </c>
      <c r="W336" s="24">
        <f ca="1">IFERROR(__xludf.DUMMYFUNCTION("""COMPUTED_VALUE"""),0)</f>
        <v>0</v>
      </c>
      <c r="X336" s="24">
        <f ca="1">IFERROR(__xludf.DUMMYFUNCTION("""COMPUTED_VALUE"""),146.65)</f>
        <v>146.65</v>
      </c>
      <c r="Y336" s="24">
        <f ca="1">IFERROR(__xludf.DUMMYFUNCTION("""COMPUTED_VALUE"""),170.51)</f>
        <v>170.51</v>
      </c>
      <c r="Z336" s="24">
        <f ca="1">IFERROR(__xludf.DUMMYFUNCTION("""COMPUTED_VALUE"""),0)</f>
        <v>0</v>
      </c>
      <c r="AA336" s="20" t="str">
        <f ca="1">IFERROR(__xludf.DUMMYFUNCTION("""COMPUTED_VALUE"""),"10 3 02 60320")</f>
        <v>10 3 02 60320</v>
      </c>
      <c r="AB336" s="20">
        <f ca="1">IFERROR(__xludf.DUMMYFUNCTION("""COMPUTED_VALUE"""),521)</f>
        <v>521</v>
      </c>
      <c r="AC336" s="20"/>
      <c r="AD336" s="20"/>
      <c r="AE336" s="20"/>
      <c r="AF336" s="24">
        <f ca="1">IFERROR(__xludf.DUMMYFUNCTION("""COMPUTED_VALUE"""),4635.5)</f>
        <v>4635.5</v>
      </c>
      <c r="AG336" s="24">
        <f ca="1">IFERROR(__xludf.DUMMYFUNCTION("""COMPUTED_VALUE"""),0)</f>
        <v>0</v>
      </c>
      <c r="AH336" s="24">
        <f ca="1">IFERROR(__xludf.DUMMYFUNCTION("""COMPUTED_VALUE"""),0)</f>
        <v>0</v>
      </c>
      <c r="AI336" s="24">
        <f ca="1">IFERROR(__xludf.DUMMYFUNCTION("""COMPUTED_VALUE"""),3986.5)</f>
        <v>3986.5</v>
      </c>
      <c r="AJ336" s="24">
        <f ca="1">IFERROR(__xludf.DUMMYFUNCTION("""COMPUTED_VALUE"""),649)</f>
        <v>649</v>
      </c>
      <c r="AK336" s="24">
        <f ca="1">IFERROR(__xludf.DUMMYFUNCTION("""COMPUTED_VALUE"""),0)</f>
        <v>0</v>
      </c>
      <c r="AL336" s="24">
        <f ca="1">IFERROR(__xludf.DUMMYFUNCTION("""COMPUTED_VALUE"""),0)</f>
        <v>0</v>
      </c>
      <c r="AM336" s="20"/>
      <c r="AN336" s="20"/>
      <c r="AO336" s="20"/>
      <c r="AP336" s="20"/>
      <c r="AQ336" s="20"/>
      <c r="AR336" s="24">
        <f ca="1">IFERROR(__xludf.DUMMYFUNCTION("""COMPUTED_VALUE"""),0)</f>
        <v>0</v>
      </c>
      <c r="AS336" s="20"/>
      <c r="AT336" s="20"/>
      <c r="AU336" s="20"/>
      <c r="AV336" s="20"/>
      <c r="AW336" s="20"/>
      <c r="AX336" s="24">
        <f ca="1">IFERROR(__xludf.DUMMYFUNCTION("""COMPUTED_VALUE"""),4635.5)</f>
        <v>4635.5</v>
      </c>
      <c r="AY336" s="24">
        <f ca="1">IFERROR(__xludf.DUMMYFUNCTION("""COMPUTED_VALUE"""),0)</f>
        <v>0</v>
      </c>
      <c r="AZ336" s="24">
        <f ca="1">IFERROR(__xludf.DUMMYFUNCTION("""COMPUTED_VALUE"""),0)</f>
        <v>0</v>
      </c>
      <c r="BA336" s="24">
        <f ca="1">IFERROR(__xludf.DUMMYFUNCTION("""COMPUTED_VALUE"""),3986.5)</f>
        <v>3986.5</v>
      </c>
      <c r="BB336" s="24">
        <f ca="1">IFERROR(__xludf.DUMMYFUNCTION("""COMPUTED_VALUE"""),649)</f>
        <v>649</v>
      </c>
      <c r="BC336" s="20"/>
      <c r="BD336" s="24">
        <f ca="1">IFERROR(__xludf.DUMMYFUNCTION("""COMPUTED_VALUE"""),0)</f>
        <v>0</v>
      </c>
      <c r="BE336" s="24">
        <f ca="1">IFERROR(__xludf.DUMMYFUNCTION("""COMPUTED_VALUE"""),0)</f>
        <v>0</v>
      </c>
      <c r="BF336" s="24">
        <f ca="1">IFERROR(__xludf.DUMMYFUNCTION("""COMPUTED_VALUE"""),0)</f>
        <v>0</v>
      </c>
      <c r="BG336" s="24">
        <f ca="1">IFERROR(__xludf.DUMMYFUNCTION("""COMPUTED_VALUE"""),0)</f>
        <v>0</v>
      </c>
      <c r="BH336" s="24">
        <f ca="1">IFERROR(__xludf.DUMMYFUNCTION("""COMPUTED_VALUE"""),0)</f>
        <v>0</v>
      </c>
      <c r="BI336" s="20"/>
      <c r="BJ336" s="24">
        <f ca="1">IFERROR(__xludf.DUMMYFUNCTION("""COMPUTED_VALUE"""),0)</f>
        <v>0</v>
      </c>
      <c r="BK336" s="24">
        <f ca="1">IFERROR(__xludf.DUMMYFUNCTION("""COMPUTED_VALUE"""),0)</f>
        <v>0</v>
      </c>
      <c r="BL336" s="24">
        <f ca="1">IFERROR(__xludf.DUMMYFUNCTION("""COMPUTED_VALUE"""),0)</f>
        <v>0</v>
      </c>
      <c r="BM336" s="24">
        <f ca="1">IFERROR(__xludf.DUMMYFUNCTION("""COMPUTED_VALUE"""),0)</f>
        <v>0</v>
      </c>
      <c r="BN336" s="24">
        <f ca="1">IFERROR(__xludf.DUMMYFUNCTION("""COMPUTED_VALUE"""),0)</f>
        <v>0</v>
      </c>
      <c r="BO336" s="20"/>
      <c r="BP336" s="24">
        <f ca="1">IFERROR(__xludf.DUMMYFUNCTION("""COMPUTED_VALUE"""),0)</f>
        <v>0</v>
      </c>
      <c r="BQ336" s="24">
        <f ca="1">IFERROR(__xludf.DUMMYFUNCTION("""COMPUTED_VALUE"""),0)</f>
        <v>0</v>
      </c>
      <c r="BR336" s="24">
        <f ca="1">IFERROR(__xludf.DUMMYFUNCTION("""COMPUTED_VALUE"""),0)</f>
        <v>0</v>
      </c>
      <c r="BS336" s="24">
        <f ca="1">IFERROR(__xludf.DUMMYFUNCTION("""COMPUTED_VALUE"""),0)</f>
        <v>0</v>
      </c>
      <c r="BT336" s="24">
        <f ca="1">IFERROR(__xludf.DUMMYFUNCTION("""COMPUTED_VALUE"""),0)</f>
        <v>0</v>
      </c>
      <c r="BU336" s="20"/>
      <c r="BV336" s="24">
        <f ca="1">IFERROR(__xludf.DUMMYFUNCTION("""COMPUTED_VALUE"""),0)</f>
        <v>0</v>
      </c>
      <c r="BW336" s="24">
        <f ca="1">IFERROR(__xludf.DUMMYFUNCTION("""COMPUTED_VALUE"""),0)</f>
        <v>0</v>
      </c>
      <c r="BX336" s="24">
        <f ca="1">IFERROR(__xludf.DUMMYFUNCTION("""COMPUTED_VALUE"""),0)</f>
        <v>0</v>
      </c>
      <c r="BY336" s="24">
        <f ca="1">IFERROR(__xludf.DUMMYFUNCTION("""COMPUTED_VALUE"""),0)</f>
        <v>0</v>
      </c>
      <c r="BZ336" s="24">
        <f ca="1">IFERROR(__xludf.DUMMYFUNCTION("""COMPUTED_VALUE"""),0)</f>
        <v>0</v>
      </c>
      <c r="CA336" s="20"/>
      <c r="CB336" s="20"/>
      <c r="CC336" s="20"/>
      <c r="CD336" s="20"/>
      <c r="CE336" s="20"/>
      <c r="CF336" s="20"/>
      <c r="CG336" s="20"/>
      <c r="CH336" s="20"/>
      <c r="CI336" s="20"/>
      <c r="CJ336" s="20"/>
      <c r="CK336" s="20"/>
      <c r="CL336" s="20"/>
      <c r="CM336" s="26">
        <f ca="1">IFERROR(__xludf.DUMMYFUNCTION("""COMPUTED_VALUE"""),43928)</f>
        <v>43928</v>
      </c>
      <c r="CN336" s="20" t="str">
        <f ca="1">IFERROR(__xludf.DUMMYFUNCTION("""COMPUTED_VALUE"""),"0848600007420000080")</f>
        <v>0848600007420000080</v>
      </c>
      <c r="CO336" s="26">
        <f ca="1">IFERROR(__xludf.DUMMYFUNCTION("""COMPUTED_VALUE"""),43963)</f>
        <v>43963</v>
      </c>
      <c r="CP336" s="20" t="str">
        <f ca="1">IFERROR(__xludf.DUMMYFUNCTION("""COMPUTED_VALUE"""),"0848600007420000080")</f>
        <v>0848600007420000080</v>
      </c>
      <c r="CQ336" s="20">
        <f ca="1">IFERROR(__xludf.DUMMYFUNCTION("""COMPUTED_VALUE"""),4464980.91)</f>
        <v>4464980.91</v>
      </c>
      <c r="CR336" s="20" t="str">
        <f ca="1">IFERROR(__xludf.DUMMYFUNCTION("""COMPUTED_VALUE"""),"АО ПК ""ТИС"" ")</f>
        <v xml:space="preserve">АО ПК "ТИС" </v>
      </c>
      <c r="CS336" s="27" t="str">
        <f ca="1">IFERROR(__xludf.DUMMYFUNCTION("""COMPUTED_VALUE"""),"https://zakupki.gov.ru/epz/contract/contractCard/common-info.html?reestrNumber=3507600024020000075&amp;backUrl=6d4d1cd6-4c61-4a08-9d64-a78f42881ff3")</f>
        <v>https://zakupki.gov.ru/epz/contract/contractCard/common-info.html?reestrNumber=3507600024020000075&amp;backUrl=6d4d1cd6-4c61-4a08-9d64-a78f42881ff3</v>
      </c>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row>
    <row r="337" spans="1:123" ht="64.5" customHeight="1" x14ac:dyDescent="0.2">
      <c r="A337" s="19"/>
      <c r="B337" s="20" t="str">
        <f ca="1">IFERROR(__xludf.DUMMYFUNCTION("""COMPUTED_VALUE"""),"г.о. Серебряные Пруды")</f>
        <v>г.о. Серебряные Пруды</v>
      </c>
      <c r="C33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7" s="20" t="str">
        <f ca="1">IFERROR(__xludf.DUMMYFUNCTION("""COMPUTED_VALUE"""),"МинЖКХ ""ТОП 5 (1 этап)""")</f>
        <v>МинЖКХ "ТОП 5 (1 этап)"</v>
      </c>
      <c r="E337" s="20" t="str">
        <f ca="1">IFERROR(__xludf.DUMMYFUNCTION("""COMPUTED_VALUE"""),"Строительство блочно-модульной котельной (БМК) в п. Дмитриевский мощностью 2,1 МВт, г.о. Серебряные Пруды (в т.ч. ПИР) ")</f>
        <v xml:space="preserve">Строительство блочно-модульной котельной (БМК) в п. Дмитриевский мощностью 2,1 МВт, г.о. Серебряные Пруды (в т.ч. ПИР) </v>
      </c>
      <c r="F337" s="32" t="str">
        <f ca="1">IFERROR(__xludf.DUMMYFUNCTION("""COMPUTED_VALUE"""),"БМК")</f>
        <v>БМК</v>
      </c>
      <c r="G337" s="20">
        <f ca="1">IFERROR(__xludf.DUMMYFUNCTION("""COMPUTED_VALUE"""),2020)</f>
        <v>2020</v>
      </c>
      <c r="H337" s="20" t="str">
        <f ca="1">IFERROR(__xludf.DUMMYFUNCTION("""COMPUTED_VALUE"""),"СМР")</f>
        <v>СМР</v>
      </c>
      <c r="I337" s="20">
        <f ca="1">IFERROR(__xludf.DUMMYFUNCTION("""COMPUTED_VALUE"""),15)</f>
        <v>15</v>
      </c>
      <c r="J337" s="20" t="str">
        <f ca="1">IFERROR(__xludf.DUMMYFUNCTION("""COMPUTED_VALUE"""),"Получено положительное заключение МОГЭ. Опубликовано закупка в системе ЕИС 02.12.2020. Написали письмо на перенос частично на 2021 год. Идет монтаж водопроводной сети к  БМК, монтаж водопроводного колодца, подготовка фундамента под котельную.  Поставка об"&amp;"орудования будет после подписание контракта. Высокий риск не освоения лимитов в 2020 году. ")</f>
        <v xml:space="preserve">Получено положительное заключение МОГЭ. Опубликовано закупка в системе ЕИС 02.12.2020. Написали письмо на перенос частично на 2021 год. Идет монтаж водопроводной сети к  БМК, монтаж водопроводного колодца, подготовка фундамента под котельную.  Поставка оборудования будет после подписание контракта. Высокий риск не освоения лимитов в 2020 году. </v>
      </c>
      <c r="K337" s="20">
        <f ca="1">IFERROR(__xludf.DUMMYFUNCTION("""COMPUTED_VALUE"""),508)</f>
        <v>508</v>
      </c>
      <c r="L337" s="20">
        <f ca="1">IFERROR(__xludf.DUMMYFUNCTION("""COMPUTED_VALUE"""),508)</f>
        <v>508</v>
      </c>
      <c r="M337" s="20"/>
      <c r="N337" s="24">
        <f ca="1">IFERROR(__xludf.DUMMYFUNCTION("""COMPUTED_VALUE"""),0)</f>
        <v>0</v>
      </c>
      <c r="O337" s="20"/>
      <c r="P337" s="24">
        <f ca="1">IFERROR(__xludf.DUMMYFUNCTION("""COMPUTED_VALUE"""),0)</f>
        <v>0</v>
      </c>
      <c r="Q337" s="20"/>
      <c r="R337" s="20"/>
      <c r="S337" s="20"/>
      <c r="T337" s="20" t="str">
        <f ca="1">IFERROR(__xludf.DUMMYFUNCTION("""COMPUTED_VALUE"""),"ОМСУ направило письмо от 17.11.2020 в адрес МинЖКХ на перенос 50% лимитов на 2021 год. Предпологаемая дата из МОГЭ 23.11.2020.  СМР выполнен 15 %. ")</f>
        <v xml:space="preserve">ОМСУ направило письмо от 17.11.2020 в адрес МинЖКХ на перенос 50% лимитов на 2021 год. Предпологаемая дата из МОГЭ 23.11.2020.  СМР выполнен 15 %. </v>
      </c>
      <c r="U337" s="24">
        <f ca="1">IFERROR(__xludf.DUMMYFUNCTION("""COMPUTED_VALUE"""),30706.9699999999)</f>
        <v>30706.969999999899</v>
      </c>
      <c r="V337" s="24">
        <f ca="1">IFERROR(__xludf.DUMMYFUNCTION("""COMPUTED_VALUE"""),0)</f>
        <v>0</v>
      </c>
      <c r="W337" s="24">
        <f ca="1">IFERROR(__xludf.DUMMYFUNCTION("""COMPUTED_VALUE"""),0)</f>
        <v>0</v>
      </c>
      <c r="X337" s="24">
        <f ca="1">IFERROR(__xludf.DUMMYFUNCTION("""COMPUTED_VALUE"""),26407.94)</f>
        <v>26407.94</v>
      </c>
      <c r="Y337" s="24">
        <f ca="1">IFERROR(__xludf.DUMMYFUNCTION("""COMPUTED_VALUE"""),4299.03)</f>
        <v>4299.03</v>
      </c>
      <c r="Z337" s="24">
        <f ca="1">IFERROR(__xludf.DUMMYFUNCTION("""COMPUTED_VALUE"""),0)</f>
        <v>0</v>
      </c>
      <c r="AA337" s="20" t="str">
        <f ca="1">IFERROR(__xludf.DUMMYFUNCTION("""COMPUTED_VALUE"""),"10 3 02 64080")</f>
        <v>10 3 02 64080</v>
      </c>
      <c r="AB337" s="20">
        <f ca="1">IFERROR(__xludf.DUMMYFUNCTION("""COMPUTED_VALUE"""),522)</f>
        <v>522</v>
      </c>
      <c r="AC337" s="20"/>
      <c r="AD337" s="20"/>
      <c r="AE337" s="20"/>
      <c r="AF337" s="24">
        <f ca="1">IFERROR(__xludf.DUMMYFUNCTION("""COMPUTED_VALUE"""),30706.9699999999)</f>
        <v>30706.969999999899</v>
      </c>
      <c r="AG337" s="24">
        <f ca="1">IFERROR(__xludf.DUMMYFUNCTION("""COMPUTED_VALUE"""),0)</f>
        <v>0</v>
      </c>
      <c r="AH337" s="24">
        <f ca="1">IFERROR(__xludf.DUMMYFUNCTION("""COMPUTED_VALUE"""),0)</f>
        <v>0</v>
      </c>
      <c r="AI337" s="24">
        <f ca="1">IFERROR(__xludf.DUMMYFUNCTION("""COMPUTED_VALUE"""),26407.94)</f>
        <v>26407.94</v>
      </c>
      <c r="AJ337" s="24">
        <f ca="1">IFERROR(__xludf.DUMMYFUNCTION("""COMPUTED_VALUE"""),4299.03)</f>
        <v>4299.03</v>
      </c>
      <c r="AK337" s="24">
        <f ca="1">IFERROR(__xludf.DUMMYFUNCTION("""COMPUTED_VALUE"""),0)</f>
        <v>0</v>
      </c>
      <c r="AL337" s="24">
        <f ca="1">IFERROR(__xludf.DUMMYFUNCTION("""COMPUTED_VALUE"""),0)</f>
        <v>0</v>
      </c>
      <c r="AM337" s="20"/>
      <c r="AN337" s="20"/>
      <c r="AO337" s="20"/>
      <c r="AP337" s="20"/>
      <c r="AQ337" s="20"/>
      <c r="AR337" s="24">
        <f ca="1">IFERROR(__xludf.DUMMYFUNCTION("""COMPUTED_VALUE"""),0)</f>
        <v>0</v>
      </c>
      <c r="AS337" s="20"/>
      <c r="AT337" s="20"/>
      <c r="AU337" s="20"/>
      <c r="AV337" s="20"/>
      <c r="AW337" s="20"/>
      <c r="AX337" s="24">
        <f ca="1">IFERROR(__xludf.DUMMYFUNCTION("""COMPUTED_VALUE"""),30706.9699999999)</f>
        <v>30706.969999999899</v>
      </c>
      <c r="AY337" s="24">
        <f ca="1">IFERROR(__xludf.DUMMYFUNCTION("""COMPUTED_VALUE"""),0)</f>
        <v>0</v>
      </c>
      <c r="AZ337" s="24">
        <f ca="1">IFERROR(__xludf.DUMMYFUNCTION("""COMPUTED_VALUE"""),0)</f>
        <v>0</v>
      </c>
      <c r="BA337" s="24">
        <f ca="1">IFERROR(__xludf.DUMMYFUNCTION("""COMPUTED_VALUE"""),26407.94)</f>
        <v>26407.94</v>
      </c>
      <c r="BB337" s="24">
        <f ca="1">IFERROR(__xludf.DUMMYFUNCTION("""COMPUTED_VALUE"""),4299.03)</f>
        <v>4299.03</v>
      </c>
      <c r="BC337" s="20"/>
      <c r="BD337" s="24">
        <f ca="1">IFERROR(__xludf.DUMMYFUNCTION("""COMPUTED_VALUE"""),0)</f>
        <v>0</v>
      </c>
      <c r="BE337" s="24">
        <f ca="1">IFERROR(__xludf.DUMMYFUNCTION("""COMPUTED_VALUE"""),0)</f>
        <v>0</v>
      </c>
      <c r="BF337" s="24">
        <f ca="1">IFERROR(__xludf.DUMMYFUNCTION("""COMPUTED_VALUE"""),0)</f>
        <v>0</v>
      </c>
      <c r="BG337" s="24">
        <f ca="1">IFERROR(__xludf.DUMMYFUNCTION("""COMPUTED_VALUE"""),0)</f>
        <v>0</v>
      </c>
      <c r="BH337" s="24">
        <f ca="1">IFERROR(__xludf.DUMMYFUNCTION("""COMPUTED_VALUE"""),0)</f>
        <v>0</v>
      </c>
      <c r="BI337" s="20"/>
      <c r="BJ337" s="24">
        <f ca="1">IFERROR(__xludf.DUMMYFUNCTION("""COMPUTED_VALUE"""),0)</f>
        <v>0</v>
      </c>
      <c r="BK337" s="24">
        <f ca="1">IFERROR(__xludf.DUMMYFUNCTION("""COMPUTED_VALUE"""),0)</f>
        <v>0</v>
      </c>
      <c r="BL337" s="24">
        <f ca="1">IFERROR(__xludf.DUMMYFUNCTION("""COMPUTED_VALUE"""),0)</f>
        <v>0</v>
      </c>
      <c r="BM337" s="24">
        <f ca="1">IFERROR(__xludf.DUMMYFUNCTION("""COMPUTED_VALUE"""),0)</f>
        <v>0</v>
      </c>
      <c r="BN337" s="24">
        <f ca="1">IFERROR(__xludf.DUMMYFUNCTION("""COMPUTED_VALUE"""),0)</f>
        <v>0</v>
      </c>
      <c r="BO337" s="20"/>
      <c r="BP337" s="24">
        <f ca="1">IFERROR(__xludf.DUMMYFUNCTION("""COMPUTED_VALUE"""),0)</f>
        <v>0</v>
      </c>
      <c r="BQ337" s="24">
        <f ca="1">IFERROR(__xludf.DUMMYFUNCTION("""COMPUTED_VALUE"""),0)</f>
        <v>0</v>
      </c>
      <c r="BR337" s="24">
        <f ca="1">IFERROR(__xludf.DUMMYFUNCTION("""COMPUTED_VALUE"""),0)</f>
        <v>0</v>
      </c>
      <c r="BS337" s="24">
        <f ca="1">IFERROR(__xludf.DUMMYFUNCTION("""COMPUTED_VALUE"""),0)</f>
        <v>0</v>
      </c>
      <c r="BT337" s="24">
        <f ca="1">IFERROR(__xludf.DUMMYFUNCTION("""COMPUTED_VALUE"""),0)</f>
        <v>0</v>
      </c>
      <c r="BU337" s="20"/>
      <c r="BV337" s="24">
        <f ca="1">IFERROR(__xludf.DUMMYFUNCTION("""COMPUTED_VALUE"""),0)</f>
        <v>0</v>
      </c>
      <c r="BW337" s="24">
        <f ca="1">IFERROR(__xludf.DUMMYFUNCTION("""COMPUTED_VALUE"""),0)</f>
        <v>0</v>
      </c>
      <c r="BX337" s="24">
        <f ca="1">IFERROR(__xludf.DUMMYFUNCTION("""COMPUTED_VALUE"""),0)</f>
        <v>0</v>
      </c>
      <c r="BY337" s="24">
        <f ca="1">IFERROR(__xludf.DUMMYFUNCTION("""COMPUTED_VALUE"""),0)</f>
        <v>0</v>
      </c>
      <c r="BZ337" s="24">
        <f ca="1">IFERROR(__xludf.DUMMYFUNCTION("""COMPUTED_VALUE"""),0)</f>
        <v>0</v>
      </c>
      <c r="CA337" s="20"/>
      <c r="CB337" s="20"/>
      <c r="CC337" s="20"/>
      <c r="CD337" s="20"/>
      <c r="CE337" s="20"/>
      <c r="CF337" s="20"/>
      <c r="CG337" s="20"/>
      <c r="CH337" s="20"/>
      <c r="CI337" s="20"/>
      <c r="CJ337" s="20"/>
      <c r="CK337" s="20"/>
      <c r="CL337" s="20"/>
      <c r="CM337" s="26">
        <f ca="1">IFERROR(__xludf.DUMMYFUNCTION("""COMPUTED_VALUE"""),43945)</f>
        <v>43945</v>
      </c>
      <c r="CN337" s="20" t="str">
        <f ca="1">IFERROR(__xludf.DUMMYFUNCTION("""COMPUTED_VALUE"""),"0848600007420000096")</f>
        <v>0848600007420000096</v>
      </c>
      <c r="CO337" s="26">
        <f ca="1">IFERROR(__xludf.DUMMYFUNCTION("""COMPUTED_VALUE"""),44001)</f>
        <v>44001</v>
      </c>
      <c r="CP337" s="20" t="str">
        <f ca="1">IFERROR(__xludf.DUMMYFUNCTION("""COMPUTED_VALUE"""),"0848600007420000096")</f>
        <v>0848600007420000096</v>
      </c>
      <c r="CQ337" s="20">
        <f ca="1">IFERROR(__xludf.DUMMYFUNCTION("""COMPUTED_VALUE"""),28700000)</f>
        <v>28700000</v>
      </c>
      <c r="CR337" s="20" t="str">
        <f ca="1">IFERROR(__xludf.DUMMYFUNCTION("""COMPUTED_VALUE"""),"АО ""МОСОБЛГАЗ"" ""Юг"" ")</f>
        <v xml:space="preserve">АО "МОСОБЛГАЗ" "Юг" </v>
      </c>
      <c r="CS337" s="27" t="str">
        <f ca="1">IFERROR(__xludf.DUMMYFUNCTION("""COMPUTED_VALUE"""),"https://zakupki.gov.ru/epz/contract/contractCard/common-info.html?reestrNumber=3507600024020000100&amp;backUrl=b98fddca-6b40-408c-bf66-5adc1e4e56e0")</f>
        <v>https://zakupki.gov.ru/epz/contract/contractCard/common-info.html?reestrNumber=3507600024020000100&amp;backUrl=b98fddca-6b40-408c-bf66-5adc1e4e56e0</v>
      </c>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row>
    <row r="338" spans="1:123" ht="64.5" customHeight="1" x14ac:dyDescent="0.2">
      <c r="A338" s="19"/>
      <c r="B338" s="20" t="str">
        <f ca="1">IFERROR(__xludf.DUMMYFUNCTION("""COMPUTED_VALUE"""),"г.о. Серебряные Пруды")</f>
        <v>г.о. Серебряные Пруды</v>
      </c>
      <c r="C33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8" s="20" t="str">
        <f ca="1">IFERROR(__xludf.DUMMYFUNCTION("""COMPUTED_VALUE"""),"МинЖКХ ""ТОП 5 (1 этап)""")</f>
        <v>МинЖКХ "ТОП 5 (1 этап)"</v>
      </c>
      <c r="E338" s="20" t="str">
        <f ca="1">IFERROR(__xludf.DUMMYFUNCTION("""COMPUTED_VALUE"""),"Строительство блочно-модульной котельной в с. Глубокое мощностью 2,2 МВт, г.о. Серебряные Пруды (в т.ч. ПИР) ")</f>
        <v xml:space="preserve">Строительство блочно-модульной котельной в с. Глубокое мощностью 2,2 МВт, г.о. Серебряные Пруды (в т.ч. ПИР) </v>
      </c>
      <c r="F338" s="32" t="str">
        <f ca="1">IFERROR(__xludf.DUMMYFUNCTION("""COMPUTED_VALUE"""),"БМК")</f>
        <v>БМК</v>
      </c>
      <c r="G338" s="20" t="str">
        <f ca="1">IFERROR(__xludf.DUMMYFUNCTION("""COMPUTED_VALUE"""),"2020-2021")</f>
        <v>2020-2021</v>
      </c>
      <c r="H338" s="20" t="str">
        <f ca="1">IFERROR(__xludf.DUMMYFUNCTION("""COMPUTED_VALUE"""),"СМР")</f>
        <v>СМР</v>
      </c>
      <c r="I338" s="20"/>
      <c r="J338" s="20" t="str">
        <f ca="1">IFERROR(__xludf.DUMMYFUNCTION("""COMPUTED_VALUE"""),"Предварительная дата выхода из МОГЭ 09.12.2020.")</f>
        <v>Предварительная дата выхода из МОГЭ 09.12.2020.</v>
      </c>
      <c r="K338" s="20">
        <f ca="1">IFERROR(__xludf.DUMMYFUNCTION("""COMPUTED_VALUE"""),421)</f>
        <v>421</v>
      </c>
      <c r="L338" s="20">
        <f ca="1">IFERROR(__xludf.DUMMYFUNCTION("""COMPUTED_VALUE"""),421)</f>
        <v>421</v>
      </c>
      <c r="M338" s="20"/>
      <c r="N338" s="24">
        <f ca="1">IFERROR(__xludf.DUMMYFUNCTION("""COMPUTED_VALUE"""),0)</f>
        <v>0</v>
      </c>
      <c r="O338" s="20"/>
      <c r="P338" s="24">
        <f ca="1">IFERROR(__xludf.DUMMYFUNCTION("""COMPUTED_VALUE"""),0)</f>
        <v>0</v>
      </c>
      <c r="Q338" s="20"/>
      <c r="R338" s="20"/>
      <c r="S338" s="20"/>
      <c r="T338" s="20"/>
      <c r="U338" s="24">
        <f ca="1">IFERROR(__xludf.DUMMYFUNCTION("""COMPUTED_VALUE"""),3701.02)</f>
        <v>3701.02</v>
      </c>
      <c r="V338" s="24">
        <f ca="1">IFERROR(__xludf.DUMMYFUNCTION("""COMPUTED_VALUE"""),0)</f>
        <v>0</v>
      </c>
      <c r="W338" s="24">
        <f ca="1">IFERROR(__xludf.DUMMYFUNCTION("""COMPUTED_VALUE"""),0)</f>
        <v>0</v>
      </c>
      <c r="X338" s="24">
        <f ca="1">IFERROR(__xludf.DUMMYFUNCTION("""COMPUTED_VALUE"""),3182.88)</f>
        <v>3182.88</v>
      </c>
      <c r="Y338" s="24">
        <f ca="1">IFERROR(__xludf.DUMMYFUNCTION("""COMPUTED_VALUE"""),518.14)</f>
        <v>518.14</v>
      </c>
      <c r="Z338" s="24">
        <f ca="1">IFERROR(__xludf.DUMMYFUNCTION("""COMPUTED_VALUE"""),0)</f>
        <v>0</v>
      </c>
      <c r="AA338" s="20" t="str">
        <f ca="1">IFERROR(__xludf.DUMMYFUNCTION("""COMPUTED_VALUE"""),"10 3 02 64080")</f>
        <v>10 3 02 64080</v>
      </c>
      <c r="AB338" s="20">
        <f ca="1">IFERROR(__xludf.DUMMYFUNCTION("""COMPUTED_VALUE"""),522)</f>
        <v>522</v>
      </c>
      <c r="AC338" s="20"/>
      <c r="AD338" s="20"/>
      <c r="AE338" s="20"/>
      <c r="AF338" s="24">
        <f ca="1">IFERROR(__xludf.DUMMYFUNCTION("""COMPUTED_VALUE"""),20047.63)</f>
        <v>20047.63</v>
      </c>
      <c r="AG338" s="24">
        <f ca="1">IFERROR(__xludf.DUMMYFUNCTION("""COMPUTED_VALUE"""),0)</f>
        <v>0</v>
      </c>
      <c r="AH338" s="24">
        <f ca="1">IFERROR(__xludf.DUMMYFUNCTION("""COMPUTED_VALUE"""),0)</f>
        <v>0</v>
      </c>
      <c r="AI338" s="24">
        <f ca="1">IFERROR(__xludf.DUMMYFUNCTION("""COMPUTED_VALUE"""),17240.88)</f>
        <v>17240.88</v>
      </c>
      <c r="AJ338" s="24">
        <f ca="1">IFERROR(__xludf.DUMMYFUNCTION("""COMPUTED_VALUE"""),2806.75)</f>
        <v>2806.75</v>
      </c>
      <c r="AK338" s="24">
        <f ca="1">IFERROR(__xludf.DUMMYFUNCTION("""COMPUTED_VALUE"""),0)</f>
        <v>0</v>
      </c>
      <c r="AL338" s="24">
        <f ca="1">IFERROR(__xludf.DUMMYFUNCTION("""COMPUTED_VALUE"""),0)</f>
        <v>0</v>
      </c>
      <c r="AM338" s="20"/>
      <c r="AN338" s="20"/>
      <c r="AO338" s="20"/>
      <c r="AP338" s="20"/>
      <c r="AQ338" s="20"/>
      <c r="AR338" s="24">
        <f ca="1">IFERROR(__xludf.DUMMYFUNCTION("""COMPUTED_VALUE"""),0)</f>
        <v>0</v>
      </c>
      <c r="AS338" s="20"/>
      <c r="AT338" s="20"/>
      <c r="AU338" s="20"/>
      <c r="AV338" s="20"/>
      <c r="AW338" s="20"/>
      <c r="AX338" s="24">
        <f ca="1">IFERROR(__xludf.DUMMYFUNCTION("""COMPUTED_VALUE"""),3701.02)</f>
        <v>3701.02</v>
      </c>
      <c r="AY338" s="24">
        <f ca="1">IFERROR(__xludf.DUMMYFUNCTION("""COMPUTED_VALUE"""),0)</f>
        <v>0</v>
      </c>
      <c r="AZ338" s="24">
        <f ca="1">IFERROR(__xludf.DUMMYFUNCTION("""COMPUTED_VALUE"""),0)</f>
        <v>0</v>
      </c>
      <c r="BA338" s="24">
        <f ca="1">IFERROR(__xludf.DUMMYFUNCTION("""COMPUTED_VALUE"""),3182.88)</f>
        <v>3182.88</v>
      </c>
      <c r="BB338" s="24">
        <f ca="1">IFERROR(__xludf.DUMMYFUNCTION("""COMPUTED_VALUE"""),518.14)</f>
        <v>518.14</v>
      </c>
      <c r="BC338" s="20"/>
      <c r="BD338" s="24">
        <f ca="1">IFERROR(__xludf.DUMMYFUNCTION("""COMPUTED_VALUE"""),16346.61)</f>
        <v>16346.61</v>
      </c>
      <c r="BE338" s="24">
        <f ca="1">IFERROR(__xludf.DUMMYFUNCTION("""COMPUTED_VALUE"""),0)</f>
        <v>0</v>
      </c>
      <c r="BF338" s="24">
        <f ca="1">IFERROR(__xludf.DUMMYFUNCTION("""COMPUTED_VALUE"""),0)</f>
        <v>0</v>
      </c>
      <c r="BG338" s="24">
        <f ca="1">IFERROR(__xludf.DUMMYFUNCTION("""COMPUTED_VALUE"""),14058)</f>
        <v>14058</v>
      </c>
      <c r="BH338" s="24">
        <f ca="1">IFERROR(__xludf.DUMMYFUNCTION("""COMPUTED_VALUE"""),2288.61)</f>
        <v>2288.61</v>
      </c>
      <c r="BI338" s="20"/>
      <c r="BJ338" s="24">
        <f ca="1">IFERROR(__xludf.DUMMYFUNCTION("""COMPUTED_VALUE"""),0)</f>
        <v>0</v>
      </c>
      <c r="BK338" s="24">
        <f ca="1">IFERROR(__xludf.DUMMYFUNCTION("""COMPUTED_VALUE"""),0)</f>
        <v>0</v>
      </c>
      <c r="BL338" s="24">
        <f ca="1">IFERROR(__xludf.DUMMYFUNCTION("""COMPUTED_VALUE"""),0)</f>
        <v>0</v>
      </c>
      <c r="BM338" s="24">
        <f ca="1">IFERROR(__xludf.DUMMYFUNCTION("""COMPUTED_VALUE"""),0)</f>
        <v>0</v>
      </c>
      <c r="BN338" s="24">
        <f ca="1">IFERROR(__xludf.DUMMYFUNCTION("""COMPUTED_VALUE"""),0)</f>
        <v>0</v>
      </c>
      <c r="BO338" s="20"/>
      <c r="BP338" s="24">
        <f ca="1">IFERROR(__xludf.DUMMYFUNCTION("""COMPUTED_VALUE"""),0)</f>
        <v>0</v>
      </c>
      <c r="BQ338" s="24">
        <f ca="1">IFERROR(__xludf.DUMMYFUNCTION("""COMPUTED_VALUE"""),0)</f>
        <v>0</v>
      </c>
      <c r="BR338" s="24">
        <f ca="1">IFERROR(__xludf.DUMMYFUNCTION("""COMPUTED_VALUE"""),0)</f>
        <v>0</v>
      </c>
      <c r="BS338" s="24">
        <f ca="1">IFERROR(__xludf.DUMMYFUNCTION("""COMPUTED_VALUE"""),0)</f>
        <v>0</v>
      </c>
      <c r="BT338" s="24">
        <f ca="1">IFERROR(__xludf.DUMMYFUNCTION("""COMPUTED_VALUE"""),0)</f>
        <v>0</v>
      </c>
      <c r="BU338" s="20"/>
      <c r="BV338" s="24">
        <f ca="1">IFERROR(__xludf.DUMMYFUNCTION("""COMPUTED_VALUE"""),0)</f>
        <v>0</v>
      </c>
      <c r="BW338" s="24">
        <f ca="1">IFERROR(__xludf.DUMMYFUNCTION("""COMPUTED_VALUE"""),0)</f>
        <v>0</v>
      </c>
      <c r="BX338" s="24">
        <f ca="1">IFERROR(__xludf.DUMMYFUNCTION("""COMPUTED_VALUE"""),0)</f>
        <v>0</v>
      </c>
      <c r="BY338" s="24">
        <f ca="1">IFERROR(__xludf.DUMMYFUNCTION("""COMPUTED_VALUE"""),0)</f>
        <v>0</v>
      </c>
      <c r="BZ338" s="24">
        <f ca="1">IFERROR(__xludf.DUMMYFUNCTION("""COMPUTED_VALUE"""),0)</f>
        <v>0</v>
      </c>
      <c r="CA338" s="20"/>
      <c r="CB338" s="20"/>
      <c r="CC338" s="20"/>
      <c r="CD338" s="20"/>
      <c r="CE338" s="20"/>
      <c r="CF338" s="20"/>
      <c r="CG338" s="20"/>
      <c r="CH338" s="20"/>
      <c r="CI338" s="20"/>
      <c r="CJ338" s="20"/>
      <c r="CK338" s="20"/>
      <c r="CL338" s="20"/>
      <c r="CM338" s="26">
        <f ca="1">IFERROR(__xludf.DUMMYFUNCTION("""COMPUTED_VALUE"""),43945)</f>
        <v>43945</v>
      </c>
      <c r="CN338" s="20" t="str">
        <f ca="1">IFERROR(__xludf.DUMMYFUNCTION("""COMPUTED_VALUE"""),"0848600007420000096")</f>
        <v>0848600007420000096</v>
      </c>
      <c r="CO338" s="26">
        <f ca="1">IFERROR(__xludf.DUMMYFUNCTION("""COMPUTED_VALUE"""),44001)</f>
        <v>44001</v>
      </c>
      <c r="CP338" s="20" t="str">
        <f ca="1">IFERROR(__xludf.DUMMYFUNCTION("""COMPUTED_VALUE"""),"0848600007420000096")</f>
        <v>0848600007420000096</v>
      </c>
      <c r="CQ338" s="20">
        <f ca="1">IFERROR(__xludf.DUMMYFUNCTION("""COMPUTED_VALUE"""),28700000)</f>
        <v>28700000</v>
      </c>
      <c r="CR338" s="20" t="str">
        <f ca="1">IFERROR(__xludf.DUMMYFUNCTION("""COMPUTED_VALUE"""),"АО ""МОСОБЛГАЗ"" ""Юг"" ")</f>
        <v xml:space="preserve">АО "МОСОБЛГАЗ" "Юг" </v>
      </c>
      <c r="CS338" s="27" t="str">
        <f ca="1">IFERROR(__xludf.DUMMYFUNCTION("""COMPUTED_VALUE"""),"https://zakupki.gov.ru/epz/contract/contractCard/common-info.html?reestrNumber=3507600024020000100&amp;backUrl=b98fddca-6b40-408c-bf66-5adc1e4e56e0")</f>
        <v>https://zakupki.gov.ru/epz/contract/contractCard/common-info.html?reestrNumber=3507600024020000100&amp;backUrl=b98fddca-6b40-408c-bf66-5adc1e4e56e0</v>
      </c>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row>
    <row r="339" spans="1:123" ht="64.5" customHeight="1" x14ac:dyDescent="0.2">
      <c r="A339" s="19"/>
      <c r="B339" s="20" t="str">
        <f ca="1">IFERROR(__xludf.DUMMYFUNCTION("""COMPUTED_VALUE"""),"г.о. Серебряные Пруды")</f>
        <v>г.о. Серебряные Пруды</v>
      </c>
      <c r="C33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9" s="20" t="str">
        <f ca="1">IFERROR(__xludf.DUMMYFUNCTION("""COMPUTED_VALUE"""),"МинЖКХ ""ТОП 5 (1 этап)""")</f>
        <v>МинЖКХ "ТОП 5 (1 этап)"</v>
      </c>
      <c r="E339" s="20" t="str">
        <f ca="1">IFERROR(__xludf.DUMMYFUNCTION("""COMPUTED_VALUE"""),"Строительство блочно-модульной котельной р.п. Серебряные Пруды, ул. ПТУ, мощностью 2,1 МВт , г.о. Серебряные Пруды (в т.ч. ПИР) ")</f>
        <v xml:space="preserve">Строительство блочно-модульной котельной р.п. Серебряные Пруды, ул. ПТУ, мощностью 2,1 МВт , г.о. Серебряные Пруды (в т.ч. ПИР) </v>
      </c>
      <c r="F339" s="32" t="str">
        <f ca="1">IFERROR(__xludf.DUMMYFUNCTION("""COMPUTED_VALUE"""),"БМК")</f>
        <v>БМК</v>
      </c>
      <c r="G339" s="20" t="str">
        <f ca="1">IFERROR(__xludf.DUMMYFUNCTION("""COMPUTED_VALUE"""),"2020-2021")</f>
        <v>2020-2021</v>
      </c>
      <c r="H339" s="20" t="str">
        <f ca="1">IFERROR(__xludf.DUMMYFUNCTION("""COMPUTED_VALUE"""),"СМР")</f>
        <v>СМР</v>
      </c>
      <c r="I339" s="20">
        <f ca="1">IFERROR(__xludf.DUMMYFUNCTION("""COMPUTED_VALUE"""),10)</f>
        <v>10</v>
      </c>
      <c r="J339" s="20" t="str">
        <f ca="1">IFERROR(__xludf.DUMMYFUNCTION("""COMPUTED_VALUE"""),"Предварительная дата выхода из МОГЭ 09.12.2020. Увелечение лимитов на 14 000 тыс. руб. Идет выполнения работ по обвязыванию арматурой для фундамента. Дата поставки оборудования 05.12.2020.")</f>
        <v>Предварительная дата выхода из МОГЭ 09.12.2020. Увелечение лимитов на 14 000 тыс. руб. Идет выполнения работ по обвязыванию арматурой для фундамента. Дата поставки оборудования 05.12.2020.</v>
      </c>
      <c r="K339" s="20">
        <f ca="1">IFERROR(__xludf.DUMMYFUNCTION("""COMPUTED_VALUE"""),286)</f>
        <v>286</v>
      </c>
      <c r="L339" s="20">
        <f ca="1">IFERROR(__xludf.DUMMYFUNCTION("""COMPUTED_VALUE"""),286)</f>
        <v>286</v>
      </c>
      <c r="M339" s="20"/>
      <c r="N339" s="24">
        <f ca="1">IFERROR(__xludf.DUMMYFUNCTION("""COMPUTED_VALUE"""),0)</f>
        <v>0</v>
      </c>
      <c r="O339" s="20"/>
      <c r="P339" s="24">
        <f ca="1">IFERROR(__xludf.DUMMYFUNCTION("""COMPUTED_VALUE"""),0)</f>
        <v>0</v>
      </c>
      <c r="Q339" s="20"/>
      <c r="R339" s="20"/>
      <c r="S339" s="20"/>
      <c r="T339" s="20" t="str">
        <f ca="1">IFERROR(__xludf.DUMMYFUNCTION("""COMPUTED_VALUE"""),"Выход из МОГЭ 04.12.2020 с увелечением лимтов на 9 691,06 тыс. руб. СМР выполнен на 10 %. ")</f>
        <v xml:space="preserve">Выход из МОГЭ 04.12.2020 с увелечением лимтов на 9 691,06 тыс. руб. СМР выполнен на 10 %. </v>
      </c>
      <c r="U339" s="24">
        <f ca="1">IFERROR(__xludf.DUMMYFUNCTION("""COMPUTED_VALUE"""),16102.83)</f>
        <v>16102.83</v>
      </c>
      <c r="V339" s="24">
        <f ca="1">IFERROR(__xludf.DUMMYFUNCTION("""COMPUTED_VALUE"""),0)</f>
        <v>0</v>
      </c>
      <c r="W339" s="24">
        <f ca="1">IFERROR(__xludf.DUMMYFUNCTION("""COMPUTED_VALUE"""),0)</f>
        <v>0</v>
      </c>
      <c r="X339" s="24">
        <f ca="1">IFERROR(__xludf.DUMMYFUNCTION("""COMPUTED_VALUE"""),13848.3)</f>
        <v>13848.3</v>
      </c>
      <c r="Y339" s="24">
        <f ca="1">IFERROR(__xludf.DUMMYFUNCTION("""COMPUTED_VALUE"""),2254.53)</f>
        <v>2254.5300000000002</v>
      </c>
      <c r="Z339" s="24">
        <f ca="1">IFERROR(__xludf.DUMMYFUNCTION("""COMPUTED_VALUE"""),0)</f>
        <v>0</v>
      </c>
      <c r="AA339" s="20" t="str">
        <f ca="1">IFERROR(__xludf.DUMMYFUNCTION("""COMPUTED_VALUE"""),"10 3 02 64080")</f>
        <v>10 3 02 64080</v>
      </c>
      <c r="AB339" s="20">
        <f ca="1">IFERROR(__xludf.DUMMYFUNCTION("""COMPUTED_VALUE"""),522)</f>
        <v>522</v>
      </c>
      <c r="AC339" s="20"/>
      <c r="AD339" s="20"/>
      <c r="AE339" s="20"/>
      <c r="AF339" s="24">
        <f ca="1">IFERROR(__xludf.DUMMYFUNCTION("""COMPUTED_VALUE"""),32205.66)</f>
        <v>32205.66</v>
      </c>
      <c r="AG339" s="24">
        <f ca="1">IFERROR(__xludf.DUMMYFUNCTION("""COMPUTED_VALUE"""),0)</f>
        <v>0</v>
      </c>
      <c r="AH339" s="24">
        <f ca="1">IFERROR(__xludf.DUMMYFUNCTION("""COMPUTED_VALUE"""),13848.3)</f>
        <v>13848.3</v>
      </c>
      <c r="AI339" s="24">
        <f ca="1">IFERROR(__xludf.DUMMYFUNCTION("""COMPUTED_VALUE"""),13848.3)</f>
        <v>13848.3</v>
      </c>
      <c r="AJ339" s="24">
        <f ca="1">IFERROR(__xludf.DUMMYFUNCTION("""COMPUTED_VALUE"""),4509.06)</f>
        <v>4509.0600000000004</v>
      </c>
      <c r="AK339" s="24">
        <f ca="1">IFERROR(__xludf.DUMMYFUNCTION("""COMPUTED_VALUE"""),0)</f>
        <v>0</v>
      </c>
      <c r="AL339" s="24">
        <f ca="1">IFERROR(__xludf.DUMMYFUNCTION("""COMPUTED_VALUE"""),0)</f>
        <v>0</v>
      </c>
      <c r="AM339" s="20"/>
      <c r="AN339" s="20"/>
      <c r="AO339" s="20"/>
      <c r="AP339" s="20"/>
      <c r="AQ339" s="20"/>
      <c r="AR339" s="24">
        <f ca="1">IFERROR(__xludf.DUMMYFUNCTION("""COMPUTED_VALUE"""),0)</f>
        <v>0</v>
      </c>
      <c r="AS339" s="20"/>
      <c r="AT339" s="20"/>
      <c r="AU339" s="20"/>
      <c r="AV339" s="20"/>
      <c r="AW339" s="20"/>
      <c r="AX339" s="24">
        <f ca="1">IFERROR(__xludf.DUMMYFUNCTION("""COMPUTED_VALUE"""),16102.83)</f>
        <v>16102.83</v>
      </c>
      <c r="AY339" s="24">
        <f ca="1">IFERROR(__xludf.DUMMYFUNCTION("""COMPUTED_VALUE"""),0)</f>
        <v>0</v>
      </c>
      <c r="AZ339" s="24">
        <f ca="1">IFERROR(__xludf.DUMMYFUNCTION("""COMPUTED_VALUE"""),0)</f>
        <v>0</v>
      </c>
      <c r="BA339" s="24">
        <f ca="1">IFERROR(__xludf.DUMMYFUNCTION("""COMPUTED_VALUE"""),13848.3)</f>
        <v>13848.3</v>
      </c>
      <c r="BB339" s="24">
        <f ca="1">IFERROR(__xludf.DUMMYFUNCTION("""COMPUTED_VALUE"""),2254.53)</f>
        <v>2254.5300000000002</v>
      </c>
      <c r="BC339" s="20"/>
      <c r="BD339" s="24">
        <f ca="1">IFERROR(__xludf.DUMMYFUNCTION("""COMPUTED_VALUE"""),16102.83)</f>
        <v>16102.83</v>
      </c>
      <c r="BE339" s="24">
        <f ca="1">IFERROR(__xludf.DUMMYFUNCTION("""COMPUTED_VALUE"""),0)</f>
        <v>0</v>
      </c>
      <c r="BF339" s="24">
        <f ca="1">IFERROR(__xludf.DUMMYFUNCTION("""COMPUTED_VALUE"""),13848.3)</f>
        <v>13848.3</v>
      </c>
      <c r="BG339" s="24">
        <f ca="1">IFERROR(__xludf.DUMMYFUNCTION("""COMPUTED_VALUE"""),0)</f>
        <v>0</v>
      </c>
      <c r="BH339" s="24">
        <f ca="1">IFERROR(__xludf.DUMMYFUNCTION("""COMPUTED_VALUE"""),2254.53)</f>
        <v>2254.5300000000002</v>
      </c>
      <c r="BI339" s="20"/>
      <c r="BJ339" s="24">
        <f ca="1">IFERROR(__xludf.DUMMYFUNCTION("""COMPUTED_VALUE"""),0)</f>
        <v>0</v>
      </c>
      <c r="BK339" s="24">
        <f ca="1">IFERROR(__xludf.DUMMYFUNCTION("""COMPUTED_VALUE"""),0)</f>
        <v>0</v>
      </c>
      <c r="BL339" s="24">
        <f ca="1">IFERROR(__xludf.DUMMYFUNCTION("""COMPUTED_VALUE"""),0)</f>
        <v>0</v>
      </c>
      <c r="BM339" s="24">
        <f ca="1">IFERROR(__xludf.DUMMYFUNCTION("""COMPUTED_VALUE"""),0)</f>
        <v>0</v>
      </c>
      <c r="BN339" s="24">
        <f ca="1">IFERROR(__xludf.DUMMYFUNCTION("""COMPUTED_VALUE"""),0)</f>
        <v>0</v>
      </c>
      <c r="BO339" s="20"/>
      <c r="BP339" s="24">
        <f ca="1">IFERROR(__xludf.DUMMYFUNCTION("""COMPUTED_VALUE"""),0)</f>
        <v>0</v>
      </c>
      <c r="BQ339" s="24">
        <f ca="1">IFERROR(__xludf.DUMMYFUNCTION("""COMPUTED_VALUE"""),0)</f>
        <v>0</v>
      </c>
      <c r="BR339" s="24">
        <f ca="1">IFERROR(__xludf.DUMMYFUNCTION("""COMPUTED_VALUE"""),0)</f>
        <v>0</v>
      </c>
      <c r="BS339" s="24">
        <f ca="1">IFERROR(__xludf.DUMMYFUNCTION("""COMPUTED_VALUE"""),0)</f>
        <v>0</v>
      </c>
      <c r="BT339" s="24">
        <f ca="1">IFERROR(__xludf.DUMMYFUNCTION("""COMPUTED_VALUE"""),0)</f>
        <v>0</v>
      </c>
      <c r="BU339" s="20"/>
      <c r="BV339" s="24">
        <f ca="1">IFERROR(__xludf.DUMMYFUNCTION("""COMPUTED_VALUE"""),0)</f>
        <v>0</v>
      </c>
      <c r="BW339" s="24">
        <f ca="1">IFERROR(__xludf.DUMMYFUNCTION("""COMPUTED_VALUE"""),0)</f>
        <v>0</v>
      </c>
      <c r="BX339" s="24">
        <f ca="1">IFERROR(__xludf.DUMMYFUNCTION("""COMPUTED_VALUE"""),0)</f>
        <v>0</v>
      </c>
      <c r="BY339" s="24">
        <f ca="1">IFERROR(__xludf.DUMMYFUNCTION("""COMPUTED_VALUE"""),0)</f>
        <v>0</v>
      </c>
      <c r="BZ339" s="24">
        <f ca="1">IFERROR(__xludf.DUMMYFUNCTION("""COMPUTED_VALUE"""),0)</f>
        <v>0</v>
      </c>
      <c r="CA339" s="20"/>
      <c r="CB339" s="20"/>
      <c r="CC339" s="20"/>
      <c r="CD339" s="20"/>
      <c r="CE339" s="20"/>
      <c r="CF339" s="20"/>
      <c r="CG339" s="20"/>
      <c r="CH339" s="20"/>
      <c r="CI339" s="20"/>
      <c r="CJ339" s="20"/>
      <c r="CK339" s="20"/>
      <c r="CL339" s="20"/>
      <c r="CM339" s="26">
        <f ca="1">IFERROR(__xludf.DUMMYFUNCTION("""COMPUTED_VALUE"""),43945)</f>
        <v>43945</v>
      </c>
      <c r="CN339" s="20" t="str">
        <f ca="1">IFERROR(__xludf.DUMMYFUNCTION("""COMPUTED_VALUE"""),"0848600007420000096")</f>
        <v>0848600007420000096</v>
      </c>
      <c r="CO339" s="26">
        <f ca="1">IFERROR(__xludf.DUMMYFUNCTION("""COMPUTED_VALUE"""),44001)</f>
        <v>44001</v>
      </c>
      <c r="CP339" s="20" t="str">
        <f ca="1">IFERROR(__xludf.DUMMYFUNCTION("""COMPUTED_VALUE"""),"0848600007420000096")</f>
        <v>0848600007420000096</v>
      </c>
      <c r="CQ339" s="20">
        <f ca="1">IFERROR(__xludf.DUMMYFUNCTION("""COMPUTED_VALUE"""),28700000)</f>
        <v>28700000</v>
      </c>
      <c r="CR339" s="20" t="str">
        <f ca="1">IFERROR(__xludf.DUMMYFUNCTION("""COMPUTED_VALUE"""),"АО ""МОСОБЛГАЗ"" ""Юг"" ")</f>
        <v xml:space="preserve">АО "МОСОБЛГАЗ" "Юг" </v>
      </c>
      <c r="CS339" s="27" t="str">
        <f ca="1">IFERROR(__xludf.DUMMYFUNCTION("""COMPUTED_VALUE"""),"https://zakupki.gov.ru/epz/contract/contractCard/common-info.html?reestrNumber=3507600024020000100&amp;backUrl=b98fddca-6b40-408c-bf66-5adc1e4e56e0")</f>
        <v>https://zakupki.gov.ru/epz/contract/contractCard/common-info.html?reestrNumber=3507600024020000100&amp;backUrl=b98fddca-6b40-408c-bf66-5adc1e4e56e0</v>
      </c>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row>
    <row r="340" spans="1:123" ht="64.5" customHeight="1" x14ac:dyDescent="0.2">
      <c r="A340" s="19"/>
      <c r="B340" s="20" t="str">
        <f ca="1">IFERROR(__xludf.DUMMYFUNCTION("""COMPUTED_VALUE"""),"г.о. Серебряные Пруды")</f>
        <v>г.о. Серебряные Пруды</v>
      </c>
      <c r="C34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0" s="20" t="str">
        <f ca="1">IFERROR(__xludf.DUMMYFUNCTION("""COMPUTED_VALUE"""),"МинЖКХ ""ТОП 5 (1 этап)""")</f>
        <v>МинЖКХ "ТОП 5 (1 этап)"</v>
      </c>
      <c r="E340" s="20" t="str">
        <f ca="1">IFERROR(__xludf.DUMMYFUNCTION("""COMPUTED_VALUE"""),"Строительство блочно-модульной котельной №2 р.п. Серебряные Пруды, ул.Комсомольская, г.о. Серебряные Пруды (в т.ч. ПИР) ")</f>
        <v xml:space="preserve">Строительство блочно-модульной котельной №2 р.п. Серебряные Пруды, ул.Комсомольская, г.о. Серебряные Пруды (в т.ч. ПИР) </v>
      </c>
      <c r="F340" s="32" t="str">
        <f ca="1">IFERROR(__xludf.DUMMYFUNCTION("""COMPUTED_VALUE"""),"БМК")</f>
        <v>БМК</v>
      </c>
      <c r="G340" s="20" t="str">
        <f ca="1">IFERROR(__xludf.DUMMYFUNCTION("""COMPUTED_VALUE"""),"2020-2021")</f>
        <v>2020-2021</v>
      </c>
      <c r="H340" s="20" t="str">
        <f ca="1">IFERROR(__xludf.DUMMYFUNCTION("""COMPUTED_VALUE"""),"СМР")</f>
        <v>СМР</v>
      </c>
      <c r="I340" s="20">
        <f ca="1">IFERROR(__xludf.DUMMYFUNCTION("""COMPUTED_VALUE"""),10)</f>
        <v>10</v>
      </c>
      <c r="J340" s="20" t="str">
        <f ca="1">IFERROR(__xludf.DUMMYFUNCTION("""COMPUTED_VALUE"""),"Предварительная дата выхода из МОГЭ 27.11.2020. Увелечение лимитов на 22 000 тыс. руб. Фундамент под котельную готов. . Дата поставки оборудования 05.12.2020.")</f>
        <v>Предварительная дата выхода из МОГЭ 27.11.2020. Увелечение лимитов на 22 000 тыс. руб. Фундамент под котельную готов. . Дата поставки оборудования 05.12.2020.</v>
      </c>
      <c r="K340" s="20">
        <f ca="1">IFERROR(__xludf.DUMMYFUNCTION("""COMPUTED_VALUE"""),1329)</f>
        <v>1329</v>
      </c>
      <c r="L340" s="20">
        <f ca="1">IFERROR(__xludf.DUMMYFUNCTION("""COMPUTED_VALUE"""),1329)</f>
        <v>1329</v>
      </c>
      <c r="M340" s="20"/>
      <c r="N340" s="24">
        <f ca="1">IFERROR(__xludf.DUMMYFUNCTION("""COMPUTED_VALUE"""),0)</f>
        <v>0</v>
      </c>
      <c r="O340" s="20"/>
      <c r="P340" s="24">
        <f ca="1">IFERROR(__xludf.DUMMYFUNCTION("""COMPUTED_VALUE"""),0)</f>
        <v>0</v>
      </c>
      <c r="Q340" s="20"/>
      <c r="R340" s="20"/>
      <c r="S340" s="20"/>
      <c r="T340" s="20" t="str">
        <f ca="1">IFERROR(__xludf.DUMMYFUNCTION("""COMPUTED_VALUE"""),"Выход из МОГЭ 09.12.2020 с увелечением лимтов на 22 774,35 тыс. руб. СМР выполнен на 10 %. ")</f>
        <v xml:space="preserve">Выход из МОГЭ 09.12.2020 с увелечением лимтов на 22 774,35 тыс. руб. СМР выполнен на 10 %. </v>
      </c>
      <c r="U340" s="24">
        <f ca="1">IFERROR(__xludf.DUMMYFUNCTION("""COMPUTED_VALUE"""),18382.66)</f>
        <v>18382.66</v>
      </c>
      <c r="V340" s="24">
        <f ca="1">IFERROR(__xludf.DUMMYFUNCTION("""COMPUTED_VALUE"""),0)</f>
        <v>0</v>
      </c>
      <c r="W340" s="24">
        <f ca="1">IFERROR(__xludf.DUMMYFUNCTION("""COMPUTED_VALUE"""),0)</f>
        <v>0</v>
      </c>
      <c r="X340" s="24">
        <f ca="1">IFERROR(__xludf.DUMMYFUNCTION("""COMPUTED_VALUE"""),15809)</f>
        <v>15809</v>
      </c>
      <c r="Y340" s="24">
        <f ca="1">IFERROR(__xludf.DUMMYFUNCTION("""COMPUTED_VALUE"""),2573.66)</f>
        <v>2573.66</v>
      </c>
      <c r="Z340" s="24">
        <f ca="1">IFERROR(__xludf.DUMMYFUNCTION("""COMPUTED_VALUE"""),0)</f>
        <v>0</v>
      </c>
      <c r="AA340" s="20" t="str">
        <f ca="1">IFERROR(__xludf.DUMMYFUNCTION("""COMPUTED_VALUE"""),"10 3 02 64080")</f>
        <v>10 3 02 64080</v>
      </c>
      <c r="AB340" s="20">
        <f ca="1">IFERROR(__xludf.DUMMYFUNCTION("""COMPUTED_VALUE"""),522)</f>
        <v>522</v>
      </c>
      <c r="AC340" s="20"/>
      <c r="AD340" s="20"/>
      <c r="AE340" s="20"/>
      <c r="AF340" s="24">
        <f ca="1">IFERROR(__xludf.DUMMYFUNCTION("""COMPUTED_VALUE"""),36765.31)</f>
        <v>36765.31</v>
      </c>
      <c r="AG340" s="24">
        <f ca="1">IFERROR(__xludf.DUMMYFUNCTION("""COMPUTED_VALUE"""),0)</f>
        <v>0</v>
      </c>
      <c r="AH340" s="24">
        <f ca="1">IFERROR(__xludf.DUMMYFUNCTION("""COMPUTED_VALUE"""),15809)</f>
        <v>15809</v>
      </c>
      <c r="AI340" s="24">
        <f ca="1">IFERROR(__xludf.DUMMYFUNCTION("""COMPUTED_VALUE"""),15809)</f>
        <v>15809</v>
      </c>
      <c r="AJ340" s="24">
        <f ca="1">IFERROR(__xludf.DUMMYFUNCTION("""COMPUTED_VALUE"""),5147.30999999999)</f>
        <v>5147.3099999999904</v>
      </c>
      <c r="AK340" s="24">
        <f ca="1">IFERROR(__xludf.DUMMYFUNCTION("""COMPUTED_VALUE"""),0)</f>
        <v>0</v>
      </c>
      <c r="AL340" s="24">
        <f ca="1">IFERROR(__xludf.DUMMYFUNCTION("""COMPUTED_VALUE"""),0)</f>
        <v>0</v>
      </c>
      <c r="AM340" s="20"/>
      <c r="AN340" s="20"/>
      <c r="AO340" s="20"/>
      <c r="AP340" s="20"/>
      <c r="AQ340" s="20"/>
      <c r="AR340" s="24">
        <f ca="1">IFERROR(__xludf.DUMMYFUNCTION("""COMPUTED_VALUE"""),0)</f>
        <v>0</v>
      </c>
      <c r="AS340" s="20"/>
      <c r="AT340" s="20"/>
      <c r="AU340" s="20"/>
      <c r="AV340" s="20"/>
      <c r="AW340" s="20"/>
      <c r="AX340" s="24">
        <f ca="1">IFERROR(__xludf.DUMMYFUNCTION("""COMPUTED_VALUE"""),18382.66)</f>
        <v>18382.66</v>
      </c>
      <c r="AY340" s="24">
        <f ca="1">IFERROR(__xludf.DUMMYFUNCTION("""COMPUTED_VALUE"""),0)</f>
        <v>0</v>
      </c>
      <c r="AZ340" s="24">
        <f ca="1">IFERROR(__xludf.DUMMYFUNCTION("""COMPUTED_VALUE"""),0)</f>
        <v>0</v>
      </c>
      <c r="BA340" s="24">
        <f ca="1">IFERROR(__xludf.DUMMYFUNCTION("""COMPUTED_VALUE"""),15809)</f>
        <v>15809</v>
      </c>
      <c r="BB340" s="24">
        <f ca="1">IFERROR(__xludf.DUMMYFUNCTION("""COMPUTED_VALUE"""),2573.66)</f>
        <v>2573.66</v>
      </c>
      <c r="BC340" s="20"/>
      <c r="BD340" s="24">
        <f ca="1">IFERROR(__xludf.DUMMYFUNCTION("""COMPUTED_VALUE"""),18382.65)</f>
        <v>18382.650000000001</v>
      </c>
      <c r="BE340" s="24">
        <f ca="1">IFERROR(__xludf.DUMMYFUNCTION("""COMPUTED_VALUE"""),0)</f>
        <v>0</v>
      </c>
      <c r="BF340" s="24">
        <f ca="1">IFERROR(__xludf.DUMMYFUNCTION("""COMPUTED_VALUE"""),15809)</f>
        <v>15809</v>
      </c>
      <c r="BG340" s="24">
        <f ca="1">IFERROR(__xludf.DUMMYFUNCTION("""COMPUTED_VALUE"""),0)</f>
        <v>0</v>
      </c>
      <c r="BH340" s="24">
        <f ca="1">IFERROR(__xludf.DUMMYFUNCTION("""COMPUTED_VALUE"""),2573.65)</f>
        <v>2573.65</v>
      </c>
      <c r="BI340" s="20"/>
      <c r="BJ340" s="24">
        <f ca="1">IFERROR(__xludf.DUMMYFUNCTION("""COMPUTED_VALUE"""),0)</f>
        <v>0</v>
      </c>
      <c r="BK340" s="24">
        <f ca="1">IFERROR(__xludf.DUMMYFUNCTION("""COMPUTED_VALUE"""),0)</f>
        <v>0</v>
      </c>
      <c r="BL340" s="24">
        <f ca="1">IFERROR(__xludf.DUMMYFUNCTION("""COMPUTED_VALUE"""),0)</f>
        <v>0</v>
      </c>
      <c r="BM340" s="24">
        <f ca="1">IFERROR(__xludf.DUMMYFUNCTION("""COMPUTED_VALUE"""),0)</f>
        <v>0</v>
      </c>
      <c r="BN340" s="24">
        <f ca="1">IFERROR(__xludf.DUMMYFUNCTION("""COMPUTED_VALUE"""),0)</f>
        <v>0</v>
      </c>
      <c r="BO340" s="20"/>
      <c r="BP340" s="24">
        <f ca="1">IFERROR(__xludf.DUMMYFUNCTION("""COMPUTED_VALUE"""),0)</f>
        <v>0</v>
      </c>
      <c r="BQ340" s="24">
        <f ca="1">IFERROR(__xludf.DUMMYFUNCTION("""COMPUTED_VALUE"""),0)</f>
        <v>0</v>
      </c>
      <c r="BR340" s="24">
        <f ca="1">IFERROR(__xludf.DUMMYFUNCTION("""COMPUTED_VALUE"""),0)</f>
        <v>0</v>
      </c>
      <c r="BS340" s="24">
        <f ca="1">IFERROR(__xludf.DUMMYFUNCTION("""COMPUTED_VALUE"""),0)</f>
        <v>0</v>
      </c>
      <c r="BT340" s="24">
        <f ca="1">IFERROR(__xludf.DUMMYFUNCTION("""COMPUTED_VALUE"""),0)</f>
        <v>0</v>
      </c>
      <c r="BU340" s="20"/>
      <c r="BV340" s="24">
        <f ca="1">IFERROR(__xludf.DUMMYFUNCTION("""COMPUTED_VALUE"""),0)</f>
        <v>0</v>
      </c>
      <c r="BW340" s="24">
        <f ca="1">IFERROR(__xludf.DUMMYFUNCTION("""COMPUTED_VALUE"""),0)</f>
        <v>0</v>
      </c>
      <c r="BX340" s="24">
        <f ca="1">IFERROR(__xludf.DUMMYFUNCTION("""COMPUTED_VALUE"""),0)</f>
        <v>0</v>
      </c>
      <c r="BY340" s="24">
        <f ca="1">IFERROR(__xludf.DUMMYFUNCTION("""COMPUTED_VALUE"""),0)</f>
        <v>0</v>
      </c>
      <c r="BZ340" s="24">
        <f ca="1">IFERROR(__xludf.DUMMYFUNCTION("""COMPUTED_VALUE"""),0)</f>
        <v>0</v>
      </c>
      <c r="CA340" s="20"/>
      <c r="CB340" s="20"/>
      <c r="CC340" s="20"/>
      <c r="CD340" s="20"/>
      <c r="CE340" s="20"/>
      <c r="CF340" s="20"/>
      <c r="CG340" s="20"/>
      <c r="CH340" s="20"/>
      <c r="CI340" s="20"/>
      <c r="CJ340" s="20"/>
      <c r="CK340" s="20"/>
      <c r="CL340" s="20"/>
      <c r="CM340" s="26">
        <f ca="1">IFERROR(__xludf.DUMMYFUNCTION("""COMPUTED_VALUE"""),43945)</f>
        <v>43945</v>
      </c>
      <c r="CN340" s="20" t="str">
        <f ca="1">IFERROR(__xludf.DUMMYFUNCTION("""COMPUTED_VALUE"""),"0848600007420000096")</f>
        <v>0848600007420000096</v>
      </c>
      <c r="CO340" s="26">
        <f ca="1">IFERROR(__xludf.DUMMYFUNCTION("""COMPUTED_VALUE"""),44001)</f>
        <v>44001</v>
      </c>
      <c r="CP340" s="20" t="str">
        <f ca="1">IFERROR(__xludf.DUMMYFUNCTION("""COMPUTED_VALUE"""),"0848600007420000096")</f>
        <v>0848600007420000096</v>
      </c>
      <c r="CQ340" s="20">
        <f ca="1">IFERROR(__xludf.DUMMYFUNCTION("""COMPUTED_VALUE"""),28700000)</f>
        <v>28700000</v>
      </c>
      <c r="CR340" s="20" t="str">
        <f ca="1">IFERROR(__xludf.DUMMYFUNCTION("""COMPUTED_VALUE"""),"АО ""МОСОБЛГАЗ"" ""Юг"" ")</f>
        <v xml:space="preserve">АО "МОСОБЛГАЗ" "Юг" </v>
      </c>
      <c r="CS340" s="27" t="str">
        <f ca="1">IFERROR(__xludf.DUMMYFUNCTION("""COMPUTED_VALUE"""),"https://zakupki.gov.ru/epz/contract/contractCard/common-info.html?reestrNumber=3507600024020000100&amp;backUrl=b98fddca-6b40-408c-bf66-5adc1e4e56e0")</f>
        <v>https://zakupki.gov.ru/epz/contract/contractCard/common-info.html?reestrNumber=3507600024020000100&amp;backUrl=b98fddca-6b40-408c-bf66-5adc1e4e56e0</v>
      </c>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row>
    <row r="341" spans="1:123" ht="64.5" customHeight="1" x14ac:dyDescent="0.2">
      <c r="A341" s="19"/>
      <c r="B341" s="20" t="str">
        <f ca="1">IFERROR(__xludf.DUMMYFUNCTION("""COMPUTED_VALUE"""),"г.о. Серебряные Пруды")</f>
        <v>г.о. Серебряные Пруды</v>
      </c>
      <c r="C34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1" s="20" t="str">
        <f ca="1">IFERROR(__xludf.DUMMYFUNCTION("""COMPUTED_VALUE"""),"МинЖКХ ""ТОП 5 (1 этап)""")</f>
        <v>МинЖКХ "ТОП 5 (1 этап)"</v>
      </c>
      <c r="E341" s="20" t="str">
        <f ca="1">IFERROR(__xludf.DUMMYFUNCTION("""COMPUTED_VALUE"""),"Строительство блочно-модульной котельной №4 с. Подхожее, г.о. Серебряные Пруды (в т.ч. ПИР) ")</f>
        <v xml:space="preserve">Строительство блочно-модульной котельной №4 с. Подхожее, г.о. Серебряные Пруды (в т.ч. ПИР) </v>
      </c>
      <c r="F341" s="32" t="str">
        <f ca="1">IFERROR(__xludf.DUMMYFUNCTION("""COMPUTED_VALUE"""),"БМК")</f>
        <v>БМК</v>
      </c>
      <c r="G341" s="20" t="str">
        <f ca="1">IFERROR(__xludf.DUMMYFUNCTION("""COMPUTED_VALUE"""),"2020-2021")</f>
        <v>2020-2021</v>
      </c>
      <c r="H341" s="20" t="str">
        <f ca="1">IFERROR(__xludf.DUMMYFUNCTION("""COMPUTED_VALUE"""),"СМР")</f>
        <v>СМР</v>
      </c>
      <c r="I341" s="20"/>
      <c r="J341" s="20" t="str">
        <f ca="1">IFERROR(__xludf.DUMMYFUNCTION("""COMPUTED_VALUE"""),"Предварительная дата выхода из МОГЭ 09.12.2020.")</f>
        <v>Предварительная дата выхода из МОГЭ 09.12.2020.</v>
      </c>
      <c r="K341" s="20">
        <f ca="1">IFERROR(__xludf.DUMMYFUNCTION("""COMPUTED_VALUE"""),624)</f>
        <v>624</v>
      </c>
      <c r="L341" s="20">
        <f ca="1">IFERROR(__xludf.DUMMYFUNCTION("""COMPUTED_VALUE"""),624)</f>
        <v>624</v>
      </c>
      <c r="M341" s="20"/>
      <c r="N341" s="24">
        <f ca="1">IFERROR(__xludf.DUMMYFUNCTION("""COMPUTED_VALUE"""),0)</f>
        <v>0</v>
      </c>
      <c r="O341" s="20"/>
      <c r="P341" s="24">
        <f ca="1">IFERROR(__xludf.DUMMYFUNCTION("""COMPUTED_VALUE"""),0)</f>
        <v>0</v>
      </c>
      <c r="Q341" s="20"/>
      <c r="R341" s="20"/>
      <c r="S341" s="20"/>
      <c r="T341" s="20"/>
      <c r="U341" s="24">
        <f ca="1">IFERROR(__xludf.DUMMYFUNCTION("""COMPUTED_VALUE"""),4042.71)</f>
        <v>4042.71</v>
      </c>
      <c r="V341" s="24">
        <f ca="1">IFERROR(__xludf.DUMMYFUNCTION("""COMPUTED_VALUE"""),0)</f>
        <v>0</v>
      </c>
      <c r="W341" s="24">
        <f ca="1">IFERROR(__xludf.DUMMYFUNCTION("""COMPUTED_VALUE"""),0)</f>
        <v>0</v>
      </c>
      <c r="X341" s="24">
        <f ca="1">IFERROR(__xludf.DUMMYFUNCTION("""COMPUTED_VALUE"""),3476.73)</f>
        <v>3476.73</v>
      </c>
      <c r="Y341" s="24">
        <f ca="1">IFERROR(__xludf.DUMMYFUNCTION("""COMPUTED_VALUE"""),565.98)</f>
        <v>565.98</v>
      </c>
      <c r="Z341" s="24">
        <f ca="1">IFERROR(__xludf.DUMMYFUNCTION("""COMPUTED_VALUE"""),0)</f>
        <v>0</v>
      </c>
      <c r="AA341" s="20" t="str">
        <f ca="1">IFERROR(__xludf.DUMMYFUNCTION("""COMPUTED_VALUE"""),"10 3 02 64080")</f>
        <v>10 3 02 64080</v>
      </c>
      <c r="AB341" s="20">
        <f ca="1">IFERROR(__xludf.DUMMYFUNCTION("""COMPUTED_VALUE"""),522)</f>
        <v>522</v>
      </c>
      <c r="AC341" s="20"/>
      <c r="AD341" s="20"/>
      <c r="AE341" s="20"/>
      <c r="AF341" s="24">
        <f ca="1">IFERROR(__xludf.DUMMYFUNCTION("""COMPUTED_VALUE"""),21995.88)</f>
        <v>21995.88</v>
      </c>
      <c r="AG341" s="24">
        <f ca="1">IFERROR(__xludf.DUMMYFUNCTION("""COMPUTED_VALUE"""),0)</f>
        <v>0</v>
      </c>
      <c r="AH341" s="24">
        <f ca="1">IFERROR(__xludf.DUMMYFUNCTION("""COMPUTED_VALUE"""),0)</f>
        <v>0</v>
      </c>
      <c r="AI341" s="24">
        <f ca="1">IFERROR(__xludf.DUMMYFUNCTION("""COMPUTED_VALUE"""),18916.33)</f>
        <v>18916.330000000002</v>
      </c>
      <c r="AJ341" s="24">
        <f ca="1">IFERROR(__xludf.DUMMYFUNCTION("""COMPUTED_VALUE"""),3079.55)</f>
        <v>3079.55</v>
      </c>
      <c r="AK341" s="24">
        <f ca="1">IFERROR(__xludf.DUMMYFUNCTION("""COMPUTED_VALUE"""),0)</f>
        <v>0</v>
      </c>
      <c r="AL341" s="24">
        <f ca="1">IFERROR(__xludf.DUMMYFUNCTION("""COMPUTED_VALUE"""),0)</f>
        <v>0</v>
      </c>
      <c r="AM341" s="20"/>
      <c r="AN341" s="20"/>
      <c r="AO341" s="20"/>
      <c r="AP341" s="20"/>
      <c r="AQ341" s="20"/>
      <c r="AR341" s="24">
        <f ca="1">IFERROR(__xludf.DUMMYFUNCTION("""COMPUTED_VALUE"""),0)</f>
        <v>0</v>
      </c>
      <c r="AS341" s="20"/>
      <c r="AT341" s="20"/>
      <c r="AU341" s="20"/>
      <c r="AV341" s="20"/>
      <c r="AW341" s="20"/>
      <c r="AX341" s="24">
        <f ca="1">IFERROR(__xludf.DUMMYFUNCTION("""COMPUTED_VALUE"""),4042.71)</f>
        <v>4042.71</v>
      </c>
      <c r="AY341" s="24">
        <f ca="1">IFERROR(__xludf.DUMMYFUNCTION("""COMPUTED_VALUE"""),0)</f>
        <v>0</v>
      </c>
      <c r="AZ341" s="24">
        <f ca="1">IFERROR(__xludf.DUMMYFUNCTION("""COMPUTED_VALUE"""),0)</f>
        <v>0</v>
      </c>
      <c r="BA341" s="24">
        <f ca="1">IFERROR(__xludf.DUMMYFUNCTION("""COMPUTED_VALUE"""),3476.73)</f>
        <v>3476.73</v>
      </c>
      <c r="BB341" s="24">
        <f ca="1">IFERROR(__xludf.DUMMYFUNCTION("""COMPUTED_VALUE"""),565.98)</f>
        <v>565.98</v>
      </c>
      <c r="BC341" s="20"/>
      <c r="BD341" s="24">
        <f ca="1">IFERROR(__xludf.DUMMYFUNCTION("""COMPUTED_VALUE"""),17953.17)</f>
        <v>17953.169999999998</v>
      </c>
      <c r="BE341" s="24">
        <f ca="1">IFERROR(__xludf.DUMMYFUNCTION("""COMPUTED_VALUE"""),0)</f>
        <v>0</v>
      </c>
      <c r="BF341" s="24">
        <f ca="1">IFERROR(__xludf.DUMMYFUNCTION("""COMPUTED_VALUE"""),0)</f>
        <v>0</v>
      </c>
      <c r="BG341" s="24">
        <f ca="1">IFERROR(__xludf.DUMMYFUNCTION("""COMPUTED_VALUE"""),15439.6)</f>
        <v>15439.6</v>
      </c>
      <c r="BH341" s="24">
        <f ca="1">IFERROR(__xludf.DUMMYFUNCTION("""COMPUTED_VALUE"""),2513.57)</f>
        <v>2513.5700000000002</v>
      </c>
      <c r="BI341" s="20"/>
      <c r="BJ341" s="24">
        <f ca="1">IFERROR(__xludf.DUMMYFUNCTION("""COMPUTED_VALUE"""),0)</f>
        <v>0</v>
      </c>
      <c r="BK341" s="24">
        <f ca="1">IFERROR(__xludf.DUMMYFUNCTION("""COMPUTED_VALUE"""),0)</f>
        <v>0</v>
      </c>
      <c r="BL341" s="24">
        <f ca="1">IFERROR(__xludf.DUMMYFUNCTION("""COMPUTED_VALUE"""),0)</f>
        <v>0</v>
      </c>
      <c r="BM341" s="24">
        <f ca="1">IFERROR(__xludf.DUMMYFUNCTION("""COMPUTED_VALUE"""),0)</f>
        <v>0</v>
      </c>
      <c r="BN341" s="24">
        <f ca="1">IFERROR(__xludf.DUMMYFUNCTION("""COMPUTED_VALUE"""),0)</f>
        <v>0</v>
      </c>
      <c r="BO341" s="20"/>
      <c r="BP341" s="24">
        <f ca="1">IFERROR(__xludf.DUMMYFUNCTION("""COMPUTED_VALUE"""),0)</f>
        <v>0</v>
      </c>
      <c r="BQ341" s="24">
        <f ca="1">IFERROR(__xludf.DUMMYFUNCTION("""COMPUTED_VALUE"""),0)</f>
        <v>0</v>
      </c>
      <c r="BR341" s="24">
        <f ca="1">IFERROR(__xludf.DUMMYFUNCTION("""COMPUTED_VALUE"""),0)</f>
        <v>0</v>
      </c>
      <c r="BS341" s="24">
        <f ca="1">IFERROR(__xludf.DUMMYFUNCTION("""COMPUTED_VALUE"""),0)</f>
        <v>0</v>
      </c>
      <c r="BT341" s="24">
        <f ca="1">IFERROR(__xludf.DUMMYFUNCTION("""COMPUTED_VALUE"""),0)</f>
        <v>0</v>
      </c>
      <c r="BU341" s="20"/>
      <c r="BV341" s="24">
        <f ca="1">IFERROR(__xludf.DUMMYFUNCTION("""COMPUTED_VALUE"""),0)</f>
        <v>0</v>
      </c>
      <c r="BW341" s="24">
        <f ca="1">IFERROR(__xludf.DUMMYFUNCTION("""COMPUTED_VALUE"""),0)</f>
        <v>0</v>
      </c>
      <c r="BX341" s="24">
        <f ca="1">IFERROR(__xludf.DUMMYFUNCTION("""COMPUTED_VALUE"""),0)</f>
        <v>0</v>
      </c>
      <c r="BY341" s="24">
        <f ca="1">IFERROR(__xludf.DUMMYFUNCTION("""COMPUTED_VALUE"""),0)</f>
        <v>0</v>
      </c>
      <c r="BZ341" s="24">
        <f ca="1">IFERROR(__xludf.DUMMYFUNCTION("""COMPUTED_VALUE"""),0)</f>
        <v>0</v>
      </c>
      <c r="CA341" s="20"/>
      <c r="CB341" s="20"/>
      <c r="CC341" s="20"/>
      <c r="CD341" s="20"/>
      <c r="CE341" s="20"/>
      <c r="CF341" s="20"/>
      <c r="CG341" s="20"/>
      <c r="CH341" s="20"/>
      <c r="CI341" s="20"/>
      <c r="CJ341" s="20"/>
      <c r="CK341" s="20"/>
      <c r="CL341" s="20"/>
      <c r="CM341" s="26">
        <f ca="1">IFERROR(__xludf.DUMMYFUNCTION("""COMPUTED_VALUE"""),43945)</f>
        <v>43945</v>
      </c>
      <c r="CN341" s="20" t="str">
        <f ca="1">IFERROR(__xludf.DUMMYFUNCTION("""COMPUTED_VALUE"""),"0848600007420000096")</f>
        <v>0848600007420000096</v>
      </c>
      <c r="CO341" s="26">
        <f ca="1">IFERROR(__xludf.DUMMYFUNCTION("""COMPUTED_VALUE"""),44001)</f>
        <v>44001</v>
      </c>
      <c r="CP341" s="20" t="str">
        <f ca="1">IFERROR(__xludf.DUMMYFUNCTION("""COMPUTED_VALUE"""),"0848600007420000096")</f>
        <v>0848600007420000096</v>
      </c>
      <c r="CQ341" s="20">
        <f ca="1">IFERROR(__xludf.DUMMYFUNCTION("""COMPUTED_VALUE"""),28700000)</f>
        <v>28700000</v>
      </c>
      <c r="CR341" s="20" t="str">
        <f ca="1">IFERROR(__xludf.DUMMYFUNCTION("""COMPUTED_VALUE"""),"АО ""МОСОБЛГАЗ"" ""Юг"" ")</f>
        <v xml:space="preserve">АО "МОСОБЛГАЗ" "Юг" </v>
      </c>
      <c r="CS341" s="27" t="str">
        <f ca="1">IFERROR(__xludf.DUMMYFUNCTION("""COMPUTED_VALUE"""),"https://zakupki.gov.ru/epz/contract/contractCard/common-info.html?reestrNumber=3507600024020000100&amp;backUrl=b98fddca-6b40-408c-bf66-5adc1e4e56e0")</f>
        <v>https://zakupki.gov.ru/epz/contract/contractCard/common-info.html?reestrNumber=3507600024020000100&amp;backUrl=b98fddca-6b40-408c-bf66-5adc1e4e56e0</v>
      </c>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row>
    <row r="342" spans="1:123" ht="64.5" customHeight="1" x14ac:dyDescent="0.2">
      <c r="A342" s="19"/>
      <c r="B342" s="20" t="str">
        <f ca="1">IFERROR(__xludf.DUMMYFUNCTION("""COMPUTED_VALUE"""),"г.о. Серебряные Пруды")</f>
        <v>г.о. Серебряные Пруды</v>
      </c>
      <c r="C34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2" s="20" t="str">
        <f ca="1">IFERROR(__xludf.DUMMYFUNCTION("""COMPUTED_VALUE"""),"МинЖКХ ""ТОП 5 (1 этап)""")</f>
        <v>МинЖКХ "ТОП 5 (1 этап)"</v>
      </c>
      <c r="E342" s="20" t="str">
        <f ca="1">IFERROR(__xludf.DUMMYFUNCTION("""COMPUTED_VALUE"""),"Строительство блочно-модульной котельной №5 с. Мочилы, г.о. Серебряные Пруды (в т.ч. ПИР) ")</f>
        <v xml:space="preserve">Строительство блочно-модульной котельной №5 с. Мочилы, г.о. Серебряные Пруды (в т.ч. ПИР) </v>
      </c>
      <c r="F342" s="32" t="str">
        <f ca="1">IFERROR(__xludf.DUMMYFUNCTION("""COMPUTED_VALUE"""),"БМК")</f>
        <v>БМК</v>
      </c>
      <c r="G342" s="20" t="str">
        <f ca="1">IFERROR(__xludf.DUMMYFUNCTION("""COMPUTED_VALUE"""),"2020-2021")</f>
        <v>2020-2021</v>
      </c>
      <c r="H342" s="20" t="str">
        <f ca="1">IFERROR(__xludf.DUMMYFUNCTION("""COMPUTED_VALUE"""),"СМР")</f>
        <v>СМР</v>
      </c>
      <c r="I342" s="20"/>
      <c r="J342" s="20" t="str">
        <f ca="1">IFERROR(__xludf.DUMMYFUNCTION("""COMPUTED_VALUE"""),"Предварительная дата выхода из МОГЭ 09.12.2020.")</f>
        <v>Предварительная дата выхода из МОГЭ 09.12.2020.</v>
      </c>
      <c r="K342" s="20">
        <f ca="1">IFERROR(__xludf.DUMMYFUNCTION("""COMPUTED_VALUE"""),690)</f>
        <v>690</v>
      </c>
      <c r="L342" s="20">
        <f ca="1">IFERROR(__xludf.DUMMYFUNCTION("""COMPUTED_VALUE"""),690)</f>
        <v>690</v>
      </c>
      <c r="M342" s="20"/>
      <c r="N342" s="24">
        <f ca="1">IFERROR(__xludf.DUMMYFUNCTION("""COMPUTED_VALUE"""),0)</f>
        <v>0</v>
      </c>
      <c r="O342" s="20"/>
      <c r="P342" s="24">
        <f ca="1">IFERROR(__xludf.DUMMYFUNCTION("""COMPUTED_VALUE"""),0)</f>
        <v>0</v>
      </c>
      <c r="Q342" s="20"/>
      <c r="R342" s="20"/>
      <c r="S342" s="20"/>
      <c r="T342" s="20"/>
      <c r="U342" s="24">
        <f ca="1">IFERROR(__xludf.DUMMYFUNCTION("""COMPUTED_VALUE"""),3771.76)</f>
        <v>3771.76</v>
      </c>
      <c r="V342" s="24">
        <f ca="1">IFERROR(__xludf.DUMMYFUNCTION("""COMPUTED_VALUE"""),0)</f>
        <v>0</v>
      </c>
      <c r="W342" s="24">
        <f ca="1">IFERROR(__xludf.DUMMYFUNCTION("""COMPUTED_VALUE"""),0)</f>
        <v>0</v>
      </c>
      <c r="X342" s="24">
        <f ca="1">IFERROR(__xludf.DUMMYFUNCTION("""COMPUTED_VALUE"""),3243.71)</f>
        <v>3243.71</v>
      </c>
      <c r="Y342" s="24">
        <f ca="1">IFERROR(__xludf.DUMMYFUNCTION("""COMPUTED_VALUE"""),528.05)</f>
        <v>528.04999999999995</v>
      </c>
      <c r="Z342" s="24">
        <f ca="1">IFERROR(__xludf.DUMMYFUNCTION("""COMPUTED_VALUE"""),0)</f>
        <v>0</v>
      </c>
      <c r="AA342" s="20" t="str">
        <f ca="1">IFERROR(__xludf.DUMMYFUNCTION("""COMPUTED_VALUE"""),"10 3 02 64080")</f>
        <v>10 3 02 64080</v>
      </c>
      <c r="AB342" s="20">
        <f ca="1">IFERROR(__xludf.DUMMYFUNCTION("""COMPUTED_VALUE"""),522)</f>
        <v>522</v>
      </c>
      <c r="AC342" s="20"/>
      <c r="AD342" s="20"/>
      <c r="AE342" s="20"/>
      <c r="AF342" s="24">
        <f ca="1">IFERROR(__xludf.DUMMYFUNCTION("""COMPUTED_VALUE"""),20203.58)</f>
        <v>20203.580000000002</v>
      </c>
      <c r="AG342" s="24">
        <f ca="1">IFERROR(__xludf.DUMMYFUNCTION("""COMPUTED_VALUE"""),0)</f>
        <v>0</v>
      </c>
      <c r="AH342" s="24">
        <f ca="1">IFERROR(__xludf.DUMMYFUNCTION("""COMPUTED_VALUE"""),0)</f>
        <v>0</v>
      </c>
      <c r="AI342" s="24">
        <f ca="1">IFERROR(__xludf.DUMMYFUNCTION("""COMPUTED_VALUE"""),17375.08)</f>
        <v>17375.080000000002</v>
      </c>
      <c r="AJ342" s="24">
        <f ca="1">IFERROR(__xludf.DUMMYFUNCTION("""COMPUTED_VALUE"""),2828.5)</f>
        <v>2828.5</v>
      </c>
      <c r="AK342" s="24">
        <f ca="1">IFERROR(__xludf.DUMMYFUNCTION("""COMPUTED_VALUE"""),0)</f>
        <v>0</v>
      </c>
      <c r="AL342" s="24">
        <f ca="1">IFERROR(__xludf.DUMMYFUNCTION("""COMPUTED_VALUE"""),0)</f>
        <v>0</v>
      </c>
      <c r="AM342" s="20"/>
      <c r="AN342" s="20"/>
      <c r="AO342" s="20"/>
      <c r="AP342" s="20"/>
      <c r="AQ342" s="20"/>
      <c r="AR342" s="24">
        <f ca="1">IFERROR(__xludf.DUMMYFUNCTION("""COMPUTED_VALUE"""),0)</f>
        <v>0</v>
      </c>
      <c r="AS342" s="20"/>
      <c r="AT342" s="20"/>
      <c r="AU342" s="20"/>
      <c r="AV342" s="20"/>
      <c r="AW342" s="20"/>
      <c r="AX342" s="24">
        <f ca="1">IFERROR(__xludf.DUMMYFUNCTION("""COMPUTED_VALUE"""),3771.76)</f>
        <v>3771.76</v>
      </c>
      <c r="AY342" s="24">
        <f ca="1">IFERROR(__xludf.DUMMYFUNCTION("""COMPUTED_VALUE"""),0)</f>
        <v>0</v>
      </c>
      <c r="AZ342" s="24">
        <f ca="1">IFERROR(__xludf.DUMMYFUNCTION("""COMPUTED_VALUE"""),0)</f>
        <v>0</v>
      </c>
      <c r="BA342" s="24">
        <f ca="1">IFERROR(__xludf.DUMMYFUNCTION("""COMPUTED_VALUE"""),3243.71)</f>
        <v>3243.71</v>
      </c>
      <c r="BB342" s="24">
        <f ca="1">IFERROR(__xludf.DUMMYFUNCTION("""COMPUTED_VALUE"""),528.05)</f>
        <v>528.04999999999995</v>
      </c>
      <c r="BC342" s="20"/>
      <c r="BD342" s="24">
        <f ca="1">IFERROR(__xludf.DUMMYFUNCTION("""COMPUTED_VALUE"""),16431.82)</f>
        <v>16431.82</v>
      </c>
      <c r="BE342" s="24">
        <f ca="1">IFERROR(__xludf.DUMMYFUNCTION("""COMPUTED_VALUE"""),0)</f>
        <v>0</v>
      </c>
      <c r="BF342" s="24">
        <f ca="1">IFERROR(__xludf.DUMMYFUNCTION("""COMPUTED_VALUE"""),0)</f>
        <v>0</v>
      </c>
      <c r="BG342" s="24">
        <f ca="1">IFERROR(__xludf.DUMMYFUNCTION("""COMPUTED_VALUE"""),14131.37)</f>
        <v>14131.37</v>
      </c>
      <c r="BH342" s="24">
        <f ca="1">IFERROR(__xludf.DUMMYFUNCTION("""COMPUTED_VALUE"""),2300.45)</f>
        <v>2300.4499999999998</v>
      </c>
      <c r="BI342" s="20"/>
      <c r="BJ342" s="24">
        <f ca="1">IFERROR(__xludf.DUMMYFUNCTION("""COMPUTED_VALUE"""),0)</f>
        <v>0</v>
      </c>
      <c r="BK342" s="24">
        <f ca="1">IFERROR(__xludf.DUMMYFUNCTION("""COMPUTED_VALUE"""),0)</f>
        <v>0</v>
      </c>
      <c r="BL342" s="24">
        <f ca="1">IFERROR(__xludf.DUMMYFUNCTION("""COMPUTED_VALUE"""),0)</f>
        <v>0</v>
      </c>
      <c r="BM342" s="24">
        <f ca="1">IFERROR(__xludf.DUMMYFUNCTION("""COMPUTED_VALUE"""),0)</f>
        <v>0</v>
      </c>
      <c r="BN342" s="24">
        <f ca="1">IFERROR(__xludf.DUMMYFUNCTION("""COMPUTED_VALUE"""),0)</f>
        <v>0</v>
      </c>
      <c r="BO342" s="20"/>
      <c r="BP342" s="24">
        <f ca="1">IFERROR(__xludf.DUMMYFUNCTION("""COMPUTED_VALUE"""),0)</f>
        <v>0</v>
      </c>
      <c r="BQ342" s="24">
        <f ca="1">IFERROR(__xludf.DUMMYFUNCTION("""COMPUTED_VALUE"""),0)</f>
        <v>0</v>
      </c>
      <c r="BR342" s="24">
        <f ca="1">IFERROR(__xludf.DUMMYFUNCTION("""COMPUTED_VALUE"""),0)</f>
        <v>0</v>
      </c>
      <c r="BS342" s="24">
        <f ca="1">IFERROR(__xludf.DUMMYFUNCTION("""COMPUTED_VALUE"""),0)</f>
        <v>0</v>
      </c>
      <c r="BT342" s="24">
        <f ca="1">IFERROR(__xludf.DUMMYFUNCTION("""COMPUTED_VALUE"""),0)</f>
        <v>0</v>
      </c>
      <c r="BU342" s="20"/>
      <c r="BV342" s="24">
        <f ca="1">IFERROR(__xludf.DUMMYFUNCTION("""COMPUTED_VALUE"""),0)</f>
        <v>0</v>
      </c>
      <c r="BW342" s="24">
        <f ca="1">IFERROR(__xludf.DUMMYFUNCTION("""COMPUTED_VALUE"""),0)</f>
        <v>0</v>
      </c>
      <c r="BX342" s="24">
        <f ca="1">IFERROR(__xludf.DUMMYFUNCTION("""COMPUTED_VALUE"""),0)</f>
        <v>0</v>
      </c>
      <c r="BY342" s="24">
        <f ca="1">IFERROR(__xludf.DUMMYFUNCTION("""COMPUTED_VALUE"""),0)</f>
        <v>0</v>
      </c>
      <c r="BZ342" s="24">
        <f ca="1">IFERROR(__xludf.DUMMYFUNCTION("""COMPUTED_VALUE"""),0)</f>
        <v>0</v>
      </c>
      <c r="CA342" s="20"/>
      <c r="CB342" s="20"/>
      <c r="CC342" s="20"/>
      <c r="CD342" s="20"/>
      <c r="CE342" s="20"/>
      <c r="CF342" s="20"/>
      <c r="CG342" s="20"/>
      <c r="CH342" s="20"/>
      <c r="CI342" s="20"/>
      <c r="CJ342" s="20"/>
      <c r="CK342" s="20"/>
      <c r="CL342" s="20"/>
      <c r="CM342" s="26">
        <f ca="1">IFERROR(__xludf.DUMMYFUNCTION("""COMPUTED_VALUE"""),43945)</f>
        <v>43945</v>
      </c>
      <c r="CN342" s="20" t="str">
        <f ca="1">IFERROR(__xludf.DUMMYFUNCTION("""COMPUTED_VALUE"""),"0848600007420000096")</f>
        <v>0848600007420000096</v>
      </c>
      <c r="CO342" s="26">
        <f ca="1">IFERROR(__xludf.DUMMYFUNCTION("""COMPUTED_VALUE"""),44001)</f>
        <v>44001</v>
      </c>
      <c r="CP342" s="20" t="str">
        <f ca="1">IFERROR(__xludf.DUMMYFUNCTION("""COMPUTED_VALUE"""),"0848600007420000096")</f>
        <v>0848600007420000096</v>
      </c>
      <c r="CQ342" s="20">
        <f ca="1">IFERROR(__xludf.DUMMYFUNCTION("""COMPUTED_VALUE"""),28700000)</f>
        <v>28700000</v>
      </c>
      <c r="CR342" s="20" t="str">
        <f ca="1">IFERROR(__xludf.DUMMYFUNCTION("""COMPUTED_VALUE"""),"АО ""МОСОБЛГАЗ"" ""Юг"" ")</f>
        <v xml:space="preserve">АО "МОСОБЛГАЗ" "Юг" </v>
      </c>
      <c r="CS342" s="27" t="str">
        <f ca="1">IFERROR(__xludf.DUMMYFUNCTION("""COMPUTED_VALUE"""),"https://zakupki.gov.ru/epz/contract/contractCard/common-info.html?reestrNumber=3507600024020000100&amp;backUrl=b98fddca-6b40-408c-bf66-5adc1e4e56e0")</f>
        <v>https://zakupki.gov.ru/epz/contract/contractCard/common-info.html?reestrNumber=3507600024020000100&amp;backUrl=b98fddca-6b40-408c-bf66-5adc1e4e56e0</v>
      </c>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row>
    <row r="343" spans="1:123" ht="64.5" customHeight="1" x14ac:dyDescent="0.2">
      <c r="A343" s="19"/>
      <c r="B343" s="20" t="str">
        <f ca="1">IFERROR(__xludf.DUMMYFUNCTION("""COMPUTED_VALUE"""),"г.о. Серебряные Пруды")</f>
        <v>г.о. Серебряные Пруды</v>
      </c>
      <c r="C34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3" s="20" t="str">
        <f ca="1">IFERROR(__xludf.DUMMYFUNCTION("""COMPUTED_VALUE"""),"МинЖКХ ""ТОП 5 (1 этап)""")</f>
        <v>МинЖКХ "ТОП 5 (1 этап)"</v>
      </c>
      <c r="E343" s="20" t="str">
        <f ca="1">IFERROR(__xludf.DUMMYFUNCTION("""COMPUTED_VALUE"""),"Строительство блочно-модульной котельной №8 д. Шеметово, г.о. Серебряные Пруды (в т.ч. ПИР) ")</f>
        <v xml:space="preserve">Строительство блочно-модульной котельной №8 д. Шеметово, г.о. Серебряные Пруды (в т.ч. ПИР) </v>
      </c>
      <c r="F343" s="32" t="str">
        <f ca="1">IFERROR(__xludf.DUMMYFUNCTION("""COMPUTED_VALUE"""),"БМК")</f>
        <v>БМК</v>
      </c>
      <c r="G343" s="20" t="str">
        <f ca="1">IFERROR(__xludf.DUMMYFUNCTION("""COMPUTED_VALUE"""),"2020-2021")</f>
        <v>2020-2021</v>
      </c>
      <c r="H343" s="20" t="str">
        <f ca="1">IFERROR(__xludf.DUMMYFUNCTION("""COMPUTED_VALUE"""),"СМР")</f>
        <v>СМР</v>
      </c>
      <c r="I343" s="20"/>
      <c r="J343" s="20" t="str">
        <f ca="1">IFERROR(__xludf.DUMMYFUNCTION("""COMPUTED_VALUE"""),"Предварительная дата выхода из МОГЭ 09.12.2020.")</f>
        <v>Предварительная дата выхода из МОГЭ 09.12.2020.</v>
      </c>
      <c r="K343" s="20">
        <f ca="1">IFERROR(__xludf.DUMMYFUNCTION("""COMPUTED_VALUE"""),811)</f>
        <v>811</v>
      </c>
      <c r="L343" s="20">
        <f ca="1">IFERROR(__xludf.DUMMYFUNCTION("""COMPUTED_VALUE"""),811)</f>
        <v>811</v>
      </c>
      <c r="M343" s="20"/>
      <c r="N343" s="24">
        <f ca="1">IFERROR(__xludf.DUMMYFUNCTION("""COMPUTED_VALUE"""),0)</f>
        <v>0</v>
      </c>
      <c r="O343" s="20"/>
      <c r="P343" s="24">
        <f ca="1">IFERROR(__xludf.DUMMYFUNCTION("""COMPUTED_VALUE"""),0)</f>
        <v>0</v>
      </c>
      <c r="Q343" s="20"/>
      <c r="R343" s="20"/>
      <c r="S343" s="20"/>
      <c r="T343" s="20"/>
      <c r="U343" s="24">
        <f ca="1">IFERROR(__xludf.DUMMYFUNCTION("""COMPUTED_VALUE"""),4673.78)</f>
        <v>4673.78</v>
      </c>
      <c r="V343" s="24">
        <f ca="1">IFERROR(__xludf.DUMMYFUNCTION("""COMPUTED_VALUE"""),0)</f>
        <v>0</v>
      </c>
      <c r="W343" s="24">
        <f ca="1">IFERROR(__xludf.DUMMYFUNCTION("""COMPUTED_VALUE"""),0)</f>
        <v>0</v>
      </c>
      <c r="X343" s="24">
        <f ca="1">IFERROR(__xludf.DUMMYFUNCTION("""COMPUTED_VALUE"""),4019.45)</f>
        <v>4019.45</v>
      </c>
      <c r="Y343" s="24">
        <f ca="1">IFERROR(__xludf.DUMMYFUNCTION("""COMPUTED_VALUE"""),654.33)</f>
        <v>654.33000000000004</v>
      </c>
      <c r="Z343" s="24">
        <f ca="1">IFERROR(__xludf.DUMMYFUNCTION("""COMPUTED_VALUE"""),0)</f>
        <v>0</v>
      </c>
      <c r="AA343" s="20" t="str">
        <f ca="1">IFERROR(__xludf.DUMMYFUNCTION("""COMPUTED_VALUE"""),"10 3 02 64080")</f>
        <v>10 3 02 64080</v>
      </c>
      <c r="AB343" s="20">
        <f ca="1">IFERROR(__xludf.DUMMYFUNCTION("""COMPUTED_VALUE"""),522)</f>
        <v>522</v>
      </c>
      <c r="AC343" s="20"/>
      <c r="AD343" s="20"/>
      <c r="AE343" s="20"/>
      <c r="AF343" s="24">
        <f ca="1">IFERROR(__xludf.DUMMYFUNCTION("""COMPUTED_VALUE"""),24039.19)</f>
        <v>24039.19</v>
      </c>
      <c r="AG343" s="24">
        <f ca="1">IFERROR(__xludf.DUMMYFUNCTION("""COMPUTED_VALUE"""),0)</f>
        <v>0</v>
      </c>
      <c r="AH343" s="24">
        <f ca="1">IFERROR(__xludf.DUMMYFUNCTION("""COMPUTED_VALUE"""),0)</f>
        <v>0</v>
      </c>
      <c r="AI343" s="24">
        <f ca="1">IFERROR(__xludf.DUMMYFUNCTION("""COMPUTED_VALUE"""),20673.7)</f>
        <v>20673.7</v>
      </c>
      <c r="AJ343" s="24">
        <f ca="1">IFERROR(__xludf.DUMMYFUNCTION("""COMPUTED_VALUE"""),3365.49)</f>
        <v>3365.49</v>
      </c>
      <c r="AK343" s="24">
        <f ca="1">IFERROR(__xludf.DUMMYFUNCTION("""COMPUTED_VALUE"""),0)</f>
        <v>0</v>
      </c>
      <c r="AL343" s="24">
        <f ca="1">IFERROR(__xludf.DUMMYFUNCTION("""COMPUTED_VALUE"""),0)</f>
        <v>0</v>
      </c>
      <c r="AM343" s="20"/>
      <c r="AN343" s="20"/>
      <c r="AO343" s="20"/>
      <c r="AP343" s="20"/>
      <c r="AQ343" s="20"/>
      <c r="AR343" s="24">
        <f ca="1">IFERROR(__xludf.DUMMYFUNCTION("""COMPUTED_VALUE"""),0)</f>
        <v>0</v>
      </c>
      <c r="AS343" s="20"/>
      <c r="AT343" s="20"/>
      <c r="AU343" s="20"/>
      <c r="AV343" s="20"/>
      <c r="AW343" s="20"/>
      <c r="AX343" s="24">
        <f ca="1">IFERROR(__xludf.DUMMYFUNCTION("""COMPUTED_VALUE"""),4673.78)</f>
        <v>4673.78</v>
      </c>
      <c r="AY343" s="24">
        <f ca="1">IFERROR(__xludf.DUMMYFUNCTION("""COMPUTED_VALUE"""),0)</f>
        <v>0</v>
      </c>
      <c r="AZ343" s="24">
        <f ca="1">IFERROR(__xludf.DUMMYFUNCTION("""COMPUTED_VALUE"""),0)</f>
        <v>0</v>
      </c>
      <c r="BA343" s="24">
        <f ca="1">IFERROR(__xludf.DUMMYFUNCTION("""COMPUTED_VALUE"""),4019.45)</f>
        <v>4019.45</v>
      </c>
      <c r="BB343" s="24">
        <f ca="1">IFERROR(__xludf.DUMMYFUNCTION("""COMPUTED_VALUE"""),654.33)</f>
        <v>654.33000000000004</v>
      </c>
      <c r="BC343" s="20"/>
      <c r="BD343" s="24">
        <f ca="1">IFERROR(__xludf.DUMMYFUNCTION("""COMPUTED_VALUE"""),19365.41)</f>
        <v>19365.41</v>
      </c>
      <c r="BE343" s="24">
        <f ca="1">IFERROR(__xludf.DUMMYFUNCTION("""COMPUTED_VALUE"""),0)</f>
        <v>0</v>
      </c>
      <c r="BF343" s="24">
        <f ca="1">IFERROR(__xludf.DUMMYFUNCTION("""COMPUTED_VALUE"""),0)</f>
        <v>0</v>
      </c>
      <c r="BG343" s="24">
        <f ca="1">IFERROR(__xludf.DUMMYFUNCTION("""COMPUTED_VALUE"""),16654.25)</f>
        <v>16654.25</v>
      </c>
      <c r="BH343" s="24">
        <f ca="1">IFERROR(__xludf.DUMMYFUNCTION("""COMPUTED_VALUE"""),2711.16)</f>
        <v>2711.16</v>
      </c>
      <c r="BI343" s="20"/>
      <c r="BJ343" s="24">
        <f ca="1">IFERROR(__xludf.DUMMYFUNCTION("""COMPUTED_VALUE"""),0)</f>
        <v>0</v>
      </c>
      <c r="BK343" s="24">
        <f ca="1">IFERROR(__xludf.DUMMYFUNCTION("""COMPUTED_VALUE"""),0)</f>
        <v>0</v>
      </c>
      <c r="BL343" s="24">
        <f ca="1">IFERROR(__xludf.DUMMYFUNCTION("""COMPUTED_VALUE"""),0)</f>
        <v>0</v>
      </c>
      <c r="BM343" s="24">
        <f ca="1">IFERROR(__xludf.DUMMYFUNCTION("""COMPUTED_VALUE"""),0)</f>
        <v>0</v>
      </c>
      <c r="BN343" s="24">
        <f ca="1">IFERROR(__xludf.DUMMYFUNCTION("""COMPUTED_VALUE"""),0)</f>
        <v>0</v>
      </c>
      <c r="BO343" s="20"/>
      <c r="BP343" s="24">
        <f ca="1">IFERROR(__xludf.DUMMYFUNCTION("""COMPUTED_VALUE"""),0)</f>
        <v>0</v>
      </c>
      <c r="BQ343" s="24">
        <f ca="1">IFERROR(__xludf.DUMMYFUNCTION("""COMPUTED_VALUE"""),0)</f>
        <v>0</v>
      </c>
      <c r="BR343" s="24">
        <f ca="1">IFERROR(__xludf.DUMMYFUNCTION("""COMPUTED_VALUE"""),0)</f>
        <v>0</v>
      </c>
      <c r="BS343" s="24">
        <f ca="1">IFERROR(__xludf.DUMMYFUNCTION("""COMPUTED_VALUE"""),0)</f>
        <v>0</v>
      </c>
      <c r="BT343" s="24">
        <f ca="1">IFERROR(__xludf.DUMMYFUNCTION("""COMPUTED_VALUE"""),0)</f>
        <v>0</v>
      </c>
      <c r="BU343" s="20"/>
      <c r="BV343" s="24">
        <f ca="1">IFERROR(__xludf.DUMMYFUNCTION("""COMPUTED_VALUE"""),0)</f>
        <v>0</v>
      </c>
      <c r="BW343" s="24">
        <f ca="1">IFERROR(__xludf.DUMMYFUNCTION("""COMPUTED_VALUE"""),0)</f>
        <v>0</v>
      </c>
      <c r="BX343" s="24">
        <f ca="1">IFERROR(__xludf.DUMMYFUNCTION("""COMPUTED_VALUE"""),0)</f>
        <v>0</v>
      </c>
      <c r="BY343" s="24">
        <f ca="1">IFERROR(__xludf.DUMMYFUNCTION("""COMPUTED_VALUE"""),0)</f>
        <v>0</v>
      </c>
      <c r="BZ343" s="24">
        <f ca="1">IFERROR(__xludf.DUMMYFUNCTION("""COMPUTED_VALUE"""),0)</f>
        <v>0</v>
      </c>
      <c r="CA343" s="20"/>
      <c r="CB343" s="20"/>
      <c r="CC343" s="20"/>
      <c r="CD343" s="20"/>
      <c r="CE343" s="20"/>
      <c r="CF343" s="20"/>
      <c r="CG343" s="20"/>
      <c r="CH343" s="20"/>
      <c r="CI343" s="20"/>
      <c r="CJ343" s="20"/>
      <c r="CK343" s="20"/>
      <c r="CL343" s="20"/>
      <c r="CM343" s="26">
        <f ca="1">IFERROR(__xludf.DUMMYFUNCTION("""COMPUTED_VALUE"""),43945)</f>
        <v>43945</v>
      </c>
      <c r="CN343" s="20" t="str">
        <f ca="1">IFERROR(__xludf.DUMMYFUNCTION("""COMPUTED_VALUE"""),"0848600007420000096")</f>
        <v>0848600007420000096</v>
      </c>
      <c r="CO343" s="26">
        <f ca="1">IFERROR(__xludf.DUMMYFUNCTION("""COMPUTED_VALUE"""),44001)</f>
        <v>44001</v>
      </c>
      <c r="CP343" s="20" t="str">
        <f ca="1">IFERROR(__xludf.DUMMYFUNCTION("""COMPUTED_VALUE"""),"0848600007420000096")</f>
        <v>0848600007420000096</v>
      </c>
      <c r="CQ343" s="20">
        <f ca="1">IFERROR(__xludf.DUMMYFUNCTION("""COMPUTED_VALUE"""),28700000)</f>
        <v>28700000</v>
      </c>
      <c r="CR343" s="20" t="str">
        <f ca="1">IFERROR(__xludf.DUMMYFUNCTION("""COMPUTED_VALUE"""),"АО ""МОСОБЛГАЗ"" ""Юг"" ")</f>
        <v xml:space="preserve">АО "МОСОБЛГАЗ" "Юг" </v>
      </c>
      <c r="CS343" s="27" t="str">
        <f ca="1">IFERROR(__xludf.DUMMYFUNCTION("""COMPUTED_VALUE"""),"https://zakupki.gov.ru/epz/contract/contractCard/common-info.html?reestrNumber=3507600024020000100&amp;backUrl=b98fddca-6b40-408c-bf66-5adc1e4e56e0")</f>
        <v>https://zakupki.gov.ru/epz/contract/contractCard/common-info.html?reestrNumber=3507600024020000100&amp;backUrl=b98fddca-6b40-408c-bf66-5adc1e4e56e0</v>
      </c>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row>
    <row r="344" spans="1:123" ht="64.5" customHeight="1" x14ac:dyDescent="0.2">
      <c r="A344" s="19"/>
      <c r="B344" s="20" t="str">
        <f ca="1">IFERROR(__xludf.DUMMYFUNCTION("""COMPUTED_VALUE"""),"г.о. Солнечногорск")</f>
        <v>г.о. Солнечногорск</v>
      </c>
      <c r="C344"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44" s="20" t="str">
        <f ca="1">IFERROR(__xludf.DUMMYFUNCTION("""COMPUTED_VALUE"""),"МинЖКХ")</f>
        <v>МинЖКХ</v>
      </c>
      <c r="E344" s="20" t="str">
        <f ca="1">IFERROR(__xludf.DUMMYFUNCTION("""COMPUTED_VALUE"""),"Капитальный ремонт  здания котельной, д. Новая Солнечногорский м.р. ")</f>
        <v xml:space="preserve">Капитальный ремонт  здания котельной, д. Новая Солнечногорский м.р. </v>
      </c>
      <c r="F344" s="32" t="str">
        <f ca="1">IFERROR(__xludf.DUMMYFUNCTION("""COMPUTED_VALUE"""),"Котельная")</f>
        <v>Котельная</v>
      </c>
      <c r="G344" s="20">
        <f ca="1">IFERROR(__xludf.DUMMYFUNCTION("""COMPUTED_VALUE"""),2020)</f>
        <v>2020</v>
      </c>
      <c r="H344" s="20" t="str">
        <f ca="1">IFERROR(__xludf.DUMMYFUNCTION("""COMPUTED_VALUE"""),"СМР")</f>
        <v>СМР</v>
      </c>
      <c r="I344" s="20">
        <f ca="1">IFERROR(__xludf.DUMMYFUNCTION("""COMPUTED_VALUE"""),32)</f>
        <v>32</v>
      </c>
      <c r="J344" s="20" t="str">
        <f ca="1">IFERROR(__xludf.DUMMYFUNCTION("""COMPUTED_VALUE""")," 1. Проводятся работы по  восстановлению аварийной пристройки котельной силами РСО МКП ""ИКЖКХ"".   2.Ведутся работы по отделке фасада здания        ")</f>
        <v xml:space="preserve"> 1. Проводятся работы по  восстановлению аварийной пристройки котельной силами РСО МКП "ИКЖКХ".   2.Ведутся работы по отделке фасада здания        </v>
      </c>
      <c r="K344" s="20">
        <f ca="1">IFERROR(__xludf.DUMMYFUNCTION("""COMPUTED_VALUE"""),770)</f>
        <v>770</v>
      </c>
      <c r="L344" s="20">
        <f ca="1">IFERROR(__xludf.DUMMYFUNCTION("""COMPUTED_VALUE"""),770)</f>
        <v>770</v>
      </c>
      <c r="M344" s="20"/>
      <c r="N344" s="24">
        <f ca="1">IFERROR(__xludf.DUMMYFUNCTION("""COMPUTED_VALUE"""),1405.9)</f>
        <v>1405.9</v>
      </c>
      <c r="O344" s="20"/>
      <c r="P344" s="24">
        <f ca="1">IFERROR(__xludf.DUMMYFUNCTION("""COMPUTED_VALUE"""),1405.9)</f>
        <v>1405.9</v>
      </c>
      <c r="Q344" s="20"/>
      <c r="R344" s="20"/>
      <c r="S344" s="20"/>
      <c r="T344" s="20" t="str">
        <f ca="1">IFERROR(__xludf.DUMMYFUNCTION("""COMPUTED_VALUE"""),"Подача заявки будет до 11.12.2020")</f>
        <v>Подача заявки будет до 11.12.2020</v>
      </c>
      <c r="U344" s="24">
        <f ca="1">IFERROR(__xludf.DUMMYFUNCTION("""COMPUTED_VALUE"""),8294.1)</f>
        <v>8294.1</v>
      </c>
      <c r="V344" s="24">
        <f ca="1">IFERROR(__xludf.DUMMYFUNCTION("""COMPUTED_VALUE"""),0)</f>
        <v>0</v>
      </c>
      <c r="W344" s="24">
        <f ca="1">IFERROR(__xludf.DUMMYFUNCTION("""COMPUTED_VALUE"""),5820.1)</f>
        <v>5820.1</v>
      </c>
      <c r="X344" s="24">
        <f ca="1">IFERROR(__xludf.DUMMYFUNCTION("""COMPUTED_VALUE"""),0)</f>
        <v>0</v>
      </c>
      <c r="Y344" s="24">
        <f ca="1">IFERROR(__xludf.DUMMYFUNCTION("""COMPUTED_VALUE"""),2474)</f>
        <v>2474</v>
      </c>
      <c r="Z344" s="24">
        <f ca="1">IFERROR(__xludf.DUMMYFUNCTION("""COMPUTED_VALUE"""),0)</f>
        <v>0</v>
      </c>
      <c r="AA344" s="20" t="str">
        <f ca="1">IFERROR(__xludf.DUMMYFUNCTION("""COMPUTED_VALUE"""),"10 3 02 60320")</f>
        <v>10 3 02 60320</v>
      </c>
      <c r="AB344" s="20">
        <f ca="1">IFERROR(__xludf.DUMMYFUNCTION("""COMPUTED_VALUE"""),521)</f>
        <v>521</v>
      </c>
      <c r="AC344" s="20"/>
      <c r="AD344" s="20"/>
      <c r="AE344" s="20"/>
      <c r="AF344" s="24">
        <f ca="1">IFERROR(__xludf.DUMMYFUNCTION("""COMPUTED_VALUE"""),9700)</f>
        <v>9700</v>
      </c>
      <c r="AG344" s="24">
        <f ca="1">IFERROR(__xludf.DUMMYFUNCTION("""COMPUTED_VALUE"""),0)</f>
        <v>0</v>
      </c>
      <c r="AH344" s="24">
        <f ca="1">IFERROR(__xludf.DUMMYFUNCTION("""COMPUTED_VALUE"""),7226)</f>
        <v>7226</v>
      </c>
      <c r="AI344" s="24">
        <f ca="1">IFERROR(__xludf.DUMMYFUNCTION("""COMPUTED_VALUE"""),0)</f>
        <v>0</v>
      </c>
      <c r="AJ344" s="24">
        <f ca="1">IFERROR(__xludf.DUMMYFUNCTION("""COMPUTED_VALUE"""),2474)</f>
        <v>2474</v>
      </c>
      <c r="AK344" s="24">
        <f ca="1">IFERROR(__xludf.DUMMYFUNCTION("""COMPUTED_VALUE"""),0)</f>
        <v>0</v>
      </c>
      <c r="AL344" s="24">
        <f ca="1">IFERROR(__xludf.DUMMYFUNCTION("""COMPUTED_VALUE"""),0)</f>
        <v>0</v>
      </c>
      <c r="AM344" s="20"/>
      <c r="AN344" s="20"/>
      <c r="AO344" s="20"/>
      <c r="AP344" s="20"/>
      <c r="AQ344" s="20"/>
      <c r="AR344" s="24">
        <f ca="1">IFERROR(__xludf.DUMMYFUNCTION("""COMPUTED_VALUE"""),0)</f>
        <v>0</v>
      </c>
      <c r="AS344" s="20"/>
      <c r="AT344" s="20"/>
      <c r="AU344" s="20"/>
      <c r="AV344" s="20"/>
      <c r="AW344" s="20"/>
      <c r="AX344" s="24">
        <f ca="1">IFERROR(__xludf.DUMMYFUNCTION("""COMPUTED_VALUE"""),9700)</f>
        <v>9700</v>
      </c>
      <c r="AY344" s="24">
        <f ca="1">IFERROR(__xludf.DUMMYFUNCTION("""COMPUTED_VALUE"""),0)</f>
        <v>0</v>
      </c>
      <c r="AZ344" s="24">
        <f ca="1">IFERROR(__xludf.DUMMYFUNCTION("""COMPUTED_VALUE"""),7226)</f>
        <v>7226</v>
      </c>
      <c r="BA344" s="24">
        <f ca="1">IFERROR(__xludf.DUMMYFUNCTION("""COMPUTED_VALUE"""),0)</f>
        <v>0</v>
      </c>
      <c r="BB344" s="24">
        <f ca="1">IFERROR(__xludf.DUMMYFUNCTION("""COMPUTED_VALUE"""),2474)</f>
        <v>2474</v>
      </c>
      <c r="BC344" s="20"/>
      <c r="BD344" s="24">
        <f ca="1">IFERROR(__xludf.DUMMYFUNCTION("""COMPUTED_VALUE"""),0)</f>
        <v>0</v>
      </c>
      <c r="BE344" s="24">
        <f ca="1">IFERROR(__xludf.DUMMYFUNCTION("""COMPUTED_VALUE"""),0)</f>
        <v>0</v>
      </c>
      <c r="BF344" s="24">
        <f ca="1">IFERROR(__xludf.DUMMYFUNCTION("""COMPUTED_VALUE"""),0)</f>
        <v>0</v>
      </c>
      <c r="BG344" s="24">
        <f ca="1">IFERROR(__xludf.DUMMYFUNCTION("""COMPUTED_VALUE"""),0)</f>
        <v>0</v>
      </c>
      <c r="BH344" s="24">
        <f ca="1">IFERROR(__xludf.DUMMYFUNCTION("""COMPUTED_VALUE"""),0)</f>
        <v>0</v>
      </c>
      <c r="BI344" s="20"/>
      <c r="BJ344" s="24">
        <f ca="1">IFERROR(__xludf.DUMMYFUNCTION("""COMPUTED_VALUE"""),0)</f>
        <v>0</v>
      </c>
      <c r="BK344" s="24">
        <f ca="1">IFERROR(__xludf.DUMMYFUNCTION("""COMPUTED_VALUE"""),0)</f>
        <v>0</v>
      </c>
      <c r="BL344" s="24">
        <f ca="1">IFERROR(__xludf.DUMMYFUNCTION("""COMPUTED_VALUE"""),0)</f>
        <v>0</v>
      </c>
      <c r="BM344" s="24">
        <f ca="1">IFERROR(__xludf.DUMMYFUNCTION("""COMPUTED_VALUE"""),0)</f>
        <v>0</v>
      </c>
      <c r="BN344" s="24">
        <f ca="1">IFERROR(__xludf.DUMMYFUNCTION("""COMPUTED_VALUE"""),0)</f>
        <v>0</v>
      </c>
      <c r="BO344" s="20"/>
      <c r="BP344" s="24">
        <f ca="1">IFERROR(__xludf.DUMMYFUNCTION("""COMPUTED_VALUE"""),0)</f>
        <v>0</v>
      </c>
      <c r="BQ344" s="24">
        <f ca="1">IFERROR(__xludf.DUMMYFUNCTION("""COMPUTED_VALUE"""),0)</f>
        <v>0</v>
      </c>
      <c r="BR344" s="24">
        <f ca="1">IFERROR(__xludf.DUMMYFUNCTION("""COMPUTED_VALUE"""),0)</f>
        <v>0</v>
      </c>
      <c r="BS344" s="24">
        <f ca="1">IFERROR(__xludf.DUMMYFUNCTION("""COMPUTED_VALUE"""),0)</f>
        <v>0</v>
      </c>
      <c r="BT344" s="24">
        <f ca="1">IFERROR(__xludf.DUMMYFUNCTION("""COMPUTED_VALUE"""),0)</f>
        <v>0</v>
      </c>
      <c r="BU344" s="20"/>
      <c r="BV344" s="24">
        <f ca="1">IFERROR(__xludf.DUMMYFUNCTION("""COMPUTED_VALUE"""),0)</f>
        <v>0</v>
      </c>
      <c r="BW344" s="24">
        <f ca="1">IFERROR(__xludf.DUMMYFUNCTION("""COMPUTED_VALUE"""),0)</f>
        <v>0</v>
      </c>
      <c r="BX344" s="24">
        <f ca="1">IFERROR(__xludf.DUMMYFUNCTION("""COMPUTED_VALUE"""),0)</f>
        <v>0</v>
      </c>
      <c r="BY344" s="24">
        <f ca="1">IFERROR(__xludf.DUMMYFUNCTION("""COMPUTED_VALUE"""),0)</f>
        <v>0</v>
      </c>
      <c r="BZ344" s="24">
        <f ca="1">IFERROR(__xludf.DUMMYFUNCTION("""COMPUTED_VALUE"""),0)</f>
        <v>0</v>
      </c>
      <c r="CA344" s="20"/>
      <c r="CB344" s="20"/>
      <c r="CC344" s="20"/>
      <c r="CD344" s="20"/>
      <c r="CE344" s="20"/>
      <c r="CF344" s="20"/>
      <c r="CG344" s="20"/>
      <c r="CH344" s="20"/>
      <c r="CI344" s="20"/>
      <c r="CJ344" s="20"/>
      <c r="CK344" s="20"/>
      <c r="CL344" s="20"/>
      <c r="CM344" s="20"/>
      <c r="CN344" s="20"/>
      <c r="CO344" s="20"/>
      <c r="CP344" s="20"/>
      <c r="CQ344" s="20"/>
      <c r="CR344" s="20"/>
      <c r="CS344" s="20"/>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row>
    <row r="345" spans="1:123" ht="64.5" customHeight="1" x14ac:dyDescent="0.2">
      <c r="A345" s="19"/>
      <c r="B345" s="20" t="str">
        <f ca="1">IFERROR(__xludf.DUMMYFUNCTION("""COMPUTED_VALUE"""),"г.о. Солнечногорск")</f>
        <v>г.о. Солнечногорск</v>
      </c>
      <c r="C345"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45" s="20" t="str">
        <f ca="1">IFERROR(__xludf.DUMMYFUNCTION("""COMPUTED_VALUE"""),"МинЖКХ")</f>
        <v>МинЖКХ</v>
      </c>
      <c r="E345" s="20" t="str">
        <f ca="1">IFERROR(__xludf.DUMMYFUNCTION("""COMPUTED_VALUE"""),"Капитальный ремонт  тепловых сетей,  д. Новая, Солнечногорский м.р.")</f>
        <v>Капитальный ремонт  тепловых сетей,  д. Новая, Солнечногорский м.р.</v>
      </c>
      <c r="F345" s="32" t="str">
        <f ca="1">IFERROR(__xludf.DUMMYFUNCTION("""COMPUTED_VALUE"""),"Сети")</f>
        <v>Сети</v>
      </c>
      <c r="G345" s="20">
        <f ca="1">IFERROR(__xludf.DUMMYFUNCTION("""COMPUTED_VALUE"""),2020)</f>
        <v>2020</v>
      </c>
      <c r="H345" s="20" t="str">
        <f ca="1">IFERROR(__xludf.DUMMYFUNCTION("""COMPUTED_VALUE"""),"СМР")</f>
        <v>СМР</v>
      </c>
      <c r="I345" s="20">
        <f ca="1">IFERROR(__xludf.DUMMYFUNCTION("""COMPUTED_VALUE"""),100)</f>
        <v>100</v>
      </c>
      <c r="J345" s="20" t="str">
        <f ca="1">IFERROR(__xludf.DUMMYFUNCTION("""COMPUTED_VALUE"""),"Работы выполнены в полном объеме. Произведена оплата части финансирования из бюджета го Солнечногорск. 05.10.2020 г. направлена заявка на предоставление субсии из бюджета МО. Заявка отклонена.")</f>
        <v>Работы выполнены в полном объеме. Произведена оплата части финансирования из бюджета го Солнечногорск. 05.10.2020 г. направлена заявка на предоставление субсии из бюджета МО. Заявка отклонена.</v>
      </c>
      <c r="K345" s="20">
        <f ca="1">IFERROR(__xludf.DUMMYFUNCTION("""COMPUTED_VALUE"""),770)</f>
        <v>770</v>
      </c>
      <c r="L345" s="20">
        <f ca="1">IFERROR(__xludf.DUMMYFUNCTION("""COMPUTED_VALUE"""),770)</f>
        <v>770</v>
      </c>
      <c r="M345" s="20"/>
      <c r="N345" s="24">
        <f ca="1">IFERROR(__xludf.DUMMYFUNCTION("""COMPUTED_VALUE"""),27033.43)</f>
        <v>27033.43</v>
      </c>
      <c r="O345" s="20"/>
      <c r="P345" s="24">
        <f ca="1">IFERROR(__xludf.DUMMYFUNCTION("""COMPUTED_VALUE"""),19816)</f>
        <v>19816</v>
      </c>
      <c r="Q345" s="20"/>
      <c r="R345" s="24">
        <f ca="1">IFERROR(__xludf.DUMMYFUNCTION("""COMPUTED_VALUE"""),7217.43)</f>
        <v>7217.43</v>
      </c>
      <c r="S345" s="20"/>
      <c r="T345" s="20" t="str">
        <f ca="1">IFERROR(__xludf.DUMMYFUNCTION("""COMPUTED_VALUE"""),"Оплачено полностью")</f>
        <v>Оплачено полностью</v>
      </c>
      <c r="U345" s="24">
        <f ca="1">IFERROR(__xludf.DUMMYFUNCTION("""COMPUTED_VALUE"""),0)</f>
        <v>0</v>
      </c>
      <c r="V345" s="24">
        <f ca="1">IFERROR(__xludf.DUMMYFUNCTION("""COMPUTED_VALUE"""),0)</f>
        <v>0</v>
      </c>
      <c r="W345" s="24">
        <f ca="1">IFERROR(__xludf.DUMMYFUNCTION("""COMPUTED_VALUE"""),0)</f>
        <v>0</v>
      </c>
      <c r="X345" s="24">
        <f ca="1">IFERROR(__xludf.DUMMYFUNCTION("""COMPUTED_VALUE"""),0)</f>
        <v>0</v>
      </c>
      <c r="Y345" s="24">
        <f ca="1">IFERROR(__xludf.DUMMYFUNCTION("""COMPUTED_VALUE"""),0)</f>
        <v>0</v>
      </c>
      <c r="Z345" s="24">
        <f ca="1">IFERROR(__xludf.DUMMYFUNCTION("""COMPUTED_VALUE"""),0)</f>
        <v>0</v>
      </c>
      <c r="AA345" s="20" t="str">
        <f ca="1">IFERROR(__xludf.DUMMYFUNCTION("""COMPUTED_VALUE"""),"10 3 02 60320")</f>
        <v>10 3 02 60320</v>
      </c>
      <c r="AB345" s="20">
        <f ca="1">IFERROR(__xludf.DUMMYFUNCTION("""COMPUTED_VALUE"""),521)</f>
        <v>521</v>
      </c>
      <c r="AC345" s="20"/>
      <c r="AD345" s="20"/>
      <c r="AE345" s="20"/>
      <c r="AF345" s="24">
        <f ca="1">IFERROR(__xludf.DUMMYFUNCTION("""COMPUTED_VALUE"""),27033.43)</f>
        <v>27033.43</v>
      </c>
      <c r="AG345" s="24">
        <f ca="1">IFERROR(__xludf.DUMMYFUNCTION("""COMPUTED_VALUE"""),0)</f>
        <v>0</v>
      </c>
      <c r="AH345" s="24">
        <f ca="1">IFERROR(__xludf.DUMMYFUNCTION("""COMPUTED_VALUE"""),19816)</f>
        <v>19816</v>
      </c>
      <c r="AI345" s="24">
        <f ca="1">IFERROR(__xludf.DUMMYFUNCTION("""COMPUTED_VALUE"""),0)</f>
        <v>0</v>
      </c>
      <c r="AJ345" s="24">
        <f ca="1">IFERROR(__xludf.DUMMYFUNCTION("""COMPUTED_VALUE"""),7217.43)</f>
        <v>7217.43</v>
      </c>
      <c r="AK345" s="24">
        <f ca="1">IFERROR(__xludf.DUMMYFUNCTION("""COMPUTED_VALUE"""),0)</f>
        <v>0</v>
      </c>
      <c r="AL345" s="24">
        <f ca="1">IFERROR(__xludf.DUMMYFUNCTION("""COMPUTED_VALUE"""),0)</f>
        <v>0</v>
      </c>
      <c r="AM345" s="20"/>
      <c r="AN345" s="20"/>
      <c r="AO345" s="20"/>
      <c r="AP345" s="20"/>
      <c r="AQ345" s="20"/>
      <c r="AR345" s="24">
        <f ca="1">IFERROR(__xludf.DUMMYFUNCTION("""COMPUTED_VALUE"""),0)</f>
        <v>0</v>
      </c>
      <c r="AS345" s="20"/>
      <c r="AT345" s="20"/>
      <c r="AU345" s="20"/>
      <c r="AV345" s="20"/>
      <c r="AW345" s="20"/>
      <c r="AX345" s="24">
        <f ca="1">IFERROR(__xludf.DUMMYFUNCTION("""COMPUTED_VALUE"""),27033.43)</f>
        <v>27033.43</v>
      </c>
      <c r="AY345" s="24">
        <f ca="1">IFERROR(__xludf.DUMMYFUNCTION("""COMPUTED_VALUE"""),0)</f>
        <v>0</v>
      </c>
      <c r="AZ345" s="24">
        <f ca="1">IFERROR(__xludf.DUMMYFUNCTION("""COMPUTED_VALUE"""),19816)</f>
        <v>19816</v>
      </c>
      <c r="BA345" s="24">
        <f ca="1">IFERROR(__xludf.DUMMYFUNCTION("""COMPUTED_VALUE"""),0)</f>
        <v>0</v>
      </c>
      <c r="BB345" s="24">
        <f ca="1">IFERROR(__xludf.DUMMYFUNCTION("""COMPUTED_VALUE"""),7217.43)</f>
        <v>7217.43</v>
      </c>
      <c r="BC345" s="20"/>
      <c r="BD345" s="24">
        <f ca="1">IFERROR(__xludf.DUMMYFUNCTION("""COMPUTED_VALUE"""),0)</f>
        <v>0</v>
      </c>
      <c r="BE345" s="24">
        <f ca="1">IFERROR(__xludf.DUMMYFUNCTION("""COMPUTED_VALUE"""),0)</f>
        <v>0</v>
      </c>
      <c r="BF345" s="24">
        <f ca="1">IFERROR(__xludf.DUMMYFUNCTION("""COMPUTED_VALUE"""),0)</f>
        <v>0</v>
      </c>
      <c r="BG345" s="24">
        <f ca="1">IFERROR(__xludf.DUMMYFUNCTION("""COMPUTED_VALUE"""),0)</f>
        <v>0</v>
      </c>
      <c r="BH345" s="24">
        <f ca="1">IFERROR(__xludf.DUMMYFUNCTION("""COMPUTED_VALUE"""),0)</f>
        <v>0</v>
      </c>
      <c r="BI345" s="20"/>
      <c r="BJ345" s="24">
        <f ca="1">IFERROR(__xludf.DUMMYFUNCTION("""COMPUTED_VALUE"""),0)</f>
        <v>0</v>
      </c>
      <c r="BK345" s="24">
        <f ca="1">IFERROR(__xludf.DUMMYFUNCTION("""COMPUTED_VALUE"""),0)</f>
        <v>0</v>
      </c>
      <c r="BL345" s="24">
        <f ca="1">IFERROR(__xludf.DUMMYFUNCTION("""COMPUTED_VALUE"""),0)</f>
        <v>0</v>
      </c>
      <c r="BM345" s="24">
        <f ca="1">IFERROR(__xludf.DUMMYFUNCTION("""COMPUTED_VALUE"""),0)</f>
        <v>0</v>
      </c>
      <c r="BN345" s="24">
        <f ca="1">IFERROR(__xludf.DUMMYFUNCTION("""COMPUTED_VALUE"""),0)</f>
        <v>0</v>
      </c>
      <c r="BO345" s="20"/>
      <c r="BP345" s="24">
        <f ca="1">IFERROR(__xludf.DUMMYFUNCTION("""COMPUTED_VALUE"""),0)</f>
        <v>0</v>
      </c>
      <c r="BQ345" s="24">
        <f ca="1">IFERROR(__xludf.DUMMYFUNCTION("""COMPUTED_VALUE"""),0)</f>
        <v>0</v>
      </c>
      <c r="BR345" s="24">
        <f ca="1">IFERROR(__xludf.DUMMYFUNCTION("""COMPUTED_VALUE"""),0)</f>
        <v>0</v>
      </c>
      <c r="BS345" s="24">
        <f ca="1">IFERROR(__xludf.DUMMYFUNCTION("""COMPUTED_VALUE"""),0)</f>
        <v>0</v>
      </c>
      <c r="BT345" s="24">
        <f ca="1">IFERROR(__xludf.DUMMYFUNCTION("""COMPUTED_VALUE"""),0)</f>
        <v>0</v>
      </c>
      <c r="BU345" s="20"/>
      <c r="BV345" s="24">
        <f ca="1">IFERROR(__xludf.DUMMYFUNCTION("""COMPUTED_VALUE"""),0)</f>
        <v>0</v>
      </c>
      <c r="BW345" s="24">
        <f ca="1">IFERROR(__xludf.DUMMYFUNCTION("""COMPUTED_VALUE"""),0)</f>
        <v>0</v>
      </c>
      <c r="BX345" s="24">
        <f ca="1">IFERROR(__xludf.DUMMYFUNCTION("""COMPUTED_VALUE"""),0)</f>
        <v>0</v>
      </c>
      <c r="BY345" s="24">
        <f ca="1">IFERROR(__xludf.DUMMYFUNCTION("""COMPUTED_VALUE"""),0)</f>
        <v>0</v>
      </c>
      <c r="BZ345" s="24">
        <f ca="1">IFERROR(__xludf.DUMMYFUNCTION("""COMPUTED_VALUE"""),0)</f>
        <v>0</v>
      </c>
      <c r="CA345" s="20"/>
      <c r="CB345" s="20"/>
      <c r="CC345" s="20"/>
      <c r="CD345" s="20"/>
      <c r="CE345" s="20"/>
      <c r="CF345" s="20"/>
      <c r="CG345" s="20"/>
      <c r="CH345" s="20"/>
      <c r="CI345" s="20"/>
      <c r="CJ345" s="20"/>
      <c r="CK345" s="20"/>
      <c r="CL345" s="20"/>
      <c r="CM345" s="20"/>
      <c r="CN345" s="20"/>
      <c r="CO345" s="20"/>
      <c r="CP345" s="20"/>
      <c r="CQ345" s="20"/>
      <c r="CR345" s="20"/>
      <c r="CS345" s="20"/>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row>
    <row r="346" spans="1:123" ht="64.5" hidden="1" customHeight="1" x14ac:dyDescent="0.2">
      <c r="A346" s="19"/>
      <c r="B346" s="20" t="str">
        <f ca="1">IFERROR(__xludf.DUMMYFUNCTION("""COMPUTED_VALUE"""),"г.о. Наро-Фоминск")</f>
        <v>г.о. Наро-Фоминск</v>
      </c>
      <c r="C34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6" s="20" t="str">
        <f ca="1">IFERROR(__xludf.DUMMYFUNCTION("""COMPUTED_VALUE"""),"МинЖКХ ""ТОП 5 (2 этап)""")</f>
        <v>МинЖКХ "ТОП 5 (2 этап)"</v>
      </c>
      <c r="E346" s="20" t="str">
        <f ca="1">IFERROR(__xludf.DUMMYFUNCTION("""COMPUTED_VALUE"""),"Строительство котельной по адресу г. Наро-Фоминск, ул. Маршала Куркоткина, Наро-Фоминский г.о")</f>
        <v>Строительство котельной по адресу г. Наро-Фоминск, ул. Маршала Куркоткина, Наро-Фоминский г.о</v>
      </c>
      <c r="F346" s="32" t="str">
        <f ca="1">IFERROR(__xludf.DUMMYFUNCTION("""COMPUTED_VALUE"""),"Котельная")</f>
        <v>Котельная</v>
      </c>
      <c r="G346" s="20" t="str">
        <f ca="1">IFERROR(__xludf.DUMMYFUNCTION("""COMPUTED_VALUE"""),"2021-2022")</f>
        <v>2021-2022</v>
      </c>
      <c r="H346" s="20" t="str">
        <f ca="1">IFERROR(__xludf.DUMMYFUNCTION("""COMPUTED_VALUE"""),"СМР")</f>
        <v>СМР</v>
      </c>
      <c r="I346" s="20"/>
      <c r="J346" s="20"/>
      <c r="K346" s="20"/>
      <c r="L346" s="20"/>
      <c r="M346" s="20"/>
      <c r="N346" s="24">
        <f ca="1">IFERROR(__xludf.DUMMYFUNCTION("""COMPUTED_VALUE"""),0)</f>
        <v>0</v>
      </c>
      <c r="O346" s="20"/>
      <c r="P346" s="20"/>
      <c r="Q346" s="20"/>
      <c r="R346" s="20"/>
      <c r="S346" s="20"/>
      <c r="T346" s="20"/>
      <c r="U346" s="24">
        <f ca="1">IFERROR(__xludf.DUMMYFUNCTION("""COMPUTED_VALUE"""),0)</f>
        <v>0</v>
      </c>
      <c r="V346" s="24">
        <f ca="1">IFERROR(__xludf.DUMMYFUNCTION("""COMPUTED_VALUE"""),0)</f>
        <v>0</v>
      </c>
      <c r="W346" s="24">
        <f ca="1">IFERROR(__xludf.DUMMYFUNCTION("""COMPUTED_VALUE"""),0)</f>
        <v>0</v>
      </c>
      <c r="X346" s="24">
        <f ca="1">IFERROR(__xludf.DUMMYFUNCTION("""COMPUTED_VALUE"""),0)</f>
        <v>0</v>
      </c>
      <c r="Y346" s="24">
        <f ca="1">IFERROR(__xludf.DUMMYFUNCTION("""COMPUTED_VALUE"""),0)</f>
        <v>0</v>
      </c>
      <c r="Z346" s="24">
        <f ca="1">IFERROR(__xludf.DUMMYFUNCTION("""COMPUTED_VALUE"""),0)</f>
        <v>0</v>
      </c>
      <c r="AA346" s="20" t="str">
        <f ca="1">IFERROR(__xludf.DUMMYFUNCTION("""COMPUTED_VALUE"""),"10 3 02 64080")</f>
        <v>10 3 02 64080</v>
      </c>
      <c r="AB346" s="20">
        <f ca="1">IFERROR(__xludf.DUMMYFUNCTION("""COMPUTED_VALUE"""),522)</f>
        <v>522</v>
      </c>
      <c r="AC346" s="20"/>
      <c r="AD346" s="20"/>
      <c r="AE346" s="20"/>
      <c r="AF346" s="24">
        <f ca="1">IFERROR(__xludf.DUMMYFUNCTION("""COMPUTED_VALUE"""),202500)</f>
        <v>202500</v>
      </c>
      <c r="AG346" s="24">
        <f ca="1">IFERROR(__xludf.DUMMYFUNCTION("""COMPUTED_VALUE"""),0)</f>
        <v>0</v>
      </c>
      <c r="AH346" s="24">
        <f ca="1">IFERROR(__xludf.DUMMYFUNCTION("""COMPUTED_VALUE"""),153697.5)</f>
        <v>153697.5</v>
      </c>
      <c r="AI346" s="24">
        <f ca="1">IFERROR(__xludf.DUMMYFUNCTION("""COMPUTED_VALUE"""),0)</f>
        <v>0</v>
      </c>
      <c r="AJ346" s="24">
        <f ca="1">IFERROR(__xludf.DUMMYFUNCTION("""COMPUTED_VALUE"""),48802.5)</f>
        <v>48802.5</v>
      </c>
      <c r="AK346" s="24">
        <f ca="1">IFERROR(__xludf.DUMMYFUNCTION("""COMPUTED_VALUE"""),0)</f>
        <v>0</v>
      </c>
      <c r="AL346" s="24">
        <f ca="1">IFERROR(__xludf.DUMMYFUNCTION("""COMPUTED_VALUE"""),0)</f>
        <v>0</v>
      </c>
      <c r="AM346" s="20"/>
      <c r="AN346" s="20"/>
      <c r="AO346" s="20"/>
      <c r="AP346" s="20"/>
      <c r="AQ346" s="20"/>
      <c r="AR346" s="24">
        <f ca="1">IFERROR(__xludf.DUMMYFUNCTION("""COMPUTED_VALUE"""),0)</f>
        <v>0</v>
      </c>
      <c r="AS346" s="20"/>
      <c r="AT346" s="20"/>
      <c r="AU346" s="20"/>
      <c r="AV346" s="20"/>
      <c r="AW346" s="20"/>
      <c r="AX346" s="24">
        <f ca="1">IFERROR(__xludf.DUMMYFUNCTION("""COMPUTED_VALUE"""),0)</f>
        <v>0</v>
      </c>
      <c r="AY346" s="24">
        <f ca="1">IFERROR(__xludf.DUMMYFUNCTION("""COMPUTED_VALUE"""),0)</f>
        <v>0</v>
      </c>
      <c r="AZ346" s="24">
        <f ca="1">IFERROR(__xludf.DUMMYFUNCTION("""COMPUTED_VALUE"""),0)</f>
        <v>0</v>
      </c>
      <c r="BA346" s="24">
        <f ca="1">IFERROR(__xludf.DUMMYFUNCTION("""COMPUTED_VALUE"""),0)</f>
        <v>0</v>
      </c>
      <c r="BB346" s="24">
        <f ca="1">IFERROR(__xludf.DUMMYFUNCTION("""COMPUTED_VALUE"""),0)</f>
        <v>0</v>
      </c>
      <c r="BC346" s="20"/>
      <c r="BD346" s="24">
        <f ca="1">IFERROR(__xludf.DUMMYFUNCTION("""COMPUTED_VALUE"""),33661.99)</f>
        <v>33661.99</v>
      </c>
      <c r="BE346" s="24">
        <f ca="1">IFERROR(__xludf.DUMMYFUNCTION("""COMPUTED_VALUE"""),0)</f>
        <v>0</v>
      </c>
      <c r="BF346" s="24">
        <f ca="1">IFERROR(__xludf.DUMMYFUNCTION("""COMPUTED_VALUE"""),25549.45)</f>
        <v>25549.45</v>
      </c>
      <c r="BG346" s="24">
        <f ca="1">IFERROR(__xludf.DUMMYFUNCTION("""COMPUTED_VALUE"""),0)</f>
        <v>0</v>
      </c>
      <c r="BH346" s="24">
        <f ca="1">IFERROR(__xludf.DUMMYFUNCTION("""COMPUTED_VALUE"""),8112.54)</f>
        <v>8112.54</v>
      </c>
      <c r="BI346" s="20"/>
      <c r="BJ346" s="24">
        <f ca="1">IFERROR(__xludf.DUMMYFUNCTION("""COMPUTED_VALUE"""),168838.01)</f>
        <v>168838.01</v>
      </c>
      <c r="BK346" s="24">
        <f ca="1">IFERROR(__xludf.DUMMYFUNCTION("""COMPUTED_VALUE"""),0)</f>
        <v>0</v>
      </c>
      <c r="BL346" s="24">
        <f ca="1">IFERROR(__xludf.DUMMYFUNCTION("""COMPUTED_VALUE"""),128148.05)</f>
        <v>128148.05</v>
      </c>
      <c r="BM346" s="24">
        <f ca="1">IFERROR(__xludf.DUMMYFUNCTION("""COMPUTED_VALUE"""),0)</f>
        <v>0</v>
      </c>
      <c r="BN346" s="24">
        <f ca="1">IFERROR(__xludf.DUMMYFUNCTION("""COMPUTED_VALUE"""),40689.96)</f>
        <v>40689.96</v>
      </c>
      <c r="BO346" s="20"/>
      <c r="BP346" s="24">
        <f ca="1">IFERROR(__xludf.DUMMYFUNCTION("""COMPUTED_VALUE"""),0)</f>
        <v>0</v>
      </c>
      <c r="BQ346" s="24">
        <f ca="1">IFERROR(__xludf.DUMMYFUNCTION("""COMPUTED_VALUE"""),0)</f>
        <v>0</v>
      </c>
      <c r="BR346" s="24">
        <f ca="1">IFERROR(__xludf.DUMMYFUNCTION("""COMPUTED_VALUE"""),0)</f>
        <v>0</v>
      </c>
      <c r="BS346" s="24">
        <f ca="1">IFERROR(__xludf.DUMMYFUNCTION("""COMPUTED_VALUE"""),0)</f>
        <v>0</v>
      </c>
      <c r="BT346" s="24">
        <f ca="1">IFERROR(__xludf.DUMMYFUNCTION("""COMPUTED_VALUE"""),0)</f>
        <v>0</v>
      </c>
      <c r="BU346" s="20"/>
      <c r="BV346" s="24">
        <f ca="1">IFERROR(__xludf.DUMMYFUNCTION("""COMPUTED_VALUE"""),0)</f>
        <v>0</v>
      </c>
      <c r="BW346" s="24">
        <f ca="1">IFERROR(__xludf.DUMMYFUNCTION("""COMPUTED_VALUE"""),0)</f>
        <v>0</v>
      </c>
      <c r="BX346" s="24">
        <f ca="1">IFERROR(__xludf.DUMMYFUNCTION("""COMPUTED_VALUE"""),0)</f>
        <v>0</v>
      </c>
      <c r="BY346" s="24">
        <f ca="1">IFERROR(__xludf.DUMMYFUNCTION("""COMPUTED_VALUE"""),0)</f>
        <v>0</v>
      </c>
      <c r="BZ346" s="24">
        <f ca="1">IFERROR(__xludf.DUMMYFUNCTION("""COMPUTED_VALUE"""),0)</f>
        <v>0</v>
      </c>
      <c r="CA346" s="20"/>
      <c r="CB346" s="20"/>
      <c r="CC346" s="20"/>
      <c r="CD346" s="20"/>
      <c r="CE346" s="20"/>
      <c r="CF346" s="20"/>
      <c r="CG346" s="20"/>
      <c r="CH346" s="20"/>
      <c r="CI346" s="20"/>
      <c r="CJ346" s="20"/>
      <c r="CK346" s="20"/>
      <c r="CL346" s="20"/>
      <c r="CM346" s="20"/>
      <c r="CN346" s="20"/>
      <c r="CO346" s="20"/>
      <c r="CP346" s="20"/>
      <c r="CQ346" s="20"/>
      <c r="CR346" s="20"/>
      <c r="CS346" s="20"/>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row>
    <row r="347" spans="1:123" ht="64.5" hidden="1" customHeight="1" x14ac:dyDescent="0.2">
      <c r="A347" s="19"/>
      <c r="B347" s="20" t="str">
        <f ca="1">IFERROR(__xludf.DUMMYFUNCTION("""COMPUTED_VALUE"""),"г.о. Наро-Фоминск")</f>
        <v>г.о. Наро-Фоминск</v>
      </c>
      <c r="C34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7" s="20" t="str">
        <f ca="1">IFERROR(__xludf.DUMMYFUNCTION("""COMPUTED_VALUE"""),"МинЖКХ ""ТОП 5 (2 этап)""")</f>
        <v>МинЖКХ "ТОП 5 (2 этап)"</v>
      </c>
      <c r="E347" s="20" t="str">
        <f ca="1">IFERROR(__xludf.DUMMYFUNCTION("""COMPUTED_VALUE"""),"Реконструкция котельной № 74, д. Назарьево, Наро-Фоминский г.о. (в т.ч. ТП)")</f>
        <v>Реконструкция котельной № 74, д. Назарьево, Наро-Фоминский г.о. (в т.ч. ТП)</v>
      </c>
      <c r="F347" s="32" t="str">
        <f ca="1">IFERROR(__xludf.DUMMYFUNCTION("""COMPUTED_VALUE"""),"Котельная")</f>
        <v>Котельная</v>
      </c>
      <c r="G347" s="20">
        <f ca="1">IFERROR(__xludf.DUMMYFUNCTION("""COMPUTED_VALUE"""),2021)</f>
        <v>2021</v>
      </c>
      <c r="H347" s="20" t="str">
        <f ca="1">IFERROR(__xludf.DUMMYFUNCTION("""COMPUTED_VALUE"""),"СМР")</f>
        <v>СМР</v>
      </c>
      <c r="I347" s="20"/>
      <c r="J347" s="20"/>
      <c r="K347" s="20"/>
      <c r="L347" s="20"/>
      <c r="M347" s="20"/>
      <c r="N347" s="24">
        <f ca="1">IFERROR(__xludf.DUMMYFUNCTION("""COMPUTED_VALUE"""),0)</f>
        <v>0</v>
      </c>
      <c r="O347" s="20"/>
      <c r="P347" s="20"/>
      <c r="Q347" s="20"/>
      <c r="R347" s="20"/>
      <c r="S347" s="20"/>
      <c r="T347" s="20"/>
      <c r="U347" s="24">
        <f ca="1">IFERROR(__xludf.DUMMYFUNCTION("""COMPUTED_VALUE"""),0)</f>
        <v>0</v>
      </c>
      <c r="V347" s="24">
        <f ca="1">IFERROR(__xludf.DUMMYFUNCTION("""COMPUTED_VALUE"""),0)</f>
        <v>0</v>
      </c>
      <c r="W347" s="24">
        <f ca="1">IFERROR(__xludf.DUMMYFUNCTION("""COMPUTED_VALUE"""),0)</f>
        <v>0</v>
      </c>
      <c r="X347" s="24">
        <f ca="1">IFERROR(__xludf.DUMMYFUNCTION("""COMPUTED_VALUE"""),0)</f>
        <v>0</v>
      </c>
      <c r="Y347" s="24">
        <f ca="1">IFERROR(__xludf.DUMMYFUNCTION("""COMPUTED_VALUE"""),0)</f>
        <v>0</v>
      </c>
      <c r="Z347" s="24">
        <f ca="1">IFERROR(__xludf.DUMMYFUNCTION("""COMPUTED_VALUE"""),0)</f>
        <v>0</v>
      </c>
      <c r="AA347" s="20"/>
      <c r="AB347" s="20"/>
      <c r="AC347" s="20"/>
      <c r="AD347" s="20"/>
      <c r="AE347" s="20"/>
      <c r="AF347" s="24">
        <f ca="1">IFERROR(__xludf.DUMMYFUNCTION("""COMPUTED_VALUE"""),9200)</f>
        <v>9200</v>
      </c>
      <c r="AG347" s="24">
        <f ca="1">IFERROR(__xludf.DUMMYFUNCTION("""COMPUTED_VALUE"""),0)</f>
        <v>0</v>
      </c>
      <c r="AH347" s="24">
        <f ca="1">IFERROR(__xludf.DUMMYFUNCTION("""COMPUTED_VALUE"""),6982.8)</f>
        <v>6982.8</v>
      </c>
      <c r="AI347" s="24">
        <f ca="1">IFERROR(__xludf.DUMMYFUNCTION("""COMPUTED_VALUE"""),0)</f>
        <v>0</v>
      </c>
      <c r="AJ347" s="24">
        <f ca="1">IFERROR(__xludf.DUMMYFUNCTION("""COMPUTED_VALUE"""),2217.2)</f>
        <v>2217.1999999999998</v>
      </c>
      <c r="AK347" s="24">
        <f ca="1">IFERROR(__xludf.DUMMYFUNCTION("""COMPUTED_VALUE"""),0)</f>
        <v>0</v>
      </c>
      <c r="AL347" s="24">
        <f ca="1">IFERROR(__xludf.DUMMYFUNCTION("""COMPUTED_VALUE"""),0)</f>
        <v>0</v>
      </c>
      <c r="AM347" s="20"/>
      <c r="AN347" s="20"/>
      <c r="AO347" s="20"/>
      <c r="AP347" s="20"/>
      <c r="AQ347" s="20"/>
      <c r="AR347" s="24">
        <f ca="1">IFERROR(__xludf.DUMMYFUNCTION("""COMPUTED_VALUE"""),0)</f>
        <v>0</v>
      </c>
      <c r="AS347" s="20"/>
      <c r="AT347" s="20"/>
      <c r="AU347" s="20"/>
      <c r="AV347" s="20"/>
      <c r="AW347" s="20"/>
      <c r="AX347" s="24">
        <f ca="1">IFERROR(__xludf.DUMMYFUNCTION("""COMPUTED_VALUE"""),0)</f>
        <v>0</v>
      </c>
      <c r="AY347" s="24">
        <f ca="1">IFERROR(__xludf.DUMMYFUNCTION("""COMPUTED_VALUE"""),0)</f>
        <v>0</v>
      </c>
      <c r="AZ347" s="24">
        <f ca="1">IFERROR(__xludf.DUMMYFUNCTION("""COMPUTED_VALUE"""),0)</f>
        <v>0</v>
      </c>
      <c r="BA347" s="24">
        <f ca="1">IFERROR(__xludf.DUMMYFUNCTION("""COMPUTED_VALUE"""),0)</f>
        <v>0</v>
      </c>
      <c r="BB347" s="24">
        <f ca="1">IFERROR(__xludf.DUMMYFUNCTION("""COMPUTED_VALUE"""),0)</f>
        <v>0</v>
      </c>
      <c r="BC347" s="20"/>
      <c r="BD347" s="24">
        <f ca="1">IFERROR(__xludf.DUMMYFUNCTION("""COMPUTED_VALUE"""),9200)</f>
        <v>9200</v>
      </c>
      <c r="BE347" s="24">
        <f ca="1">IFERROR(__xludf.DUMMYFUNCTION("""COMPUTED_VALUE"""),0)</f>
        <v>0</v>
      </c>
      <c r="BF347" s="24">
        <f ca="1">IFERROR(__xludf.DUMMYFUNCTION("""COMPUTED_VALUE"""),6982.8)</f>
        <v>6982.8</v>
      </c>
      <c r="BG347" s="24">
        <f ca="1">IFERROR(__xludf.DUMMYFUNCTION("""COMPUTED_VALUE"""),0)</f>
        <v>0</v>
      </c>
      <c r="BH347" s="24">
        <f ca="1">IFERROR(__xludf.DUMMYFUNCTION("""COMPUTED_VALUE"""),2217.2)</f>
        <v>2217.1999999999998</v>
      </c>
      <c r="BI347" s="20"/>
      <c r="BJ347" s="24">
        <f ca="1">IFERROR(__xludf.DUMMYFUNCTION("""COMPUTED_VALUE"""),0)</f>
        <v>0</v>
      </c>
      <c r="BK347" s="24">
        <f ca="1">IFERROR(__xludf.DUMMYFUNCTION("""COMPUTED_VALUE"""),0)</f>
        <v>0</v>
      </c>
      <c r="BL347" s="24">
        <f ca="1">IFERROR(__xludf.DUMMYFUNCTION("""COMPUTED_VALUE"""),0)</f>
        <v>0</v>
      </c>
      <c r="BM347" s="24">
        <f ca="1">IFERROR(__xludf.DUMMYFUNCTION("""COMPUTED_VALUE"""),0)</f>
        <v>0</v>
      </c>
      <c r="BN347" s="24">
        <f ca="1">IFERROR(__xludf.DUMMYFUNCTION("""COMPUTED_VALUE"""),0)</f>
        <v>0</v>
      </c>
      <c r="BO347" s="20"/>
      <c r="BP347" s="24">
        <f ca="1">IFERROR(__xludf.DUMMYFUNCTION("""COMPUTED_VALUE"""),0)</f>
        <v>0</v>
      </c>
      <c r="BQ347" s="24">
        <f ca="1">IFERROR(__xludf.DUMMYFUNCTION("""COMPUTED_VALUE"""),0)</f>
        <v>0</v>
      </c>
      <c r="BR347" s="24">
        <f ca="1">IFERROR(__xludf.DUMMYFUNCTION("""COMPUTED_VALUE"""),0)</f>
        <v>0</v>
      </c>
      <c r="BS347" s="24">
        <f ca="1">IFERROR(__xludf.DUMMYFUNCTION("""COMPUTED_VALUE"""),0)</f>
        <v>0</v>
      </c>
      <c r="BT347" s="24">
        <f ca="1">IFERROR(__xludf.DUMMYFUNCTION("""COMPUTED_VALUE"""),0)</f>
        <v>0</v>
      </c>
      <c r="BU347" s="20"/>
      <c r="BV347" s="24">
        <f ca="1">IFERROR(__xludf.DUMMYFUNCTION("""COMPUTED_VALUE"""),0)</f>
        <v>0</v>
      </c>
      <c r="BW347" s="24">
        <f ca="1">IFERROR(__xludf.DUMMYFUNCTION("""COMPUTED_VALUE"""),0)</f>
        <v>0</v>
      </c>
      <c r="BX347" s="24">
        <f ca="1">IFERROR(__xludf.DUMMYFUNCTION("""COMPUTED_VALUE"""),0)</f>
        <v>0</v>
      </c>
      <c r="BY347" s="24">
        <f ca="1">IFERROR(__xludf.DUMMYFUNCTION("""COMPUTED_VALUE"""),0)</f>
        <v>0</v>
      </c>
      <c r="BZ347" s="24">
        <f ca="1">IFERROR(__xludf.DUMMYFUNCTION("""COMPUTED_VALUE"""),0)</f>
        <v>0</v>
      </c>
      <c r="CA347" s="20"/>
      <c r="CB347" s="20"/>
      <c r="CC347" s="20"/>
      <c r="CD347" s="20"/>
      <c r="CE347" s="20"/>
      <c r="CF347" s="20"/>
      <c r="CG347" s="20"/>
      <c r="CH347" s="20"/>
      <c r="CI347" s="20"/>
      <c r="CJ347" s="20"/>
      <c r="CK347" s="20"/>
      <c r="CL347" s="20"/>
      <c r="CM347" s="20"/>
      <c r="CN347" s="20"/>
      <c r="CO347" s="20"/>
      <c r="CP347" s="20"/>
      <c r="CQ347" s="20"/>
      <c r="CR347" s="20"/>
      <c r="CS347" s="20"/>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row>
    <row r="348" spans="1:123" ht="64.5" hidden="1" customHeight="1" x14ac:dyDescent="0.2">
      <c r="A348" s="19"/>
      <c r="B348" s="20" t="str">
        <f ca="1">IFERROR(__xludf.DUMMYFUNCTION("""COMPUTED_VALUE"""),"г.о. Наро-Фоминск")</f>
        <v>г.о. Наро-Фоминск</v>
      </c>
      <c r="C34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8" s="20" t="str">
        <f ca="1">IFERROR(__xludf.DUMMYFUNCTION("""COMPUTED_VALUE"""),"МинЖКХ ""ТОП 5 (2 этап)""")</f>
        <v>МинЖКХ "ТОП 5 (2 этап)"</v>
      </c>
      <c r="E348" s="20" t="str">
        <f ca="1">IFERROR(__xludf.DUMMYFUNCTION("""COMPUTED_VALUE"""),"Реконструкция котельной № 79, г. Верея, ул. Боровская, Наро-Фоминский г.о. (в т.ч. ТП)")</f>
        <v>Реконструкция котельной № 79, г. Верея, ул. Боровская, Наро-Фоминский г.о. (в т.ч. ТП)</v>
      </c>
      <c r="F348" s="32" t="str">
        <f ca="1">IFERROR(__xludf.DUMMYFUNCTION("""COMPUTED_VALUE"""),"Котельная")</f>
        <v>Котельная</v>
      </c>
      <c r="G348" s="20">
        <f ca="1">IFERROR(__xludf.DUMMYFUNCTION("""COMPUTED_VALUE"""),2021)</f>
        <v>2021</v>
      </c>
      <c r="H348" s="20" t="str">
        <f ca="1">IFERROR(__xludf.DUMMYFUNCTION("""COMPUTED_VALUE"""),"СМР")</f>
        <v>СМР</v>
      </c>
      <c r="I348" s="20"/>
      <c r="J348" s="20"/>
      <c r="K348" s="20"/>
      <c r="L348" s="20"/>
      <c r="M348" s="20"/>
      <c r="N348" s="24">
        <f ca="1">IFERROR(__xludf.DUMMYFUNCTION("""COMPUTED_VALUE"""),0)</f>
        <v>0</v>
      </c>
      <c r="O348" s="20"/>
      <c r="P348" s="20"/>
      <c r="Q348" s="20"/>
      <c r="R348" s="20"/>
      <c r="S348" s="20"/>
      <c r="T348" s="20"/>
      <c r="U348" s="24">
        <f ca="1">IFERROR(__xludf.DUMMYFUNCTION("""COMPUTED_VALUE"""),0)</f>
        <v>0</v>
      </c>
      <c r="V348" s="24">
        <f ca="1">IFERROR(__xludf.DUMMYFUNCTION("""COMPUTED_VALUE"""),0)</f>
        <v>0</v>
      </c>
      <c r="W348" s="24">
        <f ca="1">IFERROR(__xludf.DUMMYFUNCTION("""COMPUTED_VALUE"""),0)</f>
        <v>0</v>
      </c>
      <c r="X348" s="24">
        <f ca="1">IFERROR(__xludf.DUMMYFUNCTION("""COMPUTED_VALUE"""),0)</f>
        <v>0</v>
      </c>
      <c r="Y348" s="24">
        <f ca="1">IFERROR(__xludf.DUMMYFUNCTION("""COMPUTED_VALUE"""),0)</f>
        <v>0</v>
      </c>
      <c r="Z348" s="24">
        <f ca="1">IFERROR(__xludf.DUMMYFUNCTION("""COMPUTED_VALUE"""),0)</f>
        <v>0</v>
      </c>
      <c r="AA348" s="20"/>
      <c r="AB348" s="20"/>
      <c r="AC348" s="20"/>
      <c r="AD348" s="20"/>
      <c r="AE348" s="20"/>
      <c r="AF348" s="24">
        <f ca="1">IFERROR(__xludf.DUMMYFUNCTION("""COMPUTED_VALUE"""),20200)</f>
        <v>20200</v>
      </c>
      <c r="AG348" s="24">
        <f ca="1">IFERROR(__xludf.DUMMYFUNCTION("""COMPUTED_VALUE"""),0)</f>
        <v>0</v>
      </c>
      <c r="AH348" s="24">
        <f ca="1">IFERROR(__xludf.DUMMYFUNCTION("""COMPUTED_VALUE"""),15331.8)</f>
        <v>15331.8</v>
      </c>
      <c r="AI348" s="24">
        <f ca="1">IFERROR(__xludf.DUMMYFUNCTION("""COMPUTED_VALUE"""),0)</f>
        <v>0</v>
      </c>
      <c r="AJ348" s="24">
        <f ca="1">IFERROR(__xludf.DUMMYFUNCTION("""COMPUTED_VALUE"""),4868.2)</f>
        <v>4868.2</v>
      </c>
      <c r="AK348" s="24">
        <f ca="1">IFERROR(__xludf.DUMMYFUNCTION("""COMPUTED_VALUE"""),0)</f>
        <v>0</v>
      </c>
      <c r="AL348" s="24">
        <f ca="1">IFERROR(__xludf.DUMMYFUNCTION("""COMPUTED_VALUE"""),0)</f>
        <v>0</v>
      </c>
      <c r="AM348" s="20"/>
      <c r="AN348" s="20"/>
      <c r="AO348" s="20"/>
      <c r="AP348" s="20"/>
      <c r="AQ348" s="20"/>
      <c r="AR348" s="24">
        <f ca="1">IFERROR(__xludf.DUMMYFUNCTION("""COMPUTED_VALUE"""),0)</f>
        <v>0</v>
      </c>
      <c r="AS348" s="20"/>
      <c r="AT348" s="20"/>
      <c r="AU348" s="20"/>
      <c r="AV348" s="20"/>
      <c r="AW348" s="20"/>
      <c r="AX348" s="24">
        <f ca="1">IFERROR(__xludf.DUMMYFUNCTION("""COMPUTED_VALUE"""),0)</f>
        <v>0</v>
      </c>
      <c r="AY348" s="24">
        <f ca="1">IFERROR(__xludf.DUMMYFUNCTION("""COMPUTED_VALUE"""),0)</f>
        <v>0</v>
      </c>
      <c r="AZ348" s="24">
        <f ca="1">IFERROR(__xludf.DUMMYFUNCTION("""COMPUTED_VALUE"""),0)</f>
        <v>0</v>
      </c>
      <c r="BA348" s="24">
        <f ca="1">IFERROR(__xludf.DUMMYFUNCTION("""COMPUTED_VALUE"""),0)</f>
        <v>0</v>
      </c>
      <c r="BB348" s="24">
        <f ca="1">IFERROR(__xludf.DUMMYFUNCTION("""COMPUTED_VALUE"""),0)</f>
        <v>0</v>
      </c>
      <c r="BC348" s="20"/>
      <c r="BD348" s="24">
        <f ca="1">IFERROR(__xludf.DUMMYFUNCTION("""COMPUTED_VALUE"""),0)</f>
        <v>0</v>
      </c>
      <c r="BE348" s="24">
        <f ca="1">IFERROR(__xludf.DUMMYFUNCTION("""COMPUTED_VALUE"""),0)</f>
        <v>0</v>
      </c>
      <c r="BF348" s="24">
        <f ca="1">IFERROR(__xludf.DUMMYFUNCTION("""COMPUTED_VALUE"""),0)</f>
        <v>0</v>
      </c>
      <c r="BG348" s="24">
        <f ca="1">IFERROR(__xludf.DUMMYFUNCTION("""COMPUTED_VALUE"""),0)</f>
        <v>0</v>
      </c>
      <c r="BH348" s="24">
        <f ca="1">IFERROR(__xludf.DUMMYFUNCTION("""COMPUTED_VALUE"""),0)</f>
        <v>0</v>
      </c>
      <c r="BI348" s="20"/>
      <c r="BJ348" s="24">
        <f ca="1">IFERROR(__xludf.DUMMYFUNCTION("""COMPUTED_VALUE"""),20200)</f>
        <v>20200</v>
      </c>
      <c r="BK348" s="24">
        <f ca="1">IFERROR(__xludf.DUMMYFUNCTION("""COMPUTED_VALUE"""),0)</f>
        <v>0</v>
      </c>
      <c r="BL348" s="24">
        <f ca="1">IFERROR(__xludf.DUMMYFUNCTION("""COMPUTED_VALUE"""),15331.8)</f>
        <v>15331.8</v>
      </c>
      <c r="BM348" s="24">
        <f ca="1">IFERROR(__xludf.DUMMYFUNCTION("""COMPUTED_VALUE"""),0)</f>
        <v>0</v>
      </c>
      <c r="BN348" s="24">
        <f ca="1">IFERROR(__xludf.DUMMYFUNCTION("""COMPUTED_VALUE"""),4868.2)</f>
        <v>4868.2</v>
      </c>
      <c r="BO348" s="20"/>
      <c r="BP348" s="24">
        <f ca="1">IFERROR(__xludf.DUMMYFUNCTION("""COMPUTED_VALUE"""),0)</f>
        <v>0</v>
      </c>
      <c r="BQ348" s="24">
        <f ca="1">IFERROR(__xludf.DUMMYFUNCTION("""COMPUTED_VALUE"""),0)</f>
        <v>0</v>
      </c>
      <c r="BR348" s="24">
        <f ca="1">IFERROR(__xludf.DUMMYFUNCTION("""COMPUTED_VALUE"""),0)</f>
        <v>0</v>
      </c>
      <c r="BS348" s="24">
        <f ca="1">IFERROR(__xludf.DUMMYFUNCTION("""COMPUTED_VALUE"""),0)</f>
        <v>0</v>
      </c>
      <c r="BT348" s="24">
        <f ca="1">IFERROR(__xludf.DUMMYFUNCTION("""COMPUTED_VALUE"""),0)</f>
        <v>0</v>
      </c>
      <c r="BU348" s="20"/>
      <c r="BV348" s="24">
        <f ca="1">IFERROR(__xludf.DUMMYFUNCTION("""COMPUTED_VALUE"""),0)</f>
        <v>0</v>
      </c>
      <c r="BW348" s="24">
        <f ca="1">IFERROR(__xludf.DUMMYFUNCTION("""COMPUTED_VALUE"""),0)</f>
        <v>0</v>
      </c>
      <c r="BX348" s="24">
        <f ca="1">IFERROR(__xludf.DUMMYFUNCTION("""COMPUTED_VALUE"""),0)</f>
        <v>0</v>
      </c>
      <c r="BY348" s="24">
        <f ca="1">IFERROR(__xludf.DUMMYFUNCTION("""COMPUTED_VALUE"""),0)</f>
        <v>0</v>
      </c>
      <c r="BZ348" s="24">
        <f ca="1">IFERROR(__xludf.DUMMYFUNCTION("""COMPUTED_VALUE"""),0)</f>
        <v>0</v>
      </c>
      <c r="CA348" s="20"/>
      <c r="CB348" s="20"/>
      <c r="CC348" s="20"/>
      <c r="CD348" s="20"/>
      <c r="CE348" s="20"/>
      <c r="CF348" s="20"/>
      <c r="CG348" s="20"/>
      <c r="CH348" s="20"/>
      <c r="CI348" s="20"/>
      <c r="CJ348" s="20"/>
      <c r="CK348" s="20"/>
      <c r="CL348" s="20"/>
      <c r="CM348" s="20"/>
      <c r="CN348" s="20"/>
      <c r="CO348" s="20"/>
      <c r="CP348" s="20"/>
      <c r="CQ348" s="20"/>
      <c r="CR348" s="20"/>
      <c r="CS348" s="20"/>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row>
    <row r="349" spans="1:123" ht="64.5" hidden="1" customHeight="1" x14ac:dyDescent="0.2">
      <c r="A349" s="19"/>
      <c r="B349" s="20" t="str">
        <f ca="1">IFERROR(__xludf.DUMMYFUNCTION("""COMPUTED_VALUE"""),"г.о. Шаховская")</f>
        <v>г.о. Шаховская</v>
      </c>
      <c r="C34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9" s="20" t="str">
        <f ca="1">IFERROR(__xludf.DUMMYFUNCTION("""COMPUTED_VALUE"""),"МинЖКХ ""ТОП 5 (2 этап)""")</f>
        <v>МинЖКХ "ТОП 5 (2 этап)"</v>
      </c>
      <c r="E349" s="20" t="str">
        <f ca="1">IFERROR(__xludf.DUMMYFUNCTION("""COMPUTED_VALUE"""),"Реконструкция котельной №7 по адресу р.п.Шаховская, ул.Солнечная д.8, г.о. Шаховская (в т.ч. ПИР, ТП)")</f>
        <v>Реконструкция котельной №7 по адресу р.п.Шаховская, ул.Солнечная д.8, г.о. Шаховская (в т.ч. ПИР, ТП)</v>
      </c>
      <c r="F349" s="32" t="str">
        <f ca="1">IFERROR(__xludf.DUMMYFUNCTION("""COMPUTED_VALUE"""),"Котельная")</f>
        <v>Котельная</v>
      </c>
      <c r="G349" s="20" t="str">
        <f ca="1">IFERROR(__xludf.DUMMYFUNCTION("""COMPUTED_VALUE"""),"2021-2022")</f>
        <v>2021-2022</v>
      </c>
      <c r="H349" s="20" t="str">
        <f ca="1">IFERROR(__xludf.DUMMYFUNCTION("""COMPUTED_VALUE"""),"СМР")</f>
        <v>СМР</v>
      </c>
      <c r="I349" s="20"/>
      <c r="J349" s="20"/>
      <c r="K349" s="20"/>
      <c r="L349" s="20"/>
      <c r="M349" s="20"/>
      <c r="N349" s="24">
        <f ca="1">IFERROR(__xludf.DUMMYFUNCTION("""COMPUTED_VALUE"""),0)</f>
        <v>0</v>
      </c>
      <c r="O349" s="20"/>
      <c r="P349" s="20"/>
      <c r="Q349" s="20"/>
      <c r="R349" s="20"/>
      <c r="S349" s="20"/>
      <c r="T349" s="20"/>
      <c r="U349" s="24">
        <f ca="1">IFERROR(__xludf.DUMMYFUNCTION("""COMPUTED_VALUE"""),0)</f>
        <v>0</v>
      </c>
      <c r="V349" s="24">
        <f ca="1">IFERROR(__xludf.DUMMYFUNCTION("""COMPUTED_VALUE"""),0)</f>
        <v>0</v>
      </c>
      <c r="W349" s="24">
        <f ca="1">IFERROR(__xludf.DUMMYFUNCTION("""COMPUTED_VALUE"""),0)</f>
        <v>0</v>
      </c>
      <c r="X349" s="24">
        <f ca="1">IFERROR(__xludf.DUMMYFUNCTION("""COMPUTED_VALUE"""),0)</f>
        <v>0</v>
      </c>
      <c r="Y349" s="24">
        <f ca="1">IFERROR(__xludf.DUMMYFUNCTION("""COMPUTED_VALUE"""),0)</f>
        <v>0</v>
      </c>
      <c r="Z349" s="24">
        <f ca="1">IFERROR(__xludf.DUMMYFUNCTION("""COMPUTED_VALUE"""),0)</f>
        <v>0</v>
      </c>
      <c r="AA349" s="20" t="str">
        <f ca="1">IFERROR(__xludf.DUMMYFUNCTION("""COMPUTED_VALUE"""),"10 3 02 64080")</f>
        <v>10 3 02 64080</v>
      </c>
      <c r="AB349" s="20">
        <f ca="1">IFERROR(__xludf.DUMMYFUNCTION("""COMPUTED_VALUE"""),522)</f>
        <v>522</v>
      </c>
      <c r="AC349" s="20"/>
      <c r="AD349" s="20"/>
      <c r="AE349" s="20"/>
      <c r="AF349" s="24">
        <f ca="1">IFERROR(__xludf.DUMMYFUNCTION("""COMPUTED_VALUE"""),44266.8)</f>
        <v>44266.8</v>
      </c>
      <c r="AG349" s="24">
        <f ca="1">IFERROR(__xludf.DUMMYFUNCTION("""COMPUTED_VALUE"""),0)</f>
        <v>0</v>
      </c>
      <c r="AH349" s="24">
        <f ca="1">IFERROR(__xludf.DUMMYFUNCTION("""COMPUTED_VALUE"""),39574.51)</f>
        <v>39574.51</v>
      </c>
      <c r="AI349" s="24">
        <f ca="1">IFERROR(__xludf.DUMMYFUNCTION("""COMPUTED_VALUE"""),0)</f>
        <v>0</v>
      </c>
      <c r="AJ349" s="24">
        <f ca="1">IFERROR(__xludf.DUMMYFUNCTION("""COMPUTED_VALUE"""),4692.29)</f>
        <v>4692.29</v>
      </c>
      <c r="AK349" s="24">
        <f ca="1">IFERROR(__xludf.DUMMYFUNCTION("""COMPUTED_VALUE"""),0)</f>
        <v>0</v>
      </c>
      <c r="AL349" s="24">
        <f ca="1">IFERROR(__xludf.DUMMYFUNCTION("""COMPUTED_VALUE"""),0)</f>
        <v>0</v>
      </c>
      <c r="AM349" s="20"/>
      <c r="AN349" s="20"/>
      <c r="AO349" s="20"/>
      <c r="AP349" s="20"/>
      <c r="AQ349" s="20"/>
      <c r="AR349" s="24">
        <f ca="1">IFERROR(__xludf.DUMMYFUNCTION("""COMPUTED_VALUE"""),0)</f>
        <v>0</v>
      </c>
      <c r="AS349" s="20"/>
      <c r="AT349" s="20"/>
      <c r="AU349" s="20"/>
      <c r="AV349" s="20"/>
      <c r="AW349" s="20"/>
      <c r="AX349" s="24">
        <f ca="1">IFERROR(__xludf.DUMMYFUNCTION("""COMPUTED_VALUE"""),0)</f>
        <v>0</v>
      </c>
      <c r="AY349" s="24">
        <f ca="1">IFERROR(__xludf.DUMMYFUNCTION("""COMPUTED_VALUE"""),0)</f>
        <v>0</v>
      </c>
      <c r="AZ349" s="24">
        <f ca="1">IFERROR(__xludf.DUMMYFUNCTION("""COMPUTED_VALUE"""),0)</f>
        <v>0</v>
      </c>
      <c r="BA349" s="24">
        <f ca="1">IFERROR(__xludf.DUMMYFUNCTION("""COMPUTED_VALUE"""),0)</f>
        <v>0</v>
      </c>
      <c r="BB349" s="24">
        <f ca="1">IFERROR(__xludf.DUMMYFUNCTION("""COMPUTED_VALUE"""),0)</f>
        <v>0</v>
      </c>
      <c r="BC349" s="20"/>
      <c r="BD349" s="24">
        <f ca="1">IFERROR(__xludf.DUMMYFUNCTION("""COMPUTED_VALUE"""),17706.8)</f>
        <v>17706.8</v>
      </c>
      <c r="BE349" s="24">
        <f ca="1">IFERROR(__xludf.DUMMYFUNCTION("""COMPUTED_VALUE"""),0)</f>
        <v>0</v>
      </c>
      <c r="BF349" s="24">
        <f ca="1">IFERROR(__xludf.DUMMYFUNCTION("""COMPUTED_VALUE"""),15829.88)</f>
        <v>15829.88</v>
      </c>
      <c r="BG349" s="24">
        <f ca="1">IFERROR(__xludf.DUMMYFUNCTION("""COMPUTED_VALUE"""),0)</f>
        <v>0</v>
      </c>
      <c r="BH349" s="24">
        <f ca="1">IFERROR(__xludf.DUMMYFUNCTION("""COMPUTED_VALUE"""),1876.92)</f>
        <v>1876.92</v>
      </c>
      <c r="BI349" s="20"/>
      <c r="BJ349" s="24">
        <f ca="1">IFERROR(__xludf.DUMMYFUNCTION("""COMPUTED_VALUE"""),26560)</f>
        <v>26560</v>
      </c>
      <c r="BK349" s="24">
        <f ca="1">IFERROR(__xludf.DUMMYFUNCTION("""COMPUTED_VALUE"""),0)</f>
        <v>0</v>
      </c>
      <c r="BL349" s="24">
        <f ca="1">IFERROR(__xludf.DUMMYFUNCTION("""COMPUTED_VALUE"""),23744.63)</f>
        <v>23744.63</v>
      </c>
      <c r="BM349" s="24">
        <f ca="1">IFERROR(__xludf.DUMMYFUNCTION("""COMPUTED_VALUE"""),0)</f>
        <v>0</v>
      </c>
      <c r="BN349" s="24">
        <f ca="1">IFERROR(__xludf.DUMMYFUNCTION("""COMPUTED_VALUE"""),2815.37)</f>
        <v>2815.37</v>
      </c>
      <c r="BO349" s="20"/>
      <c r="BP349" s="24">
        <f ca="1">IFERROR(__xludf.DUMMYFUNCTION("""COMPUTED_VALUE"""),0)</f>
        <v>0</v>
      </c>
      <c r="BQ349" s="24">
        <f ca="1">IFERROR(__xludf.DUMMYFUNCTION("""COMPUTED_VALUE"""),0)</f>
        <v>0</v>
      </c>
      <c r="BR349" s="24">
        <f ca="1">IFERROR(__xludf.DUMMYFUNCTION("""COMPUTED_VALUE"""),0)</f>
        <v>0</v>
      </c>
      <c r="BS349" s="24">
        <f ca="1">IFERROR(__xludf.DUMMYFUNCTION("""COMPUTED_VALUE"""),0)</f>
        <v>0</v>
      </c>
      <c r="BT349" s="24">
        <f ca="1">IFERROR(__xludf.DUMMYFUNCTION("""COMPUTED_VALUE"""),0)</f>
        <v>0</v>
      </c>
      <c r="BU349" s="20"/>
      <c r="BV349" s="24">
        <f ca="1">IFERROR(__xludf.DUMMYFUNCTION("""COMPUTED_VALUE"""),0)</f>
        <v>0</v>
      </c>
      <c r="BW349" s="24">
        <f ca="1">IFERROR(__xludf.DUMMYFUNCTION("""COMPUTED_VALUE"""),0)</f>
        <v>0</v>
      </c>
      <c r="BX349" s="24">
        <f ca="1">IFERROR(__xludf.DUMMYFUNCTION("""COMPUTED_VALUE"""),0)</f>
        <v>0</v>
      </c>
      <c r="BY349" s="24">
        <f ca="1">IFERROR(__xludf.DUMMYFUNCTION("""COMPUTED_VALUE"""),0)</f>
        <v>0</v>
      </c>
      <c r="BZ349" s="24">
        <f ca="1">IFERROR(__xludf.DUMMYFUNCTION("""COMPUTED_VALUE"""),0)</f>
        <v>0</v>
      </c>
      <c r="CA349" s="20"/>
      <c r="CB349" s="20"/>
      <c r="CC349" s="20"/>
      <c r="CD349" s="20"/>
      <c r="CE349" s="20"/>
      <c r="CF349" s="20"/>
      <c r="CG349" s="20"/>
      <c r="CH349" s="20"/>
      <c r="CI349" s="20"/>
      <c r="CJ349" s="20"/>
      <c r="CK349" s="20"/>
      <c r="CL349" s="20"/>
      <c r="CM349" s="20"/>
      <c r="CN349" s="20"/>
      <c r="CO349" s="20"/>
      <c r="CP349" s="20"/>
      <c r="CQ349" s="20"/>
      <c r="CR349" s="20"/>
      <c r="CS349" s="20"/>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row>
    <row r="350" spans="1:123" ht="64.5" hidden="1" customHeight="1" x14ac:dyDescent="0.2">
      <c r="A350" s="19"/>
      <c r="B350" s="20" t="str">
        <f ca="1">IFERROR(__xludf.DUMMYFUNCTION("""COMPUTED_VALUE"""),"г.о. Талдомский")</f>
        <v>г.о. Талдомский</v>
      </c>
      <c r="C35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0" s="20" t="str">
        <f ca="1">IFERROR(__xludf.DUMMYFUNCTION("""COMPUTED_VALUE"""),"МинЖКХ ""ТОП 5 (2 этап)""")</f>
        <v>МинЖКХ "ТОП 5 (2 этап)"</v>
      </c>
      <c r="E350" s="20" t="str">
        <f ca="1">IFERROR(__xludf.DUMMYFUNCTION("""COMPUTED_VALUE"""),"Реконструкция котельной ""Григорово"", д. Григорово,  и тепловых сетей, г.о. Талдомский (в т.ч. ПИР, ТП) ")</f>
        <v xml:space="preserve">Реконструкция котельной "Григорово", д. Григорово,  и тепловых сетей, г.о. Талдомский (в т.ч. ПИР, ТП) </v>
      </c>
      <c r="F350" s="32" t="str">
        <f ca="1">IFERROR(__xludf.DUMMYFUNCTION("""COMPUTED_VALUE"""),"Котельная")</f>
        <v>Котельная</v>
      </c>
      <c r="G350" s="20" t="str">
        <f ca="1">IFERROR(__xludf.DUMMYFUNCTION("""COMPUTED_VALUE"""),"2023-2024")</f>
        <v>2023-2024</v>
      </c>
      <c r="H350" s="20" t="str">
        <f ca="1">IFERROR(__xludf.DUMMYFUNCTION("""COMPUTED_VALUE"""),"СМР")</f>
        <v>СМР</v>
      </c>
      <c r="I350" s="20"/>
      <c r="J350" s="20"/>
      <c r="K350" s="20"/>
      <c r="L350" s="20"/>
      <c r="M350" s="20"/>
      <c r="N350" s="24">
        <f ca="1">IFERROR(__xludf.DUMMYFUNCTION("""COMPUTED_VALUE"""),0)</f>
        <v>0</v>
      </c>
      <c r="O350" s="20"/>
      <c r="P350" s="20"/>
      <c r="Q350" s="20"/>
      <c r="R350" s="20"/>
      <c r="S350" s="20"/>
      <c r="T350" s="20"/>
      <c r="U350" s="24">
        <f ca="1">IFERROR(__xludf.DUMMYFUNCTION("""COMPUTED_VALUE"""),0)</f>
        <v>0</v>
      </c>
      <c r="V350" s="24">
        <f ca="1">IFERROR(__xludf.DUMMYFUNCTION("""COMPUTED_VALUE"""),0)</f>
        <v>0</v>
      </c>
      <c r="W350" s="24">
        <f ca="1">IFERROR(__xludf.DUMMYFUNCTION("""COMPUTED_VALUE"""),0)</f>
        <v>0</v>
      </c>
      <c r="X350" s="24">
        <f ca="1">IFERROR(__xludf.DUMMYFUNCTION("""COMPUTED_VALUE"""),0)</f>
        <v>0</v>
      </c>
      <c r="Y350" s="24">
        <f ca="1">IFERROR(__xludf.DUMMYFUNCTION("""COMPUTED_VALUE"""),0)</f>
        <v>0</v>
      </c>
      <c r="Z350" s="24">
        <f ca="1">IFERROR(__xludf.DUMMYFUNCTION("""COMPUTED_VALUE"""),0)</f>
        <v>0</v>
      </c>
      <c r="AA350" s="20" t="str">
        <f ca="1">IFERROR(__xludf.DUMMYFUNCTION("""COMPUTED_VALUE"""),"10 3 02 64080")</f>
        <v>10 3 02 64080</v>
      </c>
      <c r="AB350" s="20">
        <f ca="1">IFERROR(__xludf.DUMMYFUNCTION("""COMPUTED_VALUE"""),522)</f>
        <v>522</v>
      </c>
      <c r="AC350" s="20"/>
      <c r="AD350" s="20"/>
      <c r="AE350" s="20"/>
      <c r="AF350" s="24">
        <f ca="1">IFERROR(__xludf.DUMMYFUNCTION("""COMPUTED_VALUE"""),3569.79999999999)</f>
        <v>3569.7999999999902</v>
      </c>
      <c r="AG350" s="24">
        <f ca="1">IFERROR(__xludf.DUMMYFUNCTION("""COMPUTED_VALUE"""),0)</f>
        <v>0</v>
      </c>
      <c r="AH350" s="24">
        <f ca="1">IFERROR(__xludf.DUMMYFUNCTION("""COMPUTED_VALUE"""),3105.91)</f>
        <v>3105.91</v>
      </c>
      <c r="AI350" s="24">
        <f ca="1">IFERROR(__xludf.DUMMYFUNCTION("""COMPUTED_VALUE"""),0)</f>
        <v>0</v>
      </c>
      <c r="AJ350" s="24">
        <f ca="1">IFERROR(__xludf.DUMMYFUNCTION("""COMPUTED_VALUE"""),463.89)</f>
        <v>463.89</v>
      </c>
      <c r="AK350" s="24">
        <f ca="1">IFERROR(__xludf.DUMMYFUNCTION("""COMPUTED_VALUE"""),0)</f>
        <v>0</v>
      </c>
      <c r="AL350" s="24">
        <f ca="1">IFERROR(__xludf.DUMMYFUNCTION("""COMPUTED_VALUE"""),0)</f>
        <v>0</v>
      </c>
      <c r="AM350" s="20"/>
      <c r="AN350" s="20"/>
      <c r="AO350" s="20"/>
      <c r="AP350" s="20"/>
      <c r="AQ350" s="20"/>
      <c r="AR350" s="24">
        <f ca="1">IFERROR(__xludf.DUMMYFUNCTION("""COMPUTED_VALUE"""),0)</f>
        <v>0</v>
      </c>
      <c r="AS350" s="20"/>
      <c r="AT350" s="20"/>
      <c r="AU350" s="20"/>
      <c r="AV350" s="20"/>
      <c r="AW350" s="20"/>
      <c r="AX350" s="24">
        <f ca="1">IFERROR(__xludf.DUMMYFUNCTION("""COMPUTED_VALUE"""),0)</f>
        <v>0</v>
      </c>
      <c r="AY350" s="24">
        <f ca="1">IFERROR(__xludf.DUMMYFUNCTION("""COMPUTED_VALUE"""),0)</f>
        <v>0</v>
      </c>
      <c r="AZ350" s="24">
        <f ca="1">IFERROR(__xludf.DUMMYFUNCTION("""COMPUTED_VALUE"""),0)</f>
        <v>0</v>
      </c>
      <c r="BA350" s="24">
        <f ca="1">IFERROR(__xludf.DUMMYFUNCTION("""COMPUTED_VALUE"""),0)</f>
        <v>0</v>
      </c>
      <c r="BB350" s="24">
        <f ca="1">IFERROR(__xludf.DUMMYFUNCTION("""COMPUTED_VALUE"""),0)</f>
        <v>0</v>
      </c>
      <c r="BC350" s="20"/>
      <c r="BD350" s="24">
        <f ca="1">IFERROR(__xludf.DUMMYFUNCTION("""COMPUTED_VALUE"""),0)</f>
        <v>0</v>
      </c>
      <c r="BE350" s="24">
        <f ca="1">IFERROR(__xludf.DUMMYFUNCTION("""COMPUTED_VALUE"""),0)</f>
        <v>0</v>
      </c>
      <c r="BF350" s="24">
        <f ca="1">IFERROR(__xludf.DUMMYFUNCTION("""COMPUTED_VALUE"""),0)</f>
        <v>0</v>
      </c>
      <c r="BG350" s="24">
        <f ca="1">IFERROR(__xludf.DUMMYFUNCTION("""COMPUTED_VALUE"""),0)</f>
        <v>0</v>
      </c>
      <c r="BH350" s="24">
        <f ca="1">IFERROR(__xludf.DUMMYFUNCTION("""COMPUTED_VALUE"""),0)</f>
        <v>0</v>
      </c>
      <c r="BI350" s="20"/>
      <c r="BJ350" s="24">
        <f ca="1">IFERROR(__xludf.DUMMYFUNCTION("""COMPUTED_VALUE"""),0)</f>
        <v>0</v>
      </c>
      <c r="BK350" s="24">
        <f ca="1">IFERROR(__xludf.DUMMYFUNCTION("""COMPUTED_VALUE"""),0)</f>
        <v>0</v>
      </c>
      <c r="BL350" s="24">
        <f ca="1">IFERROR(__xludf.DUMMYFUNCTION("""COMPUTED_VALUE"""),0)</f>
        <v>0</v>
      </c>
      <c r="BM350" s="24">
        <f ca="1">IFERROR(__xludf.DUMMYFUNCTION("""COMPUTED_VALUE"""),0)</f>
        <v>0</v>
      </c>
      <c r="BN350" s="24">
        <f ca="1">IFERROR(__xludf.DUMMYFUNCTION("""COMPUTED_VALUE"""),0)</f>
        <v>0</v>
      </c>
      <c r="BO350" s="20"/>
      <c r="BP350" s="24">
        <f ca="1">IFERROR(__xludf.DUMMYFUNCTION("""COMPUTED_VALUE"""),210)</f>
        <v>210</v>
      </c>
      <c r="BQ350" s="24">
        <f ca="1">IFERROR(__xludf.DUMMYFUNCTION("""COMPUTED_VALUE"""),0)</f>
        <v>0</v>
      </c>
      <c r="BR350" s="24">
        <f ca="1">IFERROR(__xludf.DUMMYFUNCTION("""COMPUTED_VALUE"""),182.91)</f>
        <v>182.91</v>
      </c>
      <c r="BS350" s="24">
        <f ca="1">IFERROR(__xludf.DUMMYFUNCTION("""COMPUTED_VALUE"""),0)</f>
        <v>0</v>
      </c>
      <c r="BT350" s="24">
        <f ca="1">IFERROR(__xludf.DUMMYFUNCTION("""COMPUTED_VALUE"""),27.09)</f>
        <v>27.09</v>
      </c>
      <c r="BU350" s="20"/>
      <c r="BV350" s="24">
        <f ca="1">IFERROR(__xludf.DUMMYFUNCTION("""COMPUTED_VALUE"""),3359.8)</f>
        <v>3359.8</v>
      </c>
      <c r="BW350" s="24">
        <f ca="1">IFERROR(__xludf.DUMMYFUNCTION("""COMPUTED_VALUE"""),0)</f>
        <v>0</v>
      </c>
      <c r="BX350" s="24">
        <f ca="1">IFERROR(__xludf.DUMMYFUNCTION("""COMPUTED_VALUE"""),2923)</f>
        <v>2923</v>
      </c>
      <c r="BY350" s="24">
        <f ca="1">IFERROR(__xludf.DUMMYFUNCTION("""COMPUTED_VALUE"""),0)</f>
        <v>0</v>
      </c>
      <c r="BZ350" s="24">
        <f ca="1">IFERROR(__xludf.DUMMYFUNCTION("""COMPUTED_VALUE"""),436.8)</f>
        <v>436.8</v>
      </c>
      <c r="CA350" s="20"/>
      <c r="CB350" s="20"/>
      <c r="CC350" s="20"/>
      <c r="CD350" s="20"/>
      <c r="CE350" s="20"/>
      <c r="CF350" s="20"/>
      <c r="CG350" s="20"/>
      <c r="CH350" s="20"/>
      <c r="CI350" s="20"/>
      <c r="CJ350" s="20"/>
      <c r="CK350" s="20"/>
      <c r="CL350" s="20"/>
      <c r="CM350" s="20"/>
      <c r="CN350" s="20"/>
      <c r="CO350" s="20"/>
      <c r="CP350" s="20"/>
      <c r="CQ350" s="20"/>
      <c r="CR350" s="20"/>
      <c r="CS350" s="20"/>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row>
    <row r="351" spans="1:123" ht="64.5" hidden="1" customHeight="1" x14ac:dyDescent="0.2">
      <c r="A351" s="19"/>
      <c r="B351" s="20" t="str">
        <f ca="1">IFERROR(__xludf.DUMMYFUNCTION("""COMPUTED_VALUE"""),"г.о. Талдомский")</f>
        <v>г.о. Талдомский</v>
      </c>
      <c r="C35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1" s="20" t="str">
        <f ca="1">IFERROR(__xludf.DUMMYFUNCTION("""COMPUTED_VALUE"""),"МинЖКХ ""ТОП 5 (2 этап)""")</f>
        <v>МинЖКХ "ТОП 5 (2 этап)"</v>
      </c>
      <c r="E351" s="20" t="str">
        <f ca="1">IFERROR(__xludf.DUMMYFUNCTION("""COMPUTED_VALUE"""),"Реконструкция котельной ""Пановка"", д. Пановка, д.47, и тепловых сетей, г.о. Талдомский (в т.ч. ПИР, ТП) ")</f>
        <v xml:space="preserve">Реконструкция котельной "Пановка", д. Пановка, д.47, и тепловых сетей, г.о. Талдомский (в т.ч. ПИР, ТП) </v>
      </c>
      <c r="F351" s="32" t="str">
        <f ca="1">IFERROR(__xludf.DUMMYFUNCTION("""COMPUTED_VALUE"""),"Котельная")</f>
        <v>Котельная</v>
      </c>
      <c r="G351" s="20" t="str">
        <f ca="1">IFERROR(__xludf.DUMMYFUNCTION("""COMPUTED_VALUE"""),"2023-2024")</f>
        <v>2023-2024</v>
      </c>
      <c r="H351" s="20" t="str">
        <f ca="1">IFERROR(__xludf.DUMMYFUNCTION("""COMPUTED_VALUE"""),"СМР")</f>
        <v>СМР</v>
      </c>
      <c r="I351" s="20"/>
      <c r="J351" s="20"/>
      <c r="K351" s="20"/>
      <c r="L351" s="20"/>
      <c r="M351" s="20"/>
      <c r="N351" s="24">
        <f ca="1">IFERROR(__xludf.DUMMYFUNCTION("""COMPUTED_VALUE"""),0)</f>
        <v>0</v>
      </c>
      <c r="O351" s="20"/>
      <c r="P351" s="20"/>
      <c r="Q351" s="20"/>
      <c r="R351" s="20"/>
      <c r="S351" s="20"/>
      <c r="T351" s="20"/>
      <c r="U351" s="24">
        <f ca="1">IFERROR(__xludf.DUMMYFUNCTION("""COMPUTED_VALUE"""),0)</f>
        <v>0</v>
      </c>
      <c r="V351" s="24">
        <f ca="1">IFERROR(__xludf.DUMMYFUNCTION("""COMPUTED_VALUE"""),0)</f>
        <v>0</v>
      </c>
      <c r="W351" s="24">
        <f ca="1">IFERROR(__xludf.DUMMYFUNCTION("""COMPUTED_VALUE"""),0)</f>
        <v>0</v>
      </c>
      <c r="X351" s="24">
        <f ca="1">IFERROR(__xludf.DUMMYFUNCTION("""COMPUTED_VALUE"""),0)</f>
        <v>0</v>
      </c>
      <c r="Y351" s="24">
        <f ca="1">IFERROR(__xludf.DUMMYFUNCTION("""COMPUTED_VALUE"""),0)</f>
        <v>0</v>
      </c>
      <c r="Z351" s="24">
        <f ca="1">IFERROR(__xludf.DUMMYFUNCTION("""COMPUTED_VALUE"""),0)</f>
        <v>0</v>
      </c>
      <c r="AA351" s="20" t="str">
        <f ca="1">IFERROR(__xludf.DUMMYFUNCTION("""COMPUTED_VALUE"""),"10 3 02 64080")</f>
        <v>10 3 02 64080</v>
      </c>
      <c r="AB351" s="20">
        <f ca="1">IFERROR(__xludf.DUMMYFUNCTION("""COMPUTED_VALUE"""),522)</f>
        <v>522</v>
      </c>
      <c r="AC351" s="20"/>
      <c r="AD351" s="20"/>
      <c r="AE351" s="20"/>
      <c r="AF351" s="24">
        <f ca="1">IFERROR(__xludf.DUMMYFUNCTION("""COMPUTED_VALUE"""),3569.79999999999)</f>
        <v>3569.7999999999902</v>
      </c>
      <c r="AG351" s="24">
        <f ca="1">IFERROR(__xludf.DUMMYFUNCTION("""COMPUTED_VALUE"""),0)</f>
        <v>0</v>
      </c>
      <c r="AH351" s="24">
        <f ca="1">IFERROR(__xludf.DUMMYFUNCTION("""COMPUTED_VALUE"""),3105.91)</f>
        <v>3105.91</v>
      </c>
      <c r="AI351" s="24">
        <f ca="1">IFERROR(__xludf.DUMMYFUNCTION("""COMPUTED_VALUE"""),0)</f>
        <v>0</v>
      </c>
      <c r="AJ351" s="24">
        <f ca="1">IFERROR(__xludf.DUMMYFUNCTION("""COMPUTED_VALUE"""),463.89)</f>
        <v>463.89</v>
      </c>
      <c r="AK351" s="24">
        <f ca="1">IFERROR(__xludf.DUMMYFUNCTION("""COMPUTED_VALUE"""),0)</f>
        <v>0</v>
      </c>
      <c r="AL351" s="24">
        <f ca="1">IFERROR(__xludf.DUMMYFUNCTION("""COMPUTED_VALUE"""),0)</f>
        <v>0</v>
      </c>
      <c r="AM351" s="20"/>
      <c r="AN351" s="20"/>
      <c r="AO351" s="20"/>
      <c r="AP351" s="20"/>
      <c r="AQ351" s="20"/>
      <c r="AR351" s="24">
        <f ca="1">IFERROR(__xludf.DUMMYFUNCTION("""COMPUTED_VALUE"""),0)</f>
        <v>0</v>
      </c>
      <c r="AS351" s="20"/>
      <c r="AT351" s="20"/>
      <c r="AU351" s="20"/>
      <c r="AV351" s="20"/>
      <c r="AW351" s="20"/>
      <c r="AX351" s="24">
        <f ca="1">IFERROR(__xludf.DUMMYFUNCTION("""COMPUTED_VALUE"""),0)</f>
        <v>0</v>
      </c>
      <c r="AY351" s="24">
        <f ca="1">IFERROR(__xludf.DUMMYFUNCTION("""COMPUTED_VALUE"""),0)</f>
        <v>0</v>
      </c>
      <c r="AZ351" s="24">
        <f ca="1">IFERROR(__xludf.DUMMYFUNCTION("""COMPUTED_VALUE"""),0)</f>
        <v>0</v>
      </c>
      <c r="BA351" s="24">
        <f ca="1">IFERROR(__xludf.DUMMYFUNCTION("""COMPUTED_VALUE"""),0)</f>
        <v>0</v>
      </c>
      <c r="BB351" s="24">
        <f ca="1">IFERROR(__xludf.DUMMYFUNCTION("""COMPUTED_VALUE"""),0)</f>
        <v>0</v>
      </c>
      <c r="BC351" s="20"/>
      <c r="BD351" s="24">
        <f ca="1">IFERROR(__xludf.DUMMYFUNCTION("""COMPUTED_VALUE"""),0)</f>
        <v>0</v>
      </c>
      <c r="BE351" s="24">
        <f ca="1">IFERROR(__xludf.DUMMYFUNCTION("""COMPUTED_VALUE"""),0)</f>
        <v>0</v>
      </c>
      <c r="BF351" s="24">
        <f ca="1">IFERROR(__xludf.DUMMYFUNCTION("""COMPUTED_VALUE"""),0)</f>
        <v>0</v>
      </c>
      <c r="BG351" s="24">
        <f ca="1">IFERROR(__xludf.DUMMYFUNCTION("""COMPUTED_VALUE"""),0)</f>
        <v>0</v>
      </c>
      <c r="BH351" s="24">
        <f ca="1">IFERROR(__xludf.DUMMYFUNCTION("""COMPUTED_VALUE"""),0)</f>
        <v>0</v>
      </c>
      <c r="BI351" s="20"/>
      <c r="BJ351" s="24">
        <f ca="1">IFERROR(__xludf.DUMMYFUNCTION("""COMPUTED_VALUE"""),0)</f>
        <v>0</v>
      </c>
      <c r="BK351" s="24">
        <f ca="1">IFERROR(__xludf.DUMMYFUNCTION("""COMPUTED_VALUE"""),0)</f>
        <v>0</v>
      </c>
      <c r="BL351" s="24">
        <f ca="1">IFERROR(__xludf.DUMMYFUNCTION("""COMPUTED_VALUE"""),0)</f>
        <v>0</v>
      </c>
      <c r="BM351" s="24">
        <f ca="1">IFERROR(__xludf.DUMMYFUNCTION("""COMPUTED_VALUE"""),0)</f>
        <v>0</v>
      </c>
      <c r="BN351" s="24">
        <f ca="1">IFERROR(__xludf.DUMMYFUNCTION("""COMPUTED_VALUE"""),0)</f>
        <v>0</v>
      </c>
      <c r="BO351" s="20"/>
      <c r="BP351" s="24">
        <f ca="1">IFERROR(__xludf.DUMMYFUNCTION("""COMPUTED_VALUE"""),210)</f>
        <v>210</v>
      </c>
      <c r="BQ351" s="24">
        <f ca="1">IFERROR(__xludf.DUMMYFUNCTION("""COMPUTED_VALUE"""),0)</f>
        <v>0</v>
      </c>
      <c r="BR351" s="24">
        <f ca="1">IFERROR(__xludf.DUMMYFUNCTION("""COMPUTED_VALUE"""),182.91)</f>
        <v>182.91</v>
      </c>
      <c r="BS351" s="24">
        <f ca="1">IFERROR(__xludf.DUMMYFUNCTION("""COMPUTED_VALUE"""),0)</f>
        <v>0</v>
      </c>
      <c r="BT351" s="24">
        <f ca="1">IFERROR(__xludf.DUMMYFUNCTION("""COMPUTED_VALUE"""),27.09)</f>
        <v>27.09</v>
      </c>
      <c r="BU351" s="20"/>
      <c r="BV351" s="24">
        <f ca="1">IFERROR(__xludf.DUMMYFUNCTION("""COMPUTED_VALUE"""),3359.8)</f>
        <v>3359.8</v>
      </c>
      <c r="BW351" s="24">
        <f ca="1">IFERROR(__xludf.DUMMYFUNCTION("""COMPUTED_VALUE"""),0)</f>
        <v>0</v>
      </c>
      <c r="BX351" s="24">
        <f ca="1">IFERROR(__xludf.DUMMYFUNCTION("""COMPUTED_VALUE"""),2923)</f>
        <v>2923</v>
      </c>
      <c r="BY351" s="24">
        <f ca="1">IFERROR(__xludf.DUMMYFUNCTION("""COMPUTED_VALUE"""),0)</f>
        <v>0</v>
      </c>
      <c r="BZ351" s="24">
        <f ca="1">IFERROR(__xludf.DUMMYFUNCTION("""COMPUTED_VALUE"""),436.8)</f>
        <v>436.8</v>
      </c>
      <c r="CA351" s="20"/>
      <c r="CB351" s="20"/>
      <c r="CC351" s="20"/>
      <c r="CD351" s="20"/>
      <c r="CE351" s="20"/>
      <c r="CF351" s="20"/>
      <c r="CG351" s="20"/>
      <c r="CH351" s="20"/>
      <c r="CI351" s="20"/>
      <c r="CJ351" s="20"/>
      <c r="CK351" s="20"/>
      <c r="CL351" s="20"/>
      <c r="CM351" s="20"/>
      <c r="CN351" s="20"/>
      <c r="CO351" s="20"/>
      <c r="CP351" s="20"/>
      <c r="CQ351" s="20"/>
      <c r="CR351" s="20"/>
      <c r="CS351" s="20"/>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row>
    <row r="352" spans="1:123" ht="64.5" hidden="1" customHeight="1" x14ac:dyDescent="0.2">
      <c r="A352" s="19"/>
      <c r="B352" s="20" t="str">
        <f ca="1">IFERROR(__xludf.DUMMYFUNCTION("""COMPUTED_VALUE"""),"г.о. Волоколамский")</f>
        <v>г.о. Волоколамский</v>
      </c>
      <c r="C35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2" s="20" t="str">
        <f ca="1">IFERROR(__xludf.DUMMYFUNCTION("""COMPUTED_VALUE"""),"МинЖКХ ""ТОП 5 (2 этап)""")</f>
        <v>МинЖКХ "ТОП 5 (2 этап)"</v>
      </c>
      <c r="E352" s="20" t="str">
        <f ca="1">IFERROR(__xludf.DUMMYFUNCTION("""COMPUTED_VALUE"""),"Строительство котельной №37, п. Сычево, Школьный пр., д.4, г.о. Волоколамский (в т.ч. ПИР, ТП)")</f>
        <v>Строительство котельной №37, п. Сычево, Школьный пр., д.4, г.о. Волоколамский (в т.ч. ПИР, ТП)</v>
      </c>
      <c r="F352" s="32" t="str">
        <f ca="1">IFERROR(__xludf.DUMMYFUNCTION("""COMPUTED_VALUE"""),"Котельная")</f>
        <v>Котельная</v>
      </c>
      <c r="G352" s="20" t="str">
        <f ca="1">IFERROR(__xludf.DUMMYFUNCTION("""COMPUTED_VALUE"""),"2022-2023")</f>
        <v>2022-2023</v>
      </c>
      <c r="H352" s="20" t="str">
        <f ca="1">IFERROR(__xludf.DUMMYFUNCTION("""COMPUTED_VALUE"""),"СМР")</f>
        <v>СМР</v>
      </c>
      <c r="I352" s="20"/>
      <c r="J352" s="20"/>
      <c r="K352" s="20"/>
      <c r="L352" s="20"/>
      <c r="M352" s="20"/>
      <c r="N352" s="24">
        <f ca="1">IFERROR(__xludf.DUMMYFUNCTION("""COMPUTED_VALUE"""),0)</f>
        <v>0</v>
      </c>
      <c r="O352" s="20"/>
      <c r="P352" s="20"/>
      <c r="Q352" s="20"/>
      <c r="R352" s="20"/>
      <c r="S352" s="20"/>
      <c r="T352" s="20"/>
      <c r="U352" s="24">
        <f ca="1">IFERROR(__xludf.DUMMYFUNCTION("""COMPUTED_VALUE"""),0)</f>
        <v>0</v>
      </c>
      <c r="V352" s="24">
        <f ca="1">IFERROR(__xludf.DUMMYFUNCTION("""COMPUTED_VALUE"""),0)</f>
        <v>0</v>
      </c>
      <c r="W352" s="24">
        <f ca="1">IFERROR(__xludf.DUMMYFUNCTION("""COMPUTED_VALUE"""),0)</f>
        <v>0</v>
      </c>
      <c r="X352" s="24">
        <f ca="1">IFERROR(__xludf.DUMMYFUNCTION("""COMPUTED_VALUE"""),0)</f>
        <v>0</v>
      </c>
      <c r="Y352" s="24">
        <f ca="1">IFERROR(__xludf.DUMMYFUNCTION("""COMPUTED_VALUE"""),0)</f>
        <v>0</v>
      </c>
      <c r="Z352" s="24">
        <f ca="1">IFERROR(__xludf.DUMMYFUNCTION("""COMPUTED_VALUE"""),0)</f>
        <v>0</v>
      </c>
      <c r="AA352" s="20" t="str">
        <f ca="1">IFERROR(__xludf.DUMMYFUNCTION("""COMPUTED_VALUE"""),"10 3 02 64080")</f>
        <v>10 3 02 64080</v>
      </c>
      <c r="AB352" s="20">
        <f ca="1">IFERROR(__xludf.DUMMYFUNCTION("""COMPUTED_VALUE"""),522)</f>
        <v>522</v>
      </c>
      <c r="AC352" s="20"/>
      <c r="AD352" s="20"/>
      <c r="AE352" s="20"/>
      <c r="AF352" s="24">
        <f ca="1">IFERROR(__xludf.DUMMYFUNCTION("""COMPUTED_VALUE"""),36818.1599999999)</f>
        <v>36818.159999999902</v>
      </c>
      <c r="AG352" s="24">
        <f ca="1">IFERROR(__xludf.DUMMYFUNCTION("""COMPUTED_VALUE"""),0)</f>
        <v>0</v>
      </c>
      <c r="AH352" s="24">
        <f ca="1">IFERROR(__xludf.DUMMYFUNCTION("""COMPUTED_VALUE"""),33136.46)</f>
        <v>33136.46</v>
      </c>
      <c r="AI352" s="24">
        <f ca="1">IFERROR(__xludf.DUMMYFUNCTION("""COMPUTED_VALUE"""),0)</f>
        <v>0</v>
      </c>
      <c r="AJ352" s="24">
        <f ca="1">IFERROR(__xludf.DUMMYFUNCTION("""COMPUTED_VALUE"""),3681.7)</f>
        <v>3681.7</v>
      </c>
      <c r="AK352" s="24">
        <f ca="1">IFERROR(__xludf.DUMMYFUNCTION("""COMPUTED_VALUE"""),0)</f>
        <v>0</v>
      </c>
      <c r="AL352" s="24">
        <f ca="1">IFERROR(__xludf.DUMMYFUNCTION("""COMPUTED_VALUE"""),0)</f>
        <v>0</v>
      </c>
      <c r="AM352" s="20"/>
      <c r="AN352" s="20"/>
      <c r="AO352" s="20"/>
      <c r="AP352" s="20"/>
      <c r="AQ352" s="20"/>
      <c r="AR352" s="24">
        <f ca="1">IFERROR(__xludf.DUMMYFUNCTION("""COMPUTED_VALUE"""),0)</f>
        <v>0</v>
      </c>
      <c r="AS352" s="20"/>
      <c r="AT352" s="20"/>
      <c r="AU352" s="20"/>
      <c r="AV352" s="20"/>
      <c r="AW352" s="20"/>
      <c r="AX352" s="24">
        <f ca="1">IFERROR(__xludf.DUMMYFUNCTION("""COMPUTED_VALUE"""),0)</f>
        <v>0</v>
      </c>
      <c r="AY352" s="24">
        <f ca="1">IFERROR(__xludf.DUMMYFUNCTION("""COMPUTED_VALUE"""),0)</f>
        <v>0</v>
      </c>
      <c r="AZ352" s="24">
        <f ca="1">IFERROR(__xludf.DUMMYFUNCTION("""COMPUTED_VALUE"""),0)</f>
        <v>0</v>
      </c>
      <c r="BA352" s="24">
        <f ca="1">IFERROR(__xludf.DUMMYFUNCTION("""COMPUTED_VALUE"""),0)</f>
        <v>0</v>
      </c>
      <c r="BB352" s="24">
        <f ca="1">IFERROR(__xludf.DUMMYFUNCTION("""COMPUTED_VALUE"""),0)</f>
        <v>0</v>
      </c>
      <c r="BC352" s="20"/>
      <c r="BD352" s="24">
        <f ca="1">IFERROR(__xludf.DUMMYFUNCTION("""COMPUTED_VALUE"""),0)</f>
        <v>0</v>
      </c>
      <c r="BE352" s="24">
        <f ca="1">IFERROR(__xludf.DUMMYFUNCTION("""COMPUTED_VALUE"""),0)</f>
        <v>0</v>
      </c>
      <c r="BF352" s="24">
        <f ca="1">IFERROR(__xludf.DUMMYFUNCTION("""COMPUTED_VALUE"""),0)</f>
        <v>0</v>
      </c>
      <c r="BG352" s="24">
        <f ca="1">IFERROR(__xludf.DUMMYFUNCTION("""COMPUTED_VALUE"""),0)</f>
        <v>0</v>
      </c>
      <c r="BH352" s="24">
        <f ca="1">IFERROR(__xludf.DUMMYFUNCTION("""COMPUTED_VALUE"""),0)</f>
        <v>0</v>
      </c>
      <c r="BI352" s="20"/>
      <c r="BJ352" s="24">
        <f ca="1">IFERROR(__xludf.DUMMYFUNCTION("""COMPUTED_VALUE"""),21404.21)</f>
        <v>21404.21</v>
      </c>
      <c r="BK352" s="24">
        <f ca="1">IFERROR(__xludf.DUMMYFUNCTION("""COMPUTED_VALUE"""),0)</f>
        <v>0</v>
      </c>
      <c r="BL352" s="24">
        <f ca="1">IFERROR(__xludf.DUMMYFUNCTION("""COMPUTED_VALUE"""),19263.91)</f>
        <v>19263.91</v>
      </c>
      <c r="BM352" s="24">
        <f ca="1">IFERROR(__xludf.DUMMYFUNCTION("""COMPUTED_VALUE"""),0)</f>
        <v>0</v>
      </c>
      <c r="BN352" s="24">
        <f ca="1">IFERROR(__xludf.DUMMYFUNCTION("""COMPUTED_VALUE"""),2140.3)</f>
        <v>2140.3000000000002</v>
      </c>
      <c r="BO352" s="20"/>
      <c r="BP352" s="24">
        <f ca="1">IFERROR(__xludf.DUMMYFUNCTION("""COMPUTED_VALUE"""),15413.9499999999)</f>
        <v>15413.949999999901</v>
      </c>
      <c r="BQ352" s="24">
        <f ca="1">IFERROR(__xludf.DUMMYFUNCTION("""COMPUTED_VALUE"""),0)</f>
        <v>0</v>
      </c>
      <c r="BR352" s="24">
        <f ca="1">IFERROR(__xludf.DUMMYFUNCTION("""COMPUTED_VALUE"""),13872.55)</f>
        <v>13872.55</v>
      </c>
      <c r="BS352" s="24">
        <f ca="1">IFERROR(__xludf.DUMMYFUNCTION("""COMPUTED_VALUE"""),0)</f>
        <v>0</v>
      </c>
      <c r="BT352" s="24">
        <f ca="1">IFERROR(__xludf.DUMMYFUNCTION("""COMPUTED_VALUE"""),1541.4)</f>
        <v>1541.4</v>
      </c>
      <c r="BU352" s="20"/>
      <c r="BV352" s="24">
        <f ca="1">IFERROR(__xludf.DUMMYFUNCTION("""COMPUTED_VALUE"""),0)</f>
        <v>0</v>
      </c>
      <c r="BW352" s="24">
        <f ca="1">IFERROR(__xludf.DUMMYFUNCTION("""COMPUTED_VALUE"""),0)</f>
        <v>0</v>
      </c>
      <c r="BX352" s="24">
        <f ca="1">IFERROR(__xludf.DUMMYFUNCTION("""COMPUTED_VALUE"""),0)</f>
        <v>0</v>
      </c>
      <c r="BY352" s="24">
        <f ca="1">IFERROR(__xludf.DUMMYFUNCTION("""COMPUTED_VALUE"""),0)</f>
        <v>0</v>
      </c>
      <c r="BZ352" s="24">
        <f ca="1">IFERROR(__xludf.DUMMYFUNCTION("""COMPUTED_VALUE"""),0)</f>
        <v>0</v>
      </c>
      <c r="CA352" s="20"/>
      <c r="CB352" s="20"/>
      <c r="CC352" s="20"/>
      <c r="CD352" s="20"/>
      <c r="CE352" s="20"/>
      <c r="CF352" s="20"/>
      <c r="CG352" s="20"/>
      <c r="CH352" s="20"/>
      <c r="CI352" s="20"/>
      <c r="CJ352" s="20"/>
      <c r="CK352" s="20"/>
      <c r="CL352" s="20"/>
      <c r="CM352" s="20"/>
      <c r="CN352" s="20"/>
      <c r="CO352" s="20"/>
      <c r="CP352" s="20"/>
      <c r="CQ352" s="20"/>
      <c r="CR352" s="20"/>
      <c r="CS352" s="20"/>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row>
    <row r="353" spans="1:123" ht="64.5" hidden="1" customHeight="1" x14ac:dyDescent="0.2">
      <c r="A353" s="19"/>
      <c r="B353" s="20" t="str">
        <f ca="1">IFERROR(__xludf.DUMMYFUNCTION("""COMPUTED_VALUE"""),"г.о. Лотошино")</f>
        <v>г.о. Лотошино</v>
      </c>
      <c r="C35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3" s="20" t="str">
        <f ca="1">IFERROR(__xludf.DUMMYFUNCTION("""COMPUTED_VALUE"""),"МинЖКХ ""ТОП 5 (2 этап)""")</f>
        <v>МинЖКХ "ТОП 5 (2 этап)"</v>
      </c>
      <c r="E353" s="20" t="str">
        <f ca="1">IFERROR(__xludf.DUMMYFUNCTION("""COMPUTED_VALUE"""),"Реконструкция котельной №4 по адресу п. Лотошино, ул. Спортивная, д. 9 и тепловых сетей, г.о. Лотошино (в т.ч. ПИР)")</f>
        <v>Реконструкция котельной №4 по адресу п. Лотошино, ул. Спортивная, д. 9 и тепловых сетей, г.о. Лотошино (в т.ч. ПИР)</v>
      </c>
      <c r="F353" s="32" t="str">
        <f ca="1">IFERROR(__xludf.DUMMYFUNCTION("""COMPUTED_VALUE"""),"Котельная")</f>
        <v>Котельная</v>
      </c>
      <c r="G353" s="20" t="str">
        <f ca="1">IFERROR(__xludf.DUMMYFUNCTION("""COMPUTED_VALUE"""),"2022-2023")</f>
        <v>2022-2023</v>
      </c>
      <c r="H353" s="20" t="str">
        <f ca="1">IFERROR(__xludf.DUMMYFUNCTION("""COMPUTED_VALUE"""),"СМР")</f>
        <v>СМР</v>
      </c>
      <c r="I353" s="20"/>
      <c r="J353" s="20"/>
      <c r="K353" s="20"/>
      <c r="L353" s="20"/>
      <c r="M353" s="20"/>
      <c r="N353" s="24">
        <f ca="1">IFERROR(__xludf.DUMMYFUNCTION("""COMPUTED_VALUE"""),0)</f>
        <v>0</v>
      </c>
      <c r="O353" s="20"/>
      <c r="P353" s="20"/>
      <c r="Q353" s="20"/>
      <c r="R353" s="20"/>
      <c r="S353" s="20"/>
      <c r="T353" s="20"/>
      <c r="U353" s="24">
        <f ca="1">IFERROR(__xludf.DUMMYFUNCTION("""COMPUTED_VALUE"""),0)</f>
        <v>0</v>
      </c>
      <c r="V353" s="24">
        <f ca="1">IFERROR(__xludf.DUMMYFUNCTION("""COMPUTED_VALUE"""),0)</f>
        <v>0</v>
      </c>
      <c r="W353" s="24">
        <f ca="1">IFERROR(__xludf.DUMMYFUNCTION("""COMPUTED_VALUE"""),0)</f>
        <v>0</v>
      </c>
      <c r="X353" s="24">
        <f ca="1">IFERROR(__xludf.DUMMYFUNCTION("""COMPUTED_VALUE"""),0)</f>
        <v>0</v>
      </c>
      <c r="Y353" s="24">
        <f ca="1">IFERROR(__xludf.DUMMYFUNCTION("""COMPUTED_VALUE"""),0)</f>
        <v>0</v>
      </c>
      <c r="Z353" s="24">
        <f ca="1">IFERROR(__xludf.DUMMYFUNCTION("""COMPUTED_VALUE"""),0)</f>
        <v>0</v>
      </c>
      <c r="AA353" s="20" t="str">
        <f ca="1">IFERROR(__xludf.DUMMYFUNCTION("""COMPUTED_VALUE"""),"10 3 02 64080")</f>
        <v>10 3 02 64080</v>
      </c>
      <c r="AB353" s="20">
        <f ca="1">IFERROR(__xludf.DUMMYFUNCTION("""COMPUTED_VALUE"""),522)</f>
        <v>522</v>
      </c>
      <c r="AC353" s="20"/>
      <c r="AD353" s="20"/>
      <c r="AE353" s="20"/>
      <c r="AF353" s="24">
        <f ca="1">IFERROR(__xludf.DUMMYFUNCTION("""COMPUTED_VALUE"""),44929.9099999999)</f>
        <v>44929.909999999902</v>
      </c>
      <c r="AG353" s="24">
        <f ca="1">IFERROR(__xludf.DUMMYFUNCTION("""COMPUTED_VALUE"""),0)</f>
        <v>0</v>
      </c>
      <c r="AH353" s="24">
        <f ca="1">IFERROR(__xludf.DUMMYFUNCTION("""COMPUTED_VALUE"""),42683.42)</f>
        <v>42683.42</v>
      </c>
      <c r="AI353" s="24">
        <f ca="1">IFERROR(__xludf.DUMMYFUNCTION("""COMPUTED_VALUE"""),0)</f>
        <v>0</v>
      </c>
      <c r="AJ353" s="24">
        <f ca="1">IFERROR(__xludf.DUMMYFUNCTION("""COMPUTED_VALUE"""),2246.49)</f>
        <v>2246.4899999999998</v>
      </c>
      <c r="AK353" s="24">
        <f ca="1">IFERROR(__xludf.DUMMYFUNCTION("""COMPUTED_VALUE"""),0)</f>
        <v>0</v>
      </c>
      <c r="AL353" s="24">
        <f ca="1">IFERROR(__xludf.DUMMYFUNCTION("""COMPUTED_VALUE"""),0)</f>
        <v>0</v>
      </c>
      <c r="AM353" s="20"/>
      <c r="AN353" s="20"/>
      <c r="AO353" s="20"/>
      <c r="AP353" s="20"/>
      <c r="AQ353" s="20"/>
      <c r="AR353" s="24">
        <f ca="1">IFERROR(__xludf.DUMMYFUNCTION("""COMPUTED_VALUE"""),0)</f>
        <v>0</v>
      </c>
      <c r="AS353" s="20"/>
      <c r="AT353" s="20"/>
      <c r="AU353" s="20"/>
      <c r="AV353" s="20"/>
      <c r="AW353" s="20"/>
      <c r="AX353" s="24">
        <f ca="1">IFERROR(__xludf.DUMMYFUNCTION("""COMPUTED_VALUE"""),0)</f>
        <v>0</v>
      </c>
      <c r="AY353" s="24">
        <f ca="1">IFERROR(__xludf.DUMMYFUNCTION("""COMPUTED_VALUE"""),0)</f>
        <v>0</v>
      </c>
      <c r="AZ353" s="24">
        <f ca="1">IFERROR(__xludf.DUMMYFUNCTION("""COMPUTED_VALUE"""),0)</f>
        <v>0</v>
      </c>
      <c r="BA353" s="24">
        <f ca="1">IFERROR(__xludf.DUMMYFUNCTION("""COMPUTED_VALUE"""),0)</f>
        <v>0</v>
      </c>
      <c r="BB353" s="24">
        <f ca="1">IFERROR(__xludf.DUMMYFUNCTION("""COMPUTED_VALUE"""),0)</f>
        <v>0</v>
      </c>
      <c r="BC353" s="20"/>
      <c r="BD353" s="24">
        <f ca="1">IFERROR(__xludf.DUMMYFUNCTION("""COMPUTED_VALUE"""),0)</f>
        <v>0</v>
      </c>
      <c r="BE353" s="24">
        <f ca="1">IFERROR(__xludf.DUMMYFUNCTION("""COMPUTED_VALUE"""),0)</f>
        <v>0</v>
      </c>
      <c r="BF353" s="24">
        <f ca="1">IFERROR(__xludf.DUMMYFUNCTION("""COMPUTED_VALUE"""),0)</f>
        <v>0</v>
      </c>
      <c r="BG353" s="24">
        <f ca="1">IFERROR(__xludf.DUMMYFUNCTION("""COMPUTED_VALUE"""),0)</f>
        <v>0</v>
      </c>
      <c r="BH353" s="24">
        <f ca="1">IFERROR(__xludf.DUMMYFUNCTION("""COMPUTED_VALUE"""),0)</f>
        <v>0</v>
      </c>
      <c r="BI353" s="20"/>
      <c r="BJ353" s="24">
        <f ca="1">IFERROR(__xludf.DUMMYFUNCTION("""COMPUTED_VALUE"""),4043.7)</f>
        <v>4043.7</v>
      </c>
      <c r="BK353" s="24">
        <f ca="1">IFERROR(__xludf.DUMMYFUNCTION("""COMPUTED_VALUE"""),0)</f>
        <v>0</v>
      </c>
      <c r="BL353" s="24">
        <f ca="1">IFERROR(__xludf.DUMMYFUNCTION("""COMPUTED_VALUE"""),3841.52)</f>
        <v>3841.52</v>
      </c>
      <c r="BM353" s="24">
        <f ca="1">IFERROR(__xludf.DUMMYFUNCTION("""COMPUTED_VALUE"""),0)</f>
        <v>0</v>
      </c>
      <c r="BN353" s="24">
        <f ca="1">IFERROR(__xludf.DUMMYFUNCTION("""COMPUTED_VALUE"""),202.18)</f>
        <v>202.18</v>
      </c>
      <c r="BO353" s="20"/>
      <c r="BP353" s="24">
        <f ca="1">IFERROR(__xludf.DUMMYFUNCTION("""COMPUTED_VALUE"""),40886.21)</f>
        <v>40886.21</v>
      </c>
      <c r="BQ353" s="24">
        <f ca="1">IFERROR(__xludf.DUMMYFUNCTION("""COMPUTED_VALUE"""),0)</f>
        <v>0</v>
      </c>
      <c r="BR353" s="24">
        <f ca="1">IFERROR(__xludf.DUMMYFUNCTION("""COMPUTED_VALUE"""),38841.9)</f>
        <v>38841.9</v>
      </c>
      <c r="BS353" s="24">
        <f ca="1">IFERROR(__xludf.DUMMYFUNCTION("""COMPUTED_VALUE"""),0)</f>
        <v>0</v>
      </c>
      <c r="BT353" s="24">
        <f ca="1">IFERROR(__xludf.DUMMYFUNCTION("""COMPUTED_VALUE"""),2044.31)</f>
        <v>2044.31</v>
      </c>
      <c r="BU353" s="20"/>
      <c r="BV353" s="24">
        <f ca="1">IFERROR(__xludf.DUMMYFUNCTION("""COMPUTED_VALUE"""),0)</f>
        <v>0</v>
      </c>
      <c r="BW353" s="24">
        <f ca="1">IFERROR(__xludf.DUMMYFUNCTION("""COMPUTED_VALUE"""),0)</f>
        <v>0</v>
      </c>
      <c r="BX353" s="24">
        <f ca="1">IFERROR(__xludf.DUMMYFUNCTION("""COMPUTED_VALUE"""),0)</f>
        <v>0</v>
      </c>
      <c r="BY353" s="24">
        <f ca="1">IFERROR(__xludf.DUMMYFUNCTION("""COMPUTED_VALUE"""),0)</f>
        <v>0</v>
      </c>
      <c r="BZ353" s="24">
        <f ca="1">IFERROR(__xludf.DUMMYFUNCTION("""COMPUTED_VALUE"""),0)</f>
        <v>0</v>
      </c>
      <c r="CA353" s="20"/>
      <c r="CB353" s="20"/>
      <c r="CC353" s="20"/>
      <c r="CD353" s="20"/>
      <c r="CE353" s="20"/>
      <c r="CF353" s="20"/>
      <c r="CG353" s="20"/>
      <c r="CH353" s="20"/>
      <c r="CI353" s="20"/>
      <c r="CJ353" s="20"/>
      <c r="CK353" s="20"/>
      <c r="CL353" s="20"/>
      <c r="CM353" s="20"/>
      <c r="CN353" s="20"/>
      <c r="CO353" s="20"/>
      <c r="CP353" s="20"/>
      <c r="CQ353" s="20"/>
      <c r="CR353" s="20"/>
      <c r="CS353" s="20"/>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row>
    <row r="354" spans="1:123" ht="64.5" hidden="1" customHeight="1" x14ac:dyDescent="0.2">
      <c r="A354" s="19"/>
      <c r="B354" s="20" t="str">
        <f ca="1">IFERROR(__xludf.DUMMYFUNCTION("""COMPUTED_VALUE"""),"г.о. Лотошино")</f>
        <v>г.о. Лотошино</v>
      </c>
      <c r="C35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4" s="20" t="str">
        <f ca="1">IFERROR(__xludf.DUMMYFUNCTION("""COMPUTED_VALUE"""),"МинЖКХ ""ТОП 5 (2 этап)""")</f>
        <v>МинЖКХ "ТОП 5 (2 этап)"</v>
      </c>
      <c r="E354" s="20" t="str">
        <f ca="1">IFERROR(__xludf.DUMMYFUNCTION("""COMPUTED_VALUE"""),"Реконструкция котельной №5 по адресу с. Микулино, ул. Школьная д.18 и тепловых сетей, г.о. Лотошино (в т.ч. ПИР)")</f>
        <v>Реконструкция котельной №5 по адресу с. Микулино, ул. Школьная д.18 и тепловых сетей, г.о. Лотошино (в т.ч. ПИР)</v>
      </c>
      <c r="F354" s="32" t="str">
        <f ca="1">IFERROR(__xludf.DUMMYFUNCTION("""COMPUTED_VALUE"""),"Котельная")</f>
        <v>Котельная</v>
      </c>
      <c r="G354" s="20" t="str">
        <f ca="1">IFERROR(__xludf.DUMMYFUNCTION("""COMPUTED_VALUE"""),"2022-2023")</f>
        <v>2022-2023</v>
      </c>
      <c r="H354" s="20" t="str">
        <f ca="1">IFERROR(__xludf.DUMMYFUNCTION("""COMPUTED_VALUE"""),"СМР")</f>
        <v>СМР</v>
      </c>
      <c r="I354" s="20"/>
      <c r="J354" s="20"/>
      <c r="K354" s="20"/>
      <c r="L354" s="20"/>
      <c r="M354" s="20"/>
      <c r="N354" s="24">
        <f ca="1">IFERROR(__xludf.DUMMYFUNCTION("""COMPUTED_VALUE"""),0)</f>
        <v>0</v>
      </c>
      <c r="O354" s="20"/>
      <c r="P354" s="20"/>
      <c r="Q354" s="20"/>
      <c r="R354" s="20"/>
      <c r="S354" s="20"/>
      <c r="T354" s="20"/>
      <c r="U354" s="24">
        <f ca="1">IFERROR(__xludf.DUMMYFUNCTION("""COMPUTED_VALUE"""),0)</f>
        <v>0</v>
      </c>
      <c r="V354" s="24">
        <f ca="1">IFERROR(__xludf.DUMMYFUNCTION("""COMPUTED_VALUE"""),0)</f>
        <v>0</v>
      </c>
      <c r="W354" s="24">
        <f ca="1">IFERROR(__xludf.DUMMYFUNCTION("""COMPUTED_VALUE"""),0)</f>
        <v>0</v>
      </c>
      <c r="X354" s="24">
        <f ca="1">IFERROR(__xludf.DUMMYFUNCTION("""COMPUTED_VALUE"""),0)</f>
        <v>0</v>
      </c>
      <c r="Y354" s="24">
        <f ca="1">IFERROR(__xludf.DUMMYFUNCTION("""COMPUTED_VALUE"""),0)</f>
        <v>0</v>
      </c>
      <c r="Z354" s="24">
        <f ca="1">IFERROR(__xludf.DUMMYFUNCTION("""COMPUTED_VALUE"""),0)</f>
        <v>0</v>
      </c>
      <c r="AA354" s="20" t="str">
        <f ca="1">IFERROR(__xludf.DUMMYFUNCTION("""COMPUTED_VALUE"""),"10 3 02 64080")</f>
        <v>10 3 02 64080</v>
      </c>
      <c r="AB354" s="20">
        <f ca="1">IFERROR(__xludf.DUMMYFUNCTION("""COMPUTED_VALUE"""),522)</f>
        <v>522</v>
      </c>
      <c r="AC354" s="20"/>
      <c r="AD354" s="20"/>
      <c r="AE354" s="20"/>
      <c r="AF354" s="24">
        <f ca="1">IFERROR(__xludf.DUMMYFUNCTION("""COMPUTED_VALUE"""),40660)</f>
        <v>40660</v>
      </c>
      <c r="AG354" s="24">
        <f ca="1">IFERROR(__xludf.DUMMYFUNCTION("""COMPUTED_VALUE"""),0)</f>
        <v>0</v>
      </c>
      <c r="AH354" s="24">
        <f ca="1">IFERROR(__xludf.DUMMYFUNCTION("""COMPUTED_VALUE"""),38627)</f>
        <v>38627</v>
      </c>
      <c r="AI354" s="24">
        <f ca="1">IFERROR(__xludf.DUMMYFUNCTION("""COMPUTED_VALUE"""),0)</f>
        <v>0</v>
      </c>
      <c r="AJ354" s="24">
        <f ca="1">IFERROR(__xludf.DUMMYFUNCTION("""COMPUTED_VALUE"""),2033)</f>
        <v>2033</v>
      </c>
      <c r="AK354" s="24">
        <f ca="1">IFERROR(__xludf.DUMMYFUNCTION("""COMPUTED_VALUE"""),0)</f>
        <v>0</v>
      </c>
      <c r="AL354" s="24">
        <f ca="1">IFERROR(__xludf.DUMMYFUNCTION("""COMPUTED_VALUE"""),0)</f>
        <v>0</v>
      </c>
      <c r="AM354" s="20"/>
      <c r="AN354" s="20"/>
      <c r="AO354" s="20"/>
      <c r="AP354" s="20"/>
      <c r="AQ354" s="20"/>
      <c r="AR354" s="24">
        <f ca="1">IFERROR(__xludf.DUMMYFUNCTION("""COMPUTED_VALUE"""),0)</f>
        <v>0</v>
      </c>
      <c r="AS354" s="20"/>
      <c r="AT354" s="20"/>
      <c r="AU354" s="20"/>
      <c r="AV354" s="20"/>
      <c r="AW354" s="20"/>
      <c r="AX354" s="24">
        <f ca="1">IFERROR(__xludf.DUMMYFUNCTION("""COMPUTED_VALUE"""),0)</f>
        <v>0</v>
      </c>
      <c r="AY354" s="24">
        <f ca="1">IFERROR(__xludf.DUMMYFUNCTION("""COMPUTED_VALUE"""),0)</f>
        <v>0</v>
      </c>
      <c r="AZ354" s="24">
        <f ca="1">IFERROR(__xludf.DUMMYFUNCTION("""COMPUTED_VALUE"""),0)</f>
        <v>0</v>
      </c>
      <c r="BA354" s="24">
        <f ca="1">IFERROR(__xludf.DUMMYFUNCTION("""COMPUTED_VALUE"""),0)</f>
        <v>0</v>
      </c>
      <c r="BB354" s="24">
        <f ca="1">IFERROR(__xludf.DUMMYFUNCTION("""COMPUTED_VALUE"""),0)</f>
        <v>0</v>
      </c>
      <c r="BC354" s="20"/>
      <c r="BD354" s="24">
        <f ca="1">IFERROR(__xludf.DUMMYFUNCTION("""COMPUTED_VALUE"""),0)</f>
        <v>0</v>
      </c>
      <c r="BE354" s="24">
        <f ca="1">IFERROR(__xludf.DUMMYFUNCTION("""COMPUTED_VALUE"""),0)</f>
        <v>0</v>
      </c>
      <c r="BF354" s="24">
        <f ca="1">IFERROR(__xludf.DUMMYFUNCTION("""COMPUTED_VALUE"""),0)</f>
        <v>0</v>
      </c>
      <c r="BG354" s="24">
        <f ca="1">IFERROR(__xludf.DUMMYFUNCTION("""COMPUTED_VALUE"""),0)</f>
        <v>0</v>
      </c>
      <c r="BH354" s="24">
        <f ca="1">IFERROR(__xludf.DUMMYFUNCTION("""COMPUTED_VALUE"""),0)</f>
        <v>0</v>
      </c>
      <c r="BI354" s="20"/>
      <c r="BJ354" s="24">
        <f ca="1">IFERROR(__xludf.DUMMYFUNCTION("""COMPUTED_VALUE"""),3659.39999999999)</f>
        <v>3659.3999999999901</v>
      </c>
      <c r="BK354" s="24">
        <f ca="1">IFERROR(__xludf.DUMMYFUNCTION("""COMPUTED_VALUE"""),0)</f>
        <v>0</v>
      </c>
      <c r="BL354" s="24">
        <f ca="1">IFERROR(__xludf.DUMMYFUNCTION("""COMPUTED_VALUE"""),3476.43)</f>
        <v>3476.43</v>
      </c>
      <c r="BM354" s="24">
        <f ca="1">IFERROR(__xludf.DUMMYFUNCTION("""COMPUTED_VALUE"""),0)</f>
        <v>0</v>
      </c>
      <c r="BN354" s="24">
        <f ca="1">IFERROR(__xludf.DUMMYFUNCTION("""COMPUTED_VALUE"""),182.97)</f>
        <v>182.97</v>
      </c>
      <c r="BO354" s="20"/>
      <c r="BP354" s="24">
        <f ca="1">IFERROR(__xludf.DUMMYFUNCTION("""COMPUTED_VALUE"""),37000.6)</f>
        <v>37000.6</v>
      </c>
      <c r="BQ354" s="24">
        <f ca="1">IFERROR(__xludf.DUMMYFUNCTION("""COMPUTED_VALUE"""),0)</f>
        <v>0</v>
      </c>
      <c r="BR354" s="24">
        <f ca="1">IFERROR(__xludf.DUMMYFUNCTION("""COMPUTED_VALUE"""),35150.57)</f>
        <v>35150.57</v>
      </c>
      <c r="BS354" s="24">
        <f ca="1">IFERROR(__xludf.DUMMYFUNCTION("""COMPUTED_VALUE"""),0)</f>
        <v>0</v>
      </c>
      <c r="BT354" s="24">
        <f ca="1">IFERROR(__xludf.DUMMYFUNCTION("""COMPUTED_VALUE"""),1850.03)</f>
        <v>1850.03</v>
      </c>
      <c r="BU354" s="20"/>
      <c r="BV354" s="24">
        <f ca="1">IFERROR(__xludf.DUMMYFUNCTION("""COMPUTED_VALUE"""),0)</f>
        <v>0</v>
      </c>
      <c r="BW354" s="24">
        <f ca="1">IFERROR(__xludf.DUMMYFUNCTION("""COMPUTED_VALUE"""),0)</f>
        <v>0</v>
      </c>
      <c r="BX354" s="24">
        <f ca="1">IFERROR(__xludf.DUMMYFUNCTION("""COMPUTED_VALUE"""),0)</f>
        <v>0</v>
      </c>
      <c r="BY354" s="24">
        <f ca="1">IFERROR(__xludf.DUMMYFUNCTION("""COMPUTED_VALUE"""),0)</f>
        <v>0</v>
      </c>
      <c r="BZ354" s="24">
        <f ca="1">IFERROR(__xludf.DUMMYFUNCTION("""COMPUTED_VALUE"""),0)</f>
        <v>0</v>
      </c>
      <c r="CA354" s="20"/>
      <c r="CB354" s="20"/>
      <c r="CC354" s="20"/>
      <c r="CD354" s="20"/>
      <c r="CE354" s="20"/>
      <c r="CF354" s="20"/>
      <c r="CG354" s="20"/>
      <c r="CH354" s="20"/>
      <c r="CI354" s="20"/>
      <c r="CJ354" s="20"/>
      <c r="CK354" s="20"/>
      <c r="CL354" s="20"/>
      <c r="CM354" s="20"/>
      <c r="CN354" s="20"/>
      <c r="CO354" s="20"/>
      <c r="CP354" s="20"/>
      <c r="CQ354" s="20"/>
      <c r="CR354" s="20"/>
      <c r="CS354" s="20"/>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row>
    <row r="355" spans="1:123" ht="64.5" hidden="1" customHeight="1" x14ac:dyDescent="0.2">
      <c r="A355" s="19"/>
      <c r="B355" s="20" t="str">
        <f ca="1">IFERROR(__xludf.DUMMYFUNCTION("""COMPUTED_VALUE"""),"г.о. Лотошино")</f>
        <v>г.о. Лотошино</v>
      </c>
      <c r="C35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5" s="20" t="str">
        <f ca="1">IFERROR(__xludf.DUMMYFUNCTION("""COMPUTED_VALUE"""),"МинЖКХ ""ТОП 5 (2 этап)""")</f>
        <v>МинЖКХ "ТОП 5 (2 этап)"</v>
      </c>
      <c r="E355" s="20" t="str">
        <f ca="1">IFERROR(__xludf.DUMMYFUNCTION("""COMPUTED_VALUE"""),"Реконструкция котельной №6 по адресу п.Лотошино, ул 2-я Ветеринарная, д.23 и тепловых сетей, г.о. Лотошино (в т.ч. ПИР)")</f>
        <v>Реконструкция котельной №6 по адресу п.Лотошино, ул 2-я Ветеринарная, д.23 и тепловых сетей, г.о. Лотошино (в т.ч. ПИР)</v>
      </c>
      <c r="F355" s="32" t="str">
        <f ca="1">IFERROR(__xludf.DUMMYFUNCTION("""COMPUTED_VALUE"""),"Котельная")</f>
        <v>Котельная</v>
      </c>
      <c r="G355" s="20" t="str">
        <f ca="1">IFERROR(__xludf.DUMMYFUNCTION("""COMPUTED_VALUE"""),"2022-2023")</f>
        <v>2022-2023</v>
      </c>
      <c r="H355" s="20" t="str">
        <f ca="1">IFERROR(__xludf.DUMMYFUNCTION("""COMPUTED_VALUE"""),"СМР")</f>
        <v>СМР</v>
      </c>
      <c r="I355" s="20"/>
      <c r="J355" s="20"/>
      <c r="K355" s="20"/>
      <c r="L355" s="20"/>
      <c r="M355" s="20"/>
      <c r="N355" s="24">
        <f ca="1">IFERROR(__xludf.DUMMYFUNCTION("""COMPUTED_VALUE"""),0)</f>
        <v>0</v>
      </c>
      <c r="O355" s="20"/>
      <c r="P355" s="20"/>
      <c r="Q355" s="20"/>
      <c r="R355" s="20"/>
      <c r="S355" s="20"/>
      <c r="T355" s="20"/>
      <c r="U355" s="24">
        <f ca="1">IFERROR(__xludf.DUMMYFUNCTION("""COMPUTED_VALUE"""),0)</f>
        <v>0</v>
      </c>
      <c r="V355" s="24">
        <f ca="1">IFERROR(__xludf.DUMMYFUNCTION("""COMPUTED_VALUE"""),0)</f>
        <v>0</v>
      </c>
      <c r="W355" s="24">
        <f ca="1">IFERROR(__xludf.DUMMYFUNCTION("""COMPUTED_VALUE"""),0)</f>
        <v>0</v>
      </c>
      <c r="X355" s="24">
        <f ca="1">IFERROR(__xludf.DUMMYFUNCTION("""COMPUTED_VALUE"""),0)</f>
        <v>0</v>
      </c>
      <c r="Y355" s="24">
        <f ca="1">IFERROR(__xludf.DUMMYFUNCTION("""COMPUTED_VALUE"""),0)</f>
        <v>0</v>
      </c>
      <c r="Z355" s="24">
        <f ca="1">IFERROR(__xludf.DUMMYFUNCTION("""COMPUTED_VALUE"""),0)</f>
        <v>0</v>
      </c>
      <c r="AA355" s="20" t="str">
        <f ca="1">IFERROR(__xludf.DUMMYFUNCTION("""COMPUTED_VALUE"""),"10 3 02 64080")</f>
        <v>10 3 02 64080</v>
      </c>
      <c r="AB355" s="20">
        <f ca="1">IFERROR(__xludf.DUMMYFUNCTION("""COMPUTED_VALUE"""),522)</f>
        <v>522</v>
      </c>
      <c r="AC355" s="20"/>
      <c r="AD355" s="20"/>
      <c r="AE355" s="20"/>
      <c r="AF355" s="24">
        <f ca="1">IFERROR(__xludf.DUMMYFUNCTION("""COMPUTED_VALUE"""),40640)</f>
        <v>40640</v>
      </c>
      <c r="AG355" s="24">
        <f ca="1">IFERROR(__xludf.DUMMYFUNCTION("""COMPUTED_VALUE"""),0)</f>
        <v>0</v>
      </c>
      <c r="AH355" s="24">
        <f ca="1">IFERROR(__xludf.DUMMYFUNCTION("""COMPUTED_VALUE"""),38608)</f>
        <v>38608</v>
      </c>
      <c r="AI355" s="24">
        <f ca="1">IFERROR(__xludf.DUMMYFUNCTION("""COMPUTED_VALUE"""),0)</f>
        <v>0</v>
      </c>
      <c r="AJ355" s="24">
        <f ca="1">IFERROR(__xludf.DUMMYFUNCTION("""COMPUTED_VALUE"""),2032)</f>
        <v>2032</v>
      </c>
      <c r="AK355" s="24">
        <f ca="1">IFERROR(__xludf.DUMMYFUNCTION("""COMPUTED_VALUE"""),0)</f>
        <v>0</v>
      </c>
      <c r="AL355" s="24">
        <f ca="1">IFERROR(__xludf.DUMMYFUNCTION("""COMPUTED_VALUE"""),0)</f>
        <v>0</v>
      </c>
      <c r="AM355" s="20"/>
      <c r="AN355" s="20"/>
      <c r="AO355" s="20"/>
      <c r="AP355" s="20"/>
      <c r="AQ355" s="20"/>
      <c r="AR355" s="24">
        <f ca="1">IFERROR(__xludf.DUMMYFUNCTION("""COMPUTED_VALUE"""),0)</f>
        <v>0</v>
      </c>
      <c r="AS355" s="20"/>
      <c r="AT355" s="20"/>
      <c r="AU355" s="20"/>
      <c r="AV355" s="20"/>
      <c r="AW355" s="20"/>
      <c r="AX355" s="24">
        <f ca="1">IFERROR(__xludf.DUMMYFUNCTION("""COMPUTED_VALUE"""),0)</f>
        <v>0</v>
      </c>
      <c r="AY355" s="24">
        <f ca="1">IFERROR(__xludf.DUMMYFUNCTION("""COMPUTED_VALUE"""),0)</f>
        <v>0</v>
      </c>
      <c r="AZ355" s="24">
        <f ca="1">IFERROR(__xludf.DUMMYFUNCTION("""COMPUTED_VALUE"""),0)</f>
        <v>0</v>
      </c>
      <c r="BA355" s="24">
        <f ca="1">IFERROR(__xludf.DUMMYFUNCTION("""COMPUTED_VALUE"""),0)</f>
        <v>0</v>
      </c>
      <c r="BB355" s="24">
        <f ca="1">IFERROR(__xludf.DUMMYFUNCTION("""COMPUTED_VALUE"""),0)</f>
        <v>0</v>
      </c>
      <c r="BC355" s="20"/>
      <c r="BD355" s="24">
        <f ca="1">IFERROR(__xludf.DUMMYFUNCTION("""COMPUTED_VALUE"""),0)</f>
        <v>0</v>
      </c>
      <c r="BE355" s="24">
        <f ca="1">IFERROR(__xludf.DUMMYFUNCTION("""COMPUTED_VALUE"""),0)</f>
        <v>0</v>
      </c>
      <c r="BF355" s="24">
        <f ca="1">IFERROR(__xludf.DUMMYFUNCTION("""COMPUTED_VALUE"""),0)</f>
        <v>0</v>
      </c>
      <c r="BG355" s="24">
        <f ca="1">IFERROR(__xludf.DUMMYFUNCTION("""COMPUTED_VALUE"""),0)</f>
        <v>0</v>
      </c>
      <c r="BH355" s="24">
        <f ca="1">IFERROR(__xludf.DUMMYFUNCTION("""COMPUTED_VALUE"""),0)</f>
        <v>0</v>
      </c>
      <c r="BI355" s="20"/>
      <c r="BJ355" s="24">
        <f ca="1">IFERROR(__xludf.DUMMYFUNCTION("""COMPUTED_VALUE"""),3657.6)</f>
        <v>3657.6</v>
      </c>
      <c r="BK355" s="24">
        <f ca="1">IFERROR(__xludf.DUMMYFUNCTION("""COMPUTED_VALUE"""),0)</f>
        <v>0</v>
      </c>
      <c r="BL355" s="24">
        <f ca="1">IFERROR(__xludf.DUMMYFUNCTION("""COMPUTED_VALUE"""),3474.72)</f>
        <v>3474.72</v>
      </c>
      <c r="BM355" s="24">
        <f ca="1">IFERROR(__xludf.DUMMYFUNCTION("""COMPUTED_VALUE"""),0)</f>
        <v>0</v>
      </c>
      <c r="BN355" s="24">
        <f ca="1">IFERROR(__xludf.DUMMYFUNCTION("""COMPUTED_VALUE"""),182.88)</f>
        <v>182.88</v>
      </c>
      <c r="BO355" s="20"/>
      <c r="BP355" s="24">
        <f ca="1">IFERROR(__xludf.DUMMYFUNCTION("""COMPUTED_VALUE"""),36982.4)</f>
        <v>36982.400000000001</v>
      </c>
      <c r="BQ355" s="24">
        <f ca="1">IFERROR(__xludf.DUMMYFUNCTION("""COMPUTED_VALUE"""),0)</f>
        <v>0</v>
      </c>
      <c r="BR355" s="24">
        <f ca="1">IFERROR(__xludf.DUMMYFUNCTION("""COMPUTED_VALUE"""),35133.28)</f>
        <v>35133.279999999999</v>
      </c>
      <c r="BS355" s="24">
        <f ca="1">IFERROR(__xludf.DUMMYFUNCTION("""COMPUTED_VALUE"""),0)</f>
        <v>0</v>
      </c>
      <c r="BT355" s="24">
        <f ca="1">IFERROR(__xludf.DUMMYFUNCTION("""COMPUTED_VALUE"""),1849.12)</f>
        <v>1849.12</v>
      </c>
      <c r="BU355" s="20"/>
      <c r="BV355" s="24">
        <f ca="1">IFERROR(__xludf.DUMMYFUNCTION("""COMPUTED_VALUE"""),0)</f>
        <v>0</v>
      </c>
      <c r="BW355" s="24">
        <f ca="1">IFERROR(__xludf.DUMMYFUNCTION("""COMPUTED_VALUE"""),0)</f>
        <v>0</v>
      </c>
      <c r="BX355" s="24">
        <f ca="1">IFERROR(__xludf.DUMMYFUNCTION("""COMPUTED_VALUE"""),0)</f>
        <v>0</v>
      </c>
      <c r="BY355" s="24">
        <f ca="1">IFERROR(__xludf.DUMMYFUNCTION("""COMPUTED_VALUE"""),0)</f>
        <v>0</v>
      </c>
      <c r="BZ355" s="24">
        <f ca="1">IFERROR(__xludf.DUMMYFUNCTION("""COMPUTED_VALUE"""),0)</f>
        <v>0</v>
      </c>
      <c r="CA355" s="20"/>
      <c r="CB355" s="20"/>
      <c r="CC355" s="20"/>
      <c r="CD355" s="20"/>
      <c r="CE355" s="20"/>
      <c r="CF355" s="20"/>
      <c r="CG355" s="20"/>
      <c r="CH355" s="20"/>
      <c r="CI355" s="20"/>
      <c r="CJ355" s="20"/>
      <c r="CK355" s="20"/>
      <c r="CL355" s="20"/>
      <c r="CM355" s="20"/>
      <c r="CN355" s="20"/>
      <c r="CO355" s="20"/>
      <c r="CP355" s="20"/>
      <c r="CQ355" s="20"/>
      <c r="CR355" s="20"/>
      <c r="CS355" s="20"/>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row>
    <row r="356" spans="1:123" ht="64.5" hidden="1" customHeight="1" x14ac:dyDescent="0.2">
      <c r="A356" s="19"/>
      <c r="B356" s="20" t="str">
        <f ca="1">IFERROR(__xludf.DUMMYFUNCTION("""COMPUTED_VALUE"""),"г.о. Шаховская")</f>
        <v>г.о. Шаховская</v>
      </c>
      <c r="C35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6" s="20" t="str">
        <f ca="1">IFERROR(__xludf.DUMMYFUNCTION("""COMPUTED_VALUE"""),"МинЖКХ ""ТОП 5 (2 этап)""")</f>
        <v>МинЖКХ "ТОП 5 (2 этап)"</v>
      </c>
      <c r="E356" s="20" t="str">
        <f ca="1">IFERROR(__xludf.DUMMYFUNCTION("""COMPUTED_VALUE"""),"Реконструкция тепловых сетей котельной д. Степаньково, г.о. Шаховская (в т.ч. ПИР)")</f>
        <v>Реконструкция тепловых сетей котельной д. Степаньково, г.о. Шаховская (в т.ч. ПИР)</v>
      </c>
      <c r="F356" s="32" t="str">
        <f ca="1">IFERROR(__xludf.DUMMYFUNCTION("""COMPUTED_VALUE"""),"Сети")</f>
        <v>Сети</v>
      </c>
      <c r="G356" s="20" t="str">
        <f ca="1">IFERROR(__xludf.DUMMYFUNCTION("""COMPUTED_VALUE"""),"2022-2023")</f>
        <v>2022-2023</v>
      </c>
      <c r="H356" s="20" t="str">
        <f ca="1">IFERROR(__xludf.DUMMYFUNCTION("""COMPUTED_VALUE"""),"СМР")</f>
        <v>СМР</v>
      </c>
      <c r="I356" s="20"/>
      <c r="J356" s="20"/>
      <c r="K356" s="20"/>
      <c r="L356" s="20"/>
      <c r="M356" s="20"/>
      <c r="N356" s="24">
        <f ca="1">IFERROR(__xludf.DUMMYFUNCTION("""COMPUTED_VALUE"""),0)</f>
        <v>0</v>
      </c>
      <c r="O356" s="20"/>
      <c r="P356" s="20"/>
      <c r="Q356" s="20"/>
      <c r="R356" s="20"/>
      <c r="S356" s="20"/>
      <c r="T356" s="20"/>
      <c r="U356" s="24">
        <f ca="1">IFERROR(__xludf.DUMMYFUNCTION("""COMPUTED_VALUE"""),0)</f>
        <v>0</v>
      </c>
      <c r="V356" s="24">
        <f ca="1">IFERROR(__xludf.DUMMYFUNCTION("""COMPUTED_VALUE"""),0)</f>
        <v>0</v>
      </c>
      <c r="W356" s="24">
        <f ca="1">IFERROR(__xludf.DUMMYFUNCTION("""COMPUTED_VALUE"""),0)</f>
        <v>0</v>
      </c>
      <c r="X356" s="24">
        <f ca="1">IFERROR(__xludf.DUMMYFUNCTION("""COMPUTED_VALUE"""),0)</f>
        <v>0</v>
      </c>
      <c r="Y356" s="24">
        <f ca="1">IFERROR(__xludf.DUMMYFUNCTION("""COMPUTED_VALUE"""),0)</f>
        <v>0</v>
      </c>
      <c r="Z356" s="24">
        <f ca="1">IFERROR(__xludf.DUMMYFUNCTION("""COMPUTED_VALUE"""),0)</f>
        <v>0</v>
      </c>
      <c r="AA356" s="20" t="str">
        <f ca="1">IFERROR(__xludf.DUMMYFUNCTION("""COMPUTED_VALUE"""),"10 3 02 64080")</f>
        <v>10 3 02 64080</v>
      </c>
      <c r="AB356" s="20">
        <f ca="1">IFERROR(__xludf.DUMMYFUNCTION("""COMPUTED_VALUE"""),522)</f>
        <v>522</v>
      </c>
      <c r="AC356" s="20"/>
      <c r="AD356" s="20"/>
      <c r="AE356" s="20"/>
      <c r="AF356" s="24">
        <f ca="1">IFERROR(__xludf.DUMMYFUNCTION("""COMPUTED_VALUE"""),16940)</f>
        <v>16940</v>
      </c>
      <c r="AG356" s="24">
        <f ca="1">IFERROR(__xludf.DUMMYFUNCTION("""COMPUTED_VALUE"""),0)</f>
        <v>0</v>
      </c>
      <c r="AH356" s="24">
        <f ca="1">IFERROR(__xludf.DUMMYFUNCTION("""COMPUTED_VALUE"""),15144.36)</f>
        <v>15144.36</v>
      </c>
      <c r="AI356" s="24">
        <f ca="1">IFERROR(__xludf.DUMMYFUNCTION("""COMPUTED_VALUE"""),0)</f>
        <v>0</v>
      </c>
      <c r="AJ356" s="24">
        <f ca="1">IFERROR(__xludf.DUMMYFUNCTION("""COMPUTED_VALUE"""),1795.63999999999)</f>
        <v>1795.6399999999901</v>
      </c>
      <c r="AK356" s="24">
        <f ca="1">IFERROR(__xludf.DUMMYFUNCTION("""COMPUTED_VALUE"""),0)</f>
        <v>0</v>
      </c>
      <c r="AL356" s="24">
        <f ca="1">IFERROR(__xludf.DUMMYFUNCTION("""COMPUTED_VALUE"""),0)</f>
        <v>0</v>
      </c>
      <c r="AM356" s="20"/>
      <c r="AN356" s="20"/>
      <c r="AO356" s="20"/>
      <c r="AP356" s="20"/>
      <c r="AQ356" s="20"/>
      <c r="AR356" s="24">
        <f ca="1">IFERROR(__xludf.DUMMYFUNCTION("""COMPUTED_VALUE"""),0)</f>
        <v>0</v>
      </c>
      <c r="AS356" s="20"/>
      <c r="AT356" s="20"/>
      <c r="AU356" s="20"/>
      <c r="AV356" s="20"/>
      <c r="AW356" s="20"/>
      <c r="AX356" s="24">
        <f ca="1">IFERROR(__xludf.DUMMYFUNCTION("""COMPUTED_VALUE"""),0)</f>
        <v>0</v>
      </c>
      <c r="AY356" s="24">
        <f ca="1">IFERROR(__xludf.DUMMYFUNCTION("""COMPUTED_VALUE"""),0)</f>
        <v>0</v>
      </c>
      <c r="AZ356" s="24">
        <f ca="1">IFERROR(__xludf.DUMMYFUNCTION("""COMPUTED_VALUE"""),0)</f>
        <v>0</v>
      </c>
      <c r="BA356" s="24">
        <f ca="1">IFERROR(__xludf.DUMMYFUNCTION("""COMPUTED_VALUE"""),0)</f>
        <v>0</v>
      </c>
      <c r="BB356" s="24">
        <f ca="1">IFERROR(__xludf.DUMMYFUNCTION("""COMPUTED_VALUE"""),0)</f>
        <v>0</v>
      </c>
      <c r="BC356" s="20"/>
      <c r="BD356" s="24">
        <f ca="1">IFERROR(__xludf.DUMMYFUNCTION("""COMPUTED_VALUE"""),0)</f>
        <v>0</v>
      </c>
      <c r="BE356" s="24">
        <f ca="1">IFERROR(__xludf.DUMMYFUNCTION("""COMPUTED_VALUE"""),0)</f>
        <v>0</v>
      </c>
      <c r="BF356" s="24">
        <f ca="1">IFERROR(__xludf.DUMMYFUNCTION("""COMPUTED_VALUE"""),0)</f>
        <v>0</v>
      </c>
      <c r="BG356" s="24">
        <f ca="1">IFERROR(__xludf.DUMMYFUNCTION("""COMPUTED_VALUE"""),0)</f>
        <v>0</v>
      </c>
      <c r="BH356" s="24">
        <f ca="1">IFERROR(__xludf.DUMMYFUNCTION("""COMPUTED_VALUE"""),0)</f>
        <v>0</v>
      </c>
      <c r="BI356" s="20"/>
      <c r="BJ356" s="24">
        <f ca="1">IFERROR(__xludf.DUMMYFUNCTION("""COMPUTED_VALUE"""),5420.8)</f>
        <v>5420.8</v>
      </c>
      <c r="BK356" s="24">
        <f ca="1">IFERROR(__xludf.DUMMYFUNCTION("""COMPUTED_VALUE"""),0)</f>
        <v>0</v>
      </c>
      <c r="BL356" s="24">
        <f ca="1">IFERROR(__xludf.DUMMYFUNCTION("""COMPUTED_VALUE"""),4846.2)</f>
        <v>4846.2</v>
      </c>
      <c r="BM356" s="24">
        <f ca="1">IFERROR(__xludf.DUMMYFUNCTION("""COMPUTED_VALUE"""),0)</f>
        <v>0</v>
      </c>
      <c r="BN356" s="24">
        <f ca="1">IFERROR(__xludf.DUMMYFUNCTION("""COMPUTED_VALUE"""),574.6)</f>
        <v>574.6</v>
      </c>
      <c r="BO356" s="20"/>
      <c r="BP356" s="24">
        <f ca="1">IFERROR(__xludf.DUMMYFUNCTION("""COMPUTED_VALUE"""),11519.2)</f>
        <v>11519.2</v>
      </c>
      <c r="BQ356" s="24">
        <f ca="1">IFERROR(__xludf.DUMMYFUNCTION("""COMPUTED_VALUE"""),0)</f>
        <v>0</v>
      </c>
      <c r="BR356" s="24">
        <f ca="1">IFERROR(__xludf.DUMMYFUNCTION("""COMPUTED_VALUE"""),10298.16)</f>
        <v>10298.16</v>
      </c>
      <c r="BS356" s="24">
        <f ca="1">IFERROR(__xludf.DUMMYFUNCTION("""COMPUTED_VALUE"""),0)</f>
        <v>0</v>
      </c>
      <c r="BT356" s="24">
        <f ca="1">IFERROR(__xludf.DUMMYFUNCTION("""COMPUTED_VALUE"""),1221.04)</f>
        <v>1221.04</v>
      </c>
      <c r="BU356" s="20"/>
      <c r="BV356" s="24">
        <f ca="1">IFERROR(__xludf.DUMMYFUNCTION("""COMPUTED_VALUE"""),0)</f>
        <v>0</v>
      </c>
      <c r="BW356" s="24">
        <f ca="1">IFERROR(__xludf.DUMMYFUNCTION("""COMPUTED_VALUE"""),0)</f>
        <v>0</v>
      </c>
      <c r="BX356" s="24">
        <f ca="1">IFERROR(__xludf.DUMMYFUNCTION("""COMPUTED_VALUE"""),0)</f>
        <v>0</v>
      </c>
      <c r="BY356" s="24">
        <f ca="1">IFERROR(__xludf.DUMMYFUNCTION("""COMPUTED_VALUE"""),0)</f>
        <v>0</v>
      </c>
      <c r="BZ356" s="24">
        <f ca="1">IFERROR(__xludf.DUMMYFUNCTION("""COMPUTED_VALUE"""),0)</f>
        <v>0</v>
      </c>
      <c r="CA356" s="20"/>
      <c r="CB356" s="20"/>
      <c r="CC356" s="20"/>
      <c r="CD356" s="20"/>
      <c r="CE356" s="20"/>
      <c r="CF356" s="20"/>
      <c r="CG356" s="20"/>
      <c r="CH356" s="20"/>
      <c r="CI356" s="20"/>
      <c r="CJ356" s="20"/>
      <c r="CK356" s="20"/>
      <c r="CL356" s="20"/>
      <c r="CM356" s="20"/>
      <c r="CN356" s="20"/>
      <c r="CO356" s="20"/>
      <c r="CP356" s="20"/>
      <c r="CQ356" s="20"/>
      <c r="CR356" s="20"/>
      <c r="CS356" s="20"/>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row>
    <row r="357" spans="1:123" ht="64.5" hidden="1" customHeight="1" x14ac:dyDescent="0.2">
      <c r="A357" s="19"/>
      <c r="B357" s="20" t="str">
        <f ca="1">IFERROR(__xludf.DUMMYFUNCTION("""COMPUTED_VALUE"""),"г.о. Шаховская")</f>
        <v>г.о. Шаховская</v>
      </c>
      <c r="C35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7" s="20" t="str">
        <f ca="1">IFERROR(__xludf.DUMMYFUNCTION("""COMPUTED_VALUE"""),"МинЖКХ ""ТОП 5 (2 этап)""")</f>
        <v>МинЖКХ "ТОП 5 (2 этап)"</v>
      </c>
      <c r="E357" s="20" t="str">
        <f ca="1">IFERROR(__xludf.DUMMYFUNCTION("""COMPUTED_VALUE"""),"Реконструкция тепловых сетей котельной с. Б-Колпь, д.63, г.о. Шаховская (в т.ч. ПИР)")</f>
        <v>Реконструкция тепловых сетей котельной с. Б-Колпь, д.63, г.о. Шаховская (в т.ч. ПИР)</v>
      </c>
      <c r="F357" s="32" t="str">
        <f ca="1">IFERROR(__xludf.DUMMYFUNCTION("""COMPUTED_VALUE"""),"Сети")</f>
        <v>Сети</v>
      </c>
      <c r="G357" s="20" t="str">
        <f ca="1">IFERROR(__xludf.DUMMYFUNCTION("""COMPUTED_VALUE"""),"2022-2023")</f>
        <v>2022-2023</v>
      </c>
      <c r="H357" s="20" t="str">
        <f ca="1">IFERROR(__xludf.DUMMYFUNCTION("""COMPUTED_VALUE"""),"СМР")</f>
        <v>СМР</v>
      </c>
      <c r="I357" s="20"/>
      <c r="J357" s="20"/>
      <c r="K357" s="20"/>
      <c r="L357" s="20"/>
      <c r="M357" s="20"/>
      <c r="N357" s="24">
        <f ca="1">IFERROR(__xludf.DUMMYFUNCTION("""COMPUTED_VALUE"""),0)</f>
        <v>0</v>
      </c>
      <c r="O357" s="20"/>
      <c r="P357" s="20"/>
      <c r="Q357" s="20"/>
      <c r="R357" s="20"/>
      <c r="S357" s="20"/>
      <c r="T357" s="20"/>
      <c r="U357" s="24">
        <f ca="1">IFERROR(__xludf.DUMMYFUNCTION("""COMPUTED_VALUE"""),0)</f>
        <v>0</v>
      </c>
      <c r="V357" s="24">
        <f ca="1">IFERROR(__xludf.DUMMYFUNCTION("""COMPUTED_VALUE"""),0)</f>
        <v>0</v>
      </c>
      <c r="W357" s="24">
        <f ca="1">IFERROR(__xludf.DUMMYFUNCTION("""COMPUTED_VALUE"""),0)</f>
        <v>0</v>
      </c>
      <c r="X357" s="24">
        <f ca="1">IFERROR(__xludf.DUMMYFUNCTION("""COMPUTED_VALUE"""),0)</f>
        <v>0</v>
      </c>
      <c r="Y357" s="24">
        <f ca="1">IFERROR(__xludf.DUMMYFUNCTION("""COMPUTED_VALUE"""),0)</f>
        <v>0</v>
      </c>
      <c r="Z357" s="24">
        <f ca="1">IFERROR(__xludf.DUMMYFUNCTION("""COMPUTED_VALUE"""),0)</f>
        <v>0</v>
      </c>
      <c r="AA357" s="20" t="str">
        <f ca="1">IFERROR(__xludf.DUMMYFUNCTION("""COMPUTED_VALUE"""),"10 3 02 64080")</f>
        <v>10 3 02 64080</v>
      </c>
      <c r="AB357" s="20">
        <f ca="1">IFERROR(__xludf.DUMMYFUNCTION("""COMPUTED_VALUE"""),522)</f>
        <v>522</v>
      </c>
      <c r="AC357" s="20"/>
      <c r="AD357" s="20"/>
      <c r="AE357" s="20"/>
      <c r="AF357" s="24">
        <f ca="1">IFERROR(__xludf.DUMMYFUNCTION("""COMPUTED_VALUE"""),11040)</f>
        <v>11040</v>
      </c>
      <c r="AG357" s="24">
        <f ca="1">IFERROR(__xludf.DUMMYFUNCTION("""COMPUTED_VALUE"""),0)</f>
        <v>0</v>
      </c>
      <c r="AH357" s="24">
        <f ca="1">IFERROR(__xludf.DUMMYFUNCTION("""COMPUTED_VALUE"""),9869.76)</f>
        <v>9869.76</v>
      </c>
      <c r="AI357" s="24">
        <f ca="1">IFERROR(__xludf.DUMMYFUNCTION("""COMPUTED_VALUE"""),0)</f>
        <v>0</v>
      </c>
      <c r="AJ357" s="24">
        <f ca="1">IFERROR(__xludf.DUMMYFUNCTION("""COMPUTED_VALUE"""),1170.24)</f>
        <v>1170.24</v>
      </c>
      <c r="AK357" s="24">
        <f ca="1">IFERROR(__xludf.DUMMYFUNCTION("""COMPUTED_VALUE"""),0)</f>
        <v>0</v>
      </c>
      <c r="AL357" s="24">
        <f ca="1">IFERROR(__xludf.DUMMYFUNCTION("""COMPUTED_VALUE"""),0)</f>
        <v>0</v>
      </c>
      <c r="AM357" s="20"/>
      <c r="AN357" s="20"/>
      <c r="AO357" s="20"/>
      <c r="AP357" s="20"/>
      <c r="AQ357" s="20"/>
      <c r="AR357" s="24">
        <f ca="1">IFERROR(__xludf.DUMMYFUNCTION("""COMPUTED_VALUE"""),0)</f>
        <v>0</v>
      </c>
      <c r="AS357" s="20"/>
      <c r="AT357" s="20"/>
      <c r="AU357" s="20"/>
      <c r="AV357" s="20"/>
      <c r="AW357" s="20"/>
      <c r="AX357" s="24">
        <f ca="1">IFERROR(__xludf.DUMMYFUNCTION("""COMPUTED_VALUE"""),0)</f>
        <v>0</v>
      </c>
      <c r="AY357" s="24">
        <f ca="1">IFERROR(__xludf.DUMMYFUNCTION("""COMPUTED_VALUE"""),0)</f>
        <v>0</v>
      </c>
      <c r="AZ357" s="24">
        <f ca="1">IFERROR(__xludf.DUMMYFUNCTION("""COMPUTED_VALUE"""),0)</f>
        <v>0</v>
      </c>
      <c r="BA357" s="24">
        <f ca="1">IFERROR(__xludf.DUMMYFUNCTION("""COMPUTED_VALUE"""),0)</f>
        <v>0</v>
      </c>
      <c r="BB357" s="24">
        <f ca="1">IFERROR(__xludf.DUMMYFUNCTION("""COMPUTED_VALUE"""),0)</f>
        <v>0</v>
      </c>
      <c r="BC357" s="20"/>
      <c r="BD357" s="24">
        <f ca="1">IFERROR(__xludf.DUMMYFUNCTION("""COMPUTED_VALUE"""),0)</f>
        <v>0</v>
      </c>
      <c r="BE357" s="24">
        <f ca="1">IFERROR(__xludf.DUMMYFUNCTION("""COMPUTED_VALUE"""),0)</f>
        <v>0</v>
      </c>
      <c r="BF357" s="24">
        <f ca="1">IFERROR(__xludf.DUMMYFUNCTION("""COMPUTED_VALUE"""),0)</f>
        <v>0</v>
      </c>
      <c r="BG357" s="24">
        <f ca="1">IFERROR(__xludf.DUMMYFUNCTION("""COMPUTED_VALUE"""),0)</f>
        <v>0</v>
      </c>
      <c r="BH357" s="24">
        <f ca="1">IFERROR(__xludf.DUMMYFUNCTION("""COMPUTED_VALUE"""),0)</f>
        <v>0</v>
      </c>
      <c r="BI357" s="20"/>
      <c r="BJ357" s="24">
        <f ca="1">IFERROR(__xludf.DUMMYFUNCTION("""COMPUTED_VALUE"""),3532.8)</f>
        <v>3532.8</v>
      </c>
      <c r="BK357" s="24">
        <f ca="1">IFERROR(__xludf.DUMMYFUNCTION("""COMPUTED_VALUE"""),0)</f>
        <v>0</v>
      </c>
      <c r="BL357" s="24">
        <f ca="1">IFERROR(__xludf.DUMMYFUNCTION("""COMPUTED_VALUE"""),3158.32)</f>
        <v>3158.32</v>
      </c>
      <c r="BM357" s="24">
        <f ca="1">IFERROR(__xludf.DUMMYFUNCTION("""COMPUTED_VALUE"""),0)</f>
        <v>0</v>
      </c>
      <c r="BN357" s="24">
        <f ca="1">IFERROR(__xludf.DUMMYFUNCTION("""COMPUTED_VALUE"""),374.48)</f>
        <v>374.48</v>
      </c>
      <c r="BO357" s="20"/>
      <c r="BP357" s="24">
        <f ca="1">IFERROR(__xludf.DUMMYFUNCTION("""COMPUTED_VALUE"""),7507.2)</f>
        <v>7507.2</v>
      </c>
      <c r="BQ357" s="24">
        <f ca="1">IFERROR(__xludf.DUMMYFUNCTION("""COMPUTED_VALUE"""),0)</f>
        <v>0</v>
      </c>
      <c r="BR357" s="24">
        <f ca="1">IFERROR(__xludf.DUMMYFUNCTION("""COMPUTED_VALUE"""),6711.44)</f>
        <v>6711.44</v>
      </c>
      <c r="BS357" s="24">
        <f ca="1">IFERROR(__xludf.DUMMYFUNCTION("""COMPUTED_VALUE"""),0)</f>
        <v>0</v>
      </c>
      <c r="BT357" s="24">
        <f ca="1">IFERROR(__xludf.DUMMYFUNCTION("""COMPUTED_VALUE"""),795.76)</f>
        <v>795.76</v>
      </c>
      <c r="BU357" s="20"/>
      <c r="BV357" s="24">
        <f ca="1">IFERROR(__xludf.DUMMYFUNCTION("""COMPUTED_VALUE"""),0)</f>
        <v>0</v>
      </c>
      <c r="BW357" s="24">
        <f ca="1">IFERROR(__xludf.DUMMYFUNCTION("""COMPUTED_VALUE"""),0)</f>
        <v>0</v>
      </c>
      <c r="BX357" s="24">
        <f ca="1">IFERROR(__xludf.DUMMYFUNCTION("""COMPUTED_VALUE"""),0)</f>
        <v>0</v>
      </c>
      <c r="BY357" s="24">
        <f ca="1">IFERROR(__xludf.DUMMYFUNCTION("""COMPUTED_VALUE"""),0)</f>
        <v>0</v>
      </c>
      <c r="BZ357" s="24">
        <f ca="1">IFERROR(__xludf.DUMMYFUNCTION("""COMPUTED_VALUE"""),0)</f>
        <v>0</v>
      </c>
      <c r="CA357" s="20"/>
      <c r="CB357" s="20"/>
      <c r="CC357" s="20"/>
      <c r="CD357" s="20"/>
      <c r="CE357" s="20"/>
      <c r="CF357" s="20"/>
      <c r="CG357" s="20"/>
      <c r="CH357" s="20"/>
      <c r="CI357" s="20"/>
      <c r="CJ357" s="20"/>
      <c r="CK357" s="20"/>
      <c r="CL357" s="20"/>
      <c r="CM357" s="20"/>
      <c r="CN357" s="20"/>
      <c r="CO357" s="20"/>
      <c r="CP357" s="20"/>
      <c r="CQ357" s="20"/>
      <c r="CR357" s="20"/>
      <c r="CS357" s="20"/>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row>
    <row r="358" spans="1:123" ht="64.5" hidden="1" customHeight="1" x14ac:dyDescent="0.2">
      <c r="A358" s="19"/>
      <c r="B358" s="20" t="str">
        <f ca="1">IFERROR(__xludf.DUMMYFUNCTION("""COMPUTED_VALUE"""),"г.о. Шаховская")</f>
        <v>г.о. Шаховская</v>
      </c>
      <c r="C35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8" s="20" t="str">
        <f ca="1">IFERROR(__xludf.DUMMYFUNCTION("""COMPUTED_VALUE"""),"МинЖКХ ""ТОП 5 (2 этап)""")</f>
        <v>МинЖКХ "ТОП 5 (2 этап)"</v>
      </c>
      <c r="E358" s="20" t="str">
        <f ca="1">IFERROR(__xludf.DUMMYFUNCTION("""COMPUTED_VALUE"""),"Реконструкция тепловых сетей котельной д. Муриково, г.о. Шаховская (в т.ч. ПИР)")</f>
        <v>Реконструкция тепловых сетей котельной д. Муриково, г.о. Шаховская (в т.ч. ПИР)</v>
      </c>
      <c r="F358" s="32" t="str">
        <f ca="1">IFERROR(__xludf.DUMMYFUNCTION("""COMPUTED_VALUE"""),"Сети")</f>
        <v>Сети</v>
      </c>
      <c r="G358" s="20" t="str">
        <f ca="1">IFERROR(__xludf.DUMMYFUNCTION("""COMPUTED_VALUE"""),"2022-2023")</f>
        <v>2022-2023</v>
      </c>
      <c r="H358" s="20" t="str">
        <f ca="1">IFERROR(__xludf.DUMMYFUNCTION("""COMPUTED_VALUE"""),"СМР")</f>
        <v>СМР</v>
      </c>
      <c r="I358" s="20"/>
      <c r="J358" s="20"/>
      <c r="K358" s="20"/>
      <c r="L358" s="20"/>
      <c r="M358" s="20"/>
      <c r="N358" s="24">
        <f ca="1">IFERROR(__xludf.DUMMYFUNCTION("""COMPUTED_VALUE"""),0)</f>
        <v>0</v>
      </c>
      <c r="O358" s="20"/>
      <c r="P358" s="20"/>
      <c r="Q358" s="20"/>
      <c r="R358" s="20"/>
      <c r="S358" s="20"/>
      <c r="T358" s="20"/>
      <c r="U358" s="24">
        <f ca="1">IFERROR(__xludf.DUMMYFUNCTION("""COMPUTED_VALUE"""),0)</f>
        <v>0</v>
      </c>
      <c r="V358" s="24">
        <f ca="1">IFERROR(__xludf.DUMMYFUNCTION("""COMPUTED_VALUE"""),0)</f>
        <v>0</v>
      </c>
      <c r="W358" s="24">
        <f ca="1">IFERROR(__xludf.DUMMYFUNCTION("""COMPUTED_VALUE"""),0)</f>
        <v>0</v>
      </c>
      <c r="X358" s="24">
        <f ca="1">IFERROR(__xludf.DUMMYFUNCTION("""COMPUTED_VALUE"""),0)</f>
        <v>0</v>
      </c>
      <c r="Y358" s="24">
        <f ca="1">IFERROR(__xludf.DUMMYFUNCTION("""COMPUTED_VALUE"""),0)</f>
        <v>0</v>
      </c>
      <c r="Z358" s="24">
        <f ca="1">IFERROR(__xludf.DUMMYFUNCTION("""COMPUTED_VALUE"""),0)</f>
        <v>0</v>
      </c>
      <c r="AA358" s="20" t="str">
        <f ca="1">IFERROR(__xludf.DUMMYFUNCTION("""COMPUTED_VALUE"""),"10 3 02 64080")</f>
        <v>10 3 02 64080</v>
      </c>
      <c r="AB358" s="20">
        <f ca="1">IFERROR(__xludf.DUMMYFUNCTION("""COMPUTED_VALUE"""),522)</f>
        <v>522</v>
      </c>
      <c r="AC358" s="20"/>
      <c r="AD358" s="20"/>
      <c r="AE358" s="20"/>
      <c r="AF358" s="24">
        <f ca="1">IFERROR(__xludf.DUMMYFUNCTION("""COMPUTED_VALUE"""),15789.9999999999)</f>
        <v>15789.9999999999</v>
      </c>
      <c r="AG358" s="24">
        <f ca="1">IFERROR(__xludf.DUMMYFUNCTION("""COMPUTED_VALUE"""),0)</f>
        <v>0</v>
      </c>
      <c r="AH358" s="24">
        <f ca="1">IFERROR(__xludf.DUMMYFUNCTION("""COMPUTED_VALUE"""),14116.2599999999)</f>
        <v>14116.2599999999</v>
      </c>
      <c r="AI358" s="24">
        <f ca="1">IFERROR(__xludf.DUMMYFUNCTION("""COMPUTED_VALUE"""),0)</f>
        <v>0</v>
      </c>
      <c r="AJ358" s="24">
        <f ca="1">IFERROR(__xludf.DUMMYFUNCTION("""COMPUTED_VALUE"""),1673.74)</f>
        <v>1673.74</v>
      </c>
      <c r="AK358" s="24">
        <f ca="1">IFERROR(__xludf.DUMMYFUNCTION("""COMPUTED_VALUE"""),0)</f>
        <v>0</v>
      </c>
      <c r="AL358" s="24">
        <f ca="1">IFERROR(__xludf.DUMMYFUNCTION("""COMPUTED_VALUE"""),0)</f>
        <v>0</v>
      </c>
      <c r="AM358" s="20"/>
      <c r="AN358" s="20"/>
      <c r="AO358" s="20"/>
      <c r="AP358" s="20"/>
      <c r="AQ358" s="20"/>
      <c r="AR358" s="24">
        <f ca="1">IFERROR(__xludf.DUMMYFUNCTION("""COMPUTED_VALUE"""),0)</f>
        <v>0</v>
      </c>
      <c r="AS358" s="20"/>
      <c r="AT358" s="20"/>
      <c r="AU358" s="20"/>
      <c r="AV358" s="20"/>
      <c r="AW358" s="20"/>
      <c r="AX358" s="24">
        <f ca="1">IFERROR(__xludf.DUMMYFUNCTION("""COMPUTED_VALUE"""),0)</f>
        <v>0</v>
      </c>
      <c r="AY358" s="24">
        <f ca="1">IFERROR(__xludf.DUMMYFUNCTION("""COMPUTED_VALUE"""),0)</f>
        <v>0</v>
      </c>
      <c r="AZ358" s="24">
        <f ca="1">IFERROR(__xludf.DUMMYFUNCTION("""COMPUTED_VALUE"""),0)</f>
        <v>0</v>
      </c>
      <c r="BA358" s="24">
        <f ca="1">IFERROR(__xludf.DUMMYFUNCTION("""COMPUTED_VALUE"""),0)</f>
        <v>0</v>
      </c>
      <c r="BB358" s="24">
        <f ca="1">IFERROR(__xludf.DUMMYFUNCTION("""COMPUTED_VALUE"""),0)</f>
        <v>0</v>
      </c>
      <c r="BC358" s="20"/>
      <c r="BD358" s="24">
        <f ca="1">IFERROR(__xludf.DUMMYFUNCTION("""COMPUTED_VALUE"""),0)</f>
        <v>0</v>
      </c>
      <c r="BE358" s="24">
        <f ca="1">IFERROR(__xludf.DUMMYFUNCTION("""COMPUTED_VALUE"""),0)</f>
        <v>0</v>
      </c>
      <c r="BF358" s="24">
        <f ca="1">IFERROR(__xludf.DUMMYFUNCTION("""COMPUTED_VALUE"""),0)</f>
        <v>0</v>
      </c>
      <c r="BG358" s="24">
        <f ca="1">IFERROR(__xludf.DUMMYFUNCTION("""COMPUTED_VALUE"""),0)</f>
        <v>0</v>
      </c>
      <c r="BH358" s="24">
        <f ca="1">IFERROR(__xludf.DUMMYFUNCTION("""COMPUTED_VALUE"""),0)</f>
        <v>0</v>
      </c>
      <c r="BI358" s="20"/>
      <c r="BJ358" s="24">
        <f ca="1">IFERROR(__xludf.DUMMYFUNCTION("""COMPUTED_VALUE"""),5052.8)</f>
        <v>5052.8</v>
      </c>
      <c r="BK358" s="24">
        <f ca="1">IFERROR(__xludf.DUMMYFUNCTION("""COMPUTED_VALUE"""),0)</f>
        <v>0</v>
      </c>
      <c r="BL358" s="24">
        <f ca="1">IFERROR(__xludf.DUMMYFUNCTION("""COMPUTED_VALUE"""),4517.2)</f>
        <v>4517.2</v>
      </c>
      <c r="BM358" s="24">
        <f ca="1">IFERROR(__xludf.DUMMYFUNCTION("""COMPUTED_VALUE"""),0)</f>
        <v>0</v>
      </c>
      <c r="BN358" s="24">
        <f ca="1">IFERROR(__xludf.DUMMYFUNCTION("""COMPUTED_VALUE"""),535.6)</f>
        <v>535.6</v>
      </c>
      <c r="BO358" s="20"/>
      <c r="BP358" s="24">
        <f ca="1">IFERROR(__xludf.DUMMYFUNCTION("""COMPUTED_VALUE"""),10737.1999999999)</f>
        <v>10737.199999999901</v>
      </c>
      <c r="BQ358" s="24">
        <f ca="1">IFERROR(__xludf.DUMMYFUNCTION("""COMPUTED_VALUE"""),0)</f>
        <v>0</v>
      </c>
      <c r="BR358" s="24">
        <f ca="1">IFERROR(__xludf.DUMMYFUNCTION("""COMPUTED_VALUE"""),9599.06)</f>
        <v>9599.06</v>
      </c>
      <c r="BS358" s="24">
        <f ca="1">IFERROR(__xludf.DUMMYFUNCTION("""COMPUTED_VALUE"""),0)</f>
        <v>0</v>
      </c>
      <c r="BT358" s="24">
        <f ca="1">IFERROR(__xludf.DUMMYFUNCTION("""COMPUTED_VALUE"""),1138.14)</f>
        <v>1138.1400000000001</v>
      </c>
      <c r="BU358" s="20"/>
      <c r="BV358" s="24">
        <f ca="1">IFERROR(__xludf.DUMMYFUNCTION("""COMPUTED_VALUE"""),0)</f>
        <v>0</v>
      </c>
      <c r="BW358" s="24">
        <f ca="1">IFERROR(__xludf.DUMMYFUNCTION("""COMPUTED_VALUE"""),0)</f>
        <v>0</v>
      </c>
      <c r="BX358" s="24">
        <f ca="1">IFERROR(__xludf.DUMMYFUNCTION("""COMPUTED_VALUE"""),0)</f>
        <v>0</v>
      </c>
      <c r="BY358" s="24">
        <f ca="1">IFERROR(__xludf.DUMMYFUNCTION("""COMPUTED_VALUE"""),0)</f>
        <v>0</v>
      </c>
      <c r="BZ358" s="24">
        <f ca="1">IFERROR(__xludf.DUMMYFUNCTION("""COMPUTED_VALUE"""),0)</f>
        <v>0</v>
      </c>
      <c r="CA358" s="20"/>
      <c r="CB358" s="20"/>
      <c r="CC358" s="20"/>
      <c r="CD358" s="20"/>
      <c r="CE358" s="20"/>
      <c r="CF358" s="20"/>
      <c r="CG358" s="20"/>
      <c r="CH358" s="20"/>
      <c r="CI358" s="20"/>
      <c r="CJ358" s="20"/>
      <c r="CK358" s="20"/>
      <c r="CL358" s="20"/>
      <c r="CM358" s="20"/>
      <c r="CN358" s="20"/>
      <c r="CO358" s="20"/>
      <c r="CP358" s="20"/>
      <c r="CQ358" s="20"/>
      <c r="CR358" s="20"/>
      <c r="CS358" s="20"/>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row>
    <row r="359" spans="1:123" ht="64.5" hidden="1" customHeight="1" x14ac:dyDescent="0.2">
      <c r="A359" s="19"/>
      <c r="B359" s="20" t="str">
        <f ca="1">IFERROR(__xludf.DUMMYFUNCTION("""COMPUTED_VALUE"""),"г.о. Шаховская")</f>
        <v>г.о. Шаховская</v>
      </c>
      <c r="C35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9" s="20" t="str">
        <f ca="1">IFERROR(__xludf.DUMMYFUNCTION("""COMPUTED_VALUE"""),"МинЖКХ ""ТОП 5 (2 этап)""")</f>
        <v>МинЖКХ "ТОП 5 (2 этап)"</v>
      </c>
      <c r="E359" s="20" t="str">
        <f ca="1">IFERROR(__xludf.DUMMYFUNCTION("""COMPUTED_VALUE"""),"Реконструкция тепловых сетей котельной с. Ивашково, г.о. Шаховская (в т.ч. ПИР)")</f>
        <v>Реконструкция тепловых сетей котельной с. Ивашково, г.о. Шаховская (в т.ч. ПИР)</v>
      </c>
      <c r="F359" s="32" t="str">
        <f ca="1">IFERROR(__xludf.DUMMYFUNCTION("""COMPUTED_VALUE"""),"Сети")</f>
        <v>Сети</v>
      </c>
      <c r="G359" s="20" t="str">
        <f ca="1">IFERROR(__xludf.DUMMYFUNCTION("""COMPUTED_VALUE"""),"2022-2023")</f>
        <v>2022-2023</v>
      </c>
      <c r="H359" s="20" t="str">
        <f ca="1">IFERROR(__xludf.DUMMYFUNCTION("""COMPUTED_VALUE"""),"СМР")</f>
        <v>СМР</v>
      </c>
      <c r="I359" s="20"/>
      <c r="J359" s="20"/>
      <c r="K359" s="20"/>
      <c r="L359" s="20"/>
      <c r="M359" s="20"/>
      <c r="N359" s="24">
        <f ca="1">IFERROR(__xludf.DUMMYFUNCTION("""COMPUTED_VALUE"""),0)</f>
        <v>0</v>
      </c>
      <c r="O359" s="20"/>
      <c r="P359" s="20"/>
      <c r="Q359" s="20"/>
      <c r="R359" s="20"/>
      <c r="S359" s="20"/>
      <c r="T359" s="20"/>
      <c r="U359" s="24">
        <f ca="1">IFERROR(__xludf.DUMMYFUNCTION("""COMPUTED_VALUE"""),0)</f>
        <v>0</v>
      </c>
      <c r="V359" s="24">
        <f ca="1">IFERROR(__xludf.DUMMYFUNCTION("""COMPUTED_VALUE"""),0)</f>
        <v>0</v>
      </c>
      <c r="W359" s="24">
        <f ca="1">IFERROR(__xludf.DUMMYFUNCTION("""COMPUTED_VALUE"""),0)</f>
        <v>0</v>
      </c>
      <c r="X359" s="24">
        <f ca="1">IFERROR(__xludf.DUMMYFUNCTION("""COMPUTED_VALUE"""),0)</f>
        <v>0</v>
      </c>
      <c r="Y359" s="24">
        <f ca="1">IFERROR(__xludf.DUMMYFUNCTION("""COMPUTED_VALUE"""),0)</f>
        <v>0</v>
      </c>
      <c r="Z359" s="24">
        <f ca="1">IFERROR(__xludf.DUMMYFUNCTION("""COMPUTED_VALUE"""),0)</f>
        <v>0</v>
      </c>
      <c r="AA359" s="20" t="str">
        <f ca="1">IFERROR(__xludf.DUMMYFUNCTION("""COMPUTED_VALUE"""),"10 3 02 64080")</f>
        <v>10 3 02 64080</v>
      </c>
      <c r="AB359" s="20">
        <f ca="1">IFERROR(__xludf.DUMMYFUNCTION("""COMPUTED_VALUE"""),522)</f>
        <v>522</v>
      </c>
      <c r="AC359" s="20"/>
      <c r="AD359" s="20"/>
      <c r="AE359" s="20"/>
      <c r="AF359" s="24">
        <f ca="1">IFERROR(__xludf.DUMMYFUNCTION("""COMPUTED_VALUE"""),20049.9999999999)</f>
        <v>20049.999999999902</v>
      </c>
      <c r="AG359" s="24">
        <f ca="1">IFERROR(__xludf.DUMMYFUNCTION("""COMPUTED_VALUE"""),0)</f>
        <v>0</v>
      </c>
      <c r="AH359" s="24">
        <f ca="1">IFERROR(__xludf.DUMMYFUNCTION("""COMPUTED_VALUE"""),17924.6999999999)</f>
        <v>17924.699999999899</v>
      </c>
      <c r="AI359" s="24">
        <f ca="1">IFERROR(__xludf.DUMMYFUNCTION("""COMPUTED_VALUE"""),0)</f>
        <v>0</v>
      </c>
      <c r="AJ359" s="24">
        <f ca="1">IFERROR(__xludf.DUMMYFUNCTION("""COMPUTED_VALUE"""),2125.3)</f>
        <v>2125.3000000000002</v>
      </c>
      <c r="AK359" s="24">
        <f ca="1">IFERROR(__xludf.DUMMYFUNCTION("""COMPUTED_VALUE"""),0)</f>
        <v>0</v>
      </c>
      <c r="AL359" s="24">
        <f ca="1">IFERROR(__xludf.DUMMYFUNCTION("""COMPUTED_VALUE"""),0)</f>
        <v>0</v>
      </c>
      <c r="AM359" s="20"/>
      <c r="AN359" s="20"/>
      <c r="AO359" s="20"/>
      <c r="AP359" s="20"/>
      <c r="AQ359" s="20"/>
      <c r="AR359" s="24">
        <f ca="1">IFERROR(__xludf.DUMMYFUNCTION("""COMPUTED_VALUE"""),0)</f>
        <v>0</v>
      </c>
      <c r="AS359" s="20"/>
      <c r="AT359" s="20"/>
      <c r="AU359" s="20"/>
      <c r="AV359" s="20"/>
      <c r="AW359" s="20"/>
      <c r="AX359" s="24">
        <f ca="1">IFERROR(__xludf.DUMMYFUNCTION("""COMPUTED_VALUE"""),0)</f>
        <v>0</v>
      </c>
      <c r="AY359" s="24">
        <f ca="1">IFERROR(__xludf.DUMMYFUNCTION("""COMPUTED_VALUE"""),0)</f>
        <v>0</v>
      </c>
      <c r="AZ359" s="24">
        <f ca="1">IFERROR(__xludf.DUMMYFUNCTION("""COMPUTED_VALUE"""),0)</f>
        <v>0</v>
      </c>
      <c r="BA359" s="24">
        <f ca="1">IFERROR(__xludf.DUMMYFUNCTION("""COMPUTED_VALUE"""),0)</f>
        <v>0</v>
      </c>
      <c r="BB359" s="24">
        <f ca="1">IFERROR(__xludf.DUMMYFUNCTION("""COMPUTED_VALUE"""),0)</f>
        <v>0</v>
      </c>
      <c r="BC359" s="20"/>
      <c r="BD359" s="24">
        <f ca="1">IFERROR(__xludf.DUMMYFUNCTION("""COMPUTED_VALUE"""),0)</f>
        <v>0</v>
      </c>
      <c r="BE359" s="24">
        <f ca="1">IFERROR(__xludf.DUMMYFUNCTION("""COMPUTED_VALUE"""),0)</f>
        <v>0</v>
      </c>
      <c r="BF359" s="24">
        <f ca="1">IFERROR(__xludf.DUMMYFUNCTION("""COMPUTED_VALUE"""),0)</f>
        <v>0</v>
      </c>
      <c r="BG359" s="24">
        <f ca="1">IFERROR(__xludf.DUMMYFUNCTION("""COMPUTED_VALUE"""),0)</f>
        <v>0</v>
      </c>
      <c r="BH359" s="24">
        <f ca="1">IFERROR(__xludf.DUMMYFUNCTION("""COMPUTED_VALUE"""),0)</f>
        <v>0</v>
      </c>
      <c r="BI359" s="20"/>
      <c r="BJ359" s="24">
        <f ca="1">IFERROR(__xludf.DUMMYFUNCTION("""COMPUTED_VALUE"""),6416)</f>
        <v>6416</v>
      </c>
      <c r="BK359" s="24">
        <f ca="1">IFERROR(__xludf.DUMMYFUNCTION("""COMPUTED_VALUE"""),0)</f>
        <v>0</v>
      </c>
      <c r="BL359" s="24">
        <f ca="1">IFERROR(__xludf.DUMMYFUNCTION("""COMPUTED_VALUE"""),5735.9)</f>
        <v>5735.9</v>
      </c>
      <c r="BM359" s="24">
        <f ca="1">IFERROR(__xludf.DUMMYFUNCTION("""COMPUTED_VALUE"""),0)</f>
        <v>0</v>
      </c>
      <c r="BN359" s="24">
        <f ca="1">IFERROR(__xludf.DUMMYFUNCTION("""COMPUTED_VALUE"""),680.1)</f>
        <v>680.1</v>
      </c>
      <c r="BO359" s="20"/>
      <c r="BP359" s="24">
        <f ca="1">IFERROR(__xludf.DUMMYFUNCTION("""COMPUTED_VALUE"""),13634)</f>
        <v>13634</v>
      </c>
      <c r="BQ359" s="24">
        <f ca="1">IFERROR(__xludf.DUMMYFUNCTION("""COMPUTED_VALUE"""),0)</f>
        <v>0</v>
      </c>
      <c r="BR359" s="24">
        <f ca="1">IFERROR(__xludf.DUMMYFUNCTION("""COMPUTED_VALUE"""),12188.8)</f>
        <v>12188.8</v>
      </c>
      <c r="BS359" s="24">
        <f ca="1">IFERROR(__xludf.DUMMYFUNCTION("""COMPUTED_VALUE"""),0)</f>
        <v>0</v>
      </c>
      <c r="BT359" s="24">
        <f ca="1">IFERROR(__xludf.DUMMYFUNCTION("""COMPUTED_VALUE"""),1445.2)</f>
        <v>1445.2</v>
      </c>
      <c r="BU359" s="20"/>
      <c r="BV359" s="24">
        <f ca="1">IFERROR(__xludf.DUMMYFUNCTION("""COMPUTED_VALUE"""),0)</f>
        <v>0</v>
      </c>
      <c r="BW359" s="24">
        <f ca="1">IFERROR(__xludf.DUMMYFUNCTION("""COMPUTED_VALUE"""),0)</f>
        <v>0</v>
      </c>
      <c r="BX359" s="24">
        <f ca="1">IFERROR(__xludf.DUMMYFUNCTION("""COMPUTED_VALUE"""),0)</f>
        <v>0</v>
      </c>
      <c r="BY359" s="24">
        <f ca="1">IFERROR(__xludf.DUMMYFUNCTION("""COMPUTED_VALUE"""),0)</f>
        <v>0</v>
      </c>
      <c r="BZ359" s="24">
        <f ca="1">IFERROR(__xludf.DUMMYFUNCTION("""COMPUTED_VALUE"""),0)</f>
        <v>0</v>
      </c>
      <c r="CA359" s="20"/>
      <c r="CB359" s="20"/>
      <c r="CC359" s="20"/>
      <c r="CD359" s="20"/>
      <c r="CE359" s="20"/>
      <c r="CF359" s="20"/>
      <c r="CG359" s="20"/>
      <c r="CH359" s="20"/>
      <c r="CI359" s="20"/>
      <c r="CJ359" s="20"/>
      <c r="CK359" s="20"/>
      <c r="CL359" s="20"/>
      <c r="CM359" s="20"/>
      <c r="CN359" s="20"/>
      <c r="CO359" s="20"/>
      <c r="CP359" s="20"/>
      <c r="CQ359" s="20"/>
      <c r="CR359" s="20"/>
      <c r="CS359" s="20"/>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row>
    <row r="360" spans="1:123" ht="64.5" hidden="1" customHeight="1" x14ac:dyDescent="0.2">
      <c r="A360" s="19"/>
      <c r="B360" s="20" t="str">
        <f ca="1">IFERROR(__xludf.DUMMYFUNCTION("""COMPUTED_VALUE"""),"г.о. Шаховская")</f>
        <v>г.о. Шаховская</v>
      </c>
      <c r="C36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0" s="20" t="str">
        <f ca="1">IFERROR(__xludf.DUMMYFUNCTION("""COMPUTED_VALUE"""),"МинЖКХ ""ТОП 5 (2 этап)""")</f>
        <v>МинЖКХ "ТОП 5 (2 этап)"</v>
      </c>
      <c r="E360" s="20" t="str">
        <f ca="1">IFERROR(__xludf.DUMMYFUNCTION("""COMPUTED_VALUE"""),"Реконструкция тепловых сетей котельной д. Дубранивка, ул. Совхозная, д. 7, г.о. Шаховская (в т.ч. ПИР)")</f>
        <v>Реконструкция тепловых сетей котельной д. Дубранивка, ул. Совхозная, д. 7, г.о. Шаховская (в т.ч. ПИР)</v>
      </c>
      <c r="F360" s="32" t="str">
        <f ca="1">IFERROR(__xludf.DUMMYFUNCTION("""COMPUTED_VALUE"""),"Сети")</f>
        <v>Сети</v>
      </c>
      <c r="G360" s="20" t="str">
        <f ca="1">IFERROR(__xludf.DUMMYFUNCTION("""COMPUTED_VALUE"""),"2022-2023")</f>
        <v>2022-2023</v>
      </c>
      <c r="H360" s="20" t="str">
        <f ca="1">IFERROR(__xludf.DUMMYFUNCTION("""COMPUTED_VALUE"""),"СМР")</f>
        <v>СМР</v>
      </c>
      <c r="I360" s="20"/>
      <c r="J360" s="20"/>
      <c r="K360" s="20"/>
      <c r="L360" s="20"/>
      <c r="M360" s="20"/>
      <c r="N360" s="24">
        <f ca="1">IFERROR(__xludf.DUMMYFUNCTION("""COMPUTED_VALUE"""),0)</f>
        <v>0</v>
      </c>
      <c r="O360" s="20"/>
      <c r="P360" s="20"/>
      <c r="Q360" s="20"/>
      <c r="R360" s="20"/>
      <c r="S360" s="20"/>
      <c r="T360" s="20"/>
      <c r="U360" s="24">
        <f ca="1">IFERROR(__xludf.DUMMYFUNCTION("""COMPUTED_VALUE"""),0)</f>
        <v>0</v>
      </c>
      <c r="V360" s="24">
        <f ca="1">IFERROR(__xludf.DUMMYFUNCTION("""COMPUTED_VALUE"""),0)</f>
        <v>0</v>
      </c>
      <c r="W360" s="24">
        <f ca="1">IFERROR(__xludf.DUMMYFUNCTION("""COMPUTED_VALUE"""),0)</f>
        <v>0</v>
      </c>
      <c r="X360" s="24">
        <f ca="1">IFERROR(__xludf.DUMMYFUNCTION("""COMPUTED_VALUE"""),0)</f>
        <v>0</v>
      </c>
      <c r="Y360" s="24">
        <f ca="1">IFERROR(__xludf.DUMMYFUNCTION("""COMPUTED_VALUE"""),0)</f>
        <v>0</v>
      </c>
      <c r="Z360" s="24">
        <f ca="1">IFERROR(__xludf.DUMMYFUNCTION("""COMPUTED_VALUE"""),0)</f>
        <v>0</v>
      </c>
      <c r="AA360" s="20" t="str">
        <f ca="1">IFERROR(__xludf.DUMMYFUNCTION("""COMPUTED_VALUE"""),"10 3 02 64080")</f>
        <v>10 3 02 64080</v>
      </c>
      <c r="AB360" s="20">
        <f ca="1">IFERROR(__xludf.DUMMYFUNCTION("""COMPUTED_VALUE"""),522)</f>
        <v>522</v>
      </c>
      <c r="AC360" s="20"/>
      <c r="AD360" s="20"/>
      <c r="AE360" s="20"/>
      <c r="AF360" s="24">
        <f ca="1">IFERROR(__xludf.DUMMYFUNCTION("""COMPUTED_VALUE"""),10400)</f>
        <v>10400</v>
      </c>
      <c r="AG360" s="24">
        <f ca="1">IFERROR(__xludf.DUMMYFUNCTION("""COMPUTED_VALUE"""),0)</f>
        <v>0</v>
      </c>
      <c r="AH360" s="24">
        <f ca="1">IFERROR(__xludf.DUMMYFUNCTION("""COMPUTED_VALUE"""),9297.6)</f>
        <v>9297.6</v>
      </c>
      <c r="AI360" s="24">
        <f ca="1">IFERROR(__xludf.DUMMYFUNCTION("""COMPUTED_VALUE"""),0)</f>
        <v>0</v>
      </c>
      <c r="AJ360" s="24">
        <f ca="1">IFERROR(__xludf.DUMMYFUNCTION("""COMPUTED_VALUE"""),1102.4)</f>
        <v>1102.4000000000001</v>
      </c>
      <c r="AK360" s="24">
        <f ca="1">IFERROR(__xludf.DUMMYFUNCTION("""COMPUTED_VALUE"""),0)</f>
        <v>0</v>
      </c>
      <c r="AL360" s="24">
        <f ca="1">IFERROR(__xludf.DUMMYFUNCTION("""COMPUTED_VALUE"""),0)</f>
        <v>0</v>
      </c>
      <c r="AM360" s="20"/>
      <c r="AN360" s="20"/>
      <c r="AO360" s="20"/>
      <c r="AP360" s="20"/>
      <c r="AQ360" s="20"/>
      <c r="AR360" s="24">
        <f ca="1">IFERROR(__xludf.DUMMYFUNCTION("""COMPUTED_VALUE"""),0)</f>
        <v>0</v>
      </c>
      <c r="AS360" s="20"/>
      <c r="AT360" s="20"/>
      <c r="AU360" s="20"/>
      <c r="AV360" s="20"/>
      <c r="AW360" s="20"/>
      <c r="AX360" s="24">
        <f ca="1">IFERROR(__xludf.DUMMYFUNCTION("""COMPUTED_VALUE"""),0)</f>
        <v>0</v>
      </c>
      <c r="AY360" s="24">
        <f ca="1">IFERROR(__xludf.DUMMYFUNCTION("""COMPUTED_VALUE"""),0)</f>
        <v>0</v>
      </c>
      <c r="AZ360" s="24">
        <f ca="1">IFERROR(__xludf.DUMMYFUNCTION("""COMPUTED_VALUE"""),0)</f>
        <v>0</v>
      </c>
      <c r="BA360" s="24">
        <f ca="1">IFERROR(__xludf.DUMMYFUNCTION("""COMPUTED_VALUE"""),0)</f>
        <v>0</v>
      </c>
      <c r="BB360" s="24">
        <f ca="1">IFERROR(__xludf.DUMMYFUNCTION("""COMPUTED_VALUE"""),0)</f>
        <v>0</v>
      </c>
      <c r="BC360" s="20"/>
      <c r="BD360" s="24">
        <f ca="1">IFERROR(__xludf.DUMMYFUNCTION("""COMPUTED_VALUE"""),0)</f>
        <v>0</v>
      </c>
      <c r="BE360" s="24">
        <f ca="1">IFERROR(__xludf.DUMMYFUNCTION("""COMPUTED_VALUE"""),0)</f>
        <v>0</v>
      </c>
      <c r="BF360" s="24">
        <f ca="1">IFERROR(__xludf.DUMMYFUNCTION("""COMPUTED_VALUE"""),0)</f>
        <v>0</v>
      </c>
      <c r="BG360" s="24">
        <f ca="1">IFERROR(__xludf.DUMMYFUNCTION("""COMPUTED_VALUE"""),0)</f>
        <v>0</v>
      </c>
      <c r="BH360" s="24">
        <f ca="1">IFERROR(__xludf.DUMMYFUNCTION("""COMPUTED_VALUE"""),0)</f>
        <v>0</v>
      </c>
      <c r="BI360" s="20"/>
      <c r="BJ360" s="24">
        <f ca="1">IFERROR(__xludf.DUMMYFUNCTION("""COMPUTED_VALUE"""),3308)</f>
        <v>3308</v>
      </c>
      <c r="BK360" s="24">
        <f ca="1">IFERROR(__xludf.DUMMYFUNCTION("""COMPUTED_VALUE"""),0)</f>
        <v>0</v>
      </c>
      <c r="BL360" s="24">
        <f ca="1">IFERROR(__xludf.DUMMYFUNCTION("""COMPUTED_VALUE"""),2957.35)</f>
        <v>2957.35</v>
      </c>
      <c r="BM360" s="24">
        <f ca="1">IFERROR(__xludf.DUMMYFUNCTION("""COMPUTED_VALUE"""),0)</f>
        <v>0</v>
      </c>
      <c r="BN360" s="24">
        <f ca="1">IFERROR(__xludf.DUMMYFUNCTION("""COMPUTED_VALUE"""),350.65)</f>
        <v>350.65</v>
      </c>
      <c r="BO360" s="20"/>
      <c r="BP360" s="24">
        <f ca="1">IFERROR(__xludf.DUMMYFUNCTION("""COMPUTED_VALUE"""),7092)</f>
        <v>7092</v>
      </c>
      <c r="BQ360" s="24">
        <f ca="1">IFERROR(__xludf.DUMMYFUNCTION("""COMPUTED_VALUE"""),0)</f>
        <v>0</v>
      </c>
      <c r="BR360" s="24">
        <f ca="1">IFERROR(__xludf.DUMMYFUNCTION("""COMPUTED_VALUE"""),6340.25)</f>
        <v>6340.25</v>
      </c>
      <c r="BS360" s="24">
        <f ca="1">IFERROR(__xludf.DUMMYFUNCTION("""COMPUTED_VALUE"""),0)</f>
        <v>0</v>
      </c>
      <c r="BT360" s="24">
        <f ca="1">IFERROR(__xludf.DUMMYFUNCTION("""COMPUTED_VALUE"""),751.75)</f>
        <v>751.75</v>
      </c>
      <c r="BU360" s="20"/>
      <c r="BV360" s="24">
        <f ca="1">IFERROR(__xludf.DUMMYFUNCTION("""COMPUTED_VALUE"""),0)</f>
        <v>0</v>
      </c>
      <c r="BW360" s="24">
        <f ca="1">IFERROR(__xludf.DUMMYFUNCTION("""COMPUTED_VALUE"""),0)</f>
        <v>0</v>
      </c>
      <c r="BX360" s="24">
        <f ca="1">IFERROR(__xludf.DUMMYFUNCTION("""COMPUTED_VALUE"""),0)</f>
        <v>0</v>
      </c>
      <c r="BY360" s="24">
        <f ca="1">IFERROR(__xludf.DUMMYFUNCTION("""COMPUTED_VALUE"""),0)</f>
        <v>0</v>
      </c>
      <c r="BZ360" s="24">
        <f ca="1">IFERROR(__xludf.DUMMYFUNCTION("""COMPUTED_VALUE"""),0)</f>
        <v>0</v>
      </c>
      <c r="CA360" s="20"/>
      <c r="CB360" s="20"/>
      <c r="CC360" s="20"/>
      <c r="CD360" s="20"/>
      <c r="CE360" s="20"/>
      <c r="CF360" s="20"/>
      <c r="CG360" s="20"/>
      <c r="CH360" s="20"/>
      <c r="CI360" s="20"/>
      <c r="CJ360" s="20"/>
      <c r="CK360" s="20"/>
      <c r="CL360" s="20"/>
      <c r="CM360" s="20"/>
      <c r="CN360" s="20"/>
      <c r="CO360" s="20"/>
      <c r="CP360" s="20"/>
      <c r="CQ360" s="20"/>
      <c r="CR360" s="20"/>
      <c r="CS360" s="20"/>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row>
    <row r="361" spans="1:123" ht="64.5" hidden="1" customHeight="1" x14ac:dyDescent="0.2">
      <c r="A361" s="19"/>
      <c r="B361" s="20" t="str">
        <f ca="1">IFERROR(__xludf.DUMMYFUNCTION("""COMPUTED_VALUE"""),"г.о. Наро-Фоминск")</f>
        <v>г.о. Наро-Фоминск</v>
      </c>
      <c r="C36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1" s="20" t="str">
        <f ca="1">IFERROR(__xludf.DUMMYFUNCTION("""COMPUTED_VALUE"""),"МинЖКХ ""ТОП 5 (2 этап)""")</f>
        <v>МинЖКХ "ТОП 5 (2 этап)"</v>
      </c>
      <c r="E361" s="20" t="str">
        <f ca="1">IFERROR(__xludf.DUMMYFUNCTION("""COMPUTED_VALUE"""),"Реконструкция котельной №3 (перевод котельной в режим ЦТП) по адресу г. Наро-Фоминск, ул. Калинина, Наро-Фоминский г.о.")</f>
        <v>Реконструкция котельной №3 (перевод котельной в режим ЦТП) по адресу г. Наро-Фоминск, ул. Калинина, Наро-Фоминский г.о.</v>
      </c>
      <c r="F361" s="32" t="str">
        <f ca="1">IFERROR(__xludf.DUMMYFUNCTION("""COMPUTED_VALUE"""),"Котельная")</f>
        <v>Котельная</v>
      </c>
      <c r="G361" s="20">
        <f ca="1">IFERROR(__xludf.DUMMYFUNCTION("""COMPUTED_VALUE"""),2022)</f>
        <v>2022</v>
      </c>
      <c r="H361" s="20" t="str">
        <f ca="1">IFERROR(__xludf.DUMMYFUNCTION("""COMPUTED_VALUE"""),"СМР")</f>
        <v>СМР</v>
      </c>
      <c r="I361" s="20"/>
      <c r="J361" s="20"/>
      <c r="K361" s="20"/>
      <c r="L361" s="20"/>
      <c r="M361" s="20"/>
      <c r="N361" s="24">
        <f ca="1">IFERROR(__xludf.DUMMYFUNCTION("""COMPUTED_VALUE"""),0)</f>
        <v>0</v>
      </c>
      <c r="O361" s="20"/>
      <c r="P361" s="20"/>
      <c r="Q361" s="20"/>
      <c r="R361" s="20"/>
      <c r="S361" s="20"/>
      <c r="T361" s="20"/>
      <c r="U361" s="24">
        <f ca="1">IFERROR(__xludf.DUMMYFUNCTION("""COMPUTED_VALUE"""),0)</f>
        <v>0</v>
      </c>
      <c r="V361" s="24">
        <f ca="1">IFERROR(__xludf.DUMMYFUNCTION("""COMPUTED_VALUE"""),0)</f>
        <v>0</v>
      </c>
      <c r="W361" s="24">
        <f ca="1">IFERROR(__xludf.DUMMYFUNCTION("""COMPUTED_VALUE"""),0)</f>
        <v>0</v>
      </c>
      <c r="X361" s="24">
        <f ca="1">IFERROR(__xludf.DUMMYFUNCTION("""COMPUTED_VALUE"""),0)</f>
        <v>0</v>
      </c>
      <c r="Y361" s="24">
        <f ca="1">IFERROR(__xludf.DUMMYFUNCTION("""COMPUTED_VALUE"""),0)</f>
        <v>0</v>
      </c>
      <c r="Z361" s="24">
        <f ca="1">IFERROR(__xludf.DUMMYFUNCTION("""COMPUTED_VALUE"""),0)</f>
        <v>0</v>
      </c>
      <c r="AA361" s="20" t="str">
        <f ca="1">IFERROR(__xludf.DUMMYFUNCTION("""COMPUTED_VALUE"""),"10 3 02 64080")</f>
        <v>10 3 02 64080</v>
      </c>
      <c r="AB361" s="20">
        <f ca="1">IFERROR(__xludf.DUMMYFUNCTION("""COMPUTED_VALUE"""),522)</f>
        <v>522</v>
      </c>
      <c r="AC361" s="20"/>
      <c r="AD361" s="20"/>
      <c r="AE361" s="20"/>
      <c r="AF361" s="24">
        <f ca="1">IFERROR(__xludf.DUMMYFUNCTION("""COMPUTED_VALUE"""),18000)</f>
        <v>18000</v>
      </c>
      <c r="AG361" s="24">
        <f ca="1">IFERROR(__xludf.DUMMYFUNCTION("""COMPUTED_VALUE"""),0)</f>
        <v>0</v>
      </c>
      <c r="AH361" s="24">
        <f ca="1">IFERROR(__xludf.DUMMYFUNCTION("""COMPUTED_VALUE"""),13662)</f>
        <v>13662</v>
      </c>
      <c r="AI361" s="24">
        <f ca="1">IFERROR(__xludf.DUMMYFUNCTION("""COMPUTED_VALUE"""),0)</f>
        <v>0</v>
      </c>
      <c r="AJ361" s="24">
        <f ca="1">IFERROR(__xludf.DUMMYFUNCTION("""COMPUTED_VALUE"""),4338)</f>
        <v>4338</v>
      </c>
      <c r="AK361" s="24">
        <f ca="1">IFERROR(__xludf.DUMMYFUNCTION("""COMPUTED_VALUE"""),0)</f>
        <v>0</v>
      </c>
      <c r="AL361" s="24">
        <f ca="1">IFERROR(__xludf.DUMMYFUNCTION("""COMPUTED_VALUE"""),0)</f>
        <v>0</v>
      </c>
      <c r="AM361" s="20"/>
      <c r="AN361" s="20"/>
      <c r="AO361" s="20"/>
      <c r="AP361" s="20"/>
      <c r="AQ361" s="20"/>
      <c r="AR361" s="24">
        <f ca="1">IFERROR(__xludf.DUMMYFUNCTION("""COMPUTED_VALUE"""),0)</f>
        <v>0</v>
      </c>
      <c r="AS361" s="20"/>
      <c r="AT361" s="20"/>
      <c r="AU361" s="20"/>
      <c r="AV361" s="20"/>
      <c r="AW361" s="20"/>
      <c r="AX361" s="24">
        <f ca="1">IFERROR(__xludf.DUMMYFUNCTION("""COMPUTED_VALUE"""),0)</f>
        <v>0</v>
      </c>
      <c r="AY361" s="24">
        <f ca="1">IFERROR(__xludf.DUMMYFUNCTION("""COMPUTED_VALUE"""),0)</f>
        <v>0</v>
      </c>
      <c r="AZ361" s="24">
        <f ca="1">IFERROR(__xludf.DUMMYFUNCTION("""COMPUTED_VALUE"""),0)</f>
        <v>0</v>
      </c>
      <c r="BA361" s="24">
        <f ca="1">IFERROR(__xludf.DUMMYFUNCTION("""COMPUTED_VALUE"""),0)</f>
        <v>0</v>
      </c>
      <c r="BB361" s="24">
        <f ca="1">IFERROR(__xludf.DUMMYFUNCTION("""COMPUTED_VALUE"""),0)</f>
        <v>0</v>
      </c>
      <c r="BC361" s="20"/>
      <c r="BD361" s="24">
        <f ca="1">IFERROR(__xludf.DUMMYFUNCTION("""COMPUTED_VALUE"""),0)</f>
        <v>0</v>
      </c>
      <c r="BE361" s="24">
        <f ca="1">IFERROR(__xludf.DUMMYFUNCTION("""COMPUTED_VALUE"""),0)</f>
        <v>0</v>
      </c>
      <c r="BF361" s="24">
        <f ca="1">IFERROR(__xludf.DUMMYFUNCTION("""COMPUTED_VALUE"""),0)</f>
        <v>0</v>
      </c>
      <c r="BG361" s="24">
        <f ca="1">IFERROR(__xludf.DUMMYFUNCTION("""COMPUTED_VALUE"""),0)</f>
        <v>0</v>
      </c>
      <c r="BH361" s="24">
        <f ca="1">IFERROR(__xludf.DUMMYFUNCTION("""COMPUTED_VALUE"""),0)</f>
        <v>0</v>
      </c>
      <c r="BI361" s="20"/>
      <c r="BJ361" s="24">
        <f ca="1">IFERROR(__xludf.DUMMYFUNCTION("""COMPUTED_VALUE"""),18000)</f>
        <v>18000</v>
      </c>
      <c r="BK361" s="24">
        <f ca="1">IFERROR(__xludf.DUMMYFUNCTION("""COMPUTED_VALUE"""),0)</f>
        <v>0</v>
      </c>
      <c r="BL361" s="24">
        <f ca="1">IFERROR(__xludf.DUMMYFUNCTION("""COMPUTED_VALUE"""),13662)</f>
        <v>13662</v>
      </c>
      <c r="BM361" s="24">
        <f ca="1">IFERROR(__xludf.DUMMYFUNCTION("""COMPUTED_VALUE"""),0)</f>
        <v>0</v>
      </c>
      <c r="BN361" s="24">
        <f ca="1">IFERROR(__xludf.DUMMYFUNCTION("""COMPUTED_VALUE"""),4338)</f>
        <v>4338</v>
      </c>
      <c r="BO361" s="20"/>
      <c r="BP361" s="24">
        <f ca="1">IFERROR(__xludf.DUMMYFUNCTION("""COMPUTED_VALUE"""),0)</f>
        <v>0</v>
      </c>
      <c r="BQ361" s="24">
        <f ca="1">IFERROR(__xludf.DUMMYFUNCTION("""COMPUTED_VALUE"""),0)</f>
        <v>0</v>
      </c>
      <c r="BR361" s="24">
        <f ca="1">IFERROR(__xludf.DUMMYFUNCTION("""COMPUTED_VALUE"""),0)</f>
        <v>0</v>
      </c>
      <c r="BS361" s="24">
        <f ca="1">IFERROR(__xludf.DUMMYFUNCTION("""COMPUTED_VALUE"""),0)</f>
        <v>0</v>
      </c>
      <c r="BT361" s="24">
        <f ca="1">IFERROR(__xludf.DUMMYFUNCTION("""COMPUTED_VALUE"""),0)</f>
        <v>0</v>
      </c>
      <c r="BU361" s="20"/>
      <c r="BV361" s="24">
        <f ca="1">IFERROR(__xludf.DUMMYFUNCTION("""COMPUTED_VALUE"""),0)</f>
        <v>0</v>
      </c>
      <c r="BW361" s="24">
        <f ca="1">IFERROR(__xludf.DUMMYFUNCTION("""COMPUTED_VALUE"""),0)</f>
        <v>0</v>
      </c>
      <c r="BX361" s="24">
        <f ca="1">IFERROR(__xludf.DUMMYFUNCTION("""COMPUTED_VALUE"""),0)</f>
        <v>0</v>
      </c>
      <c r="BY361" s="24">
        <f ca="1">IFERROR(__xludf.DUMMYFUNCTION("""COMPUTED_VALUE"""),0)</f>
        <v>0</v>
      </c>
      <c r="BZ361" s="24">
        <f ca="1">IFERROR(__xludf.DUMMYFUNCTION("""COMPUTED_VALUE"""),0)</f>
        <v>0</v>
      </c>
      <c r="CA361" s="20"/>
      <c r="CB361" s="20"/>
      <c r="CC361" s="20"/>
      <c r="CD361" s="20"/>
      <c r="CE361" s="20"/>
      <c r="CF361" s="20"/>
      <c r="CG361" s="20"/>
      <c r="CH361" s="20"/>
      <c r="CI361" s="20"/>
      <c r="CJ361" s="20"/>
      <c r="CK361" s="20"/>
      <c r="CL361" s="20"/>
      <c r="CM361" s="20"/>
      <c r="CN361" s="20"/>
      <c r="CO361" s="20"/>
      <c r="CP361" s="20"/>
      <c r="CQ361" s="20"/>
      <c r="CR361" s="20"/>
      <c r="CS361" s="20"/>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row>
    <row r="362" spans="1:123" ht="64.5" hidden="1" customHeight="1" x14ac:dyDescent="0.2">
      <c r="A362" s="19"/>
      <c r="B362" s="20" t="str">
        <f ca="1">IFERROR(__xludf.DUMMYFUNCTION("""COMPUTED_VALUE"""),"г.о. Наро-Фоминск")</f>
        <v>г.о. Наро-Фоминск</v>
      </c>
      <c r="C36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2" s="20" t="str">
        <f ca="1">IFERROR(__xludf.DUMMYFUNCTION("""COMPUTED_VALUE"""),"МинЖКХ ""ТОП 5 (2 этап)""")</f>
        <v>МинЖКХ "ТОП 5 (2 этап)"</v>
      </c>
      <c r="E362" s="20" t="str">
        <f ca="1">IFERROR(__xludf.DUMMYFUNCTION("""COMPUTED_VALUE"""),"Строительство тепловых сетей к котельной № 5 по адресу г. Наро-Фоминск, ул. Новикова, Наро-Фоминский г.о.")</f>
        <v>Строительство тепловых сетей к котельной № 5 по адресу г. Наро-Фоминск, ул. Новикова, Наро-Фоминский г.о.</v>
      </c>
      <c r="F362" s="32" t="str">
        <f ca="1">IFERROR(__xludf.DUMMYFUNCTION("""COMPUTED_VALUE"""),"Сети")</f>
        <v>Сети</v>
      </c>
      <c r="G362" s="20">
        <f ca="1">IFERROR(__xludf.DUMMYFUNCTION("""COMPUTED_VALUE"""),2022)</f>
        <v>2022</v>
      </c>
      <c r="H362" s="20" t="str">
        <f ca="1">IFERROR(__xludf.DUMMYFUNCTION("""COMPUTED_VALUE"""),"СМР")</f>
        <v>СМР</v>
      </c>
      <c r="I362" s="20"/>
      <c r="J362" s="20"/>
      <c r="K362" s="20"/>
      <c r="L362" s="20"/>
      <c r="M362" s="20"/>
      <c r="N362" s="24">
        <f ca="1">IFERROR(__xludf.DUMMYFUNCTION("""COMPUTED_VALUE"""),0)</f>
        <v>0</v>
      </c>
      <c r="O362" s="20"/>
      <c r="P362" s="20"/>
      <c r="Q362" s="20"/>
      <c r="R362" s="20"/>
      <c r="S362" s="20"/>
      <c r="T362" s="20"/>
      <c r="U362" s="24">
        <f ca="1">IFERROR(__xludf.DUMMYFUNCTION("""COMPUTED_VALUE"""),0)</f>
        <v>0</v>
      </c>
      <c r="V362" s="24">
        <f ca="1">IFERROR(__xludf.DUMMYFUNCTION("""COMPUTED_VALUE"""),0)</f>
        <v>0</v>
      </c>
      <c r="W362" s="24">
        <f ca="1">IFERROR(__xludf.DUMMYFUNCTION("""COMPUTED_VALUE"""),0)</f>
        <v>0</v>
      </c>
      <c r="X362" s="24">
        <f ca="1">IFERROR(__xludf.DUMMYFUNCTION("""COMPUTED_VALUE"""),0)</f>
        <v>0</v>
      </c>
      <c r="Y362" s="24">
        <f ca="1">IFERROR(__xludf.DUMMYFUNCTION("""COMPUTED_VALUE"""),0)</f>
        <v>0</v>
      </c>
      <c r="Z362" s="24">
        <f ca="1">IFERROR(__xludf.DUMMYFUNCTION("""COMPUTED_VALUE"""),0)</f>
        <v>0</v>
      </c>
      <c r="AA362" s="20" t="str">
        <f ca="1">IFERROR(__xludf.DUMMYFUNCTION("""COMPUTED_VALUE"""),"10 3 02 64080")</f>
        <v>10 3 02 64080</v>
      </c>
      <c r="AB362" s="20">
        <f ca="1">IFERROR(__xludf.DUMMYFUNCTION("""COMPUTED_VALUE"""),522)</f>
        <v>522</v>
      </c>
      <c r="AC362" s="20"/>
      <c r="AD362" s="20"/>
      <c r="AE362" s="20"/>
      <c r="AF362" s="24">
        <f ca="1">IFERROR(__xludf.DUMMYFUNCTION("""COMPUTED_VALUE"""),8560.9)</f>
        <v>8560.9</v>
      </c>
      <c r="AG362" s="24">
        <f ca="1">IFERROR(__xludf.DUMMYFUNCTION("""COMPUTED_VALUE"""),0)</f>
        <v>0</v>
      </c>
      <c r="AH362" s="24">
        <f ca="1">IFERROR(__xludf.DUMMYFUNCTION("""COMPUTED_VALUE"""),6497.72)</f>
        <v>6497.72</v>
      </c>
      <c r="AI362" s="24">
        <f ca="1">IFERROR(__xludf.DUMMYFUNCTION("""COMPUTED_VALUE"""),0)</f>
        <v>0</v>
      </c>
      <c r="AJ362" s="24">
        <f ca="1">IFERROR(__xludf.DUMMYFUNCTION("""COMPUTED_VALUE"""),2063.18)</f>
        <v>2063.1799999999998</v>
      </c>
      <c r="AK362" s="24">
        <f ca="1">IFERROR(__xludf.DUMMYFUNCTION("""COMPUTED_VALUE"""),0)</f>
        <v>0</v>
      </c>
      <c r="AL362" s="24">
        <f ca="1">IFERROR(__xludf.DUMMYFUNCTION("""COMPUTED_VALUE"""),0)</f>
        <v>0</v>
      </c>
      <c r="AM362" s="20"/>
      <c r="AN362" s="20"/>
      <c r="AO362" s="20"/>
      <c r="AP362" s="20"/>
      <c r="AQ362" s="20"/>
      <c r="AR362" s="24">
        <f ca="1">IFERROR(__xludf.DUMMYFUNCTION("""COMPUTED_VALUE"""),0)</f>
        <v>0</v>
      </c>
      <c r="AS362" s="20"/>
      <c r="AT362" s="20"/>
      <c r="AU362" s="20"/>
      <c r="AV362" s="20"/>
      <c r="AW362" s="20"/>
      <c r="AX362" s="24">
        <f ca="1">IFERROR(__xludf.DUMMYFUNCTION("""COMPUTED_VALUE"""),0)</f>
        <v>0</v>
      </c>
      <c r="AY362" s="24">
        <f ca="1">IFERROR(__xludf.DUMMYFUNCTION("""COMPUTED_VALUE"""),0)</f>
        <v>0</v>
      </c>
      <c r="AZ362" s="24">
        <f ca="1">IFERROR(__xludf.DUMMYFUNCTION("""COMPUTED_VALUE"""),0)</f>
        <v>0</v>
      </c>
      <c r="BA362" s="24">
        <f ca="1">IFERROR(__xludf.DUMMYFUNCTION("""COMPUTED_VALUE"""),0)</f>
        <v>0</v>
      </c>
      <c r="BB362" s="24">
        <f ca="1">IFERROR(__xludf.DUMMYFUNCTION("""COMPUTED_VALUE"""),0)</f>
        <v>0</v>
      </c>
      <c r="BC362" s="20"/>
      <c r="BD362" s="24">
        <f ca="1">IFERROR(__xludf.DUMMYFUNCTION("""COMPUTED_VALUE"""),0)</f>
        <v>0</v>
      </c>
      <c r="BE362" s="24">
        <f ca="1">IFERROR(__xludf.DUMMYFUNCTION("""COMPUTED_VALUE"""),0)</f>
        <v>0</v>
      </c>
      <c r="BF362" s="24">
        <f ca="1">IFERROR(__xludf.DUMMYFUNCTION("""COMPUTED_VALUE"""),0)</f>
        <v>0</v>
      </c>
      <c r="BG362" s="24">
        <f ca="1">IFERROR(__xludf.DUMMYFUNCTION("""COMPUTED_VALUE"""),0)</f>
        <v>0</v>
      </c>
      <c r="BH362" s="24">
        <f ca="1">IFERROR(__xludf.DUMMYFUNCTION("""COMPUTED_VALUE"""),0)</f>
        <v>0</v>
      </c>
      <c r="BI362" s="20"/>
      <c r="BJ362" s="24">
        <f ca="1">IFERROR(__xludf.DUMMYFUNCTION("""COMPUTED_VALUE"""),8560.9)</f>
        <v>8560.9</v>
      </c>
      <c r="BK362" s="24">
        <f ca="1">IFERROR(__xludf.DUMMYFUNCTION("""COMPUTED_VALUE"""),0)</f>
        <v>0</v>
      </c>
      <c r="BL362" s="24">
        <f ca="1">IFERROR(__xludf.DUMMYFUNCTION("""COMPUTED_VALUE"""),6497.72)</f>
        <v>6497.72</v>
      </c>
      <c r="BM362" s="24">
        <f ca="1">IFERROR(__xludf.DUMMYFUNCTION("""COMPUTED_VALUE"""),0)</f>
        <v>0</v>
      </c>
      <c r="BN362" s="24">
        <f ca="1">IFERROR(__xludf.DUMMYFUNCTION("""COMPUTED_VALUE"""),2063.18)</f>
        <v>2063.1799999999998</v>
      </c>
      <c r="BO362" s="20"/>
      <c r="BP362" s="24">
        <f ca="1">IFERROR(__xludf.DUMMYFUNCTION("""COMPUTED_VALUE"""),0)</f>
        <v>0</v>
      </c>
      <c r="BQ362" s="24">
        <f ca="1">IFERROR(__xludf.DUMMYFUNCTION("""COMPUTED_VALUE"""),0)</f>
        <v>0</v>
      </c>
      <c r="BR362" s="24">
        <f ca="1">IFERROR(__xludf.DUMMYFUNCTION("""COMPUTED_VALUE"""),0)</f>
        <v>0</v>
      </c>
      <c r="BS362" s="24">
        <f ca="1">IFERROR(__xludf.DUMMYFUNCTION("""COMPUTED_VALUE"""),0)</f>
        <v>0</v>
      </c>
      <c r="BT362" s="24">
        <f ca="1">IFERROR(__xludf.DUMMYFUNCTION("""COMPUTED_VALUE"""),0)</f>
        <v>0</v>
      </c>
      <c r="BU362" s="20"/>
      <c r="BV362" s="24">
        <f ca="1">IFERROR(__xludf.DUMMYFUNCTION("""COMPUTED_VALUE"""),0)</f>
        <v>0</v>
      </c>
      <c r="BW362" s="24">
        <f ca="1">IFERROR(__xludf.DUMMYFUNCTION("""COMPUTED_VALUE"""),0)</f>
        <v>0</v>
      </c>
      <c r="BX362" s="24">
        <f ca="1">IFERROR(__xludf.DUMMYFUNCTION("""COMPUTED_VALUE"""),0)</f>
        <v>0</v>
      </c>
      <c r="BY362" s="24">
        <f ca="1">IFERROR(__xludf.DUMMYFUNCTION("""COMPUTED_VALUE"""),0)</f>
        <v>0</v>
      </c>
      <c r="BZ362" s="24">
        <f ca="1">IFERROR(__xludf.DUMMYFUNCTION("""COMPUTED_VALUE"""),0)</f>
        <v>0</v>
      </c>
      <c r="CA362" s="20"/>
      <c r="CB362" s="20"/>
      <c r="CC362" s="20"/>
      <c r="CD362" s="20"/>
      <c r="CE362" s="20"/>
      <c r="CF362" s="20"/>
      <c r="CG362" s="20"/>
      <c r="CH362" s="20"/>
      <c r="CI362" s="20"/>
      <c r="CJ362" s="20"/>
      <c r="CK362" s="20"/>
      <c r="CL362" s="20"/>
      <c r="CM362" s="20"/>
      <c r="CN362" s="20"/>
      <c r="CO362" s="20"/>
      <c r="CP362" s="20"/>
      <c r="CQ362" s="20"/>
      <c r="CR362" s="20"/>
      <c r="CS362" s="20"/>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row>
    <row r="363" spans="1:123" ht="64.5" hidden="1" customHeight="1" x14ac:dyDescent="0.2">
      <c r="A363" s="19"/>
      <c r="B363" s="20" t="str">
        <f ca="1">IFERROR(__xludf.DUMMYFUNCTION("""COMPUTED_VALUE"""),"г.о. Талдомский")</f>
        <v>г.о. Талдомский</v>
      </c>
      <c r="C36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3" s="20" t="str">
        <f ca="1">IFERROR(__xludf.DUMMYFUNCTION("""COMPUTED_VALUE"""),"МинЖКХ ""ТОП 5 (2 этап)""")</f>
        <v>МинЖКХ "ТОП 5 (2 этап)"</v>
      </c>
      <c r="E363" s="20" t="str">
        <f ca="1">IFERROR(__xludf.DUMMYFUNCTION("""COMPUTED_VALUE"""),"Реконструкция котельной №1 по адресу г. Талдом, мкр. р-н ""Юбилейный"", д.24а, г.о. Талдомский
 (в т.ч. ПИР, ТП)")</f>
        <v>Реконструкция котельной №1 по адресу г. Талдом, мкр. р-н "Юбилейный", д.24а, г.о. Талдомский
 (в т.ч. ПИР, ТП)</v>
      </c>
      <c r="F363" s="32" t="str">
        <f ca="1">IFERROR(__xludf.DUMMYFUNCTION("""COMPUTED_VALUE"""),"Котельная")</f>
        <v>Котельная</v>
      </c>
      <c r="G363" s="20" t="str">
        <f ca="1">IFERROR(__xludf.DUMMYFUNCTION("""COMPUTED_VALUE"""),"2022-2024")</f>
        <v>2022-2024</v>
      </c>
      <c r="H363" s="20" t="str">
        <f ca="1">IFERROR(__xludf.DUMMYFUNCTION("""COMPUTED_VALUE"""),"СМР")</f>
        <v>СМР</v>
      </c>
      <c r="I363" s="20"/>
      <c r="J363" s="20"/>
      <c r="K363" s="20"/>
      <c r="L363" s="20"/>
      <c r="M363" s="20"/>
      <c r="N363" s="24">
        <f ca="1">IFERROR(__xludf.DUMMYFUNCTION("""COMPUTED_VALUE"""),0)</f>
        <v>0</v>
      </c>
      <c r="O363" s="20"/>
      <c r="P363" s="20"/>
      <c r="Q363" s="20"/>
      <c r="R363" s="20"/>
      <c r="S363" s="20"/>
      <c r="T363" s="20"/>
      <c r="U363" s="24">
        <f ca="1">IFERROR(__xludf.DUMMYFUNCTION("""COMPUTED_VALUE"""),0)</f>
        <v>0</v>
      </c>
      <c r="V363" s="24">
        <f ca="1">IFERROR(__xludf.DUMMYFUNCTION("""COMPUTED_VALUE"""),0)</f>
        <v>0</v>
      </c>
      <c r="W363" s="24">
        <f ca="1">IFERROR(__xludf.DUMMYFUNCTION("""COMPUTED_VALUE"""),0)</f>
        <v>0</v>
      </c>
      <c r="X363" s="24">
        <f ca="1">IFERROR(__xludf.DUMMYFUNCTION("""COMPUTED_VALUE"""),0)</f>
        <v>0</v>
      </c>
      <c r="Y363" s="24">
        <f ca="1">IFERROR(__xludf.DUMMYFUNCTION("""COMPUTED_VALUE"""),0)</f>
        <v>0</v>
      </c>
      <c r="Z363" s="24">
        <f ca="1">IFERROR(__xludf.DUMMYFUNCTION("""COMPUTED_VALUE"""),0)</f>
        <v>0</v>
      </c>
      <c r="AA363" s="20" t="str">
        <f ca="1">IFERROR(__xludf.DUMMYFUNCTION("""COMPUTED_VALUE"""),"10 3 02 64080")</f>
        <v>10 3 02 64080</v>
      </c>
      <c r="AB363" s="20">
        <f ca="1">IFERROR(__xludf.DUMMYFUNCTION("""COMPUTED_VALUE"""),522)</f>
        <v>522</v>
      </c>
      <c r="AC363" s="20"/>
      <c r="AD363" s="20"/>
      <c r="AE363" s="20"/>
      <c r="AF363" s="24">
        <f ca="1">IFERROR(__xludf.DUMMYFUNCTION("""COMPUTED_VALUE"""),35184)</f>
        <v>35184</v>
      </c>
      <c r="AG363" s="24">
        <f ca="1">IFERROR(__xludf.DUMMYFUNCTION("""COMPUTED_VALUE"""),0)</f>
        <v>0</v>
      </c>
      <c r="AH363" s="24">
        <f ca="1">IFERROR(__xludf.DUMMYFUNCTION("""COMPUTED_VALUE"""),30611.2999999999)</f>
        <v>30611.299999999901</v>
      </c>
      <c r="AI363" s="24">
        <f ca="1">IFERROR(__xludf.DUMMYFUNCTION("""COMPUTED_VALUE"""),0)</f>
        <v>0</v>
      </c>
      <c r="AJ363" s="24">
        <f ca="1">IFERROR(__xludf.DUMMYFUNCTION("""COMPUTED_VALUE"""),4572.7)</f>
        <v>4572.7</v>
      </c>
      <c r="AK363" s="24">
        <f ca="1">IFERROR(__xludf.DUMMYFUNCTION("""COMPUTED_VALUE"""),0)</f>
        <v>0</v>
      </c>
      <c r="AL363" s="24">
        <f ca="1">IFERROR(__xludf.DUMMYFUNCTION("""COMPUTED_VALUE"""),0)</f>
        <v>0</v>
      </c>
      <c r="AM363" s="20"/>
      <c r="AN363" s="20"/>
      <c r="AO363" s="20"/>
      <c r="AP363" s="20"/>
      <c r="AQ363" s="20"/>
      <c r="AR363" s="24">
        <f ca="1">IFERROR(__xludf.DUMMYFUNCTION("""COMPUTED_VALUE"""),0)</f>
        <v>0</v>
      </c>
      <c r="AS363" s="20"/>
      <c r="AT363" s="20"/>
      <c r="AU363" s="20"/>
      <c r="AV363" s="20"/>
      <c r="AW363" s="20"/>
      <c r="AX363" s="24">
        <f ca="1">IFERROR(__xludf.DUMMYFUNCTION("""COMPUTED_VALUE"""),0)</f>
        <v>0</v>
      </c>
      <c r="AY363" s="24">
        <f ca="1">IFERROR(__xludf.DUMMYFUNCTION("""COMPUTED_VALUE"""),0)</f>
        <v>0</v>
      </c>
      <c r="AZ363" s="24">
        <f ca="1">IFERROR(__xludf.DUMMYFUNCTION("""COMPUTED_VALUE"""),0)</f>
        <v>0</v>
      </c>
      <c r="BA363" s="24">
        <f ca="1">IFERROR(__xludf.DUMMYFUNCTION("""COMPUTED_VALUE"""),0)</f>
        <v>0</v>
      </c>
      <c r="BB363" s="24">
        <f ca="1">IFERROR(__xludf.DUMMYFUNCTION("""COMPUTED_VALUE"""),0)</f>
        <v>0</v>
      </c>
      <c r="BC363" s="20"/>
      <c r="BD363" s="24">
        <f ca="1">IFERROR(__xludf.DUMMYFUNCTION("""COMPUTED_VALUE"""),0)</f>
        <v>0</v>
      </c>
      <c r="BE363" s="24">
        <f ca="1">IFERROR(__xludf.DUMMYFUNCTION("""COMPUTED_VALUE"""),0)</f>
        <v>0</v>
      </c>
      <c r="BF363" s="24">
        <f ca="1">IFERROR(__xludf.DUMMYFUNCTION("""COMPUTED_VALUE"""),0)</f>
        <v>0</v>
      </c>
      <c r="BG363" s="24">
        <f ca="1">IFERROR(__xludf.DUMMYFUNCTION("""COMPUTED_VALUE"""),0)</f>
        <v>0</v>
      </c>
      <c r="BH363" s="24">
        <f ca="1">IFERROR(__xludf.DUMMYFUNCTION("""COMPUTED_VALUE"""),0)</f>
        <v>0</v>
      </c>
      <c r="BI363" s="20"/>
      <c r="BJ363" s="24">
        <f ca="1">IFERROR(__xludf.DUMMYFUNCTION("""COMPUTED_VALUE"""),1224)</f>
        <v>1224</v>
      </c>
      <c r="BK363" s="24">
        <f ca="1">IFERROR(__xludf.DUMMYFUNCTION("""COMPUTED_VALUE"""),0)</f>
        <v>0</v>
      </c>
      <c r="BL363" s="24">
        <f ca="1">IFERROR(__xludf.DUMMYFUNCTION("""COMPUTED_VALUE"""),1066.1)</f>
        <v>1066.0999999999999</v>
      </c>
      <c r="BM363" s="24">
        <f ca="1">IFERROR(__xludf.DUMMYFUNCTION("""COMPUTED_VALUE"""),0)</f>
        <v>0</v>
      </c>
      <c r="BN363" s="24">
        <f ca="1">IFERROR(__xludf.DUMMYFUNCTION("""COMPUTED_VALUE"""),157.9)</f>
        <v>157.9</v>
      </c>
      <c r="BO363" s="20"/>
      <c r="BP363" s="24">
        <f ca="1">IFERROR(__xludf.DUMMYFUNCTION("""COMPUTED_VALUE"""),20376)</f>
        <v>20376</v>
      </c>
      <c r="BQ363" s="24">
        <f ca="1">IFERROR(__xludf.DUMMYFUNCTION("""COMPUTED_VALUE"""),0)</f>
        <v>0</v>
      </c>
      <c r="BR363" s="24">
        <f ca="1">IFERROR(__xludf.DUMMYFUNCTION("""COMPUTED_VALUE"""),17727.12)</f>
        <v>17727.12</v>
      </c>
      <c r="BS363" s="24">
        <f ca="1">IFERROR(__xludf.DUMMYFUNCTION("""COMPUTED_VALUE"""),0)</f>
        <v>0</v>
      </c>
      <c r="BT363" s="24">
        <f ca="1">IFERROR(__xludf.DUMMYFUNCTION("""COMPUTED_VALUE"""),2648.88)</f>
        <v>2648.88</v>
      </c>
      <c r="BU363" s="20"/>
      <c r="BV363" s="24">
        <f ca="1">IFERROR(__xludf.DUMMYFUNCTION("""COMPUTED_VALUE"""),13584)</f>
        <v>13584</v>
      </c>
      <c r="BW363" s="24">
        <f ca="1">IFERROR(__xludf.DUMMYFUNCTION("""COMPUTED_VALUE"""),0)</f>
        <v>0</v>
      </c>
      <c r="BX363" s="24">
        <f ca="1">IFERROR(__xludf.DUMMYFUNCTION("""COMPUTED_VALUE"""),11818.08)</f>
        <v>11818.08</v>
      </c>
      <c r="BY363" s="24">
        <f ca="1">IFERROR(__xludf.DUMMYFUNCTION("""COMPUTED_VALUE"""),0)</f>
        <v>0</v>
      </c>
      <c r="BZ363" s="24">
        <f ca="1">IFERROR(__xludf.DUMMYFUNCTION("""COMPUTED_VALUE"""),1765.92)</f>
        <v>1765.92</v>
      </c>
      <c r="CA363" s="20"/>
      <c r="CB363" s="20"/>
      <c r="CC363" s="20"/>
      <c r="CD363" s="20"/>
      <c r="CE363" s="20"/>
      <c r="CF363" s="20"/>
      <c r="CG363" s="20"/>
      <c r="CH363" s="20"/>
      <c r="CI363" s="20"/>
      <c r="CJ363" s="20"/>
      <c r="CK363" s="20"/>
      <c r="CL363" s="20"/>
      <c r="CM363" s="20"/>
      <c r="CN363" s="20"/>
      <c r="CO363" s="20"/>
      <c r="CP363" s="20"/>
      <c r="CQ363" s="20"/>
      <c r="CR363" s="20"/>
      <c r="CS363" s="20"/>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row>
    <row r="364" spans="1:123" ht="64.5" hidden="1" customHeight="1" x14ac:dyDescent="0.2">
      <c r="A364" s="19"/>
      <c r="B364" s="20" t="str">
        <f ca="1">IFERROR(__xludf.DUMMYFUNCTION("""COMPUTED_VALUE"""),"г.о. Талдомский")</f>
        <v>г.о. Талдомский</v>
      </c>
      <c r="C36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4" s="20" t="str">
        <f ca="1">IFERROR(__xludf.DUMMYFUNCTION("""COMPUTED_VALUE"""),"МинЖКХ ""ТОП 5 (2 этап)""")</f>
        <v>МинЖКХ "ТОП 5 (2 этап)"</v>
      </c>
      <c r="E364" s="20" t="str">
        <f ca="1">IFERROR(__xludf.DUMMYFUNCTION("""COMPUTED_VALUE"""),"Реконструкция котельной №3 по адресу г. Талдом, ул. Мичурина, д.3а, г.о. Талдомский (в т.ч. ПИР, ТП)")</f>
        <v>Реконструкция котельной №3 по адресу г. Талдом, ул. Мичурина, д.3а, г.о. Талдомский (в т.ч. ПИР, ТП)</v>
      </c>
      <c r="F364" s="32" t="str">
        <f ca="1">IFERROR(__xludf.DUMMYFUNCTION("""COMPUTED_VALUE"""),"Котельная")</f>
        <v>Котельная</v>
      </c>
      <c r="G364" s="20" t="str">
        <f ca="1">IFERROR(__xludf.DUMMYFUNCTION("""COMPUTED_VALUE"""),"2022-2024")</f>
        <v>2022-2024</v>
      </c>
      <c r="H364" s="20" t="str">
        <f ca="1">IFERROR(__xludf.DUMMYFUNCTION("""COMPUTED_VALUE"""),"СМР")</f>
        <v>СМР</v>
      </c>
      <c r="I364" s="20"/>
      <c r="J364" s="20"/>
      <c r="K364" s="20"/>
      <c r="L364" s="20"/>
      <c r="M364" s="20"/>
      <c r="N364" s="24">
        <f ca="1">IFERROR(__xludf.DUMMYFUNCTION("""COMPUTED_VALUE"""),0)</f>
        <v>0</v>
      </c>
      <c r="O364" s="20"/>
      <c r="P364" s="20"/>
      <c r="Q364" s="20"/>
      <c r="R364" s="20"/>
      <c r="S364" s="20"/>
      <c r="T364" s="20"/>
      <c r="U364" s="24">
        <f ca="1">IFERROR(__xludf.DUMMYFUNCTION("""COMPUTED_VALUE"""),0)</f>
        <v>0</v>
      </c>
      <c r="V364" s="24">
        <f ca="1">IFERROR(__xludf.DUMMYFUNCTION("""COMPUTED_VALUE"""),0)</f>
        <v>0</v>
      </c>
      <c r="W364" s="24">
        <f ca="1">IFERROR(__xludf.DUMMYFUNCTION("""COMPUTED_VALUE"""),0)</f>
        <v>0</v>
      </c>
      <c r="X364" s="24">
        <f ca="1">IFERROR(__xludf.DUMMYFUNCTION("""COMPUTED_VALUE"""),0)</f>
        <v>0</v>
      </c>
      <c r="Y364" s="24">
        <f ca="1">IFERROR(__xludf.DUMMYFUNCTION("""COMPUTED_VALUE"""),0)</f>
        <v>0</v>
      </c>
      <c r="Z364" s="24">
        <f ca="1">IFERROR(__xludf.DUMMYFUNCTION("""COMPUTED_VALUE"""),0)</f>
        <v>0</v>
      </c>
      <c r="AA364" s="20" t="str">
        <f ca="1">IFERROR(__xludf.DUMMYFUNCTION("""COMPUTED_VALUE"""),"10 3 02 64080")</f>
        <v>10 3 02 64080</v>
      </c>
      <c r="AB364" s="20">
        <f ca="1">IFERROR(__xludf.DUMMYFUNCTION("""COMPUTED_VALUE"""),522)</f>
        <v>522</v>
      </c>
      <c r="AC364" s="20"/>
      <c r="AD364" s="20"/>
      <c r="AE364" s="20"/>
      <c r="AF364" s="24">
        <f ca="1">IFERROR(__xludf.DUMMYFUNCTION("""COMPUTED_VALUE"""),45240)</f>
        <v>45240</v>
      </c>
      <c r="AG364" s="24">
        <f ca="1">IFERROR(__xludf.DUMMYFUNCTION("""COMPUTED_VALUE"""),0)</f>
        <v>0</v>
      </c>
      <c r="AH364" s="24">
        <f ca="1">IFERROR(__xludf.DUMMYFUNCTION("""COMPUTED_VALUE"""),39360.84)</f>
        <v>39360.839999999997</v>
      </c>
      <c r="AI364" s="24">
        <f ca="1">IFERROR(__xludf.DUMMYFUNCTION("""COMPUTED_VALUE"""),0)</f>
        <v>0</v>
      </c>
      <c r="AJ364" s="24">
        <f ca="1">IFERROR(__xludf.DUMMYFUNCTION("""COMPUTED_VALUE"""),5879.16)</f>
        <v>5879.16</v>
      </c>
      <c r="AK364" s="24">
        <f ca="1">IFERROR(__xludf.DUMMYFUNCTION("""COMPUTED_VALUE"""),0)</f>
        <v>0</v>
      </c>
      <c r="AL364" s="24">
        <f ca="1">IFERROR(__xludf.DUMMYFUNCTION("""COMPUTED_VALUE"""),0)</f>
        <v>0</v>
      </c>
      <c r="AM364" s="20"/>
      <c r="AN364" s="20"/>
      <c r="AO364" s="20"/>
      <c r="AP364" s="20"/>
      <c r="AQ364" s="20"/>
      <c r="AR364" s="24">
        <f ca="1">IFERROR(__xludf.DUMMYFUNCTION("""COMPUTED_VALUE"""),0)</f>
        <v>0</v>
      </c>
      <c r="AS364" s="20"/>
      <c r="AT364" s="20"/>
      <c r="AU364" s="20"/>
      <c r="AV364" s="20"/>
      <c r="AW364" s="20"/>
      <c r="AX364" s="24">
        <f ca="1">IFERROR(__xludf.DUMMYFUNCTION("""COMPUTED_VALUE"""),0)</f>
        <v>0</v>
      </c>
      <c r="AY364" s="24">
        <f ca="1">IFERROR(__xludf.DUMMYFUNCTION("""COMPUTED_VALUE"""),0)</f>
        <v>0</v>
      </c>
      <c r="AZ364" s="24">
        <f ca="1">IFERROR(__xludf.DUMMYFUNCTION("""COMPUTED_VALUE"""),0)</f>
        <v>0</v>
      </c>
      <c r="BA364" s="24">
        <f ca="1">IFERROR(__xludf.DUMMYFUNCTION("""COMPUTED_VALUE"""),0)</f>
        <v>0</v>
      </c>
      <c r="BB364" s="24">
        <f ca="1">IFERROR(__xludf.DUMMYFUNCTION("""COMPUTED_VALUE"""),0)</f>
        <v>0</v>
      </c>
      <c r="BC364" s="20"/>
      <c r="BD364" s="24">
        <f ca="1">IFERROR(__xludf.DUMMYFUNCTION("""COMPUTED_VALUE"""),0)</f>
        <v>0</v>
      </c>
      <c r="BE364" s="24">
        <f ca="1">IFERROR(__xludf.DUMMYFUNCTION("""COMPUTED_VALUE"""),0)</f>
        <v>0</v>
      </c>
      <c r="BF364" s="24">
        <f ca="1">IFERROR(__xludf.DUMMYFUNCTION("""COMPUTED_VALUE"""),0)</f>
        <v>0</v>
      </c>
      <c r="BG364" s="24">
        <f ca="1">IFERROR(__xludf.DUMMYFUNCTION("""COMPUTED_VALUE"""),0)</f>
        <v>0</v>
      </c>
      <c r="BH364" s="24">
        <f ca="1">IFERROR(__xludf.DUMMYFUNCTION("""COMPUTED_VALUE"""),0)</f>
        <v>0</v>
      </c>
      <c r="BI364" s="20"/>
      <c r="BJ364" s="24">
        <f ca="1">IFERROR(__xludf.DUMMYFUNCTION("""COMPUTED_VALUE"""),2040)</f>
        <v>2040</v>
      </c>
      <c r="BK364" s="24">
        <f ca="1">IFERROR(__xludf.DUMMYFUNCTION("""COMPUTED_VALUE"""),0)</f>
        <v>0</v>
      </c>
      <c r="BL364" s="24">
        <f ca="1">IFERROR(__xludf.DUMMYFUNCTION("""COMPUTED_VALUE"""),1776.84)</f>
        <v>1776.84</v>
      </c>
      <c r="BM364" s="24">
        <f ca="1">IFERROR(__xludf.DUMMYFUNCTION("""COMPUTED_VALUE"""),0)</f>
        <v>0</v>
      </c>
      <c r="BN364" s="24">
        <f ca="1">IFERROR(__xludf.DUMMYFUNCTION("""COMPUTED_VALUE"""),263.16)</f>
        <v>263.16000000000003</v>
      </c>
      <c r="BO364" s="20"/>
      <c r="BP364" s="24">
        <f ca="1">IFERROR(__xludf.DUMMYFUNCTION("""COMPUTED_VALUE"""),25920)</f>
        <v>25920</v>
      </c>
      <c r="BQ364" s="24">
        <f ca="1">IFERROR(__xludf.DUMMYFUNCTION("""COMPUTED_VALUE"""),0)</f>
        <v>0</v>
      </c>
      <c r="BR364" s="24">
        <f ca="1">IFERROR(__xludf.DUMMYFUNCTION("""COMPUTED_VALUE"""),22550.4)</f>
        <v>22550.400000000001</v>
      </c>
      <c r="BS364" s="24">
        <f ca="1">IFERROR(__xludf.DUMMYFUNCTION("""COMPUTED_VALUE"""),0)</f>
        <v>0</v>
      </c>
      <c r="BT364" s="24">
        <f ca="1">IFERROR(__xludf.DUMMYFUNCTION("""COMPUTED_VALUE"""),3369.6)</f>
        <v>3369.6</v>
      </c>
      <c r="BU364" s="20"/>
      <c r="BV364" s="24">
        <f ca="1">IFERROR(__xludf.DUMMYFUNCTION("""COMPUTED_VALUE"""),17280)</f>
        <v>17280</v>
      </c>
      <c r="BW364" s="24">
        <f ca="1">IFERROR(__xludf.DUMMYFUNCTION("""COMPUTED_VALUE"""),0)</f>
        <v>0</v>
      </c>
      <c r="BX364" s="24">
        <f ca="1">IFERROR(__xludf.DUMMYFUNCTION("""COMPUTED_VALUE"""),15033.6)</f>
        <v>15033.6</v>
      </c>
      <c r="BY364" s="24">
        <f ca="1">IFERROR(__xludf.DUMMYFUNCTION("""COMPUTED_VALUE"""),0)</f>
        <v>0</v>
      </c>
      <c r="BZ364" s="24">
        <f ca="1">IFERROR(__xludf.DUMMYFUNCTION("""COMPUTED_VALUE"""),2246.4)</f>
        <v>2246.4</v>
      </c>
      <c r="CA364" s="20"/>
      <c r="CB364" s="20"/>
      <c r="CC364" s="20"/>
      <c r="CD364" s="20"/>
      <c r="CE364" s="20"/>
      <c r="CF364" s="20"/>
      <c r="CG364" s="20"/>
      <c r="CH364" s="20"/>
      <c r="CI364" s="20"/>
      <c r="CJ364" s="20"/>
      <c r="CK364" s="20"/>
      <c r="CL364" s="20"/>
      <c r="CM364" s="20"/>
      <c r="CN364" s="20"/>
      <c r="CO364" s="20"/>
      <c r="CP364" s="20"/>
      <c r="CQ364" s="20"/>
      <c r="CR364" s="20"/>
      <c r="CS364" s="20"/>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row>
    <row r="365" spans="1:123" ht="64.5" hidden="1" customHeight="1" x14ac:dyDescent="0.2">
      <c r="A365" s="19"/>
      <c r="B365" s="20" t="str">
        <f ca="1">IFERROR(__xludf.DUMMYFUNCTION("""COMPUTED_VALUE"""),"г.о. Талдомский")</f>
        <v>г.о. Талдомский</v>
      </c>
      <c r="C36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5" s="20" t="str">
        <f ca="1">IFERROR(__xludf.DUMMYFUNCTION("""COMPUTED_VALUE"""),"МинЖКХ ""ТОП 5 (2 этап)""")</f>
        <v>МинЖКХ "ТОП 5 (2 этап)"</v>
      </c>
      <c r="E365" s="20" t="str">
        <f ca="1">IFERROR(__xludf.DUMMYFUNCTION("""COMPUTED_VALUE"""),"Реконструкция котельной ""Вербилки"", п. Вербилки, ул. Якотская, д.6, г.о. Талдомский (в т.ч. ПИР)")</f>
        <v>Реконструкция котельной "Вербилки", п. Вербилки, ул. Якотская, д.6, г.о. Талдомский (в т.ч. ПИР)</v>
      </c>
      <c r="F365" s="32" t="str">
        <f ca="1">IFERROR(__xludf.DUMMYFUNCTION("""COMPUTED_VALUE"""),"Котельная")</f>
        <v>Котельная</v>
      </c>
      <c r="G365" s="20" t="str">
        <f ca="1">IFERROR(__xludf.DUMMYFUNCTION("""COMPUTED_VALUE"""),"2022-2024")</f>
        <v>2022-2024</v>
      </c>
      <c r="H365" s="20" t="str">
        <f ca="1">IFERROR(__xludf.DUMMYFUNCTION("""COMPUTED_VALUE"""),"СМР")</f>
        <v>СМР</v>
      </c>
      <c r="I365" s="20"/>
      <c r="J365" s="20"/>
      <c r="K365" s="20"/>
      <c r="L365" s="20"/>
      <c r="M365" s="20"/>
      <c r="N365" s="24">
        <f ca="1">IFERROR(__xludf.DUMMYFUNCTION("""COMPUTED_VALUE"""),0)</f>
        <v>0</v>
      </c>
      <c r="O365" s="20"/>
      <c r="P365" s="20"/>
      <c r="Q365" s="20"/>
      <c r="R365" s="20"/>
      <c r="S365" s="20"/>
      <c r="T365" s="20"/>
      <c r="U365" s="24">
        <f ca="1">IFERROR(__xludf.DUMMYFUNCTION("""COMPUTED_VALUE"""),0)</f>
        <v>0</v>
      </c>
      <c r="V365" s="24">
        <f ca="1">IFERROR(__xludf.DUMMYFUNCTION("""COMPUTED_VALUE"""),0)</f>
        <v>0</v>
      </c>
      <c r="W365" s="24">
        <f ca="1">IFERROR(__xludf.DUMMYFUNCTION("""COMPUTED_VALUE"""),0)</f>
        <v>0</v>
      </c>
      <c r="X365" s="24">
        <f ca="1">IFERROR(__xludf.DUMMYFUNCTION("""COMPUTED_VALUE"""),0)</f>
        <v>0</v>
      </c>
      <c r="Y365" s="24">
        <f ca="1">IFERROR(__xludf.DUMMYFUNCTION("""COMPUTED_VALUE"""),0)</f>
        <v>0</v>
      </c>
      <c r="Z365" s="24">
        <f ca="1">IFERROR(__xludf.DUMMYFUNCTION("""COMPUTED_VALUE"""),0)</f>
        <v>0</v>
      </c>
      <c r="AA365" s="20" t="str">
        <f ca="1">IFERROR(__xludf.DUMMYFUNCTION("""COMPUTED_VALUE"""),"10 3 02 64080")</f>
        <v>10 3 02 64080</v>
      </c>
      <c r="AB365" s="20">
        <f ca="1">IFERROR(__xludf.DUMMYFUNCTION("""COMPUTED_VALUE"""),522)</f>
        <v>522</v>
      </c>
      <c r="AC365" s="20"/>
      <c r="AD365" s="20"/>
      <c r="AE365" s="20"/>
      <c r="AF365" s="24">
        <f ca="1">IFERROR(__xludf.DUMMYFUNCTION("""COMPUTED_VALUE"""),31050)</f>
        <v>31050</v>
      </c>
      <c r="AG365" s="24">
        <f ca="1">IFERROR(__xludf.DUMMYFUNCTION("""COMPUTED_VALUE"""),0)</f>
        <v>0</v>
      </c>
      <c r="AH365" s="24">
        <f ca="1">IFERROR(__xludf.DUMMYFUNCTION("""COMPUTED_VALUE"""),27014.55)</f>
        <v>27014.55</v>
      </c>
      <c r="AI365" s="24">
        <f ca="1">IFERROR(__xludf.DUMMYFUNCTION("""COMPUTED_VALUE"""),0)</f>
        <v>0</v>
      </c>
      <c r="AJ365" s="24">
        <f ca="1">IFERROR(__xludf.DUMMYFUNCTION("""COMPUTED_VALUE"""),4035.45)</f>
        <v>4035.45</v>
      </c>
      <c r="AK365" s="24">
        <f ca="1">IFERROR(__xludf.DUMMYFUNCTION("""COMPUTED_VALUE"""),0)</f>
        <v>0</v>
      </c>
      <c r="AL365" s="24">
        <f ca="1">IFERROR(__xludf.DUMMYFUNCTION("""COMPUTED_VALUE"""),0)</f>
        <v>0</v>
      </c>
      <c r="AM365" s="20"/>
      <c r="AN365" s="20"/>
      <c r="AO365" s="20"/>
      <c r="AP365" s="20"/>
      <c r="AQ365" s="20"/>
      <c r="AR365" s="24">
        <f ca="1">IFERROR(__xludf.DUMMYFUNCTION("""COMPUTED_VALUE"""),0)</f>
        <v>0</v>
      </c>
      <c r="AS365" s="20"/>
      <c r="AT365" s="20"/>
      <c r="AU365" s="20"/>
      <c r="AV365" s="20"/>
      <c r="AW365" s="20"/>
      <c r="AX365" s="24">
        <f ca="1">IFERROR(__xludf.DUMMYFUNCTION("""COMPUTED_VALUE"""),0)</f>
        <v>0</v>
      </c>
      <c r="AY365" s="24">
        <f ca="1">IFERROR(__xludf.DUMMYFUNCTION("""COMPUTED_VALUE"""),0)</f>
        <v>0</v>
      </c>
      <c r="AZ365" s="24">
        <f ca="1">IFERROR(__xludf.DUMMYFUNCTION("""COMPUTED_VALUE"""),0)</f>
        <v>0</v>
      </c>
      <c r="BA365" s="24">
        <f ca="1">IFERROR(__xludf.DUMMYFUNCTION("""COMPUTED_VALUE"""),0)</f>
        <v>0</v>
      </c>
      <c r="BB365" s="24">
        <f ca="1">IFERROR(__xludf.DUMMYFUNCTION("""COMPUTED_VALUE"""),0)</f>
        <v>0</v>
      </c>
      <c r="BC365" s="20"/>
      <c r="BD365" s="24">
        <f ca="1">IFERROR(__xludf.DUMMYFUNCTION("""COMPUTED_VALUE"""),0)</f>
        <v>0</v>
      </c>
      <c r="BE365" s="24">
        <f ca="1">IFERROR(__xludf.DUMMYFUNCTION("""COMPUTED_VALUE"""),0)</f>
        <v>0</v>
      </c>
      <c r="BF365" s="24">
        <f ca="1">IFERROR(__xludf.DUMMYFUNCTION("""COMPUTED_VALUE"""),0)</f>
        <v>0</v>
      </c>
      <c r="BG365" s="24">
        <f ca="1">IFERROR(__xludf.DUMMYFUNCTION("""COMPUTED_VALUE"""),0)</f>
        <v>0</v>
      </c>
      <c r="BH365" s="24">
        <f ca="1">IFERROR(__xludf.DUMMYFUNCTION("""COMPUTED_VALUE"""),0)</f>
        <v>0</v>
      </c>
      <c r="BI365" s="20"/>
      <c r="BJ365" s="24">
        <f ca="1">IFERROR(__xludf.DUMMYFUNCTION("""COMPUTED_VALUE"""),1050)</f>
        <v>1050</v>
      </c>
      <c r="BK365" s="24">
        <f ca="1">IFERROR(__xludf.DUMMYFUNCTION("""COMPUTED_VALUE"""),0)</f>
        <v>0</v>
      </c>
      <c r="BL365" s="24">
        <f ca="1">IFERROR(__xludf.DUMMYFUNCTION("""COMPUTED_VALUE"""),914.55)</f>
        <v>914.55</v>
      </c>
      <c r="BM365" s="24">
        <f ca="1">IFERROR(__xludf.DUMMYFUNCTION("""COMPUTED_VALUE"""),0)</f>
        <v>0</v>
      </c>
      <c r="BN365" s="24">
        <f ca="1">IFERROR(__xludf.DUMMYFUNCTION("""COMPUTED_VALUE"""),135.45)</f>
        <v>135.44999999999999</v>
      </c>
      <c r="BO365" s="20"/>
      <c r="BP365" s="24">
        <f ca="1">IFERROR(__xludf.DUMMYFUNCTION("""COMPUTED_VALUE"""),18000)</f>
        <v>18000</v>
      </c>
      <c r="BQ365" s="24">
        <f ca="1">IFERROR(__xludf.DUMMYFUNCTION("""COMPUTED_VALUE"""),0)</f>
        <v>0</v>
      </c>
      <c r="BR365" s="24">
        <f ca="1">IFERROR(__xludf.DUMMYFUNCTION("""COMPUTED_VALUE"""),15660)</f>
        <v>15660</v>
      </c>
      <c r="BS365" s="24">
        <f ca="1">IFERROR(__xludf.DUMMYFUNCTION("""COMPUTED_VALUE"""),0)</f>
        <v>0</v>
      </c>
      <c r="BT365" s="24">
        <f ca="1">IFERROR(__xludf.DUMMYFUNCTION("""COMPUTED_VALUE"""),2340)</f>
        <v>2340</v>
      </c>
      <c r="BU365" s="20"/>
      <c r="BV365" s="24">
        <f ca="1">IFERROR(__xludf.DUMMYFUNCTION("""COMPUTED_VALUE"""),12000)</f>
        <v>12000</v>
      </c>
      <c r="BW365" s="24">
        <f ca="1">IFERROR(__xludf.DUMMYFUNCTION("""COMPUTED_VALUE"""),0)</f>
        <v>0</v>
      </c>
      <c r="BX365" s="24">
        <f ca="1">IFERROR(__xludf.DUMMYFUNCTION("""COMPUTED_VALUE"""),10440)</f>
        <v>10440</v>
      </c>
      <c r="BY365" s="24">
        <f ca="1">IFERROR(__xludf.DUMMYFUNCTION("""COMPUTED_VALUE"""),0)</f>
        <v>0</v>
      </c>
      <c r="BZ365" s="24">
        <f ca="1">IFERROR(__xludf.DUMMYFUNCTION("""COMPUTED_VALUE"""),1560)</f>
        <v>1560</v>
      </c>
      <c r="CA365" s="20"/>
      <c r="CB365" s="20"/>
      <c r="CC365" s="20"/>
      <c r="CD365" s="20"/>
      <c r="CE365" s="20"/>
      <c r="CF365" s="20"/>
      <c r="CG365" s="20"/>
      <c r="CH365" s="20"/>
      <c r="CI365" s="20"/>
      <c r="CJ365" s="20"/>
      <c r="CK365" s="20"/>
      <c r="CL365" s="20"/>
      <c r="CM365" s="20"/>
      <c r="CN365" s="20"/>
      <c r="CO365" s="20"/>
      <c r="CP365" s="20"/>
      <c r="CQ365" s="20"/>
      <c r="CR365" s="20"/>
      <c r="CS365" s="20"/>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row>
    <row r="366" spans="1:123" ht="64.5" hidden="1" customHeight="1" x14ac:dyDescent="0.2">
      <c r="A366" s="19"/>
      <c r="B366" s="20" t="str">
        <f ca="1">IFERROR(__xludf.DUMMYFUNCTION("""COMPUTED_VALUE"""),"г.о. Талдомский")</f>
        <v>г.о. Талдомский</v>
      </c>
      <c r="C36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6" s="20" t="str">
        <f ca="1">IFERROR(__xludf.DUMMYFUNCTION("""COMPUTED_VALUE"""),"МинЖКХ ""ТОП 5 (2 этап)""")</f>
        <v>МинЖКХ "ТОП 5 (2 этап)"</v>
      </c>
      <c r="E366" s="20" t="str">
        <f ca="1">IFERROR(__xludf.DUMMYFUNCTION("""COMPUTED_VALUE"""),"Реконструкция котельной ""РУС"", г. Талдом, ул. Собцова, д.1а, г.о. Талдомский (в т.ч. ПИР, ТП)")</f>
        <v>Реконструкция котельной "РУС", г. Талдом, ул. Собцова, д.1а, г.о. Талдомский (в т.ч. ПИР, ТП)</v>
      </c>
      <c r="F366" s="32" t="str">
        <f ca="1">IFERROR(__xludf.DUMMYFUNCTION("""COMPUTED_VALUE"""),"Котельная")</f>
        <v>Котельная</v>
      </c>
      <c r="G366" s="20" t="str">
        <f ca="1">IFERROR(__xludf.DUMMYFUNCTION("""COMPUTED_VALUE"""),"2023-2024")</f>
        <v>2023-2024</v>
      </c>
      <c r="H366" s="20" t="str">
        <f ca="1">IFERROR(__xludf.DUMMYFUNCTION("""COMPUTED_VALUE"""),"СМР")</f>
        <v>СМР</v>
      </c>
      <c r="I366" s="20"/>
      <c r="J366" s="20"/>
      <c r="K366" s="20"/>
      <c r="L366" s="20"/>
      <c r="M366" s="20"/>
      <c r="N366" s="24">
        <f ca="1">IFERROR(__xludf.DUMMYFUNCTION("""COMPUTED_VALUE"""),0)</f>
        <v>0</v>
      </c>
      <c r="O366" s="20"/>
      <c r="P366" s="20"/>
      <c r="Q366" s="20"/>
      <c r="R366" s="20"/>
      <c r="S366" s="20"/>
      <c r="T366" s="20"/>
      <c r="U366" s="24">
        <f ca="1">IFERROR(__xludf.DUMMYFUNCTION("""COMPUTED_VALUE"""),0)</f>
        <v>0</v>
      </c>
      <c r="V366" s="24">
        <f ca="1">IFERROR(__xludf.DUMMYFUNCTION("""COMPUTED_VALUE"""),0)</f>
        <v>0</v>
      </c>
      <c r="W366" s="24">
        <f ca="1">IFERROR(__xludf.DUMMYFUNCTION("""COMPUTED_VALUE"""),0)</f>
        <v>0</v>
      </c>
      <c r="X366" s="24">
        <f ca="1">IFERROR(__xludf.DUMMYFUNCTION("""COMPUTED_VALUE"""),0)</f>
        <v>0</v>
      </c>
      <c r="Y366" s="24">
        <f ca="1">IFERROR(__xludf.DUMMYFUNCTION("""COMPUTED_VALUE"""),0)</f>
        <v>0</v>
      </c>
      <c r="Z366" s="24">
        <f ca="1">IFERROR(__xludf.DUMMYFUNCTION("""COMPUTED_VALUE"""),0)</f>
        <v>0</v>
      </c>
      <c r="AA366" s="20" t="str">
        <f ca="1">IFERROR(__xludf.DUMMYFUNCTION("""COMPUTED_VALUE"""),"10 3 02 64080")</f>
        <v>10 3 02 64080</v>
      </c>
      <c r="AB366" s="20">
        <f ca="1">IFERROR(__xludf.DUMMYFUNCTION("""COMPUTED_VALUE"""),522)</f>
        <v>522</v>
      </c>
      <c r="AC366" s="20"/>
      <c r="AD366" s="20"/>
      <c r="AE366" s="20"/>
      <c r="AF366" s="24">
        <f ca="1">IFERROR(__xludf.DUMMYFUNCTION("""COMPUTED_VALUE"""),10794)</f>
        <v>10794</v>
      </c>
      <c r="AG366" s="24">
        <f ca="1">IFERROR(__xludf.DUMMYFUNCTION("""COMPUTED_VALUE"""),0)</f>
        <v>0</v>
      </c>
      <c r="AH366" s="24">
        <f ca="1">IFERROR(__xludf.DUMMYFUNCTION("""COMPUTED_VALUE"""),9391.37)</f>
        <v>9391.3700000000008</v>
      </c>
      <c r="AI366" s="24">
        <f ca="1">IFERROR(__xludf.DUMMYFUNCTION("""COMPUTED_VALUE"""),0)</f>
        <v>0</v>
      </c>
      <c r="AJ366" s="24">
        <f ca="1">IFERROR(__xludf.DUMMYFUNCTION("""COMPUTED_VALUE"""),1402.63)</f>
        <v>1402.63</v>
      </c>
      <c r="AK366" s="24">
        <f ca="1">IFERROR(__xludf.DUMMYFUNCTION("""COMPUTED_VALUE"""),0)</f>
        <v>0</v>
      </c>
      <c r="AL366" s="24">
        <f ca="1">IFERROR(__xludf.DUMMYFUNCTION("""COMPUTED_VALUE"""),0)</f>
        <v>0</v>
      </c>
      <c r="AM366" s="20"/>
      <c r="AN366" s="20"/>
      <c r="AO366" s="20"/>
      <c r="AP366" s="20"/>
      <c r="AQ366" s="20"/>
      <c r="AR366" s="24">
        <f ca="1">IFERROR(__xludf.DUMMYFUNCTION("""COMPUTED_VALUE"""),0)</f>
        <v>0</v>
      </c>
      <c r="AS366" s="20"/>
      <c r="AT366" s="20"/>
      <c r="AU366" s="20"/>
      <c r="AV366" s="20"/>
      <c r="AW366" s="20"/>
      <c r="AX366" s="24">
        <f ca="1">IFERROR(__xludf.DUMMYFUNCTION("""COMPUTED_VALUE"""),0)</f>
        <v>0</v>
      </c>
      <c r="AY366" s="24">
        <f ca="1">IFERROR(__xludf.DUMMYFUNCTION("""COMPUTED_VALUE"""),0)</f>
        <v>0</v>
      </c>
      <c r="AZ366" s="24">
        <f ca="1">IFERROR(__xludf.DUMMYFUNCTION("""COMPUTED_VALUE"""),0)</f>
        <v>0</v>
      </c>
      <c r="BA366" s="24">
        <f ca="1">IFERROR(__xludf.DUMMYFUNCTION("""COMPUTED_VALUE"""),0)</f>
        <v>0</v>
      </c>
      <c r="BB366" s="24">
        <f ca="1">IFERROR(__xludf.DUMMYFUNCTION("""COMPUTED_VALUE"""),0)</f>
        <v>0</v>
      </c>
      <c r="BC366" s="20"/>
      <c r="BD366" s="24">
        <f ca="1">IFERROR(__xludf.DUMMYFUNCTION("""COMPUTED_VALUE"""),0)</f>
        <v>0</v>
      </c>
      <c r="BE366" s="24">
        <f ca="1">IFERROR(__xludf.DUMMYFUNCTION("""COMPUTED_VALUE"""),0)</f>
        <v>0</v>
      </c>
      <c r="BF366" s="24">
        <f ca="1">IFERROR(__xludf.DUMMYFUNCTION("""COMPUTED_VALUE"""),0)</f>
        <v>0</v>
      </c>
      <c r="BG366" s="24">
        <f ca="1">IFERROR(__xludf.DUMMYFUNCTION("""COMPUTED_VALUE"""),0)</f>
        <v>0</v>
      </c>
      <c r="BH366" s="24">
        <f ca="1">IFERROR(__xludf.DUMMYFUNCTION("""COMPUTED_VALUE"""),0)</f>
        <v>0</v>
      </c>
      <c r="BI366" s="20"/>
      <c r="BJ366" s="24">
        <f ca="1">IFERROR(__xludf.DUMMYFUNCTION("""COMPUTED_VALUE"""),0)</f>
        <v>0</v>
      </c>
      <c r="BK366" s="24">
        <f ca="1">IFERROR(__xludf.DUMMYFUNCTION("""COMPUTED_VALUE"""),0)</f>
        <v>0</v>
      </c>
      <c r="BL366" s="24">
        <f ca="1">IFERROR(__xludf.DUMMYFUNCTION("""COMPUTED_VALUE"""),0)</f>
        <v>0</v>
      </c>
      <c r="BM366" s="24">
        <f ca="1">IFERROR(__xludf.DUMMYFUNCTION("""COMPUTED_VALUE"""),0)</f>
        <v>0</v>
      </c>
      <c r="BN366" s="24">
        <f ca="1">IFERROR(__xludf.DUMMYFUNCTION("""COMPUTED_VALUE"""),0)</f>
        <v>0</v>
      </c>
      <c r="BO366" s="20"/>
      <c r="BP366" s="24">
        <f ca="1">IFERROR(__xludf.DUMMYFUNCTION("""COMPUTED_VALUE"""),594)</f>
        <v>594</v>
      </c>
      <c r="BQ366" s="24">
        <f ca="1">IFERROR(__xludf.DUMMYFUNCTION("""COMPUTED_VALUE"""),0)</f>
        <v>0</v>
      </c>
      <c r="BR366" s="24">
        <f ca="1">IFERROR(__xludf.DUMMYFUNCTION("""COMPUTED_VALUE"""),517.37)</f>
        <v>517.37</v>
      </c>
      <c r="BS366" s="24">
        <f ca="1">IFERROR(__xludf.DUMMYFUNCTION("""COMPUTED_VALUE"""),0)</f>
        <v>0</v>
      </c>
      <c r="BT366" s="24">
        <f ca="1">IFERROR(__xludf.DUMMYFUNCTION("""COMPUTED_VALUE"""),76.63)</f>
        <v>76.63</v>
      </c>
      <c r="BU366" s="20"/>
      <c r="BV366" s="24">
        <f ca="1">IFERROR(__xludf.DUMMYFUNCTION("""COMPUTED_VALUE"""),10200)</f>
        <v>10200</v>
      </c>
      <c r="BW366" s="24">
        <f ca="1">IFERROR(__xludf.DUMMYFUNCTION("""COMPUTED_VALUE"""),0)</f>
        <v>0</v>
      </c>
      <c r="BX366" s="24">
        <f ca="1">IFERROR(__xludf.DUMMYFUNCTION("""COMPUTED_VALUE"""),8874)</f>
        <v>8874</v>
      </c>
      <c r="BY366" s="24">
        <f ca="1">IFERROR(__xludf.DUMMYFUNCTION("""COMPUTED_VALUE"""),0)</f>
        <v>0</v>
      </c>
      <c r="BZ366" s="24">
        <f ca="1">IFERROR(__xludf.DUMMYFUNCTION("""COMPUTED_VALUE"""),1326)</f>
        <v>1326</v>
      </c>
      <c r="CA366" s="20"/>
      <c r="CB366" s="20"/>
      <c r="CC366" s="20"/>
      <c r="CD366" s="20"/>
      <c r="CE366" s="20"/>
      <c r="CF366" s="20"/>
      <c r="CG366" s="20"/>
      <c r="CH366" s="20"/>
      <c r="CI366" s="20"/>
      <c r="CJ366" s="20"/>
      <c r="CK366" s="20"/>
      <c r="CL366" s="20"/>
      <c r="CM366" s="20"/>
      <c r="CN366" s="20"/>
      <c r="CO366" s="20"/>
      <c r="CP366" s="20"/>
      <c r="CQ366" s="20"/>
      <c r="CR366" s="20"/>
      <c r="CS366" s="20"/>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row>
    <row r="367" spans="1:123" ht="64.5" hidden="1" customHeight="1" x14ac:dyDescent="0.2">
      <c r="A367" s="19"/>
      <c r="B367" s="20" t="str">
        <f ca="1">IFERROR(__xludf.DUMMYFUNCTION("""COMPUTED_VALUE"""),"г.о. Наро-Фоминск")</f>
        <v>г.о. Наро-Фоминск</v>
      </c>
      <c r="C36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7" s="20" t="str">
        <f ca="1">IFERROR(__xludf.DUMMYFUNCTION("""COMPUTED_VALUE"""),"МинЖКХ ""ТОП 5 (2 этап)""")</f>
        <v>МинЖКХ "ТОП 5 (2 этап)"</v>
      </c>
      <c r="E367" s="20" t="str">
        <f ca="1">IFERROR(__xludf.DUMMYFUNCTION("""COMPUTED_VALUE"""),"Реконструкция котельной № 15 по адресу г. Апрелевка, ул. Ленина, Наро-Фоминский г.о. (в т.ч. ПИР)")</f>
        <v>Реконструкция котельной № 15 по адресу г. Апрелевка, ул. Ленина, Наро-Фоминский г.о. (в т.ч. ПИР)</v>
      </c>
      <c r="F367" s="32" t="str">
        <f ca="1">IFERROR(__xludf.DUMMYFUNCTION("""COMPUTED_VALUE"""),"Котельная")</f>
        <v>Котельная</v>
      </c>
      <c r="G367" s="20" t="str">
        <f ca="1">IFERROR(__xludf.DUMMYFUNCTION("""COMPUTED_VALUE"""),"2022-2023")</f>
        <v>2022-2023</v>
      </c>
      <c r="H367" s="20" t="str">
        <f ca="1">IFERROR(__xludf.DUMMYFUNCTION("""COMPUTED_VALUE"""),"СМР")</f>
        <v>СМР</v>
      </c>
      <c r="I367" s="20"/>
      <c r="J367" s="20"/>
      <c r="K367" s="20"/>
      <c r="L367" s="20"/>
      <c r="M367" s="20"/>
      <c r="N367" s="24">
        <f ca="1">IFERROR(__xludf.DUMMYFUNCTION("""COMPUTED_VALUE"""),0)</f>
        <v>0</v>
      </c>
      <c r="O367" s="20"/>
      <c r="P367" s="20"/>
      <c r="Q367" s="20"/>
      <c r="R367" s="20"/>
      <c r="S367" s="20"/>
      <c r="T367" s="20"/>
      <c r="U367" s="24">
        <f ca="1">IFERROR(__xludf.DUMMYFUNCTION("""COMPUTED_VALUE"""),0)</f>
        <v>0</v>
      </c>
      <c r="V367" s="24">
        <f ca="1">IFERROR(__xludf.DUMMYFUNCTION("""COMPUTED_VALUE"""),0)</f>
        <v>0</v>
      </c>
      <c r="W367" s="24">
        <f ca="1">IFERROR(__xludf.DUMMYFUNCTION("""COMPUTED_VALUE"""),0)</f>
        <v>0</v>
      </c>
      <c r="X367" s="24">
        <f ca="1">IFERROR(__xludf.DUMMYFUNCTION("""COMPUTED_VALUE"""),0)</f>
        <v>0</v>
      </c>
      <c r="Y367" s="24">
        <f ca="1">IFERROR(__xludf.DUMMYFUNCTION("""COMPUTED_VALUE"""),0)</f>
        <v>0</v>
      </c>
      <c r="Z367" s="24">
        <f ca="1">IFERROR(__xludf.DUMMYFUNCTION("""COMPUTED_VALUE"""),0)</f>
        <v>0</v>
      </c>
      <c r="AA367" s="20" t="str">
        <f ca="1">IFERROR(__xludf.DUMMYFUNCTION("""COMPUTED_VALUE"""),"10 3 02 64080")</f>
        <v>10 3 02 64080</v>
      </c>
      <c r="AB367" s="20">
        <f ca="1">IFERROR(__xludf.DUMMYFUNCTION("""COMPUTED_VALUE"""),522)</f>
        <v>522</v>
      </c>
      <c r="AC367" s="20"/>
      <c r="AD367" s="20"/>
      <c r="AE367" s="20"/>
      <c r="AF367" s="24">
        <f ca="1">IFERROR(__xludf.DUMMYFUNCTION("""COMPUTED_VALUE"""),25500)</f>
        <v>25500</v>
      </c>
      <c r="AG367" s="24">
        <f ca="1">IFERROR(__xludf.DUMMYFUNCTION("""COMPUTED_VALUE"""),0)</f>
        <v>0</v>
      </c>
      <c r="AH367" s="24">
        <f ca="1">IFERROR(__xludf.DUMMYFUNCTION("""COMPUTED_VALUE"""),19354.5)</f>
        <v>19354.5</v>
      </c>
      <c r="AI367" s="24">
        <f ca="1">IFERROR(__xludf.DUMMYFUNCTION("""COMPUTED_VALUE"""),0)</f>
        <v>0</v>
      </c>
      <c r="AJ367" s="24">
        <f ca="1">IFERROR(__xludf.DUMMYFUNCTION("""COMPUTED_VALUE"""),6145.5)</f>
        <v>6145.5</v>
      </c>
      <c r="AK367" s="24">
        <f ca="1">IFERROR(__xludf.DUMMYFUNCTION("""COMPUTED_VALUE"""),0)</f>
        <v>0</v>
      </c>
      <c r="AL367" s="24">
        <f ca="1">IFERROR(__xludf.DUMMYFUNCTION("""COMPUTED_VALUE"""),0)</f>
        <v>0</v>
      </c>
      <c r="AM367" s="20"/>
      <c r="AN367" s="20"/>
      <c r="AO367" s="20"/>
      <c r="AP367" s="20"/>
      <c r="AQ367" s="20"/>
      <c r="AR367" s="24">
        <f ca="1">IFERROR(__xludf.DUMMYFUNCTION("""COMPUTED_VALUE"""),0)</f>
        <v>0</v>
      </c>
      <c r="AS367" s="20"/>
      <c r="AT367" s="20"/>
      <c r="AU367" s="20"/>
      <c r="AV367" s="20"/>
      <c r="AW367" s="20"/>
      <c r="AX367" s="24">
        <f ca="1">IFERROR(__xludf.DUMMYFUNCTION("""COMPUTED_VALUE"""),0)</f>
        <v>0</v>
      </c>
      <c r="AY367" s="24">
        <f ca="1">IFERROR(__xludf.DUMMYFUNCTION("""COMPUTED_VALUE"""),0)</f>
        <v>0</v>
      </c>
      <c r="AZ367" s="24">
        <f ca="1">IFERROR(__xludf.DUMMYFUNCTION("""COMPUTED_VALUE"""),0)</f>
        <v>0</v>
      </c>
      <c r="BA367" s="24">
        <f ca="1">IFERROR(__xludf.DUMMYFUNCTION("""COMPUTED_VALUE"""),0)</f>
        <v>0</v>
      </c>
      <c r="BB367" s="24">
        <f ca="1">IFERROR(__xludf.DUMMYFUNCTION("""COMPUTED_VALUE"""),0)</f>
        <v>0</v>
      </c>
      <c r="BC367" s="20"/>
      <c r="BD367" s="24">
        <f ca="1">IFERROR(__xludf.DUMMYFUNCTION("""COMPUTED_VALUE"""),0)</f>
        <v>0</v>
      </c>
      <c r="BE367" s="24">
        <f ca="1">IFERROR(__xludf.DUMMYFUNCTION("""COMPUTED_VALUE"""),0)</f>
        <v>0</v>
      </c>
      <c r="BF367" s="24">
        <f ca="1">IFERROR(__xludf.DUMMYFUNCTION("""COMPUTED_VALUE"""),0)</f>
        <v>0</v>
      </c>
      <c r="BG367" s="24">
        <f ca="1">IFERROR(__xludf.DUMMYFUNCTION("""COMPUTED_VALUE"""),0)</f>
        <v>0</v>
      </c>
      <c r="BH367" s="24">
        <f ca="1">IFERROR(__xludf.DUMMYFUNCTION("""COMPUTED_VALUE"""),0)</f>
        <v>0</v>
      </c>
      <c r="BI367" s="20"/>
      <c r="BJ367" s="24">
        <f ca="1">IFERROR(__xludf.DUMMYFUNCTION("""COMPUTED_VALUE"""),2500)</f>
        <v>2500</v>
      </c>
      <c r="BK367" s="24">
        <f ca="1">IFERROR(__xludf.DUMMYFUNCTION("""COMPUTED_VALUE"""),0)</f>
        <v>0</v>
      </c>
      <c r="BL367" s="24">
        <f ca="1">IFERROR(__xludf.DUMMYFUNCTION("""COMPUTED_VALUE"""),1897.5)</f>
        <v>1897.5</v>
      </c>
      <c r="BM367" s="24">
        <f ca="1">IFERROR(__xludf.DUMMYFUNCTION("""COMPUTED_VALUE"""),0)</f>
        <v>0</v>
      </c>
      <c r="BN367" s="24">
        <f ca="1">IFERROR(__xludf.DUMMYFUNCTION("""COMPUTED_VALUE"""),602.5)</f>
        <v>602.5</v>
      </c>
      <c r="BO367" s="20"/>
      <c r="BP367" s="24">
        <f ca="1">IFERROR(__xludf.DUMMYFUNCTION("""COMPUTED_VALUE"""),23000)</f>
        <v>23000</v>
      </c>
      <c r="BQ367" s="24">
        <f ca="1">IFERROR(__xludf.DUMMYFUNCTION("""COMPUTED_VALUE"""),0)</f>
        <v>0</v>
      </c>
      <c r="BR367" s="24">
        <f ca="1">IFERROR(__xludf.DUMMYFUNCTION("""COMPUTED_VALUE"""),17457)</f>
        <v>17457</v>
      </c>
      <c r="BS367" s="24">
        <f ca="1">IFERROR(__xludf.DUMMYFUNCTION("""COMPUTED_VALUE"""),0)</f>
        <v>0</v>
      </c>
      <c r="BT367" s="24">
        <f ca="1">IFERROR(__xludf.DUMMYFUNCTION("""COMPUTED_VALUE"""),5543)</f>
        <v>5543</v>
      </c>
      <c r="BU367" s="20"/>
      <c r="BV367" s="24">
        <f ca="1">IFERROR(__xludf.DUMMYFUNCTION("""COMPUTED_VALUE"""),0)</f>
        <v>0</v>
      </c>
      <c r="BW367" s="24">
        <f ca="1">IFERROR(__xludf.DUMMYFUNCTION("""COMPUTED_VALUE"""),0)</f>
        <v>0</v>
      </c>
      <c r="BX367" s="24">
        <f ca="1">IFERROR(__xludf.DUMMYFUNCTION("""COMPUTED_VALUE"""),0)</f>
        <v>0</v>
      </c>
      <c r="BY367" s="24">
        <f ca="1">IFERROR(__xludf.DUMMYFUNCTION("""COMPUTED_VALUE"""),0)</f>
        <v>0</v>
      </c>
      <c r="BZ367" s="24">
        <f ca="1">IFERROR(__xludf.DUMMYFUNCTION("""COMPUTED_VALUE"""),0)</f>
        <v>0</v>
      </c>
      <c r="CA367" s="20"/>
      <c r="CB367" s="20"/>
      <c r="CC367" s="20"/>
      <c r="CD367" s="20"/>
      <c r="CE367" s="20"/>
      <c r="CF367" s="20"/>
      <c r="CG367" s="20"/>
      <c r="CH367" s="20"/>
      <c r="CI367" s="20"/>
      <c r="CJ367" s="20"/>
      <c r="CK367" s="20"/>
      <c r="CL367" s="20"/>
      <c r="CM367" s="20"/>
      <c r="CN367" s="20"/>
      <c r="CO367" s="20"/>
      <c r="CP367" s="20"/>
      <c r="CQ367" s="20"/>
      <c r="CR367" s="20"/>
      <c r="CS367" s="20"/>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row>
    <row r="368" spans="1:123" ht="64.5" hidden="1" customHeight="1" x14ac:dyDescent="0.2">
      <c r="A368" s="19"/>
      <c r="B368" s="20" t="str">
        <f ca="1">IFERROR(__xludf.DUMMYFUNCTION("""COMPUTED_VALUE"""),"г.о. Лотошино")</f>
        <v>г.о. Лотошино</v>
      </c>
      <c r="C36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8" s="20" t="str">
        <f ca="1">IFERROR(__xludf.DUMMYFUNCTION("""COMPUTED_VALUE"""),"МинЖКХ ""ТОП 5 (2 этап)""")</f>
        <v>МинЖКХ "ТОП 5 (2 этап)"</v>
      </c>
      <c r="E368" s="20" t="str">
        <f ca="1">IFERROR(__xludf.DUMMYFUNCTION("""COMPUTED_VALUE"""),"Реконструкция котельной №14 по адресу д. Михалёво, Микрорайон, д.28, г.о. Лотошино (в т.ч. ПИР)")</f>
        <v>Реконструкция котельной №14 по адресу д. Михалёво, Микрорайон, д.28, г.о. Лотошино (в т.ч. ПИР)</v>
      </c>
      <c r="F368" s="32" t="str">
        <f ca="1">IFERROR(__xludf.DUMMYFUNCTION("""COMPUTED_VALUE"""),"Котельная")</f>
        <v>Котельная</v>
      </c>
      <c r="G368" s="20" t="str">
        <f ca="1">IFERROR(__xludf.DUMMYFUNCTION("""COMPUTED_VALUE"""),"2022-2023")</f>
        <v>2022-2023</v>
      </c>
      <c r="H368" s="20" t="str">
        <f ca="1">IFERROR(__xludf.DUMMYFUNCTION("""COMPUTED_VALUE"""),"СМР")</f>
        <v>СМР</v>
      </c>
      <c r="I368" s="20"/>
      <c r="J368" s="20"/>
      <c r="K368" s="20"/>
      <c r="L368" s="20"/>
      <c r="M368" s="20"/>
      <c r="N368" s="24">
        <f ca="1">IFERROR(__xludf.DUMMYFUNCTION("""COMPUTED_VALUE"""),0)</f>
        <v>0</v>
      </c>
      <c r="O368" s="20"/>
      <c r="P368" s="20"/>
      <c r="Q368" s="20"/>
      <c r="R368" s="20"/>
      <c r="S368" s="20"/>
      <c r="T368" s="20"/>
      <c r="U368" s="24">
        <f ca="1">IFERROR(__xludf.DUMMYFUNCTION("""COMPUTED_VALUE"""),0)</f>
        <v>0</v>
      </c>
      <c r="V368" s="24">
        <f ca="1">IFERROR(__xludf.DUMMYFUNCTION("""COMPUTED_VALUE"""),0)</f>
        <v>0</v>
      </c>
      <c r="W368" s="24">
        <f ca="1">IFERROR(__xludf.DUMMYFUNCTION("""COMPUTED_VALUE"""),0)</f>
        <v>0</v>
      </c>
      <c r="X368" s="24">
        <f ca="1">IFERROR(__xludf.DUMMYFUNCTION("""COMPUTED_VALUE"""),0)</f>
        <v>0</v>
      </c>
      <c r="Y368" s="24">
        <f ca="1">IFERROR(__xludf.DUMMYFUNCTION("""COMPUTED_VALUE"""),0)</f>
        <v>0</v>
      </c>
      <c r="Z368" s="24">
        <f ca="1">IFERROR(__xludf.DUMMYFUNCTION("""COMPUTED_VALUE"""),0)</f>
        <v>0</v>
      </c>
      <c r="AA368" s="20" t="str">
        <f ca="1">IFERROR(__xludf.DUMMYFUNCTION("""COMPUTED_VALUE"""),"10 3 02 64080")</f>
        <v>10 3 02 64080</v>
      </c>
      <c r="AB368" s="20">
        <f ca="1">IFERROR(__xludf.DUMMYFUNCTION("""COMPUTED_VALUE"""),522)</f>
        <v>522</v>
      </c>
      <c r="AC368" s="20"/>
      <c r="AD368" s="20"/>
      <c r="AE368" s="20"/>
      <c r="AF368" s="24">
        <f ca="1">IFERROR(__xludf.DUMMYFUNCTION("""COMPUTED_VALUE"""),44249.9999999999)</f>
        <v>44249.999999999898</v>
      </c>
      <c r="AG368" s="24">
        <f ca="1">IFERROR(__xludf.DUMMYFUNCTION("""COMPUTED_VALUE"""),0)</f>
        <v>0</v>
      </c>
      <c r="AH368" s="24">
        <f ca="1">IFERROR(__xludf.DUMMYFUNCTION("""COMPUTED_VALUE"""),42037.5099999999)</f>
        <v>42037.5099999999</v>
      </c>
      <c r="AI368" s="24">
        <f ca="1">IFERROR(__xludf.DUMMYFUNCTION("""COMPUTED_VALUE"""),0)</f>
        <v>0</v>
      </c>
      <c r="AJ368" s="24">
        <f ca="1">IFERROR(__xludf.DUMMYFUNCTION("""COMPUTED_VALUE"""),2212.49)</f>
        <v>2212.4899999999998</v>
      </c>
      <c r="AK368" s="24">
        <f ca="1">IFERROR(__xludf.DUMMYFUNCTION("""COMPUTED_VALUE"""),0)</f>
        <v>0</v>
      </c>
      <c r="AL368" s="24">
        <f ca="1">IFERROR(__xludf.DUMMYFUNCTION("""COMPUTED_VALUE"""),0)</f>
        <v>0</v>
      </c>
      <c r="AM368" s="20"/>
      <c r="AN368" s="20"/>
      <c r="AO368" s="20"/>
      <c r="AP368" s="20"/>
      <c r="AQ368" s="20"/>
      <c r="AR368" s="24">
        <f ca="1">IFERROR(__xludf.DUMMYFUNCTION("""COMPUTED_VALUE"""),0)</f>
        <v>0</v>
      </c>
      <c r="AS368" s="20"/>
      <c r="AT368" s="20"/>
      <c r="AU368" s="20"/>
      <c r="AV368" s="20"/>
      <c r="AW368" s="20"/>
      <c r="AX368" s="24">
        <f ca="1">IFERROR(__xludf.DUMMYFUNCTION("""COMPUTED_VALUE"""),0)</f>
        <v>0</v>
      </c>
      <c r="AY368" s="24">
        <f ca="1">IFERROR(__xludf.DUMMYFUNCTION("""COMPUTED_VALUE"""),0)</f>
        <v>0</v>
      </c>
      <c r="AZ368" s="24">
        <f ca="1">IFERROR(__xludf.DUMMYFUNCTION("""COMPUTED_VALUE"""),0)</f>
        <v>0</v>
      </c>
      <c r="BA368" s="24">
        <f ca="1">IFERROR(__xludf.DUMMYFUNCTION("""COMPUTED_VALUE"""),0)</f>
        <v>0</v>
      </c>
      <c r="BB368" s="24">
        <f ca="1">IFERROR(__xludf.DUMMYFUNCTION("""COMPUTED_VALUE"""),0)</f>
        <v>0</v>
      </c>
      <c r="BC368" s="20"/>
      <c r="BD368" s="24">
        <f ca="1">IFERROR(__xludf.DUMMYFUNCTION("""COMPUTED_VALUE"""),0)</f>
        <v>0</v>
      </c>
      <c r="BE368" s="24">
        <f ca="1">IFERROR(__xludf.DUMMYFUNCTION("""COMPUTED_VALUE"""),0)</f>
        <v>0</v>
      </c>
      <c r="BF368" s="24">
        <f ca="1">IFERROR(__xludf.DUMMYFUNCTION("""COMPUTED_VALUE"""),0)</f>
        <v>0</v>
      </c>
      <c r="BG368" s="24">
        <f ca="1">IFERROR(__xludf.DUMMYFUNCTION("""COMPUTED_VALUE"""),0)</f>
        <v>0</v>
      </c>
      <c r="BH368" s="24">
        <f ca="1">IFERROR(__xludf.DUMMYFUNCTION("""COMPUTED_VALUE"""),0)</f>
        <v>0</v>
      </c>
      <c r="BI368" s="20"/>
      <c r="BJ368" s="24">
        <f ca="1">IFERROR(__xludf.DUMMYFUNCTION("""COMPUTED_VALUE"""),3982.5)</f>
        <v>3982.5</v>
      </c>
      <c r="BK368" s="24">
        <f ca="1">IFERROR(__xludf.DUMMYFUNCTION("""COMPUTED_VALUE"""),0)</f>
        <v>0</v>
      </c>
      <c r="BL368" s="24">
        <f ca="1">IFERROR(__xludf.DUMMYFUNCTION("""COMPUTED_VALUE"""),3783.38)</f>
        <v>3783.38</v>
      </c>
      <c r="BM368" s="24">
        <f ca="1">IFERROR(__xludf.DUMMYFUNCTION("""COMPUTED_VALUE"""),0)</f>
        <v>0</v>
      </c>
      <c r="BN368" s="24">
        <f ca="1">IFERROR(__xludf.DUMMYFUNCTION("""COMPUTED_VALUE"""),199.12)</f>
        <v>199.12</v>
      </c>
      <c r="BO368" s="20"/>
      <c r="BP368" s="24">
        <f ca="1">IFERROR(__xludf.DUMMYFUNCTION("""COMPUTED_VALUE"""),40267.5)</f>
        <v>40267.5</v>
      </c>
      <c r="BQ368" s="24">
        <f ca="1">IFERROR(__xludf.DUMMYFUNCTION("""COMPUTED_VALUE"""),0)</f>
        <v>0</v>
      </c>
      <c r="BR368" s="24">
        <f ca="1">IFERROR(__xludf.DUMMYFUNCTION("""COMPUTED_VALUE"""),38254.13)</f>
        <v>38254.129999999997</v>
      </c>
      <c r="BS368" s="24">
        <f ca="1">IFERROR(__xludf.DUMMYFUNCTION("""COMPUTED_VALUE"""),0)</f>
        <v>0</v>
      </c>
      <c r="BT368" s="24">
        <f ca="1">IFERROR(__xludf.DUMMYFUNCTION("""COMPUTED_VALUE"""),2013.37)</f>
        <v>2013.37</v>
      </c>
      <c r="BU368" s="20"/>
      <c r="BV368" s="24">
        <f ca="1">IFERROR(__xludf.DUMMYFUNCTION("""COMPUTED_VALUE"""),0)</f>
        <v>0</v>
      </c>
      <c r="BW368" s="24">
        <f ca="1">IFERROR(__xludf.DUMMYFUNCTION("""COMPUTED_VALUE"""),0)</f>
        <v>0</v>
      </c>
      <c r="BX368" s="24">
        <f ca="1">IFERROR(__xludf.DUMMYFUNCTION("""COMPUTED_VALUE"""),0)</f>
        <v>0</v>
      </c>
      <c r="BY368" s="24">
        <f ca="1">IFERROR(__xludf.DUMMYFUNCTION("""COMPUTED_VALUE"""),0)</f>
        <v>0</v>
      </c>
      <c r="BZ368" s="24">
        <f ca="1">IFERROR(__xludf.DUMMYFUNCTION("""COMPUTED_VALUE"""),0)</f>
        <v>0</v>
      </c>
      <c r="CA368" s="20"/>
      <c r="CB368" s="20"/>
      <c r="CC368" s="20"/>
      <c r="CD368" s="20"/>
      <c r="CE368" s="20"/>
      <c r="CF368" s="20"/>
      <c r="CG368" s="20"/>
      <c r="CH368" s="20"/>
      <c r="CI368" s="20"/>
      <c r="CJ368" s="20"/>
      <c r="CK368" s="20"/>
      <c r="CL368" s="20"/>
      <c r="CM368" s="20"/>
      <c r="CN368" s="20"/>
      <c r="CO368" s="20"/>
      <c r="CP368" s="20"/>
      <c r="CQ368" s="20"/>
      <c r="CR368" s="20"/>
      <c r="CS368" s="20"/>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row>
    <row r="369" spans="1:123" ht="64.5" hidden="1" customHeight="1" x14ac:dyDescent="0.2">
      <c r="A369" s="19"/>
      <c r="B369" s="20" t="str">
        <f ca="1">IFERROR(__xludf.DUMMYFUNCTION("""COMPUTED_VALUE"""),"г.о. Лотошино")</f>
        <v>г.о. Лотошино</v>
      </c>
      <c r="C36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9" s="20" t="str">
        <f ca="1">IFERROR(__xludf.DUMMYFUNCTION("""COMPUTED_VALUE"""),"МинЖКХ ""ТОП 5 (2 этап)""")</f>
        <v>МинЖКХ "ТОП 5 (2 этап)"</v>
      </c>
      <c r="E369" s="20" t="str">
        <f ca="1">IFERROR(__xludf.DUMMYFUNCTION("""COMPUTED_VALUE"""),"Реконструкция котельной №16 по адресу с. Микулино, Микрорайон, д.19, г.о. Лотошино (в т.ч. ПИР)")</f>
        <v>Реконструкция котельной №16 по адресу с. Микулино, Микрорайон, д.19, г.о. Лотошино (в т.ч. ПИР)</v>
      </c>
      <c r="F369" s="32" t="str">
        <f ca="1">IFERROR(__xludf.DUMMYFUNCTION("""COMPUTED_VALUE"""),"Котельная")</f>
        <v>Котельная</v>
      </c>
      <c r="G369" s="20" t="str">
        <f ca="1">IFERROR(__xludf.DUMMYFUNCTION("""COMPUTED_VALUE"""),"2022-2023")</f>
        <v>2022-2023</v>
      </c>
      <c r="H369" s="20" t="str">
        <f ca="1">IFERROR(__xludf.DUMMYFUNCTION("""COMPUTED_VALUE"""),"СМР")</f>
        <v>СМР</v>
      </c>
      <c r="I369" s="20"/>
      <c r="J369" s="20"/>
      <c r="K369" s="20"/>
      <c r="L369" s="20"/>
      <c r="M369" s="20"/>
      <c r="N369" s="24">
        <f ca="1">IFERROR(__xludf.DUMMYFUNCTION("""COMPUTED_VALUE"""),0)</f>
        <v>0</v>
      </c>
      <c r="O369" s="20"/>
      <c r="P369" s="20"/>
      <c r="Q369" s="20"/>
      <c r="R369" s="20"/>
      <c r="S369" s="20"/>
      <c r="T369" s="20"/>
      <c r="U369" s="24">
        <f ca="1">IFERROR(__xludf.DUMMYFUNCTION("""COMPUTED_VALUE"""),0)</f>
        <v>0</v>
      </c>
      <c r="V369" s="24">
        <f ca="1">IFERROR(__xludf.DUMMYFUNCTION("""COMPUTED_VALUE"""),0)</f>
        <v>0</v>
      </c>
      <c r="W369" s="24">
        <f ca="1">IFERROR(__xludf.DUMMYFUNCTION("""COMPUTED_VALUE"""),0)</f>
        <v>0</v>
      </c>
      <c r="X369" s="24">
        <f ca="1">IFERROR(__xludf.DUMMYFUNCTION("""COMPUTED_VALUE"""),0)</f>
        <v>0</v>
      </c>
      <c r="Y369" s="24">
        <f ca="1">IFERROR(__xludf.DUMMYFUNCTION("""COMPUTED_VALUE"""),0)</f>
        <v>0</v>
      </c>
      <c r="Z369" s="24">
        <f ca="1">IFERROR(__xludf.DUMMYFUNCTION("""COMPUTED_VALUE"""),0)</f>
        <v>0</v>
      </c>
      <c r="AA369" s="20" t="str">
        <f ca="1">IFERROR(__xludf.DUMMYFUNCTION("""COMPUTED_VALUE"""),"10 3 02 64080")</f>
        <v>10 3 02 64080</v>
      </c>
      <c r="AB369" s="20">
        <f ca="1">IFERROR(__xludf.DUMMYFUNCTION("""COMPUTED_VALUE"""),522)</f>
        <v>522</v>
      </c>
      <c r="AC369" s="20"/>
      <c r="AD369" s="20"/>
      <c r="AE369" s="20"/>
      <c r="AF369" s="24">
        <f ca="1">IFERROR(__xludf.DUMMYFUNCTION("""COMPUTED_VALUE"""),45260)</f>
        <v>45260</v>
      </c>
      <c r="AG369" s="24">
        <f ca="1">IFERROR(__xludf.DUMMYFUNCTION("""COMPUTED_VALUE"""),0)</f>
        <v>0</v>
      </c>
      <c r="AH369" s="24">
        <f ca="1">IFERROR(__xludf.DUMMYFUNCTION("""COMPUTED_VALUE"""),42997)</f>
        <v>42997</v>
      </c>
      <c r="AI369" s="24">
        <f ca="1">IFERROR(__xludf.DUMMYFUNCTION("""COMPUTED_VALUE"""),0)</f>
        <v>0</v>
      </c>
      <c r="AJ369" s="24">
        <f ca="1">IFERROR(__xludf.DUMMYFUNCTION("""COMPUTED_VALUE"""),2263)</f>
        <v>2263</v>
      </c>
      <c r="AK369" s="24">
        <f ca="1">IFERROR(__xludf.DUMMYFUNCTION("""COMPUTED_VALUE"""),0)</f>
        <v>0</v>
      </c>
      <c r="AL369" s="24">
        <f ca="1">IFERROR(__xludf.DUMMYFUNCTION("""COMPUTED_VALUE"""),0)</f>
        <v>0</v>
      </c>
      <c r="AM369" s="20"/>
      <c r="AN369" s="20"/>
      <c r="AO369" s="20"/>
      <c r="AP369" s="20"/>
      <c r="AQ369" s="20"/>
      <c r="AR369" s="24">
        <f ca="1">IFERROR(__xludf.DUMMYFUNCTION("""COMPUTED_VALUE"""),0)</f>
        <v>0</v>
      </c>
      <c r="AS369" s="20"/>
      <c r="AT369" s="20"/>
      <c r="AU369" s="20"/>
      <c r="AV369" s="20"/>
      <c r="AW369" s="20"/>
      <c r="AX369" s="24">
        <f ca="1">IFERROR(__xludf.DUMMYFUNCTION("""COMPUTED_VALUE"""),0)</f>
        <v>0</v>
      </c>
      <c r="AY369" s="24">
        <f ca="1">IFERROR(__xludf.DUMMYFUNCTION("""COMPUTED_VALUE"""),0)</f>
        <v>0</v>
      </c>
      <c r="AZ369" s="24">
        <f ca="1">IFERROR(__xludf.DUMMYFUNCTION("""COMPUTED_VALUE"""),0)</f>
        <v>0</v>
      </c>
      <c r="BA369" s="24">
        <f ca="1">IFERROR(__xludf.DUMMYFUNCTION("""COMPUTED_VALUE"""),0)</f>
        <v>0</v>
      </c>
      <c r="BB369" s="24">
        <f ca="1">IFERROR(__xludf.DUMMYFUNCTION("""COMPUTED_VALUE"""),0)</f>
        <v>0</v>
      </c>
      <c r="BC369" s="20"/>
      <c r="BD369" s="24">
        <f ca="1">IFERROR(__xludf.DUMMYFUNCTION("""COMPUTED_VALUE"""),0)</f>
        <v>0</v>
      </c>
      <c r="BE369" s="24">
        <f ca="1">IFERROR(__xludf.DUMMYFUNCTION("""COMPUTED_VALUE"""),0)</f>
        <v>0</v>
      </c>
      <c r="BF369" s="24">
        <f ca="1">IFERROR(__xludf.DUMMYFUNCTION("""COMPUTED_VALUE"""),0)</f>
        <v>0</v>
      </c>
      <c r="BG369" s="24">
        <f ca="1">IFERROR(__xludf.DUMMYFUNCTION("""COMPUTED_VALUE"""),0)</f>
        <v>0</v>
      </c>
      <c r="BH369" s="24">
        <f ca="1">IFERROR(__xludf.DUMMYFUNCTION("""COMPUTED_VALUE"""),0)</f>
        <v>0</v>
      </c>
      <c r="BI369" s="20"/>
      <c r="BJ369" s="24">
        <f ca="1">IFERROR(__xludf.DUMMYFUNCTION("""COMPUTED_VALUE"""),4073.4)</f>
        <v>4073.4</v>
      </c>
      <c r="BK369" s="24">
        <f ca="1">IFERROR(__xludf.DUMMYFUNCTION("""COMPUTED_VALUE"""),0)</f>
        <v>0</v>
      </c>
      <c r="BL369" s="24">
        <f ca="1">IFERROR(__xludf.DUMMYFUNCTION("""COMPUTED_VALUE"""),3869.73)</f>
        <v>3869.73</v>
      </c>
      <c r="BM369" s="24">
        <f ca="1">IFERROR(__xludf.DUMMYFUNCTION("""COMPUTED_VALUE"""),0)</f>
        <v>0</v>
      </c>
      <c r="BN369" s="24">
        <f ca="1">IFERROR(__xludf.DUMMYFUNCTION("""COMPUTED_VALUE"""),203.67)</f>
        <v>203.67</v>
      </c>
      <c r="BO369" s="20"/>
      <c r="BP369" s="24">
        <f ca="1">IFERROR(__xludf.DUMMYFUNCTION("""COMPUTED_VALUE"""),41186.6)</f>
        <v>41186.6</v>
      </c>
      <c r="BQ369" s="24">
        <f ca="1">IFERROR(__xludf.DUMMYFUNCTION("""COMPUTED_VALUE"""),0)</f>
        <v>0</v>
      </c>
      <c r="BR369" s="24">
        <f ca="1">IFERROR(__xludf.DUMMYFUNCTION("""COMPUTED_VALUE"""),39127.27)</f>
        <v>39127.269999999997</v>
      </c>
      <c r="BS369" s="24">
        <f ca="1">IFERROR(__xludf.DUMMYFUNCTION("""COMPUTED_VALUE"""),0)</f>
        <v>0</v>
      </c>
      <c r="BT369" s="24">
        <f ca="1">IFERROR(__xludf.DUMMYFUNCTION("""COMPUTED_VALUE"""),2059.33)</f>
        <v>2059.33</v>
      </c>
      <c r="BU369" s="20"/>
      <c r="BV369" s="24">
        <f ca="1">IFERROR(__xludf.DUMMYFUNCTION("""COMPUTED_VALUE"""),0)</f>
        <v>0</v>
      </c>
      <c r="BW369" s="24">
        <f ca="1">IFERROR(__xludf.DUMMYFUNCTION("""COMPUTED_VALUE"""),0)</f>
        <v>0</v>
      </c>
      <c r="BX369" s="24">
        <f ca="1">IFERROR(__xludf.DUMMYFUNCTION("""COMPUTED_VALUE"""),0)</f>
        <v>0</v>
      </c>
      <c r="BY369" s="24">
        <f ca="1">IFERROR(__xludf.DUMMYFUNCTION("""COMPUTED_VALUE"""),0)</f>
        <v>0</v>
      </c>
      <c r="BZ369" s="24">
        <f ca="1">IFERROR(__xludf.DUMMYFUNCTION("""COMPUTED_VALUE"""),0)</f>
        <v>0</v>
      </c>
      <c r="CA369" s="20"/>
      <c r="CB369" s="20"/>
      <c r="CC369" s="20"/>
      <c r="CD369" s="20"/>
      <c r="CE369" s="20"/>
      <c r="CF369" s="20"/>
      <c r="CG369" s="20"/>
      <c r="CH369" s="20"/>
      <c r="CI369" s="20"/>
      <c r="CJ369" s="20"/>
      <c r="CK369" s="20"/>
      <c r="CL369" s="20"/>
      <c r="CM369" s="20"/>
      <c r="CN369" s="20"/>
      <c r="CO369" s="20"/>
      <c r="CP369" s="20"/>
      <c r="CQ369" s="20"/>
      <c r="CR369" s="20"/>
      <c r="CS369" s="20"/>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row>
    <row r="370" spans="1:123" ht="64.5" hidden="1" customHeight="1" x14ac:dyDescent="0.2">
      <c r="A370" s="19"/>
      <c r="B370" s="20" t="str">
        <f ca="1">IFERROR(__xludf.DUMMYFUNCTION("""COMPUTED_VALUE"""),"г.о. Талдомский")</f>
        <v>г.о. Талдомский</v>
      </c>
      <c r="C37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0" s="20" t="str">
        <f ca="1">IFERROR(__xludf.DUMMYFUNCTION("""COMPUTED_VALUE"""),"МинЖКХ ""ТОП 5 (2 этап)""")</f>
        <v>МинЖКХ "ТОП 5 (2 этап)"</v>
      </c>
      <c r="E370" s="20" t="str">
        <f ca="1">IFERROR(__xludf.DUMMYFUNCTION("""COMPUTED_VALUE"""),"Реконструкция котельной №2 по адресу г. Талдом, Промышленный проезд, д.12, г.о. Талдомский (в т.ч. ПИР, ТП)")</f>
        <v>Реконструкция котельной №2 по адресу г. Талдом, Промышленный проезд, д.12, г.о. Талдомский (в т.ч. ПИР, ТП)</v>
      </c>
      <c r="F370" s="32" t="str">
        <f ca="1">IFERROR(__xludf.DUMMYFUNCTION("""COMPUTED_VALUE"""),"Котельная")</f>
        <v>Котельная</v>
      </c>
      <c r="G370" s="20" t="str">
        <f ca="1">IFERROR(__xludf.DUMMYFUNCTION("""COMPUTED_VALUE"""),"2022-2023")</f>
        <v>2022-2023</v>
      </c>
      <c r="H370" s="20" t="str">
        <f ca="1">IFERROR(__xludf.DUMMYFUNCTION("""COMPUTED_VALUE"""),"СМР")</f>
        <v>СМР</v>
      </c>
      <c r="I370" s="20"/>
      <c r="J370" s="20"/>
      <c r="K370" s="20"/>
      <c r="L370" s="20"/>
      <c r="M370" s="20"/>
      <c r="N370" s="24">
        <f ca="1">IFERROR(__xludf.DUMMYFUNCTION("""COMPUTED_VALUE"""),0)</f>
        <v>0</v>
      </c>
      <c r="O370" s="20"/>
      <c r="P370" s="20"/>
      <c r="Q370" s="20"/>
      <c r="R370" s="20"/>
      <c r="S370" s="20"/>
      <c r="T370" s="20"/>
      <c r="U370" s="24">
        <f ca="1">IFERROR(__xludf.DUMMYFUNCTION("""COMPUTED_VALUE"""),0)</f>
        <v>0</v>
      </c>
      <c r="V370" s="24">
        <f ca="1">IFERROR(__xludf.DUMMYFUNCTION("""COMPUTED_VALUE"""),0)</f>
        <v>0</v>
      </c>
      <c r="W370" s="24">
        <f ca="1">IFERROR(__xludf.DUMMYFUNCTION("""COMPUTED_VALUE"""),0)</f>
        <v>0</v>
      </c>
      <c r="X370" s="24">
        <f ca="1">IFERROR(__xludf.DUMMYFUNCTION("""COMPUTED_VALUE"""),0)</f>
        <v>0</v>
      </c>
      <c r="Y370" s="24">
        <f ca="1">IFERROR(__xludf.DUMMYFUNCTION("""COMPUTED_VALUE"""),0)</f>
        <v>0</v>
      </c>
      <c r="Z370" s="24">
        <f ca="1">IFERROR(__xludf.DUMMYFUNCTION("""COMPUTED_VALUE"""),0)</f>
        <v>0</v>
      </c>
      <c r="AA370" s="20" t="str">
        <f ca="1">IFERROR(__xludf.DUMMYFUNCTION("""COMPUTED_VALUE"""),"10 3 02 64080")</f>
        <v>10 3 02 64080</v>
      </c>
      <c r="AB370" s="20">
        <f ca="1">IFERROR(__xludf.DUMMYFUNCTION("""COMPUTED_VALUE"""),522)</f>
        <v>522</v>
      </c>
      <c r="AC370" s="20"/>
      <c r="AD370" s="20"/>
      <c r="AE370" s="20"/>
      <c r="AF370" s="24">
        <f ca="1">IFERROR(__xludf.DUMMYFUNCTION("""COMPUTED_VALUE"""),32280)</f>
        <v>32280</v>
      </c>
      <c r="AG370" s="24">
        <f ca="1">IFERROR(__xludf.DUMMYFUNCTION("""COMPUTED_VALUE"""),0)</f>
        <v>0</v>
      </c>
      <c r="AH370" s="24">
        <f ca="1">IFERROR(__xludf.DUMMYFUNCTION("""COMPUTED_VALUE"""),28085.64)</f>
        <v>28085.64</v>
      </c>
      <c r="AI370" s="24">
        <f ca="1">IFERROR(__xludf.DUMMYFUNCTION("""COMPUTED_VALUE"""),0)</f>
        <v>0</v>
      </c>
      <c r="AJ370" s="24">
        <f ca="1">IFERROR(__xludf.DUMMYFUNCTION("""COMPUTED_VALUE"""),4194.36)</f>
        <v>4194.3599999999997</v>
      </c>
      <c r="AK370" s="24">
        <f ca="1">IFERROR(__xludf.DUMMYFUNCTION("""COMPUTED_VALUE"""),0)</f>
        <v>0</v>
      </c>
      <c r="AL370" s="24">
        <f ca="1">IFERROR(__xludf.DUMMYFUNCTION("""COMPUTED_VALUE"""),0)</f>
        <v>0</v>
      </c>
      <c r="AM370" s="20"/>
      <c r="AN370" s="20"/>
      <c r="AO370" s="20"/>
      <c r="AP370" s="20"/>
      <c r="AQ370" s="20"/>
      <c r="AR370" s="24">
        <f ca="1">IFERROR(__xludf.DUMMYFUNCTION("""COMPUTED_VALUE"""),0)</f>
        <v>0</v>
      </c>
      <c r="AS370" s="20"/>
      <c r="AT370" s="20"/>
      <c r="AU370" s="20"/>
      <c r="AV370" s="20"/>
      <c r="AW370" s="20"/>
      <c r="AX370" s="24">
        <f ca="1">IFERROR(__xludf.DUMMYFUNCTION("""COMPUTED_VALUE"""),0)</f>
        <v>0</v>
      </c>
      <c r="AY370" s="24">
        <f ca="1">IFERROR(__xludf.DUMMYFUNCTION("""COMPUTED_VALUE"""),0)</f>
        <v>0</v>
      </c>
      <c r="AZ370" s="24">
        <f ca="1">IFERROR(__xludf.DUMMYFUNCTION("""COMPUTED_VALUE"""),0)</f>
        <v>0</v>
      </c>
      <c r="BA370" s="24">
        <f ca="1">IFERROR(__xludf.DUMMYFUNCTION("""COMPUTED_VALUE"""),0)</f>
        <v>0</v>
      </c>
      <c r="BB370" s="24">
        <f ca="1">IFERROR(__xludf.DUMMYFUNCTION("""COMPUTED_VALUE"""),0)</f>
        <v>0</v>
      </c>
      <c r="BC370" s="20"/>
      <c r="BD370" s="24">
        <f ca="1">IFERROR(__xludf.DUMMYFUNCTION("""COMPUTED_VALUE"""),0)</f>
        <v>0</v>
      </c>
      <c r="BE370" s="24">
        <f ca="1">IFERROR(__xludf.DUMMYFUNCTION("""COMPUTED_VALUE"""),0)</f>
        <v>0</v>
      </c>
      <c r="BF370" s="24">
        <f ca="1">IFERROR(__xludf.DUMMYFUNCTION("""COMPUTED_VALUE"""),0)</f>
        <v>0</v>
      </c>
      <c r="BG370" s="24">
        <f ca="1">IFERROR(__xludf.DUMMYFUNCTION("""COMPUTED_VALUE"""),0)</f>
        <v>0</v>
      </c>
      <c r="BH370" s="24">
        <f ca="1">IFERROR(__xludf.DUMMYFUNCTION("""COMPUTED_VALUE"""),0)</f>
        <v>0</v>
      </c>
      <c r="BI370" s="20"/>
      <c r="BJ370" s="24">
        <f ca="1">IFERROR(__xludf.DUMMYFUNCTION("""COMPUTED_VALUE"""),2040)</f>
        <v>2040</v>
      </c>
      <c r="BK370" s="24">
        <f ca="1">IFERROR(__xludf.DUMMYFUNCTION("""COMPUTED_VALUE"""),0)</f>
        <v>0</v>
      </c>
      <c r="BL370" s="24">
        <f ca="1">IFERROR(__xludf.DUMMYFUNCTION("""COMPUTED_VALUE"""),1776.84)</f>
        <v>1776.84</v>
      </c>
      <c r="BM370" s="24">
        <f ca="1">IFERROR(__xludf.DUMMYFUNCTION("""COMPUTED_VALUE"""),0)</f>
        <v>0</v>
      </c>
      <c r="BN370" s="24">
        <f ca="1">IFERROR(__xludf.DUMMYFUNCTION("""COMPUTED_VALUE"""),263.16)</f>
        <v>263.16000000000003</v>
      </c>
      <c r="BO370" s="20"/>
      <c r="BP370" s="24">
        <f ca="1">IFERROR(__xludf.DUMMYFUNCTION("""COMPUTED_VALUE"""),30240)</f>
        <v>30240</v>
      </c>
      <c r="BQ370" s="24">
        <f ca="1">IFERROR(__xludf.DUMMYFUNCTION("""COMPUTED_VALUE"""),0)</f>
        <v>0</v>
      </c>
      <c r="BR370" s="24">
        <f ca="1">IFERROR(__xludf.DUMMYFUNCTION("""COMPUTED_VALUE"""),26308.8)</f>
        <v>26308.799999999999</v>
      </c>
      <c r="BS370" s="24">
        <f ca="1">IFERROR(__xludf.DUMMYFUNCTION("""COMPUTED_VALUE"""),0)</f>
        <v>0</v>
      </c>
      <c r="BT370" s="24">
        <f ca="1">IFERROR(__xludf.DUMMYFUNCTION("""COMPUTED_VALUE"""),3931.2)</f>
        <v>3931.2</v>
      </c>
      <c r="BU370" s="20"/>
      <c r="BV370" s="24">
        <f ca="1">IFERROR(__xludf.DUMMYFUNCTION("""COMPUTED_VALUE"""),0)</f>
        <v>0</v>
      </c>
      <c r="BW370" s="24">
        <f ca="1">IFERROR(__xludf.DUMMYFUNCTION("""COMPUTED_VALUE"""),0)</f>
        <v>0</v>
      </c>
      <c r="BX370" s="24">
        <f ca="1">IFERROR(__xludf.DUMMYFUNCTION("""COMPUTED_VALUE"""),0)</f>
        <v>0</v>
      </c>
      <c r="BY370" s="24">
        <f ca="1">IFERROR(__xludf.DUMMYFUNCTION("""COMPUTED_VALUE"""),0)</f>
        <v>0</v>
      </c>
      <c r="BZ370" s="24">
        <f ca="1">IFERROR(__xludf.DUMMYFUNCTION("""COMPUTED_VALUE"""),0)</f>
        <v>0</v>
      </c>
      <c r="CA370" s="20"/>
      <c r="CB370" s="20"/>
      <c r="CC370" s="20"/>
      <c r="CD370" s="20"/>
      <c r="CE370" s="20"/>
      <c r="CF370" s="20"/>
      <c r="CG370" s="20"/>
      <c r="CH370" s="20"/>
      <c r="CI370" s="20"/>
      <c r="CJ370" s="20"/>
      <c r="CK370" s="20"/>
      <c r="CL370" s="20"/>
      <c r="CM370" s="20"/>
      <c r="CN370" s="20"/>
      <c r="CO370" s="20"/>
      <c r="CP370" s="20"/>
      <c r="CQ370" s="20"/>
      <c r="CR370" s="20"/>
      <c r="CS370" s="20"/>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row>
    <row r="371" spans="1:123" ht="64.5" hidden="1" customHeight="1" x14ac:dyDescent="0.2">
      <c r="A371" s="19"/>
      <c r="B371" s="20" t="str">
        <f ca="1">IFERROR(__xludf.DUMMYFUNCTION("""COMPUTED_VALUE"""),"г.о. Талдомский")</f>
        <v>г.о. Талдомский</v>
      </c>
      <c r="C37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1" s="20" t="str">
        <f ca="1">IFERROR(__xludf.DUMMYFUNCTION("""COMPUTED_VALUE"""),"МинЖКХ ""ТОП 5 (2 этап)""")</f>
        <v>МинЖКХ "ТОП 5 (2 этап)"</v>
      </c>
      <c r="E371" s="20" t="str">
        <f ca="1">IFERROR(__xludf.DUMMYFUNCTION("""COMPUTED_VALUE"""),"Реконструкция котельной ""Баня"", г. Талдом, ул. Садовая, д.17, г.о. Талдомский (в т.ч. ПИР, ТП)")</f>
        <v>Реконструкция котельной "Баня", г. Талдом, ул. Садовая, д.17, г.о. Талдомский (в т.ч. ПИР, ТП)</v>
      </c>
      <c r="F371" s="32" t="str">
        <f ca="1">IFERROR(__xludf.DUMMYFUNCTION("""COMPUTED_VALUE"""),"Котельная")</f>
        <v>Котельная</v>
      </c>
      <c r="G371" s="20" t="str">
        <f ca="1">IFERROR(__xludf.DUMMYFUNCTION("""COMPUTED_VALUE"""),"2023-2024")</f>
        <v>2023-2024</v>
      </c>
      <c r="H371" s="20" t="str">
        <f ca="1">IFERROR(__xludf.DUMMYFUNCTION("""COMPUTED_VALUE"""),"СМР")</f>
        <v>СМР</v>
      </c>
      <c r="I371" s="20"/>
      <c r="J371" s="20"/>
      <c r="K371" s="20"/>
      <c r="L371" s="20"/>
      <c r="M371" s="20"/>
      <c r="N371" s="24">
        <f ca="1">IFERROR(__xludf.DUMMYFUNCTION("""COMPUTED_VALUE"""),0)</f>
        <v>0</v>
      </c>
      <c r="O371" s="20"/>
      <c r="P371" s="20"/>
      <c r="Q371" s="20"/>
      <c r="R371" s="20"/>
      <c r="S371" s="20"/>
      <c r="T371" s="20"/>
      <c r="U371" s="24">
        <f ca="1">IFERROR(__xludf.DUMMYFUNCTION("""COMPUTED_VALUE"""),0)</f>
        <v>0</v>
      </c>
      <c r="V371" s="24">
        <f ca="1">IFERROR(__xludf.DUMMYFUNCTION("""COMPUTED_VALUE"""),0)</f>
        <v>0</v>
      </c>
      <c r="W371" s="24">
        <f ca="1">IFERROR(__xludf.DUMMYFUNCTION("""COMPUTED_VALUE"""),0)</f>
        <v>0</v>
      </c>
      <c r="X371" s="24">
        <f ca="1">IFERROR(__xludf.DUMMYFUNCTION("""COMPUTED_VALUE"""),0)</f>
        <v>0</v>
      </c>
      <c r="Y371" s="24">
        <f ca="1">IFERROR(__xludf.DUMMYFUNCTION("""COMPUTED_VALUE"""),0)</f>
        <v>0</v>
      </c>
      <c r="Z371" s="24">
        <f ca="1">IFERROR(__xludf.DUMMYFUNCTION("""COMPUTED_VALUE"""),0)</f>
        <v>0</v>
      </c>
      <c r="AA371" s="20" t="str">
        <f ca="1">IFERROR(__xludf.DUMMYFUNCTION("""COMPUTED_VALUE"""),"10 3 02 64080")</f>
        <v>10 3 02 64080</v>
      </c>
      <c r="AB371" s="20">
        <f ca="1">IFERROR(__xludf.DUMMYFUNCTION("""COMPUTED_VALUE"""),522)</f>
        <v>522</v>
      </c>
      <c r="AC371" s="20"/>
      <c r="AD371" s="20"/>
      <c r="AE371" s="20"/>
      <c r="AF371" s="24">
        <f ca="1">IFERROR(__xludf.DUMMYFUNCTION("""COMPUTED_VALUE"""),3510)</f>
        <v>3510</v>
      </c>
      <c r="AG371" s="24">
        <f ca="1">IFERROR(__xludf.DUMMYFUNCTION("""COMPUTED_VALUE"""),0)</f>
        <v>0</v>
      </c>
      <c r="AH371" s="24">
        <f ca="1">IFERROR(__xludf.DUMMYFUNCTION("""COMPUTED_VALUE"""),3053.91)</f>
        <v>3053.91</v>
      </c>
      <c r="AI371" s="24">
        <f ca="1">IFERROR(__xludf.DUMMYFUNCTION("""COMPUTED_VALUE"""),0)</f>
        <v>0</v>
      </c>
      <c r="AJ371" s="24">
        <f ca="1">IFERROR(__xludf.DUMMYFUNCTION("""COMPUTED_VALUE"""),456.09)</f>
        <v>456.09</v>
      </c>
      <c r="AK371" s="24">
        <f ca="1">IFERROR(__xludf.DUMMYFUNCTION("""COMPUTED_VALUE"""),0)</f>
        <v>0</v>
      </c>
      <c r="AL371" s="24">
        <f ca="1">IFERROR(__xludf.DUMMYFUNCTION("""COMPUTED_VALUE"""),0)</f>
        <v>0</v>
      </c>
      <c r="AM371" s="20"/>
      <c r="AN371" s="20"/>
      <c r="AO371" s="20"/>
      <c r="AP371" s="20"/>
      <c r="AQ371" s="20"/>
      <c r="AR371" s="24">
        <f ca="1">IFERROR(__xludf.DUMMYFUNCTION("""COMPUTED_VALUE"""),0)</f>
        <v>0</v>
      </c>
      <c r="AS371" s="20"/>
      <c r="AT371" s="20"/>
      <c r="AU371" s="20"/>
      <c r="AV371" s="20"/>
      <c r="AW371" s="20"/>
      <c r="AX371" s="24">
        <f ca="1">IFERROR(__xludf.DUMMYFUNCTION("""COMPUTED_VALUE"""),0)</f>
        <v>0</v>
      </c>
      <c r="AY371" s="24">
        <f ca="1">IFERROR(__xludf.DUMMYFUNCTION("""COMPUTED_VALUE"""),0)</f>
        <v>0</v>
      </c>
      <c r="AZ371" s="24">
        <f ca="1">IFERROR(__xludf.DUMMYFUNCTION("""COMPUTED_VALUE"""),0)</f>
        <v>0</v>
      </c>
      <c r="BA371" s="24">
        <f ca="1">IFERROR(__xludf.DUMMYFUNCTION("""COMPUTED_VALUE"""),0)</f>
        <v>0</v>
      </c>
      <c r="BB371" s="24">
        <f ca="1">IFERROR(__xludf.DUMMYFUNCTION("""COMPUTED_VALUE"""),0)</f>
        <v>0</v>
      </c>
      <c r="BC371" s="20"/>
      <c r="BD371" s="24">
        <f ca="1">IFERROR(__xludf.DUMMYFUNCTION("""COMPUTED_VALUE"""),0)</f>
        <v>0</v>
      </c>
      <c r="BE371" s="24">
        <f ca="1">IFERROR(__xludf.DUMMYFUNCTION("""COMPUTED_VALUE"""),0)</f>
        <v>0</v>
      </c>
      <c r="BF371" s="24">
        <f ca="1">IFERROR(__xludf.DUMMYFUNCTION("""COMPUTED_VALUE"""),0)</f>
        <v>0</v>
      </c>
      <c r="BG371" s="24">
        <f ca="1">IFERROR(__xludf.DUMMYFUNCTION("""COMPUTED_VALUE"""),0)</f>
        <v>0</v>
      </c>
      <c r="BH371" s="24">
        <f ca="1">IFERROR(__xludf.DUMMYFUNCTION("""COMPUTED_VALUE"""),0)</f>
        <v>0</v>
      </c>
      <c r="BI371" s="20"/>
      <c r="BJ371" s="24">
        <f ca="1">IFERROR(__xludf.DUMMYFUNCTION("""COMPUTED_VALUE"""),0)</f>
        <v>0</v>
      </c>
      <c r="BK371" s="24">
        <f ca="1">IFERROR(__xludf.DUMMYFUNCTION("""COMPUTED_VALUE"""),0)</f>
        <v>0</v>
      </c>
      <c r="BL371" s="24">
        <f ca="1">IFERROR(__xludf.DUMMYFUNCTION("""COMPUTED_VALUE"""),0)</f>
        <v>0</v>
      </c>
      <c r="BM371" s="24">
        <f ca="1">IFERROR(__xludf.DUMMYFUNCTION("""COMPUTED_VALUE"""),0)</f>
        <v>0</v>
      </c>
      <c r="BN371" s="24">
        <f ca="1">IFERROR(__xludf.DUMMYFUNCTION("""COMPUTED_VALUE"""),0)</f>
        <v>0</v>
      </c>
      <c r="BO371" s="20"/>
      <c r="BP371" s="24">
        <f ca="1">IFERROR(__xludf.DUMMYFUNCTION("""COMPUTED_VALUE"""),210)</f>
        <v>210</v>
      </c>
      <c r="BQ371" s="24">
        <f ca="1">IFERROR(__xludf.DUMMYFUNCTION("""COMPUTED_VALUE"""),0)</f>
        <v>0</v>
      </c>
      <c r="BR371" s="24">
        <f ca="1">IFERROR(__xludf.DUMMYFUNCTION("""COMPUTED_VALUE"""),182.91)</f>
        <v>182.91</v>
      </c>
      <c r="BS371" s="24">
        <f ca="1">IFERROR(__xludf.DUMMYFUNCTION("""COMPUTED_VALUE"""),0)</f>
        <v>0</v>
      </c>
      <c r="BT371" s="24">
        <f ca="1">IFERROR(__xludf.DUMMYFUNCTION("""COMPUTED_VALUE"""),27.09)</f>
        <v>27.09</v>
      </c>
      <c r="BU371" s="20"/>
      <c r="BV371" s="24">
        <f ca="1">IFERROR(__xludf.DUMMYFUNCTION("""COMPUTED_VALUE"""),3300)</f>
        <v>3300</v>
      </c>
      <c r="BW371" s="24">
        <f ca="1">IFERROR(__xludf.DUMMYFUNCTION("""COMPUTED_VALUE"""),0)</f>
        <v>0</v>
      </c>
      <c r="BX371" s="24">
        <f ca="1">IFERROR(__xludf.DUMMYFUNCTION("""COMPUTED_VALUE"""),2871)</f>
        <v>2871</v>
      </c>
      <c r="BY371" s="24">
        <f ca="1">IFERROR(__xludf.DUMMYFUNCTION("""COMPUTED_VALUE"""),0)</f>
        <v>0</v>
      </c>
      <c r="BZ371" s="24">
        <f ca="1">IFERROR(__xludf.DUMMYFUNCTION("""COMPUTED_VALUE"""),429)</f>
        <v>429</v>
      </c>
      <c r="CA371" s="20"/>
      <c r="CB371" s="20"/>
      <c r="CC371" s="20"/>
      <c r="CD371" s="20"/>
      <c r="CE371" s="20"/>
      <c r="CF371" s="20"/>
      <c r="CG371" s="20"/>
      <c r="CH371" s="20"/>
      <c r="CI371" s="20"/>
      <c r="CJ371" s="20"/>
      <c r="CK371" s="20"/>
      <c r="CL371" s="20"/>
      <c r="CM371" s="20"/>
      <c r="CN371" s="20"/>
      <c r="CO371" s="20"/>
      <c r="CP371" s="20"/>
      <c r="CQ371" s="20"/>
      <c r="CR371" s="20"/>
      <c r="CS371" s="20"/>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row>
    <row r="372" spans="1:123" ht="64.5" hidden="1" customHeight="1" x14ac:dyDescent="0.2">
      <c r="A372" s="19"/>
      <c r="B372" s="20" t="str">
        <f ca="1">IFERROR(__xludf.DUMMYFUNCTION("""COMPUTED_VALUE"""),"г.о. Талдомский")</f>
        <v>г.о. Талдомский</v>
      </c>
      <c r="C37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2" s="20" t="str">
        <f ca="1">IFERROR(__xludf.DUMMYFUNCTION("""COMPUTED_VALUE"""),"МинЖКХ ""ТОП 5 (2 этап)""")</f>
        <v>МинЖКХ "ТОП 5 (2 этап)"</v>
      </c>
      <c r="E372" s="20" t="str">
        <f ca="1">IFERROR(__xludf.DUMMYFUNCTION("""COMPUTED_VALUE"""),"Реконструкция котельной ""Юркино"", д. Юркино, г.о. Талдомский (в т.ч. ПИР, ТП)")</f>
        <v>Реконструкция котельной "Юркино", д. Юркино, г.о. Талдомский (в т.ч. ПИР, ТП)</v>
      </c>
      <c r="F372" s="32" t="str">
        <f ca="1">IFERROR(__xludf.DUMMYFUNCTION("""COMPUTED_VALUE"""),"Котельная")</f>
        <v>Котельная</v>
      </c>
      <c r="G372" s="20" t="str">
        <f ca="1">IFERROR(__xludf.DUMMYFUNCTION("""COMPUTED_VALUE"""),"2023-2024")</f>
        <v>2023-2024</v>
      </c>
      <c r="H372" s="20" t="str">
        <f ca="1">IFERROR(__xludf.DUMMYFUNCTION("""COMPUTED_VALUE"""),"СМР")</f>
        <v>СМР</v>
      </c>
      <c r="I372" s="20"/>
      <c r="J372" s="20"/>
      <c r="K372" s="20"/>
      <c r="L372" s="20"/>
      <c r="M372" s="20"/>
      <c r="N372" s="24">
        <f ca="1">IFERROR(__xludf.DUMMYFUNCTION("""COMPUTED_VALUE"""),0)</f>
        <v>0</v>
      </c>
      <c r="O372" s="20"/>
      <c r="P372" s="20"/>
      <c r="Q372" s="20"/>
      <c r="R372" s="20"/>
      <c r="S372" s="20"/>
      <c r="T372" s="20"/>
      <c r="U372" s="24">
        <f ca="1">IFERROR(__xludf.DUMMYFUNCTION("""COMPUTED_VALUE"""),0)</f>
        <v>0</v>
      </c>
      <c r="V372" s="24">
        <f ca="1">IFERROR(__xludf.DUMMYFUNCTION("""COMPUTED_VALUE"""),0)</f>
        <v>0</v>
      </c>
      <c r="W372" s="24">
        <f ca="1">IFERROR(__xludf.DUMMYFUNCTION("""COMPUTED_VALUE"""),0)</f>
        <v>0</v>
      </c>
      <c r="X372" s="24">
        <f ca="1">IFERROR(__xludf.DUMMYFUNCTION("""COMPUTED_VALUE"""),0)</f>
        <v>0</v>
      </c>
      <c r="Y372" s="24">
        <f ca="1">IFERROR(__xludf.DUMMYFUNCTION("""COMPUTED_VALUE"""),0)</f>
        <v>0</v>
      </c>
      <c r="Z372" s="24">
        <f ca="1">IFERROR(__xludf.DUMMYFUNCTION("""COMPUTED_VALUE"""),0)</f>
        <v>0</v>
      </c>
      <c r="AA372" s="20" t="str">
        <f ca="1">IFERROR(__xludf.DUMMYFUNCTION("""COMPUTED_VALUE"""),"10 3 02 64080")</f>
        <v>10 3 02 64080</v>
      </c>
      <c r="AB372" s="20">
        <f ca="1">IFERROR(__xludf.DUMMYFUNCTION("""COMPUTED_VALUE"""),522)</f>
        <v>522</v>
      </c>
      <c r="AC372" s="20"/>
      <c r="AD372" s="20"/>
      <c r="AE372" s="20"/>
      <c r="AF372" s="24">
        <f ca="1">IFERROR(__xludf.DUMMYFUNCTION("""COMPUTED_VALUE"""),10194)</f>
        <v>10194</v>
      </c>
      <c r="AG372" s="24">
        <f ca="1">IFERROR(__xludf.DUMMYFUNCTION("""COMPUTED_VALUE"""),0)</f>
        <v>0</v>
      </c>
      <c r="AH372" s="24">
        <f ca="1">IFERROR(__xludf.DUMMYFUNCTION("""COMPUTED_VALUE"""),8869.37)</f>
        <v>8869.3700000000008</v>
      </c>
      <c r="AI372" s="24">
        <f ca="1">IFERROR(__xludf.DUMMYFUNCTION("""COMPUTED_VALUE"""),0)</f>
        <v>0</v>
      </c>
      <c r="AJ372" s="24">
        <f ca="1">IFERROR(__xludf.DUMMYFUNCTION("""COMPUTED_VALUE"""),1324.63)</f>
        <v>1324.63</v>
      </c>
      <c r="AK372" s="24">
        <f ca="1">IFERROR(__xludf.DUMMYFUNCTION("""COMPUTED_VALUE"""),0)</f>
        <v>0</v>
      </c>
      <c r="AL372" s="24">
        <f ca="1">IFERROR(__xludf.DUMMYFUNCTION("""COMPUTED_VALUE"""),0)</f>
        <v>0</v>
      </c>
      <c r="AM372" s="20"/>
      <c r="AN372" s="20"/>
      <c r="AO372" s="20"/>
      <c r="AP372" s="20"/>
      <c r="AQ372" s="20"/>
      <c r="AR372" s="24">
        <f ca="1">IFERROR(__xludf.DUMMYFUNCTION("""COMPUTED_VALUE"""),0)</f>
        <v>0</v>
      </c>
      <c r="AS372" s="20"/>
      <c r="AT372" s="20"/>
      <c r="AU372" s="20"/>
      <c r="AV372" s="20"/>
      <c r="AW372" s="20"/>
      <c r="AX372" s="24">
        <f ca="1">IFERROR(__xludf.DUMMYFUNCTION("""COMPUTED_VALUE"""),0)</f>
        <v>0</v>
      </c>
      <c r="AY372" s="24">
        <f ca="1">IFERROR(__xludf.DUMMYFUNCTION("""COMPUTED_VALUE"""),0)</f>
        <v>0</v>
      </c>
      <c r="AZ372" s="24">
        <f ca="1">IFERROR(__xludf.DUMMYFUNCTION("""COMPUTED_VALUE"""),0)</f>
        <v>0</v>
      </c>
      <c r="BA372" s="24">
        <f ca="1">IFERROR(__xludf.DUMMYFUNCTION("""COMPUTED_VALUE"""),0)</f>
        <v>0</v>
      </c>
      <c r="BB372" s="24">
        <f ca="1">IFERROR(__xludf.DUMMYFUNCTION("""COMPUTED_VALUE"""),0)</f>
        <v>0</v>
      </c>
      <c r="BC372" s="20"/>
      <c r="BD372" s="24">
        <f ca="1">IFERROR(__xludf.DUMMYFUNCTION("""COMPUTED_VALUE"""),0)</f>
        <v>0</v>
      </c>
      <c r="BE372" s="24">
        <f ca="1">IFERROR(__xludf.DUMMYFUNCTION("""COMPUTED_VALUE"""),0)</f>
        <v>0</v>
      </c>
      <c r="BF372" s="24">
        <f ca="1">IFERROR(__xludf.DUMMYFUNCTION("""COMPUTED_VALUE"""),0)</f>
        <v>0</v>
      </c>
      <c r="BG372" s="24">
        <f ca="1">IFERROR(__xludf.DUMMYFUNCTION("""COMPUTED_VALUE"""),0)</f>
        <v>0</v>
      </c>
      <c r="BH372" s="24">
        <f ca="1">IFERROR(__xludf.DUMMYFUNCTION("""COMPUTED_VALUE"""),0)</f>
        <v>0</v>
      </c>
      <c r="BI372" s="20"/>
      <c r="BJ372" s="24">
        <f ca="1">IFERROR(__xludf.DUMMYFUNCTION("""COMPUTED_VALUE"""),0)</f>
        <v>0</v>
      </c>
      <c r="BK372" s="24">
        <f ca="1">IFERROR(__xludf.DUMMYFUNCTION("""COMPUTED_VALUE"""),0)</f>
        <v>0</v>
      </c>
      <c r="BL372" s="24">
        <f ca="1">IFERROR(__xludf.DUMMYFUNCTION("""COMPUTED_VALUE"""),0)</f>
        <v>0</v>
      </c>
      <c r="BM372" s="24">
        <f ca="1">IFERROR(__xludf.DUMMYFUNCTION("""COMPUTED_VALUE"""),0)</f>
        <v>0</v>
      </c>
      <c r="BN372" s="24">
        <f ca="1">IFERROR(__xludf.DUMMYFUNCTION("""COMPUTED_VALUE"""),0)</f>
        <v>0</v>
      </c>
      <c r="BO372" s="20"/>
      <c r="BP372" s="24">
        <f ca="1">IFERROR(__xludf.DUMMYFUNCTION("""COMPUTED_VALUE"""),594)</f>
        <v>594</v>
      </c>
      <c r="BQ372" s="24">
        <f ca="1">IFERROR(__xludf.DUMMYFUNCTION("""COMPUTED_VALUE"""),0)</f>
        <v>0</v>
      </c>
      <c r="BR372" s="24">
        <f ca="1">IFERROR(__xludf.DUMMYFUNCTION("""COMPUTED_VALUE"""),517.37)</f>
        <v>517.37</v>
      </c>
      <c r="BS372" s="24">
        <f ca="1">IFERROR(__xludf.DUMMYFUNCTION("""COMPUTED_VALUE"""),0)</f>
        <v>0</v>
      </c>
      <c r="BT372" s="24">
        <f ca="1">IFERROR(__xludf.DUMMYFUNCTION("""COMPUTED_VALUE"""),76.63)</f>
        <v>76.63</v>
      </c>
      <c r="BU372" s="20"/>
      <c r="BV372" s="24">
        <f ca="1">IFERROR(__xludf.DUMMYFUNCTION("""COMPUTED_VALUE"""),9600)</f>
        <v>9600</v>
      </c>
      <c r="BW372" s="24">
        <f ca="1">IFERROR(__xludf.DUMMYFUNCTION("""COMPUTED_VALUE"""),0)</f>
        <v>0</v>
      </c>
      <c r="BX372" s="24">
        <f ca="1">IFERROR(__xludf.DUMMYFUNCTION("""COMPUTED_VALUE"""),8352)</f>
        <v>8352</v>
      </c>
      <c r="BY372" s="24">
        <f ca="1">IFERROR(__xludf.DUMMYFUNCTION("""COMPUTED_VALUE"""),0)</f>
        <v>0</v>
      </c>
      <c r="BZ372" s="24">
        <f ca="1">IFERROR(__xludf.DUMMYFUNCTION("""COMPUTED_VALUE"""),1248)</f>
        <v>1248</v>
      </c>
      <c r="CA372" s="20"/>
      <c r="CB372" s="20"/>
      <c r="CC372" s="20"/>
      <c r="CD372" s="20"/>
      <c r="CE372" s="20"/>
      <c r="CF372" s="20"/>
      <c r="CG372" s="20"/>
      <c r="CH372" s="20"/>
      <c r="CI372" s="20"/>
      <c r="CJ372" s="20"/>
      <c r="CK372" s="20"/>
      <c r="CL372" s="20"/>
      <c r="CM372" s="20"/>
      <c r="CN372" s="20"/>
      <c r="CO372" s="20"/>
      <c r="CP372" s="20"/>
      <c r="CQ372" s="20"/>
      <c r="CR372" s="20"/>
      <c r="CS372" s="20"/>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row>
    <row r="373" spans="1:123" ht="64.5" hidden="1" customHeight="1" x14ac:dyDescent="0.2">
      <c r="A373" s="19"/>
      <c r="B373" s="20" t="str">
        <f ca="1">IFERROR(__xludf.DUMMYFUNCTION("""COMPUTED_VALUE"""),"г.о. Талдомский")</f>
        <v>г.о. Талдомский</v>
      </c>
      <c r="C37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3" s="20" t="str">
        <f ca="1">IFERROR(__xludf.DUMMYFUNCTION("""COMPUTED_VALUE"""),"МинЖКХ ""ТОП 5 (2 этап)""")</f>
        <v>МинЖКХ "ТОП 5 (2 этап)"</v>
      </c>
      <c r="E373" s="20" t="str">
        <f ca="1">IFERROR(__xludf.DUMMYFUNCTION("""COMPUTED_VALUE"""),"Реконструкция котельной ""Очистные сооружения"", г. Талдом, ул. Загородная, д.24а, г.о. Талдомский (в т.ч. ПИР, ТП)")</f>
        <v>Реконструкция котельной "Очистные сооружения", г. Талдом, ул. Загородная, д.24а, г.о. Талдомский (в т.ч. ПИР, ТП)</v>
      </c>
      <c r="F373" s="32" t="str">
        <f ca="1">IFERROR(__xludf.DUMMYFUNCTION("""COMPUTED_VALUE"""),"Котельная")</f>
        <v>Котельная</v>
      </c>
      <c r="G373" s="20" t="str">
        <f ca="1">IFERROR(__xludf.DUMMYFUNCTION("""COMPUTED_VALUE"""),"2023-2024")</f>
        <v>2023-2024</v>
      </c>
      <c r="H373" s="20" t="str">
        <f ca="1">IFERROR(__xludf.DUMMYFUNCTION("""COMPUTED_VALUE"""),"СМР")</f>
        <v>СМР</v>
      </c>
      <c r="I373" s="20"/>
      <c r="J373" s="20"/>
      <c r="K373" s="20"/>
      <c r="L373" s="20"/>
      <c r="M373" s="20"/>
      <c r="N373" s="24">
        <f ca="1">IFERROR(__xludf.DUMMYFUNCTION("""COMPUTED_VALUE"""),0)</f>
        <v>0</v>
      </c>
      <c r="O373" s="20"/>
      <c r="P373" s="20"/>
      <c r="Q373" s="20"/>
      <c r="R373" s="20"/>
      <c r="S373" s="20"/>
      <c r="T373" s="20"/>
      <c r="U373" s="24">
        <f ca="1">IFERROR(__xludf.DUMMYFUNCTION("""COMPUTED_VALUE"""),0)</f>
        <v>0</v>
      </c>
      <c r="V373" s="24">
        <f ca="1">IFERROR(__xludf.DUMMYFUNCTION("""COMPUTED_VALUE"""),0)</f>
        <v>0</v>
      </c>
      <c r="W373" s="24">
        <f ca="1">IFERROR(__xludf.DUMMYFUNCTION("""COMPUTED_VALUE"""),0)</f>
        <v>0</v>
      </c>
      <c r="X373" s="24">
        <f ca="1">IFERROR(__xludf.DUMMYFUNCTION("""COMPUTED_VALUE"""),0)</f>
        <v>0</v>
      </c>
      <c r="Y373" s="24">
        <f ca="1">IFERROR(__xludf.DUMMYFUNCTION("""COMPUTED_VALUE"""),0)</f>
        <v>0</v>
      </c>
      <c r="Z373" s="24">
        <f ca="1">IFERROR(__xludf.DUMMYFUNCTION("""COMPUTED_VALUE"""),0)</f>
        <v>0</v>
      </c>
      <c r="AA373" s="20" t="str">
        <f ca="1">IFERROR(__xludf.DUMMYFUNCTION("""COMPUTED_VALUE"""),"10 3 02 64080")</f>
        <v>10 3 02 64080</v>
      </c>
      <c r="AB373" s="20">
        <f ca="1">IFERROR(__xludf.DUMMYFUNCTION("""COMPUTED_VALUE"""),522)</f>
        <v>522</v>
      </c>
      <c r="AC373" s="20"/>
      <c r="AD373" s="20"/>
      <c r="AE373" s="20"/>
      <c r="AF373" s="24">
        <f ca="1">IFERROR(__xludf.DUMMYFUNCTION("""COMPUTED_VALUE"""),3810)</f>
        <v>3810</v>
      </c>
      <c r="AG373" s="24">
        <f ca="1">IFERROR(__xludf.DUMMYFUNCTION("""COMPUTED_VALUE"""),0)</f>
        <v>0</v>
      </c>
      <c r="AH373" s="24">
        <f ca="1">IFERROR(__xludf.DUMMYFUNCTION("""COMPUTED_VALUE"""),3314.91)</f>
        <v>3314.91</v>
      </c>
      <c r="AI373" s="24">
        <f ca="1">IFERROR(__xludf.DUMMYFUNCTION("""COMPUTED_VALUE"""),0)</f>
        <v>0</v>
      </c>
      <c r="AJ373" s="24">
        <f ca="1">IFERROR(__xludf.DUMMYFUNCTION("""COMPUTED_VALUE"""),495.09)</f>
        <v>495.09</v>
      </c>
      <c r="AK373" s="24">
        <f ca="1">IFERROR(__xludf.DUMMYFUNCTION("""COMPUTED_VALUE"""),0)</f>
        <v>0</v>
      </c>
      <c r="AL373" s="24">
        <f ca="1">IFERROR(__xludf.DUMMYFUNCTION("""COMPUTED_VALUE"""),0)</f>
        <v>0</v>
      </c>
      <c r="AM373" s="20"/>
      <c r="AN373" s="20"/>
      <c r="AO373" s="20"/>
      <c r="AP373" s="20"/>
      <c r="AQ373" s="20"/>
      <c r="AR373" s="24">
        <f ca="1">IFERROR(__xludf.DUMMYFUNCTION("""COMPUTED_VALUE"""),0)</f>
        <v>0</v>
      </c>
      <c r="AS373" s="20"/>
      <c r="AT373" s="20"/>
      <c r="AU373" s="20"/>
      <c r="AV373" s="20"/>
      <c r="AW373" s="20"/>
      <c r="AX373" s="24">
        <f ca="1">IFERROR(__xludf.DUMMYFUNCTION("""COMPUTED_VALUE"""),0)</f>
        <v>0</v>
      </c>
      <c r="AY373" s="24">
        <f ca="1">IFERROR(__xludf.DUMMYFUNCTION("""COMPUTED_VALUE"""),0)</f>
        <v>0</v>
      </c>
      <c r="AZ373" s="24">
        <f ca="1">IFERROR(__xludf.DUMMYFUNCTION("""COMPUTED_VALUE"""),0)</f>
        <v>0</v>
      </c>
      <c r="BA373" s="24">
        <f ca="1">IFERROR(__xludf.DUMMYFUNCTION("""COMPUTED_VALUE"""),0)</f>
        <v>0</v>
      </c>
      <c r="BB373" s="24">
        <f ca="1">IFERROR(__xludf.DUMMYFUNCTION("""COMPUTED_VALUE"""),0)</f>
        <v>0</v>
      </c>
      <c r="BC373" s="20"/>
      <c r="BD373" s="24">
        <f ca="1">IFERROR(__xludf.DUMMYFUNCTION("""COMPUTED_VALUE"""),0)</f>
        <v>0</v>
      </c>
      <c r="BE373" s="24">
        <f ca="1">IFERROR(__xludf.DUMMYFUNCTION("""COMPUTED_VALUE"""),0)</f>
        <v>0</v>
      </c>
      <c r="BF373" s="24">
        <f ca="1">IFERROR(__xludf.DUMMYFUNCTION("""COMPUTED_VALUE"""),0)</f>
        <v>0</v>
      </c>
      <c r="BG373" s="24">
        <f ca="1">IFERROR(__xludf.DUMMYFUNCTION("""COMPUTED_VALUE"""),0)</f>
        <v>0</v>
      </c>
      <c r="BH373" s="24">
        <f ca="1">IFERROR(__xludf.DUMMYFUNCTION("""COMPUTED_VALUE"""),0)</f>
        <v>0</v>
      </c>
      <c r="BI373" s="20"/>
      <c r="BJ373" s="24">
        <f ca="1">IFERROR(__xludf.DUMMYFUNCTION("""COMPUTED_VALUE"""),0)</f>
        <v>0</v>
      </c>
      <c r="BK373" s="24">
        <f ca="1">IFERROR(__xludf.DUMMYFUNCTION("""COMPUTED_VALUE"""),0)</f>
        <v>0</v>
      </c>
      <c r="BL373" s="24">
        <f ca="1">IFERROR(__xludf.DUMMYFUNCTION("""COMPUTED_VALUE"""),0)</f>
        <v>0</v>
      </c>
      <c r="BM373" s="24">
        <f ca="1">IFERROR(__xludf.DUMMYFUNCTION("""COMPUTED_VALUE"""),0)</f>
        <v>0</v>
      </c>
      <c r="BN373" s="24">
        <f ca="1">IFERROR(__xludf.DUMMYFUNCTION("""COMPUTED_VALUE"""),0)</f>
        <v>0</v>
      </c>
      <c r="BO373" s="20"/>
      <c r="BP373" s="24">
        <f ca="1">IFERROR(__xludf.DUMMYFUNCTION("""COMPUTED_VALUE"""),210)</f>
        <v>210</v>
      </c>
      <c r="BQ373" s="24">
        <f ca="1">IFERROR(__xludf.DUMMYFUNCTION("""COMPUTED_VALUE"""),0)</f>
        <v>0</v>
      </c>
      <c r="BR373" s="24">
        <f ca="1">IFERROR(__xludf.DUMMYFUNCTION("""COMPUTED_VALUE"""),182.91)</f>
        <v>182.91</v>
      </c>
      <c r="BS373" s="24">
        <f ca="1">IFERROR(__xludf.DUMMYFUNCTION("""COMPUTED_VALUE"""),0)</f>
        <v>0</v>
      </c>
      <c r="BT373" s="24">
        <f ca="1">IFERROR(__xludf.DUMMYFUNCTION("""COMPUTED_VALUE"""),27.09)</f>
        <v>27.09</v>
      </c>
      <c r="BU373" s="20"/>
      <c r="BV373" s="24">
        <f ca="1">IFERROR(__xludf.DUMMYFUNCTION("""COMPUTED_VALUE"""),3600)</f>
        <v>3600</v>
      </c>
      <c r="BW373" s="24">
        <f ca="1">IFERROR(__xludf.DUMMYFUNCTION("""COMPUTED_VALUE"""),0)</f>
        <v>0</v>
      </c>
      <c r="BX373" s="24">
        <f ca="1">IFERROR(__xludf.DUMMYFUNCTION("""COMPUTED_VALUE"""),3132)</f>
        <v>3132</v>
      </c>
      <c r="BY373" s="24">
        <f ca="1">IFERROR(__xludf.DUMMYFUNCTION("""COMPUTED_VALUE"""),0)</f>
        <v>0</v>
      </c>
      <c r="BZ373" s="24">
        <f ca="1">IFERROR(__xludf.DUMMYFUNCTION("""COMPUTED_VALUE"""),468)</f>
        <v>468</v>
      </c>
      <c r="CA373" s="20"/>
      <c r="CB373" s="20"/>
      <c r="CC373" s="20"/>
      <c r="CD373" s="20"/>
      <c r="CE373" s="20"/>
      <c r="CF373" s="20"/>
      <c r="CG373" s="20"/>
      <c r="CH373" s="20"/>
      <c r="CI373" s="20"/>
      <c r="CJ373" s="20"/>
      <c r="CK373" s="20"/>
      <c r="CL373" s="20"/>
      <c r="CM373" s="20"/>
      <c r="CN373" s="20"/>
      <c r="CO373" s="20"/>
      <c r="CP373" s="20"/>
      <c r="CQ373" s="20"/>
      <c r="CR373" s="20"/>
      <c r="CS373" s="20"/>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row>
    <row r="374" spans="1:123" ht="64.5" hidden="1" customHeight="1" x14ac:dyDescent="0.2">
      <c r="A374" s="19"/>
      <c r="B374" s="20" t="str">
        <f ca="1">IFERROR(__xludf.DUMMYFUNCTION("""COMPUTED_VALUE"""),"г.о. Талдомский")</f>
        <v>г.о. Талдомский</v>
      </c>
      <c r="C37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4" s="20" t="str">
        <f ca="1">IFERROR(__xludf.DUMMYFUNCTION("""COMPUTED_VALUE"""),"МинЖКХ ""ТОП 5 (2 этап)""")</f>
        <v>МинЖКХ "ТОП 5 (2 этап)"</v>
      </c>
      <c r="E374" s="20" t="str">
        <f ca="1">IFERROR(__xludf.DUMMYFUNCTION("""COMPUTED_VALUE"""),"Реконструкция котельной ""Темпы"", п. Темпы. ул. Шоссейная, д.9Б, г.о. Талдомский (в т.ч. ПИР, ТП) ")</f>
        <v xml:space="preserve">Реконструкция котельной "Темпы", п. Темпы. ул. Шоссейная, д.9Б, г.о. Талдомский (в т.ч. ПИР, ТП) </v>
      </c>
      <c r="F374" s="32" t="str">
        <f ca="1">IFERROR(__xludf.DUMMYFUNCTION("""COMPUTED_VALUE"""),"КОтельная")</f>
        <v>КОтельная</v>
      </c>
      <c r="G374" s="20" t="str">
        <f ca="1">IFERROR(__xludf.DUMMYFUNCTION("""COMPUTED_VALUE"""),"2023-2024")</f>
        <v>2023-2024</v>
      </c>
      <c r="H374" s="20" t="str">
        <f ca="1">IFERROR(__xludf.DUMMYFUNCTION("""COMPUTED_VALUE"""),"СМР")</f>
        <v>СМР</v>
      </c>
      <c r="I374" s="20"/>
      <c r="J374" s="20"/>
      <c r="K374" s="20"/>
      <c r="L374" s="20"/>
      <c r="M374" s="20"/>
      <c r="N374" s="24">
        <f ca="1">IFERROR(__xludf.DUMMYFUNCTION("""COMPUTED_VALUE"""),0)</f>
        <v>0</v>
      </c>
      <c r="O374" s="20"/>
      <c r="P374" s="20"/>
      <c r="Q374" s="20"/>
      <c r="R374" s="20"/>
      <c r="S374" s="20"/>
      <c r="T374" s="20"/>
      <c r="U374" s="24">
        <f ca="1">IFERROR(__xludf.DUMMYFUNCTION("""COMPUTED_VALUE"""),0)</f>
        <v>0</v>
      </c>
      <c r="V374" s="24">
        <f ca="1">IFERROR(__xludf.DUMMYFUNCTION("""COMPUTED_VALUE"""),0)</f>
        <v>0</v>
      </c>
      <c r="W374" s="24">
        <f ca="1">IFERROR(__xludf.DUMMYFUNCTION("""COMPUTED_VALUE"""),0)</f>
        <v>0</v>
      </c>
      <c r="X374" s="24">
        <f ca="1">IFERROR(__xludf.DUMMYFUNCTION("""COMPUTED_VALUE"""),0)</f>
        <v>0</v>
      </c>
      <c r="Y374" s="24">
        <f ca="1">IFERROR(__xludf.DUMMYFUNCTION("""COMPUTED_VALUE"""),0)</f>
        <v>0</v>
      </c>
      <c r="Z374" s="24">
        <f ca="1">IFERROR(__xludf.DUMMYFUNCTION("""COMPUTED_VALUE"""),0)</f>
        <v>0</v>
      </c>
      <c r="AA374" s="20" t="str">
        <f ca="1">IFERROR(__xludf.DUMMYFUNCTION("""COMPUTED_VALUE"""),"10 3 02 64080")</f>
        <v>10 3 02 64080</v>
      </c>
      <c r="AB374" s="20">
        <f ca="1">IFERROR(__xludf.DUMMYFUNCTION("""COMPUTED_VALUE"""),522)</f>
        <v>522</v>
      </c>
      <c r="AC374" s="20"/>
      <c r="AD374" s="20"/>
      <c r="AE374" s="20"/>
      <c r="AF374" s="24">
        <f ca="1">IFERROR(__xludf.DUMMYFUNCTION("""COMPUTED_VALUE"""),4410)</f>
        <v>4410</v>
      </c>
      <c r="AG374" s="24">
        <f ca="1">IFERROR(__xludf.DUMMYFUNCTION("""COMPUTED_VALUE"""),0)</f>
        <v>0</v>
      </c>
      <c r="AH374" s="24">
        <f ca="1">IFERROR(__xludf.DUMMYFUNCTION("""COMPUTED_VALUE"""),3836.91)</f>
        <v>3836.91</v>
      </c>
      <c r="AI374" s="24">
        <f ca="1">IFERROR(__xludf.DUMMYFUNCTION("""COMPUTED_VALUE"""),0)</f>
        <v>0</v>
      </c>
      <c r="AJ374" s="24">
        <f ca="1">IFERROR(__xludf.DUMMYFUNCTION("""COMPUTED_VALUE"""),573.09)</f>
        <v>573.09</v>
      </c>
      <c r="AK374" s="24">
        <f ca="1">IFERROR(__xludf.DUMMYFUNCTION("""COMPUTED_VALUE"""),0)</f>
        <v>0</v>
      </c>
      <c r="AL374" s="24">
        <f ca="1">IFERROR(__xludf.DUMMYFUNCTION("""COMPUTED_VALUE"""),0)</f>
        <v>0</v>
      </c>
      <c r="AM374" s="20"/>
      <c r="AN374" s="20"/>
      <c r="AO374" s="20"/>
      <c r="AP374" s="20"/>
      <c r="AQ374" s="20"/>
      <c r="AR374" s="24">
        <f ca="1">IFERROR(__xludf.DUMMYFUNCTION("""COMPUTED_VALUE"""),0)</f>
        <v>0</v>
      </c>
      <c r="AS374" s="20"/>
      <c r="AT374" s="20"/>
      <c r="AU374" s="20"/>
      <c r="AV374" s="20"/>
      <c r="AW374" s="20"/>
      <c r="AX374" s="24">
        <f ca="1">IFERROR(__xludf.DUMMYFUNCTION("""COMPUTED_VALUE"""),0)</f>
        <v>0</v>
      </c>
      <c r="AY374" s="24">
        <f ca="1">IFERROR(__xludf.DUMMYFUNCTION("""COMPUTED_VALUE"""),0)</f>
        <v>0</v>
      </c>
      <c r="AZ374" s="24">
        <f ca="1">IFERROR(__xludf.DUMMYFUNCTION("""COMPUTED_VALUE"""),0)</f>
        <v>0</v>
      </c>
      <c r="BA374" s="24">
        <f ca="1">IFERROR(__xludf.DUMMYFUNCTION("""COMPUTED_VALUE"""),0)</f>
        <v>0</v>
      </c>
      <c r="BB374" s="24">
        <f ca="1">IFERROR(__xludf.DUMMYFUNCTION("""COMPUTED_VALUE"""),0)</f>
        <v>0</v>
      </c>
      <c r="BC374" s="20"/>
      <c r="BD374" s="24">
        <f ca="1">IFERROR(__xludf.DUMMYFUNCTION("""COMPUTED_VALUE"""),0)</f>
        <v>0</v>
      </c>
      <c r="BE374" s="24">
        <f ca="1">IFERROR(__xludf.DUMMYFUNCTION("""COMPUTED_VALUE"""),0)</f>
        <v>0</v>
      </c>
      <c r="BF374" s="24">
        <f ca="1">IFERROR(__xludf.DUMMYFUNCTION("""COMPUTED_VALUE"""),0)</f>
        <v>0</v>
      </c>
      <c r="BG374" s="24">
        <f ca="1">IFERROR(__xludf.DUMMYFUNCTION("""COMPUTED_VALUE"""),0)</f>
        <v>0</v>
      </c>
      <c r="BH374" s="24">
        <f ca="1">IFERROR(__xludf.DUMMYFUNCTION("""COMPUTED_VALUE"""),0)</f>
        <v>0</v>
      </c>
      <c r="BI374" s="20"/>
      <c r="BJ374" s="24">
        <f ca="1">IFERROR(__xludf.DUMMYFUNCTION("""COMPUTED_VALUE"""),0)</f>
        <v>0</v>
      </c>
      <c r="BK374" s="24">
        <f ca="1">IFERROR(__xludf.DUMMYFUNCTION("""COMPUTED_VALUE"""),0)</f>
        <v>0</v>
      </c>
      <c r="BL374" s="24">
        <f ca="1">IFERROR(__xludf.DUMMYFUNCTION("""COMPUTED_VALUE"""),0)</f>
        <v>0</v>
      </c>
      <c r="BM374" s="24">
        <f ca="1">IFERROR(__xludf.DUMMYFUNCTION("""COMPUTED_VALUE"""),0)</f>
        <v>0</v>
      </c>
      <c r="BN374" s="24">
        <f ca="1">IFERROR(__xludf.DUMMYFUNCTION("""COMPUTED_VALUE"""),0)</f>
        <v>0</v>
      </c>
      <c r="BO374" s="20"/>
      <c r="BP374" s="24">
        <f ca="1">IFERROR(__xludf.DUMMYFUNCTION("""COMPUTED_VALUE"""),210)</f>
        <v>210</v>
      </c>
      <c r="BQ374" s="24">
        <f ca="1">IFERROR(__xludf.DUMMYFUNCTION("""COMPUTED_VALUE"""),0)</f>
        <v>0</v>
      </c>
      <c r="BR374" s="24">
        <f ca="1">IFERROR(__xludf.DUMMYFUNCTION("""COMPUTED_VALUE"""),182.91)</f>
        <v>182.91</v>
      </c>
      <c r="BS374" s="24">
        <f ca="1">IFERROR(__xludf.DUMMYFUNCTION("""COMPUTED_VALUE"""),0)</f>
        <v>0</v>
      </c>
      <c r="BT374" s="24">
        <f ca="1">IFERROR(__xludf.DUMMYFUNCTION("""COMPUTED_VALUE"""),27.09)</f>
        <v>27.09</v>
      </c>
      <c r="BU374" s="20"/>
      <c r="BV374" s="24">
        <f ca="1">IFERROR(__xludf.DUMMYFUNCTION("""COMPUTED_VALUE"""),4200)</f>
        <v>4200</v>
      </c>
      <c r="BW374" s="24">
        <f ca="1">IFERROR(__xludf.DUMMYFUNCTION("""COMPUTED_VALUE"""),0)</f>
        <v>0</v>
      </c>
      <c r="BX374" s="24">
        <f ca="1">IFERROR(__xludf.DUMMYFUNCTION("""COMPUTED_VALUE"""),3654)</f>
        <v>3654</v>
      </c>
      <c r="BY374" s="24">
        <f ca="1">IFERROR(__xludf.DUMMYFUNCTION("""COMPUTED_VALUE"""),0)</f>
        <v>0</v>
      </c>
      <c r="BZ374" s="24">
        <f ca="1">IFERROR(__xludf.DUMMYFUNCTION("""COMPUTED_VALUE"""),546)</f>
        <v>546</v>
      </c>
      <c r="CA374" s="20"/>
      <c r="CB374" s="20"/>
      <c r="CC374" s="20"/>
      <c r="CD374" s="20"/>
      <c r="CE374" s="20"/>
      <c r="CF374" s="20"/>
      <c r="CG374" s="20"/>
      <c r="CH374" s="20"/>
      <c r="CI374" s="20"/>
      <c r="CJ374" s="20"/>
      <c r="CK374" s="20"/>
      <c r="CL374" s="20"/>
      <c r="CM374" s="20"/>
      <c r="CN374" s="20"/>
      <c r="CO374" s="20"/>
      <c r="CP374" s="20"/>
      <c r="CQ374" s="20"/>
      <c r="CR374" s="20"/>
      <c r="CS374" s="20"/>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row>
    <row r="375" spans="1:123" ht="64.5" hidden="1" customHeight="1" x14ac:dyDescent="0.2">
      <c r="A375" s="19"/>
      <c r="B375" s="20" t="str">
        <f ca="1">IFERROR(__xludf.DUMMYFUNCTION("""COMPUTED_VALUE"""),"г.о. Талдомский")</f>
        <v>г.о. Талдомский</v>
      </c>
      <c r="C37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5" s="20" t="str">
        <f ca="1">IFERROR(__xludf.DUMMYFUNCTION("""COMPUTED_VALUE"""),"МинЖКХ ""ТОП 5 (2 этап)""")</f>
        <v>МинЖКХ "ТОП 5 (2 этап)"</v>
      </c>
      <c r="E375" s="20" t="str">
        <f ca="1">IFERROR(__xludf.DUMMYFUNCTION("""COMPUTED_VALUE"""),"Реконструкция котельной ""Топочная"", г. Талдом, ул. Первомайская, д.43а, г.о. Талдомский (в т.ч. ПИР, ТП)  ")</f>
        <v xml:space="preserve">Реконструкция котельной "Топочная", г. Талдом, ул. Первомайская, д.43а, г.о. Талдомский (в т.ч. ПИР, ТП)  </v>
      </c>
      <c r="F375" s="32" t="str">
        <f ca="1">IFERROR(__xludf.DUMMYFUNCTION("""COMPUTED_VALUE"""),"Котельная")</f>
        <v>Котельная</v>
      </c>
      <c r="G375" s="20" t="str">
        <f ca="1">IFERROR(__xludf.DUMMYFUNCTION("""COMPUTED_VALUE"""),"2023-2024")</f>
        <v>2023-2024</v>
      </c>
      <c r="H375" s="20" t="str">
        <f ca="1">IFERROR(__xludf.DUMMYFUNCTION("""COMPUTED_VALUE"""),"СМР")</f>
        <v>СМР</v>
      </c>
      <c r="I375" s="20"/>
      <c r="J375" s="20"/>
      <c r="K375" s="20"/>
      <c r="L375" s="20"/>
      <c r="M375" s="20"/>
      <c r="N375" s="24">
        <f ca="1">IFERROR(__xludf.DUMMYFUNCTION("""COMPUTED_VALUE"""),0)</f>
        <v>0</v>
      </c>
      <c r="O375" s="20"/>
      <c r="P375" s="20"/>
      <c r="Q375" s="20"/>
      <c r="R375" s="20"/>
      <c r="S375" s="20"/>
      <c r="T375" s="20"/>
      <c r="U375" s="24">
        <f ca="1">IFERROR(__xludf.DUMMYFUNCTION("""COMPUTED_VALUE"""),0)</f>
        <v>0</v>
      </c>
      <c r="V375" s="24">
        <f ca="1">IFERROR(__xludf.DUMMYFUNCTION("""COMPUTED_VALUE"""),0)</f>
        <v>0</v>
      </c>
      <c r="W375" s="24">
        <f ca="1">IFERROR(__xludf.DUMMYFUNCTION("""COMPUTED_VALUE"""),0)</f>
        <v>0</v>
      </c>
      <c r="X375" s="24">
        <f ca="1">IFERROR(__xludf.DUMMYFUNCTION("""COMPUTED_VALUE"""),0)</f>
        <v>0</v>
      </c>
      <c r="Y375" s="24">
        <f ca="1">IFERROR(__xludf.DUMMYFUNCTION("""COMPUTED_VALUE"""),0)</f>
        <v>0</v>
      </c>
      <c r="Z375" s="24">
        <f ca="1">IFERROR(__xludf.DUMMYFUNCTION("""COMPUTED_VALUE"""),0)</f>
        <v>0</v>
      </c>
      <c r="AA375" s="20" t="str">
        <f ca="1">IFERROR(__xludf.DUMMYFUNCTION("""COMPUTED_VALUE"""),"10 3 02 64080")</f>
        <v>10 3 02 64080</v>
      </c>
      <c r="AB375" s="20">
        <f ca="1">IFERROR(__xludf.DUMMYFUNCTION("""COMPUTED_VALUE"""),522)</f>
        <v>522</v>
      </c>
      <c r="AC375" s="20"/>
      <c r="AD375" s="20"/>
      <c r="AE375" s="20"/>
      <c r="AF375" s="24">
        <f ca="1">IFERROR(__xludf.DUMMYFUNCTION("""COMPUTED_VALUE"""),1920)</f>
        <v>1920</v>
      </c>
      <c r="AG375" s="24">
        <f ca="1">IFERROR(__xludf.DUMMYFUNCTION("""COMPUTED_VALUE"""),0)</f>
        <v>0</v>
      </c>
      <c r="AH375" s="24">
        <f ca="1">IFERROR(__xludf.DUMMYFUNCTION("""COMPUTED_VALUE"""),1670.52)</f>
        <v>1670.52</v>
      </c>
      <c r="AI375" s="24">
        <f ca="1">IFERROR(__xludf.DUMMYFUNCTION("""COMPUTED_VALUE"""),0)</f>
        <v>0</v>
      </c>
      <c r="AJ375" s="24">
        <f ca="1">IFERROR(__xludf.DUMMYFUNCTION("""COMPUTED_VALUE"""),249.48)</f>
        <v>249.48</v>
      </c>
      <c r="AK375" s="24">
        <f ca="1">IFERROR(__xludf.DUMMYFUNCTION("""COMPUTED_VALUE"""),0)</f>
        <v>0</v>
      </c>
      <c r="AL375" s="24">
        <f ca="1">IFERROR(__xludf.DUMMYFUNCTION("""COMPUTED_VALUE"""),0)</f>
        <v>0</v>
      </c>
      <c r="AM375" s="20"/>
      <c r="AN375" s="20"/>
      <c r="AO375" s="20"/>
      <c r="AP375" s="20"/>
      <c r="AQ375" s="20"/>
      <c r="AR375" s="24">
        <f ca="1">IFERROR(__xludf.DUMMYFUNCTION("""COMPUTED_VALUE"""),0)</f>
        <v>0</v>
      </c>
      <c r="AS375" s="20"/>
      <c r="AT375" s="20"/>
      <c r="AU375" s="20"/>
      <c r="AV375" s="20"/>
      <c r="AW375" s="20"/>
      <c r="AX375" s="24">
        <f ca="1">IFERROR(__xludf.DUMMYFUNCTION("""COMPUTED_VALUE"""),0)</f>
        <v>0</v>
      </c>
      <c r="AY375" s="24">
        <f ca="1">IFERROR(__xludf.DUMMYFUNCTION("""COMPUTED_VALUE"""),0)</f>
        <v>0</v>
      </c>
      <c r="AZ375" s="24">
        <f ca="1">IFERROR(__xludf.DUMMYFUNCTION("""COMPUTED_VALUE"""),0)</f>
        <v>0</v>
      </c>
      <c r="BA375" s="24">
        <f ca="1">IFERROR(__xludf.DUMMYFUNCTION("""COMPUTED_VALUE"""),0)</f>
        <v>0</v>
      </c>
      <c r="BB375" s="24">
        <f ca="1">IFERROR(__xludf.DUMMYFUNCTION("""COMPUTED_VALUE"""),0)</f>
        <v>0</v>
      </c>
      <c r="BC375" s="20"/>
      <c r="BD375" s="24">
        <f ca="1">IFERROR(__xludf.DUMMYFUNCTION("""COMPUTED_VALUE"""),0)</f>
        <v>0</v>
      </c>
      <c r="BE375" s="24">
        <f ca="1">IFERROR(__xludf.DUMMYFUNCTION("""COMPUTED_VALUE"""),0)</f>
        <v>0</v>
      </c>
      <c r="BF375" s="24">
        <f ca="1">IFERROR(__xludf.DUMMYFUNCTION("""COMPUTED_VALUE"""),0)</f>
        <v>0</v>
      </c>
      <c r="BG375" s="24">
        <f ca="1">IFERROR(__xludf.DUMMYFUNCTION("""COMPUTED_VALUE"""),0)</f>
        <v>0</v>
      </c>
      <c r="BH375" s="24">
        <f ca="1">IFERROR(__xludf.DUMMYFUNCTION("""COMPUTED_VALUE"""),0)</f>
        <v>0</v>
      </c>
      <c r="BI375" s="20"/>
      <c r="BJ375" s="24">
        <f ca="1">IFERROR(__xludf.DUMMYFUNCTION("""COMPUTED_VALUE"""),0)</f>
        <v>0</v>
      </c>
      <c r="BK375" s="24">
        <f ca="1">IFERROR(__xludf.DUMMYFUNCTION("""COMPUTED_VALUE"""),0)</f>
        <v>0</v>
      </c>
      <c r="BL375" s="24">
        <f ca="1">IFERROR(__xludf.DUMMYFUNCTION("""COMPUTED_VALUE"""),0)</f>
        <v>0</v>
      </c>
      <c r="BM375" s="24">
        <f ca="1">IFERROR(__xludf.DUMMYFUNCTION("""COMPUTED_VALUE"""),0)</f>
        <v>0</v>
      </c>
      <c r="BN375" s="24">
        <f ca="1">IFERROR(__xludf.DUMMYFUNCTION("""COMPUTED_VALUE"""),0)</f>
        <v>0</v>
      </c>
      <c r="BO375" s="20"/>
      <c r="BP375" s="24">
        <f ca="1">IFERROR(__xludf.DUMMYFUNCTION("""COMPUTED_VALUE"""),120)</f>
        <v>120</v>
      </c>
      <c r="BQ375" s="24">
        <f ca="1">IFERROR(__xludf.DUMMYFUNCTION("""COMPUTED_VALUE"""),0)</f>
        <v>0</v>
      </c>
      <c r="BR375" s="24">
        <f ca="1">IFERROR(__xludf.DUMMYFUNCTION("""COMPUTED_VALUE"""),104.52)</f>
        <v>104.52</v>
      </c>
      <c r="BS375" s="24">
        <f ca="1">IFERROR(__xludf.DUMMYFUNCTION("""COMPUTED_VALUE"""),0)</f>
        <v>0</v>
      </c>
      <c r="BT375" s="24">
        <f ca="1">IFERROR(__xludf.DUMMYFUNCTION("""COMPUTED_VALUE"""),15.48)</f>
        <v>15.48</v>
      </c>
      <c r="BU375" s="20"/>
      <c r="BV375" s="24">
        <f ca="1">IFERROR(__xludf.DUMMYFUNCTION("""COMPUTED_VALUE"""),1800)</f>
        <v>1800</v>
      </c>
      <c r="BW375" s="24">
        <f ca="1">IFERROR(__xludf.DUMMYFUNCTION("""COMPUTED_VALUE"""),0)</f>
        <v>0</v>
      </c>
      <c r="BX375" s="24">
        <f ca="1">IFERROR(__xludf.DUMMYFUNCTION("""COMPUTED_VALUE"""),1566)</f>
        <v>1566</v>
      </c>
      <c r="BY375" s="24">
        <f ca="1">IFERROR(__xludf.DUMMYFUNCTION("""COMPUTED_VALUE"""),0)</f>
        <v>0</v>
      </c>
      <c r="BZ375" s="24">
        <f ca="1">IFERROR(__xludf.DUMMYFUNCTION("""COMPUTED_VALUE"""),234)</f>
        <v>234</v>
      </c>
      <c r="CA375" s="20"/>
      <c r="CB375" s="20"/>
      <c r="CC375" s="20"/>
      <c r="CD375" s="20"/>
      <c r="CE375" s="20"/>
      <c r="CF375" s="20"/>
      <c r="CG375" s="20"/>
      <c r="CH375" s="20"/>
      <c r="CI375" s="20"/>
      <c r="CJ375" s="20"/>
      <c r="CK375" s="20"/>
      <c r="CL375" s="20"/>
      <c r="CM375" s="20"/>
      <c r="CN375" s="20"/>
      <c r="CO375" s="20"/>
      <c r="CP375" s="20"/>
      <c r="CQ375" s="20"/>
      <c r="CR375" s="20"/>
      <c r="CS375" s="20"/>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row>
    <row r="376" spans="1:123" ht="64.5" hidden="1" customHeight="1" x14ac:dyDescent="0.2">
      <c r="A376" s="19"/>
      <c r="B376" s="20" t="str">
        <f ca="1">IFERROR(__xludf.DUMMYFUNCTION("""COMPUTED_VALUE"""),"г.о. Егорьевск")</f>
        <v>г.о. Егорьевск</v>
      </c>
      <c r="C37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6" s="20" t="str">
        <f ca="1">IFERROR(__xludf.DUMMYFUNCTION("""COMPUTED_VALUE"""),"МинЖКХ ""ТОП 5 (2 этап)""")</f>
        <v>МинЖКХ "ТОП 5 (2 этап)"</v>
      </c>
      <c r="E376" s="20" t="str">
        <f ca="1">IFERROR(__xludf.DUMMYFUNCTION("""COMPUTED_VALUE"""),"Реконструкция котельной и ЦТП по адресу г.Егорьевск, ул. Меланжистов д.3б, г.о. Егорьевск (в т.ч. ПИР)")</f>
        <v>Реконструкция котельной и ЦТП по адресу г.Егорьевск, ул. Меланжистов д.3б, г.о. Егорьевск (в т.ч. ПИР)</v>
      </c>
      <c r="F376" s="32" t="str">
        <f ca="1">IFERROR(__xludf.DUMMYFUNCTION("""COMPUTED_VALUE"""),"Котельная")</f>
        <v>Котельная</v>
      </c>
      <c r="G376" s="20" t="str">
        <f ca="1">IFERROR(__xludf.DUMMYFUNCTION("""COMPUTED_VALUE"""),"2022-2024")</f>
        <v>2022-2024</v>
      </c>
      <c r="H376" s="20" t="str">
        <f ca="1">IFERROR(__xludf.DUMMYFUNCTION("""COMPUTED_VALUE"""),"СМР")</f>
        <v>СМР</v>
      </c>
      <c r="I376" s="20"/>
      <c r="J376" s="20"/>
      <c r="K376" s="20"/>
      <c r="L376" s="20"/>
      <c r="M376" s="20"/>
      <c r="N376" s="24">
        <f ca="1">IFERROR(__xludf.DUMMYFUNCTION("""COMPUTED_VALUE"""),0)</f>
        <v>0</v>
      </c>
      <c r="O376" s="20"/>
      <c r="P376" s="20"/>
      <c r="Q376" s="20"/>
      <c r="R376" s="20"/>
      <c r="S376" s="20"/>
      <c r="T376" s="20"/>
      <c r="U376" s="24">
        <f ca="1">IFERROR(__xludf.DUMMYFUNCTION("""COMPUTED_VALUE"""),0)</f>
        <v>0</v>
      </c>
      <c r="V376" s="24">
        <f ca="1">IFERROR(__xludf.DUMMYFUNCTION("""COMPUTED_VALUE"""),0)</f>
        <v>0</v>
      </c>
      <c r="W376" s="24">
        <f ca="1">IFERROR(__xludf.DUMMYFUNCTION("""COMPUTED_VALUE"""),0)</f>
        <v>0</v>
      </c>
      <c r="X376" s="24">
        <f ca="1">IFERROR(__xludf.DUMMYFUNCTION("""COMPUTED_VALUE"""),0)</f>
        <v>0</v>
      </c>
      <c r="Y376" s="24">
        <f ca="1">IFERROR(__xludf.DUMMYFUNCTION("""COMPUTED_VALUE"""),0)</f>
        <v>0</v>
      </c>
      <c r="Z376" s="24">
        <f ca="1">IFERROR(__xludf.DUMMYFUNCTION("""COMPUTED_VALUE"""),0)</f>
        <v>0</v>
      </c>
      <c r="AA376" s="20" t="str">
        <f ca="1">IFERROR(__xludf.DUMMYFUNCTION("""COMPUTED_VALUE"""),"10 3 02 64080")</f>
        <v>10 3 02 64080</v>
      </c>
      <c r="AB376" s="20">
        <f ca="1">IFERROR(__xludf.DUMMYFUNCTION("""COMPUTED_VALUE"""),522)</f>
        <v>522</v>
      </c>
      <c r="AC376" s="20"/>
      <c r="AD376" s="20"/>
      <c r="AE376" s="20"/>
      <c r="AF376" s="24">
        <f ca="1">IFERROR(__xludf.DUMMYFUNCTION("""COMPUTED_VALUE"""),90000)</f>
        <v>90000</v>
      </c>
      <c r="AG376" s="24">
        <f ca="1">IFERROR(__xludf.DUMMYFUNCTION("""COMPUTED_VALUE"""),0)</f>
        <v>0</v>
      </c>
      <c r="AH376" s="24">
        <f ca="1">IFERROR(__xludf.DUMMYFUNCTION("""COMPUTED_VALUE"""),75690)</f>
        <v>75690</v>
      </c>
      <c r="AI376" s="24">
        <f ca="1">IFERROR(__xludf.DUMMYFUNCTION("""COMPUTED_VALUE"""),0)</f>
        <v>0</v>
      </c>
      <c r="AJ376" s="24">
        <f ca="1">IFERROR(__xludf.DUMMYFUNCTION("""COMPUTED_VALUE"""),14310)</f>
        <v>14310</v>
      </c>
      <c r="AK376" s="24">
        <f ca="1">IFERROR(__xludf.DUMMYFUNCTION("""COMPUTED_VALUE"""),0)</f>
        <v>0</v>
      </c>
      <c r="AL376" s="24">
        <f ca="1">IFERROR(__xludf.DUMMYFUNCTION("""COMPUTED_VALUE"""),0)</f>
        <v>0</v>
      </c>
      <c r="AM376" s="20"/>
      <c r="AN376" s="20"/>
      <c r="AO376" s="20"/>
      <c r="AP376" s="20"/>
      <c r="AQ376" s="20"/>
      <c r="AR376" s="24">
        <f ca="1">IFERROR(__xludf.DUMMYFUNCTION("""COMPUTED_VALUE"""),0)</f>
        <v>0</v>
      </c>
      <c r="AS376" s="20"/>
      <c r="AT376" s="20"/>
      <c r="AU376" s="20"/>
      <c r="AV376" s="20"/>
      <c r="AW376" s="20"/>
      <c r="AX376" s="24">
        <f ca="1">IFERROR(__xludf.DUMMYFUNCTION("""COMPUTED_VALUE"""),0)</f>
        <v>0</v>
      </c>
      <c r="AY376" s="24">
        <f ca="1">IFERROR(__xludf.DUMMYFUNCTION("""COMPUTED_VALUE"""),0)</f>
        <v>0</v>
      </c>
      <c r="AZ376" s="24">
        <f ca="1">IFERROR(__xludf.DUMMYFUNCTION("""COMPUTED_VALUE"""),0)</f>
        <v>0</v>
      </c>
      <c r="BA376" s="24">
        <f ca="1">IFERROR(__xludf.DUMMYFUNCTION("""COMPUTED_VALUE"""),0)</f>
        <v>0</v>
      </c>
      <c r="BB376" s="24">
        <f ca="1">IFERROR(__xludf.DUMMYFUNCTION("""COMPUTED_VALUE"""),0)</f>
        <v>0</v>
      </c>
      <c r="BC376" s="20"/>
      <c r="BD376" s="24">
        <f ca="1">IFERROR(__xludf.DUMMYFUNCTION("""COMPUTED_VALUE"""),0)</f>
        <v>0</v>
      </c>
      <c r="BE376" s="24">
        <f ca="1">IFERROR(__xludf.DUMMYFUNCTION("""COMPUTED_VALUE"""),0)</f>
        <v>0</v>
      </c>
      <c r="BF376" s="24">
        <f ca="1">IFERROR(__xludf.DUMMYFUNCTION("""COMPUTED_VALUE"""),0)</f>
        <v>0</v>
      </c>
      <c r="BG376" s="24">
        <f ca="1">IFERROR(__xludf.DUMMYFUNCTION("""COMPUTED_VALUE"""),0)</f>
        <v>0</v>
      </c>
      <c r="BH376" s="24">
        <f ca="1">IFERROR(__xludf.DUMMYFUNCTION("""COMPUTED_VALUE"""),0)</f>
        <v>0</v>
      </c>
      <c r="BI376" s="20"/>
      <c r="BJ376" s="24">
        <f ca="1">IFERROR(__xludf.DUMMYFUNCTION("""COMPUTED_VALUE"""),6600)</f>
        <v>6600</v>
      </c>
      <c r="BK376" s="24">
        <f ca="1">IFERROR(__xludf.DUMMYFUNCTION("""COMPUTED_VALUE"""),0)</f>
        <v>0</v>
      </c>
      <c r="BL376" s="24">
        <f ca="1">IFERROR(__xludf.DUMMYFUNCTION("""COMPUTED_VALUE"""),5550.6)</f>
        <v>5550.6</v>
      </c>
      <c r="BM376" s="24">
        <f ca="1">IFERROR(__xludf.DUMMYFUNCTION("""COMPUTED_VALUE"""),0)</f>
        <v>0</v>
      </c>
      <c r="BN376" s="24">
        <f ca="1">IFERROR(__xludf.DUMMYFUNCTION("""COMPUTED_VALUE"""),1049.4)</f>
        <v>1049.4000000000001</v>
      </c>
      <c r="BO376" s="20"/>
      <c r="BP376" s="24">
        <f ca="1">IFERROR(__xludf.DUMMYFUNCTION("""COMPUTED_VALUE"""),50040)</f>
        <v>50040</v>
      </c>
      <c r="BQ376" s="24">
        <f ca="1">IFERROR(__xludf.DUMMYFUNCTION("""COMPUTED_VALUE"""),0)</f>
        <v>0</v>
      </c>
      <c r="BR376" s="24">
        <f ca="1">IFERROR(__xludf.DUMMYFUNCTION("""COMPUTED_VALUE"""),42083.64)</f>
        <v>42083.64</v>
      </c>
      <c r="BS376" s="24">
        <f ca="1">IFERROR(__xludf.DUMMYFUNCTION("""COMPUTED_VALUE"""),0)</f>
        <v>0</v>
      </c>
      <c r="BT376" s="24">
        <f ca="1">IFERROR(__xludf.DUMMYFUNCTION("""COMPUTED_VALUE"""),7956.36)</f>
        <v>7956.36</v>
      </c>
      <c r="BU376" s="20"/>
      <c r="BV376" s="24">
        <f ca="1">IFERROR(__xludf.DUMMYFUNCTION("""COMPUTED_VALUE"""),33360)</f>
        <v>33360</v>
      </c>
      <c r="BW376" s="24">
        <f ca="1">IFERROR(__xludf.DUMMYFUNCTION("""COMPUTED_VALUE"""),0)</f>
        <v>0</v>
      </c>
      <c r="BX376" s="24">
        <f ca="1">IFERROR(__xludf.DUMMYFUNCTION("""COMPUTED_VALUE"""),28055.76)</f>
        <v>28055.759999999998</v>
      </c>
      <c r="BY376" s="24">
        <f ca="1">IFERROR(__xludf.DUMMYFUNCTION("""COMPUTED_VALUE"""),0)</f>
        <v>0</v>
      </c>
      <c r="BZ376" s="24">
        <f ca="1">IFERROR(__xludf.DUMMYFUNCTION("""COMPUTED_VALUE"""),5304.24)</f>
        <v>5304.24</v>
      </c>
      <c r="CA376" s="20"/>
      <c r="CB376" s="20"/>
      <c r="CC376" s="20"/>
      <c r="CD376" s="20"/>
      <c r="CE376" s="20"/>
      <c r="CF376" s="20"/>
      <c r="CG376" s="20"/>
      <c r="CH376" s="20"/>
      <c r="CI376" s="20"/>
      <c r="CJ376" s="20"/>
      <c r="CK376" s="20"/>
      <c r="CL376" s="20"/>
      <c r="CM376" s="20"/>
      <c r="CN376" s="20"/>
      <c r="CO376" s="20"/>
      <c r="CP376" s="20"/>
      <c r="CQ376" s="20"/>
      <c r="CR376" s="20"/>
      <c r="CS376" s="20"/>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row>
    <row r="377" spans="1:123" ht="64.5" hidden="1" customHeight="1" x14ac:dyDescent="0.2">
      <c r="A377" s="19"/>
      <c r="B377" s="20" t="str">
        <f ca="1">IFERROR(__xludf.DUMMYFUNCTION("""COMPUTED_VALUE"""),"г.о. Егорьевск")</f>
        <v>г.о. Егорьевск</v>
      </c>
      <c r="C37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7" s="20" t="str">
        <f ca="1">IFERROR(__xludf.DUMMYFUNCTION("""COMPUTED_VALUE"""),"МинЖКХ ""ТОП 5 (2 этап)""")</f>
        <v>МинЖКХ "ТОП 5 (2 этап)"</v>
      </c>
      <c r="E377" s="20" t="str">
        <f ca="1">IFERROR(__xludf.DUMMYFUNCTION("""COMPUTED_VALUE"""),"Реконструкция  котельной и ЦТП по адресу г.Егорьевск, ул. Жукова гора, д. 19б, г.о. Егорьевск (в т.ч. ПИР)")</f>
        <v>Реконструкция  котельной и ЦТП по адресу г.Егорьевск, ул. Жукова гора, д. 19б, г.о. Егорьевск (в т.ч. ПИР)</v>
      </c>
      <c r="F377" s="32" t="str">
        <f ca="1">IFERROR(__xludf.DUMMYFUNCTION("""COMPUTED_VALUE"""),"Котельная")</f>
        <v>Котельная</v>
      </c>
      <c r="G377" s="20" t="str">
        <f ca="1">IFERROR(__xludf.DUMMYFUNCTION("""COMPUTED_VALUE"""),"2022-2024")</f>
        <v>2022-2024</v>
      </c>
      <c r="H377" s="20" t="str">
        <f ca="1">IFERROR(__xludf.DUMMYFUNCTION("""COMPUTED_VALUE"""),"СМР")</f>
        <v>СМР</v>
      </c>
      <c r="I377" s="20"/>
      <c r="J377" s="20"/>
      <c r="K377" s="20"/>
      <c r="L377" s="20"/>
      <c r="M377" s="20"/>
      <c r="N377" s="24">
        <f ca="1">IFERROR(__xludf.DUMMYFUNCTION("""COMPUTED_VALUE"""),0)</f>
        <v>0</v>
      </c>
      <c r="O377" s="20"/>
      <c r="P377" s="20"/>
      <c r="Q377" s="20"/>
      <c r="R377" s="20"/>
      <c r="S377" s="20"/>
      <c r="T377" s="20"/>
      <c r="U377" s="24">
        <f ca="1">IFERROR(__xludf.DUMMYFUNCTION("""COMPUTED_VALUE"""),0)</f>
        <v>0</v>
      </c>
      <c r="V377" s="24">
        <f ca="1">IFERROR(__xludf.DUMMYFUNCTION("""COMPUTED_VALUE"""),0)</f>
        <v>0</v>
      </c>
      <c r="W377" s="24">
        <f ca="1">IFERROR(__xludf.DUMMYFUNCTION("""COMPUTED_VALUE"""),0)</f>
        <v>0</v>
      </c>
      <c r="X377" s="24">
        <f ca="1">IFERROR(__xludf.DUMMYFUNCTION("""COMPUTED_VALUE"""),0)</f>
        <v>0</v>
      </c>
      <c r="Y377" s="24">
        <f ca="1">IFERROR(__xludf.DUMMYFUNCTION("""COMPUTED_VALUE"""),0)</f>
        <v>0</v>
      </c>
      <c r="Z377" s="24">
        <f ca="1">IFERROR(__xludf.DUMMYFUNCTION("""COMPUTED_VALUE"""),0)</f>
        <v>0</v>
      </c>
      <c r="AA377" s="20" t="str">
        <f ca="1">IFERROR(__xludf.DUMMYFUNCTION("""COMPUTED_VALUE"""),"10 3 02 64080")</f>
        <v>10 3 02 64080</v>
      </c>
      <c r="AB377" s="20">
        <f ca="1">IFERROR(__xludf.DUMMYFUNCTION("""COMPUTED_VALUE"""),522)</f>
        <v>522</v>
      </c>
      <c r="AC377" s="20"/>
      <c r="AD377" s="20"/>
      <c r="AE377" s="20"/>
      <c r="AF377" s="24">
        <f ca="1">IFERROR(__xludf.DUMMYFUNCTION("""COMPUTED_VALUE"""),25500)</f>
        <v>25500</v>
      </c>
      <c r="AG377" s="24">
        <f ca="1">IFERROR(__xludf.DUMMYFUNCTION("""COMPUTED_VALUE"""),0)</f>
        <v>0</v>
      </c>
      <c r="AH377" s="24">
        <f ca="1">IFERROR(__xludf.DUMMYFUNCTION("""COMPUTED_VALUE"""),21445.5)</f>
        <v>21445.5</v>
      </c>
      <c r="AI377" s="24">
        <f ca="1">IFERROR(__xludf.DUMMYFUNCTION("""COMPUTED_VALUE"""),0)</f>
        <v>0</v>
      </c>
      <c r="AJ377" s="24">
        <f ca="1">IFERROR(__xludf.DUMMYFUNCTION("""COMPUTED_VALUE"""),4054.5)</f>
        <v>4054.5</v>
      </c>
      <c r="AK377" s="24">
        <f ca="1">IFERROR(__xludf.DUMMYFUNCTION("""COMPUTED_VALUE"""),0)</f>
        <v>0</v>
      </c>
      <c r="AL377" s="24">
        <f ca="1">IFERROR(__xludf.DUMMYFUNCTION("""COMPUTED_VALUE"""),0)</f>
        <v>0</v>
      </c>
      <c r="AM377" s="20"/>
      <c r="AN377" s="20"/>
      <c r="AO377" s="20"/>
      <c r="AP377" s="20"/>
      <c r="AQ377" s="20"/>
      <c r="AR377" s="24">
        <f ca="1">IFERROR(__xludf.DUMMYFUNCTION("""COMPUTED_VALUE"""),0)</f>
        <v>0</v>
      </c>
      <c r="AS377" s="20"/>
      <c r="AT377" s="20"/>
      <c r="AU377" s="20"/>
      <c r="AV377" s="20"/>
      <c r="AW377" s="20"/>
      <c r="AX377" s="24">
        <f ca="1">IFERROR(__xludf.DUMMYFUNCTION("""COMPUTED_VALUE"""),0)</f>
        <v>0</v>
      </c>
      <c r="AY377" s="24">
        <f ca="1">IFERROR(__xludf.DUMMYFUNCTION("""COMPUTED_VALUE"""),0)</f>
        <v>0</v>
      </c>
      <c r="AZ377" s="24">
        <f ca="1">IFERROR(__xludf.DUMMYFUNCTION("""COMPUTED_VALUE"""),0)</f>
        <v>0</v>
      </c>
      <c r="BA377" s="24">
        <f ca="1">IFERROR(__xludf.DUMMYFUNCTION("""COMPUTED_VALUE"""),0)</f>
        <v>0</v>
      </c>
      <c r="BB377" s="24">
        <f ca="1">IFERROR(__xludf.DUMMYFUNCTION("""COMPUTED_VALUE"""),0)</f>
        <v>0</v>
      </c>
      <c r="BC377" s="20"/>
      <c r="BD377" s="24">
        <f ca="1">IFERROR(__xludf.DUMMYFUNCTION("""COMPUTED_VALUE"""),0)</f>
        <v>0</v>
      </c>
      <c r="BE377" s="24">
        <f ca="1">IFERROR(__xludf.DUMMYFUNCTION("""COMPUTED_VALUE"""),0)</f>
        <v>0</v>
      </c>
      <c r="BF377" s="24">
        <f ca="1">IFERROR(__xludf.DUMMYFUNCTION("""COMPUTED_VALUE"""),0)</f>
        <v>0</v>
      </c>
      <c r="BG377" s="24">
        <f ca="1">IFERROR(__xludf.DUMMYFUNCTION("""COMPUTED_VALUE"""),0)</f>
        <v>0</v>
      </c>
      <c r="BH377" s="24">
        <f ca="1">IFERROR(__xludf.DUMMYFUNCTION("""COMPUTED_VALUE"""),0)</f>
        <v>0</v>
      </c>
      <c r="BI377" s="20"/>
      <c r="BJ377" s="24">
        <f ca="1">IFERROR(__xludf.DUMMYFUNCTION("""COMPUTED_VALUE"""),4440)</f>
        <v>4440</v>
      </c>
      <c r="BK377" s="24">
        <f ca="1">IFERROR(__xludf.DUMMYFUNCTION("""COMPUTED_VALUE"""),0)</f>
        <v>0</v>
      </c>
      <c r="BL377" s="24">
        <f ca="1">IFERROR(__xludf.DUMMYFUNCTION("""COMPUTED_VALUE"""),3734.04)</f>
        <v>3734.04</v>
      </c>
      <c r="BM377" s="24">
        <f ca="1">IFERROR(__xludf.DUMMYFUNCTION("""COMPUTED_VALUE"""),0)</f>
        <v>0</v>
      </c>
      <c r="BN377" s="24">
        <f ca="1">IFERROR(__xludf.DUMMYFUNCTION("""COMPUTED_VALUE"""),705.96)</f>
        <v>705.96</v>
      </c>
      <c r="BO377" s="20"/>
      <c r="BP377" s="24">
        <f ca="1">IFERROR(__xludf.DUMMYFUNCTION("""COMPUTED_VALUE"""),12636)</f>
        <v>12636</v>
      </c>
      <c r="BQ377" s="24">
        <f ca="1">IFERROR(__xludf.DUMMYFUNCTION("""COMPUTED_VALUE"""),0)</f>
        <v>0</v>
      </c>
      <c r="BR377" s="24">
        <f ca="1">IFERROR(__xludf.DUMMYFUNCTION("""COMPUTED_VALUE"""),10626.88)</f>
        <v>10626.88</v>
      </c>
      <c r="BS377" s="24">
        <f ca="1">IFERROR(__xludf.DUMMYFUNCTION("""COMPUTED_VALUE"""),0)</f>
        <v>0</v>
      </c>
      <c r="BT377" s="24">
        <f ca="1">IFERROR(__xludf.DUMMYFUNCTION("""COMPUTED_VALUE"""),2009.12)</f>
        <v>2009.12</v>
      </c>
      <c r="BU377" s="20"/>
      <c r="BV377" s="24">
        <f ca="1">IFERROR(__xludf.DUMMYFUNCTION("""COMPUTED_VALUE"""),8424)</f>
        <v>8424</v>
      </c>
      <c r="BW377" s="24">
        <f ca="1">IFERROR(__xludf.DUMMYFUNCTION("""COMPUTED_VALUE"""),0)</f>
        <v>0</v>
      </c>
      <c r="BX377" s="24">
        <f ca="1">IFERROR(__xludf.DUMMYFUNCTION("""COMPUTED_VALUE"""),7084.58)</f>
        <v>7084.58</v>
      </c>
      <c r="BY377" s="24">
        <f ca="1">IFERROR(__xludf.DUMMYFUNCTION("""COMPUTED_VALUE"""),0)</f>
        <v>0</v>
      </c>
      <c r="BZ377" s="24">
        <f ca="1">IFERROR(__xludf.DUMMYFUNCTION("""COMPUTED_VALUE"""),1339.42)</f>
        <v>1339.42</v>
      </c>
      <c r="CA377" s="20"/>
      <c r="CB377" s="20"/>
      <c r="CC377" s="20"/>
      <c r="CD377" s="20"/>
      <c r="CE377" s="20"/>
      <c r="CF377" s="20"/>
      <c r="CG377" s="20"/>
      <c r="CH377" s="20"/>
      <c r="CI377" s="20"/>
      <c r="CJ377" s="20"/>
      <c r="CK377" s="20"/>
      <c r="CL377" s="20"/>
      <c r="CM377" s="20"/>
      <c r="CN377" s="20"/>
      <c r="CO377" s="20"/>
      <c r="CP377" s="20"/>
      <c r="CQ377" s="20"/>
      <c r="CR377" s="20"/>
      <c r="CS377" s="20"/>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row>
    <row r="378" spans="1:123" ht="64.5" hidden="1" customHeight="1" x14ac:dyDescent="0.2">
      <c r="A378" s="19"/>
      <c r="B378" s="20" t="str">
        <f ca="1">IFERROR(__xludf.DUMMYFUNCTION("""COMPUTED_VALUE"""),"г.о. Егорьевск")</f>
        <v>г.о. Егорьевск</v>
      </c>
      <c r="C37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8" s="20" t="str">
        <f ca="1">IFERROR(__xludf.DUMMYFUNCTION("""COMPUTED_VALUE"""),"МинЖКХ ""ТОП 5 (2 этап)""")</f>
        <v>МинЖКХ "ТОП 5 (2 этап)"</v>
      </c>
      <c r="E378" s="20" t="str">
        <f ca="1">IFERROR(__xludf.DUMMYFUNCTION("""COMPUTED_VALUE"""),"Реконструкция котельной и ЦТП по адресу г.Егорьевск, ул. Парижской коммуны, д. 1б, г.о. Егорьевск (в т.ч. ПИР)")</f>
        <v>Реконструкция котельной и ЦТП по адресу г.Егорьевск, ул. Парижской коммуны, д. 1б, г.о. Егорьевск (в т.ч. ПИР)</v>
      </c>
      <c r="F378" s="32" t="str">
        <f ca="1">IFERROR(__xludf.DUMMYFUNCTION("""COMPUTED_VALUE"""),"Котельная")</f>
        <v>Котельная</v>
      </c>
      <c r="G378" s="20" t="str">
        <f ca="1">IFERROR(__xludf.DUMMYFUNCTION("""COMPUTED_VALUE"""),"2022-2024")</f>
        <v>2022-2024</v>
      </c>
      <c r="H378" s="20" t="str">
        <f ca="1">IFERROR(__xludf.DUMMYFUNCTION("""COMPUTED_VALUE"""),"СМР")</f>
        <v>СМР</v>
      </c>
      <c r="I378" s="20"/>
      <c r="J378" s="20"/>
      <c r="K378" s="20"/>
      <c r="L378" s="20"/>
      <c r="M378" s="20"/>
      <c r="N378" s="24">
        <f ca="1">IFERROR(__xludf.DUMMYFUNCTION("""COMPUTED_VALUE"""),0)</f>
        <v>0</v>
      </c>
      <c r="O378" s="20"/>
      <c r="P378" s="20"/>
      <c r="Q378" s="20"/>
      <c r="R378" s="20"/>
      <c r="S378" s="20"/>
      <c r="T378" s="20"/>
      <c r="U378" s="24">
        <f ca="1">IFERROR(__xludf.DUMMYFUNCTION("""COMPUTED_VALUE"""),0)</f>
        <v>0</v>
      </c>
      <c r="V378" s="24">
        <f ca="1">IFERROR(__xludf.DUMMYFUNCTION("""COMPUTED_VALUE"""),0)</f>
        <v>0</v>
      </c>
      <c r="W378" s="24">
        <f ca="1">IFERROR(__xludf.DUMMYFUNCTION("""COMPUTED_VALUE"""),0)</f>
        <v>0</v>
      </c>
      <c r="X378" s="24">
        <f ca="1">IFERROR(__xludf.DUMMYFUNCTION("""COMPUTED_VALUE"""),0)</f>
        <v>0</v>
      </c>
      <c r="Y378" s="24">
        <f ca="1">IFERROR(__xludf.DUMMYFUNCTION("""COMPUTED_VALUE"""),0)</f>
        <v>0</v>
      </c>
      <c r="Z378" s="24">
        <f ca="1">IFERROR(__xludf.DUMMYFUNCTION("""COMPUTED_VALUE"""),0)</f>
        <v>0</v>
      </c>
      <c r="AA378" s="20" t="str">
        <f ca="1">IFERROR(__xludf.DUMMYFUNCTION("""COMPUTED_VALUE"""),"10 3 02 64080")</f>
        <v>10 3 02 64080</v>
      </c>
      <c r="AB378" s="20">
        <f ca="1">IFERROR(__xludf.DUMMYFUNCTION("""COMPUTED_VALUE"""),522)</f>
        <v>522</v>
      </c>
      <c r="AC378" s="20"/>
      <c r="AD378" s="20"/>
      <c r="AE378" s="20"/>
      <c r="AF378" s="24">
        <f ca="1">IFERROR(__xludf.DUMMYFUNCTION("""COMPUTED_VALUE"""),90000)</f>
        <v>90000</v>
      </c>
      <c r="AG378" s="24">
        <f ca="1">IFERROR(__xludf.DUMMYFUNCTION("""COMPUTED_VALUE"""),0)</f>
        <v>0</v>
      </c>
      <c r="AH378" s="24">
        <f ca="1">IFERROR(__xludf.DUMMYFUNCTION("""COMPUTED_VALUE"""),75690)</f>
        <v>75690</v>
      </c>
      <c r="AI378" s="24">
        <f ca="1">IFERROR(__xludf.DUMMYFUNCTION("""COMPUTED_VALUE"""),0)</f>
        <v>0</v>
      </c>
      <c r="AJ378" s="24">
        <f ca="1">IFERROR(__xludf.DUMMYFUNCTION("""COMPUTED_VALUE"""),14310)</f>
        <v>14310</v>
      </c>
      <c r="AK378" s="24">
        <f ca="1">IFERROR(__xludf.DUMMYFUNCTION("""COMPUTED_VALUE"""),0)</f>
        <v>0</v>
      </c>
      <c r="AL378" s="24">
        <f ca="1">IFERROR(__xludf.DUMMYFUNCTION("""COMPUTED_VALUE"""),0)</f>
        <v>0</v>
      </c>
      <c r="AM378" s="20"/>
      <c r="AN378" s="20"/>
      <c r="AO378" s="20"/>
      <c r="AP378" s="20"/>
      <c r="AQ378" s="20"/>
      <c r="AR378" s="24">
        <f ca="1">IFERROR(__xludf.DUMMYFUNCTION("""COMPUTED_VALUE"""),0)</f>
        <v>0</v>
      </c>
      <c r="AS378" s="20"/>
      <c r="AT378" s="20"/>
      <c r="AU378" s="20"/>
      <c r="AV378" s="20"/>
      <c r="AW378" s="20"/>
      <c r="AX378" s="24">
        <f ca="1">IFERROR(__xludf.DUMMYFUNCTION("""COMPUTED_VALUE"""),0)</f>
        <v>0</v>
      </c>
      <c r="AY378" s="24">
        <f ca="1">IFERROR(__xludf.DUMMYFUNCTION("""COMPUTED_VALUE"""),0)</f>
        <v>0</v>
      </c>
      <c r="AZ378" s="24">
        <f ca="1">IFERROR(__xludf.DUMMYFUNCTION("""COMPUTED_VALUE"""),0)</f>
        <v>0</v>
      </c>
      <c r="BA378" s="24">
        <f ca="1">IFERROR(__xludf.DUMMYFUNCTION("""COMPUTED_VALUE"""),0)</f>
        <v>0</v>
      </c>
      <c r="BB378" s="24">
        <f ca="1">IFERROR(__xludf.DUMMYFUNCTION("""COMPUTED_VALUE"""),0)</f>
        <v>0</v>
      </c>
      <c r="BC378" s="20"/>
      <c r="BD378" s="24">
        <f ca="1">IFERROR(__xludf.DUMMYFUNCTION("""COMPUTED_VALUE"""),0)</f>
        <v>0</v>
      </c>
      <c r="BE378" s="24">
        <f ca="1">IFERROR(__xludf.DUMMYFUNCTION("""COMPUTED_VALUE"""),0)</f>
        <v>0</v>
      </c>
      <c r="BF378" s="24">
        <f ca="1">IFERROR(__xludf.DUMMYFUNCTION("""COMPUTED_VALUE"""),0)</f>
        <v>0</v>
      </c>
      <c r="BG378" s="24">
        <f ca="1">IFERROR(__xludf.DUMMYFUNCTION("""COMPUTED_VALUE"""),0)</f>
        <v>0</v>
      </c>
      <c r="BH378" s="24">
        <f ca="1">IFERROR(__xludf.DUMMYFUNCTION("""COMPUTED_VALUE"""),0)</f>
        <v>0</v>
      </c>
      <c r="BI378" s="20"/>
      <c r="BJ378" s="24">
        <f ca="1">IFERROR(__xludf.DUMMYFUNCTION("""COMPUTED_VALUE"""),5640)</f>
        <v>5640</v>
      </c>
      <c r="BK378" s="24">
        <f ca="1">IFERROR(__xludf.DUMMYFUNCTION("""COMPUTED_VALUE"""),0)</f>
        <v>0</v>
      </c>
      <c r="BL378" s="24">
        <f ca="1">IFERROR(__xludf.DUMMYFUNCTION("""COMPUTED_VALUE"""),4743.24)</f>
        <v>4743.24</v>
      </c>
      <c r="BM378" s="24">
        <f ca="1">IFERROR(__xludf.DUMMYFUNCTION("""COMPUTED_VALUE"""),0)</f>
        <v>0</v>
      </c>
      <c r="BN378" s="24">
        <f ca="1">IFERROR(__xludf.DUMMYFUNCTION("""COMPUTED_VALUE"""),896.76)</f>
        <v>896.76</v>
      </c>
      <c r="BO378" s="20"/>
      <c r="BP378" s="24">
        <f ca="1">IFERROR(__xludf.DUMMYFUNCTION("""COMPUTED_VALUE"""),50616)</f>
        <v>50616</v>
      </c>
      <c r="BQ378" s="24">
        <f ca="1">IFERROR(__xludf.DUMMYFUNCTION("""COMPUTED_VALUE"""),0)</f>
        <v>0</v>
      </c>
      <c r="BR378" s="24">
        <f ca="1">IFERROR(__xludf.DUMMYFUNCTION("""COMPUTED_VALUE"""),42568.06)</f>
        <v>42568.06</v>
      </c>
      <c r="BS378" s="24">
        <f ca="1">IFERROR(__xludf.DUMMYFUNCTION("""COMPUTED_VALUE"""),0)</f>
        <v>0</v>
      </c>
      <c r="BT378" s="24">
        <f ca="1">IFERROR(__xludf.DUMMYFUNCTION("""COMPUTED_VALUE"""),8047.94)</f>
        <v>8047.94</v>
      </c>
      <c r="BU378" s="20"/>
      <c r="BV378" s="24">
        <f ca="1">IFERROR(__xludf.DUMMYFUNCTION("""COMPUTED_VALUE"""),33744)</f>
        <v>33744</v>
      </c>
      <c r="BW378" s="24">
        <f ca="1">IFERROR(__xludf.DUMMYFUNCTION("""COMPUTED_VALUE"""),0)</f>
        <v>0</v>
      </c>
      <c r="BX378" s="24">
        <f ca="1">IFERROR(__xludf.DUMMYFUNCTION("""COMPUTED_VALUE"""),28378.7)</f>
        <v>28378.7</v>
      </c>
      <c r="BY378" s="24">
        <f ca="1">IFERROR(__xludf.DUMMYFUNCTION("""COMPUTED_VALUE"""),0)</f>
        <v>0</v>
      </c>
      <c r="BZ378" s="24">
        <f ca="1">IFERROR(__xludf.DUMMYFUNCTION("""COMPUTED_VALUE"""),5365.3)</f>
        <v>5365.3</v>
      </c>
      <c r="CA378" s="20"/>
      <c r="CB378" s="20"/>
      <c r="CC378" s="20"/>
      <c r="CD378" s="20"/>
      <c r="CE378" s="20"/>
      <c r="CF378" s="20"/>
      <c r="CG378" s="20"/>
      <c r="CH378" s="20"/>
      <c r="CI378" s="20"/>
      <c r="CJ378" s="20"/>
      <c r="CK378" s="20"/>
      <c r="CL378" s="20"/>
      <c r="CM378" s="20"/>
      <c r="CN378" s="20"/>
      <c r="CO378" s="20"/>
      <c r="CP378" s="20"/>
      <c r="CQ378" s="20"/>
      <c r="CR378" s="20"/>
      <c r="CS378" s="20"/>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row>
    <row r="379" spans="1:123" ht="64.5" hidden="1" customHeight="1" x14ac:dyDescent="0.2">
      <c r="A379" s="19"/>
      <c r="B379" s="20" t="str">
        <f ca="1">IFERROR(__xludf.DUMMYFUNCTION("""COMPUTED_VALUE"""),"г.о. Волоколамский")</f>
        <v>г.о. Волоколамский</v>
      </c>
      <c r="C37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9" s="20" t="str">
        <f ca="1">IFERROR(__xludf.DUMMYFUNCTION("""COMPUTED_VALUE"""),"МинЖКХ ""ТОП 5 (2 этап)""")</f>
        <v>МинЖКХ "ТОП 5 (2 этап)"</v>
      </c>
      <c r="E379" s="20" t="str">
        <f ca="1">IFERROR(__xludf.DUMMYFUNCTION("""COMPUTED_VALUE"""),"Строительство котельной №34, с. Ярополец, ул. Пушкинская, г.о. Волоколамский (в т.ч. ПИР, ТП)")</f>
        <v>Строительство котельной №34, с. Ярополец, ул. Пушкинская, г.о. Волоколамский (в т.ч. ПИР, ТП)</v>
      </c>
      <c r="F379" s="32" t="str">
        <f ca="1">IFERROR(__xludf.DUMMYFUNCTION("""COMPUTED_VALUE"""),"Котельная")</f>
        <v>Котельная</v>
      </c>
      <c r="G379" s="20" t="str">
        <f ca="1">IFERROR(__xludf.DUMMYFUNCTION("""COMPUTED_VALUE"""),"2022-2023")</f>
        <v>2022-2023</v>
      </c>
      <c r="H379" s="20" t="str">
        <f ca="1">IFERROR(__xludf.DUMMYFUNCTION("""COMPUTED_VALUE"""),"СМР")</f>
        <v>СМР</v>
      </c>
      <c r="I379" s="20"/>
      <c r="J379" s="20"/>
      <c r="K379" s="20"/>
      <c r="L379" s="20"/>
      <c r="M379" s="20"/>
      <c r="N379" s="24">
        <f ca="1">IFERROR(__xludf.DUMMYFUNCTION("""COMPUTED_VALUE"""),0)</f>
        <v>0</v>
      </c>
      <c r="O379" s="20"/>
      <c r="P379" s="20"/>
      <c r="Q379" s="20"/>
      <c r="R379" s="20"/>
      <c r="S379" s="20"/>
      <c r="T379" s="20"/>
      <c r="U379" s="24">
        <f ca="1">IFERROR(__xludf.DUMMYFUNCTION("""COMPUTED_VALUE"""),0)</f>
        <v>0</v>
      </c>
      <c r="V379" s="24">
        <f ca="1">IFERROR(__xludf.DUMMYFUNCTION("""COMPUTED_VALUE"""),0)</f>
        <v>0</v>
      </c>
      <c r="W379" s="24">
        <f ca="1">IFERROR(__xludf.DUMMYFUNCTION("""COMPUTED_VALUE"""),0)</f>
        <v>0</v>
      </c>
      <c r="X379" s="24">
        <f ca="1">IFERROR(__xludf.DUMMYFUNCTION("""COMPUTED_VALUE"""),0)</f>
        <v>0</v>
      </c>
      <c r="Y379" s="24">
        <f ca="1">IFERROR(__xludf.DUMMYFUNCTION("""COMPUTED_VALUE"""),0)</f>
        <v>0</v>
      </c>
      <c r="Z379" s="24">
        <f ca="1">IFERROR(__xludf.DUMMYFUNCTION("""COMPUTED_VALUE"""),0)</f>
        <v>0</v>
      </c>
      <c r="AA379" s="20" t="str">
        <f ca="1">IFERROR(__xludf.DUMMYFUNCTION("""COMPUTED_VALUE"""),"10 3 02 64080")</f>
        <v>10 3 02 64080</v>
      </c>
      <c r="AB379" s="20">
        <f ca="1">IFERROR(__xludf.DUMMYFUNCTION("""COMPUTED_VALUE"""),522)</f>
        <v>522</v>
      </c>
      <c r="AC379" s="20"/>
      <c r="AD379" s="20"/>
      <c r="AE379" s="20"/>
      <c r="AF379" s="24">
        <f ca="1">IFERROR(__xludf.DUMMYFUNCTION("""COMPUTED_VALUE"""),12000)</f>
        <v>12000</v>
      </c>
      <c r="AG379" s="24">
        <f ca="1">IFERROR(__xludf.DUMMYFUNCTION("""COMPUTED_VALUE"""),0)</f>
        <v>0</v>
      </c>
      <c r="AH379" s="24">
        <f ca="1">IFERROR(__xludf.DUMMYFUNCTION("""COMPUTED_VALUE"""),10800)</f>
        <v>10800</v>
      </c>
      <c r="AI379" s="24">
        <f ca="1">IFERROR(__xludf.DUMMYFUNCTION("""COMPUTED_VALUE"""),0)</f>
        <v>0</v>
      </c>
      <c r="AJ379" s="24">
        <f ca="1">IFERROR(__xludf.DUMMYFUNCTION("""COMPUTED_VALUE"""),1200)</f>
        <v>1200</v>
      </c>
      <c r="AK379" s="24">
        <f ca="1">IFERROR(__xludf.DUMMYFUNCTION("""COMPUTED_VALUE"""),0)</f>
        <v>0</v>
      </c>
      <c r="AL379" s="24">
        <f ca="1">IFERROR(__xludf.DUMMYFUNCTION("""COMPUTED_VALUE"""),0)</f>
        <v>0</v>
      </c>
      <c r="AM379" s="20"/>
      <c r="AN379" s="20"/>
      <c r="AO379" s="20"/>
      <c r="AP379" s="20"/>
      <c r="AQ379" s="20"/>
      <c r="AR379" s="24">
        <f ca="1">IFERROR(__xludf.DUMMYFUNCTION("""COMPUTED_VALUE"""),0)</f>
        <v>0</v>
      </c>
      <c r="AS379" s="20"/>
      <c r="AT379" s="20"/>
      <c r="AU379" s="20"/>
      <c r="AV379" s="20"/>
      <c r="AW379" s="20"/>
      <c r="AX379" s="24">
        <f ca="1">IFERROR(__xludf.DUMMYFUNCTION("""COMPUTED_VALUE"""),0)</f>
        <v>0</v>
      </c>
      <c r="AY379" s="24">
        <f ca="1">IFERROR(__xludf.DUMMYFUNCTION("""COMPUTED_VALUE"""),0)</f>
        <v>0</v>
      </c>
      <c r="AZ379" s="24">
        <f ca="1">IFERROR(__xludf.DUMMYFUNCTION("""COMPUTED_VALUE"""),0)</f>
        <v>0</v>
      </c>
      <c r="BA379" s="24">
        <f ca="1">IFERROR(__xludf.DUMMYFUNCTION("""COMPUTED_VALUE"""),0)</f>
        <v>0</v>
      </c>
      <c r="BB379" s="24">
        <f ca="1">IFERROR(__xludf.DUMMYFUNCTION("""COMPUTED_VALUE"""),0)</f>
        <v>0</v>
      </c>
      <c r="BC379" s="20"/>
      <c r="BD379" s="24">
        <f ca="1">IFERROR(__xludf.DUMMYFUNCTION("""COMPUTED_VALUE"""),0)</f>
        <v>0</v>
      </c>
      <c r="BE379" s="24">
        <f ca="1">IFERROR(__xludf.DUMMYFUNCTION("""COMPUTED_VALUE"""),0)</f>
        <v>0</v>
      </c>
      <c r="BF379" s="24">
        <f ca="1">IFERROR(__xludf.DUMMYFUNCTION("""COMPUTED_VALUE"""),0)</f>
        <v>0</v>
      </c>
      <c r="BG379" s="24">
        <f ca="1">IFERROR(__xludf.DUMMYFUNCTION("""COMPUTED_VALUE"""),0)</f>
        <v>0</v>
      </c>
      <c r="BH379" s="24">
        <f ca="1">IFERROR(__xludf.DUMMYFUNCTION("""COMPUTED_VALUE"""),0)</f>
        <v>0</v>
      </c>
      <c r="BI379" s="20"/>
      <c r="BJ379" s="24">
        <f ca="1">IFERROR(__xludf.DUMMYFUNCTION("""COMPUTED_VALUE"""),5454)</f>
        <v>5454</v>
      </c>
      <c r="BK379" s="24">
        <f ca="1">IFERROR(__xludf.DUMMYFUNCTION("""COMPUTED_VALUE"""),0)</f>
        <v>0</v>
      </c>
      <c r="BL379" s="24">
        <f ca="1">IFERROR(__xludf.DUMMYFUNCTION("""COMPUTED_VALUE"""),4908.6)</f>
        <v>4908.6000000000004</v>
      </c>
      <c r="BM379" s="24">
        <f ca="1">IFERROR(__xludf.DUMMYFUNCTION("""COMPUTED_VALUE"""),0)</f>
        <v>0</v>
      </c>
      <c r="BN379" s="24">
        <f ca="1">IFERROR(__xludf.DUMMYFUNCTION("""COMPUTED_VALUE"""),545.4)</f>
        <v>545.4</v>
      </c>
      <c r="BO379" s="20"/>
      <c r="BP379" s="24">
        <f ca="1">IFERROR(__xludf.DUMMYFUNCTION("""COMPUTED_VALUE"""),6546)</f>
        <v>6546</v>
      </c>
      <c r="BQ379" s="24">
        <f ca="1">IFERROR(__xludf.DUMMYFUNCTION("""COMPUTED_VALUE"""),0)</f>
        <v>0</v>
      </c>
      <c r="BR379" s="24">
        <f ca="1">IFERROR(__xludf.DUMMYFUNCTION("""COMPUTED_VALUE"""),5891.4)</f>
        <v>5891.4</v>
      </c>
      <c r="BS379" s="24">
        <f ca="1">IFERROR(__xludf.DUMMYFUNCTION("""COMPUTED_VALUE"""),0)</f>
        <v>0</v>
      </c>
      <c r="BT379" s="24">
        <f ca="1">IFERROR(__xludf.DUMMYFUNCTION("""COMPUTED_VALUE"""),654.6)</f>
        <v>654.6</v>
      </c>
      <c r="BU379" s="20"/>
      <c r="BV379" s="24">
        <f ca="1">IFERROR(__xludf.DUMMYFUNCTION("""COMPUTED_VALUE"""),0)</f>
        <v>0</v>
      </c>
      <c r="BW379" s="24">
        <f ca="1">IFERROR(__xludf.DUMMYFUNCTION("""COMPUTED_VALUE"""),0)</f>
        <v>0</v>
      </c>
      <c r="BX379" s="24">
        <f ca="1">IFERROR(__xludf.DUMMYFUNCTION("""COMPUTED_VALUE"""),0)</f>
        <v>0</v>
      </c>
      <c r="BY379" s="24">
        <f ca="1">IFERROR(__xludf.DUMMYFUNCTION("""COMPUTED_VALUE"""),0)</f>
        <v>0</v>
      </c>
      <c r="BZ379" s="24">
        <f ca="1">IFERROR(__xludf.DUMMYFUNCTION("""COMPUTED_VALUE"""),0)</f>
        <v>0</v>
      </c>
      <c r="CA379" s="20"/>
      <c r="CB379" s="20"/>
      <c r="CC379" s="20"/>
      <c r="CD379" s="20"/>
      <c r="CE379" s="20"/>
      <c r="CF379" s="20"/>
      <c r="CG379" s="20"/>
      <c r="CH379" s="20"/>
      <c r="CI379" s="20"/>
      <c r="CJ379" s="20"/>
      <c r="CK379" s="20"/>
      <c r="CL379" s="20"/>
      <c r="CM379" s="20"/>
      <c r="CN379" s="20"/>
      <c r="CO379" s="20"/>
      <c r="CP379" s="20"/>
      <c r="CQ379" s="20"/>
      <c r="CR379" s="20"/>
      <c r="CS379" s="20"/>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row>
    <row r="380" spans="1:123" ht="64.5" hidden="1" customHeight="1" x14ac:dyDescent="0.2">
      <c r="A380" s="19"/>
      <c r="B380" s="20" t="str">
        <f ca="1">IFERROR(__xludf.DUMMYFUNCTION("""COMPUTED_VALUE"""),"г.о. Богородский")</f>
        <v>г.о. Богородский</v>
      </c>
      <c r="C38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0" s="20" t="str">
        <f ca="1">IFERROR(__xludf.DUMMYFUNCTION("""COMPUTED_VALUE"""),"МинЖКХ ""ТОП 5 (2 этап)""")</f>
        <v>МинЖКХ "ТОП 5 (2 этап)"</v>
      </c>
      <c r="E380" s="20" t="str">
        <f ca="1">IFERROR(__xludf.DUMMYFUNCTION("""COMPUTED_VALUE"""),"Строительство котельной по адресу г. Электроугли,  ул. Маяковского, д. 25,  Богородский г.о. (в т.ч. ПИР)")</f>
        <v>Строительство котельной по адресу г. Электроугли,  ул. Маяковского, д. 25,  Богородский г.о. (в т.ч. ПИР)</v>
      </c>
      <c r="F380" s="32" t="str">
        <f ca="1">IFERROR(__xludf.DUMMYFUNCTION("""COMPUTED_VALUE"""),"Котельная")</f>
        <v>Котельная</v>
      </c>
      <c r="G380" s="20" t="str">
        <f ca="1">IFERROR(__xludf.DUMMYFUNCTION("""COMPUTED_VALUE"""),"2022-2024")</f>
        <v>2022-2024</v>
      </c>
      <c r="H380" s="20" t="str">
        <f ca="1">IFERROR(__xludf.DUMMYFUNCTION("""COMPUTED_VALUE"""),"СМР")</f>
        <v>СМР</v>
      </c>
      <c r="I380" s="20"/>
      <c r="J380" s="20"/>
      <c r="K380" s="20"/>
      <c r="L380" s="20"/>
      <c r="M380" s="20"/>
      <c r="N380" s="24">
        <f ca="1">IFERROR(__xludf.DUMMYFUNCTION("""COMPUTED_VALUE"""),0)</f>
        <v>0</v>
      </c>
      <c r="O380" s="20"/>
      <c r="P380" s="20"/>
      <c r="Q380" s="20"/>
      <c r="R380" s="20"/>
      <c r="S380" s="20"/>
      <c r="T380" s="20"/>
      <c r="U380" s="24">
        <f ca="1">IFERROR(__xludf.DUMMYFUNCTION("""COMPUTED_VALUE"""),0)</f>
        <v>0</v>
      </c>
      <c r="V380" s="24">
        <f ca="1">IFERROR(__xludf.DUMMYFUNCTION("""COMPUTED_VALUE"""),0)</f>
        <v>0</v>
      </c>
      <c r="W380" s="24">
        <f ca="1">IFERROR(__xludf.DUMMYFUNCTION("""COMPUTED_VALUE"""),0)</f>
        <v>0</v>
      </c>
      <c r="X380" s="24">
        <f ca="1">IFERROR(__xludf.DUMMYFUNCTION("""COMPUTED_VALUE"""),0)</f>
        <v>0</v>
      </c>
      <c r="Y380" s="24">
        <f ca="1">IFERROR(__xludf.DUMMYFUNCTION("""COMPUTED_VALUE"""),0)</f>
        <v>0</v>
      </c>
      <c r="Z380" s="24">
        <f ca="1">IFERROR(__xludf.DUMMYFUNCTION("""COMPUTED_VALUE"""),0)</f>
        <v>0</v>
      </c>
      <c r="AA380" s="20" t="str">
        <f ca="1">IFERROR(__xludf.DUMMYFUNCTION("""COMPUTED_VALUE"""),"10 3 02 64080")</f>
        <v>10 3 02 64080</v>
      </c>
      <c r="AB380" s="20">
        <f ca="1">IFERROR(__xludf.DUMMYFUNCTION("""COMPUTED_VALUE"""),522)</f>
        <v>522</v>
      </c>
      <c r="AC380" s="20"/>
      <c r="AD380" s="20"/>
      <c r="AE380" s="20"/>
      <c r="AF380" s="24">
        <f ca="1">IFERROR(__xludf.DUMMYFUNCTION("""COMPUTED_VALUE"""),1160000)</f>
        <v>1160000</v>
      </c>
      <c r="AG380" s="24">
        <f ca="1">IFERROR(__xludf.DUMMYFUNCTION("""COMPUTED_VALUE"""),0)</f>
        <v>0</v>
      </c>
      <c r="AH380" s="24">
        <f ca="1">IFERROR(__xludf.DUMMYFUNCTION("""COMPUTED_VALUE"""),816871.65)</f>
        <v>816871.65</v>
      </c>
      <c r="AI380" s="24">
        <f ca="1">IFERROR(__xludf.DUMMYFUNCTION("""COMPUTED_VALUE"""),0)</f>
        <v>0</v>
      </c>
      <c r="AJ380" s="24">
        <f ca="1">IFERROR(__xludf.DUMMYFUNCTION("""COMPUTED_VALUE"""),343128.35)</f>
        <v>343128.35</v>
      </c>
      <c r="AK380" s="24">
        <f ca="1">IFERROR(__xludf.DUMMYFUNCTION("""COMPUTED_VALUE"""),0)</f>
        <v>0</v>
      </c>
      <c r="AL380" s="24">
        <f ca="1">IFERROR(__xludf.DUMMYFUNCTION("""COMPUTED_VALUE"""),0)</f>
        <v>0</v>
      </c>
      <c r="AM380" s="20"/>
      <c r="AN380" s="20"/>
      <c r="AO380" s="20"/>
      <c r="AP380" s="20"/>
      <c r="AQ380" s="20"/>
      <c r="AR380" s="24">
        <f ca="1">IFERROR(__xludf.DUMMYFUNCTION("""COMPUTED_VALUE"""),0)</f>
        <v>0</v>
      </c>
      <c r="AS380" s="20"/>
      <c r="AT380" s="20"/>
      <c r="AU380" s="20"/>
      <c r="AV380" s="20"/>
      <c r="AW380" s="20"/>
      <c r="AX380" s="24">
        <f ca="1">IFERROR(__xludf.DUMMYFUNCTION("""COMPUTED_VALUE"""),0)</f>
        <v>0</v>
      </c>
      <c r="AY380" s="24">
        <f ca="1">IFERROR(__xludf.DUMMYFUNCTION("""COMPUTED_VALUE"""),0)</f>
        <v>0</v>
      </c>
      <c r="AZ380" s="24">
        <f ca="1">IFERROR(__xludf.DUMMYFUNCTION("""COMPUTED_VALUE"""),0)</f>
        <v>0</v>
      </c>
      <c r="BA380" s="24">
        <f ca="1">IFERROR(__xludf.DUMMYFUNCTION("""COMPUTED_VALUE"""),0)</f>
        <v>0</v>
      </c>
      <c r="BB380" s="24">
        <f ca="1">IFERROR(__xludf.DUMMYFUNCTION("""COMPUTED_VALUE"""),0)</f>
        <v>0</v>
      </c>
      <c r="BC380" s="20"/>
      <c r="BD380" s="24">
        <f ca="1">IFERROR(__xludf.DUMMYFUNCTION("""COMPUTED_VALUE"""),0)</f>
        <v>0</v>
      </c>
      <c r="BE380" s="24">
        <f ca="1">IFERROR(__xludf.DUMMYFUNCTION("""COMPUTED_VALUE"""),0)</f>
        <v>0</v>
      </c>
      <c r="BF380" s="24">
        <f ca="1">IFERROR(__xludf.DUMMYFUNCTION("""COMPUTED_VALUE"""),0)</f>
        <v>0</v>
      </c>
      <c r="BG380" s="24">
        <f ca="1">IFERROR(__xludf.DUMMYFUNCTION("""COMPUTED_VALUE"""),0)</f>
        <v>0</v>
      </c>
      <c r="BH380" s="24">
        <f ca="1">IFERROR(__xludf.DUMMYFUNCTION("""COMPUTED_VALUE"""),0)</f>
        <v>0</v>
      </c>
      <c r="BI380" s="20"/>
      <c r="BJ380" s="24">
        <f ca="1">IFERROR(__xludf.DUMMYFUNCTION("""COMPUTED_VALUE"""),28401.04)</f>
        <v>28401.040000000001</v>
      </c>
      <c r="BK380" s="24">
        <f ca="1">IFERROR(__xludf.DUMMYFUNCTION("""COMPUTED_VALUE"""),0)</f>
        <v>0</v>
      </c>
      <c r="BL380" s="24">
        <f ca="1">IFERROR(__xludf.DUMMYFUNCTION("""COMPUTED_VALUE"""),21357.58)</f>
        <v>21357.58</v>
      </c>
      <c r="BM380" s="24">
        <f ca="1">IFERROR(__xludf.DUMMYFUNCTION("""COMPUTED_VALUE"""),0)</f>
        <v>0</v>
      </c>
      <c r="BN380" s="24">
        <f ca="1">IFERROR(__xludf.DUMMYFUNCTION("""COMPUTED_VALUE"""),7043.46)</f>
        <v>7043.46</v>
      </c>
      <c r="BO380" s="20"/>
      <c r="BP380" s="24">
        <f ca="1">IFERROR(__xludf.DUMMYFUNCTION("""COMPUTED_VALUE"""),678959.38)</f>
        <v>678959.38</v>
      </c>
      <c r="BQ380" s="24">
        <f ca="1">IFERROR(__xludf.DUMMYFUNCTION("""COMPUTED_VALUE"""),0)</f>
        <v>0</v>
      </c>
      <c r="BR380" s="24">
        <f ca="1">IFERROR(__xludf.DUMMYFUNCTION("""COMPUTED_VALUE"""),477308.44)</f>
        <v>477308.44</v>
      </c>
      <c r="BS380" s="24">
        <f ca="1">IFERROR(__xludf.DUMMYFUNCTION("""COMPUTED_VALUE"""),0)</f>
        <v>0</v>
      </c>
      <c r="BT380" s="24">
        <f ca="1">IFERROR(__xludf.DUMMYFUNCTION("""COMPUTED_VALUE"""),201650.94)</f>
        <v>201650.94</v>
      </c>
      <c r="BU380" s="20"/>
      <c r="BV380" s="24">
        <f ca="1">IFERROR(__xludf.DUMMYFUNCTION("""COMPUTED_VALUE"""),452639.58)</f>
        <v>452639.58</v>
      </c>
      <c r="BW380" s="24">
        <f ca="1">IFERROR(__xludf.DUMMYFUNCTION("""COMPUTED_VALUE"""),0)</f>
        <v>0</v>
      </c>
      <c r="BX380" s="24">
        <f ca="1">IFERROR(__xludf.DUMMYFUNCTION("""COMPUTED_VALUE"""),318205.63)</f>
        <v>318205.63</v>
      </c>
      <c r="BY380" s="24">
        <f ca="1">IFERROR(__xludf.DUMMYFUNCTION("""COMPUTED_VALUE"""),0)</f>
        <v>0</v>
      </c>
      <c r="BZ380" s="24">
        <f ca="1">IFERROR(__xludf.DUMMYFUNCTION("""COMPUTED_VALUE"""),134433.95)</f>
        <v>134433.95000000001</v>
      </c>
      <c r="CA380" s="20"/>
      <c r="CB380" s="20"/>
      <c r="CC380" s="20"/>
      <c r="CD380" s="20"/>
      <c r="CE380" s="20"/>
      <c r="CF380" s="20"/>
      <c r="CG380" s="20"/>
      <c r="CH380" s="20"/>
      <c r="CI380" s="20"/>
      <c r="CJ380" s="20"/>
      <c r="CK380" s="20"/>
      <c r="CL380" s="20"/>
      <c r="CM380" s="20"/>
      <c r="CN380" s="20"/>
      <c r="CO380" s="20"/>
      <c r="CP380" s="20"/>
      <c r="CQ380" s="20"/>
      <c r="CR380" s="20"/>
      <c r="CS380" s="20"/>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row>
    <row r="381" spans="1:123" ht="64.5" hidden="1" customHeight="1" x14ac:dyDescent="0.2">
      <c r="A381" s="19"/>
      <c r="B381" s="20" t="str">
        <f ca="1">IFERROR(__xludf.DUMMYFUNCTION("""COMPUTED_VALUE"""),"г.о. Богородский")</f>
        <v>г.о. Богородский</v>
      </c>
      <c r="C38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1" s="20" t="str">
        <f ca="1">IFERROR(__xludf.DUMMYFUNCTION("""COMPUTED_VALUE"""),"МинЖКХ ""ТОП 5 (2 этап)""")</f>
        <v>МинЖКХ "ТОП 5 (2 этап)"</v>
      </c>
      <c r="E381" s="20" t="str">
        <f ca="1">IFERROR(__xludf.DUMMYFUNCTION("""COMPUTED_VALUE"""),"Реконструкция котельной ""Заречье"", г.Ногинск, ул. Соединительная, д. 5,  Богородский г.о. (в т.ч. ПИР, ТП)")</f>
        <v>Реконструкция котельной "Заречье", г.Ногинск, ул. Соединительная, д. 5,  Богородский г.о. (в т.ч. ПИР, ТП)</v>
      </c>
      <c r="F381" s="32" t="str">
        <f ca="1">IFERROR(__xludf.DUMMYFUNCTION("""COMPUTED_VALUE"""),"Котельная")</f>
        <v>Котельная</v>
      </c>
      <c r="G381" s="20" t="str">
        <f ca="1">IFERROR(__xludf.DUMMYFUNCTION("""COMPUTED_VALUE"""),"2022-2024")</f>
        <v>2022-2024</v>
      </c>
      <c r="H381" s="20" t="str">
        <f ca="1">IFERROR(__xludf.DUMMYFUNCTION("""COMPUTED_VALUE"""),"СМР")</f>
        <v>СМР</v>
      </c>
      <c r="I381" s="20"/>
      <c r="J381" s="20"/>
      <c r="K381" s="20"/>
      <c r="L381" s="20"/>
      <c r="M381" s="20"/>
      <c r="N381" s="24">
        <f ca="1">IFERROR(__xludf.DUMMYFUNCTION("""COMPUTED_VALUE"""),0)</f>
        <v>0</v>
      </c>
      <c r="O381" s="20"/>
      <c r="P381" s="20"/>
      <c r="Q381" s="20"/>
      <c r="R381" s="20"/>
      <c r="S381" s="20"/>
      <c r="T381" s="20"/>
      <c r="U381" s="24">
        <f ca="1">IFERROR(__xludf.DUMMYFUNCTION("""COMPUTED_VALUE"""),0)</f>
        <v>0</v>
      </c>
      <c r="V381" s="24">
        <f ca="1">IFERROR(__xludf.DUMMYFUNCTION("""COMPUTED_VALUE"""),0)</f>
        <v>0</v>
      </c>
      <c r="W381" s="24">
        <f ca="1">IFERROR(__xludf.DUMMYFUNCTION("""COMPUTED_VALUE"""),0)</f>
        <v>0</v>
      </c>
      <c r="X381" s="24">
        <f ca="1">IFERROR(__xludf.DUMMYFUNCTION("""COMPUTED_VALUE"""),0)</f>
        <v>0</v>
      </c>
      <c r="Y381" s="24">
        <f ca="1">IFERROR(__xludf.DUMMYFUNCTION("""COMPUTED_VALUE"""),0)</f>
        <v>0</v>
      </c>
      <c r="Z381" s="24">
        <f ca="1">IFERROR(__xludf.DUMMYFUNCTION("""COMPUTED_VALUE"""),0)</f>
        <v>0</v>
      </c>
      <c r="AA381" s="20" t="str">
        <f ca="1">IFERROR(__xludf.DUMMYFUNCTION("""COMPUTED_VALUE"""),"10 3 02 64080")</f>
        <v>10 3 02 64080</v>
      </c>
      <c r="AB381" s="20">
        <f ca="1">IFERROR(__xludf.DUMMYFUNCTION("""COMPUTED_VALUE"""),522)</f>
        <v>522</v>
      </c>
      <c r="AC381" s="20"/>
      <c r="AD381" s="20"/>
      <c r="AE381" s="20"/>
      <c r="AF381" s="24">
        <f ca="1">IFERROR(__xludf.DUMMYFUNCTION("""COMPUTED_VALUE"""),600000)</f>
        <v>600000</v>
      </c>
      <c r="AG381" s="24">
        <f ca="1">IFERROR(__xludf.DUMMYFUNCTION("""COMPUTED_VALUE"""),0)</f>
        <v>0</v>
      </c>
      <c r="AH381" s="24">
        <f ca="1">IFERROR(__xludf.DUMMYFUNCTION("""COMPUTED_VALUE"""),423858)</f>
        <v>423858</v>
      </c>
      <c r="AI381" s="24">
        <f ca="1">IFERROR(__xludf.DUMMYFUNCTION("""COMPUTED_VALUE"""),0)</f>
        <v>0</v>
      </c>
      <c r="AJ381" s="24">
        <f ca="1">IFERROR(__xludf.DUMMYFUNCTION("""COMPUTED_VALUE"""),176142)</f>
        <v>176142</v>
      </c>
      <c r="AK381" s="24">
        <f ca="1">IFERROR(__xludf.DUMMYFUNCTION("""COMPUTED_VALUE"""),0)</f>
        <v>0</v>
      </c>
      <c r="AL381" s="24">
        <f ca="1">IFERROR(__xludf.DUMMYFUNCTION("""COMPUTED_VALUE"""),0)</f>
        <v>0</v>
      </c>
      <c r="AM381" s="20"/>
      <c r="AN381" s="20"/>
      <c r="AO381" s="20"/>
      <c r="AP381" s="20"/>
      <c r="AQ381" s="20"/>
      <c r="AR381" s="24">
        <f ca="1">IFERROR(__xludf.DUMMYFUNCTION("""COMPUTED_VALUE"""),0)</f>
        <v>0</v>
      </c>
      <c r="AS381" s="20"/>
      <c r="AT381" s="20"/>
      <c r="AU381" s="20"/>
      <c r="AV381" s="20"/>
      <c r="AW381" s="20"/>
      <c r="AX381" s="24">
        <f ca="1">IFERROR(__xludf.DUMMYFUNCTION("""COMPUTED_VALUE"""),0)</f>
        <v>0</v>
      </c>
      <c r="AY381" s="24">
        <f ca="1">IFERROR(__xludf.DUMMYFUNCTION("""COMPUTED_VALUE"""),0)</f>
        <v>0</v>
      </c>
      <c r="AZ381" s="24">
        <f ca="1">IFERROR(__xludf.DUMMYFUNCTION("""COMPUTED_VALUE"""),0)</f>
        <v>0</v>
      </c>
      <c r="BA381" s="24">
        <f ca="1">IFERROR(__xludf.DUMMYFUNCTION("""COMPUTED_VALUE"""),0)</f>
        <v>0</v>
      </c>
      <c r="BB381" s="24">
        <f ca="1">IFERROR(__xludf.DUMMYFUNCTION("""COMPUTED_VALUE"""),0)</f>
        <v>0</v>
      </c>
      <c r="BC381" s="20"/>
      <c r="BD381" s="24">
        <f ca="1">IFERROR(__xludf.DUMMYFUNCTION("""COMPUTED_VALUE"""),0)</f>
        <v>0</v>
      </c>
      <c r="BE381" s="24">
        <f ca="1">IFERROR(__xludf.DUMMYFUNCTION("""COMPUTED_VALUE"""),0)</f>
        <v>0</v>
      </c>
      <c r="BF381" s="24">
        <f ca="1">IFERROR(__xludf.DUMMYFUNCTION("""COMPUTED_VALUE"""),0)</f>
        <v>0</v>
      </c>
      <c r="BG381" s="24">
        <f ca="1">IFERROR(__xludf.DUMMYFUNCTION("""COMPUTED_VALUE"""),0)</f>
        <v>0</v>
      </c>
      <c r="BH381" s="24">
        <f ca="1">IFERROR(__xludf.DUMMYFUNCTION("""COMPUTED_VALUE"""),0)</f>
        <v>0</v>
      </c>
      <c r="BI381" s="20"/>
      <c r="BJ381" s="24">
        <f ca="1">IFERROR(__xludf.DUMMYFUNCTION("""COMPUTED_VALUE"""),42000)</f>
        <v>42000</v>
      </c>
      <c r="BK381" s="24">
        <f ca="1">IFERROR(__xludf.DUMMYFUNCTION("""COMPUTED_VALUE"""),0)</f>
        <v>0</v>
      </c>
      <c r="BL381" s="24">
        <f ca="1">IFERROR(__xludf.DUMMYFUNCTION("""COMPUTED_VALUE"""),31584)</f>
        <v>31584</v>
      </c>
      <c r="BM381" s="24">
        <f ca="1">IFERROR(__xludf.DUMMYFUNCTION("""COMPUTED_VALUE"""),0)</f>
        <v>0</v>
      </c>
      <c r="BN381" s="24">
        <f ca="1">IFERROR(__xludf.DUMMYFUNCTION("""COMPUTED_VALUE"""),10416)</f>
        <v>10416</v>
      </c>
      <c r="BO381" s="20"/>
      <c r="BP381" s="24">
        <f ca="1">IFERROR(__xludf.DUMMYFUNCTION("""COMPUTED_VALUE"""),334800)</f>
        <v>334800</v>
      </c>
      <c r="BQ381" s="24">
        <f ca="1">IFERROR(__xludf.DUMMYFUNCTION("""COMPUTED_VALUE"""),0)</f>
        <v>0</v>
      </c>
      <c r="BR381" s="24">
        <f ca="1">IFERROR(__xludf.DUMMYFUNCTION("""COMPUTED_VALUE"""),235364.4)</f>
        <v>235364.4</v>
      </c>
      <c r="BS381" s="24">
        <f ca="1">IFERROR(__xludf.DUMMYFUNCTION("""COMPUTED_VALUE"""),0)</f>
        <v>0</v>
      </c>
      <c r="BT381" s="24">
        <f ca="1">IFERROR(__xludf.DUMMYFUNCTION("""COMPUTED_VALUE"""),99435.6)</f>
        <v>99435.6</v>
      </c>
      <c r="BU381" s="20"/>
      <c r="BV381" s="24">
        <f ca="1">IFERROR(__xludf.DUMMYFUNCTION("""COMPUTED_VALUE"""),223200)</f>
        <v>223200</v>
      </c>
      <c r="BW381" s="24">
        <f ca="1">IFERROR(__xludf.DUMMYFUNCTION("""COMPUTED_VALUE"""),0)</f>
        <v>0</v>
      </c>
      <c r="BX381" s="24">
        <f ca="1">IFERROR(__xludf.DUMMYFUNCTION("""COMPUTED_VALUE"""),156909.6)</f>
        <v>156909.6</v>
      </c>
      <c r="BY381" s="24">
        <f ca="1">IFERROR(__xludf.DUMMYFUNCTION("""COMPUTED_VALUE"""),0)</f>
        <v>0</v>
      </c>
      <c r="BZ381" s="24">
        <f ca="1">IFERROR(__xludf.DUMMYFUNCTION("""COMPUTED_VALUE"""),66290.4)</f>
        <v>66290.399999999994</v>
      </c>
      <c r="CA381" s="20"/>
      <c r="CB381" s="20"/>
      <c r="CC381" s="20"/>
      <c r="CD381" s="20"/>
      <c r="CE381" s="20"/>
      <c r="CF381" s="20"/>
      <c r="CG381" s="20"/>
      <c r="CH381" s="20"/>
      <c r="CI381" s="20"/>
      <c r="CJ381" s="20"/>
      <c r="CK381" s="20"/>
      <c r="CL381" s="20"/>
      <c r="CM381" s="20"/>
      <c r="CN381" s="20"/>
      <c r="CO381" s="20"/>
      <c r="CP381" s="20"/>
      <c r="CQ381" s="20"/>
      <c r="CR381" s="20"/>
      <c r="CS381" s="20"/>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row>
    <row r="382" spans="1:123" ht="64.5" customHeight="1" x14ac:dyDescent="0.2">
      <c r="A382" s="19"/>
      <c r="B382" s="20" t="str">
        <f ca="1">IFERROR(__xludf.DUMMYFUNCTION("""COMPUTED_VALUE"""),"г.о. Солнечногорск")</f>
        <v>г.о. Солнечногорск</v>
      </c>
      <c r="C38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2" s="20" t="str">
        <f ca="1">IFERROR(__xludf.DUMMYFUNCTION("""COMPUTED_VALUE"""),"МинЖКХ")</f>
        <v>МинЖКХ</v>
      </c>
      <c r="E382" s="20" t="str">
        <f ca="1">IFERROR(__xludf.DUMMYFUNCTION("""COMPUTED_VALUE"""),"""Строительство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11"&amp;" 508,00 тыс.руб. из них средства бюджета Московской области - 11 507,63 тыс.руб., средства бюджета муниципального образования - 0,37 тыс.руб. ""
")</f>
        <v xml:space="preserv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11 508,00 тыс.руб. из них средства бюджета Московской области - 11 507,63 тыс.руб., средства бюджета муниципального образования - 0,37 тыс.руб. "
</v>
      </c>
      <c r="F382" s="32" t="str">
        <f ca="1">IFERROR(__xludf.DUMMYFUNCTION("""COMPUTED_VALUE"""),"БМК")</f>
        <v>БМК</v>
      </c>
      <c r="G382" s="20">
        <f ca="1">IFERROR(__xludf.DUMMYFUNCTION("""COMPUTED_VALUE"""),2020)</f>
        <v>2020</v>
      </c>
      <c r="H382" s="20" t="str">
        <f ca="1">IFERROR(__xludf.DUMMYFUNCTION("""COMPUTED_VALUE"""),"СМР")</f>
        <v>СМР</v>
      </c>
      <c r="I382" s="20">
        <f ca="1">IFERROR(__xludf.DUMMYFUNCTION("""COMPUTED_VALUE"""),100)</f>
        <v>100</v>
      </c>
      <c r="J382" s="20" t="str">
        <f ca="1">IFERROR(__xludf.DUMMYFUNCTION("""COMPUTED_VALUE"""),"Кредиторская задолженность оплачена 28.09.2020")</f>
        <v>Кредиторская задолженность оплачена 28.09.2020</v>
      </c>
      <c r="K382" s="20">
        <f ca="1">IFERROR(__xludf.DUMMYFUNCTION("""COMPUTED_VALUE"""),400)</f>
        <v>400</v>
      </c>
      <c r="L382" s="20">
        <f ca="1">IFERROR(__xludf.DUMMYFUNCTION("""COMPUTED_VALUE"""),400)</f>
        <v>400</v>
      </c>
      <c r="M382" s="20"/>
      <c r="N382" s="24">
        <f ca="1">IFERROR(__xludf.DUMMYFUNCTION("""COMPUTED_VALUE"""),11508)</f>
        <v>11508</v>
      </c>
      <c r="O382" s="20"/>
      <c r="P382" s="24">
        <f ca="1">IFERROR(__xludf.DUMMYFUNCTION("""COMPUTED_VALUE"""),11507.63)</f>
        <v>11507.63</v>
      </c>
      <c r="Q382" s="20"/>
      <c r="R382" s="20">
        <f ca="1">IFERROR(__xludf.DUMMYFUNCTION("""COMPUTED_VALUE"""),0.37)</f>
        <v>0.37</v>
      </c>
      <c r="S382" s="20"/>
      <c r="T382" s="20"/>
      <c r="U382" s="24">
        <f ca="1">IFERROR(__xludf.DUMMYFUNCTION("""COMPUTED_VALUE"""),0)</f>
        <v>0</v>
      </c>
      <c r="V382" s="24">
        <f ca="1">IFERROR(__xludf.DUMMYFUNCTION("""COMPUTED_VALUE"""),0)</f>
        <v>0</v>
      </c>
      <c r="W382" s="24">
        <f ca="1">IFERROR(__xludf.DUMMYFUNCTION("""COMPUTED_VALUE"""),0)</f>
        <v>0</v>
      </c>
      <c r="X382" s="24">
        <f ca="1">IFERROR(__xludf.DUMMYFUNCTION("""COMPUTED_VALUE"""),0)</f>
        <v>0</v>
      </c>
      <c r="Y382" s="24">
        <f ca="1">IFERROR(__xludf.DUMMYFUNCTION("""COMPUTED_VALUE"""),0)</f>
        <v>0</v>
      </c>
      <c r="Z382" s="24">
        <f ca="1">IFERROR(__xludf.DUMMYFUNCTION("""COMPUTED_VALUE"""),0)</f>
        <v>0</v>
      </c>
      <c r="AA382" s="20" t="str">
        <f ca="1">IFERROR(__xludf.DUMMYFUNCTION("""COMPUTED_VALUE"""),"10 3 02 64080")</f>
        <v>10 3 02 64080</v>
      </c>
      <c r="AB382" s="20">
        <f ca="1">IFERROR(__xludf.DUMMYFUNCTION("""COMPUTED_VALUE"""),522)</f>
        <v>522</v>
      </c>
      <c r="AC382" s="20"/>
      <c r="AD382" s="20"/>
      <c r="AE382" s="20"/>
      <c r="AF382" s="24">
        <f ca="1">IFERROR(__xludf.DUMMYFUNCTION("""COMPUTED_VALUE"""),11508)</f>
        <v>11508</v>
      </c>
      <c r="AG382" s="24">
        <f ca="1">IFERROR(__xludf.DUMMYFUNCTION("""COMPUTED_VALUE"""),0)</f>
        <v>0</v>
      </c>
      <c r="AH382" s="24">
        <f ca="1">IFERROR(__xludf.DUMMYFUNCTION("""COMPUTED_VALUE"""),11507.63)</f>
        <v>11507.63</v>
      </c>
      <c r="AI382" s="24">
        <f ca="1">IFERROR(__xludf.DUMMYFUNCTION("""COMPUTED_VALUE"""),0)</f>
        <v>0</v>
      </c>
      <c r="AJ382" s="24">
        <f ca="1">IFERROR(__xludf.DUMMYFUNCTION("""COMPUTED_VALUE"""),0.37)</f>
        <v>0.37</v>
      </c>
      <c r="AK382" s="24">
        <f ca="1">IFERROR(__xludf.DUMMYFUNCTION("""COMPUTED_VALUE"""),0)</f>
        <v>0</v>
      </c>
      <c r="AL382" s="24">
        <f ca="1">IFERROR(__xludf.DUMMYFUNCTION("""COMPUTED_VALUE"""),0)</f>
        <v>0</v>
      </c>
      <c r="AM382" s="20"/>
      <c r="AN382" s="20"/>
      <c r="AO382" s="20"/>
      <c r="AP382" s="20"/>
      <c r="AQ382" s="20"/>
      <c r="AR382" s="24">
        <f ca="1">IFERROR(__xludf.DUMMYFUNCTION("""COMPUTED_VALUE"""),0)</f>
        <v>0</v>
      </c>
      <c r="AS382" s="20"/>
      <c r="AT382" s="20"/>
      <c r="AU382" s="20"/>
      <c r="AV382" s="20"/>
      <c r="AW382" s="20"/>
      <c r="AX382" s="24">
        <f ca="1">IFERROR(__xludf.DUMMYFUNCTION("""COMPUTED_VALUE"""),11508)</f>
        <v>11508</v>
      </c>
      <c r="AY382" s="24">
        <f ca="1">IFERROR(__xludf.DUMMYFUNCTION("""COMPUTED_VALUE"""),0)</f>
        <v>0</v>
      </c>
      <c r="AZ382" s="24">
        <f ca="1">IFERROR(__xludf.DUMMYFUNCTION("""COMPUTED_VALUE"""),11507.63)</f>
        <v>11507.63</v>
      </c>
      <c r="BA382" s="24">
        <f ca="1">IFERROR(__xludf.DUMMYFUNCTION("""COMPUTED_VALUE"""),0)</f>
        <v>0</v>
      </c>
      <c r="BB382" s="24">
        <f ca="1">IFERROR(__xludf.DUMMYFUNCTION("""COMPUTED_VALUE"""),0.37)</f>
        <v>0.37</v>
      </c>
      <c r="BC382" s="20"/>
      <c r="BD382" s="24">
        <f ca="1">IFERROR(__xludf.DUMMYFUNCTION("""COMPUTED_VALUE"""),0)</f>
        <v>0</v>
      </c>
      <c r="BE382" s="24">
        <f ca="1">IFERROR(__xludf.DUMMYFUNCTION("""COMPUTED_VALUE"""),0)</f>
        <v>0</v>
      </c>
      <c r="BF382" s="24">
        <f ca="1">IFERROR(__xludf.DUMMYFUNCTION("""COMPUTED_VALUE"""),0)</f>
        <v>0</v>
      </c>
      <c r="BG382" s="24">
        <f ca="1">IFERROR(__xludf.DUMMYFUNCTION("""COMPUTED_VALUE"""),0)</f>
        <v>0</v>
      </c>
      <c r="BH382" s="24">
        <f ca="1">IFERROR(__xludf.DUMMYFUNCTION("""COMPUTED_VALUE"""),0)</f>
        <v>0</v>
      </c>
      <c r="BI382" s="20"/>
      <c r="BJ382" s="24">
        <f ca="1">IFERROR(__xludf.DUMMYFUNCTION("""COMPUTED_VALUE"""),0)</f>
        <v>0</v>
      </c>
      <c r="BK382" s="24">
        <f ca="1">IFERROR(__xludf.DUMMYFUNCTION("""COMPUTED_VALUE"""),0)</f>
        <v>0</v>
      </c>
      <c r="BL382" s="24">
        <f ca="1">IFERROR(__xludf.DUMMYFUNCTION("""COMPUTED_VALUE"""),0)</f>
        <v>0</v>
      </c>
      <c r="BM382" s="24">
        <f ca="1">IFERROR(__xludf.DUMMYFUNCTION("""COMPUTED_VALUE"""),0)</f>
        <v>0</v>
      </c>
      <c r="BN382" s="24">
        <f ca="1">IFERROR(__xludf.DUMMYFUNCTION("""COMPUTED_VALUE"""),0)</f>
        <v>0</v>
      </c>
      <c r="BO382" s="20"/>
      <c r="BP382" s="24">
        <f ca="1">IFERROR(__xludf.DUMMYFUNCTION("""COMPUTED_VALUE"""),0)</f>
        <v>0</v>
      </c>
      <c r="BQ382" s="24">
        <f ca="1">IFERROR(__xludf.DUMMYFUNCTION("""COMPUTED_VALUE"""),0)</f>
        <v>0</v>
      </c>
      <c r="BR382" s="24">
        <f ca="1">IFERROR(__xludf.DUMMYFUNCTION("""COMPUTED_VALUE"""),0)</f>
        <v>0</v>
      </c>
      <c r="BS382" s="24">
        <f ca="1">IFERROR(__xludf.DUMMYFUNCTION("""COMPUTED_VALUE"""),0)</f>
        <v>0</v>
      </c>
      <c r="BT382" s="24">
        <f ca="1">IFERROR(__xludf.DUMMYFUNCTION("""COMPUTED_VALUE"""),0)</f>
        <v>0</v>
      </c>
      <c r="BU382" s="20"/>
      <c r="BV382" s="24">
        <f ca="1">IFERROR(__xludf.DUMMYFUNCTION("""COMPUTED_VALUE"""),0)</f>
        <v>0</v>
      </c>
      <c r="BW382" s="24">
        <f ca="1">IFERROR(__xludf.DUMMYFUNCTION("""COMPUTED_VALUE"""),0)</f>
        <v>0</v>
      </c>
      <c r="BX382" s="24">
        <f ca="1">IFERROR(__xludf.DUMMYFUNCTION("""COMPUTED_VALUE"""),0)</f>
        <v>0</v>
      </c>
      <c r="BY382" s="24">
        <f ca="1">IFERROR(__xludf.DUMMYFUNCTION("""COMPUTED_VALUE"""),0)</f>
        <v>0</v>
      </c>
      <c r="BZ382" s="24">
        <f ca="1">IFERROR(__xludf.DUMMYFUNCTION("""COMPUTED_VALUE"""),0)</f>
        <v>0</v>
      </c>
      <c r="CA382" s="20"/>
      <c r="CB382" s="20"/>
      <c r="CC382" s="20"/>
      <c r="CD382" s="20"/>
      <c r="CE382" s="20"/>
      <c r="CF382" s="20"/>
      <c r="CG382" s="20"/>
      <c r="CH382" s="20"/>
      <c r="CI382" s="20"/>
      <c r="CJ382" s="20"/>
      <c r="CK382" s="20"/>
      <c r="CL382" s="20"/>
      <c r="CM382" s="20"/>
      <c r="CN382" s="20"/>
      <c r="CO382" s="20"/>
      <c r="CP382" s="20"/>
      <c r="CQ382" s="20"/>
      <c r="CR382" s="20"/>
      <c r="CS382" s="20"/>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row>
    <row r="383" spans="1:123" ht="64.5" hidden="1" customHeight="1" x14ac:dyDescent="0.2">
      <c r="A383" s="19"/>
      <c r="B383" s="20" t="str">
        <f ca="1">IFERROR(__xludf.DUMMYFUNCTION("""COMPUTED_VALUE"""),"г.о. Черноголовка")</f>
        <v>г.о. Черноголовка</v>
      </c>
      <c r="C38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3" s="20" t="str">
        <f ca="1">IFERROR(__xludf.DUMMYFUNCTION("""COMPUTED_VALUE"""),"МинЖКХ")</f>
        <v>МинЖКХ</v>
      </c>
      <c r="E383" s="20" t="str">
        <f ca="1">IFERROR(__xludf.DUMMYFUNCTION("""COMPUTED_VALUE"""),"Строительство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f>
        <v>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v>
      </c>
      <c r="F383" s="32" t="str">
        <f ca="1">IFERROR(__xludf.DUMMYFUNCTION("""COMPUTED_VALUE"""),"Сети")</f>
        <v>Сети</v>
      </c>
      <c r="G383" s="20" t="str">
        <f ca="1">IFERROR(__xludf.DUMMYFUNCTION("""COMPUTED_VALUE"""),"2022-2023")</f>
        <v>2022-2023</v>
      </c>
      <c r="H383" s="20" t="str">
        <f ca="1">IFERROR(__xludf.DUMMYFUNCTION("""COMPUTED_VALUE"""),"СМР")</f>
        <v>СМР</v>
      </c>
      <c r="I383" s="20"/>
      <c r="J383" s="20"/>
      <c r="K383" s="20"/>
      <c r="L383" s="20"/>
      <c r="M383" s="20"/>
      <c r="N383" s="24">
        <f ca="1">IFERROR(__xludf.DUMMYFUNCTION("""COMPUTED_VALUE"""),0)</f>
        <v>0</v>
      </c>
      <c r="O383" s="20"/>
      <c r="P383" s="20"/>
      <c r="Q383" s="20"/>
      <c r="R383" s="20"/>
      <c r="S383" s="20"/>
      <c r="T383" s="20"/>
      <c r="U383" s="24">
        <f ca="1">IFERROR(__xludf.DUMMYFUNCTION("""COMPUTED_VALUE"""),0)</f>
        <v>0</v>
      </c>
      <c r="V383" s="24">
        <f ca="1">IFERROR(__xludf.DUMMYFUNCTION("""COMPUTED_VALUE"""),0)</f>
        <v>0</v>
      </c>
      <c r="W383" s="24">
        <f ca="1">IFERROR(__xludf.DUMMYFUNCTION("""COMPUTED_VALUE"""),0)</f>
        <v>0</v>
      </c>
      <c r="X383" s="24">
        <f ca="1">IFERROR(__xludf.DUMMYFUNCTION("""COMPUTED_VALUE"""),0)</f>
        <v>0</v>
      </c>
      <c r="Y383" s="24">
        <f ca="1">IFERROR(__xludf.DUMMYFUNCTION("""COMPUTED_VALUE"""),0)</f>
        <v>0</v>
      </c>
      <c r="Z383" s="24">
        <f ca="1">IFERROR(__xludf.DUMMYFUNCTION("""COMPUTED_VALUE"""),0)</f>
        <v>0</v>
      </c>
      <c r="AA383" s="20" t="str">
        <f ca="1">IFERROR(__xludf.DUMMYFUNCTION("""COMPUTED_VALUE"""),"10 3 02 64080")</f>
        <v>10 3 02 64080</v>
      </c>
      <c r="AB383" s="20">
        <f ca="1">IFERROR(__xludf.DUMMYFUNCTION("""COMPUTED_VALUE"""),522)</f>
        <v>522</v>
      </c>
      <c r="AC383" s="20"/>
      <c r="AD383" s="20"/>
      <c r="AE383" s="20"/>
      <c r="AF383" s="24">
        <f ca="1">IFERROR(__xludf.DUMMYFUNCTION("""COMPUTED_VALUE"""),19901.11)</f>
        <v>19901.11</v>
      </c>
      <c r="AG383" s="24">
        <f ca="1">IFERROR(__xludf.DUMMYFUNCTION("""COMPUTED_VALUE"""),0)</f>
        <v>0</v>
      </c>
      <c r="AH383" s="24">
        <f ca="1">IFERROR(__xludf.DUMMYFUNCTION("""COMPUTED_VALUE"""),16497.95)</f>
        <v>16497.95</v>
      </c>
      <c r="AI383" s="24">
        <f ca="1">IFERROR(__xludf.DUMMYFUNCTION("""COMPUTED_VALUE"""),0)</f>
        <v>0</v>
      </c>
      <c r="AJ383" s="24">
        <f ca="1">IFERROR(__xludf.DUMMYFUNCTION("""COMPUTED_VALUE"""),3403.16)</f>
        <v>3403.16</v>
      </c>
      <c r="AK383" s="24">
        <f ca="1">IFERROR(__xludf.DUMMYFUNCTION("""COMPUTED_VALUE"""),0)</f>
        <v>0</v>
      </c>
      <c r="AL383" s="24">
        <f ca="1">IFERROR(__xludf.DUMMYFUNCTION("""COMPUTED_VALUE"""),0)</f>
        <v>0</v>
      </c>
      <c r="AM383" s="20"/>
      <c r="AN383" s="20"/>
      <c r="AO383" s="20"/>
      <c r="AP383" s="20"/>
      <c r="AQ383" s="20"/>
      <c r="AR383" s="24">
        <f ca="1">IFERROR(__xludf.DUMMYFUNCTION("""COMPUTED_VALUE"""),0)</f>
        <v>0</v>
      </c>
      <c r="AS383" s="20"/>
      <c r="AT383" s="20"/>
      <c r="AU383" s="20"/>
      <c r="AV383" s="20"/>
      <c r="AW383" s="20"/>
      <c r="AX383" s="24">
        <f ca="1">IFERROR(__xludf.DUMMYFUNCTION("""COMPUTED_VALUE"""),0)</f>
        <v>0</v>
      </c>
      <c r="AY383" s="24">
        <f ca="1">IFERROR(__xludf.DUMMYFUNCTION("""COMPUTED_VALUE"""),0)</f>
        <v>0</v>
      </c>
      <c r="AZ383" s="24">
        <f ca="1">IFERROR(__xludf.DUMMYFUNCTION("""COMPUTED_VALUE"""),0)</f>
        <v>0</v>
      </c>
      <c r="BA383" s="24">
        <f ca="1">IFERROR(__xludf.DUMMYFUNCTION("""COMPUTED_VALUE"""),0)</f>
        <v>0</v>
      </c>
      <c r="BB383" s="24">
        <f ca="1">IFERROR(__xludf.DUMMYFUNCTION("""COMPUTED_VALUE"""),0)</f>
        <v>0</v>
      </c>
      <c r="BC383" s="20"/>
      <c r="BD383" s="24">
        <f ca="1">IFERROR(__xludf.DUMMYFUNCTION("""COMPUTED_VALUE"""),0)</f>
        <v>0</v>
      </c>
      <c r="BE383" s="24">
        <f ca="1">IFERROR(__xludf.DUMMYFUNCTION("""COMPUTED_VALUE"""),0)</f>
        <v>0</v>
      </c>
      <c r="BF383" s="24">
        <f ca="1">IFERROR(__xludf.DUMMYFUNCTION("""COMPUTED_VALUE"""),0)</f>
        <v>0</v>
      </c>
      <c r="BG383" s="24">
        <f ca="1">IFERROR(__xludf.DUMMYFUNCTION("""COMPUTED_VALUE"""),0)</f>
        <v>0</v>
      </c>
      <c r="BH383" s="24">
        <f ca="1">IFERROR(__xludf.DUMMYFUNCTION("""COMPUTED_VALUE"""),0)</f>
        <v>0</v>
      </c>
      <c r="BI383" s="20"/>
      <c r="BJ383" s="24">
        <f ca="1">IFERROR(__xludf.DUMMYFUNCTION("""COMPUTED_VALUE"""),11940.67)</f>
        <v>11940.67</v>
      </c>
      <c r="BK383" s="24">
        <f ca="1">IFERROR(__xludf.DUMMYFUNCTION("""COMPUTED_VALUE"""),0)</f>
        <v>0</v>
      </c>
      <c r="BL383" s="20">
        <f ca="1">IFERROR(__xludf.DUMMYFUNCTION("""COMPUTED_VALUE"""),9898.81)</f>
        <v>9898.81</v>
      </c>
      <c r="BM383" s="24">
        <f ca="1">IFERROR(__xludf.DUMMYFUNCTION("""COMPUTED_VALUE"""),0)</f>
        <v>0</v>
      </c>
      <c r="BN383" s="20">
        <f ca="1">IFERROR(__xludf.DUMMYFUNCTION("""COMPUTED_VALUE"""),2041.86)</f>
        <v>2041.86</v>
      </c>
      <c r="BO383" s="20"/>
      <c r="BP383" s="24">
        <f ca="1">IFERROR(__xludf.DUMMYFUNCTION("""COMPUTED_VALUE"""),7960.44)</f>
        <v>7960.44</v>
      </c>
      <c r="BQ383" s="24">
        <f ca="1">IFERROR(__xludf.DUMMYFUNCTION("""COMPUTED_VALUE"""),0)</f>
        <v>0</v>
      </c>
      <c r="BR383" s="20">
        <f ca="1">IFERROR(__xludf.DUMMYFUNCTION("""COMPUTED_VALUE"""),6599.14)</f>
        <v>6599.14</v>
      </c>
      <c r="BS383" s="24">
        <f ca="1">IFERROR(__xludf.DUMMYFUNCTION("""COMPUTED_VALUE"""),0)</f>
        <v>0</v>
      </c>
      <c r="BT383" s="20">
        <f ca="1">IFERROR(__xludf.DUMMYFUNCTION("""COMPUTED_VALUE"""),1361.3)</f>
        <v>1361.3</v>
      </c>
      <c r="BU383" s="20"/>
      <c r="BV383" s="24">
        <f ca="1">IFERROR(__xludf.DUMMYFUNCTION("""COMPUTED_VALUE"""),0)</f>
        <v>0</v>
      </c>
      <c r="BW383" s="24">
        <f ca="1">IFERROR(__xludf.DUMMYFUNCTION("""COMPUTED_VALUE"""),0)</f>
        <v>0</v>
      </c>
      <c r="BX383" s="24">
        <f ca="1">IFERROR(__xludf.DUMMYFUNCTION("""COMPUTED_VALUE"""),0)</f>
        <v>0</v>
      </c>
      <c r="BY383" s="24">
        <f ca="1">IFERROR(__xludf.DUMMYFUNCTION("""COMPUTED_VALUE"""),0)</f>
        <v>0</v>
      </c>
      <c r="BZ383" s="24">
        <f ca="1">IFERROR(__xludf.DUMMYFUNCTION("""COMPUTED_VALUE"""),0)</f>
        <v>0</v>
      </c>
      <c r="CA383" s="20"/>
      <c r="CB383" s="20"/>
      <c r="CC383" s="20"/>
      <c r="CD383" s="20"/>
      <c r="CE383" s="20"/>
      <c r="CF383" s="20"/>
      <c r="CG383" s="20"/>
      <c r="CH383" s="20"/>
      <c r="CI383" s="20"/>
      <c r="CJ383" s="20"/>
      <c r="CK383" s="20"/>
      <c r="CL383" s="20"/>
      <c r="CM383" s="20"/>
      <c r="CN383" s="20"/>
      <c r="CO383" s="20"/>
      <c r="CP383" s="20"/>
      <c r="CQ383" s="20"/>
      <c r="CR383" s="20"/>
      <c r="CS383" s="20"/>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row>
    <row r="384" spans="1:123" ht="64.5" hidden="1" customHeight="1" x14ac:dyDescent="0.2">
      <c r="A384" s="19"/>
      <c r="B384" s="20" t="str">
        <f ca="1">IFERROR(__xludf.DUMMYFUNCTION("""COMPUTED_VALUE"""),"г.о. Солнечногорск")</f>
        <v>г.о. Солнечногорск</v>
      </c>
      <c r="C38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4" s="20" t="str">
        <f ca="1">IFERROR(__xludf.DUMMYFUNCTION("""COMPUTED_VALUE"""),"МинЖКХ")</f>
        <v>МинЖКХ</v>
      </c>
      <c r="E384" s="20" t="str">
        <f ca="1">IFERROR(__xludf.DUMMYFUNCTION("""COMPUTED_VALUE"""),"Строительство сетей водоснбжения р.п. Андреевка, г.о. Солнечногорск")</f>
        <v>Строительство сетей водоснбжения р.п. Андреевка, г.о. Солнечногорск</v>
      </c>
      <c r="F384" s="32" t="str">
        <f ca="1">IFERROR(__xludf.DUMMYFUNCTION("""COMPUTED_VALUE"""),"Сети")</f>
        <v>Сети</v>
      </c>
      <c r="G384" s="20">
        <f ca="1">IFERROR(__xludf.DUMMYFUNCTION("""COMPUTED_VALUE"""),2022)</f>
        <v>2022</v>
      </c>
      <c r="H384" s="20" t="str">
        <f ca="1">IFERROR(__xludf.DUMMYFUNCTION("""COMPUTED_VALUE"""),"СМР")</f>
        <v>СМР</v>
      </c>
      <c r="I384" s="20"/>
      <c r="J384" s="20"/>
      <c r="K384" s="20"/>
      <c r="L384" s="20"/>
      <c r="M384" s="20"/>
      <c r="N384" s="24">
        <f ca="1">IFERROR(__xludf.DUMMYFUNCTION("""COMPUTED_VALUE"""),0)</f>
        <v>0</v>
      </c>
      <c r="O384" s="20"/>
      <c r="P384" s="20"/>
      <c r="Q384" s="20"/>
      <c r="R384" s="20"/>
      <c r="S384" s="20"/>
      <c r="T384" s="20"/>
      <c r="U384" s="24">
        <f ca="1">IFERROR(__xludf.DUMMYFUNCTION("""COMPUTED_VALUE"""),0)</f>
        <v>0</v>
      </c>
      <c r="V384" s="24">
        <f ca="1">IFERROR(__xludf.DUMMYFUNCTION("""COMPUTED_VALUE"""),0)</f>
        <v>0</v>
      </c>
      <c r="W384" s="24">
        <f ca="1">IFERROR(__xludf.DUMMYFUNCTION("""COMPUTED_VALUE"""),0)</f>
        <v>0</v>
      </c>
      <c r="X384" s="24">
        <f ca="1">IFERROR(__xludf.DUMMYFUNCTION("""COMPUTED_VALUE"""),0)</f>
        <v>0</v>
      </c>
      <c r="Y384" s="24">
        <f ca="1">IFERROR(__xludf.DUMMYFUNCTION("""COMPUTED_VALUE"""),0)</f>
        <v>0</v>
      </c>
      <c r="Z384" s="24">
        <f ca="1">IFERROR(__xludf.DUMMYFUNCTION("""COMPUTED_VALUE"""),0)</f>
        <v>0</v>
      </c>
      <c r="AA384" s="20" t="str">
        <f ca="1">IFERROR(__xludf.DUMMYFUNCTION("""COMPUTED_VALUE"""),"10 3 02 64080")</f>
        <v>10 3 02 64080</v>
      </c>
      <c r="AB384" s="20">
        <f ca="1">IFERROR(__xludf.DUMMYFUNCTION("""COMPUTED_VALUE"""),522)</f>
        <v>522</v>
      </c>
      <c r="AC384" s="20"/>
      <c r="AD384" s="20"/>
      <c r="AE384" s="20"/>
      <c r="AF384" s="24">
        <f ca="1">IFERROR(__xludf.DUMMYFUNCTION("""COMPUTED_VALUE"""),17000)</f>
        <v>17000</v>
      </c>
      <c r="AG384" s="24">
        <f ca="1">IFERROR(__xludf.DUMMYFUNCTION("""COMPUTED_VALUE"""),0)</f>
        <v>0</v>
      </c>
      <c r="AH384" s="24">
        <f ca="1">IFERROR(__xludf.DUMMYFUNCTION("""COMPUTED_VALUE"""),14076)</f>
        <v>14076</v>
      </c>
      <c r="AI384" s="24">
        <f ca="1">IFERROR(__xludf.DUMMYFUNCTION("""COMPUTED_VALUE"""),0)</f>
        <v>0</v>
      </c>
      <c r="AJ384" s="24">
        <f ca="1">IFERROR(__xludf.DUMMYFUNCTION("""COMPUTED_VALUE"""),2924)</f>
        <v>2924</v>
      </c>
      <c r="AK384" s="24">
        <f ca="1">IFERROR(__xludf.DUMMYFUNCTION("""COMPUTED_VALUE"""),0)</f>
        <v>0</v>
      </c>
      <c r="AL384" s="24">
        <f ca="1">IFERROR(__xludf.DUMMYFUNCTION("""COMPUTED_VALUE"""),0)</f>
        <v>0</v>
      </c>
      <c r="AM384" s="20"/>
      <c r="AN384" s="20"/>
      <c r="AO384" s="20"/>
      <c r="AP384" s="20"/>
      <c r="AQ384" s="20"/>
      <c r="AR384" s="24">
        <f ca="1">IFERROR(__xludf.DUMMYFUNCTION("""COMPUTED_VALUE"""),0)</f>
        <v>0</v>
      </c>
      <c r="AS384" s="20"/>
      <c r="AT384" s="20"/>
      <c r="AU384" s="20"/>
      <c r="AV384" s="20"/>
      <c r="AW384" s="20"/>
      <c r="AX384" s="24">
        <f ca="1">IFERROR(__xludf.DUMMYFUNCTION("""COMPUTED_VALUE"""),0)</f>
        <v>0</v>
      </c>
      <c r="AY384" s="24">
        <f ca="1">IFERROR(__xludf.DUMMYFUNCTION("""COMPUTED_VALUE"""),0)</f>
        <v>0</v>
      </c>
      <c r="AZ384" s="24">
        <f ca="1">IFERROR(__xludf.DUMMYFUNCTION("""COMPUTED_VALUE"""),0)</f>
        <v>0</v>
      </c>
      <c r="BA384" s="24">
        <f ca="1">IFERROR(__xludf.DUMMYFUNCTION("""COMPUTED_VALUE"""),0)</f>
        <v>0</v>
      </c>
      <c r="BB384" s="24">
        <f ca="1">IFERROR(__xludf.DUMMYFUNCTION("""COMPUTED_VALUE"""),0)</f>
        <v>0</v>
      </c>
      <c r="BC384" s="20"/>
      <c r="BD384" s="24">
        <f ca="1">IFERROR(__xludf.DUMMYFUNCTION("""COMPUTED_VALUE"""),0)</f>
        <v>0</v>
      </c>
      <c r="BE384" s="24">
        <f ca="1">IFERROR(__xludf.DUMMYFUNCTION("""COMPUTED_VALUE"""),0)</f>
        <v>0</v>
      </c>
      <c r="BF384" s="24">
        <f ca="1">IFERROR(__xludf.DUMMYFUNCTION("""COMPUTED_VALUE"""),0)</f>
        <v>0</v>
      </c>
      <c r="BG384" s="24">
        <f ca="1">IFERROR(__xludf.DUMMYFUNCTION("""COMPUTED_VALUE"""),0)</f>
        <v>0</v>
      </c>
      <c r="BH384" s="24">
        <f ca="1">IFERROR(__xludf.DUMMYFUNCTION("""COMPUTED_VALUE"""),0)</f>
        <v>0</v>
      </c>
      <c r="BI384" s="20"/>
      <c r="BJ384" s="24">
        <f ca="1">IFERROR(__xludf.DUMMYFUNCTION("""COMPUTED_VALUE"""),17000)</f>
        <v>17000</v>
      </c>
      <c r="BK384" s="24">
        <f ca="1">IFERROR(__xludf.DUMMYFUNCTION("""COMPUTED_VALUE"""),0)</f>
        <v>0</v>
      </c>
      <c r="BL384" s="24">
        <f ca="1">IFERROR(__xludf.DUMMYFUNCTION("""COMPUTED_VALUE"""),14076)</f>
        <v>14076</v>
      </c>
      <c r="BM384" s="24">
        <f ca="1">IFERROR(__xludf.DUMMYFUNCTION("""COMPUTED_VALUE"""),0)</f>
        <v>0</v>
      </c>
      <c r="BN384" s="24">
        <f ca="1">IFERROR(__xludf.DUMMYFUNCTION("""COMPUTED_VALUE"""),2924)</f>
        <v>2924</v>
      </c>
      <c r="BO384" s="20"/>
      <c r="BP384" s="24">
        <f ca="1">IFERROR(__xludf.DUMMYFUNCTION("""COMPUTED_VALUE"""),0)</f>
        <v>0</v>
      </c>
      <c r="BQ384" s="24">
        <f ca="1">IFERROR(__xludf.DUMMYFUNCTION("""COMPUTED_VALUE"""),0)</f>
        <v>0</v>
      </c>
      <c r="BR384" s="24">
        <f ca="1">IFERROR(__xludf.DUMMYFUNCTION("""COMPUTED_VALUE"""),0)</f>
        <v>0</v>
      </c>
      <c r="BS384" s="24">
        <f ca="1">IFERROR(__xludf.DUMMYFUNCTION("""COMPUTED_VALUE"""),0)</f>
        <v>0</v>
      </c>
      <c r="BT384" s="24">
        <f ca="1">IFERROR(__xludf.DUMMYFUNCTION("""COMPUTED_VALUE"""),0)</f>
        <v>0</v>
      </c>
      <c r="BU384" s="20"/>
      <c r="BV384" s="24">
        <f ca="1">IFERROR(__xludf.DUMMYFUNCTION("""COMPUTED_VALUE"""),0)</f>
        <v>0</v>
      </c>
      <c r="BW384" s="24">
        <f ca="1">IFERROR(__xludf.DUMMYFUNCTION("""COMPUTED_VALUE"""),0)</f>
        <v>0</v>
      </c>
      <c r="BX384" s="24">
        <f ca="1">IFERROR(__xludf.DUMMYFUNCTION("""COMPUTED_VALUE"""),0)</f>
        <v>0</v>
      </c>
      <c r="BY384" s="24">
        <f ca="1">IFERROR(__xludf.DUMMYFUNCTION("""COMPUTED_VALUE"""),0)</f>
        <v>0</v>
      </c>
      <c r="BZ384" s="24">
        <f ca="1">IFERROR(__xludf.DUMMYFUNCTION("""COMPUTED_VALUE"""),0)</f>
        <v>0</v>
      </c>
      <c r="CA384" s="20"/>
      <c r="CB384" s="20"/>
      <c r="CC384" s="20"/>
      <c r="CD384" s="20"/>
      <c r="CE384" s="20"/>
      <c r="CF384" s="20"/>
      <c r="CG384" s="20"/>
      <c r="CH384" s="20"/>
      <c r="CI384" s="20"/>
      <c r="CJ384" s="20"/>
      <c r="CK384" s="20"/>
      <c r="CL384" s="20"/>
      <c r="CM384" s="20"/>
      <c r="CN384" s="20"/>
      <c r="CO384" s="20"/>
      <c r="CP384" s="20"/>
      <c r="CQ384" s="20"/>
      <c r="CR384" s="20"/>
      <c r="CS384" s="20"/>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row>
    <row r="385" spans="1:123" ht="64.5" customHeight="1" x14ac:dyDescent="0.2">
      <c r="A385" s="19"/>
      <c r="B385" s="20" t="str">
        <f ca="1">IFERROR(__xludf.DUMMYFUNCTION("""COMPUTED_VALUE"""),"г.о. Талдомский")</f>
        <v>г.о. Талдомский</v>
      </c>
      <c r="C38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5" s="20" t="str">
        <f ca="1">IFERROR(__xludf.DUMMYFUNCTION("""COMPUTED_VALUE"""),"МинЖКХ")</f>
        <v>МинЖКХ</v>
      </c>
      <c r="E385" s="20" t="str">
        <f ca="1">IFERROR(__xludf.DUMMYFUNCTION("""COMPUTED_VALUE"""),"Строительство дренажной системы (в т.ч. ПИР)  в рп. Запрудня, Талдомский г.о.")</f>
        <v>Строительство дренажной системы (в т.ч. ПИР)  в рп. Запрудня, Талдомский г.о.</v>
      </c>
      <c r="F385" s="32" t="str">
        <f ca="1">IFERROR(__xludf.DUMMYFUNCTION("""COMPUTED_VALUE"""),"Сети")</f>
        <v>Сети</v>
      </c>
      <c r="G385" s="20" t="str">
        <f ca="1">IFERROR(__xludf.DUMMYFUNCTION("""COMPUTED_VALUE"""),"2020-2022")</f>
        <v>2020-2022</v>
      </c>
      <c r="H385" s="20" t="str">
        <f ca="1">IFERROR(__xludf.DUMMYFUNCTION("""COMPUTED_VALUE"""),"СМР")</f>
        <v>СМР</v>
      </c>
      <c r="I385" s="20"/>
      <c r="J385" s="20"/>
      <c r="K385" s="20"/>
      <c r="L385" s="20"/>
      <c r="M385" s="20"/>
      <c r="N385" s="24">
        <f ca="1">IFERROR(__xludf.DUMMYFUNCTION("""COMPUTED_VALUE"""),4510)</f>
        <v>4510</v>
      </c>
      <c r="O385" s="20"/>
      <c r="P385" s="24">
        <f ca="1">IFERROR(__xludf.DUMMYFUNCTION("""COMPUTED_VALUE"""),3928)</f>
        <v>3928</v>
      </c>
      <c r="Q385" s="20"/>
      <c r="R385" s="20">
        <f ca="1">IFERROR(__xludf.DUMMYFUNCTION("""COMPUTED_VALUE"""),582)</f>
        <v>582</v>
      </c>
      <c r="S385" s="20"/>
      <c r="T385" s="20"/>
      <c r="U385" s="24">
        <f ca="1">IFERROR(__xludf.DUMMYFUNCTION("""COMPUTED_VALUE"""),0)</f>
        <v>0</v>
      </c>
      <c r="V385" s="24">
        <f ca="1">IFERROR(__xludf.DUMMYFUNCTION("""COMPUTED_VALUE"""),0)</f>
        <v>0</v>
      </c>
      <c r="W385" s="24">
        <f ca="1">IFERROR(__xludf.DUMMYFUNCTION("""COMPUTED_VALUE"""),0)</f>
        <v>0</v>
      </c>
      <c r="X385" s="24">
        <f ca="1">IFERROR(__xludf.DUMMYFUNCTION("""COMPUTED_VALUE"""),0)</f>
        <v>0</v>
      </c>
      <c r="Y385" s="24">
        <f ca="1">IFERROR(__xludf.DUMMYFUNCTION("""COMPUTED_VALUE"""),0)</f>
        <v>0</v>
      </c>
      <c r="Z385" s="24">
        <f ca="1">IFERROR(__xludf.DUMMYFUNCTION("""COMPUTED_VALUE"""),0)</f>
        <v>0</v>
      </c>
      <c r="AA385" s="20" t="str">
        <f ca="1">IFERROR(__xludf.DUMMYFUNCTION("""COMPUTED_VALUE"""),"10 3 02 64080")</f>
        <v>10 3 02 64080</v>
      </c>
      <c r="AB385" s="20">
        <f ca="1">IFERROR(__xludf.DUMMYFUNCTION("""COMPUTED_VALUE"""),522)</f>
        <v>522</v>
      </c>
      <c r="AC385" s="20"/>
      <c r="AD385" s="20"/>
      <c r="AE385" s="20"/>
      <c r="AF385" s="24">
        <f ca="1">IFERROR(__xludf.DUMMYFUNCTION("""COMPUTED_VALUE"""),36085.32)</f>
        <v>36085.32</v>
      </c>
      <c r="AG385" s="24">
        <f ca="1">IFERROR(__xludf.DUMMYFUNCTION("""COMPUTED_VALUE"""),0)</f>
        <v>0</v>
      </c>
      <c r="AH385" s="24">
        <f ca="1">IFERROR(__xludf.DUMMYFUNCTION("""COMPUTED_VALUE"""),31430.11)</f>
        <v>31430.11</v>
      </c>
      <c r="AI385" s="24">
        <f ca="1">IFERROR(__xludf.DUMMYFUNCTION("""COMPUTED_VALUE"""),0)</f>
        <v>0</v>
      </c>
      <c r="AJ385" s="24">
        <f ca="1">IFERROR(__xludf.DUMMYFUNCTION("""COMPUTED_VALUE"""),4655.21)</f>
        <v>4655.21</v>
      </c>
      <c r="AK385" s="24">
        <f ca="1">IFERROR(__xludf.DUMMYFUNCTION("""COMPUTED_VALUE"""),0)</f>
        <v>0</v>
      </c>
      <c r="AL385" s="24">
        <f ca="1">IFERROR(__xludf.DUMMYFUNCTION("""COMPUTED_VALUE"""),0)</f>
        <v>0</v>
      </c>
      <c r="AM385" s="20"/>
      <c r="AN385" s="20"/>
      <c r="AO385" s="20"/>
      <c r="AP385" s="20"/>
      <c r="AQ385" s="20"/>
      <c r="AR385" s="24">
        <f ca="1">IFERROR(__xludf.DUMMYFUNCTION("""COMPUTED_VALUE"""),0)</f>
        <v>0</v>
      </c>
      <c r="AS385" s="20"/>
      <c r="AT385" s="20"/>
      <c r="AU385" s="20"/>
      <c r="AV385" s="20"/>
      <c r="AW385" s="20"/>
      <c r="AX385" s="24">
        <f ca="1">IFERROR(__xludf.DUMMYFUNCTION("""COMPUTED_VALUE"""),4510)</f>
        <v>4510</v>
      </c>
      <c r="AY385" s="24">
        <f ca="1">IFERROR(__xludf.DUMMYFUNCTION("""COMPUTED_VALUE"""),0)</f>
        <v>0</v>
      </c>
      <c r="AZ385" s="24">
        <f ca="1">IFERROR(__xludf.DUMMYFUNCTION("""COMPUTED_VALUE"""),3928)</f>
        <v>3928</v>
      </c>
      <c r="BA385" s="24">
        <f ca="1">IFERROR(__xludf.DUMMYFUNCTION("""COMPUTED_VALUE"""),0)</f>
        <v>0</v>
      </c>
      <c r="BB385" s="24">
        <f ca="1">IFERROR(__xludf.DUMMYFUNCTION("""COMPUTED_VALUE"""),582)</f>
        <v>582</v>
      </c>
      <c r="BC385" s="20"/>
      <c r="BD385" s="24">
        <f ca="1">IFERROR(__xludf.DUMMYFUNCTION("""COMPUTED_VALUE"""),15690)</f>
        <v>15690</v>
      </c>
      <c r="BE385" s="24">
        <f ca="1">IFERROR(__xludf.DUMMYFUNCTION("""COMPUTED_VALUE"""),0)</f>
        <v>0</v>
      </c>
      <c r="BF385" s="24">
        <f ca="1">IFERROR(__xludf.DUMMYFUNCTION("""COMPUTED_VALUE"""),13666)</f>
        <v>13666</v>
      </c>
      <c r="BG385" s="24">
        <f ca="1">IFERROR(__xludf.DUMMYFUNCTION("""COMPUTED_VALUE"""),0)</f>
        <v>0</v>
      </c>
      <c r="BH385" s="24">
        <f ca="1">IFERROR(__xludf.DUMMYFUNCTION("""COMPUTED_VALUE"""),2024)</f>
        <v>2024</v>
      </c>
      <c r="BI385" s="20"/>
      <c r="BJ385" s="24">
        <f ca="1">IFERROR(__xludf.DUMMYFUNCTION("""COMPUTED_VALUE"""),15885.32)</f>
        <v>15885.32</v>
      </c>
      <c r="BK385" s="24">
        <f ca="1">IFERROR(__xludf.DUMMYFUNCTION("""COMPUTED_VALUE"""),0)</f>
        <v>0</v>
      </c>
      <c r="BL385" s="24">
        <f ca="1">IFERROR(__xludf.DUMMYFUNCTION("""COMPUTED_VALUE"""),13836.11)</f>
        <v>13836.11</v>
      </c>
      <c r="BM385" s="24">
        <f ca="1">IFERROR(__xludf.DUMMYFUNCTION("""COMPUTED_VALUE"""),0)</f>
        <v>0</v>
      </c>
      <c r="BN385" s="24">
        <f ca="1">IFERROR(__xludf.DUMMYFUNCTION("""COMPUTED_VALUE"""),2049.21)</f>
        <v>2049.21</v>
      </c>
      <c r="BO385" s="20"/>
      <c r="BP385" s="24">
        <f ca="1">IFERROR(__xludf.DUMMYFUNCTION("""COMPUTED_VALUE"""),0)</f>
        <v>0</v>
      </c>
      <c r="BQ385" s="24">
        <f ca="1">IFERROR(__xludf.DUMMYFUNCTION("""COMPUTED_VALUE"""),0)</f>
        <v>0</v>
      </c>
      <c r="BR385" s="24">
        <f ca="1">IFERROR(__xludf.DUMMYFUNCTION("""COMPUTED_VALUE"""),0)</f>
        <v>0</v>
      </c>
      <c r="BS385" s="24">
        <f ca="1">IFERROR(__xludf.DUMMYFUNCTION("""COMPUTED_VALUE"""),0)</f>
        <v>0</v>
      </c>
      <c r="BT385" s="24">
        <f ca="1">IFERROR(__xludf.DUMMYFUNCTION("""COMPUTED_VALUE"""),0)</f>
        <v>0</v>
      </c>
      <c r="BU385" s="20"/>
      <c r="BV385" s="24">
        <f ca="1">IFERROR(__xludf.DUMMYFUNCTION("""COMPUTED_VALUE"""),0)</f>
        <v>0</v>
      </c>
      <c r="BW385" s="24">
        <f ca="1">IFERROR(__xludf.DUMMYFUNCTION("""COMPUTED_VALUE"""),0)</f>
        <v>0</v>
      </c>
      <c r="BX385" s="24">
        <f ca="1">IFERROR(__xludf.DUMMYFUNCTION("""COMPUTED_VALUE"""),0)</f>
        <v>0</v>
      </c>
      <c r="BY385" s="24">
        <f ca="1">IFERROR(__xludf.DUMMYFUNCTION("""COMPUTED_VALUE"""),0)</f>
        <v>0</v>
      </c>
      <c r="BZ385" s="24">
        <f ca="1">IFERROR(__xludf.DUMMYFUNCTION("""COMPUTED_VALUE"""),0)</f>
        <v>0</v>
      </c>
      <c r="CA385" s="20"/>
      <c r="CB385" s="20"/>
      <c r="CC385" s="20"/>
      <c r="CD385" s="20"/>
      <c r="CE385" s="20"/>
      <c r="CF385" s="20"/>
      <c r="CG385" s="20"/>
      <c r="CH385" s="20"/>
      <c r="CI385" s="20"/>
      <c r="CJ385" s="20"/>
      <c r="CK385" s="20"/>
      <c r="CL385" s="20"/>
      <c r="CM385" s="26">
        <f ca="1">IFERROR(__xludf.DUMMYFUNCTION("""COMPUTED_VALUE"""),43682)</f>
        <v>43682</v>
      </c>
      <c r="CN385" s="20" t="str">
        <f ca="1">IFERROR(__xludf.DUMMYFUNCTION("""COMPUTED_VALUE"""),"0848300060619000455")</f>
        <v>0848300060619000455</v>
      </c>
      <c r="CO385" s="26">
        <f ca="1">IFERROR(__xludf.DUMMYFUNCTION("""COMPUTED_VALUE"""),43710)</f>
        <v>43710</v>
      </c>
      <c r="CP385" s="20" t="str">
        <f ca="1">IFERROR(__xludf.DUMMYFUNCTION("""COMPUTED_VALUE"""),"0848300060619000455")</f>
        <v>0848300060619000455</v>
      </c>
      <c r="CQ385" s="20">
        <f ca="1">IFERROR(__xludf.DUMMYFUNCTION("""COMPUTED_VALUE"""),1189049.73)</f>
        <v>1189049.73</v>
      </c>
      <c r="CR385" s="20" t="str">
        <f ca="1">IFERROR(__xludf.DUMMYFUNCTION("""COMPUTED_VALUE"""),"ООО ""Интерстрой""")</f>
        <v>ООО "Интерстрой"</v>
      </c>
      <c r="CS385" s="27" t="str">
        <f ca="1">IFERROR(__xludf.DUMMYFUNCTION("""COMPUTED_VALUE"""),"https://zakupki.gov.ru/epz/contract/contractCard/common-info.html?reestrNumber=3507800172119000203&amp;backUrl=3bd1e099-cec9-40a7-adfa-f15670766097")</f>
        <v>https://zakupki.gov.ru/epz/contract/contractCard/common-info.html?reestrNumber=3507800172119000203&amp;backUrl=3bd1e099-cec9-40a7-adfa-f15670766097</v>
      </c>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row>
    <row r="386" spans="1:123" ht="64.5" hidden="1" customHeight="1" x14ac:dyDescent="0.2">
      <c r="A386" s="19"/>
      <c r="B386" s="20" t="str">
        <f ca="1">IFERROR(__xludf.DUMMYFUNCTION("""COMPUTED_VALUE"""),"г.о. Кашира")</f>
        <v>г.о. Кашира</v>
      </c>
      <c r="C38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6" s="20" t="str">
        <f ca="1">IFERROR(__xludf.DUMMYFUNCTION("""COMPUTED_VALUE"""),"МинЖКХ")</f>
        <v>МинЖКХ</v>
      </c>
      <c r="E386" s="20" t="str">
        <f ca="1">IFERROR(__xludf.DUMMYFUNCTION("""COMPUTED_VALUE"""),"Внеплощадочные сети для очистных сооружений по адресу: Московская обл., городской округ Кашира, г.Кашира, д. Терново-1 (ПИР)")</f>
        <v>Внеплощадочные сети для очистных сооружений по адресу: Московская обл., городской округ Кашира, г.Кашира, д. Терново-1 (ПИР)</v>
      </c>
      <c r="F386" s="32" t="str">
        <f ca="1">IFERROR(__xludf.DUMMYFUNCTION("""COMPUTED_VALUE"""),"Сети")</f>
        <v>Сети</v>
      </c>
      <c r="G386" s="20">
        <f ca="1">IFERROR(__xludf.DUMMYFUNCTION("""COMPUTED_VALUE"""),2022)</f>
        <v>2022</v>
      </c>
      <c r="H386" s="20" t="str">
        <f ca="1">IFERROR(__xludf.DUMMYFUNCTION("""COMPUTED_VALUE"""),"ПИР")</f>
        <v>ПИР</v>
      </c>
      <c r="I386" s="20"/>
      <c r="J386" s="20"/>
      <c r="K386" s="20"/>
      <c r="L386" s="20"/>
      <c r="M386" s="20"/>
      <c r="N386" s="24">
        <f ca="1">IFERROR(__xludf.DUMMYFUNCTION("""COMPUTED_VALUE"""),0)</f>
        <v>0</v>
      </c>
      <c r="O386" s="20"/>
      <c r="P386" s="20"/>
      <c r="Q386" s="20"/>
      <c r="R386" s="20"/>
      <c r="S386" s="20"/>
      <c r="T386" s="20" t="str">
        <f ca="1">IFERROR(__xludf.DUMMYFUNCTION("""COMPUTED_VALUE"""),"6555,0 расход в 2020 году????? прошла")</f>
        <v>6555,0 расход в 2020 году????? прошла</v>
      </c>
      <c r="U386" s="24">
        <f ca="1">IFERROR(__xludf.DUMMYFUNCTION("""COMPUTED_VALUE"""),0)</f>
        <v>0</v>
      </c>
      <c r="V386" s="24">
        <f ca="1">IFERROR(__xludf.DUMMYFUNCTION("""COMPUTED_VALUE"""),0)</f>
        <v>0</v>
      </c>
      <c r="W386" s="24">
        <f ca="1">IFERROR(__xludf.DUMMYFUNCTION("""COMPUTED_VALUE"""),0)</f>
        <v>0</v>
      </c>
      <c r="X386" s="24">
        <f ca="1">IFERROR(__xludf.DUMMYFUNCTION("""COMPUTED_VALUE"""),0)</f>
        <v>0</v>
      </c>
      <c r="Y386" s="24">
        <f ca="1">IFERROR(__xludf.DUMMYFUNCTION("""COMPUTED_VALUE"""),0)</f>
        <v>0</v>
      </c>
      <c r="Z386" s="24">
        <f ca="1">IFERROR(__xludf.DUMMYFUNCTION("""COMPUTED_VALUE"""),0)</f>
        <v>0</v>
      </c>
      <c r="AA386" s="20" t="str">
        <f ca="1">IFERROR(__xludf.DUMMYFUNCTION("""COMPUTED_VALUE"""),"10 3 02 64080")</f>
        <v>10 3 02 64080</v>
      </c>
      <c r="AB386" s="20">
        <f ca="1">IFERROR(__xludf.DUMMYFUNCTION("""COMPUTED_VALUE"""),522)</f>
        <v>522</v>
      </c>
      <c r="AC386" s="20"/>
      <c r="AD386" s="20"/>
      <c r="AE386" s="20"/>
      <c r="AF386" s="24">
        <f ca="1">IFERROR(__xludf.DUMMYFUNCTION("""COMPUTED_VALUE"""),29043.64)</f>
        <v>29043.64</v>
      </c>
      <c r="AG386" s="24">
        <f ca="1">IFERROR(__xludf.DUMMYFUNCTION("""COMPUTED_VALUE"""),0)</f>
        <v>0</v>
      </c>
      <c r="AH386" s="24">
        <f ca="1">IFERROR(__xludf.DUMMYFUNCTION("""COMPUTED_VALUE"""),22508.82)</f>
        <v>22508.82</v>
      </c>
      <c r="AI386" s="24">
        <f ca="1">IFERROR(__xludf.DUMMYFUNCTION("""COMPUTED_VALUE"""),0)</f>
        <v>0</v>
      </c>
      <c r="AJ386" s="24">
        <f ca="1">IFERROR(__xludf.DUMMYFUNCTION("""COMPUTED_VALUE"""),6534.82)</f>
        <v>6534.82</v>
      </c>
      <c r="AK386" s="24">
        <f ca="1">IFERROR(__xludf.DUMMYFUNCTION("""COMPUTED_VALUE"""),0)</f>
        <v>0</v>
      </c>
      <c r="AL386" s="24">
        <f ca="1">IFERROR(__xludf.DUMMYFUNCTION("""COMPUTED_VALUE"""),0)</f>
        <v>0</v>
      </c>
      <c r="AM386" s="20"/>
      <c r="AN386" s="20"/>
      <c r="AO386" s="20"/>
      <c r="AP386" s="20"/>
      <c r="AQ386" s="20"/>
      <c r="AR386" s="24">
        <f ca="1">IFERROR(__xludf.DUMMYFUNCTION("""COMPUTED_VALUE"""),0)</f>
        <v>0</v>
      </c>
      <c r="AS386" s="20"/>
      <c r="AT386" s="20"/>
      <c r="AU386" s="20"/>
      <c r="AV386" s="20"/>
      <c r="AW386" s="20"/>
      <c r="AX386" s="24">
        <f ca="1">IFERROR(__xludf.DUMMYFUNCTION("""COMPUTED_VALUE"""),0)</f>
        <v>0</v>
      </c>
      <c r="AY386" s="24">
        <f ca="1">IFERROR(__xludf.DUMMYFUNCTION("""COMPUTED_VALUE"""),0)</f>
        <v>0</v>
      </c>
      <c r="AZ386" s="24">
        <f ca="1">IFERROR(__xludf.DUMMYFUNCTION("""COMPUTED_VALUE"""),0)</f>
        <v>0</v>
      </c>
      <c r="BA386" s="24">
        <f ca="1">IFERROR(__xludf.DUMMYFUNCTION("""COMPUTED_VALUE"""),0)</f>
        <v>0</v>
      </c>
      <c r="BB386" s="24">
        <f ca="1">IFERROR(__xludf.DUMMYFUNCTION("""COMPUTED_VALUE"""),0)</f>
        <v>0</v>
      </c>
      <c r="BC386" s="20"/>
      <c r="BD386" s="24">
        <f ca="1">IFERROR(__xludf.DUMMYFUNCTION("""COMPUTED_VALUE"""),0)</f>
        <v>0</v>
      </c>
      <c r="BE386" s="24">
        <f ca="1">IFERROR(__xludf.DUMMYFUNCTION("""COMPUTED_VALUE"""),0)</f>
        <v>0</v>
      </c>
      <c r="BF386" s="24">
        <f ca="1">IFERROR(__xludf.DUMMYFUNCTION("""COMPUTED_VALUE"""),0)</f>
        <v>0</v>
      </c>
      <c r="BG386" s="24">
        <f ca="1">IFERROR(__xludf.DUMMYFUNCTION("""COMPUTED_VALUE"""),0)</f>
        <v>0</v>
      </c>
      <c r="BH386" s="24">
        <f ca="1">IFERROR(__xludf.DUMMYFUNCTION("""COMPUTED_VALUE"""),0)</f>
        <v>0</v>
      </c>
      <c r="BI386" s="20"/>
      <c r="BJ386" s="24">
        <f ca="1">IFERROR(__xludf.DUMMYFUNCTION("""COMPUTED_VALUE"""),29043.64)</f>
        <v>29043.64</v>
      </c>
      <c r="BK386" s="24">
        <f ca="1">IFERROR(__xludf.DUMMYFUNCTION("""COMPUTED_VALUE"""),0)</f>
        <v>0</v>
      </c>
      <c r="BL386" s="20">
        <f ca="1">IFERROR(__xludf.DUMMYFUNCTION("""COMPUTED_VALUE"""),22508.82)</f>
        <v>22508.82</v>
      </c>
      <c r="BM386" s="24">
        <f ca="1">IFERROR(__xludf.DUMMYFUNCTION("""COMPUTED_VALUE"""),0)</f>
        <v>0</v>
      </c>
      <c r="BN386" s="20">
        <f ca="1">IFERROR(__xludf.DUMMYFUNCTION("""COMPUTED_VALUE"""),6534.82)</f>
        <v>6534.82</v>
      </c>
      <c r="BO386" s="20"/>
      <c r="BP386" s="24">
        <f ca="1">IFERROR(__xludf.DUMMYFUNCTION("""COMPUTED_VALUE"""),0)</f>
        <v>0</v>
      </c>
      <c r="BQ386" s="24">
        <f ca="1">IFERROR(__xludf.DUMMYFUNCTION("""COMPUTED_VALUE"""),0)</f>
        <v>0</v>
      </c>
      <c r="BR386" s="24">
        <f ca="1">IFERROR(__xludf.DUMMYFUNCTION("""COMPUTED_VALUE"""),0)</f>
        <v>0</v>
      </c>
      <c r="BS386" s="24">
        <f ca="1">IFERROR(__xludf.DUMMYFUNCTION("""COMPUTED_VALUE"""),0)</f>
        <v>0</v>
      </c>
      <c r="BT386" s="24">
        <f ca="1">IFERROR(__xludf.DUMMYFUNCTION("""COMPUTED_VALUE"""),0)</f>
        <v>0</v>
      </c>
      <c r="BU386" s="20"/>
      <c r="BV386" s="24">
        <f ca="1">IFERROR(__xludf.DUMMYFUNCTION("""COMPUTED_VALUE"""),0)</f>
        <v>0</v>
      </c>
      <c r="BW386" s="24">
        <f ca="1">IFERROR(__xludf.DUMMYFUNCTION("""COMPUTED_VALUE"""),0)</f>
        <v>0</v>
      </c>
      <c r="BX386" s="24">
        <f ca="1">IFERROR(__xludf.DUMMYFUNCTION("""COMPUTED_VALUE"""),0)</f>
        <v>0</v>
      </c>
      <c r="BY386" s="24">
        <f ca="1">IFERROR(__xludf.DUMMYFUNCTION("""COMPUTED_VALUE"""),0)</f>
        <v>0</v>
      </c>
      <c r="BZ386" s="24">
        <f ca="1">IFERROR(__xludf.DUMMYFUNCTION("""COMPUTED_VALUE"""),0)</f>
        <v>0</v>
      </c>
      <c r="CA386" s="20"/>
      <c r="CB386" s="20"/>
      <c r="CC386" s="20"/>
      <c r="CD386" s="20"/>
      <c r="CE386" s="20"/>
      <c r="CF386" s="20"/>
      <c r="CG386" s="20"/>
      <c r="CH386" s="20"/>
      <c r="CI386" s="20"/>
      <c r="CJ386" s="20"/>
      <c r="CK386" s="20"/>
      <c r="CL386" s="20"/>
      <c r="CM386" s="20"/>
      <c r="CN386" s="20"/>
      <c r="CO386" s="20"/>
      <c r="CP386" s="20"/>
      <c r="CQ386" s="20"/>
      <c r="CR386" s="20"/>
      <c r="CS386" s="20"/>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row>
    <row r="387" spans="1:123" ht="64.5" hidden="1" customHeight="1" x14ac:dyDescent="0.2">
      <c r="A387" s="19"/>
      <c r="B387" s="20" t="str">
        <f ca="1">IFERROR(__xludf.DUMMYFUNCTION("""COMPUTED_VALUE"""),"г.о. Шатура")</f>
        <v>г.о. Шатура</v>
      </c>
      <c r="C38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7" s="20" t="str">
        <f ca="1">IFERROR(__xludf.DUMMYFUNCTION("""COMPUTED_VALUE"""),"МинЖКХ")</f>
        <v>МинЖКХ</v>
      </c>
      <c r="E387" s="20" t="str">
        <f ca="1">IFERROR(__xludf.DUMMYFUNCTION("""COMPUTED_VALUE"""),"Строительство наружный сетей водоснабжения, водоотведеиня и теплоснабжения  г.о. Шатура (бывшая территория г.о. Рошаль) ПИР")</f>
        <v>Строительство наружный сетей водоснабжения, водоотведеиня и теплоснабжения  г.о. Шатура (бывшая территория г.о. Рошаль) ПИР</v>
      </c>
      <c r="F387" s="32" t="str">
        <f ca="1">IFERROR(__xludf.DUMMYFUNCTION("""COMPUTED_VALUE"""),"Сети")</f>
        <v>Сети</v>
      </c>
      <c r="G387" s="20" t="str">
        <f ca="1">IFERROR(__xludf.DUMMYFUNCTION("""COMPUTED_VALUE"""),"2023-2024")</f>
        <v>2023-2024</v>
      </c>
      <c r="H387" s="20" t="str">
        <f ca="1">IFERROR(__xludf.DUMMYFUNCTION("""COMPUTED_VALUE"""),"ПИР")</f>
        <v>ПИР</v>
      </c>
      <c r="I387" s="20"/>
      <c r="J387" s="20"/>
      <c r="K387" s="20"/>
      <c r="L387" s="20"/>
      <c r="M387" s="20"/>
      <c r="N387" s="24">
        <f ca="1">IFERROR(__xludf.DUMMYFUNCTION("""COMPUTED_VALUE"""),0)</f>
        <v>0</v>
      </c>
      <c r="O387" s="20"/>
      <c r="P387" s="20"/>
      <c r="Q387" s="20"/>
      <c r="R387" s="20"/>
      <c r="S387" s="20"/>
      <c r="T387" s="20"/>
      <c r="U387" s="24">
        <f ca="1">IFERROR(__xludf.DUMMYFUNCTION("""COMPUTED_VALUE"""),0)</f>
        <v>0</v>
      </c>
      <c r="V387" s="24">
        <f ca="1">IFERROR(__xludf.DUMMYFUNCTION("""COMPUTED_VALUE"""),0)</f>
        <v>0</v>
      </c>
      <c r="W387" s="24">
        <f ca="1">IFERROR(__xludf.DUMMYFUNCTION("""COMPUTED_VALUE"""),0)</f>
        <v>0</v>
      </c>
      <c r="X387" s="24">
        <f ca="1">IFERROR(__xludf.DUMMYFUNCTION("""COMPUTED_VALUE"""),0)</f>
        <v>0</v>
      </c>
      <c r="Y387" s="24">
        <f ca="1">IFERROR(__xludf.DUMMYFUNCTION("""COMPUTED_VALUE"""),0)</f>
        <v>0</v>
      </c>
      <c r="Z387" s="24">
        <f ca="1">IFERROR(__xludf.DUMMYFUNCTION("""COMPUTED_VALUE"""),0)</f>
        <v>0</v>
      </c>
      <c r="AA387" s="20" t="str">
        <f ca="1">IFERROR(__xludf.DUMMYFUNCTION("""COMPUTED_VALUE"""),"10 3 02 64080")</f>
        <v>10 3 02 64080</v>
      </c>
      <c r="AB387" s="20">
        <f ca="1">IFERROR(__xludf.DUMMYFUNCTION("""COMPUTED_VALUE"""),522)</f>
        <v>522</v>
      </c>
      <c r="AC387" s="20"/>
      <c r="AD387" s="20"/>
      <c r="AE387" s="20"/>
      <c r="AF387" s="24">
        <f ca="1">IFERROR(__xludf.DUMMYFUNCTION("""COMPUTED_VALUE"""),136403.98)</f>
        <v>136403.98000000001</v>
      </c>
      <c r="AG387" s="24">
        <f ca="1">IFERROR(__xludf.DUMMYFUNCTION("""COMPUTED_VALUE"""),0)</f>
        <v>0</v>
      </c>
      <c r="AH387" s="24">
        <f ca="1">IFERROR(__xludf.DUMMYFUNCTION("""COMPUTED_VALUE"""),128219.74)</f>
        <v>128219.74</v>
      </c>
      <c r="AI387" s="24">
        <f ca="1">IFERROR(__xludf.DUMMYFUNCTION("""COMPUTED_VALUE"""),0)</f>
        <v>0</v>
      </c>
      <c r="AJ387" s="24">
        <f ca="1">IFERROR(__xludf.DUMMYFUNCTION("""COMPUTED_VALUE"""),8184.24)</f>
        <v>8184.24</v>
      </c>
      <c r="AK387" s="24">
        <f ca="1">IFERROR(__xludf.DUMMYFUNCTION("""COMPUTED_VALUE"""),0)</f>
        <v>0</v>
      </c>
      <c r="AL387" s="24">
        <f ca="1">IFERROR(__xludf.DUMMYFUNCTION("""COMPUTED_VALUE"""),0)</f>
        <v>0</v>
      </c>
      <c r="AM387" s="20"/>
      <c r="AN387" s="20"/>
      <c r="AO387" s="20"/>
      <c r="AP387" s="20"/>
      <c r="AQ387" s="20"/>
      <c r="AR387" s="24">
        <f ca="1">IFERROR(__xludf.DUMMYFUNCTION("""COMPUTED_VALUE"""),0)</f>
        <v>0</v>
      </c>
      <c r="AS387" s="20"/>
      <c r="AT387" s="20"/>
      <c r="AU387" s="20"/>
      <c r="AV387" s="20"/>
      <c r="AW387" s="20"/>
      <c r="AX387" s="24">
        <f ca="1">IFERROR(__xludf.DUMMYFUNCTION("""COMPUTED_VALUE"""),0)</f>
        <v>0</v>
      </c>
      <c r="AY387" s="24">
        <f ca="1">IFERROR(__xludf.DUMMYFUNCTION("""COMPUTED_VALUE"""),0)</f>
        <v>0</v>
      </c>
      <c r="AZ387" s="24">
        <f ca="1">IFERROR(__xludf.DUMMYFUNCTION("""COMPUTED_VALUE"""),0)</f>
        <v>0</v>
      </c>
      <c r="BA387" s="24">
        <f ca="1">IFERROR(__xludf.DUMMYFUNCTION("""COMPUTED_VALUE"""),0)</f>
        <v>0</v>
      </c>
      <c r="BB387" s="24">
        <f ca="1">IFERROR(__xludf.DUMMYFUNCTION("""COMPUTED_VALUE"""),0)</f>
        <v>0</v>
      </c>
      <c r="BC387" s="20"/>
      <c r="BD387" s="24">
        <f ca="1">IFERROR(__xludf.DUMMYFUNCTION("""COMPUTED_VALUE"""),0)</f>
        <v>0</v>
      </c>
      <c r="BE387" s="24">
        <f ca="1">IFERROR(__xludf.DUMMYFUNCTION("""COMPUTED_VALUE"""),0)</f>
        <v>0</v>
      </c>
      <c r="BF387" s="24">
        <f ca="1">IFERROR(__xludf.DUMMYFUNCTION("""COMPUTED_VALUE"""),0)</f>
        <v>0</v>
      </c>
      <c r="BG387" s="24">
        <f ca="1">IFERROR(__xludf.DUMMYFUNCTION("""COMPUTED_VALUE"""),0)</f>
        <v>0</v>
      </c>
      <c r="BH387" s="24">
        <f ca="1">IFERROR(__xludf.DUMMYFUNCTION("""COMPUTED_VALUE"""),0)</f>
        <v>0</v>
      </c>
      <c r="BI387" s="20"/>
      <c r="BJ387" s="24">
        <f ca="1">IFERROR(__xludf.DUMMYFUNCTION("""COMPUTED_VALUE"""),0)</f>
        <v>0</v>
      </c>
      <c r="BK387" s="24">
        <f ca="1">IFERROR(__xludf.DUMMYFUNCTION("""COMPUTED_VALUE"""),0)</f>
        <v>0</v>
      </c>
      <c r="BL387" s="24">
        <f ca="1">IFERROR(__xludf.DUMMYFUNCTION("""COMPUTED_VALUE"""),0)</f>
        <v>0</v>
      </c>
      <c r="BM387" s="24">
        <f ca="1">IFERROR(__xludf.DUMMYFUNCTION("""COMPUTED_VALUE"""),0)</f>
        <v>0</v>
      </c>
      <c r="BN387" s="24">
        <f ca="1">IFERROR(__xludf.DUMMYFUNCTION("""COMPUTED_VALUE"""),0)</f>
        <v>0</v>
      </c>
      <c r="BO387" s="20"/>
      <c r="BP387" s="24">
        <f ca="1">IFERROR(__xludf.DUMMYFUNCTION("""COMPUTED_VALUE"""),68201.99)</f>
        <v>68201.990000000005</v>
      </c>
      <c r="BQ387" s="24">
        <f ca="1">IFERROR(__xludf.DUMMYFUNCTION("""COMPUTED_VALUE"""),0)</f>
        <v>0</v>
      </c>
      <c r="BR387" s="20">
        <f ca="1">IFERROR(__xludf.DUMMYFUNCTION("""COMPUTED_VALUE"""),64109.87)</f>
        <v>64109.87</v>
      </c>
      <c r="BS387" s="24">
        <f ca="1">IFERROR(__xludf.DUMMYFUNCTION("""COMPUTED_VALUE"""),0)</f>
        <v>0</v>
      </c>
      <c r="BT387" s="20">
        <f ca="1">IFERROR(__xludf.DUMMYFUNCTION("""COMPUTED_VALUE"""),4092.12)</f>
        <v>4092.12</v>
      </c>
      <c r="BU387" s="20"/>
      <c r="BV387" s="24">
        <f ca="1">IFERROR(__xludf.DUMMYFUNCTION("""COMPUTED_VALUE"""),68201.99)</f>
        <v>68201.990000000005</v>
      </c>
      <c r="BW387" s="24">
        <f ca="1">IFERROR(__xludf.DUMMYFUNCTION("""COMPUTED_VALUE"""),0)</f>
        <v>0</v>
      </c>
      <c r="BX387" s="20">
        <f ca="1">IFERROR(__xludf.DUMMYFUNCTION("""COMPUTED_VALUE"""),64109.87)</f>
        <v>64109.87</v>
      </c>
      <c r="BY387" s="24">
        <f ca="1">IFERROR(__xludf.DUMMYFUNCTION("""COMPUTED_VALUE"""),0)</f>
        <v>0</v>
      </c>
      <c r="BZ387" s="20">
        <f ca="1">IFERROR(__xludf.DUMMYFUNCTION("""COMPUTED_VALUE"""),4092.12)</f>
        <v>4092.12</v>
      </c>
      <c r="CA387" s="20"/>
      <c r="CB387" s="20"/>
      <c r="CC387" s="20"/>
      <c r="CD387" s="20"/>
      <c r="CE387" s="20"/>
      <c r="CF387" s="20"/>
      <c r="CG387" s="20"/>
      <c r="CH387" s="20"/>
      <c r="CI387" s="20"/>
      <c r="CJ387" s="20"/>
      <c r="CK387" s="20"/>
      <c r="CL387" s="20"/>
      <c r="CM387" s="20"/>
      <c r="CN387" s="20"/>
      <c r="CO387" s="20"/>
      <c r="CP387" s="20"/>
      <c r="CQ387" s="20"/>
      <c r="CR387" s="20"/>
      <c r="CS387" s="20"/>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row>
    <row r="388" spans="1:123" ht="64.5" hidden="1" customHeight="1" x14ac:dyDescent="0.2">
      <c r="A388" s="19"/>
      <c r="B388" s="20" t="str">
        <f ca="1">IFERROR(__xludf.DUMMYFUNCTION("""COMPUTED_VALUE"""),"г.о. Одинцово")</f>
        <v>г.о. Одинцово</v>
      </c>
      <c r="C38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8" s="20" t="str">
        <f ca="1">IFERROR(__xludf.DUMMYFUNCTION("""COMPUTED_VALUE"""),"МинЖКХ")</f>
        <v>МинЖКХ</v>
      </c>
      <c r="E388" s="20" t="str">
        <f ca="1">IFERROR(__xludf.DUMMYFUNCTION("""COMPUTED_VALUE"""),"Строительство сетей водоснабжения и водоотведения в д. Подушкино, Одинцово г.о.")</f>
        <v>Строительство сетей водоснабжения и водоотведения в д. Подушкино, Одинцово г.о.</v>
      </c>
      <c r="F388" s="32" t="str">
        <f ca="1">IFERROR(__xludf.DUMMYFUNCTION("""COMPUTED_VALUE"""),"Сети")</f>
        <v>Сети</v>
      </c>
      <c r="G388" s="20">
        <f ca="1">IFERROR(__xludf.DUMMYFUNCTION("""COMPUTED_VALUE"""),2022)</f>
        <v>2022</v>
      </c>
      <c r="H388" s="20" t="str">
        <f ca="1">IFERROR(__xludf.DUMMYFUNCTION("""COMPUTED_VALUE"""),"СМР")</f>
        <v>СМР</v>
      </c>
      <c r="I388" s="20"/>
      <c r="J388" s="20"/>
      <c r="K388" s="20"/>
      <c r="L388" s="20"/>
      <c r="M388" s="20"/>
      <c r="N388" s="24">
        <f ca="1">IFERROR(__xludf.DUMMYFUNCTION("""COMPUTED_VALUE"""),0)</f>
        <v>0</v>
      </c>
      <c r="O388" s="20"/>
      <c r="P388" s="20"/>
      <c r="Q388" s="20"/>
      <c r="R388" s="20"/>
      <c r="S388" s="20"/>
      <c r="T388" s="20"/>
      <c r="U388" s="24">
        <f ca="1">IFERROR(__xludf.DUMMYFUNCTION("""COMPUTED_VALUE"""),0)</f>
        <v>0</v>
      </c>
      <c r="V388" s="24">
        <f ca="1">IFERROR(__xludf.DUMMYFUNCTION("""COMPUTED_VALUE"""),0)</f>
        <v>0</v>
      </c>
      <c r="W388" s="24">
        <f ca="1">IFERROR(__xludf.DUMMYFUNCTION("""COMPUTED_VALUE"""),0)</f>
        <v>0</v>
      </c>
      <c r="X388" s="24">
        <f ca="1">IFERROR(__xludf.DUMMYFUNCTION("""COMPUTED_VALUE"""),0)</f>
        <v>0</v>
      </c>
      <c r="Y388" s="24">
        <f ca="1">IFERROR(__xludf.DUMMYFUNCTION("""COMPUTED_VALUE"""),0)</f>
        <v>0</v>
      </c>
      <c r="Z388" s="24">
        <f ca="1">IFERROR(__xludf.DUMMYFUNCTION("""COMPUTED_VALUE"""),0)</f>
        <v>0</v>
      </c>
      <c r="AA388" s="20" t="str">
        <f ca="1">IFERROR(__xludf.DUMMYFUNCTION("""COMPUTED_VALUE"""),"10 3 02 64080")</f>
        <v>10 3 02 64080</v>
      </c>
      <c r="AB388" s="20">
        <f ca="1">IFERROR(__xludf.DUMMYFUNCTION("""COMPUTED_VALUE"""),522)</f>
        <v>522</v>
      </c>
      <c r="AC388" s="20"/>
      <c r="AD388" s="20"/>
      <c r="AE388" s="20"/>
      <c r="AF388" s="24">
        <f ca="1">IFERROR(__xludf.DUMMYFUNCTION("""COMPUTED_VALUE"""),106820)</f>
        <v>106820</v>
      </c>
      <c r="AG388" s="24">
        <f ca="1">IFERROR(__xludf.DUMMYFUNCTION("""COMPUTED_VALUE"""),0)</f>
        <v>0</v>
      </c>
      <c r="AH388" s="24">
        <f ca="1">IFERROR(__xludf.DUMMYFUNCTION("""COMPUTED_VALUE"""),66762.5)</f>
        <v>66762.5</v>
      </c>
      <c r="AI388" s="24">
        <f ca="1">IFERROR(__xludf.DUMMYFUNCTION("""COMPUTED_VALUE"""),0)</f>
        <v>0</v>
      </c>
      <c r="AJ388" s="24">
        <f ca="1">IFERROR(__xludf.DUMMYFUNCTION("""COMPUTED_VALUE"""),40057.5)</f>
        <v>40057.5</v>
      </c>
      <c r="AK388" s="24">
        <f ca="1">IFERROR(__xludf.DUMMYFUNCTION("""COMPUTED_VALUE"""),0)</f>
        <v>0</v>
      </c>
      <c r="AL388" s="24">
        <f ca="1">IFERROR(__xludf.DUMMYFUNCTION("""COMPUTED_VALUE"""),0)</f>
        <v>0</v>
      </c>
      <c r="AM388" s="20"/>
      <c r="AN388" s="20"/>
      <c r="AO388" s="20"/>
      <c r="AP388" s="20"/>
      <c r="AQ388" s="20"/>
      <c r="AR388" s="24">
        <f ca="1">IFERROR(__xludf.DUMMYFUNCTION("""COMPUTED_VALUE"""),0)</f>
        <v>0</v>
      </c>
      <c r="AS388" s="20"/>
      <c r="AT388" s="20"/>
      <c r="AU388" s="20"/>
      <c r="AV388" s="20"/>
      <c r="AW388" s="20"/>
      <c r="AX388" s="24">
        <f ca="1">IFERROR(__xludf.DUMMYFUNCTION("""COMPUTED_VALUE"""),0)</f>
        <v>0</v>
      </c>
      <c r="AY388" s="24">
        <f ca="1">IFERROR(__xludf.DUMMYFUNCTION("""COMPUTED_VALUE"""),0)</f>
        <v>0</v>
      </c>
      <c r="AZ388" s="24">
        <f ca="1">IFERROR(__xludf.DUMMYFUNCTION("""COMPUTED_VALUE"""),0)</f>
        <v>0</v>
      </c>
      <c r="BA388" s="24">
        <f ca="1">IFERROR(__xludf.DUMMYFUNCTION("""COMPUTED_VALUE"""),0)</f>
        <v>0</v>
      </c>
      <c r="BB388" s="24">
        <f ca="1">IFERROR(__xludf.DUMMYFUNCTION("""COMPUTED_VALUE"""),0)</f>
        <v>0</v>
      </c>
      <c r="BC388" s="20"/>
      <c r="BD388" s="24">
        <f ca="1">IFERROR(__xludf.DUMMYFUNCTION("""COMPUTED_VALUE"""),0)</f>
        <v>0</v>
      </c>
      <c r="BE388" s="24">
        <f ca="1">IFERROR(__xludf.DUMMYFUNCTION("""COMPUTED_VALUE"""),0)</f>
        <v>0</v>
      </c>
      <c r="BF388" s="24">
        <f ca="1">IFERROR(__xludf.DUMMYFUNCTION("""COMPUTED_VALUE"""),0)</f>
        <v>0</v>
      </c>
      <c r="BG388" s="24">
        <f ca="1">IFERROR(__xludf.DUMMYFUNCTION("""COMPUTED_VALUE"""),0)</f>
        <v>0</v>
      </c>
      <c r="BH388" s="24">
        <f ca="1">IFERROR(__xludf.DUMMYFUNCTION("""COMPUTED_VALUE"""),0)</f>
        <v>0</v>
      </c>
      <c r="BI388" s="20"/>
      <c r="BJ388" s="24">
        <f ca="1">IFERROR(__xludf.DUMMYFUNCTION("""COMPUTED_VALUE"""),106820)</f>
        <v>106820</v>
      </c>
      <c r="BK388" s="24">
        <f ca="1">IFERROR(__xludf.DUMMYFUNCTION("""COMPUTED_VALUE"""),0)</f>
        <v>0</v>
      </c>
      <c r="BL388" s="20">
        <f ca="1">IFERROR(__xludf.DUMMYFUNCTION("""COMPUTED_VALUE"""),66762.5)</f>
        <v>66762.5</v>
      </c>
      <c r="BM388" s="24">
        <f ca="1">IFERROR(__xludf.DUMMYFUNCTION("""COMPUTED_VALUE"""),0)</f>
        <v>0</v>
      </c>
      <c r="BN388" s="20">
        <f ca="1">IFERROR(__xludf.DUMMYFUNCTION("""COMPUTED_VALUE"""),40057.5)</f>
        <v>40057.5</v>
      </c>
      <c r="BO388" s="20"/>
      <c r="BP388" s="24">
        <f ca="1">IFERROR(__xludf.DUMMYFUNCTION("""COMPUTED_VALUE"""),0)</f>
        <v>0</v>
      </c>
      <c r="BQ388" s="24">
        <f ca="1">IFERROR(__xludf.DUMMYFUNCTION("""COMPUTED_VALUE"""),0)</f>
        <v>0</v>
      </c>
      <c r="BR388" s="24">
        <f ca="1">IFERROR(__xludf.DUMMYFUNCTION("""COMPUTED_VALUE"""),0)</f>
        <v>0</v>
      </c>
      <c r="BS388" s="24">
        <f ca="1">IFERROR(__xludf.DUMMYFUNCTION("""COMPUTED_VALUE"""),0)</f>
        <v>0</v>
      </c>
      <c r="BT388" s="24">
        <f ca="1">IFERROR(__xludf.DUMMYFUNCTION("""COMPUTED_VALUE"""),0)</f>
        <v>0</v>
      </c>
      <c r="BU388" s="20"/>
      <c r="BV388" s="24">
        <f ca="1">IFERROR(__xludf.DUMMYFUNCTION("""COMPUTED_VALUE"""),0)</f>
        <v>0</v>
      </c>
      <c r="BW388" s="24">
        <f ca="1">IFERROR(__xludf.DUMMYFUNCTION("""COMPUTED_VALUE"""),0)</f>
        <v>0</v>
      </c>
      <c r="BX388" s="24">
        <f ca="1">IFERROR(__xludf.DUMMYFUNCTION("""COMPUTED_VALUE"""),0)</f>
        <v>0</v>
      </c>
      <c r="BY388" s="24">
        <f ca="1">IFERROR(__xludf.DUMMYFUNCTION("""COMPUTED_VALUE"""),0)</f>
        <v>0</v>
      </c>
      <c r="BZ388" s="24">
        <f ca="1">IFERROR(__xludf.DUMMYFUNCTION("""COMPUTED_VALUE"""),0)</f>
        <v>0</v>
      </c>
      <c r="CA388" s="20"/>
      <c r="CB388" s="20"/>
      <c r="CC388" s="20"/>
      <c r="CD388" s="20"/>
      <c r="CE388" s="20"/>
      <c r="CF388" s="20"/>
      <c r="CG388" s="20"/>
      <c r="CH388" s="20"/>
      <c r="CI388" s="20"/>
      <c r="CJ388" s="20"/>
      <c r="CK388" s="20"/>
      <c r="CL388" s="20"/>
      <c r="CM388" s="20"/>
      <c r="CN388" s="20"/>
      <c r="CO388" s="20"/>
      <c r="CP388" s="20"/>
      <c r="CQ388" s="20"/>
      <c r="CR388" s="20"/>
      <c r="CS388" s="20"/>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row>
    <row r="389" spans="1:123" ht="64.5" customHeight="1" x14ac:dyDescent="0.2">
      <c r="A389" s="19"/>
      <c r="B389" s="20" t="str">
        <f ca="1">IFERROR(__xludf.DUMMYFUNCTION("""COMPUTED_VALUE"""),"г.о. Черноголовка")</f>
        <v>г.о. Черноголовка</v>
      </c>
      <c r="C38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9" s="20" t="str">
        <f ca="1">IFERROR(__xludf.DUMMYFUNCTION("""COMPUTED_VALUE"""),"МинЖКХ")</f>
        <v>МинЖКХ</v>
      </c>
      <c r="E389" s="20" t="str">
        <f ca="1">IFERROR(__xludf.DUMMYFUNCTION("""COMPUTED_VALUE"""),"Реконструкция участка магистральной тепловой сети Ду 700 от центральной котельной до тепловой камеры ТК-3 по адресу: Московская область, г. Черноголовка")</f>
        <v>Реконструкция участка магистральной тепловой сети Ду 700 от центральной котельной до тепловой камеры ТК-3 по адресу: Московская область, г. Черноголовка</v>
      </c>
      <c r="F389" s="32" t="str">
        <f ca="1">IFERROR(__xludf.DUMMYFUNCTION("""COMPUTED_VALUE"""),"Сети")</f>
        <v>Сети</v>
      </c>
      <c r="G389" s="20">
        <f ca="1">IFERROR(__xludf.DUMMYFUNCTION("""COMPUTED_VALUE"""),2020)</f>
        <v>2020</v>
      </c>
      <c r="H389" s="20" t="str">
        <f ca="1">IFERROR(__xludf.DUMMYFUNCTION("""COMPUTED_VALUE"""),"СМР")</f>
        <v>СМР</v>
      </c>
      <c r="I389" s="20">
        <f ca="1">IFERROR(__xludf.DUMMYFUNCTION("""COMPUTED_VALUE"""),100)</f>
        <v>100</v>
      </c>
      <c r="J389" s="20" t="str">
        <f ca="1">IFERROR(__xludf.DUMMYFUNCTION("""COMPUTED_VALUE"""),"По тепловым сетям:
1. Общая сумма контракта 60 691 276,81 ₽ (в эту сумму входит реконструкция 2 участков протяженностью 478 м и 23 м)
2. Выполнено работ на общую сумму 50 575 572,16  ₽ (на эту сумму провели реконструкцию основного участка протяженностью"&amp;" 478 м, сейчас производят работы по планировки территории и приемке исполнительной документации, думаю оплата будет произведена в течении месяца)
3. Часть работ до отопительного сезона выполнить не успели (участок протяженностью 23 м), в связи с чем конт"&amp;"ракт через расторжение будет закрываться на меньшую сумму.
4. Т.к. подрядчик для незавершенного участка закупил дорогостоящее оборудование изготовленное на заказ (запорную арматуру на общую сумму примерно 7 млн), он передаст это по накладной. Это тоже бу"&amp;"дет оплачено. Данное оборудование будет применено в следующем году по новому контракту.
5. Незавершенные работы на общую сумму примерно 3 млн будут разыграны в следующем году.")</f>
        <v>По тепловым сетям:
1. Общая сумма контракта 60 691 276,81 ₽ (в эту сумму входит реконструкция 2 участков протяженностью 478 м и 23 м)
2. Выполнено работ на общую сумму 50 575 572,16  ₽ (на эту сумму провели реконструкцию основного участка протяженностью 478 м, сейчас производят работы по планировки территории и приемке исполнительной документации, думаю оплата будет произведена в течении месяца)
3. Часть работ до отопительного сезона выполнить не успели (участок протяженностью 23 м), в связи с чем контракт через расторжение будет закрываться на меньшую сумму.
4. Т.к. подрядчик для незавершенного участка закупил дорогостоящее оборудование изготовленное на заказ (запорную арматуру на общую сумму примерно 7 млн), он передаст это по накладной. Это тоже будет оплачено. Данное оборудование будет применено в следующем году по новому контракту.
5. Незавершенные работы на общую сумму примерно 3 млн будут разыграны в следующем году.</v>
      </c>
      <c r="K389" s="20">
        <f ca="1">IFERROR(__xludf.DUMMYFUNCTION("""COMPUTED_VALUE"""),20000)</f>
        <v>20000</v>
      </c>
      <c r="L389" s="20">
        <f ca="1">IFERROR(__xludf.DUMMYFUNCTION("""COMPUTED_VALUE"""),20000)</f>
        <v>20000</v>
      </c>
      <c r="M389" s="20"/>
      <c r="N389" s="24">
        <f ca="1">IFERROR(__xludf.DUMMYFUNCTION("""COMPUTED_VALUE"""),0)</f>
        <v>0</v>
      </c>
      <c r="O389" s="20"/>
      <c r="P389" s="24">
        <f ca="1">IFERROR(__xludf.DUMMYFUNCTION("""COMPUTED_VALUE"""),0)</f>
        <v>0</v>
      </c>
      <c r="Q389" s="20"/>
      <c r="R389" s="20"/>
      <c r="S389" s="20"/>
      <c r="T389" s="20"/>
      <c r="U389" s="24">
        <f ca="1">IFERROR(__xludf.DUMMYFUNCTION("""COMPUTED_VALUE"""),63528.07)</f>
        <v>63528.07</v>
      </c>
      <c r="V389" s="24">
        <f ca="1">IFERROR(__xludf.DUMMYFUNCTION("""COMPUTED_VALUE"""),0)</f>
        <v>0</v>
      </c>
      <c r="W389" s="24">
        <f ca="1">IFERROR(__xludf.DUMMYFUNCTION("""COMPUTED_VALUE"""),0)</f>
        <v>0</v>
      </c>
      <c r="X389" s="24">
        <f ca="1">IFERROR(__xludf.DUMMYFUNCTION("""COMPUTED_VALUE"""),0)</f>
        <v>0</v>
      </c>
      <c r="Y389" s="24">
        <f ca="1">IFERROR(__xludf.DUMMYFUNCTION("""COMPUTED_VALUE"""),63528.07)</f>
        <v>63528.07</v>
      </c>
      <c r="Z389" s="24">
        <f ca="1">IFERROR(__xludf.DUMMYFUNCTION("""COMPUTED_VALUE"""),0)</f>
        <v>0</v>
      </c>
      <c r="AA389" s="20" t="str">
        <f ca="1">IFERROR(__xludf.DUMMYFUNCTION("""COMPUTED_VALUE"""),"10 3 02 64080")</f>
        <v>10 3 02 64080</v>
      </c>
      <c r="AB389" s="20">
        <f ca="1">IFERROR(__xludf.DUMMYFUNCTION("""COMPUTED_VALUE"""),522)</f>
        <v>522</v>
      </c>
      <c r="AC389" s="20"/>
      <c r="AD389" s="20"/>
      <c r="AE389" s="20"/>
      <c r="AF389" s="24">
        <f ca="1">IFERROR(__xludf.DUMMYFUNCTION("""COMPUTED_VALUE"""),63528.07)</f>
        <v>63528.07</v>
      </c>
      <c r="AG389" s="24">
        <f ca="1">IFERROR(__xludf.DUMMYFUNCTION("""COMPUTED_VALUE"""),0)</f>
        <v>0</v>
      </c>
      <c r="AH389" s="24">
        <f ca="1">IFERROR(__xludf.DUMMYFUNCTION("""COMPUTED_VALUE"""),0)</f>
        <v>0</v>
      </c>
      <c r="AI389" s="24">
        <f ca="1">IFERROR(__xludf.DUMMYFUNCTION("""COMPUTED_VALUE"""),0)</f>
        <v>0</v>
      </c>
      <c r="AJ389" s="24">
        <f ca="1">IFERROR(__xludf.DUMMYFUNCTION("""COMPUTED_VALUE"""),63528.07)</f>
        <v>63528.07</v>
      </c>
      <c r="AK389" s="24">
        <f ca="1">IFERROR(__xludf.DUMMYFUNCTION("""COMPUTED_VALUE"""),0)</f>
        <v>0</v>
      </c>
      <c r="AL389" s="24">
        <f ca="1">IFERROR(__xludf.DUMMYFUNCTION("""COMPUTED_VALUE"""),0)</f>
        <v>0</v>
      </c>
      <c r="AM389" s="20"/>
      <c r="AN389" s="20"/>
      <c r="AO389" s="20"/>
      <c r="AP389" s="20"/>
      <c r="AQ389" s="20"/>
      <c r="AR389" s="24">
        <f ca="1">IFERROR(__xludf.DUMMYFUNCTION("""COMPUTED_VALUE"""),0)</f>
        <v>0</v>
      </c>
      <c r="AS389" s="20"/>
      <c r="AT389" s="20"/>
      <c r="AU389" s="20"/>
      <c r="AV389" s="20"/>
      <c r="AW389" s="20"/>
      <c r="AX389" s="24">
        <f ca="1">IFERROR(__xludf.DUMMYFUNCTION("""COMPUTED_VALUE"""),63528.07)</f>
        <v>63528.07</v>
      </c>
      <c r="AY389" s="24">
        <f ca="1">IFERROR(__xludf.DUMMYFUNCTION("""COMPUTED_VALUE"""),0)</f>
        <v>0</v>
      </c>
      <c r="AZ389" s="24">
        <f ca="1">IFERROR(__xludf.DUMMYFUNCTION("""COMPUTED_VALUE"""),0)</f>
        <v>0</v>
      </c>
      <c r="BA389" s="24">
        <f ca="1">IFERROR(__xludf.DUMMYFUNCTION("""COMPUTED_VALUE"""),0)</f>
        <v>0</v>
      </c>
      <c r="BB389" s="24">
        <f ca="1">IFERROR(__xludf.DUMMYFUNCTION("""COMPUTED_VALUE"""),63528.07)</f>
        <v>63528.07</v>
      </c>
      <c r="BC389" s="20"/>
      <c r="BD389" s="24">
        <f ca="1">IFERROR(__xludf.DUMMYFUNCTION("""COMPUTED_VALUE"""),0)</f>
        <v>0</v>
      </c>
      <c r="BE389" s="24">
        <f ca="1">IFERROR(__xludf.DUMMYFUNCTION("""COMPUTED_VALUE"""),0)</f>
        <v>0</v>
      </c>
      <c r="BF389" s="24">
        <f ca="1">IFERROR(__xludf.DUMMYFUNCTION("""COMPUTED_VALUE"""),0)</f>
        <v>0</v>
      </c>
      <c r="BG389" s="24">
        <f ca="1">IFERROR(__xludf.DUMMYFUNCTION("""COMPUTED_VALUE"""),0)</f>
        <v>0</v>
      </c>
      <c r="BH389" s="24">
        <f ca="1">IFERROR(__xludf.DUMMYFUNCTION("""COMPUTED_VALUE"""),0)</f>
        <v>0</v>
      </c>
      <c r="BI389" s="20"/>
      <c r="BJ389" s="24">
        <f ca="1">IFERROR(__xludf.DUMMYFUNCTION("""COMPUTED_VALUE"""),0)</f>
        <v>0</v>
      </c>
      <c r="BK389" s="24">
        <f ca="1">IFERROR(__xludf.DUMMYFUNCTION("""COMPUTED_VALUE"""),0)</f>
        <v>0</v>
      </c>
      <c r="BL389" s="24">
        <f ca="1">IFERROR(__xludf.DUMMYFUNCTION("""COMPUTED_VALUE"""),0)</f>
        <v>0</v>
      </c>
      <c r="BM389" s="24">
        <f ca="1">IFERROR(__xludf.DUMMYFUNCTION("""COMPUTED_VALUE"""),0)</f>
        <v>0</v>
      </c>
      <c r="BN389" s="24">
        <f ca="1">IFERROR(__xludf.DUMMYFUNCTION("""COMPUTED_VALUE"""),0)</f>
        <v>0</v>
      </c>
      <c r="BO389" s="20"/>
      <c r="BP389" s="24">
        <f ca="1">IFERROR(__xludf.DUMMYFUNCTION("""COMPUTED_VALUE"""),0)</f>
        <v>0</v>
      </c>
      <c r="BQ389" s="24">
        <f ca="1">IFERROR(__xludf.DUMMYFUNCTION("""COMPUTED_VALUE"""),0)</f>
        <v>0</v>
      </c>
      <c r="BR389" s="24">
        <f ca="1">IFERROR(__xludf.DUMMYFUNCTION("""COMPUTED_VALUE"""),0)</f>
        <v>0</v>
      </c>
      <c r="BS389" s="24">
        <f ca="1">IFERROR(__xludf.DUMMYFUNCTION("""COMPUTED_VALUE"""),0)</f>
        <v>0</v>
      </c>
      <c r="BT389" s="24">
        <f ca="1">IFERROR(__xludf.DUMMYFUNCTION("""COMPUTED_VALUE"""),0)</f>
        <v>0</v>
      </c>
      <c r="BU389" s="20"/>
      <c r="BV389" s="24">
        <f ca="1">IFERROR(__xludf.DUMMYFUNCTION("""COMPUTED_VALUE"""),0)</f>
        <v>0</v>
      </c>
      <c r="BW389" s="24">
        <f ca="1">IFERROR(__xludf.DUMMYFUNCTION("""COMPUTED_VALUE"""),0)</f>
        <v>0</v>
      </c>
      <c r="BX389" s="24">
        <f ca="1">IFERROR(__xludf.DUMMYFUNCTION("""COMPUTED_VALUE"""),0)</f>
        <v>0</v>
      </c>
      <c r="BY389" s="24">
        <f ca="1">IFERROR(__xludf.DUMMYFUNCTION("""COMPUTED_VALUE"""),0)</f>
        <v>0</v>
      </c>
      <c r="BZ389" s="24">
        <f ca="1">IFERROR(__xludf.DUMMYFUNCTION("""COMPUTED_VALUE"""),0)</f>
        <v>0</v>
      </c>
      <c r="CA389" s="20"/>
      <c r="CB389" s="20"/>
      <c r="CC389" s="20"/>
      <c r="CD389" s="20"/>
      <c r="CE389" s="20"/>
      <c r="CF389" s="20"/>
      <c r="CG389" s="20"/>
      <c r="CH389" s="20"/>
      <c r="CI389" s="20"/>
      <c r="CJ389" s="33">
        <f ca="1">IFERROR(__xludf.DUMMYFUNCTION("""COMPUTED_VALUE"""),43431)</f>
        <v>43431</v>
      </c>
      <c r="CK389" s="33">
        <f ca="1">IFERROR(__xludf.DUMMYFUNCTION("""COMPUTED_VALUE"""),43887)</f>
        <v>43887</v>
      </c>
      <c r="CL389" s="20" t="str">
        <f ca="1">IFERROR(__xludf.DUMMYFUNCTION("""COMPUTED_VALUE"""),"50-1-1-3-0265-20")</f>
        <v>50-1-1-3-0265-20</v>
      </c>
      <c r="CM389" s="26">
        <f ca="1">IFERROR(__xludf.DUMMYFUNCTION("""COMPUTED_VALUE"""),44061)</f>
        <v>44061</v>
      </c>
      <c r="CN389" s="20" t="str">
        <f ca="1">IFERROR(__xludf.DUMMYFUNCTION("""COMPUTED_VALUE"""),"0548100007920000001")</f>
        <v>0548100007920000001</v>
      </c>
      <c r="CO389" s="26">
        <f ca="1">IFERROR(__xludf.DUMMYFUNCTION("""COMPUTED_VALUE"""),44084)</f>
        <v>44084</v>
      </c>
      <c r="CP389" s="20" t="str">
        <f ca="1">IFERROR(__xludf.DUMMYFUNCTION("""COMPUTED_VALUE"""),"43/2020")</f>
        <v>43/2020</v>
      </c>
      <c r="CQ389" s="20">
        <f ca="1">IFERROR(__xludf.DUMMYFUNCTION("""COMPUTED_VALUE"""),60691276.81)</f>
        <v>60691276.810000002</v>
      </c>
      <c r="CR389" s="20" t="str">
        <f ca="1">IFERROR(__xludf.DUMMYFUNCTION("""COMPUTED_VALUE"""),"ООО ""ЛИСТРАЛЬ"" ")</f>
        <v xml:space="preserve">ООО "ЛИСТРАЛЬ" </v>
      </c>
      <c r="CS389" s="27" t="str">
        <f ca="1">IFERROR(__xludf.DUMMYFUNCTION("""COMPUTED_VALUE"""),"https://zakupki.gov.ru/epz/contract/contractCard/common-info.html?reestrNumber=1503100780920000001&amp;backUrl=415a644a-ab07-457a-8c35-c1d9fc46ecde")</f>
        <v>https://zakupki.gov.ru/epz/contract/contractCard/common-info.html?reestrNumber=1503100780920000001&amp;backUrl=415a644a-ab07-457a-8c35-c1d9fc46ecde</v>
      </c>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row>
    <row r="390" spans="1:123" ht="64.5" customHeight="1" x14ac:dyDescent="0.2">
      <c r="A390" s="19"/>
      <c r="B390" s="20" t="str">
        <f ca="1">IFERROR(__xludf.DUMMYFUNCTION("""COMPUTED_VALUE"""),"г.о. Шатура")</f>
        <v>г.о. Шатура</v>
      </c>
      <c r="C39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0" s="20" t="str">
        <f ca="1">IFERROR(__xludf.DUMMYFUNCTION("""COMPUTED_VALUE"""),"МинЖКХ ""ТОП 5 (1 этап)""")</f>
        <v>МинЖКХ "ТОП 5 (1 этап)"</v>
      </c>
      <c r="E390" s="20" t="str">
        <f ca="1">IFERROR(__xludf.DUMMYFUNCTION("""COMPUTED_VALUE""")," Модернизация (реконструкция) котельной на электрокотлах (перевод на газ) д. Бордуки (в т.ч. ПИР, ТП) г.о. Шатура")</f>
        <v xml:space="preserve"> Модернизация (реконструкция) котельной на электрокотлах (перевод на газ) д. Бордуки (в т.ч. ПИР, ТП) г.о. Шатура</v>
      </c>
      <c r="F390" s="32" t="str">
        <f ca="1">IFERROR(__xludf.DUMMYFUNCTION("""COMPUTED_VALUE"""),"Котельная")</f>
        <v>Котельная</v>
      </c>
      <c r="G390" s="20" t="str">
        <f ca="1">IFERROR(__xludf.DUMMYFUNCTION("""COMPUTED_VALUE"""),"2020-2021")</f>
        <v>2020-2021</v>
      </c>
      <c r="H390" s="20" t="str">
        <f ca="1">IFERROR(__xludf.DUMMYFUNCTION("""COMPUTED_VALUE"""),"СМР")</f>
        <v>СМР</v>
      </c>
      <c r="I390" s="20"/>
      <c r="J390" s="20" t="str">
        <f ca="1">IFERROR(__xludf.DUMMYFUNCTION("""COMPUTED_VALUE"""),"Находится в МОГЭ. Предварительная дата выхода 03.12.2020")</f>
        <v>Находится в МОГЭ. Предварительная дата выхода 03.12.2020</v>
      </c>
      <c r="K390" s="20">
        <f ca="1">IFERROR(__xludf.DUMMYFUNCTION("""COMPUTED_VALUE"""),27)</f>
        <v>27</v>
      </c>
      <c r="L390" s="20">
        <f ca="1">IFERROR(__xludf.DUMMYFUNCTION("""COMPUTED_VALUE"""),27)</f>
        <v>27</v>
      </c>
      <c r="M390" s="20"/>
      <c r="N390" s="24">
        <f ca="1">IFERROR(__xludf.DUMMYFUNCTION("""COMPUTED_VALUE"""),150.59)</f>
        <v>150.59</v>
      </c>
      <c r="O390" s="20"/>
      <c r="P390" s="24">
        <f ca="1">IFERROR(__xludf.DUMMYFUNCTION("""COMPUTED_VALUE"""),0)</f>
        <v>0</v>
      </c>
      <c r="Q390" s="20">
        <f ca="1">IFERROR(__xludf.DUMMYFUNCTION("""COMPUTED_VALUE"""),150.59)</f>
        <v>150.59</v>
      </c>
      <c r="R390" s="20"/>
      <c r="S390" s="20"/>
      <c r="T390" s="20"/>
      <c r="U390" s="24">
        <f ca="1">IFERROR(__xludf.DUMMYFUNCTION("""COMPUTED_VALUE"""),349.409999999999)</f>
        <v>349.409999999999</v>
      </c>
      <c r="V390" s="24">
        <f ca="1">IFERROR(__xludf.DUMMYFUNCTION("""COMPUTED_VALUE"""),0)</f>
        <v>0</v>
      </c>
      <c r="W390" s="24">
        <f ca="1">IFERROR(__xludf.DUMMYFUNCTION("""COMPUTED_VALUE"""),0)</f>
        <v>0</v>
      </c>
      <c r="X390" s="24">
        <f ca="1">IFERROR(__xludf.DUMMYFUNCTION("""COMPUTED_VALUE"""),307.409999999999)</f>
        <v>307.409999999999</v>
      </c>
      <c r="Y390" s="24">
        <f ca="1">IFERROR(__xludf.DUMMYFUNCTION("""COMPUTED_VALUE"""),42)</f>
        <v>42</v>
      </c>
      <c r="Z390" s="24">
        <f ca="1">IFERROR(__xludf.DUMMYFUNCTION("""COMPUTED_VALUE"""),0)</f>
        <v>0</v>
      </c>
      <c r="AA390" s="20" t="str">
        <f ca="1">IFERROR(__xludf.DUMMYFUNCTION("""COMPUTED_VALUE"""),"10 3 02 64080")</f>
        <v>10 3 02 64080</v>
      </c>
      <c r="AB390" s="20">
        <f ca="1">IFERROR(__xludf.DUMMYFUNCTION("""COMPUTED_VALUE"""),522)</f>
        <v>522</v>
      </c>
      <c r="AC390" s="20"/>
      <c r="AD390" s="20"/>
      <c r="AE390" s="20"/>
      <c r="AF390" s="24">
        <f ca="1">IFERROR(__xludf.DUMMYFUNCTION("""COMPUTED_VALUE"""),2700)</f>
        <v>2700</v>
      </c>
      <c r="AG390" s="24">
        <f ca="1">IFERROR(__xludf.DUMMYFUNCTION("""COMPUTED_VALUE"""),0)</f>
        <v>0</v>
      </c>
      <c r="AH390" s="24">
        <f ca="1">IFERROR(__xludf.DUMMYFUNCTION("""COMPUTED_VALUE"""),0)</f>
        <v>0</v>
      </c>
      <c r="AI390" s="24">
        <f ca="1">IFERROR(__xludf.DUMMYFUNCTION("""COMPUTED_VALUE"""),2473.2)</f>
        <v>2473.1999999999998</v>
      </c>
      <c r="AJ390" s="24">
        <f ca="1">IFERROR(__xludf.DUMMYFUNCTION("""COMPUTED_VALUE"""),226.8)</f>
        <v>226.8</v>
      </c>
      <c r="AK390" s="24">
        <f ca="1">IFERROR(__xludf.DUMMYFUNCTION("""COMPUTED_VALUE"""),0)</f>
        <v>0</v>
      </c>
      <c r="AL390" s="24">
        <f ca="1">IFERROR(__xludf.DUMMYFUNCTION("""COMPUTED_VALUE"""),0)</f>
        <v>0</v>
      </c>
      <c r="AM390" s="20"/>
      <c r="AN390" s="20"/>
      <c r="AO390" s="20"/>
      <c r="AP390" s="20"/>
      <c r="AQ390" s="20"/>
      <c r="AR390" s="24">
        <f ca="1">IFERROR(__xludf.DUMMYFUNCTION("""COMPUTED_VALUE"""),0)</f>
        <v>0</v>
      </c>
      <c r="AS390" s="20"/>
      <c r="AT390" s="20"/>
      <c r="AU390" s="20"/>
      <c r="AV390" s="20"/>
      <c r="AW390" s="20"/>
      <c r="AX390" s="24">
        <f ca="1">IFERROR(__xludf.DUMMYFUNCTION("""COMPUTED_VALUE"""),500)</f>
        <v>500</v>
      </c>
      <c r="AY390" s="24">
        <f ca="1">IFERROR(__xludf.DUMMYFUNCTION("""COMPUTED_VALUE"""),0)</f>
        <v>0</v>
      </c>
      <c r="AZ390" s="24">
        <f ca="1">IFERROR(__xludf.DUMMYFUNCTION("""COMPUTED_VALUE"""),0)</f>
        <v>0</v>
      </c>
      <c r="BA390" s="24">
        <f ca="1">IFERROR(__xludf.DUMMYFUNCTION("""COMPUTED_VALUE"""),458)</f>
        <v>458</v>
      </c>
      <c r="BB390" s="24">
        <f ca="1">IFERROR(__xludf.DUMMYFUNCTION("""COMPUTED_VALUE"""),42)</f>
        <v>42</v>
      </c>
      <c r="BC390" s="20"/>
      <c r="BD390" s="24">
        <f ca="1">IFERROR(__xludf.DUMMYFUNCTION("""COMPUTED_VALUE"""),2200)</f>
        <v>2200</v>
      </c>
      <c r="BE390" s="24">
        <f ca="1">IFERROR(__xludf.DUMMYFUNCTION("""COMPUTED_VALUE"""),0)</f>
        <v>0</v>
      </c>
      <c r="BF390" s="24">
        <f ca="1">IFERROR(__xludf.DUMMYFUNCTION("""COMPUTED_VALUE"""),0)</f>
        <v>0</v>
      </c>
      <c r="BG390" s="24">
        <f ca="1">IFERROR(__xludf.DUMMYFUNCTION("""COMPUTED_VALUE"""),2015.2)</f>
        <v>2015.2</v>
      </c>
      <c r="BH390" s="24">
        <f ca="1">IFERROR(__xludf.DUMMYFUNCTION("""COMPUTED_VALUE"""),184.8)</f>
        <v>184.8</v>
      </c>
      <c r="BI390" s="20"/>
      <c r="BJ390" s="24">
        <f ca="1">IFERROR(__xludf.DUMMYFUNCTION("""COMPUTED_VALUE"""),0)</f>
        <v>0</v>
      </c>
      <c r="BK390" s="24">
        <f ca="1">IFERROR(__xludf.DUMMYFUNCTION("""COMPUTED_VALUE"""),0)</f>
        <v>0</v>
      </c>
      <c r="BL390" s="24">
        <f ca="1">IFERROR(__xludf.DUMMYFUNCTION("""COMPUTED_VALUE"""),0)</f>
        <v>0</v>
      </c>
      <c r="BM390" s="24">
        <f ca="1">IFERROR(__xludf.DUMMYFUNCTION("""COMPUTED_VALUE"""),0)</f>
        <v>0</v>
      </c>
      <c r="BN390" s="24">
        <f ca="1">IFERROR(__xludf.DUMMYFUNCTION("""COMPUTED_VALUE"""),0)</f>
        <v>0</v>
      </c>
      <c r="BO390" s="20"/>
      <c r="BP390" s="24">
        <f ca="1">IFERROR(__xludf.DUMMYFUNCTION("""COMPUTED_VALUE"""),0)</f>
        <v>0</v>
      </c>
      <c r="BQ390" s="24">
        <f ca="1">IFERROR(__xludf.DUMMYFUNCTION("""COMPUTED_VALUE"""),0)</f>
        <v>0</v>
      </c>
      <c r="BR390" s="24">
        <f ca="1">IFERROR(__xludf.DUMMYFUNCTION("""COMPUTED_VALUE"""),0)</f>
        <v>0</v>
      </c>
      <c r="BS390" s="24">
        <f ca="1">IFERROR(__xludf.DUMMYFUNCTION("""COMPUTED_VALUE"""),0)</f>
        <v>0</v>
      </c>
      <c r="BT390" s="24">
        <f ca="1">IFERROR(__xludf.DUMMYFUNCTION("""COMPUTED_VALUE"""),0)</f>
        <v>0</v>
      </c>
      <c r="BU390" s="20"/>
      <c r="BV390" s="24">
        <f ca="1">IFERROR(__xludf.DUMMYFUNCTION("""COMPUTED_VALUE"""),0)</f>
        <v>0</v>
      </c>
      <c r="BW390" s="24">
        <f ca="1">IFERROR(__xludf.DUMMYFUNCTION("""COMPUTED_VALUE"""),0)</f>
        <v>0</v>
      </c>
      <c r="BX390" s="24">
        <f ca="1">IFERROR(__xludf.DUMMYFUNCTION("""COMPUTED_VALUE"""),0)</f>
        <v>0</v>
      </c>
      <c r="BY390" s="24">
        <f ca="1">IFERROR(__xludf.DUMMYFUNCTION("""COMPUTED_VALUE"""),0)</f>
        <v>0</v>
      </c>
      <c r="BZ390" s="24">
        <f ca="1">IFERROR(__xludf.DUMMYFUNCTION("""COMPUTED_VALUE"""),0)</f>
        <v>0</v>
      </c>
      <c r="CA390" s="20"/>
      <c r="CB390" s="20"/>
      <c r="CC390" s="20"/>
      <c r="CD390" s="20"/>
      <c r="CE390" s="20"/>
      <c r="CF390" s="20"/>
      <c r="CG390" s="20"/>
      <c r="CH390" s="20"/>
      <c r="CI390" s="20"/>
      <c r="CJ390" s="20"/>
      <c r="CK390" s="20"/>
      <c r="CL390" s="20"/>
      <c r="CM390" s="26">
        <f ca="1">IFERROR(__xludf.DUMMYFUNCTION("""COMPUTED_VALUE"""),43951)</f>
        <v>43951</v>
      </c>
      <c r="CN390" s="20" t="str">
        <f ca="1">IFERROR(__xludf.DUMMYFUNCTION("""COMPUTED_VALUE"""),"0848300060020000049")</f>
        <v>0848300060020000049</v>
      </c>
      <c r="CO390" s="26">
        <f ca="1">IFERROR(__xludf.DUMMYFUNCTION("""COMPUTED_VALUE"""),43997)</f>
        <v>43997</v>
      </c>
      <c r="CP390" s="20" t="str">
        <f ca="1">IFERROR(__xludf.DUMMYFUNCTION("""COMPUTED_VALUE"""),"08483000600200000490001")</f>
        <v>08483000600200000490001</v>
      </c>
      <c r="CQ390" s="20">
        <f ca="1">IFERROR(__xludf.DUMMYFUNCTION("""COMPUTED_VALUE"""),9339000)</f>
        <v>9339000</v>
      </c>
      <c r="CR390" s="20" t="str">
        <f ca="1">IFERROR(__xludf.DUMMYFUNCTION("""COMPUTED_VALUE"""),"АО ""Мособлгаз"" ""Восток""")</f>
        <v>АО "Мособлгаз" "Восток"</v>
      </c>
      <c r="CS390"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row>
    <row r="391" spans="1:123" ht="64.5" customHeight="1" x14ac:dyDescent="0.2">
      <c r="A391" s="19"/>
      <c r="B391" s="20" t="str">
        <f ca="1">IFERROR(__xludf.DUMMYFUNCTION("""COMPUTED_VALUE"""),"г.о. Шатура")</f>
        <v>г.о. Шатура</v>
      </c>
      <c r="C39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1" s="20" t="str">
        <f ca="1">IFERROR(__xludf.DUMMYFUNCTION("""COMPUTED_VALUE"""),"МинЖКХ ""ТОП 5 (1 этап)""")</f>
        <v>МинЖКХ "ТОП 5 (1 этап)"</v>
      </c>
      <c r="E391" s="20" t="str">
        <f ca="1">IFERROR(__xludf.DUMMYFUNCTION("""COMPUTED_VALUE"""),"Модернизация (реконструкция) дизельной котельной (перевод на газ) п. Мещерский Бор (в т.ч. ПИР, ТП) г.о. Шатура")</f>
        <v>Модернизация (реконструкция) дизельной котельной (перевод на газ) п. Мещерский Бор (в т.ч. ПИР, ТП) г.о. Шатура</v>
      </c>
      <c r="F391" s="32" t="str">
        <f ca="1">IFERROR(__xludf.DUMMYFUNCTION("""COMPUTED_VALUE"""),"Котельная")</f>
        <v>Котельная</v>
      </c>
      <c r="G391" s="20" t="str">
        <f ca="1">IFERROR(__xludf.DUMMYFUNCTION("""COMPUTED_VALUE"""),"2020-2021")</f>
        <v>2020-2021</v>
      </c>
      <c r="H391" s="20" t="str">
        <f ca="1">IFERROR(__xludf.DUMMYFUNCTION("""COMPUTED_VALUE"""),"СМР")</f>
        <v>СМР</v>
      </c>
      <c r="I391" s="20"/>
      <c r="J391" s="20" t="str">
        <f ca="1">IFERROR(__xludf.DUMMYFUNCTION("""COMPUTED_VALUE"""),"Находится в МОГЭ. Предварительная дата выхода 03.12.2020")</f>
        <v>Находится в МОГЭ. Предварительная дата выхода 03.12.2020</v>
      </c>
      <c r="K391" s="20">
        <f ca="1">IFERROR(__xludf.DUMMYFUNCTION("""COMPUTED_VALUE"""),273)</f>
        <v>273</v>
      </c>
      <c r="L391" s="20">
        <f ca="1">IFERROR(__xludf.DUMMYFUNCTION("""COMPUTED_VALUE"""),273)</f>
        <v>273</v>
      </c>
      <c r="M391" s="20"/>
      <c r="N391" s="24">
        <f ca="1">IFERROR(__xludf.DUMMYFUNCTION("""COMPUTED_VALUE"""),621.81)</f>
        <v>621.80999999999995</v>
      </c>
      <c r="O391" s="20"/>
      <c r="P391" s="24">
        <f ca="1">IFERROR(__xludf.DUMMYFUNCTION("""COMPUTED_VALUE"""),0)</f>
        <v>0</v>
      </c>
      <c r="Q391" s="20">
        <f ca="1">IFERROR(__xludf.DUMMYFUNCTION("""COMPUTED_VALUE"""),621.81)</f>
        <v>621.80999999999995</v>
      </c>
      <c r="R391" s="20"/>
      <c r="S391" s="20"/>
      <c r="T391" s="20" t="str">
        <f ca="1">IFERROR(__xludf.DUMMYFUNCTION("""COMPUTED_VALUE"""),"""Выход из МОГЭ 03.12.2020 с увелечением лимитов на 5 891,49 тыс. руб. Сделан монтаж фундамента под котлы. Котлы закуплены и находятся на территории  районной эксплуатационной службе филиала МОСОБЛГАЗ.
""")</f>
        <v>"Выход из МОГЭ 03.12.2020 с увелечением лимитов на 5 891,49 тыс. руб. Сделан монтаж фундамента под котлы. Котлы закуплены и находятся на территории  районной эксплуатационной службе филиала МОСОБЛГАЗ.
"</v>
      </c>
      <c r="U391" s="24">
        <f ca="1">IFERROR(__xludf.DUMMYFUNCTION("""COMPUTED_VALUE"""),3978.19)</f>
        <v>3978.19</v>
      </c>
      <c r="V391" s="24">
        <f ca="1">IFERROR(__xludf.DUMMYFUNCTION("""COMPUTED_VALUE"""),0)</f>
        <v>0</v>
      </c>
      <c r="W391" s="24">
        <f ca="1">IFERROR(__xludf.DUMMYFUNCTION("""COMPUTED_VALUE"""),0)</f>
        <v>0</v>
      </c>
      <c r="X391" s="24">
        <f ca="1">IFERROR(__xludf.DUMMYFUNCTION("""COMPUTED_VALUE"""),3591.79)</f>
        <v>3591.79</v>
      </c>
      <c r="Y391" s="24">
        <f ca="1">IFERROR(__xludf.DUMMYFUNCTION("""COMPUTED_VALUE"""),386.4)</f>
        <v>386.4</v>
      </c>
      <c r="Z391" s="24">
        <f ca="1">IFERROR(__xludf.DUMMYFUNCTION("""COMPUTED_VALUE"""),0)</f>
        <v>0</v>
      </c>
      <c r="AA391" s="20" t="str">
        <f ca="1">IFERROR(__xludf.DUMMYFUNCTION("""COMPUTED_VALUE"""),"10 3 02 64080")</f>
        <v>10 3 02 64080</v>
      </c>
      <c r="AB391" s="20">
        <f ca="1">IFERROR(__xludf.DUMMYFUNCTION("""COMPUTED_VALUE"""),522)</f>
        <v>522</v>
      </c>
      <c r="AC391" s="20"/>
      <c r="AD391" s="20"/>
      <c r="AE391" s="20"/>
      <c r="AF391" s="24">
        <f ca="1">IFERROR(__xludf.DUMMYFUNCTION("""COMPUTED_VALUE"""),9200)</f>
        <v>9200</v>
      </c>
      <c r="AG391" s="24">
        <f ca="1">IFERROR(__xludf.DUMMYFUNCTION("""COMPUTED_VALUE"""),0)</f>
        <v>0</v>
      </c>
      <c r="AH391" s="24">
        <f ca="1">IFERROR(__xludf.DUMMYFUNCTION("""COMPUTED_VALUE"""),4213.6)</f>
        <v>4213.6000000000004</v>
      </c>
      <c r="AI391" s="24">
        <f ca="1">IFERROR(__xludf.DUMMYFUNCTION("""COMPUTED_VALUE"""),4213.6)</f>
        <v>4213.6000000000004</v>
      </c>
      <c r="AJ391" s="24">
        <f ca="1">IFERROR(__xludf.DUMMYFUNCTION("""COMPUTED_VALUE"""),772.8)</f>
        <v>772.8</v>
      </c>
      <c r="AK391" s="24">
        <f ca="1">IFERROR(__xludf.DUMMYFUNCTION("""COMPUTED_VALUE"""),0)</f>
        <v>0</v>
      </c>
      <c r="AL391" s="24">
        <f ca="1">IFERROR(__xludf.DUMMYFUNCTION("""COMPUTED_VALUE"""),0)</f>
        <v>0</v>
      </c>
      <c r="AM391" s="20"/>
      <c r="AN391" s="20"/>
      <c r="AO391" s="20"/>
      <c r="AP391" s="20"/>
      <c r="AQ391" s="20"/>
      <c r="AR391" s="24">
        <f ca="1">IFERROR(__xludf.DUMMYFUNCTION("""COMPUTED_VALUE"""),0)</f>
        <v>0</v>
      </c>
      <c r="AS391" s="20"/>
      <c r="AT391" s="20"/>
      <c r="AU391" s="20"/>
      <c r="AV391" s="20"/>
      <c r="AW391" s="20"/>
      <c r="AX391" s="24">
        <f ca="1">IFERROR(__xludf.DUMMYFUNCTION("""COMPUTED_VALUE"""),4600)</f>
        <v>4600</v>
      </c>
      <c r="AY391" s="24">
        <f ca="1">IFERROR(__xludf.DUMMYFUNCTION("""COMPUTED_VALUE"""),0)</f>
        <v>0</v>
      </c>
      <c r="AZ391" s="24">
        <f ca="1">IFERROR(__xludf.DUMMYFUNCTION("""COMPUTED_VALUE"""),0)</f>
        <v>0</v>
      </c>
      <c r="BA391" s="24">
        <f ca="1">IFERROR(__xludf.DUMMYFUNCTION("""COMPUTED_VALUE"""),4213.6)</f>
        <v>4213.6000000000004</v>
      </c>
      <c r="BB391" s="24">
        <f ca="1">IFERROR(__xludf.DUMMYFUNCTION("""COMPUTED_VALUE"""),386.4)</f>
        <v>386.4</v>
      </c>
      <c r="BC391" s="20"/>
      <c r="BD391" s="24">
        <f ca="1">IFERROR(__xludf.DUMMYFUNCTION("""COMPUTED_VALUE"""),4600)</f>
        <v>4600</v>
      </c>
      <c r="BE391" s="24">
        <f ca="1">IFERROR(__xludf.DUMMYFUNCTION("""COMPUTED_VALUE"""),0)</f>
        <v>0</v>
      </c>
      <c r="BF391" s="24">
        <f ca="1">IFERROR(__xludf.DUMMYFUNCTION("""COMPUTED_VALUE"""),4213.6)</f>
        <v>4213.6000000000004</v>
      </c>
      <c r="BG391" s="24">
        <f ca="1">IFERROR(__xludf.DUMMYFUNCTION("""COMPUTED_VALUE"""),0)</f>
        <v>0</v>
      </c>
      <c r="BH391" s="24">
        <f ca="1">IFERROR(__xludf.DUMMYFUNCTION("""COMPUTED_VALUE"""),386.4)</f>
        <v>386.4</v>
      </c>
      <c r="BI391" s="20"/>
      <c r="BJ391" s="24">
        <f ca="1">IFERROR(__xludf.DUMMYFUNCTION("""COMPUTED_VALUE"""),0)</f>
        <v>0</v>
      </c>
      <c r="BK391" s="24">
        <f ca="1">IFERROR(__xludf.DUMMYFUNCTION("""COMPUTED_VALUE"""),0)</f>
        <v>0</v>
      </c>
      <c r="BL391" s="24">
        <f ca="1">IFERROR(__xludf.DUMMYFUNCTION("""COMPUTED_VALUE"""),0)</f>
        <v>0</v>
      </c>
      <c r="BM391" s="24">
        <f ca="1">IFERROR(__xludf.DUMMYFUNCTION("""COMPUTED_VALUE"""),0)</f>
        <v>0</v>
      </c>
      <c r="BN391" s="24">
        <f ca="1">IFERROR(__xludf.DUMMYFUNCTION("""COMPUTED_VALUE"""),0)</f>
        <v>0</v>
      </c>
      <c r="BO391" s="20"/>
      <c r="BP391" s="24">
        <f ca="1">IFERROR(__xludf.DUMMYFUNCTION("""COMPUTED_VALUE"""),0)</f>
        <v>0</v>
      </c>
      <c r="BQ391" s="24">
        <f ca="1">IFERROR(__xludf.DUMMYFUNCTION("""COMPUTED_VALUE"""),0)</f>
        <v>0</v>
      </c>
      <c r="BR391" s="24">
        <f ca="1">IFERROR(__xludf.DUMMYFUNCTION("""COMPUTED_VALUE"""),0)</f>
        <v>0</v>
      </c>
      <c r="BS391" s="24">
        <f ca="1">IFERROR(__xludf.DUMMYFUNCTION("""COMPUTED_VALUE"""),0)</f>
        <v>0</v>
      </c>
      <c r="BT391" s="24">
        <f ca="1">IFERROR(__xludf.DUMMYFUNCTION("""COMPUTED_VALUE"""),0)</f>
        <v>0</v>
      </c>
      <c r="BU391" s="20"/>
      <c r="BV391" s="24">
        <f ca="1">IFERROR(__xludf.DUMMYFUNCTION("""COMPUTED_VALUE"""),0)</f>
        <v>0</v>
      </c>
      <c r="BW391" s="24">
        <f ca="1">IFERROR(__xludf.DUMMYFUNCTION("""COMPUTED_VALUE"""),0)</f>
        <v>0</v>
      </c>
      <c r="BX391" s="24">
        <f ca="1">IFERROR(__xludf.DUMMYFUNCTION("""COMPUTED_VALUE"""),0)</f>
        <v>0</v>
      </c>
      <c r="BY391" s="24">
        <f ca="1">IFERROR(__xludf.DUMMYFUNCTION("""COMPUTED_VALUE"""),0)</f>
        <v>0</v>
      </c>
      <c r="BZ391" s="24">
        <f ca="1">IFERROR(__xludf.DUMMYFUNCTION("""COMPUTED_VALUE"""),0)</f>
        <v>0</v>
      </c>
      <c r="CA391" s="20"/>
      <c r="CB391" s="20"/>
      <c r="CC391" s="20"/>
      <c r="CD391" s="20"/>
      <c r="CE391" s="20"/>
      <c r="CF391" s="20"/>
      <c r="CG391" s="20"/>
      <c r="CH391" s="20"/>
      <c r="CI391" s="20"/>
      <c r="CJ391" s="20"/>
      <c r="CK391" s="20"/>
      <c r="CL391" s="20"/>
      <c r="CM391" s="26">
        <f ca="1">IFERROR(__xludf.DUMMYFUNCTION("""COMPUTED_VALUE"""),43951)</f>
        <v>43951</v>
      </c>
      <c r="CN391" s="20" t="str">
        <f ca="1">IFERROR(__xludf.DUMMYFUNCTION("""COMPUTED_VALUE"""),"0848300060020000049")</f>
        <v>0848300060020000049</v>
      </c>
      <c r="CO391" s="26">
        <f ca="1">IFERROR(__xludf.DUMMYFUNCTION("""COMPUTED_VALUE"""),43997)</f>
        <v>43997</v>
      </c>
      <c r="CP391" s="20" t="str">
        <f ca="1">IFERROR(__xludf.DUMMYFUNCTION("""COMPUTED_VALUE"""),"08483000600200000490001")</f>
        <v>08483000600200000490001</v>
      </c>
      <c r="CQ391" s="20">
        <f ca="1">IFERROR(__xludf.DUMMYFUNCTION("""COMPUTED_VALUE"""),9339000)</f>
        <v>9339000</v>
      </c>
      <c r="CR391" s="20" t="str">
        <f ca="1">IFERROR(__xludf.DUMMYFUNCTION("""COMPUTED_VALUE"""),"АО ""Мособлгаз"" ""Восток""")</f>
        <v>АО "Мособлгаз" "Восток"</v>
      </c>
      <c r="CS391"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row>
    <row r="392" spans="1:123" ht="64.5" customHeight="1" x14ac:dyDescent="0.2">
      <c r="A392" s="19"/>
      <c r="B392" s="20" t="str">
        <f ca="1">IFERROR(__xludf.DUMMYFUNCTION("""COMPUTED_VALUE"""),"г.о. Шатура")</f>
        <v>г.о. Шатура</v>
      </c>
      <c r="C39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2" s="20" t="str">
        <f ca="1">IFERROR(__xludf.DUMMYFUNCTION("""COMPUTED_VALUE"""),"МинЖКХ ""ТОП 5 (1 этап)""")</f>
        <v>МинЖКХ "ТОП 5 (1 этап)"</v>
      </c>
      <c r="E392" s="20" t="str">
        <f ca="1">IFERROR(__xludf.DUMMYFUNCTION("""COMPUTED_VALUE"""),"Модернизация (реконструкция) котельной на электрокотлах (перевод на газ) д. Новосидориха (в т.ч. ПИР, ТП) г.о. Шатура")</f>
        <v>Модернизация (реконструкция) котельной на электрокотлах (перевод на газ) д. Новосидориха (в т.ч. ПИР, ТП) г.о. Шатура</v>
      </c>
      <c r="F392" s="32" t="str">
        <f ca="1">IFERROR(__xludf.DUMMYFUNCTION("""COMPUTED_VALUE"""),"Котельная")</f>
        <v>Котельная</v>
      </c>
      <c r="G392" s="20" t="str">
        <f ca="1">IFERROR(__xludf.DUMMYFUNCTION("""COMPUTED_VALUE"""),"2020-2021")</f>
        <v>2020-2021</v>
      </c>
      <c r="H392" s="20" t="str">
        <f ca="1">IFERROR(__xludf.DUMMYFUNCTION("""COMPUTED_VALUE"""),"СМР")</f>
        <v>СМР</v>
      </c>
      <c r="I392" s="20"/>
      <c r="J392" s="20" t="str">
        <f ca="1">IFERROR(__xludf.DUMMYFUNCTION("""COMPUTED_VALUE"""),"Находится в МОГЭ. Предварительная дата выхода03.12.2020")</f>
        <v>Находится в МОГЭ. Предварительная дата выхода03.12.2020</v>
      </c>
      <c r="K392" s="20" t="str">
        <f ca="1">IFERROR(__xludf.DUMMYFUNCTION("""COMPUTED_VALUE"""),"0(школа)")</f>
        <v>0(школа)</v>
      </c>
      <c r="L392" s="20" t="str">
        <f ca="1">IFERROR(__xludf.DUMMYFUNCTION("""COMPUTED_VALUE"""),"0(школа)")</f>
        <v>0(школа)</v>
      </c>
      <c r="M392" s="20"/>
      <c r="N392" s="24">
        <f ca="1">IFERROR(__xludf.DUMMYFUNCTION("""COMPUTED_VALUE"""),609.78)</f>
        <v>609.78</v>
      </c>
      <c r="O392" s="20"/>
      <c r="P392" s="24">
        <f ca="1">IFERROR(__xludf.DUMMYFUNCTION("""COMPUTED_VALUE"""),0)</f>
        <v>0</v>
      </c>
      <c r="Q392" s="20">
        <f ca="1">IFERROR(__xludf.DUMMYFUNCTION("""COMPUTED_VALUE"""),609.78)</f>
        <v>609.78</v>
      </c>
      <c r="R392" s="20"/>
      <c r="S392" s="20"/>
      <c r="T392" s="20" t="str">
        <f ca="1">IFERROR(__xludf.DUMMYFUNCTION("""COMPUTED_VALUE"""),"""Выход из МОГЭ 03.12.2020 с увелечением лимитов на 3 555,99 тыс. руб. Сделан монтаж фундамента под котлы. Котлы закуплены и находятся на территории  районной эксплуатационной службе филиала МОСОБЛГАЗ.
""")</f>
        <v>"Выход из МОГЭ 03.12.2020 с увелечением лимитов на 3 555,99 тыс. руб. Сделан монтаж фундамента под котлы. Котлы закуплены и находятся на территории  районной эксплуатационной службе филиала МОСОБЛГАЗ.
"</v>
      </c>
      <c r="U392" s="24">
        <f ca="1">IFERROR(__xludf.DUMMYFUNCTION("""COMPUTED_VALUE"""),1240.22)</f>
        <v>1240.22</v>
      </c>
      <c r="V392" s="24">
        <f ca="1">IFERROR(__xludf.DUMMYFUNCTION("""COMPUTED_VALUE"""),0)</f>
        <v>0</v>
      </c>
      <c r="W392" s="24">
        <f ca="1">IFERROR(__xludf.DUMMYFUNCTION("""COMPUTED_VALUE"""),0)</f>
        <v>0</v>
      </c>
      <c r="X392" s="24">
        <f ca="1">IFERROR(__xludf.DUMMYFUNCTION("""COMPUTED_VALUE"""),1084.82)</f>
        <v>1084.82</v>
      </c>
      <c r="Y392" s="24">
        <f ca="1">IFERROR(__xludf.DUMMYFUNCTION("""COMPUTED_VALUE"""),155.4)</f>
        <v>155.4</v>
      </c>
      <c r="Z392" s="24">
        <f ca="1">IFERROR(__xludf.DUMMYFUNCTION("""COMPUTED_VALUE"""),0)</f>
        <v>0</v>
      </c>
      <c r="AA392" s="20" t="str">
        <f ca="1">IFERROR(__xludf.DUMMYFUNCTION("""COMPUTED_VALUE"""),"10 3 02 64080")</f>
        <v>10 3 02 64080</v>
      </c>
      <c r="AB392" s="20">
        <f ca="1">IFERROR(__xludf.DUMMYFUNCTION("""COMPUTED_VALUE"""),522)</f>
        <v>522</v>
      </c>
      <c r="AC392" s="20"/>
      <c r="AD392" s="20"/>
      <c r="AE392" s="20"/>
      <c r="AF392" s="24">
        <f ca="1">IFERROR(__xludf.DUMMYFUNCTION("""COMPUTED_VALUE"""),3700)</f>
        <v>3700</v>
      </c>
      <c r="AG392" s="24">
        <f ca="1">IFERROR(__xludf.DUMMYFUNCTION("""COMPUTED_VALUE"""),0)</f>
        <v>0</v>
      </c>
      <c r="AH392" s="24">
        <f ca="1">IFERROR(__xludf.DUMMYFUNCTION("""COMPUTED_VALUE"""),1694.6)</f>
        <v>1694.6</v>
      </c>
      <c r="AI392" s="24">
        <f ca="1">IFERROR(__xludf.DUMMYFUNCTION("""COMPUTED_VALUE"""),1694.6)</f>
        <v>1694.6</v>
      </c>
      <c r="AJ392" s="24">
        <f ca="1">IFERROR(__xludf.DUMMYFUNCTION("""COMPUTED_VALUE"""),310.8)</f>
        <v>310.8</v>
      </c>
      <c r="AK392" s="24">
        <f ca="1">IFERROR(__xludf.DUMMYFUNCTION("""COMPUTED_VALUE"""),0)</f>
        <v>0</v>
      </c>
      <c r="AL392" s="24">
        <f ca="1">IFERROR(__xludf.DUMMYFUNCTION("""COMPUTED_VALUE"""),0)</f>
        <v>0</v>
      </c>
      <c r="AM392" s="20"/>
      <c r="AN392" s="20"/>
      <c r="AO392" s="20"/>
      <c r="AP392" s="20"/>
      <c r="AQ392" s="20"/>
      <c r="AR392" s="24">
        <f ca="1">IFERROR(__xludf.DUMMYFUNCTION("""COMPUTED_VALUE"""),0)</f>
        <v>0</v>
      </c>
      <c r="AS392" s="20"/>
      <c r="AT392" s="20"/>
      <c r="AU392" s="20"/>
      <c r="AV392" s="20"/>
      <c r="AW392" s="20"/>
      <c r="AX392" s="24">
        <f ca="1">IFERROR(__xludf.DUMMYFUNCTION("""COMPUTED_VALUE"""),1850)</f>
        <v>1850</v>
      </c>
      <c r="AY392" s="24">
        <f ca="1">IFERROR(__xludf.DUMMYFUNCTION("""COMPUTED_VALUE"""),0)</f>
        <v>0</v>
      </c>
      <c r="AZ392" s="24">
        <f ca="1">IFERROR(__xludf.DUMMYFUNCTION("""COMPUTED_VALUE"""),0)</f>
        <v>0</v>
      </c>
      <c r="BA392" s="24">
        <f ca="1">IFERROR(__xludf.DUMMYFUNCTION("""COMPUTED_VALUE"""),1694.6)</f>
        <v>1694.6</v>
      </c>
      <c r="BB392" s="24">
        <f ca="1">IFERROR(__xludf.DUMMYFUNCTION("""COMPUTED_VALUE"""),155.4)</f>
        <v>155.4</v>
      </c>
      <c r="BC392" s="20"/>
      <c r="BD392" s="24">
        <f ca="1">IFERROR(__xludf.DUMMYFUNCTION("""COMPUTED_VALUE"""),1850)</f>
        <v>1850</v>
      </c>
      <c r="BE392" s="24">
        <f ca="1">IFERROR(__xludf.DUMMYFUNCTION("""COMPUTED_VALUE"""),0)</f>
        <v>0</v>
      </c>
      <c r="BF392" s="24">
        <f ca="1">IFERROR(__xludf.DUMMYFUNCTION("""COMPUTED_VALUE"""),1694.6)</f>
        <v>1694.6</v>
      </c>
      <c r="BG392" s="24">
        <f ca="1">IFERROR(__xludf.DUMMYFUNCTION("""COMPUTED_VALUE"""),0)</f>
        <v>0</v>
      </c>
      <c r="BH392" s="24">
        <f ca="1">IFERROR(__xludf.DUMMYFUNCTION("""COMPUTED_VALUE"""),155.4)</f>
        <v>155.4</v>
      </c>
      <c r="BI392" s="20"/>
      <c r="BJ392" s="24">
        <f ca="1">IFERROR(__xludf.DUMMYFUNCTION("""COMPUTED_VALUE"""),0)</f>
        <v>0</v>
      </c>
      <c r="BK392" s="24">
        <f ca="1">IFERROR(__xludf.DUMMYFUNCTION("""COMPUTED_VALUE"""),0)</f>
        <v>0</v>
      </c>
      <c r="BL392" s="24">
        <f ca="1">IFERROR(__xludf.DUMMYFUNCTION("""COMPUTED_VALUE"""),0)</f>
        <v>0</v>
      </c>
      <c r="BM392" s="24">
        <f ca="1">IFERROR(__xludf.DUMMYFUNCTION("""COMPUTED_VALUE"""),0)</f>
        <v>0</v>
      </c>
      <c r="BN392" s="24">
        <f ca="1">IFERROR(__xludf.DUMMYFUNCTION("""COMPUTED_VALUE"""),0)</f>
        <v>0</v>
      </c>
      <c r="BO392" s="20"/>
      <c r="BP392" s="24">
        <f ca="1">IFERROR(__xludf.DUMMYFUNCTION("""COMPUTED_VALUE"""),0)</f>
        <v>0</v>
      </c>
      <c r="BQ392" s="24">
        <f ca="1">IFERROR(__xludf.DUMMYFUNCTION("""COMPUTED_VALUE"""),0)</f>
        <v>0</v>
      </c>
      <c r="BR392" s="24">
        <f ca="1">IFERROR(__xludf.DUMMYFUNCTION("""COMPUTED_VALUE"""),0)</f>
        <v>0</v>
      </c>
      <c r="BS392" s="24">
        <f ca="1">IFERROR(__xludf.DUMMYFUNCTION("""COMPUTED_VALUE"""),0)</f>
        <v>0</v>
      </c>
      <c r="BT392" s="24">
        <f ca="1">IFERROR(__xludf.DUMMYFUNCTION("""COMPUTED_VALUE"""),0)</f>
        <v>0</v>
      </c>
      <c r="BU392" s="20"/>
      <c r="BV392" s="24">
        <f ca="1">IFERROR(__xludf.DUMMYFUNCTION("""COMPUTED_VALUE"""),0)</f>
        <v>0</v>
      </c>
      <c r="BW392" s="24">
        <f ca="1">IFERROR(__xludf.DUMMYFUNCTION("""COMPUTED_VALUE"""),0)</f>
        <v>0</v>
      </c>
      <c r="BX392" s="24">
        <f ca="1">IFERROR(__xludf.DUMMYFUNCTION("""COMPUTED_VALUE"""),0)</f>
        <v>0</v>
      </c>
      <c r="BY392" s="24">
        <f ca="1">IFERROR(__xludf.DUMMYFUNCTION("""COMPUTED_VALUE"""),0)</f>
        <v>0</v>
      </c>
      <c r="BZ392" s="24">
        <f ca="1">IFERROR(__xludf.DUMMYFUNCTION("""COMPUTED_VALUE"""),0)</f>
        <v>0</v>
      </c>
      <c r="CA392" s="20"/>
      <c r="CB392" s="20" t="str">
        <f ca="1">IFERROR(__xludf.DUMMYFUNCTION("""COMPUTED_VALUE"""),"заключен")</f>
        <v>заключен</v>
      </c>
      <c r="CC392" s="26">
        <f ca="1">IFERROR(__xludf.DUMMYFUNCTION("""COMPUTED_VALUE"""),43951)</f>
        <v>43951</v>
      </c>
      <c r="CD392" s="20" t="str">
        <f ca="1">IFERROR(__xludf.DUMMYFUNCTION("""COMPUTED_VALUE"""),"0848300060020000049")</f>
        <v>0848300060020000049</v>
      </c>
      <c r="CE392" s="26">
        <f ca="1">IFERROR(__xludf.DUMMYFUNCTION("""COMPUTED_VALUE"""),43997)</f>
        <v>43997</v>
      </c>
      <c r="CF392" s="20" t="str">
        <f ca="1">IFERROR(__xludf.DUMMYFUNCTION("""COMPUTED_VALUE"""),"08483000600200000490001")</f>
        <v>08483000600200000490001</v>
      </c>
      <c r="CG392" s="20" t="str">
        <f ca="1">IFERROR(__xludf.DUMMYFUNCTION("""COMPUTED_VALUE"""),"9 339 000,00")</f>
        <v>9 339 000,00</v>
      </c>
      <c r="CH392" s="20" t="str">
        <f ca="1">IFERROR(__xludf.DUMMYFUNCTION("""COMPUTED_VALUE"""),"АО ""Мособлгаз"" ""Восток""")</f>
        <v>АО "Мособлгаз" "Восток"</v>
      </c>
      <c r="CI392"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J392" s="20"/>
      <c r="CK392" s="20"/>
      <c r="CL392" s="20"/>
      <c r="CM392" s="20"/>
      <c r="CN392" s="20"/>
      <c r="CO392" s="20"/>
      <c r="CP392" s="20"/>
      <c r="CQ392" s="20"/>
      <c r="CR392" s="20"/>
      <c r="CS392" s="20"/>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row>
    <row r="393" spans="1:123" ht="64.5" customHeight="1" x14ac:dyDescent="0.2">
      <c r="A393" s="19"/>
      <c r="B393" s="20" t="str">
        <f ca="1">IFERROR(__xludf.DUMMYFUNCTION("""COMPUTED_VALUE"""),"г.о. Шатура")</f>
        <v>г.о. Шатура</v>
      </c>
      <c r="C39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3" s="20" t="str">
        <f ca="1">IFERROR(__xludf.DUMMYFUNCTION("""COMPUTED_VALUE"""),"МинЖКХ ""ТОП 5 (1 этап)""")</f>
        <v>МинЖКХ "ТОП 5 (1 этап)"</v>
      </c>
      <c r="E393" s="20" t="str">
        <f ca="1">IFERROR(__xludf.DUMMYFUNCTION("""COMPUTED_VALUE"""),"Строительство газовой блочно-модульной котельной (БМК) пос. Санатория Озеро Белое (в т.ч. ПИР, ТП) г.о. Шатура")</f>
        <v>Строительство газовой блочно-модульной котельной (БМК) пос. Санатория Озеро Белое (в т.ч. ПИР, ТП) г.о. Шатура</v>
      </c>
      <c r="F393" s="32" t="str">
        <f ca="1">IFERROR(__xludf.DUMMYFUNCTION("""COMPUTED_VALUE"""),"БМК")</f>
        <v>БМК</v>
      </c>
      <c r="G393" s="20" t="str">
        <f ca="1">IFERROR(__xludf.DUMMYFUNCTION("""COMPUTED_VALUE"""),"2020-2021")</f>
        <v>2020-2021</v>
      </c>
      <c r="H393" s="20" t="str">
        <f ca="1">IFERROR(__xludf.DUMMYFUNCTION("""COMPUTED_VALUE"""),"СМР")</f>
        <v>СМР</v>
      </c>
      <c r="I393" s="20"/>
      <c r="J393" s="20" t="str">
        <f ca="1">IFERROR(__xludf.DUMMYFUNCTION("""COMPUTED_VALUE"""),"Находится в МОГЭ. Предварительная дата выхода 03.12.2020")</f>
        <v>Находится в МОГЭ. Предварительная дата выхода 03.12.2020</v>
      </c>
      <c r="K393" s="20">
        <f ca="1">IFERROR(__xludf.DUMMYFUNCTION("""COMPUTED_VALUE"""),0)</f>
        <v>0</v>
      </c>
      <c r="L393" s="20">
        <f ca="1">IFERROR(__xludf.DUMMYFUNCTION("""COMPUTED_VALUE"""),688)</f>
        <v>688</v>
      </c>
      <c r="M393" s="20"/>
      <c r="N393" s="24">
        <f ca="1">IFERROR(__xludf.DUMMYFUNCTION("""COMPUTED_VALUE"""),2235.13)</f>
        <v>2235.13</v>
      </c>
      <c r="O393" s="20"/>
      <c r="P393" s="24">
        <f ca="1">IFERROR(__xludf.DUMMYFUNCTION("""COMPUTED_VALUE"""),0)</f>
        <v>0</v>
      </c>
      <c r="Q393" s="20">
        <f ca="1">IFERROR(__xludf.DUMMYFUNCTION("""COMPUTED_VALUE"""),2235.13)</f>
        <v>2235.13</v>
      </c>
      <c r="R393" s="20"/>
      <c r="S393" s="20"/>
      <c r="T393" s="20"/>
      <c r="U393" s="24">
        <f ca="1">IFERROR(__xludf.DUMMYFUNCTION("""COMPUTED_VALUE"""),264.869999999999)</f>
        <v>264.86999999999898</v>
      </c>
      <c r="V393" s="24">
        <f ca="1">IFERROR(__xludf.DUMMYFUNCTION("""COMPUTED_VALUE"""),0)</f>
        <v>0</v>
      </c>
      <c r="W393" s="24">
        <f ca="1">IFERROR(__xludf.DUMMYFUNCTION("""COMPUTED_VALUE"""),0)</f>
        <v>0</v>
      </c>
      <c r="X393" s="24">
        <f ca="1">IFERROR(__xludf.DUMMYFUNCTION("""COMPUTED_VALUE"""),54.8699999999998)</f>
        <v>54.869999999999798</v>
      </c>
      <c r="Y393" s="24">
        <f ca="1">IFERROR(__xludf.DUMMYFUNCTION("""COMPUTED_VALUE"""),210)</f>
        <v>210</v>
      </c>
      <c r="Z393" s="24">
        <f ca="1">IFERROR(__xludf.DUMMYFUNCTION("""COMPUTED_VALUE"""),0)</f>
        <v>0</v>
      </c>
      <c r="AA393" s="20" t="str">
        <f ca="1">IFERROR(__xludf.DUMMYFUNCTION("""COMPUTED_VALUE"""),"10 3 02 64080")</f>
        <v>10 3 02 64080</v>
      </c>
      <c r="AB393" s="20">
        <f ca="1">IFERROR(__xludf.DUMMYFUNCTION("""COMPUTED_VALUE"""),522)</f>
        <v>522</v>
      </c>
      <c r="AC393" s="20"/>
      <c r="AD393" s="20"/>
      <c r="AE393" s="20"/>
      <c r="AF393" s="24">
        <f ca="1">IFERROR(__xludf.DUMMYFUNCTION("""COMPUTED_VALUE"""),28500)</f>
        <v>28500</v>
      </c>
      <c r="AG393" s="24">
        <f ca="1">IFERROR(__xludf.DUMMYFUNCTION("""COMPUTED_VALUE"""),0)</f>
        <v>0</v>
      </c>
      <c r="AH393" s="24">
        <f ca="1">IFERROR(__xludf.DUMMYFUNCTION("""COMPUTED_VALUE"""),0)</f>
        <v>0</v>
      </c>
      <c r="AI393" s="24">
        <f ca="1">IFERROR(__xludf.DUMMYFUNCTION("""COMPUTED_VALUE"""),26106)</f>
        <v>26106</v>
      </c>
      <c r="AJ393" s="24">
        <f ca="1">IFERROR(__xludf.DUMMYFUNCTION("""COMPUTED_VALUE"""),2394)</f>
        <v>2394</v>
      </c>
      <c r="AK393" s="24">
        <f ca="1">IFERROR(__xludf.DUMMYFUNCTION("""COMPUTED_VALUE"""),0)</f>
        <v>0</v>
      </c>
      <c r="AL393" s="24">
        <f ca="1">IFERROR(__xludf.DUMMYFUNCTION("""COMPUTED_VALUE"""),0)</f>
        <v>0</v>
      </c>
      <c r="AM393" s="20"/>
      <c r="AN393" s="20"/>
      <c r="AO393" s="20"/>
      <c r="AP393" s="20"/>
      <c r="AQ393" s="20"/>
      <c r="AR393" s="24">
        <f ca="1">IFERROR(__xludf.DUMMYFUNCTION("""COMPUTED_VALUE"""),0)</f>
        <v>0</v>
      </c>
      <c r="AS393" s="20"/>
      <c r="AT393" s="20"/>
      <c r="AU393" s="20"/>
      <c r="AV393" s="20"/>
      <c r="AW393" s="20"/>
      <c r="AX393" s="24">
        <f ca="1">IFERROR(__xludf.DUMMYFUNCTION("""COMPUTED_VALUE"""),2500)</f>
        <v>2500</v>
      </c>
      <c r="AY393" s="24">
        <f ca="1">IFERROR(__xludf.DUMMYFUNCTION("""COMPUTED_VALUE"""),0)</f>
        <v>0</v>
      </c>
      <c r="AZ393" s="24">
        <f ca="1">IFERROR(__xludf.DUMMYFUNCTION("""COMPUTED_VALUE"""),0)</f>
        <v>0</v>
      </c>
      <c r="BA393" s="24">
        <f ca="1">IFERROR(__xludf.DUMMYFUNCTION("""COMPUTED_VALUE"""),2290)</f>
        <v>2290</v>
      </c>
      <c r="BB393" s="24">
        <f ca="1">IFERROR(__xludf.DUMMYFUNCTION("""COMPUTED_VALUE"""),210)</f>
        <v>210</v>
      </c>
      <c r="BC393" s="20"/>
      <c r="BD393" s="24">
        <f ca="1">IFERROR(__xludf.DUMMYFUNCTION("""COMPUTED_VALUE"""),26000)</f>
        <v>26000</v>
      </c>
      <c r="BE393" s="24">
        <f ca="1">IFERROR(__xludf.DUMMYFUNCTION("""COMPUTED_VALUE"""),0)</f>
        <v>0</v>
      </c>
      <c r="BF393" s="24">
        <f ca="1">IFERROR(__xludf.DUMMYFUNCTION("""COMPUTED_VALUE"""),0)</f>
        <v>0</v>
      </c>
      <c r="BG393" s="24">
        <f ca="1">IFERROR(__xludf.DUMMYFUNCTION("""COMPUTED_VALUE"""),23816)</f>
        <v>23816</v>
      </c>
      <c r="BH393" s="24">
        <f ca="1">IFERROR(__xludf.DUMMYFUNCTION("""COMPUTED_VALUE"""),2184)</f>
        <v>2184</v>
      </c>
      <c r="BI393" s="20"/>
      <c r="BJ393" s="24">
        <f ca="1">IFERROR(__xludf.DUMMYFUNCTION("""COMPUTED_VALUE"""),0)</f>
        <v>0</v>
      </c>
      <c r="BK393" s="24">
        <f ca="1">IFERROR(__xludf.DUMMYFUNCTION("""COMPUTED_VALUE"""),0)</f>
        <v>0</v>
      </c>
      <c r="BL393" s="24">
        <f ca="1">IFERROR(__xludf.DUMMYFUNCTION("""COMPUTED_VALUE"""),0)</f>
        <v>0</v>
      </c>
      <c r="BM393" s="24">
        <f ca="1">IFERROR(__xludf.DUMMYFUNCTION("""COMPUTED_VALUE"""),0)</f>
        <v>0</v>
      </c>
      <c r="BN393" s="24">
        <f ca="1">IFERROR(__xludf.DUMMYFUNCTION("""COMPUTED_VALUE"""),0)</f>
        <v>0</v>
      </c>
      <c r="BO393" s="20"/>
      <c r="BP393" s="24">
        <f ca="1">IFERROR(__xludf.DUMMYFUNCTION("""COMPUTED_VALUE"""),0)</f>
        <v>0</v>
      </c>
      <c r="BQ393" s="24">
        <f ca="1">IFERROR(__xludf.DUMMYFUNCTION("""COMPUTED_VALUE"""),0)</f>
        <v>0</v>
      </c>
      <c r="BR393" s="24">
        <f ca="1">IFERROR(__xludf.DUMMYFUNCTION("""COMPUTED_VALUE"""),0)</f>
        <v>0</v>
      </c>
      <c r="BS393" s="24">
        <f ca="1">IFERROR(__xludf.DUMMYFUNCTION("""COMPUTED_VALUE"""),0)</f>
        <v>0</v>
      </c>
      <c r="BT393" s="24">
        <f ca="1">IFERROR(__xludf.DUMMYFUNCTION("""COMPUTED_VALUE"""),0)</f>
        <v>0</v>
      </c>
      <c r="BU393" s="20"/>
      <c r="BV393" s="24">
        <f ca="1">IFERROR(__xludf.DUMMYFUNCTION("""COMPUTED_VALUE"""),0)</f>
        <v>0</v>
      </c>
      <c r="BW393" s="24">
        <f ca="1">IFERROR(__xludf.DUMMYFUNCTION("""COMPUTED_VALUE"""),0)</f>
        <v>0</v>
      </c>
      <c r="BX393" s="24">
        <f ca="1">IFERROR(__xludf.DUMMYFUNCTION("""COMPUTED_VALUE"""),0)</f>
        <v>0</v>
      </c>
      <c r="BY393" s="24">
        <f ca="1">IFERROR(__xludf.DUMMYFUNCTION("""COMPUTED_VALUE"""),0)</f>
        <v>0</v>
      </c>
      <c r="BZ393" s="24">
        <f ca="1">IFERROR(__xludf.DUMMYFUNCTION("""COMPUTED_VALUE"""),0)</f>
        <v>0</v>
      </c>
      <c r="CA393" s="20"/>
      <c r="CB393" s="20"/>
      <c r="CC393" s="20"/>
      <c r="CD393" s="20"/>
      <c r="CE393" s="20"/>
      <c r="CF393" s="20"/>
      <c r="CG393" s="20"/>
      <c r="CH393" s="20"/>
      <c r="CI393" s="20"/>
      <c r="CJ393" s="20"/>
      <c r="CK393" s="20"/>
      <c r="CL393" s="20"/>
      <c r="CM393" s="20"/>
      <c r="CN393" s="20" t="str">
        <f ca="1">IFERROR(__xludf.DUMMYFUNCTION("""COMPUTED_VALUE"""),"0848300060020000049")</f>
        <v>0848300060020000049</v>
      </c>
      <c r="CO393" s="26">
        <f ca="1">IFERROR(__xludf.DUMMYFUNCTION("""COMPUTED_VALUE"""),43997)</f>
        <v>43997</v>
      </c>
      <c r="CP393" s="20" t="str">
        <f ca="1">IFERROR(__xludf.DUMMYFUNCTION("""COMPUTED_VALUE"""),"08483000600200000490001")</f>
        <v>08483000600200000490001</v>
      </c>
      <c r="CQ393" s="20">
        <f ca="1">IFERROR(__xludf.DUMMYFUNCTION("""COMPUTED_VALUE"""),9339000)</f>
        <v>9339000</v>
      </c>
      <c r="CR393" s="20" t="str">
        <f ca="1">IFERROR(__xludf.DUMMYFUNCTION("""COMPUTED_VALUE"""),"АО ""Мособлгаз"" ""Восток""")</f>
        <v>АО "Мособлгаз" "Восток"</v>
      </c>
      <c r="CS393"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row>
    <row r="394" spans="1:123" ht="64.5" customHeight="1" x14ac:dyDescent="0.2">
      <c r="A394" s="19"/>
      <c r="B394" s="20" t="str">
        <f ca="1">IFERROR(__xludf.DUMMYFUNCTION("""COMPUTED_VALUE"""),"г.о. Шатура")</f>
        <v>г.о. Шатура</v>
      </c>
      <c r="C39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4" s="20" t="str">
        <f ca="1">IFERROR(__xludf.DUMMYFUNCTION("""COMPUTED_VALUE"""),"МинЖКХ ""ТОП 5 (1 этап)""")</f>
        <v>МинЖКХ "ТОП 5 (1 этап)"</v>
      </c>
      <c r="E394" s="20" t="str">
        <f ca="1">IFERROR(__xludf.DUMMYFUNCTION("""COMPUTED_VALUE"""),"Строительство сдвоенного газового котла наружного размещения (КНР)  с. Кривандино, ул. Центральная, д. 36 (в т.ч. ПИР, ТП) г.о. Шатура")</f>
        <v>Строительство сдвоенного газового котла наружного размещения (КНР)  с. Кривандино, ул. Центральная, д. 36 (в т.ч. ПИР, ТП) г.о. Шатура</v>
      </c>
      <c r="F394" s="32" t="str">
        <f ca="1">IFERROR(__xludf.DUMMYFUNCTION("""COMPUTED_VALUE"""),"Котельная")</f>
        <v>Котельная</v>
      </c>
      <c r="G394" s="20" t="str">
        <f ca="1">IFERROR(__xludf.DUMMYFUNCTION("""COMPUTED_VALUE"""),"2020-2021")</f>
        <v>2020-2021</v>
      </c>
      <c r="H394" s="20" t="str">
        <f ca="1">IFERROR(__xludf.DUMMYFUNCTION("""COMPUTED_VALUE"""),"СМР")</f>
        <v>СМР</v>
      </c>
      <c r="I394" s="20"/>
      <c r="J394" s="20" t="str">
        <f ca="1">IFERROR(__xludf.DUMMYFUNCTION("""COMPUTED_VALUE"""),"Находится в МОГЭ. Предварительная дата выхода 03.12.2020")</f>
        <v>Находится в МОГЭ. Предварительная дата выхода 03.12.2020</v>
      </c>
      <c r="K394" s="20">
        <f ca="1">IFERROR(__xludf.DUMMYFUNCTION("""COMPUTED_VALUE"""),0)</f>
        <v>0</v>
      </c>
      <c r="L394" s="20">
        <f ca="1">IFERROR(__xludf.DUMMYFUNCTION("""COMPUTED_VALUE"""),24)</f>
        <v>24</v>
      </c>
      <c r="M394" s="20"/>
      <c r="N394" s="24">
        <f ca="1">IFERROR(__xludf.DUMMYFUNCTION("""COMPUTED_VALUE"""),458)</f>
        <v>458</v>
      </c>
      <c r="O394" s="20"/>
      <c r="P394" s="24">
        <f ca="1">IFERROR(__xludf.DUMMYFUNCTION("""COMPUTED_VALUE"""),0)</f>
        <v>0</v>
      </c>
      <c r="Q394" s="20">
        <f ca="1">IFERROR(__xludf.DUMMYFUNCTION("""COMPUTED_VALUE"""),458)</f>
        <v>458</v>
      </c>
      <c r="R394" s="20"/>
      <c r="S394" s="20"/>
      <c r="T394" s="20"/>
      <c r="U394" s="24">
        <f ca="1">IFERROR(__xludf.DUMMYFUNCTION("""COMPUTED_VALUE"""),42)</f>
        <v>42</v>
      </c>
      <c r="V394" s="24">
        <f ca="1">IFERROR(__xludf.DUMMYFUNCTION("""COMPUTED_VALUE"""),0)</f>
        <v>0</v>
      </c>
      <c r="W394" s="24">
        <f ca="1">IFERROR(__xludf.DUMMYFUNCTION("""COMPUTED_VALUE"""),0)</f>
        <v>0</v>
      </c>
      <c r="X394" s="24">
        <f ca="1">IFERROR(__xludf.DUMMYFUNCTION("""COMPUTED_VALUE"""),0)</f>
        <v>0</v>
      </c>
      <c r="Y394" s="24">
        <f ca="1">IFERROR(__xludf.DUMMYFUNCTION("""COMPUTED_VALUE"""),42)</f>
        <v>42</v>
      </c>
      <c r="Z394" s="24">
        <f ca="1">IFERROR(__xludf.DUMMYFUNCTION("""COMPUTED_VALUE"""),0)</f>
        <v>0</v>
      </c>
      <c r="AA394" s="20" t="str">
        <f ca="1">IFERROR(__xludf.DUMMYFUNCTION("""COMPUTED_VALUE"""),"10 3 02 64080")</f>
        <v>10 3 02 64080</v>
      </c>
      <c r="AB394" s="20">
        <f ca="1">IFERROR(__xludf.DUMMYFUNCTION("""COMPUTED_VALUE"""),522)</f>
        <v>522</v>
      </c>
      <c r="AC394" s="20"/>
      <c r="AD394" s="20"/>
      <c r="AE394" s="20"/>
      <c r="AF394" s="24">
        <f ca="1">IFERROR(__xludf.DUMMYFUNCTION("""COMPUTED_VALUE"""),3500)</f>
        <v>3500</v>
      </c>
      <c r="AG394" s="24">
        <f ca="1">IFERROR(__xludf.DUMMYFUNCTION("""COMPUTED_VALUE"""),0)</f>
        <v>0</v>
      </c>
      <c r="AH394" s="24">
        <f ca="1">IFERROR(__xludf.DUMMYFUNCTION("""COMPUTED_VALUE"""),0)</f>
        <v>0</v>
      </c>
      <c r="AI394" s="24">
        <f ca="1">IFERROR(__xludf.DUMMYFUNCTION("""COMPUTED_VALUE"""),3206)</f>
        <v>3206</v>
      </c>
      <c r="AJ394" s="24">
        <f ca="1">IFERROR(__xludf.DUMMYFUNCTION("""COMPUTED_VALUE"""),294)</f>
        <v>294</v>
      </c>
      <c r="AK394" s="24">
        <f ca="1">IFERROR(__xludf.DUMMYFUNCTION("""COMPUTED_VALUE"""),0)</f>
        <v>0</v>
      </c>
      <c r="AL394" s="24">
        <f ca="1">IFERROR(__xludf.DUMMYFUNCTION("""COMPUTED_VALUE"""),0)</f>
        <v>0</v>
      </c>
      <c r="AM394" s="20"/>
      <c r="AN394" s="20"/>
      <c r="AO394" s="20"/>
      <c r="AP394" s="20"/>
      <c r="AQ394" s="20"/>
      <c r="AR394" s="24">
        <f ca="1">IFERROR(__xludf.DUMMYFUNCTION("""COMPUTED_VALUE"""),0)</f>
        <v>0</v>
      </c>
      <c r="AS394" s="20"/>
      <c r="AT394" s="20"/>
      <c r="AU394" s="20"/>
      <c r="AV394" s="20"/>
      <c r="AW394" s="20"/>
      <c r="AX394" s="24">
        <f ca="1">IFERROR(__xludf.DUMMYFUNCTION("""COMPUTED_VALUE"""),500)</f>
        <v>500</v>
      </c>
      <c r="AY394" s="24">
        <f ca="1">IFERROR(__xludf.DUMMYFUNCTION("""COMPUTED_VALUE"""),0)</f>
        <v>0</v>
      </c>
      <c r="AZ394" s="24">
        <f ca="1">IFERROR(__xludf.DUMMYFUNCTION("""COMPUTED_VALUE"""),0)</f>
        <v>0</v>
      </c>
      <c r="BA394" s="24">
        <f ca="1">IFERROR(__xludf.DUMMYFUNCTION("""COMPUTED_VALUE"""),458)</f>
        <v>458</v>
      </c>
      <c r="BB394" s="24">
        <f ca="1">IFERROR(__xludf.DUMMYFUNCTION("""COMPUTED_VALUE"""),42)</f>
        <v>42</v>
      </c>
      <c r="BC394" s="20"/>
      <c r="BD394" s="24">
        <f ca="1">IFERROR(__xludf.DUMMYFUNCTION("""COMPUTED_VALUE"""),3000)</f>
        <v>3000</v>
      </c>
      <c r="BE394" s="24">
        <f ca="1">IFERROR(__xludf.DUMMYFUNCTION("""COMPUTED_VALUE"""),0)</f>
        <v>0</v>
      </c>
      <c r="BF394" s="24">
        <f ca="1">IFERROR(__xludf.DUMMYFUNCTION("""COMPUTED_VALUE"""),0)</f>
        <v>0</v>
      </c>
      <c r="BG394" s="24">
        <f ca="1">IFERROR(__xludf.DUMMYFUNCTION("""COMPUTED_VALUE"""),2748)</f>
        <v>2748</v>
      </c>
      <c r="BH394" s="24">
        <f ca="1">IFERROR(__xludf.DUMMYFUNCTION("""COMPUTED_VALUE"""),252)</f>
        <v>252</v>
      </c>
      <c r="BI394" s="20"/>
      <c r="BJ394" s="24">
        <f ca="1">IFERROR(__xludf.DUMMYFUNCTION("""COMPUTED_VALUE"""),0)</f>
        <v>0</v>
      </c>
      <c r="BK394" s="24">
        <f ca="1">IFERROR(__xludf.DUMMYFUNCTION("""COMPUTED_VALUE"""),0)</f>
        <v>0</v>
      </c>
      <c r="BL394" s="24">
        <f ca="1">IFERROR(__xludf.DUMMYFUNCTION("""COMPUTED_VALUE"""),0)</f>
        <v>0</v>
      </c>
      <c r="BM394" s="24">
        <f ca="1">IFERROR(__xludf.DUMMYFUNCTION("""COMPUTED_VALUE"""),0)</f>
        <v>0</v>
      </c>
      <c r="BN394" s="24">
        <f ca="1">IFERROR(__xludf.DUMMYFUNCTION("""COMPUTED_VALUE"""),0)</f>
        <v>0</v>
      </c>
      <c r="BO394" s="20"/>
      <c r="BP394" s="24">
        <f ca="1">IFERROR(__xludf.DUMMYFUNCTION("""COMPUTED_VALUE"""),0)</f>
        <v>0</v>
      </c>
      <c r="BQ394" s="24">
        <f ca="1">IFERROR(__xludf.DUMMYFUNCTION("""COMPUTED_VALUE"""),0)</f>
        <v>0</v>
      </c>
      <c r="BR394" s="24">
        <f ca="1">IFERROR(__xludf.DUMMYFUNCTION("""COMPUTED_VALUE"""),0)</f>
        <v>0</v>
      </c>
      <c r="BS394" s="24">
        <f ca="1">IFERROR(__xludf.DUMMYFUNCTION("""COMPUTED_VALUE"""),0)</f>
        <v>0</v>
      </c>
      <c r="BT394" s="24">
        <f ca="1">IFERROR(__xludf.DUMMYFUNCTION("""COMPUTED_VALUE"""),0)</f>
        <v>0</v>
      </c>
      <c r="BU394" s="20"/>
      <c r="BV394" s="24">
        <f ca="1">IFERROR(__xludf.DUMMYFUNCTION("""COMPUTED_VALUE"""),0)</f>
        <v>0</v>
      </c>
      <c r="BW394" s="24">
        <f ca="1">IFERROR(__xludf.DUMMYFUNCTION("""COMPUTED_VALUE"""),0)</f>
        <v>0</v>
      </c>
      <c r="BX394" s="24">
        <f ca="1">IFERROR(__xludf.DUMMYFUNCTION("""COMPUTED_VALUE"""),0)</f>
        <v>0</v>
      </c>
      <c r="BY394" s="24">
        <f ca="1">IFERROR(__xludf.DUMMYFUNCTION("""COMPUTED_VALUE"""),0)</f>
        <v>0</v>
      </c>
      <c r="BZ394" s="24">
        <f ca="1">IFERROR(__xludf.DUMMYFUNCTION("""COMPUTED_VALUE"""),0)</f>
        <v>0</v>
      </c>
      <c r="CA394" s="20"/>
      <c r="CB394" s="20" t="str">
        <f ca="1">IFERROR(__xludf.DUMMYFUNCTION("""COMPUTED_VALUE"""),"заключен")</f>
        <v>заключен</v>
      </c>
      <c r="CC394" s="26">
        <f ca="1">IFERROR(__xludf.DUMMYFUNCTION("""COMPUTED_VALUE"""),43951)</f>
        <v>43951</v>
      </c>
      <c r="CD394" s="20" t="str">
        <f ca="1">IFERROR(__xludf.DUMMYFUNCTION("""COMPUTED_VALUE"""),"0848300060020000049")</f>
        <v>0848300060020000049</v>
      </c>
      <c r="CE394" s="26">
        <f ca="1">IFERROR(__xludf.DUMMYFUNCTION("""COMPUTED_VALUE"""),43997)</f>
        <v>43997</v>
      </c>
      <c r="CF394" s="20" t="str">
        <f ca="1">IFERROR(__xludf.DUMMYFUNCTION("""COMPUTED_VALUE"""),"08483000600200000490001")</f>
        <v>08483000600200000490001</v>
      </c>
      <c r="CG394" s="20" t="str">
        <f ca="1">IFERROR(__xludf.DUMMYFUNCTION("""COMPUTED_VALUE"""),"9 339 000,00")</f>
        <v>9 339 000,00</v>
      </c>
      <c r="CH394" s="20" t="str">
        <f ca="1">IFERROR(__xludf.DUMMYFUNCTION("""COMPUTED_VALUE"""),"АО ""Мособлгаз"" ""Восток""")</f>
        <v>АО "Мособлгаз" "Восток"</v>
      </c>
      <c r="CI394"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J394" s="20"/>
      <c r="CK394" s="20"/>
      <c r="CL394" s="20"/>
      <c r="CM394" s="20"/>
      <c r="CN394" s="20"/>
      <c r="CO394" s="20"/>
      <c r="CP394" s="20"/>
      <c r="CQ394" s="20"/>
      <c r="CR394" s="20"/>
      <c r="CS394" s="20"/>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row>
    <row r="395" spans="1:123" ht="64.5" customHeight="1" x14ac:dyDescent="0.2">
      <c r="A395" s="19"/>
      <c r="B395" s="20" t="str">
        <f ca="1">IFERROR(__xludf.DUMMYFUNCTION("""COMPUTED_VALUE"""),"г.о. Шатура")</f>
        <v>г.о. Шатура</v>
      </c>
      <c r="C39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5" s="20" t="str">
        <f ca="1">IFERROR(__xludf.DUMMYFUNCTION("""COMPUTED_VALUE"""),"МинЖКХ ""ТОП 5 (1 этап)""")</f>
        <v>МинЖКХ "ТОП 5 (1 этап)"</v>
      </c>
      <c r="E395" s="20" t="str">
        <f ca="1">IFERROR(__xludf.DUMMYFUNCTION("""COMPUTED_VALUE"""),"Строительство сдвоенного газового котла наружного размещения (КНР) д. Голыгино (в т.ч. ПИР, ТП) г.о. Шатура")</f>
        <v>Строительство сдвоенного газового котла наружного размещения (КНР) д. Голыгино (в т.ч. ПИР, ТП) г.о. Шатура</v>
      </c>
      <c r="F395" s="32" t="str">
        <f ca="1">IFERROR(__xludf.DUMMYFUNCTION("""COMPUTED_VALUE"""),"Котельная")</f>
        <v>Котельная</v>
      </c>
      <c r="G395" s="20" t="str">
        <f ca="1">IFERROR(__xludf.DUMMYFUNCTION("""COMPUTED_VALUE"""),"2020-2021")</f>
        <v>2020-2021</v>
      </c>
      <c r="H395" s="20" t="str">
        <f ca="1">IFERROR(__xludf.DUMMYFUNCTION("""COMPUTED_VALUE"""),"СМР")</f>
        <v>СМР</v>
      </c>
      <c r="I395" s="20"/>
      <c r="J395" s="20" t="str">
        <f ca="1">IFERROR(__xludf.DUMMYFUNCTION("""COMPUTED_VALUE"""),"Находится в МОГЭ. Предварительная дата выхода 03.12.2020")</f>
        <v>Находится в МОГЭ. Предварительная дата выхода 03.12.2020</v>
      </c>
      <c r="K395" s="20">
        <f ca="1">IFERROR(__xludf.DUMMYFUNCTION("""COMPUTED_VALUE"""),0)</f>
        <v>0</v>
      </c>
      <c r="L395" s="20">
        <f ca="1">IFERROR(__xludf.DUMMYFUNCTION("""COMPUTED_VALUE"""),192)</f>
        <v>192</v>
      </c>
      <c r="M395" s="20"/>
      <c r="N395" s="24">
        <f ca="1">IFERROR(__xludf.DUMMYFUNCTION("""COMPUTED_VALUE"""),1154.83)</f>
        <v>1154.83</v>
      </c>
      <c r="O395" s="20"/>
      <c r="P395" s="24">
        <f ca="1">IFERROR(__xludf.DUMMYFUNCTION("""COMPUTED_VALUE"""),0)</f>
        <v>0</v>
      </c>
      <c r="Q395" s="20">
        <f ca="1">IFERROR(__xludf.DUMMYFUNCTION("""COMPUTED_VALUE"""),1154.83)</f>
        <v>1154.83</v>
      </c>
      <c r="R395" s="20"/>
      <c r="S395" s="20"/>
      <c r="T395" s="20"/>
      <c r="U395" s="24">
        <f ca="1">IFERROR(__xludf.DUMMYFUNCTION("""COMPUTED_VALUE"""),445.17)</f>
        <v>445.17</v>
      </c>
      <c r="V395" s="24">
        <f ca="1">IFERROR(__xludf.DUMMYFUNCTION("""COMPUTED_VALUE"""),0)</f>
        <v>0</v>
      </c>
      <c r="W395" s="24">
        <f ca="1">IFERROR(__xludf.DUMMYFUNCTION("""COMPUTED_VALUE"""),0)</f>
        <v>0</v>
      </c>
      <c r="X395" s="24">
        <f ca="1">IFERROR(__xludf.DUMMYFUNCTION("""COMPUTED_VALUE"""),310.77)</f>
        <v>310.77</v>
      </c>
      <c r="Y395" s="24">
        <f ca="1">IFERROR(__xludf.DUMMYFUNCTION("""COMPUTED_VALUE"""),134.4)</f>
        <v>134.4</v>
      </c>
      <c r="Z395" s="24">
        <f ca="1">IFERROR(__xludf.DUMMYFUNCTION("""COMPUTED_VALUE"""),0)</f>
        <v>0</v>
      </c>
      <c r="AA395" s="20" t="str">
        <f ca="1">IFERROR(__xludf.DUMMYFUNCTION("""COMPUTED_VALUE"""),"10 3 02 64080")</f>
        <v>10 3 02 64080</v>
      </c>
      <c r="AB395" s="20">
        <f ca="1">IFERROR(__xludf.DUMMYFUNCTION("""COMPUTED_VALUE"""),522)</f>
        <v>522</v>
      </c>
      <c r="AC395" s="20"/>
      <c r="AD395" s="20"/>
      <c r="AE395" s="20"/>
      <c r="AF395" s="24">
        <f ca="1">IFERROR(__xludf.DUMMYFUNCTION("""COMPUTED_VALUE"""),7900)</f>
        <v>7900</v>
      </c>
      <c r="AG395" s="24">
        <f ca="1">IFERROR(__xludf.DUMMYFUNCTION("""COMPUTED_VALUE"""),0)</f>
        <v>0</v>
      </c>
      <c r="AH395" s="24">
        <f ca="1">IFERROR(__xludf.DUMMYFUNCTION("""COMPUTED_VALUE"""),0)</f>
        <v>0</v>
      </c>
      <c r="AI395" s="24">
        <f ca="1">IFERROR(__xludf.DUMMYFUNCTION("""COMPUTED_VALUE"""),7236.4)</f>
        <v>7236.4</v>
      </c>
      <c r="AJ395" s="24">
        <f ca="1">IFERROR(__xludf.DUMMYFUNCTION("""COMPUTED_VALUE"""),663.6)</f>
        <v>663.6</v>
      </c>
      <c r="AK395" s="24">
        <f ca="1">IFERROR(__xludf.DUMMYFUNCTION("""COMPUTED_VALUE"""),0)</f>
        <v>0</v>
      </c>
      <c r="AL395" s="24">
        <f ca="1">IFERROR(__xludf.DUMMYFUNCTION("""COMPUTED_VALUE"""),0)</f>
        <v>0</v>
      </c>
      <c r="AM395" s="20"/>
      <c r="AN395" s="20"/>
      <c r="AO395" s="20"/>
      <c r="AP395" s="20"/>
      <c r="AQ395" s="20"/>
      <c r="AR395" s="24">
        <f ca="1">IFERROR(__xludf.DUMMYFUNCTION("""COMPUTED_VALUE"""),0)</f>
        <v>0</v>
      </c>
      <c r="AS395" s="20"/>
      <c r="AT395" s="20"/>
      <c r="AU395" s="20"/>
      <c r="AV395" s="20"/>
      <c r="AW395" s="20"/>
      <c r="AX395" s="24">
        <f ca="1">IFERROR(__xludf.DUMMYFUNCTION("""COMPUTED_VALUE"""),1600)</f>
        <v>1600</v>
      </c>
      <c r="AY395" s="24">
        <f ca="1">IFERROR(__xludf.DUMMYFUNCTION("""COMPUTED_VALUE"""),0)</f>
        <v>0</v>
      </c>
      <c r="AZ395" s="24">
        <f ca="1">IFERROR(__xludf.DUMMYFUNCTION("""COMPUTED_VALUE"""),0)</f>
        <v>0</v>
      </c>
      <c r="BA395" s="24">
        <f ca="1">IFERROR(__xludf.DUMMYFUNCTION("""COMPUTED_VALUE"""),1465.6)</f>
        <v>1465.6</v>
      </c>
      <c r="BB395" s="24">
        <f ca="1">IFERROR(__xludf.DUMMYFUNCTION("""COMPUTED_VALUE"""),134.4)</f>
        <v>134.4</v>
      </c>
      <c r="BC395" s="20"/>
      <c r="BD395" s="24">
        <f ca="1">IFERROR(__xludf.DUMMYFUNCTION("""COMPUTED_VALUE"""),6300)</f>
        <v>6300</v>
      </c>
      <c r="BE395" s="24">
        <f ca="1">IFERROR(__xludf.DUMMYFUNCTION("""COMPUTED_VALUE"""),0)</f>
        <v>0</v>
      </c>
      <c r="BF395" s="24">
        <f ca="1">IFERROR(__xludf.DUMMYFUNCTION("""COMPUTED_VALUE"""),0)</f>
        <v>0</v>
      </c>
      <c r="BG395" s="24">
        <f ca="1">IFERROR(__xludf.DUMMYFUNCTION("""COMPUTED_VALUE"""),5770.8)</f>
        <v>5770.8</v>
      </c>
      <c r="BH395" s="24">
        <f ca="1">IFERROR(__xludf.DUMMYFUNCTION("""COMPUTED_VALUE"""),529.2)</f>
        <v>529.20000000000005</v>
      </c>
      <c r="BI395" s="20"/>
      <c r="BJ395" s="24">
        <f ca="1">IFERROR(__xludf.DUMMYFUNCTION("""COMPUTED_VALUE"""),0)</f>
        <v>0</v>
      </c>
      <c r="BK395" s="24">
        <f ca="1">IFERROR(__xludf.DUMMYFUNCTION("""COMPUTED_VALUE"""),0)</f>
        <v>0</v>
      </c>
      <c r="BL395" s="24">
        <f ca="1">IFERROR(__xludf.DUMMYFUNCTION("""COMPUTED_VALUE"""),0)</f>
        <v>0</v>
      </c>
      <c r="BM395" s="24">
        <f ca="1">IFERROR(__xludf.DUMMYFUNCTION("""COMPUTED_VALUE"""),0)</f>
        <v>0</v>
      </c>
      <c r="BN395" s="24">
        <f ca="1">IFERROR(__xludf.DUMMYFUNCTION("""COMPUTED_VALUE"""),0)</f>
        <v>0</v>
      </c>
      <c r="BO395" s="20"/>
      <c r="BP395" s="24">
        <f ca="1">IFERROR(__xludf.DUMMYFUNCTION("""COMPUTED_VALUE"""),0)</f>
        <v>0</v>
      </c>
      <c r="BQ395" s="24">
        <f ca="1">IFERROR(__xludf.DUMMYFUNCTION("""COMPUTED_VALUE"""),0)</f>
        <v>0</v>
      </c>
      <c r="BR395" s="24">
        <f ca="1">IFERROR(__xludf.DUMMYFUNCTION("""COMPUTED_VALUE"""),0)</f>
        <v>0</v>
      </c>
      <c r="BS395" s="24">
        <f ca="1">IFERROR(__xludf.DUMMYFUNCTION("""COMPUTED_VALUE"""),0)</f>
        <v>0</v>
      </c>
      <c r="BT395" s="24">
        <f ca="1">IFERROR(__xludf.DUMMYFUNCTION("""COMPUTED_VALUE"""),0)</f>
        <v>0</v>
      </c>
      <c r="BU395" s="20"/>
      <c r="BV395" s="24">
        <f ca="1">IFERROR(__xludf.DUMMYFUNCTION("""COMPUTED_VALUE"""),0)</f>
        <v>0</v>
      </c>
      <c r="BW395" s="24">
        <f ca="1">IFERROR(__xludf.DUMMYFUNCTION("""COMPUTED_VALUE"""),0)</f>
        <v>0</v>
      </c>
      <c r="BX395" s="24">
        <f ca="1">IFERROR(__xludf.DUMMYFUNCTION("""COMPUTED_VALUE"""),0)</f>
        <v>0</v>
      </c>
      <c r="BY395" s="24">
        <f ca="1">IFERROR(__xludf.DUMMYFUNCTION("""COMPUTED_VALUE"""),0)</f>
        <v>0</v>
      </c>
      <c r="BZ395" s="24">
        <f ca="1">IFERROR(__xludf.DUMMYFUNCTION("""COMPUTED_VALUE"""),0)</f>
        <v>0</v>
      </c>
      <c r="CA395" s="20"/>
      <c r="CB395" s="20"/>
      <c r="CC395" s="20"/>
      <c r="CD395" s="20"/>
      <c r="CE395" s="20"/>
      <c r="CF395" s="20"/>
      <c r="CG395" s="20"/>
      <c r="CH395" s="20"/>
      <c r="CI395" s="20"/>
      <c r="CJ395" s="20"/>
      <c r="CK395" s="20"/>
      <c r="CL395" s="20"/>
      <c r="CM395" s="26">
        <f ca="1">IFERROR(__xludf.DUMMYFUNCTION("""COMPUTED_VALUE"""),43951)</f>
        <v>43951</v>
      </c>
      <c r="CN395" s="20" t="str">
        <f ca="1">IFERROR(__xludf.DUMMYFUNCTION("""COMPUTED_VALUE"""),"0848300060020000049")</f>
        <v>0848300060020000049</v>
      </c>
      <c r="CO395" s="26">
        <f ca="1">IFERROR(__xludf.DUMMYFUNCTION("""COMPUTED_VALUE"""),43997)</f>
        <v>43997</v>
      </c>
      <c r="CP395" s="20" t="str">
        <f ca="1">IFERROR(__xludf.DUMMYFUNCTION("""COMPUTED_VALUE"""),"08483000600200000490001")</f>
        <v>08483000600200000490001</v>
      </c>
      <c r="CQ395" s="20">
        <f ca="1">IFERROR(__xludf.DUMMYFUNCTION("""COMPUTED_VALUE"""),9339000)</f>
        <v>9339000</v>
      </c>
      <c r="CR395" s="20" t="str">
        <f ca="1">IFERROR(__xludf.DUMMYFUNCTION("""COMPUTED_VALUE"""),"АО ""Мособлгаз"" ""Восток""")</f>
        <v>АО "Мособлгаз" "Восток"</v>
      </c>
      <c r="CS395"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row>
    <row r="396" spans="1:123" ht="64.5" customHeight="1" x14ac:dyDescent="0.2">
      <c r="A396" s="19"/>
      <c r="B396" s="20" t="str">
        <f ca="1">IFERROR(__xludf.DUMMYFUNCTION("""COMPUTED_VALUE"""),"г.о. Шатура")</f>
        <v>г.о. Шатура</v>
      </c>
      <c r="C39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6" s="20" t="str">
        <f ca="1">IFERROR(__xludf.DUMMYFUNCTION("""COMPUTED_VALUE"""),"МинЖКХ ""ТОП 5 (1 этап)""")</f>
        <v>МинЖКХ "ТОП 5 (1 этап)"</v>
      </c>
      <c r="E396" s="20" t="str">
        <f ca="1">IFERROR(__xludf.DUMMYFUNCTION("""COMPUTED_VALUE"""),"Строительство сдвоенного газового котла наружного размещения (КНР) рп. Черусти, Пионерский пр. (в т.ч. ПИР, ТП г.о. Шатура")</f>
        <v>Строительство сдвоенного газового котла наружного размещения (КНР) рп. Черусти, Пионерский пр. (в т.ч. ПИР, ТП г.о. Шатура</v>
      </c>
      <c r="F396" s="32" t="str">
        <f ca="1">IFERROR(__xludf.DUMMYFUNCTION("""COMPUTED_VALUE"""),"Котельная")</f>
        <v>Котельная</v>
      </c>
      <c r="G396" s="20" t="str">
        <f ca="1">IFERROR(__xludf.DUMMYFUNCTION("""COMPUTED_VALUE"""),"2020-2021")</f>
        <v>2020-2021</v>
      </c>
      <c r="H396" s="20" t="str">
        <f ca="1">IFERROR(__xludf.DUMMYFUNCTION("""COMPUTED_VALUE"""),"СМР")</f>
        <v>СМР</v>
      </c>
      <c r="I396" s="20"/>
      <c r="J396" s="20" t="str">
        <f ca="1">IFERROR(__xludf.DUMMYFUNCTION("""COMPUTED_VALUE"""),"Находится в МОГЭ. Предварительная дата выхода 03.12.2020")</f>
        <v>Находится в МОГЭ. Предварительная дата выхода 03.12.2020</v>
      </c>
      <c r="K396" s="20">
        <f ca="1">IFERROR(__xludf.DUMMYFUNCTION("""COMPUTED_VALUE"""),0)</f>
        <v>0</v>
      </c>
      <c r="L396" s="20">
        <f ca="1">IFERROR(__xludf.DUMMYFUNCTION("""COMPUTED_VALUE"""),109)</f>
        <v>109</v>
      </c>
      <c r="M396" s="20"/>
      <c r="N396" s="24">
        <f ca="1">IFERROR(__xludf.DUMMYFUNCTION("""COMPUTED_VALUE"""),823.76)</f>
        <v>823.76</v>
      </c>
      <c r="O396" s="20"/>
      <c r="P396" s="24">
        <f ca="1">IFERROR(__xludf.DUMMYFUNCTION("""COMPUTED_VALUE"""),0)</f>
        <v>0</v>
      </c>
      <c r="Q396" s="20">
        <f ca="1">IFERROR(__xludf.DUMMYFUNCTION("""COMPUTED_VALUE"""),823.76)</f>
        <v>823.76</v>
      </c>
      <c r="R396" s="20"/>
      <c r="S396" s="20"/>
      <c r="T396" s="20"/>
      <c r="U396" s="24">
        <f ca="1">IFERROR(__xludf.DUMMYFUNCTION("""COMPUTED_VALUE"""),676.24)</f>
        <v>676.24</v>
      </c>
      <c r="V396" s="24">
        <f ca="1">IFERROR(__xludf.DUMMYFUNCTION("""COMPUTED_VALUE"""),0)</f>
        <v>0</v>
      </c>
      <c r="W396" s="24">
        <f ca="1">IFERROR(__xludf.DUMMYFUNCTION("""COMPUTED_VALUE"""),0)</f>
        <v>0</v>
      </c>
      <c r="X396" s="24">
        <f ca="1">IFERROR(__xludf.DUMMYFUNCTION("""COMPUTED_VALUE"""),550.24)</f>
        <v>550.24</v>
      </c>
      <c r="Y396" s="24">
        <f ca="1">IFERROR(__xludf.DUMMYFUNCTION("""COMPUTED_VALUE"""),126)</f>
        <v>126</v>
      </c>
      <c r="Z396" s="24">
        <f ca="1">IFERROR(__xludf.DUMMYFUNCTION("""COMPUTED_VALUE"""),0)</f>
        <v>0</v>
      </c>
      <c r="AA396" s="20" t="str">
        <f ca="1">IFERROR(__xludf.DUMMYFUNCTION("""COMPUTED_VALUE"""),"10 3 02 64080")</f>
        <v>10 3 02 64080</v>
      </c>
      <c r="AB396" s="20">
        <f ca="1">IFERROR(__xludf.DUMMYFUNCTION("""COMPUTED_VALUE"""),522)</f>
        <v>522</v>
      </c>
      <c r="AC396" s="20"/>
      <c r="AD396" s="20"/>
      <c r="AE396" s="20"/>
      <c r="AF396" s="24">
        <f ca="1">IFERROR(__xludf.DUMMYFUNCTION("""COMPUTED_VALUE"""),7300)</f>
        <v>7300</v>
      </c>
      <c r="AG396" s="24">
        <f ca="1">IFERROR(__xludf.DUMMYFUNCTION("""COMPUTED_VALUE"""),0)</f>
        <v>0</v>
      </c>
      <c r="AH396" s="24">
        <f ca="1">IFERROR(__xludf.DUMMYFUNCTION("""COMPUTED_VALUE"""),0)</f>
        <v>0</v>
      </c>
      <c r="AI396" s="24">
        <f ca="1">IFERROR(__xludf.DUMMYFUNCTION("""COMPUTED_VALUE"""),6686.8)</f>
        <v>6686.8</v>
      </c>
      <c r="AJ396" s="24">
        <f ca="1">IFERROR(__xludf.DUMMYFUNCTION("""COMPUTED_VALUE"""),613.2)</f>
        <v>613.20000000000005</v>
      </c>
      <c r="AK396" s="24">
        <f ca="1">IFERROR(__xludf.DUMMYFUNCTION("""COMPUTED_VALUE"""),0)</f>
        <v>0</v>
      </c>
      <c r="AL396" s="24">
        <f ca="1">IFERROR(__xludf.DUMMYFUNCTION("""COMPUTED_VALUE"""),0)</f>
        <v>0</v>
      </c>
      <c r="AM396" s="20"/>
      <c r="AN396" s="20"/>
      <c r="AO396" s="20"/>
      <c r="AP396" s="20"/>
      <c r="AQ396" s="20"/>
      <c r="AR396" s="24">
        <f ca="1">IFERROR(__xludf.DUMMYFUNCTION("""COMPUTED_VALUE"""),0)</f>
        <v>0</v>
      </c>
      <c r="AS396" s="20"/>
      <c r="AT396" s="20"/>
      <c r="AU396" s="20"/>
      <c r="AV396" s="20"/>
      <c r="AW396" s="20"/>
      <c r="AX396" s="24">
        <f ca="1">IFERROR(__xludf.DUMMYFUNCTION("""COMPUTED_VALUE"""),1500)</f>
        <v>1500</v>
      </c>
      <c r="AY396" s="24">
        <f ca="1">IFERROR(__xludf.DUMMYFUNCTION("""COMPUTED_VALUE"""),0)</f>
        <v>0</v>
      </c>
      <c r="AZ396" s="24">
        <f ca="1">IFERROR(__xludf.DUMMYFUNCTION("""COMPUTED_VALUE"""),0)</f>
        <v>0</v>
      </c>
      <c r="BA396" s="24">
        <f ca="1">IFERROR(__xludf.DUMMYFUNCTION("""COMPUTED_VALUE"""),1374)</f>
        <v>1374</v>
      </c>
      <c r="BB396" s="24">
        <f ca="1">IFERROR(__xludf.DUMMYFUNCTION("""COMPUTED_VALUE"""),126)</f>
        <v>126</v>
      </c>
      <c r="BC396" s="20"/>
      <c r="BD396" s="24">
        <f ca="1">IFERROR(__xludf.DUMMYFUNCTION("""COMPUTED_VALUE"""),5800)</f>
        <v>5800</v>
      </c>
      <c r="BE396" s="24">
        <f ca="1">IFERROR(__xludf.DUMMYFUNCTION("""COMPUTED_VALUE"""),0)</f>
        <v>0</v>
      </c>
      <c r="BF396" s="24">
        <f ca="1">IFERROR(__xludf.DUMMYFUNCTION("""COMPUTED_VALUE"""),0)</f>
        <v>0</v>
      </c>
      <c r="BG396" s="24">
        <f ca="1">IFERROR(__xludf.DUMMYFUNCTION("""COMPUTED_VALUE"""),5312.8)</f>
        <v>5312.8</v>
      </c>
      <c r="BH396" s="24">
        <f ca="1">IFERROR(__xludf.DUMMYFUNCTION("""COMPUTED_VALUE"""),487.2)</f>
        <v>487.2</v>
      </c>
      <c r="BI396" s="20"/>
      <c r="BJ396" s="24">
        <f ca="1">IFERROR(__xludf.DUMMYFUNCTION("""COMPUTED_VALUE"""),0)</f>
        <v>0</v>
      </c>
      <c r="BK396" s="24">
        <f ca="1">IFERROR(__xludf.DUMMYFUNCTION("""COMPUTED_VALUE"""),0)</f>
        <v>0</v>
      </c>
      <c r="BL396" s="24">
        <f ca="1">IFERROR(__xludf.DUMMYFUNCTION("""COMPUTED_VALUE"""),0)</f>
        <v>0</v>
      </c>
      <c r="BM396" s="24">
        <f ca="1">IFERROR(__xludf.DUMMYFUNCTION("""COMPUTED_VALUE"""),0)</f>
        <v>0</v>
      </c>
      <c r="BN396" s="24">
        <f ca="1">IFERROR(__xludf.DUMMYFUNCTION("""COMPUTED_VALUE"""),0)</f>
        <v>0</v>
      </c>
      <c r="BO396" s="20"/>
      <c r="BP396" s="24">
        <f ca="1">IFERROR(__xludf.DUMMYFUNCTION("""COMPUTED_VALUE"""),0)</f>
        <v>0</v>
      </c>
      <c r="BQ396" s="24">
        <f ca="1">IFERROR(__xludf.DUMMYFUNCTION("""COMPUTED_VALUE"""),0)</f>
        <v>0</v>
      </c>
      <c r="BR396" s="24">
        <f ca="1">IFERROR(__xludf.DUMMYFUNCTION("""COMPUTED_VALUE"""),0)</f>
        <v>0</v>
      </c>
      <c r="BS396" s="24">
        <f ca="1">IFERROR(__xludf.DUMMYFUNCTION("""COMPUTED_VALUE"""),0)</f>
        <v>0</v>
      </c>
      <c r="BT396" s="24">
        <f ca="1">IFERROR(__xludf.DUMMYFUNCTION("""COMPUTED_VALUE"""),0)</f>
        <v>0</v>
      </c>
      <c r="BU396" s="20"/>
      <c r="BV396" s="24">
        <f ca="1">IFERROR(__xludf.DUMMYFUNCTION("""COMPUTED_VALUE"""),0)</f>
        <v>0</v>
      </c>
      <c r="BW396" s="24">
        <f ca="1">IFERROR(__xludf.DUMMYFUNCTION("""COMPUTED_VALUE"""),0)</f>
        <v>0</v>
      </c>
      <c r="BX396" s="24">
        <f ca="1">IFERROR(__xludf.DUMMYFUNCTION("""COMPUTED_VALUE"""),0)</f>
        <v>0</v>
      </c>
      <c r="BY396" s="24">
        <f ca="1">IFERROR(__xludf.DUMMYFUNCTION("""COMPUTED_VALUE"""),0)</f>
        <v>0</v>
      </c>
      <c r="BZ396" s="24">
        <f ca="1">IFERROR(__xludf.DUMMYFUNCTION("""COMPUTED_VALUE"""),0)</f>
        <v>0</v>
      </c>
      <c r="CA396" s="20"/>
      <c r="CB396" s="20"/>
      <c r="CC396" s="20"/>
      <c r="CD396" s="20"/>
      <c r="CE396" s="20"/>
      <c r="CF396" s="20"/>
      <c r="CG396" s="20"/>
      <c r="CH396" s="20"/>
      <c r="CI396" s="20"/>
      <c r="CJ396" s="20"/>
      <c r="CK396" s="20"/>
      <c r="CL396" s="20"/>
      <c r="CM396" s="26">
        <f ca="1">IFERROR(__xludf.DUMMYFUNCTION("""COMPUTED_VALUE"""),43951)</f>
        <v>43951</v>
      </c>
      <c r="CN396" s="20" t="str">
        <f ca="1">IFERROR(__xludf.DUMMYFUNCTION("""COMPUTED_VALUE"""),"0848300060020000049")</f>
        <v>0848300060020000049</v>
      </c>
      <c r="CO396" s="26">
        <f ca="1">IFERROR(__xludf.DUMMYFUNCTION("""COMPUTED_VALUE"""),43997)</f>
        <v>43997</v>
      </c>
      <c r="CP396" s="20" t="str">
        <f ca="1">IFERROR(__xludf.DUMMYFUNCTION("""COMPUTED_VALUE"""),"08483000600200000490001")</f>
        <v>08483000600200000490001</v>
      </c>
      <c r="CQ396" s="20">
        <f ca="1">IFERROR(__xludf.DUMMYFUNCTION("""COMPUTED_VALUE"""),9339000)</f>
        <v>9339000</v>
      </c>
      <c r="CR396" s="20" t="str">
        <f ca="1">IFERROR(__xludf.DUMMYFUNCTION("""COMPUTED_VALUE"""),"АО ""Мособлгаз"" ""Восток""")</f>
        <v>АО "Мособлгаз" "Восток"</v>
      </c>
      <c r="CS396"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row>
    <row r="397" spans="1:123" ht="64.5" customHeight="1" x14ac:dyDescent="0.2">
      <c r="A397" s="19"/>
      <c r="B397" s="20" t="str">
        <f ca="1">IFERROR(__xludf.DUMMYFUNCTION("""COMPUTED_VALUE"""),"г.о. Шатура")</f>
        <v>г.о. Шатура</v>
      </c>
      <c r="C39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7" s="20" t="str">
        <f ca="1">IFERROR(__xludf.DUMMYFUNCTION("""COMPUTED_VALUE"""),"МинЖКХ ""ТОП 5 (1 этап)""")</f>
        <v>МинЖКХ "ТОП 5 (1 этап)"</v>
      </c>
      <c r="E397" s="20" t="str">
        <f ca="1">IFERROR(__xludf.DUMMYFUNCTION("""COMPUTED_VALUE"""),"Строительство сдвоенного газового котла наружного размещения (КНР) рп. Черусти, ул. Вокзальная, д.12 (в т.ч. ПИР, ТП) г.о. Шатура")</f>
        <v>Строительство сдвоенного газового котла наружного размещения (КНР) рп. Черусти, ул. Вокзальная, д.12 (в т.ч. ПИР, ТП) г.о. Шатура</v>
      </c>
      <c r="F397" s="32" t="str">
        <f ca="1">IFERROR(__xludf.DUMMYFUNCTION("""COMPUTED_VALUE"""),"Котельная")</f>
        <v>Котельная</v>
      </c>
      <c r="G397" s="20" t="str">
        <f ca="1">IFERROR(__xludf.DUMMYFUNCTION("""COMPUTED_VALUE"""),"2020-2021")</f>
        <v>2020-2021</v>
      </c>
      <c r="H397" s="20" t="str">
        <f ca="1">IFERROR(__xludf.DUMMYFUNCTION("""COMPUTED_VALUE"""),"СМР")</f>
        <v>СМР</v>
      </c>
      <c r="I397" s="20"/>
      <c r="J397" s="20" t="str">
        <f ca="1">IFERROR(__xludf.DUMMYFUNCTION("""COMPUTED_VALUE"""),"Выход из МОГЭ 03.12.2020 с увелечением лимитов на 3 825,14 тыс. руб. Котлы закуплены и находятся на территории районной эксплуатационной службе филиала МОСОБЛГАЗ.")</f>
        <v>Выход из МОГЭ 03.12.2020 с увелечением лимитов на 3 825,14 тыс. руб. Котлы закуплены и находятся на территории районной эксплуатационной службе филиала МОСОБЛГАЗ.</v>
      </c>
      <c r="K397" s="20" t="str">
        <f ca="1">IFERROR(__xludf.DUMMYFUNCTION("""COMPUTED_VALUE"""),"0(ДК)")</f>
        <v>0(ДК)</v>
      </c>
      <c r="L397" s="20" t="str">
        <f ca="1">IFERROR(__xludf.DUMMYFUNCTION("""COMPUTED_VALUE"""),"0(ДК)")</f>
        <v>0(ДК)</v>
      </c>
      <c r="M397" s="20"/>
      <c r="N397" s="24">
        <f ca="1">IFERROR(__xludf.DUMMYFUNCTION("""COMPUTED_VALUE"""),633.89)</f>
        <v>633.89</v>
      </c>
      <c r="O397" s="20"/>
      <c r="P397" s="24">
        <f ca="1">IFERROR(__xludf.DUMMYFUNCTION("""COMPUTED_VALUE"""),0)</f>
        <v>0</v>
      </c>
      <c r="Q397" s="20">
        <f ca="1">IFERROR(__xludf.DUMMYFUNCTION("""COMPUTED_VALUE"""),633.89)</f>
        <v>633.89</v>
      </c>
      <c r="R397" s="20"/>
      <c r="S397" s="20"/>
      <c r="T397" s="20" t="str">
        <f ca="1">IFERROR(__xludf.DUMMYFUNCTION("""COMPUTED_VALUE"""),"Выход из МОГЭ 03.12.2020 с увелечением лимитов на 3 825,14 тыс. руб. Котлы закуплены и находятся на территории районной эксплуатационной службе филиала МОСОБЛГАЗ.")</f>
        <v>Выход из МОГЭ 03.12.2020 с увелечением лимитов на 3 825,14 тыс. руб. Котлы закуплены и находятся на территории районной эксплуатационной службе филиала МОСОБЛГАЗ.</v>
      </c>
      <c r="U397" s="24">
        <f ca="1">IFERROR(__xludf.DUMMYFUNCTION("""COMPUTED_VALUE"""),1016.11)</f>
        <v>1016.11</v>
      </c>
      <c r="V397" s="24">
        <f ca="1">IFERROR(__xludf.DUMMYFUNCTION("""COMPUTED_VALUE"""),0)</f>
        <v>0</v>
      </c>
      <c r="W397" s="24">
        <f ca="1">IFERROR(__xludf.DUMMYFUNCTION("""COMPUTED_VALUE"""),0)</f>
        <v>0</v>
      </c>
      <c r="X397" s="24">
        <f ca="1">IFERROR(__xludf.DUMMYFUNCTION("""COMPUTED_VALUE"""),877.51)</f>
        <v>877.51</v>
      </c>
      <c r="Y397" s="24">
        <f ca="1">IFERROR(__xludf.DUMMYFUNCTION("""COMPUTED_VALUE"""),138.6)</f>
        <v>138.6</v>
      </c>
      <c r="Z397" s="24">
        <f ca="1">IFERROR(__xludf.DUMMYFUNCTION("""COMPUTED_VALUE"""),0)</f>
        <v>0</v>
      </c>
      <c r="AA397" s="20" t="str">
        <f ca="1">IFERROR(__xludf.DUMMYFUNCTION("""COMPUTED_VALUE"""),"10 3 02 64080")</f>
        <v>10 3 02 64080</v>
      </c>
      <c r="AB397" s="20">
        <f ca="1">IFERROR(__xludf.DUMMYFUNCTION("""COMPUTED_VALUE"""),522)</f>
        <v>522</v>
      </c>
      <c r="AC397" s="20"/>
      <c r="AD397" s="20"/>
      <c r="AE397" s="20"/>
      <c r="AF397" s="24">
        <f ca="1">IFERROR(__xludf.DUMMYFUNCTION("""COMPUTED_VALUE"""),3300)</f>
        <v>3300</v>
      </c>
      <c r="AG397" s="24">
        <f ca="1">IFERROR(__xludf.DUMMYFUNCTION("""COMPUTED_VALUE"""),0)</f>
        <v>0</v>
      </c>
      <c r="AH397" s="24">
        <f ca="1">IFERROR(__xludf.DUMMYFUNCTION("""COMPUTED_VALUE"""),1511.4)</f>
        <v>1511.4</v>
      </c>
      <c r="AI397" s="24">
        <f ca="1">IFERROR(__xludf.DUMMYFUNCTION("""COMPUTED_VALUE"""),1511.4)</f>
        <v>1511.4</v>
      </c>
      <c r="AJ397" s="24">
        <f ca="1">IFERROR(__xludf.DUMMYFUNCTION("""COMPUTED_VALUE"""),277.2)</f>
        <v>277.2</v>
      </c>
      <c r="AK397" s="24">
        <f ca="1">IFERROR(__xludf.DUMMYFUNCTION("""COMPUTED_VALUE"""),0)</f>
        <v>0</v>
      </c>
      <c r="AL397" s="24">
        <f ca="1">IFERROR(__xludf.DUMMYFUNCTION("""COMPUTED_VALUE"""),0)</f>
        <v>0</v>
      </c>
      <c r="AM397" s="20"/>
      <c r="AN397" s="20"/>
      <c r="AO397" s="20"/>
      <c r="AP397" s="20"/>
      <c r="AQ397" s="20"/>
      <c r="AR397" s="24">
        <f ca="1">IFERROR(__xludf.DUMMYFUNCTION("""COMPUTED_VALUE"""),0)</f>
        <v>0</v>
      </c>
      <c r="AS397" s="20"/>
      <c r="AT397" s="20"/>
      <c r="AU397" s="20"/>
      <c r="AV397" s="20"/>
      <c r="AW397" s="20"/>
      <c r="AX397" s="24">
        <f ca="1">IFERROR(__xludf.DUMMYFUNCTION("""COMPUTED_VALUE"""),1650)</f>
        <v>1650</v>
      </c>
      <c r="AY397" s="24">
        <f ca="1">IFERROR(__xludf.DUMMYFUNCTION("""COMPUTED_VALUE"""),0)</f>
        <v>0</v>
      </c>
      <c r="AZ397" s="24">
        <f ca="1">IFERROR(__xludf.DUMMYFUNCTION("""COMPUTED_VALUE"""),0)</f>
        <v>0</v>
      </c>
      <c r="BA397" s="24">
        <f ca="1">IFERROR(__xludf.DUMMYFUNCTION("""COMPUTED_VALUE"""),1511.4)</f>
        <v>1511.4</v>
      </c>
      <c r="BB397" s="24">
        <f ca="1">IFERROR(__xludf.DUMMYFUNCTION("""COMPUTED_VALUE"""),138.6)</f>
        <v>138.6</v>
      </c>
      <c r="BC397" s="20"/>
      <c r="BD397" s="24">
        <f ca="1">IFERROR(__xludf.DUMMYFUNCTION("""COMPUTED_VALUE"""),1650)</f>
        <v>1650</v>
      </c>
      <c r="BE397" s="24">
        <f ca="1">IFERROR(__xludf.DUMMYFUNCTION("""COMPUTED_VALUE"""),0)</f>
        <v>0</v>
      </c>
      <c r="BF397" s="24">
        <f ca="1">IFERROR(__xludf.DUMMYFUNCTION("""COMPUTED_VALUE"""),1511.4)</f>
        <v>1511.4</v>
      </c>
      <c r="BG397" s="24">
        <f ca="1">IFERROR(__xludf.DUMMYFUNCTION("""COMPUTED_VALUE"""),0)</f>
        <v>0</v>
      </c>
      <c r="BH397" s="24">
        <f ca="1">IFERROR(__xludf.DUMMYFUNCTION("""COMPUTED_VALUE"""),138.6)</f>
        <v>138.6</v>
      </c>
      <c r="BI397" s="20"/>
      <c r="BJ397" s="24">
        <f ca="1">IFERROR(__xludf.DUMMYFUNCTION("""COMPUTED_VALUE"""),0)</f>
        <v>0</v>
      </c>
      <c r="BK397" s="24">
        <f ca="1">IFERROR(__xludf.DUMMYFUNCTION("""COMPUTED_VALUE"""),0)</f>
        <v>0</v>
      </c>
      <c r="BL397" s="24">
        <f ca="1">IFERROR(__xludf.DUMMYFUNCTION("""COMPUTED_VALUE"""),0)</f>
        <v>0</v>
      </c>
      <c r="BM397" s="24">
        <f ca="1">IFERROR(__xludf.DUMMYFUNCTION("""COMPUTED_VALUE"""),0)</f>
        <v>0</v>
      </c>
      <c r="BN397" s="24">
        <f ca="1">IFERROR(__xludf.DUMMYFUNCTION("""COMPUTED_VALUE"""),0)</f>
        <v>0</v>
      </c>
      <c r="BO397" s="20"/>
      <c r="BP397" s="24">
        <f ca="1">IFERROR(__xludf.DUMMYFUNCTION("""COMPUTED_VALUE"""),0)</f>
        <v>0</v>
      </c>
      <c r="BQ397" s="24">
        <f ca="1">IFERROR(__xludf.DUMMYFUNCTION("""COMPUTED_VALUE"""),0)</f>
        <v>0</v>
      </c>
      <c r="BR397" s="24">
        <f ca="1">IFERROR(__xludf.DUMMYFUNCTION("""COMPUTED_VALUE"""),0)</f>
        <v>0</v>
      </c>
      <c r="BS397" s="24">
        <f ca="1">IFERROR(__xludf.DUMMYFUNCTION("""COMPUTED_VALUE"""),0)</f>
        <v>0</v>
      </c>
      <c r="BT397" s="24">
        <f ca="1">IFERROR(__xludf.DUMMYFUNCTION("""COMPUTED_VALUE"""),0)</f>
        <v>0</v>
      </c>
      <c r="BU397" s="20"/>
      <c r="BV397" s="24">
        <f ca="1">IFERROR(__xludf.DUMMYFUNCTION("""COMPUTED_VALUE"""),0)</f>
        <v>0</v>
      </c>
      <c r="BW397" s="24">
        <f ca="1">IFERROR(__xludf.DUMMYFUNCTION("""COMPUTED_VALUE"""),0)</f>
        <v>0</v>
      </c>
      <c r="BX397" s="24">
        <f ca="1">IFERROR(__xludf.DUMMYFUNCTION("""COMPUTED_VALUE"""),0)</f>
        <v>0</v>
      </c>
      <c r="BY397" s="24">
        <f ca="1">IFERROR(__xludf.DUMMYFUNCTION("""COMPUTED_VALUE"""),0)</f>
        <v>0</v>
      </c>
      <c r="BZ397" s="24">
        <f ca="1">IFERROR(__xludf.DUMMYFUNCTION("""COMPUTED_VALUE"""),0)</f>
        <v>0</v>
      </c>
      <c r="CA397" s="20"/>
      <c r="CB397" s="20" t="str">
        <f ca="1">IFERROR(__xludf.DUMMYFUNCTION("""COMPUTED_VALUE"""),"заключен")</f>
        <v>заключен</v>
      </c>
      <c r="CC397" s="26">
        <f ca="1">IFERROR(__xludf.DUMMYFUNCTION("""COMPUTED_VALUE"""),43951)</f>
        <v>43951</v>
      </c>
      <c r="CD397" s="20" t="str">
        <f ca="1">IFERROR(__xludf.DUMMYFUNCTION("""COMPUTED_VALUE"""),"0848300060020000049")</f>
        <v>0848300060020000049</v>
      </c>
      <c r="CE397" s="26">
        <f ca="1">IFERROR(__xludf.DUMMYFUNCTION("""COMPUTED_VALUE"""),43997)</f>
        <v>43997</v>
      </c>
      <c r="CF397" s="20" t="str">
        <f ca="1">IFERROR(__xludf.DUMMYFUNCTION("""COMPUTED_VALUE"""),"08483000600200000490001")</f>
        <v>08483000600200000490001</v>
      </c>
      <c r="CG397" s="20" t="str">
        <f ca="1">IFERROR(__xludf.DUMMYFUNCTION("""COMPUTED_VALUE"""),"9 339 000,00")</f>
        <v>9 339 000,00</v>
      </c>
      <c r="CH397" s="20" t="str">
        <f ca="1">IFERROR(__xludf.DUMMYFUNCTION("""COMPUTED_VALUE"""),"АО ""Мособлгаз"" ""Восток""")</f>
        <v>АО "Мособлгаз" "Восток"</v>
      </c>
      <c r="CI397"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J397" s="20"/>
      <c r="CK397" s="20"/>
      <c r="CL397" s="20"/>
      <c r="CM397" s="20"/>
      <c r="CN397" s="20"/>
      <c r="CO397" s="20"/>
      <c r="CP397" s="20"/>
      <c r="CQ397" s="20"/>
      <c r="CR397" s="20"/>
      <c r="CS397" s="20"/>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row>
    <row r="398" spans="1:123" ht="64.5" customHeight="1" x14ac:dyDescent="0.2">
      <c r="A398" s="19"/>
      <c r="B398" s="20" t="str">
        <f ca="1">IFERROR(__xludf.DUMMYFUNCTION("""COMPUTED_VALUE"""),"г.о. Шатура")</f>
        <v>г.о. Шатура</v>
      </c>
      <c r="C39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8" s="20" t="str">
        <f ca="1">IFERROR(__xludf.DUMMYFUNCTION("""COMPUTED_VALUE"""),"МинЖКХ ""ТОП 5 (1 этап)""")</f>
        <v>МинЖКХ "ТОП 5 (1 этап)"</v>
      </c>
      <c r="E398" s="20" t="str">
        <f ca="1">IFERROR(__xludf.DUMMYFUNCTION("""COMPUTED_VALUE"""),"Строительство сдвоенного газового котла наружного размещения (КНР) рп. Черусти, ул. М.Горького 3 (в т.ч. ПИР, ТП)  г.о. Шатура")</f>
        <v>Строительство сдвоенного газового котла наружного размещения (КНР) рп. Черусти, ул. М.Горького 3 (в т.ч. ПИР, ТП)  г.о. Шатура</v>
      </c>
      <c r="F398" s="32" t="str">
        <f ca="1">IFERROR(__xludf.DUMMYFUNCTION("""COMPUTED_VALUE"""),"Котельная")</f>
        <v>Котельная</v>
      </c>
      <c r="G398" s="20" t="str">
        <f ca="1">IFERROR(__xludf.DUMMYFUNCTION("""COMPUTED_VALUE"""),"2020-2021")</f>
        <v>2020-2021</v>
      </c>
      <c r="H398" s="20" t="str">
        <f ca="1">IFERROR(__xludf.DUMMYFUNCTION("""COMPUTED_VALUE"""),"СМР")</f>
        <v>СМР</v>
      </c>
      <c r="I398" s="20"/>
      <c r="J398" s="20" t="str">
        <f ca="1">IFERROR(__xludf.DUMMYFUNCTION("""COMPUTED_VALUE"""),"Выход из МОГЭ 03.12.2020 с увелечением лимитов на 8 693,98 тыс. руб. Котлы закуплены и находятся на территории районной эксплуатационной службе филиала МОСОБЛГАЗ.")</f>
        <v>Выход из МОГЭ 03.12.2020 с увелечением лимитов на 8 693,98 тыс. руб. Котлы закуплены и находятся на территории районной эксплуатационной службе филиала МОСОБЛГАЗ.</v>
      </c>
      <c r="K398" s="20">
        <f ca="1">IFERROR(__xludf.DUMMYFUNCTION("""COMPUTED_VALUE"""),0)</f>
        <v>0</v>
      </c>
      <c r="L398" s="20">
        <f ca="1">IFERROR(__xludf.DUMMYFUNCTION("""COMPUTED_VALUE"""),24)</f>
        <v>24</v>
      </c>
      <c r="M398" s="20"/>
      <c r="N398" s="24">
        <f ca="1">IFERROR(__xludf.DUMMYFUNCTION("""COMPUTED_VALUE"""),591.88)</f>
        <v>591.88</v>
      </c>
      <c r="O398" s="20"/>
      <c r="P398" s="24">
        <f ca="1">IFERROR(__xludf.DUMMYFUNCTION("""COMPUTED_VALUE"""),0)</f>
        <v>0</v>
      </c>
      <c r="Q398" s="20">
        <f ca="1">IFERROR(__xludf.DUMMYFUNCTION("""COMPUTED_VALUE"""),591.88)</f>
        <v>591.88</v>
      </c>
      <c r="R398" s="20"/>
      <c r="S398" s="20"/>
      <c r="T398" s="20" t="str">
        <f ca="1">IFERROR(__xludf.DUMMYFUNCTION("""COMPUTED_VALUE"""),"Выход из МОГЭ 03.12.2020 с увелечением лимитов на 8 693,98 тыс. руб. Котлы закуплены и находятся на территории районной эксплуатационной службе филиала МОСОБЛГАЗ.")</f>
        <v>Выход из МОГЭ 03.12.2020 с увелечением лимитов на 8 693,98 тыс. руб. Котлы закуплены и находятся на территории районной эксплуатационной службе филиала МОСОБЛГАЗ.</v>
      </c>
      <c r="U398" s="24">
        <f ca="1">IFERROR(__xludf.DUMMYFUNCTION("""COMPUTED_VALUE"""),1058.12)</f>
        <v>1058.1199999999999</v>
      </c>
      <c r="V398" s="24">
        <f ca="1">IFERROR(__xludf.DUMMYFUNCTION("""COMPUTED_VALUE"""),0)</f>
        <v>0</v>
      </c>
      <c r="W398" s="24">
        <f ca="1">IFERROR(__xludf.DUMMYFUNCTION("""COMPUTED_VALUE"""),0)</f>
        <v>0</v>
      </c>
      <c r="X398" s="24">
        <f ca="1">IFERROR(__xludf.DUMMYFUNCTION("""COMPUTED_VALUE"""),919.52)</f>
        <v>919.52</v>
      </c>
      <c r="Y398" s="24">
        <f ca="1">IFERROR(__xludf.DUMMYFUNCTION("""COMPUTED_VALUE"""),138.6)</f>
        <v>138.6</v>
      </c>
      <c r="Z398" s="24">
        <f ca="1">IFERROR(__xludf.DUMMYFUNCTION("""COMPUTED_VALUE"""),0)</f>
        <v>0</v>
      </c>
      <c r="AA398" s="20" t="str">
        <f ca="1">IFERROR(__xludf.DUMMYFUNCTION("""COMPUTED_VALUE"""),"10 3 02 64080")</f>
        <v>10 3 02 64080</v>
      </c>
      <c r="AB398" s="20">
        <f ca="1">IFERROR(__xludf.DUMMYFUNCTION("""COMPUTED_VALUE"""),522)</f>
        <v>522</v>
      </c>
      <c r="AC398" s="20"/>
      <c r="AD398" s="20"/>
      <c r="AE398" s="20"/>
      <c r="AF398" s="24">
        <f ca="1">IFERROR(__xludf.DUMMYFUNCTION("""COMPUTED_VALUE"""),3300)</f>
        <v>3300</v>
      </c>
      <c r="AG398" s="24">
        <f ca="1">IFERROR(__xludf.DUMMYFUNCTION("""COMPUTED_VALUE"""),0)</f>
        <v>0</v>
      </c>
      <c r="AH398" s="24">
        <f ca="1">IFERROR(__xludf.DUMMYFUNCTION("""COMPUTED_VALUE"""),1511.4)</f>
        <v>1511.4</v>
      </c>
      <c r="AI398" s="24">
        <f ca="1">IFERROR(__xludf.DUMMYFUNCTION("""COMPUTED_VALUE"""),1511.4)</f>
        <v>1511.4</v>
      </c>
      <c r="AJ398" s="24">
        <f ca="1">IFERROR(__xludf.DUMMYFUNCTION("""COMPUTED_VALUE"""),277.2)</f>
        <v>277.2</v>
      </c>
      <c r="AK398" s="24">
        <f ca="1">IFERROR(__xludf.DUMMYFUNCTION("""COMPUTED_VALUE"""),0)</f>
        <v>0</v>
      </c>
      <c r="AL398" s="24">
        <f ca="1">IFERROR(__xludf.DUMMYFUNCTION("""COMPUTED_VALUE"""),0)</f>
        <v>0</v>
      </c>
      <c r="AM398" s="20"/>
      <c r="AN398" s="20"/>
      <c r="AO398" s="20"/>
      <c r="AP398" s="20"/>
      <c r="AQ398" s="20"/>
      <c r="AR398" s="24">
        <f ca="1">IFERROR(__xludf.DUMMYFUNCTION("""COMPUTED_VALUE"""),0)</f>
        <v>0</v>
      </c>
      <c r="AS398" s="20"/>
      <c r="AT398" s="20"/>
      <c r="AU398" s="20"/>
      <c r="AV398" s="20"/>
      <c r="AW398" s="20"/>
      <c r="AX398" s="24">
        <f ca="1">IFERROR(__xludf.DUMMYFUNCTION("""COMPUTED_VALUE"""),1650)</f>
        <v>1650</v>
      </c>
      <c r="AY398" s="24">
        <f ca="1">IFERROR(__xludf.DUMMYFUNCTION("""COMPUTED_VALUE"""),0)</f>
        <v>0</v>
      </c>
      <c r="AZ398" s="24">
        <f ca="1">IFERROR(__xludf.DUMMYFUNCTION("""COMPUTED_VALUE"""),0)</f>
        <v>0</v>
      </c>
      <c r="BA398" s="24">
        <f ca="1">IFERROR(__xludf.DUMMYFUNCTION("""COMPUTED_VALUE"""),1511.4)</f>
        <v>1511.4</v>
      </c>
      <c r="BB398" s="24">
        <f ca="1">IFERROR(__xludf.DUMMYFUNCTION("""COMPUTED_VALUE"""),138.6)</f>
        <v>138.6</v>
      </c>
      <c r="BC398" s="20"/>
      <c r="BD398" s="24">
        <f ca="1">IFERROR(__xludf.DUMMYFUNCTION("""COMPUTED_VALUE"""),1650)</f>
        <v>1650</v>
      </c>
      <c r="BE398" s="24">
        <f ca="1">IFERROR(__xludf.DUMMYFUNCTION("""COMPUTED_VALUE"""),0)</f>
        <v>0</v>
      </c>
      <c r="BF398" s="24">
        <f ca="1">IFERROR(__xludf.DUMMYFUNCTION("""COMPUTED_VALUE"""),1511.4)</f>
        <v>1511.4</v>
      </c>
      <c r="BG398" s="24">
        <f ca="1">IFERROR(__xludf.DUMMYFUNCTION("""COMPUTED_VALUE"""),0)</f>
        <v>0</v>
      </c>
      <c r="BH398" s="24">
        <f ca="1">IFERROR(__xludf.DUMMYFUNCTION("""COMPUTED_VALUE"""),138.6)</f>
        <v>138.6</v>
      </c>
      <c r="BI398" s="20"/>
      <c r="BJ398" s="24">
        <f ca="1">IFERROR(__xludf.DUMMYFUNCTION("""COMPUTED_VALUE"""),0)</f>
        <v>0</v>
      </c>
      <c r="BK398" s="24">
        <f ca="1">IFERROR(__xludf.DUMMYFUNCTION("""COMPUTED_VALUE"""),0)</f>
        <v>0</v>
      </c>
      <c r="BL398" s="24">
        <f ca="1">IFERROR(__xludf.DUMMYFUNCTION("""COMPUTED_VALUE"""),0)</f>
        <v>0</v>
      </c>
      <c r="BM398" s="24">
        <f ca="1">IFERROR(__xludf.DUMMYFUNCTION("""COMPUTED_VALUE"""),0)</f>
        <v>0</v>
      </c>
      <c r="BN398" s="24">
        <f ca="1">IFERROR(__xludf.DUMMYFUNCTION("""COMPUTED_VALUE"""),0)</f>
        <v>0</v>
      </c>
      <c r="BO398" s="20"/>
      <c r="BP398" s="24">
        <f ca="1">IFERROR(__xludf.DUMMYFUNCTION("""COMPUTED_VALUE"""),0)</f>
        <v>0</v>
      </c>
      <c r="BQ398" s="24">
        <f ca="1">IFERROR(__xludf.DUMMYFUNCTION("""COMPUTED_VALUE"""),0)</f>
        <v>0</v>
      </c>
      <c r="BR398" s="24">
        <f ca="1">IFERROR(__xludf.DUMMYFUNCTION("""COMPUTED_VALUE"""),0)</f>
        <v>0</v>
      </c>
      <c r="BS398" s="24">
        <f ca="1">IFERROR(__xludf.DUMMYFUNCTION("""COMPUTED_VALUE"""),0)</f>
        <v>0</v>
      </c>
      <c r="BT398" s="24">
        <f ca="1">IFERROR(__xludf.DUMMYFUNCTION("""COMPUTED_VALUE"""),0)</f>
        <v>0</v>
      </c>
      <c r="BU398" s="20"/>
      <c r="BV398" s="24">
        <f ca="1">IFERROR(__xludf.DUMMYFUNCTION("""COMPUTED_VALUE"""),0)</f>
        <v>0</v>
      </c>
      <c r="BW398" s="24">
        <f ca="1">IFERROR(__xludf.DUMMYFUNCTION("""COMPUTED_VALUE"""),0)</f>
        <v>0</v>
      </c>
      <c r="BX398" s="24">
        <f ca="1">IFERROR(__xludf.DUMMYFUNCTION("""COMPUTED_VALUE"""),0)</f>
        <v>0</v>
      </c>
      <c r="BY398" s="24">
        <f ca="1">IFERROR(__xludf.DUMMYFUNCTION("""COMPUTED_VALUE"""),0)</f>
        <v>0</v>
      </c>
      <c r="BZ398" s="24">
        <f ca="1">IFERROR(__xludf.DUMMYFUNCTION("""COMPUTED_VALUE"""),0)</f>
        <v>0</v>
      </c>
      <c r="CA398" s="20"/>
      <c r="CB398" s="20"/>
      <c r="CC398" s="20"/>
      <c r="CD398" s="20"/>
      <c r="CE398" s="20"/>
      <c r="CF398" s="20"/>
      <c r="CG398" s="20"/>
      <c r="CH398" s="20"/>
      <c r="CI398" s="20"/>
      <c r="CJ398" s="20"/>
      <c r="CK398" s="20"/>
      <c r="CL398" s="20"/>
      <c r="CM398" s="26">
        <f ca="1">IFERROR(__xludf.DUMMYFUNCTION("""COMPUTED_VALUE"""),43951)</f>
        <v>43951</v>
      </c>
      <c r="CN398" s="20" t="str">
        <f ca="1">IFERROR(__xludf.DUMMYFUNCTION("""COMPUTED_VALUE"""),"0848300060020000049")</f>
        <v>0848300060020000049</v>
      </c>
      <c r="CO398" s="26">
        <f ca="1">IFERROR(__xludf.DUMMYFUNCTION("""COMPUTED_VALUE"""),43997)</f>
        <v>43997</v>
      </c>
      <c r="CP398" s="20" t="str">
        <f ca="1">IFERROR(__xludf.DUMMYFUNCTION("""COMPUTED_VALUE"""),"08483000600200000490001")</f>
        <v>08483000600200000490001</v>
      </c>
      <c r="CQ398" s="20">
        <f ca="1">IFERROR(__xludf.DUMMYFUNCTION("""COMPUTED_VALUE"""),9339000)</f>
        <v>9339000</v>
      </c>
      <c r="CR398" s="20" t="str">
        <f ca="1">IFERROR(__xludf.DUMMYFUNCTION("""COMPUTED_VALUE"""),"АО ""Мособлгаз"" ""Восток""")</f>
        <v>АО "Мособлгаз" "Восток"</v>
      </c>
      <c r="CS398"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row>
    <row r="399" spans="1:123" ht="64.5" customHeight="1" x14ac:dyDescent="0.2">
      <c r="A399" s="19"/>
      <c r="B399" s="20" t="str">
        <f ca="1">IFERROR(__xludf.DUMMYFUNCTION("""COMPUTED_VALUE"""),"г.о. Шатура")</f>
        <v>г.о. Шатура</v>
      </c>
      <c r="C39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9" s="20" t="str">
        <f ca="1">IFERROR(__xludf.DUMMYFUNCTION("""COMPUTED_VALUE"""),"МинЖКХ ""ТОП 5 (1 этап)""")</f>
        <v>МинЖКХ "ТОП 5 (1 этап)"</v>
      </c>
      <c r="E399" s="20" t="str">
        <f ca="1">IFERROR(__xludf.DUMMYFUNCTION("""COMPUTED_VALUE"""),"Строительство сдвоенного газового котла наружного размещения (КНР) с. Власово (в т.ч. ПИР, ТП) г.о. Шатура")</f>
        <v>Строительство сдвоенного газового котла наружного размещения (КНР) с. Власово (в т.ч. ПИР, ТП) г.о. Шатура</v>
      </c>
      <c r="F399" s="32" t="str">
        <f ca="1">IFERROR(__xludf.DUMMYFUNCTION("""COMPUTED_VALUE"""),"Котельная")</f>
        <v>Котельная</v>
      </c>
      <c r="G399" s="20" t="str">
        <f ca="1">IFERROR(__xludf.DUMMYFUNCTION("""COMPUTED_VALUE"""),"2020-2021")</f>
        <v>2020-2021</v>
      </c>
      <c r="H399" s="20" t="str">
        <f ca="1">IFERROR(__xludf.DUMMYFUNCTION("""COMPUTED_VALUE"""),"СМР")</f>
        <v>СМР</v>
      </c>
      <c r="I399" s="20"/>
      <c r="J399" s="20" t="str">
        <f ca="1">IFERROR(__xludf.DUMMYFUNCTION("""COMPUTED_VALUE"""),"Находится в МОГЭ. Предварительная дата выхода 03.12.2020")</f>
        <v>Находится в МОГЭ. Предварительная дата выхода 03.12.2020</v>
      </c>
      <c r="K399" s="20">
        <f ca="1">IFERROR(__xludf.DUMMYFUNCTION("""COMPUTED_VALUE"""),0)</f>
        <v>0</v>
      </c>
      <c r="L399" s="20">
        <f ca="1">IFERROR(__xludf.DUMMYFUNCTION("""COMPUTED_VALUE"""),108)</f>
        <v>108</v>
      </c>
      <c r="M399" s="20"/>
      <c r="N399" s="24">
        <f ca="1">IFERROR(__xludf.DUMMYFUNCTION("""COMPUTED_VALUE"""),1274.84)</f>
        <v>1274.8399999999999</v>
      </c>
      <c r="O399" s="20"/>
      <c r="P399" s="24">
        <f ca="1">IFERROR(__xludf.DUMMYFUNCTION("""COMPUTED_VALUE"""),0)</f>
        <v>0</v>
      </c>
      <c r="Q399" s="20">
        <f ca="1">IFERROR(__xludf.DUMMYFUNCTION("""COMPUTED_VALUE"""),1274.84)</f>
        <v>1274.8399999999999</v>
      </c>
      <c r="R399" s="20"/>
      <c r="S399" s="20"/>
      <c r="T399" s="20"/>
      <c r="U399" s="24">
        <f ca="1">IFERROR(__xludf.DUMMYFUNCTION("""COMPUTED_VALUE"""),225.16)</f>
        <v>225.16</v>
      </c>
      <c r="V399" s="24">
        <f ca="1">IFERROR(__xludf.DUMMYFUNCTION("""COMPUTED_VALUE"""),0)</f>
        <v>0</v>
      </c>
      <c r="W399" s="24">
        <f ca="1">IFERROR(__xludf.DUMMYFUNCTION("""COMPUTED_VALUE"""),0)</f>
        <v>0</v>
      </c>
      <c r="X399" s="24">
        <f ca="1">IFERROR(__xludf.DUMMYFUNCTION("""COMPUTED_VALUE"""),99.16)</f>
        <v>99.16</v>
      </c>
      <c r="Y399" s="24">
        <f ca="1">IFERROR(__xludf.DUMMYFUNCTION("""COMPUTED_VALUE"""),126)</f>
        <v>126</v>
      </c>
      <c r="Z399" s="24">
        <f ca="1">IFERROR(__xludf.DUMMYFUNCTION("""COMPUTED_VALUE"""),0)</f>
        <v>0</v>
      </c>
      <c r="AA399" s="20" t="str">
        <f ca="1">IFERROR(__xludf.DUMMYFUNCTION("""COMPUTED_VALUE"""),"10 3 02 64080")</f>
        <v>10 3 02 64080</v>
      </c>
      <c r="AB399" s="20">
        <f ca="1">IFERROR(__xludf.DUMMYFUNCTION("""COMPUTED_VALUE"""),522)</f>
        <v>522</v>
      </c>
      <c r="AC399" s="20"/>
      <c r="AD399" s="20"/>
      <c r="AE399" s="20"/>
      <c r="AF399" s="24">
        <f ca="1">IFERROR(__xludf.DUMMYFUNCTION("""COMPUTED_VALUE"""),7800)</f>
        <v>7800</v>
      </c>
      <c r="AG399" s="24">
        <f ca="1">IFERROR(__xludf.DUMMYFUNCTION("""COMPUTED_VALUE"""),0)</f>
        <v>0</v>
      </c>
      <c r="AH399" s="24">
        <f ca="1">IFERROR(__xludf.DUMMYFUNCTION("""COMPUTED_VALUE"""),0)</f>
        <v>0</v>
      </c>
      <c r="AI399" s="24">
        <f ca="1">IFERROR(__xludf.DUMMYFUNCTION("""COMPUTED_VALUE"""),7144.8)</f>
        <v>7144.8</v>
      </c>
      <c r="AJ399" s="24">
        <f ca="1">IFERROR(__xludf.DUMMYFUNCTION("""COMPUTED_VALUE"""),655.2)</f>
        <v>655.20000000000005</v>
      </c>
      <c r="AK399" s="24">
        <f ca="1">IFERROR(__xludf.DUMMYFUNCTION("""COMPUTED_VALUE"""),0)</f>
        <v>0</v>
      </c>
      <c r="AL399" s="24">
        <f ca="1">IFERROR(__xludf.DUMMYFUNCTION("""COMPUTED_VALUE"""),0)</f>
        <v>0</v>
      </c>
      <c r="AM399" s="20"/>
      <c r="AN399" s="20"/>
      <c r="AO399" s="20"/>
      <c r="AP399" s="20"/>
      <c r="AQ399" s="20"/>
      <c r="AR399" s="24">
        <f ca="1">IFERROR(__xludf.DUMMYFUNCTION("""COMPUTED_VALUE"""),0)</f>
        <v>0</v>
      </c>
      <c r="AS399" s="20"/>
      <c r="AT399" s="20"/>
      <c r="AU399" s="20"/>
      <c r="AV399" s="20"/>
      <c r="AW399" s="20"/>
      <c r="AX399" s="24">
        <f ca="1">IFERROR(__xludf.DUMMYFUNCTION("""COMPUTED_VALUE"""),1500)</f>
        <v>1500</v>
      </c>
      <c r="AY399" s="24">
        <f ca="1">IFERROR(__xludf.DUMMYFUNCTION("""COMPUTED_VALUE"""),0)</f>
        <v>0</v>
      </c>
      <c r="AZ399" s="24">
        <f ca="1">IFERROR(__xludf.DUMMYFUNCTION("""COMPUTED_VALUE"""),0)</f>
        <v>0</v>
      </c>
      <c r="BA399" s="24">
        <f ca="1">IFERROR(__xludf.DUMMYFUNCTION("""COMPUTED_VALUE"""),1374)</f>
        <v>1374</v>
      </c>
      <c r="BB399" s="24">
        <f ca="1">IFERROR(__xludf.DUMMYFUNCTION("""COMPUTED_VALUE"""),126)</f>
        <v>126</v>
      </c>
      <c r="BC399" s="20"/>
      <c r="BD399" s="24">
        <f ca="1">IFERROR(__xludf.DUMMYFUNCTION("""COMPUTED_VALUE"""),6300)</f>
        <v>6300</v>
      </c>
      <c r="BE399" s="24">
        <f ca="1">IFERROR(__xludf.DUMMYFUNCTION("""COMPUTED_VALUE"""),0)</f>
        <v>0</v>
      </c>
      <c r="BF399" s="24">
        <f ca="1">IFERROR(__xludf.DUMMYFUNCTION("""COMPUTED_VALUE"""),0)</f>
        <v>0</v>
      </c>
      <c r="BG399" s="24">
        <f ca="1">IFERROR(__xludf.DUMMYFUNCTION("""COMPUTED_VALUE"""),5770.8)</f>
        <v>5770.8</v>
      </c>
      <c r="BH399" s="24">
        <f ca="1">IFERROR(__xludf.DUMMYFUNCTION("""COMPUTED_VALUE"""),529.2)</f>
        <v>529.20000000000005</v>
      </c>
      <c r="BI399" s="20"/>
      <c r="BJ399" s="24">
        <f ca="1">IFERROR(__xludf.DUMMYFUNCTION("""COMPUTED_VALUE"""),0)</f>
        <v>0</v>
      </c>
      <c r="BK399" s="24">
        <f ca="1">IFERROR(__xludf.DUMMYFUNCTION("""COMPUTED_VALUE"""),0)</f>
        <v>0</v>
      </c>
      <c r="BL399" s="24">
        <f ca="1">IFERROR(__xludf.DUMMYFUNCTION("""COMPUTED_VALUE"""),0)</f>
        <v>0</v>
      </c>
      <c r="BM399" s="24">
        <f ca="1">IFERROR(__xludf.DUMMYFUNCTION("""COMPUTED_VALUE"""),0)</f>
        <v>0</v>
      </c>
      <c r="BN399" s="24">
        <f ca="1">IFERROR(__xludf.DUMMYFUNCTION("""COMPUTED_VALUE"""),0)</f>
        <v>0</v>
      </c>
      <c r="BO399" s="20"/>
      <c r="BP399" s="24">
        <f ca="1">IFERROR(__xludf.DUMMYFUNCTION("""COMPUTED_VALUE"""),0)</f>
        <v>0</v>
      </c>
      <c r="BQ399" s="24">
        <f ca="1">IFERROR(__xludf.DUMMYFUNCTION("""COMPUTED_VALUE"""),0)</f>
        <v>0</v>
      </c>
      <c r="BR399" s="24">
        <f ca="1">IFERROR(__xludf.DUMMYFUNCTION("""COMPUTED_VALUE"""),0)</f>
        <v>0</v>
      </c>
      <c r="BS399" s="24">
        <f ca="1">IFERROR(__xludf.DUMMYFUNCTION("""COMPUTED_VALUE"""),0)</f>
        <v>0</v>
      </c>
      <c r="BT399" s="24">
        <f ca="1">IFERROR(__xludf.DUMMYFUNCTION("""COMPUTED_VALUE"""),0)</f>
        <v>0</v>
      </c>
      <c r="BU399" s="20"/>
      <c r="BV399" s="24">
        <f ca="1">IFERROR(__xludf.DUMMYFUNCTION("""COMPUTED_VALUE"""),0)</f>
        <v>0</v>
      </c>
      <c r="BW399" s="24">
        <f ca="1">IFERROR(__xludf.DUMMYFUNCTION("""COMPUTED_VALUE"""),0)</f>
        <v>0</v>
      </c>
      <c r="BX399" s="24">
        <f ca="1">IFERROR(__xludf.DUMMYFUNCTION("""COMPUTED_VALUE"""),0)</f>
        <v>0</v>
      </c>
      <c r="BY399" s="24">
        <f ca="1">IFERROR(__xludf.DUMMYFUNCTION("""COMPUTED_VALUE"""),0)</f>
        <v>0</v>
      </c>
      <c r="BZ399" s="24">
        <f ca="1">IFERROR(__xludf.DUMMYFUNCTION("""COMPUTED_VALUE"""),0)</f>
        <v>0</v>
      </c>
      <c r="CA399" s="20"/>
      <c r="CB399" s="20"/>
      <c r="CC399" s="20"/>
      <c r="CD399" s="20"/>
      <c r="CE399" s="20"/>
      <c r="CF399" s="20"/>
      <c r="CG399" s="20"/>
      <c r="CH399" s="20"/>
      <c r="CI399" s="20"/>
      <c r="CJ399" s="20"/>
      <c r="CK399" s="20"/>
      <c r="CL399" s="20"/>
      <c r="CM399" s="26">
        <f ca="1">IFERROR(__xludf.DUMMYFUNCTION("""COMPUTED_VALUE"""),43951)</f>
        <v>43951</v>
      </c>
      <c r="CN399" s="20" t="str">
        <f ca="1">IFERROR(__xludf.DUMMYFUNCTION("""COMPUTED_VALUE"""),"0848300060020000049")</f>
        <v>0848300060020000049</v>
      </c>
      <c r="CO399" s="26">
        <f ca="1">IFERROR(__xludf.DUMMYFUNCTION("""COMPUTED_VALUE"""),43997)</f>
        <v>43997</v>
      </c>
      <c r="CP399" s="20" t="str">
        <f ca="1">IFERROR(__xludf.DUMMYFUNCTION("""COMPUTED_VALUE"""),"08483000600200000490001")</f>
        <v>08483000600200000490001</v>
      </c>
      <c r="CQ399" s="20">
        <f ca="1">IFERROR(__xludf.DUMMYFUNCTION("""COMPUTED_VALUE"""),9339000)</f>
        <v>9339000</v>
      </c>
      <c r="CR399" s="20" t="str">
        <f ca="1">IFERROR(__xludf.DUMMYFUNCTION("""COMPUTED_VALUE"""),"АО ""Мособлгаз"" ""Восток""")</f>
        <v>АО "Мособлгаз" "Восток"</v>
      </c>
      <c r="CS399" s="27" t="str">
        <f ca="1">IFERROR(__xludf.DUMMYFUNCTION("""COMPUTED_VALUE"""),"https://zakupki.gov.ru/epz/contract/contractCard/common-info.html?reestrNumber=3504900333020000062&amp;backUrl=76180298-e6d2-4976-8266-e0d0b9eaaf5a")</f>
        <v>https://zakupki.gov.ru/epz/contract/contractCard/common-info.html?reestrNumber=3504900333020000062&amp;backUrl=76180298-e6d2-4976-8266-e0d0b9eaaf5a</v>
      </c>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row>
    <row r="400" spans="1:123" ht="64.5" customHeight="1" x14ac:dyDescent="0.2">
      <c r="A400" s="19"/>
      <c r="B400" s="20" t="str">
        <f ca="1">IFERROR(__xludf.DUMMYFUNCTION("""COMPUTED_VALUE"""),"г.о. Орехово-Зуево")</f>
        <v>г.о. Орехово-Зуево</v>
      </c>
      <c r="C400"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00" s="20" t="str">
        <f ca="1">IFERROR(__xludf.DUMMYFUNCTION("""COMPUTED_VALUE"""),"МинЖКХ")</f>
        <v>МинЖКХ</v>
      </c>
      <c r="E400" s="20" t="str">
        <f ca="1">IFERROR(__xludf.DUMMYFUNCTION("""COMPUTED_VALUE"""),"Капитальный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f>
        <v xml:space="preserv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v>
      </c>
      <c r="F400" s="32" t="str">
        <f ca="1">IFERROR(__xludf.DUMMYFUNCTION("""COMPUTED_VALUE"""),"Сети")</f>
        <v>Сети</v>
      </c>
      <c r="G400" s="20">
        <f ca="1">IFERROR(__xludf.DUMMYFUNCTION("""COMPUTED_VALUE"""),2020)</f>
        <v>2020</v>
      </c>
      <c r="H400" s="20" t="str">
        <f ca="1">IFERROR(__xludf.DUMMYFUNCTION("""COMPUTED_VALUE"""),"СМР")</f>
        <v>СМР</v>
      </c>
      <c r="I400" s="20"/>
      <c r="J400" s="20" t="str">
        <f ca="1">IFERROR(__xludf.DUMMYFUNCTION("""COMPUTED_VALUE"""),"ЗАВЕРШЕНО
Готовится пакет на оплату 3 этапа в срок до 18.11.2020.")</f>
        <v>ЗАВЕРШЕНО
Готовится пакет на оплату 3 этапа в срок до 18.11.2020.</v>
      </c>
      <c r="K400" s="20">
        <f ca="1">IFERROR(__xludf.DUMMYFUNCTION("""COMPUTED_VALUE"""),120000)</f>
        <v>120000</v>
      </c>
      <c r="L400" s="20">
        <f ca="1">IFERROR(__xludf.DUMMYFUNCTION("""COMPUTED_VALUE"""),120000)</f>
        <v>120000</v>
      </c>
      <c r="M400" s="20"/>
      <c r="N400" s="24">
        <f ca="1">IFERROR(__xludf.DUMMYFUNCTION("""COMPUTED_VALUE"""),265835.15)</f>
        <v>265835.15000000002</v>
      </c>
      <c r="O400" s="20"/>
      <c r="P400" s="24">
        <f ca="1">IFERROR(__xludf.DUMMYFUNCTION("""COMPUTED_VALUE"""),0)</f>
        <v>0</v>
      </c>
      <c r="Q400" s="24">
        <f ca="1">IFERROR(__xludf.DUMMYFUNCTION("""COMPUTED_VALUE"""),265835.15)</f>
        <v>265835.15000000002</v>
      </c>
      <c r="R400" s="20"/>
      <c r="S400" s="20"/>
      <c r="T400" s="20"/>
      <c r="U400" s="24">
        <f ca="1">IFERROR(__xludf.DUMMYFUNCTION("""COMPUTED_VALUE"""),40210.1699999999)</f>
        <v>40210.169999999896</v>
      </c>
      <c r="V400" s="24">
        <f ca="1">IFERROR(__xludf.DUMMYFUNCTION("""COMPUTED_VALUE"""),0)</f>
        <v>0</v>
      </c>
      <c r="W400" s="24">
        <f ca="1">IFERROR(__xludf.DUMMYFUNCTION("""COMPUTED_VALUE"""),0)</f>
        <v>0</v>
      </c>
      <c r="X400" s="24">
        <f ca="1">IFERROR(__xludf.DUMMYFUNCTION("""COMPUTED_VALUE"""),24907.8499999999)</f>
        <v>24907.8499999999</v>
      </c>
      <c r="Y400" s="24">
        <f ca="1">IFERROR(__xludf.DUMMYFUNCTION("""COMPUTED_VALUE"""),15302.32)</f>
        <v>15302.32</v>
      </c>
      <c r="Z400" s="24">
        <f ca="1">IFERROR(__xludf.DUMMYFUNCTION("""COMPUTED_VALUE"""),0)</f>
        <v>0</v>
      </c>
      <c r="AA400" s="20" t="str">
        <f ca="1">IFERROR(__xludf.DUMMYFUNCTION("""COMPUTED_VALUE"""),"10 3 02 60320")</f>
        <v>10 3 02 60320</v>
      </c>
      <c r="AB400" s="20">
        <f ca="1">IFERROR(__xludf.DUMMYFUNCTION("""COMPUTED_VALUE"""),521)</f>
        <v>521</v>
      </c>
      <c r="AC400" s="20"/>
      <c r="AD400" s="20"/>
      <c r="AE400" s="20"/>
      <c r="AF400" s="24">
        <f ca="1">IFERROR(__xludf.DUMMYFUNCTION("""COMPUTED_VALUE"""),306045.32)</f>
        <v>306045.32</v>
      </c>
      <c r="AG400" s="24">
        <f ca="1">IFERROR(__xludf.DUMMYFUNCTION("""COMPUTED_VALUE"""),0)</f>
        <v>0</v>
      </c>
      <c r="AH400" s="24">
        <f ca="1">IFERROR(__xludf.DUMMYFUNCTION("""COMPUTED_VALUE"""),0)</f>
        <v>0</v>
      </c>
      <c r="AI400" s="24">
        <f ca="1">IFERROR(__xludf.DUMMYFUNCTION("""COMPUTED_VALUE"""),290743)</f>
        <v>290743</v>
      </c>
      <c r="AJ400" s="24">
        <f ca="1">IFERROR(__xludf.DUMMYFUNCTION("""COMPUTED_VALUE"""),15302.32)</f>
        <v>15302.32</v>
      </c>
      <c r="AK400" s="24">
        <f ca="1">IFERROR(__xludf.DUMMYFUNCTION("""COMPUTED_VALUE"""),0)</f>
        <v>0</v>
      </c>
      <c r="AL400" s="24">
        <f ca="1">IFERROR(__xludf.DUMMYFUNCTION("""COMPUTED_VALUE"""),0)</f>
        <v>0</v>
      </c>
      <c r="AM400" s="20"/>
      <c r="AN400" s="20"/>
      <c r="AO400" s="20"/>
      <c r="AP400" s="20"/>
      <c r="AQ400" s="20"/>
      <c r="AR400" s="24">
        <f ca="1">IFERROR(__xludf.DUMMYFUNCTION("""COMPUTED_VALUE"""),0)</f>
        <v>0</v>
      </c>
      <c r="AS400" s="20"/>
      <c r="AT400" s="20"/>
      <c r="AU400" s="20"/>
      <c r="AV400" s="20"/>
      <c r="AW400" s="20"/>
      <c r="AX400" s="24">
        <f ca="1">IFERROR(__xludf.DUMMYFUNCTION("""COMPUTED_VALUE"""),306045.32)</f>
        <v>306045.32</v>
      </c>
      <c r="AY400" s="24">
        <f ca="1">IFERROR(__xludf.DUMMYFUNCTION("""COMPUTED_VALUE"""),0)</f>
        <v>0</v>
      </c>
      <c r="AZ400" s="24">
        <f ca="1">IFERROR(__xludf.DUMMYFUNCTION("""COMPUTED_VALUE"""),0)</f>
        <v>0</v>
      </c>
      <c r="BA400" s="24">
        <f ca="1">IFERROR(__xludf.DUMMYFUNCTION("""COMPUTED_VALUE"""),290743)</f>
        <v>290743</v>
      </c>
      <c r="BB400" s="24">
        <f ca="1">IFERROR(__xludf.DUMMYFUNCTION("""COMPUTED_VALUE"""),15302.32)</f>
        <v>15302.32</v>
      </c>
      <c r="BC400" s="20"/>
      <c r="BD400" s="24">
        <f ca="1">IFERROR(__xludf.DUMMYFUNCTION("""COMPUTED_VALUE"""),0)</f>
        <v>0</v>
      </c>
      <c r="BE400" s="24">
        <f ca="1">IFERROR(__xludf.DUMMYFUNCTION("""COMPUTED_VALUE"""),0)</f>
        <v>0</v>
      </c>
      <c r="BF400" s="24">
        <f ca="1">IFERROR(__xludf.DUMMYFUNCTION("""COMPUTED_VALUE"""),0)</f>
        <v>0</v>
      </c>
      <c r="BG400" s="24">
        <f ca="1">IFERROR(__xludf.DUMMYFUNCTION("""COMPUTED_VALUE"""),0)</f>
        <v>0</v>
      </c>
      <c r="BH400" s="24">
        <f ca="1">IFERROR(__xludf.DUMMYFUNCTION("""COMPUTED_VALUE"""),0)</f>
        <v>0</v>
      </c>
      <c r="BI400" s="20"/>
      <c r="BJ400" s="24">
        <f ca="1">IFERROR(__xludf.DUMMYFUNCTION("""COMPUTED_VALUE"""),0)</f>
        <v>0</v>
      </c>
      <c r="BK400" s="24">
        <f ca="1">IFERROR(__xludf.DUMMYFUNCTION("""COMPUTED_VALUE"""),0)</f>
        <v>0</v>
      </c>
      <c r="BL400" s="24">
        <f ca="1">IFERROR(__xludf.DUMMYFUNCTION("""COMPUTED_VALUE"""),0)</f>
        <v>0</v>
      </c>
      <c r="BM400" s="24">
        <f ca="1">IFERROR(__xludf.DUMMYFUNCTION("""COMPUTED_VALUE"""),0)</f>
        <v>0</v>
      </c>
      <c r="BN400" s="24">
        <f ca="1">IFERROR(__xludf.DUMMYFUNCTION("""COMPUTED_VALUE"""),0)</f>
        <v>0</v>
      </c>
      <c r="BO400" s="20"/>
      <c r="BP400" s="24">
        <f ca="1">IFERROR(__xludf.DUMMYFUNCTION("""COMPUTED_VALUE"""),0)</f>
        <v>0</v>
      </c>
      <c r="BQ400" s="24">
        <f ca="1">IFERROR(__xludf.DUMMYFUNCTION("""COMPUTED_VALUE"""),0)</f>
        <v>0</v>
      </c>
      <c r="BR400" s="24">
        <f ca="1">IFERROR(__xludf.DUMMYFUNCTION("""COMPUTED_VALUE"""),0)</f>
        <v>0</v>
      </c>
      <c r="BS400" s="24">
        <f ca="1">IFERROR(__xludf.DUMMYFUNCTION("""COMPUTED_VALUE"""),0)</f>
        <v>0</v>
      </c>
      <c r="BT400" s="24">
        <f ca="1">IFERROR(__xludf.DUMMYFUNCTION("""COMPUTED_VALUE"""),0)</f>
        <v>0</v>
      </c>
      <c r="BU400" s="20"/>
      <c r="BV400" s="24">
        <f ca="1">IFERROR(__xludf.DUMMYFUNCTION("""COMPUTED_VALUE"""),0)</f>
        <v>0</v>
      </c>
      <c r="BW400" s="24">
        <f ca="1">IFERROR(__xludf.DUMMYFUNCTION("""COMPUTED_VALUE"""),0)</f>
        <v>0</v>
      </c>
      <c r="BX400" s="24">
        <f ca="1">IFERROR(__xludf.DUMMYFUNCTION("""COMPUTED_VALUE"""),0)</f>
        <v>0</v>
      </c>
      <c r="BY400" s="24">
        <f ca="1">IFERROR(__xludf.DUMMYFUNCTION("""COMPUTED_VALUE"""),0)</f>
        <v>0</v>
      </c>
      <c r="BZ400" s="24">
        <f ca="1">IFERROR(__xludf.DUMMYFUNCTION("""COMPUTED_VALUE"""),0)</f>
        <v>0</v>
      </c>
      <c r="CA400" s="20"/>
      <c r="CB400" s="20"/>
      <c r="CC400" s="20"/>
      <c r="CD400" s="20"/>
      <c r="CE400" s="20"/>
      <c r="CF400" s="20"/>
      <c r="CG400" s="20"/>
      <c r="CH400" s="20"/>
      <c r="CI400" s="20"/>
      <c r="CJ400" s="20"/>
      <c r="CK400" s="20"/>
      <c r="CL400" s="20"/>
      <c r="CM400" s="26">
        <f ca="1">IFERROR(__xludf.DUMMYFUNCTION("""COMPUTED_VALUE"""),43927)</f>
        <v>43927</v>
      </c>
      <c r="CN400" s="20" t="str">
        <f ca="1">IFERROR(__xludf.DUMMYFUNCTION("""COMPUTED_VALUE"""),"0148200005420000119")</f>
        <v>0148200005420000119</v>
      </c>
      <c r="CO400" s="26">
        <f ca="1">IFERROR(__xludf.DUMMYFUNCTION("""COMPUTED_VALUE"""),43966)</f>
        <v>43966</v>
      </c>
      <c r="CP400" s="20" t="str">
        <f ca="1">IFERROR(__xludf.DUMMYFUNCTION("""COMPUTED_VALUE"""),"0148200005420000119")</f>
        <v>0148200005420000119</v>
      </c>
      <c r="CQ400" s="20">
        <f ca="1">IFERROR(__xludf.DUMMYFUNCTION("""COMPUTED_VALUE"""),275965723.79)</f>
        <v>275965723.79000002</v>
      </c>
      <c r="CR400" s="20" t="str">
        <f ca="1">IFERROR(__xludf.DUMMYFUNCTION("""COMPUTED_VALUE"""),"ООО ""РБК Стройинвест"" ")</f>
        <v xml:space="preserve">ООО "РБК Стройинвест" </v>
      </c>
      <c r="CS400" s="27" t="str">
        <f ca="1">IFERROR(__xludf.DUMMYFUNCTION("""COMPUTED_VALUE"""),"https://zakupki.gov.ru/epz/contract/contractCard/common-info.html?reestrNumber=3503408266720000046&amp;backUrl=343a9dd8-e31e-4bdc-a203-e4835032fc06")</f>
        <v>https://zakupki.gov.ru/epz/contract/contractCard/common-info.html?reestrNumber=3503408266720000046&amp;backUrl=343a9dd8-e31e-4bdc-a203-e4835032fc06</v>
      </c>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row>
    <row r="401" spans="1:123" ht="64.5" customHeight="1" x14ac:dyDescent="0.2">
      <c r="A401" s="19"/>
      <c r="B401" s="20" t="str">
        <f ca="1">IFERROR(__xludf.DUMMYFUNCTION("""COMPUTED_VALUE"""),"МОС АВС")</f>
        <v>МОС АВС</v>
      </c>
      <c r="C401"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1" s="20" t="str">
        <f ca="1">IFERROR(__xludf.DUMMYFUNCTION("""COMPUTED_VALUE"""),"МинЖКХ")</f>
        <v>МинЖКХ</v>
      </c>
      <c r="E401" s="20" t="str">
        <f ca="1">IFERROR(__xludf.DUMMYFUNCTION("""COMPUTED_VALUE"""),"Строительство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f>
        <v>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v>
      </c>
      <c r="F401" s="32" t="str">
        <f ca="1">IFERROR(__xludf.DUMMYFUNCTION("""COMPUTED_VALUE"""),"БМК")</f>
        <v>БМК</v>
      </c>
      <c r="G401" s="20" t="str">
        <f ca="1">IFERROR(__xludf.DUMMYFUNCTION("""COMPUTED_VALUE"""),"2020-2021")</f>
        <v>2020-2021</v>
      </c>
      <c r="H401" s="20" t="str">
        <f ca="1">IFERROR(__xludf.DUMMYFUNCTION("""COMPUTED_VALUE"""),"ПИР")</f>
        <v>ПИР</v>
      </c>
      <c r="I401" s="20"/>
      <c r="J401" s="20" t="str">
        <f ca="1">IFERROR(__xludf.DUMMYFUNCTION("""COMPUTED_VALUE"""),"Отсутствует техническая возможность подключения к сетям газоснабжения. ")</f>
        <v xml:space="preserve">Отсутствует техническая возможность подключения к сетям газоснабжения. </v>
      </c>
      <c r="K401" s="20" t="str">
        <f ca="1">IFERROR(__xludf.DUMMYFUNCTION("""COMPUTED_VALUE"""),"-")</f>
        <v>-</v>
      </c>
      <c r="L401" s="20" t="str">
        <f ca="1">IFERROR(__xludf.DUMMYFUNCTION("""COMPUTED_VALUE"""),"-")</f>
        <v>-</v>
      </c>
      <c r="M401" s="20"/>
      <c r="N401" s="24">
        <f ca="1">IFERROR(__xludf.DUMMYFUNCTION("""COMPUTED_VALUE"""),0)</f>
        <v>0</v>
      </c>
      <c r="O401" s="20"/>
      <c r="P401" s="24">
        <f ca="1">IFERROR(__xludf.DUMMYFUNCTION("""COMPUTED_VALUE"""),0)</f>
        <v>0</v>
      </c>
      <c r="Q401" s="20"/>
      <c r="R401" s="20"/>
      <c r="S401" s="20"/>
      <c r="T401" s="20"/>
      <c r="U401" s="24">
        <f ca="1">IFERROR(__xludf.DUMMYFUNCTION("""COMPUTED_VALUE"""),742.19)</f>
        <v>742.19</v>
      </c>
      <c r="V401" s="24">
        <f ca="1">IFERROR(__xludf.DUMMYFUNCTION("""COMPUTED_VALUE"""),0)</f>
        <v>0</v>
      </c>
      <c r="W401" s="24">
        <f ca="1">IFERROR(__xludf.DUMMYFUNCTION("""COMPUTED_VALUE"""),742.19)</f>
        <v>742.19</v>
      </c>
      <c r="X401" s="24">
        <f ca="1">IFERROR(__xludf.DUMMYFUNCTION("""COMPUTED_VALUE"""),0)</f>
        <v>0</v>
      </c>
      <c r="Y401" s="24">
        <f ca="1">IFERROR(__xludf.DUMMYFUNCTION("""COMPUTED_VALUE"""),0)</f>
        <v>0</v>
      </c>
      <c r="Z401" s="24">
        <f ca="1">IFERROR(__xludf.DUMMYFUNCTION("""COMPUTED_VALUE"""),0)</f>
        <v>0</v>
      </c>
      <c r="AA401" s="20" t="str">
        <f ca="1">IFERROR(__xludf.DUMMYFUNCTION("""COMPUTED_VALUE"""),"10 3 02 40010")</f>
        <v>10 3 02 40010</v>
      </c>
      <c r="AB401" s="20">
        <f ca="1">IFERROR(__xludf.DUMMYFUNCTION("""COMPUTED_VALUE"""),414)</f>
        <v>414</v>
      </c>
      <c r="AC401" s="20"/>
      <c r="AD401" s="20"/>
      <c r="AE401" s="20"/>
      <c r="AF401" s="24">
        <f ca="1">IFERROR(__xludf.DUMMYFUNCTION("""COMPUTED_VALUE"""),2554.5)</f>
        <v>2554.5</v>
      </c>
      <c r="AG401" s="24">
        <f ca="1">IFERROR(__xludf.DUMMYFUNCTION("""COMPUTED_VALUE"""),0)</f>
        <v>0</v>
      </c>
      <c r="AH401" s="24">
        <f ca="1">IFERROR(__xludf.DUMMYFUNCTION("""COMPUTED_VALUE"""),2554.5)</f>
        <v>2554.5</v>
      </c>
      <c r="AI401" s="24">
        <f ca="1">IFERROR(__xludf.DUMMYFUNCTION("""COMPUTED_VALUE"""),0)</f>
        <v>0</v>
      </c>
      <c r="AJ401" s="24">
        <f ca="1">IFERROR(__xludf.DUMMYFUNCTION("""COMPUTED_VALUE"""),0)</f>
        <v>0</v>
      </c>
      <c r="AK401" s="24">
        <f ca="1">IFERROR(__xludf.DUMMYFUNCTION("""COMPUTED_VALUE"""),0)</f>
        <v>0</v>
      </c>
      <c r="AL401" s="24">
        <f ca="1">IFERROR(__xludf.DUMMYFUNCTION("""COMPUTED_VALUE"""),0)</f>
        <v>0</v>
      </c>
      <c r="AM401" s="20"/>
      <c r="AN401" s="20"/>
      <c r="AO401" s="20"/>
      <c r="AP401" s="20"/>
      <c r="AQ401" s="20"/>
      <c r="AR401" s="24">
        <f ca="1">IFERROR(__xludf.DUMMYFUNCTION("""COMPUTED_VALUE"""),0)</f>
        <v>0</v>
      </c>
      <c r="AS401" s="20"/>
      <c r="AT401" s="20"/>
      <c r="AU401" s="20"/>
      <c r="AV401" s="20"/>
      <c r="AW401" s="20"/>
      <c r="AX401" s="24">
        <f ca="1">IFERROR(__xludf.DUMMYFUNCTION("""COMPUTED_VALUE"""),742.19)</f>
        <v>742.19</v>
      </c>
      <c r="AY401" s="24">
        <f ca="1">IFERROR(__xludf.DUMMYFUNCTION("""COMPUTED_VALUE"""),0)</f>
        <v>0</v>
      </c>
      <c r="AZ401" s="24">
        <f ca="1">IFERROR(__xludf.DUMMYFUNCTION("""COMPUTED_VALUE"""),742.19)</f>
        <v>742.19</v>
      </c>
      <c r="BA401" s="24">
        <f ca="1">IFERROR(__xludf.DUMMYFUNCTION("""COMPUTED_VALUE"""),0)</f>
        <v>0</v>
      </c>
      <c r="BB401" s="24">
        <f ca="1">IFERROR(__xludf.DUMMYFUNCTION("""COMPUTED_VALUE"""),0)</f>
        <v>0</v>
      </c>
      <c r="BC401" s="20"/>
      <c r="BD401" s="24">
        <f ca="1">IFERROR(__xludf.DUMMYFUNCTION("""COMPUTED_VALUE"""),1812.31)</f>
        <v>1812.31</v>
      </c>
      <c r="BE401" s="24">
        <f ca="1">IFERROR(__xludf.DUMMYFUNCTION("""COMPUTED_VALUE"""),0)</f>
        <v>0</v>
      </c>
      <c r="BF401" s="24">
        <f ca="1">IFERROR(__xludf.DUMMYFUNCTION("""COMPUTED_VALUE"""),1812.31)</f>
        <v>1812.31</v>
      </c>
      <c r="BG401" s="24">
        <f ca="1">IFERROR(__xludf.DUMMYFUNCTION("""COMPUTED_VALUE"""),0)</f>
        <v>0</v>
      </c>
      <c r="BH401" s="24">
        <f ca="1">IFERROR(__xludf.DUMMYFUNCTION("""COMPUTED_VALUE"""),0)</f>
        <v>0</v>
      </c>
      <c r="BI401" s="20"/>
      <c r="BJ401" s="24">
        <f ca="1">IFERROR(__xludf.DUMMYFUNCTION("""COMPUTED_VALUE"""),0)</f>
        <v>0</v>
      </c>
      <c r="BK401" s="24">
        <f ca="1">IFERROR(__xludf.DUMMYFUNCTION("""COMPUTED_VALUE"""),0)</f>
        <v>0</v>
      </c>
      <c r="BL401" s="24">
        <f ca="1">IFERROR(__xludf.DUMMYFUNCTION("""COMPUTED_VALUE"""),0)</f>
        <v>0</v>
      </c>
      <c r="BM401" s="24">
        <f ca="1">IFERROR(__xludf.DUMMYFUNCTION("""COMPUTED_VALUE"""),0)</f>
        <v>0</v>
      </c>
      <c r="BN401" s="24">
        <f ca="1">IFERROR(__xludf.DUMMYFUNCTION("""COMPUTED_VALUE"""),0)</f>
        <v>0</v>
      </c>
      <c r="BO401" s="20"/>
      <c r="BP401" s="24">
        <f ca="1">IFERROR(__xludf.DUMMYFUNCTION("""COMPUTED_VALUE"""),0)</f>
        <v>0</v>
      </c>
      <c r="BQ401" s="24">
        <f ca="1">IFERROR(__xludf.DUMMYFUNCTION("""COMPUTED_VALUE"""),0)</f>
        <v>0</v>
      </c>
      <c r="BR401" s="24">
        <f ca="1">IFERROR(__xludf.DUMMYFUNCTION("""COMPUTED_VALUE"""),0)</f>
        <v>0</v>
      </c>
      <c r="BS401" s="24">
        <f ca="1">IFERROR(__xludf.DUMMYFUNCTION("""COMPUTED_VALUE"""),0)</f>
        <v>0</v>
      </c>
      <c r="BT401" s="24">
        <f ca="1">IFERROR(__xludf.DUMMYFUNCTION("""COMPUTED_VALUE"""),0)</f>
        <v>0</v>
      </c>
      <c r="BU401" s="20"/>
      <c r="BV401" s="24">
        <f ca="1">IFERROR(__xludf.DUMMYFUNCTION("""COMPUTED_VALUE"""),0)</f>
        <v>0</v>
      </c>
      <c r="BW401" s="24">
        <f ca="1">IFERROR(__xludf.DUMMYFUNCTION("""COMPUTED_VALUE"""),0)</f>
        <v>0</v>
      </c>
      <c r="BX401" s="24">
        <f ca="1">IFERROR(__xludf.DUMMYFUNCTION("""COMPUTED_VALUE"""),0)</f>
        <v>0</v>
      </c>
      <c r="BY401" s="24">
        <f ca="1">IFERROR(__xludf.DUMMYFUNCTION("""COMPUTED_VALUE"""),0)</f>
        <v>0</v>
      </c>
      <c r="BZ401" s="24">
        <f ca="1">IFERROR(__xludf.DUMMYFUNCTION("""COMPUTED_VALUE"""),0)</f>
        <v>0</v>
      </c>
      <c r="CA401" s="20"/>
      <c r="CB401" s="20"/>
      <c r="CC401" s="20"/>
      <c r="CD401" s="20"/>
      <c r="CE401" s="20"/>
      <c r="CF401" s="20"/>
      <c r="CG401" s="20"/>
      <c r="CH401" s="20"/>
      <c r="CI401" s="20"/>
      <c r="CJ401" s="20"/>
      <c r="CK401" s="20"/>
      <c r="CL401" s="20"/>
      <c r="CM401" s="20"/>
      <c r="CN401" s="20"/>
      <c r="CO401" s="20"/>
      <c r="CP401" s="20"/>
      <c r="CQ401" s="20"/>
      <c r="CR401" s="20"/>
      <c r="CS401" s="20"/>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row>
    <row r="402" spans="1:123" ht="64.5" customHeight="1" x14ac:dyDescent="0.2">
      <c r="A402" s="19"/>
      <c r="B402" s="20" t="str">
        <f ca="1">IFERROR(__xludf.DUMMYFUNCTION("""COMPUTED_VALUE"""),"МОС АВС")</f>
        <v>МОС АВС</v>
      </c>
      <c r="C402"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2" s="20" t="str">
        <f ca="1">IFERROR(__xludf.DUMMYFUNCTION("""COMPUTED_VALUE"""),"МинЖКХ")</f>
        <v>МинЖКХ</v>
      </c>
      <c r="E402" s="20" t="str">
        <f ca="1">IFERROR(__xludf.DUMMYFUNCTION("""COMPUTED_VALUE"""),"Строительство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(городско"&amp;"й округ Егорьевск)  (в том числе ПИР)")</f>
        <v>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(городской округ Егорьевск)  (в том числе ПИР)</v>
      </c>
      <c r="F402" s="32" t="str">
        <f ca="1">IFERROR(__xludf.DUMMYFUNCTION("""COMPUTED_VALUE"""),"БМК")</f>
        <v>БМК</v>
      </c>
      <c r="G402" s="20" t="str">
        <f ca="1">IFERROR(__xludf.DUMMYFUNCTION("""COMPUTED_VALUE"""),"2020-2021")</f>
        <v>2020-2021</v>
      </c>
      <c r="H402" s="20" t="str">
        <f ca="1">IFERROR(__xludf.DUMMYFUNCTION("""COMPUTED_VALUE"""),"СМР")</f>
        <v>СМР</v>
      </c>
      <c r="I402" s="20"/>
      <c r="J402" s="20" t="str">
        <f ca="1">IFERROR(__xludf.DUMMYFUNCTION("""COMPUTED_VALUE"""),"Изменение условий оплаты в связи с вводом в эксплуатацию в 2021.")</f>
        <v>Изменение условий оплаты в связи с вводом в эксплуатацию в 2021.</v>
      </c>
      <c r="K402" s="20"/>
      <c r="L402" s="20"/>
      <c r="M402" s="20"/>
      <c r="N402" s="24">
        <f ca="1">IFERROR(__xludf.DUMMYFUNCTION("""COMPUTED_VALUE"""),36215.89)</f>
        <v>36215.89</v>
      </c>
      <c r="O402" s="20"/>
      <c r="P402" s="24">
        <f ca="1">IFERROR(__xludf.DUMMYFUNCTION("""COMPUTED_VALUE"""),36215.89)</f>
        <v>36215.89</v>
      </c>
      <c r="Q402" s="20"/>
      <c r="R402" s="20"/>
      <c r="S402" s="20"/>
      <c r="T402" s="20"/>
      <c r="U402" s="24">
        <f ca="1">IFERROR(__xludf.DUMMYFUNCTION("""COMPUTED_VALUE"""),20318.6999999999)</f>
        <v>20318.699999999899</v>
      </c>
      <c r="V402" s="24">
        <f ca="1">IFERROR(__xludf.DUMMYFUNCTION("""COMPUTED_VALUE"""),0)</f>
        <v>0</v>
      </c>
      <c r="W402" s="24">
        <f ca="1">IFERROR(__xludf.DUMMYFUNCTION("""COMPUTED_VALUE"""),20318.6999999999)</f>
        <v>20318.699999999899</v>
      </c>
      <c r="X402" s="24">
        <f ca="1">IFERROR(__xludf.DUMMYFUNCTION("""COMPUTED_VALUE"""),0)</f>
        <v>0</v>
      </c>
      <c r="Y402" s="24">
        <f ca="1">IFERROR(__xludf.DUMMYFUNCTION("""COMPUTED_VALUE"""),0)</f>
        <v>0</v>
      </c>
      <c r="Z402" s="24">
        <f ca="1">IFERROR(__xludf.DUMMYFUNCTION("""COMPUTED_VALUE"""),0)</f>
        <v>0</v>
      </c>
      <c r="AA402" s="20" t="str">
        <f ca="1">IFERROR(__xludf.DUMMYFUNCTION("""COMPUTED_VALUE"""),"10 3 02 40010")</f>
        <v>10 3 02 40010</v>
      </c>
      <c r="AB402" s="20">
        <f ca="1">IFERROR(__xludf.DUMMYFUNCTION("""COMPUTED_VALUE"""),414)</f>
        <v>414</v>
      </c>
      <c r="AC402" s="20"/>
      <c r="AD402" s="20"/>
      <c r="AE402" s="20"/>
      <c r="AF402" s="24">
        <f ca="1">IFERROR(__xludf.DUMMYFUNCTION("""COMPUTED_VALUE"""),57635.0099999999)</f>
        <v>57635.0099999999</v>
      </c>
      <c r="AG402" s="24">
        <f ca="1">IFERROR(__xludf.DUMMYFUNCTION("""COMPUTED_VALUE"""),0)</f>
        <v>0</v>
      </c>
      <c r="AH402" s="24">
        <f ca="1">IFERROR(__xludf.DUMMYFUNCTION("""COMPUTED_VALUE"""),57635.0099999999)</f>
        <v>57635.0099999999</v>
      </c>
      <c r="AI402" s="24">
        <f ca="1">IFERROR(__xludf.DUMMYFUNCTION("""COMPUTED_VALUE"""),0)</f>
        <v>0</v>
      </c>
      <c r="AJ402" s="24">
        <f ca="1">IFERROR(__xludf.DUMMYFUNCTION("""COMPUTED_VALUE"""),0)</f>
        <v>0</v>
      </c>
      <c r="AK402" s="24">
        <f ca="1">IFERROR(__xludf.DUMMYFUNCTION("""COMPUTED_VALUE"""),0)</f>
        <v>0</v>
      </c>
      <c r="AL402" s="24">
        <f ca="1">IFERROR(__xludf.DUMMYFUNCTION("""COMPUTED_VALUE"""),0)</f>
        <v>0</v>
      </c>
      <c r="AM402" s="20"/>
      <c r="AN402" s="20"/>
      <c r="AO402" s="20"/>
      <c r="AP402" s="20"/>
      <c r="AQ402" s="20"/>
      <c r="AR402" s="24">
        <f ca="1">IFERROR(__xludf.DUMMYFUNCTION("""COMPUTED_VALUE"""),0)</f>
        <v>0</v>
      </c>
      <c r="AS402" s="20"/>
      <c r="AT402" s="20"/>
      <c r="AU402" s="20"/>
      <c r="AV402" s="20"/>
      <c r="AW402" s="20"/>
      <c r="AX402" s="24">
        <f ca="1">IFERROR(__xludf.DUMMYFUNCTION("""COMPUTED_VALUE"""),56534.59)</f>
        <v>56534.59</v>
      </c>
      <c r="AY402" s="24">
        <f ca="1">IFERROR(__xludf.DUMMYFUNCTION("""COMPUTED_VALUE"""),0)</f>
        <v>0</v>
      </c>
      <c r="AZ402" s="24">
        <f ca="1">IFERROR(__xludf.DUMMYFUNCTION("""COMPUTED_VALUE"""),56534.59)</f>
        <v>56534.59</v>
      </c>
      <c r="BA402" s="24">
        <f ca="1">IFERROR(__xludf.DUMMYFUNCTION("""COMPUTED_VALUE"""),0)</f>
        <v>0</v>
      </c>
      <c r="BB402" s="24">
        <f ca="1">IFERROR(__xludf.DUMMYFUNCTION("""COMPUTED_VALUE"""),0)</f>
        <v>0</v>
      </c>
      <c r="BC402" s="20"/>
      <c r="BD402" s="24">
        <f ca="1">IFERROR(__xludf.DUMMYFUNCTION("""COMPUTED_VALUE"""),1100.42)</f>
        <v>1100.42</v>
      </c>
      <c r="BE402" s="24">
        <f ca="1">IFERROR(__xludf.DUMMYFUNCTION("""COMPUTED_VALUE"""),0)</f>
        <v>0</v>
      </c>
      <c r="BF402" s="24">
        <f ca="1">IFERROR(__xludf.DUMMYFUNCTION("""COMPUTED_VALUE"""),1100.42)</f>
        <v>1100.42</v>
      </c>
      <c r="BG402" s="24">
        <f ca="1">IFERROR(__xludf.DUMMYFUNCTION("""COMPUTED_VALUE"""),0)</f>
        <v>0</v>
      </c>
      <c r="BH402" s="24">
        <f ca="1">IFERROR(__xludf.DUMMYFUNCTION("""COMPUTED_VALUE"""),0)</f>
        <v>0</v>
      </c>
      <c r="BI402" s="20"/>
      <c r="BJ402" s="24">
        <f ca="1">IFERROR(__xludf.DUMMYFUNCTION("""COMPUTED_VALUE"""),0)</f>
        <v>0</v>
      </c>
      <c r="BK402" s="24">
        <f ca="1">IFERROR(__xludf.DUMMYFUNCTION("""COMPUTED_VALUE"""),0)</f>
        <v>0</v>
      </c>
      <c r="BL402" s="24">
        <f ca="1">IFERROR(__xludf.DUMMYFUNCTION("""COMPUTED_VALUE"""),0)</f>
        <v>0</v>
      </c>
      <c r="BM402" s="24">
        <f ca="1">IFERROR(__xludf.DUMMYFUNCTION("""COMPUTED_VALUE"""),0)</f>
        <v>0</v>
      </c>
      <c r="BN402" s="24">
        <f ca="1">IFERROR(__xludf.DUMMYFUNCTION("""COMPUTED_VALUE"""),0)</f>
        <v>0</v>
      </c>
      <c r="BO402" s="20"/>
      <c r="BP402" s="24">
        <f ca="1">IFERROR(__xludf.DUMMYFUNCTION("""COMPUTED_VALUE"""),0)</f>
        <v>0</v>
      </c>
      <c r="BQ402" s="24">
        <f ca="1">IFERROR(__xludf.DUMMYFUNCTION("""COMPUTED_VALUE"""),0)</f>
        <v>0</v>
      </c>
      <c r="BR402" s="24">
        <f ca="1">IFERROR(__xludf.DUMMYFUNCTION("""COMPUTED_VALUE"""),0)</f>
        <v>0</v>
      </c>
      <c r="BS402" s="24">
        <f ca="1">IFERROR(__xludf.DUMMYFUNCTION("""COMPUTED_VALUE"""),0)</f>
        <v>0</v>
      </c>
      <c r="BT402" s="24">
        <f ca="1">IFERROR(__xludf.DUMMYFUNCTION("""COMPUTED_VALUE"""),0)</f>
        <v>0</v>
      </c>
      <c r="BU402" s="20"/>
      <c r="BV402" s="24">
        <f ca="1">IFERROR(__xludf.DUMMYFUNCTION("""COMPUTED_VALUE"""),0)</f>
        <v>0</v>
      </c>
      <c r="BW402" s="24">
        <f ca="1">IFERROR(__xludf.DUMMYFUNCTION("""COMPUTED_VALUE"""),0)</f>
        <v>0</v>
      </c>
      <c r="BX402" s="24">
        <f ca="1">IFERROR(__xludf.DUMMYFUNCTION("""COMPUTED_VALUE"""),0)</f>
        <v>0</v>
      </c>
      <c r="BY402" s="24">
        <f ca="1">IFERROR(__xludf.DUMMYFUNCTION("""COMPUTED_VALUE"""),0)</f>
        <v>0</v>
      </c>
      <c r="BZ402" s="24">
        <f ca="1">IFERROR(__xludf.DUMMYFUNCTION("""COMPUTED_VALUE"""),0)</f>
        <v>0</v>
      </c>
      <c r="CA402" s="20"/>
      <c r="CB402" s="20"/>
      <c r="CC402" s="20"/>
      <c r="CD402" s="20"/>
      <c r="CE402" s="20"/>
      <c r="CF402" s="20"/>
      <c r="CG402" s="20"/>
      <c r="CH402" s="20"/>
      <c r="CI402" s="20"/>
      <c r="CJ402" s="20"/>
      <c r="CK402" s="20"/>
      <c r="CL402" s="20"/>
      <c r="CM402" s="26">
        <f ca="1">IFERROR(__xludf.DUMMYFUNCTION("""COMPUTED_VALUE"""),43735)</f>
        <v>43735</v>
      </c>
      <c r="CN402" s="20" t="str">
        <f ca="1">IFERROR(__xludf.DUMMYFUNCTION("""COMPUTED_VALUE"""),"0348200020819000055")</f>
        <v>0348200020819000055</v>
      </c>
      <c r="CO402" s="25">
        <f ca="1">IFERROR(__xludf.DUMMYFUNCTION("""COMPUTED_VALUE"""),43766)</f>
        <v>43766</v>
      </c>
      <c r="CP402" s="20" t="str">
        <f ca="1">IFERROR(__xludf.DUMMYFUNCTION("""COMPUTED_VALUE"""),"93/55")</f>
        <v>93/55</v>
      </c>
      <c r="CQ402" s="20">
        <f ca="1">IFERROR(__xludf.DUMMYFUNCTION("""COMPUTED_VALUE"""),44027280)</f>
        <v>44027280</v>
      </c>
      <c r="CR402" s="20" t="str">
        <f ca="1">IFERROR(__xludf.DUMMYFUNCTION("""COMPUTED_VALUE"""),"ООО ""СМУ СПЕЦСТРОЙ""")</f>
        <v>ООО "СМУ СПЕЦСТРОЙ"</v>
      </c>
      <c r="CS402" s="27" t="str">
        <f ca="1">IFERROR(__xludf.DUMMYFUNCTION("""COMPUTED_VALUE"""),"https://zakupki.gov.ru/epz/contract/contractCard/common-info.html?reestrNumber=2503107028619000073&amp;backUrl=b87268c3-b73f-4ac4-ae9f-c7a848f670ff")</f>
        <v>https://zakupki.gov.ru/epz/contract/contractCard/common-info.html?reestrNumber=2503107028619000073&amp;backUrl=b87268c3-b73f-4ac4-ae9f-c7a848f670ff</v>
      </c>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row>
    <row r="403" spans="1:123" ht="64.5" customHeight="1" x14ac:dyDescent="0.2">
      <c r="A403" s="19"/>
      <c r="B403" s="20" t="str">
        <f ca="1">IFERROR(__xludf.DUMMYFUNCTION("""COMPUTED_VALUE"""),"МОС АВС")</f>
        <v>МОС АВС</v>
      </c>
      <c r="C403"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3" s="20" t="str">
        <f ca="1">IFERROR(__xludf.DUMMYFUNCTION("""COMPUTED_VALUE"""),"МинЖКХ")</f>
        <v>МинЖКХ</v>
      </c>
      <c r="E403" s="20" t="str">
        <f ca="1">IFERROR(__xludf.DUMMYFUNCTION("""COMPUTED_VALUE"""),"Строительство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f>
        <v>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v>
      </c>
      <c r="F403" s="32" t="str">
        <f ca="1">IFERROR(__xludf.DUMMYFUNCTION("""COMPUTED_VALUE"""),"БМК")</f>
        <v>БМК</v>
      </c>
      <c r="G403" s="20" t="str">
        <f ca="1">IFERROR(__xludf.DUMMYFUNCTION("""COMPUTED_VALUE"""),"2020-2022")</f>
        <v>2020-2022</v>
      </c>
      <c r="H403" s="20" t="str">
        <f ca="1">IFERROR(__xludf.DUMMYFUNCTION("""COMPUTED_VALUE"""),"ПИР")</f>
        <v>ПИР</v>
      </c>
      <c r="I403" s="20"/>
      <c r="J403" s="20" t="str">
        <f ca="1">IFERROR(__xludf.DUMMYFUNCTION("""COMPUTED_VALUE"""),"Изменение условий оплаты в связи с вводом в эксплуатацию в 2021.")</f>
        <v>Изменение условий оплаты в связи с вводом в эксплуатацию в 2021.</v>
      </c>
      <c r="K403" s="20" t="str">
        <f ca="1">IFERROR(__xludf.DUMMYFUNCTION("""COMPUTED_VALUE"""),"-")</f>
        <v>-</v>
      </c>
      <c r="L403" s="20" t="str">
        <f ca="1">IFERROR(__xludf.DUMMYFUNCTION("""COMPUTED_VALUE"""),"-")</f>
        <v>-</v>
      </c>
      <c r="M403" s="20"/>
      <c r="N403" s="24">
        <f ca="1">IFERROR(__xludf.DUMMYFUNCTION("""COMPUTED_VALUE"""),66.23)</f>
        <v>66.23</v>
      </c>
      <c r="O403" s="20"/>
      <c r="P403" s="24">
        <f ca="1">IFERROR(__xludf.DUMMYFUNCTION("""COMPUTED_VALUE"""),66.23)</f>
        <v>66.23</v>
      </c>
      <c r="Q403" s="20"/>
      <c r="R403" s="20"/>
      <c r="S403" s="20"/>
      <c r="T403" s="20" t="str">
        <f ca="1">IFERROR(__xludf.DUMMYFUNCTION("""COMPUTED_VALUE"""),"ПИР до 25.12.2020")</f>
        <v>ПИР до 25.12.2020</v>
      </c>
      <c r="U403" s="24">
        <f ca="1">IFERROR(__xludf.DUMMYFUNCTION("""COMPUTED_VALUE"""),91.82)</f>
        <v>91.82</v>
      </c>
      <c r="V403" s="24">
        <f ca="1">IFERROR(__xludf.DUMMYFUNCTION("""COMPUTED_VALUE"""),0)</f>
        <v>0</v>
      </c>
      <c r="W403" s="24">
        <f ca="1">IFERROR(__xludf.DUMMYFUNCTION("""COMPUTED_VALUE"""),91.82)</f>
        <v>91.82</v>
      </c>
      <c r="X403" s="24">
        <f ca="1">IFERROR(__xludf.DUMMYFUNCTION("""COMPUTED_VALUE"""),0)</f>
        <v>0</v>
      </c>
      <c r="Y403" s="24">
        <f ca="1">IFERROR(__xludf.DUMMYFUNCTION("""COMPUTED_VALUE"""),0)</f>
        <v>0</v>
      </c>
      <c r="Z403" s="24">
        <f ca="1">IFERROR(__xludf.DUMMYFUNCTION("""COMPUTED_VALUE"""),0)</f>
        <v>0</v>
      </c>
      <c r="AA403" s="20" t="str">
        <f ca="1">IFERROR(__xludf.DUMMYFUNCTION("""COMPUTED_VALUE"""),"10 3 02 40010")</f>
        <v>10 3 02 40010</v>
      </c>
      <c r="AB403" s="20">
        <f ca="1">IFERROR(__xludf.DUMMYFUNCTION("""COMPUTED_VALUE"""),414)</f>
        <v>414</v>
      </c>
      <c r="AC403" s="20"/>
      <c r="AD403" s="20"/>
      <c r="AE403" s="20"/>
      <c r="AF403" s="24">
        <f ca="1">IFERROR(__xludf.DUMMYFUNCTION("""COMPUTED_VALUE"""),2768.04)</f>
        <v>2768.04</v>
      </c>
      <c r="AG403" s="24">
        <f ca="1">IFERROR(__xludf.DUMMYFUNCTION("""COMPUTED_VALUE"""),0)</f>
        <v>0</v>
      </c>
      <c r="AH403" s="24">
        <f ca="1">IFERROR(__xludf.DUMMYFUNCTION("""COMPUTED_VALUE"""),2768.04)</f>
        <v>2768.04</v>
      </c>
      <c r="AI403" s="24">
        <f ca="1">IFERROR(__xludf.DUMMYFUNCTION("""COMPUTED_VALUE"""),0)</f>
        <v>0</v>
      </c>
      <c r="AJ403" s="24">
        <f ca="1">IFERROR(__xludf.DUMMYFUNCTION("""COMPUTED_VALUE"""),0)</f>
        <v>0</v>
      </c>
      <c r="AK403" s="24">
        <f ca="1">IFERROR(__xludf.DUMMYFUNCTION("""COMPUTED_VALUE"""),0)</f>
        <v>0</v>
      </c>
      <c r="AL403" s="24">
        <f ca="1">IFERROR(__xludf.DUMMYFUNCTION("""COMPUTED_VALUE"""),0)</f>
        <v>0</v>
      </c>
      <c r="AM403" s="20"/>
      <c r="AN403" s="20"/>
      <c r="AO403" s="20"/>
      <c r="AP403" s="20"/>
      <c r="AQ403" s="20"/>
      <c r="AR403" s="24">
        <f ca="1">IFERROR(__xludf.DUMMYFUNCTION("""COMPUTED_VALUE"""),0)</f>
        <v>0</v>
      </c>
      <c r="AS403" s="20"/>
      <c r="AT403" s="20"/>
      <c r="AU403" s="20"/>
      <c r="AV403" s="20"/>
      <c r="AW403" s="20"/>
      <c r="AX403" s="24">
        <f ca="1">IFERROR(__xludf.DUMMYFUNCTION("""COMPUTED_VALUE"""),158.05)</f>
        <v>158.05000000000001</v>
      </c>
      <c r="AY403" s="24">
        <f ca="1">IFERROR(__xludf.DUMMYFUNCTION("""COMPUTED_VALUE"""),0)</f>
        <v>0</v>
      </c>
      <c r="AZ403" s="24">
        <f ca="1">IFERROR(__xludf.DUMMYFUNCTION("""COMPUTED_VALUE"""),158.05)</f>
        <v>158.05000000000001</v>
      </c>
      <c r="BA403" s="24">
        <f ca="1">IFERROR(__xludf.DUMMYFUNCTION("""COMPUTED_VALUE"""),0)</f>
        <v>0</v>
      </c>
      <c r="BB403" s="24">
        <f ca="1">IFERROR(__xludf.DUMMYFUNCTION("""COMPUTED_VALUE"""),0)</f>
        <v>0</v>
      </c>
      <c r="BC403" s="20"/>
      <c r="BD403" s="24">
        <f ca="1">IFERROR(__xludf.DUMMYFUNCTION("""COMPUTED_VALUE"""),2455.89)</f>
        <v>2455.89</v>
      </c>
      <c r="BE403" s="24">
        <f ca="1">IFERROR(__xludf.DUMMYFUNCTION("""COMPUTED_VALUE"""),0)</f>
        <v>0</v>
      </c>
      <c r="BF403" s="24">
        <f ca="1">IFERROR(__xludf.DUMMYFUNCTION("""COMPUTED_VALUE"""),2455.89)</f>
        <v>2455.89</v>
      </c>
      <c r="BG403" s="24">
        <f ca="1">IFERROR(__xludf.DUMMYFUNCTION("""COMPUTED_VALUE"""),0)</f>
        <v>0</v>
      </c>
      <c r="BH403" s="24">
        <f ca="1">IFERROR(__xludf.DUMMYFUNCTION("""COMPUTED_VALUE"""),0)</f>
        <v>0</v>
      </c>
      <c r="BI403" s="20"/>
      <c r="BJ403" s="24">
        <f ca="1">IFERROR(__xludf.DUMMYFUNCTION("""COMPUTED_VALUE"""),154.1)</f>
        <v>154.1</v>
      </c>
      <c r="BK403" s="24">
        <f ca="1">IFERROR(__xludf.DUMMYFUNCTION("""COMPUTED_VALUE"""),0)</f>
        <v>0</v>
      </c>
      <c r="BL403" s="20">
        <f ca="1">IFERROR(__xludf.DUMMYFUNCTION("""COMPUTED_VALUE"""),154.1)</f>
        <v>154.1</v>
      </c>
      <c r="BM403" s="24">
        <f ca="1">IFERROR(__xludf.DUMMYFUNCTION("""COMPUTED_VALUE"""),0)</f>
        <v>0</v>
      </c>
      <c r="BN403" s="24">
        <f ca="1">IFERROR(__xludf.DUMMYFUNCTION("""COMPUTED_VALUE"""),0)</f>
        <v>0</v>
      </c>
      <c r="BO403" s="20"/>
      <c r="BP403" s="24">
        <f ca="1">IFERROR(__xludf.DUMMYFUNCTION("""COMPUTED_VALUE"""),0)</f>
        <v>0</v>
      </c>
      <c r="BQ403" s="24">
        <f ca="1">IFERROR(__xludf.DUMMYFUNCTION("""COMPUTED_VALUE"""),0)</f>
        <v>0</v>
      </c>
      <c r="BR403" s="24">
        <f ca="1">IFERROR(__xludf.DUMMYFUNCTION("""COMPUTED_VALUE"""),0)</f>
        <v>0</v>
      </c>
      <c r="BS403" s="24">
        <f ca="1">IFERROR(__xludf.DUMMYFUNCTION("""COMPUTED_VALUE"""),0)</f>
        <v>0</v>
      </c>
      <c r="BT403" s="24">
        <f ca="1">IFERROR(__xludf.DUMMYFUNCTION("""COMPUTED_VALUE"""),0)</f>
        <v>0</v>
      </c>
      <c r="BU403" s="20"/>
      <c r="BV403" s="24">
        <f ca="1">IFERROR(__xludf.DUMMYFUNCTION("""COMPUTED_VALUE"""),0)</f>
        <v>0</v>
      </c>
      <c r="BW403" s="24">
        <f ca="1">IFERROR(__xludf.DUMMYFUNCTION("""COMPUTED_VALUE"""),0)</f>
        <v>0</v>
      </c>
      <c r="BX403" s="24">
        <f ca="1">IFERROR(__xludf.DUMMYFUNCTION("""COMPUTED_VALUE"""),0)</f>
        <v>0</v>
      </c>
      <c r="BY403" s="24">
        <f ca="1">IFERROR(__xludf.DUMMYFUNCTION("""COMPUTED_VALUE"""),0)</f>
        <v>0</v>
      </c>
      <c r="BZ403" s="24">
        <f ca="1">IFERROR(__xludf.DUMMYFUNCTION("""COMPUTED_VALUE"""),0)</f>
        <v>0</v>
      </c>
      <c r="CA403" s="20"/>
      <c r="CB403" s="20"/>
      <c r="CC403" s="20"/>
      <c r="CD403" s="20"/>
      <c r="CE403" s="20"/>
      <c r="CF403" s="20"/>
      <c r="CG403" s="20"/>
      <c r="CH403" s="20"/>
      <c r="CI403" s="20"/>
      <c r="CJ403" s="20"/>
      <c r="CK403" s="20"/>
      <c r="CL403" s="20"/>
      <c r="CM403" s="20"/>
      <c r="CN403" s="20"/>
      <c r="CO403" s="20"/>
      <c r="CP403" s="20"/>
      <c r="CQ403" s="20"/>
      <c r="CR403" s="20"/>
      <c r="CS403" s="20"/>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row>
    <row r="404" spans="1:123" ht="64.5" customHeight="1" x14ac:dyDescent="0.2">
      <c r="A404" s="19"/>
      <c r="B404" s="20" t="str">
        <f ca="1">IFERROR(__xludf.DUMMYFUNCTION("""COMPUTED_VALUE"""),"МОС АВС")</f>
        <v>МОС АВС</v>
      </c>
      <c r="C404"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4" s="20" t="str">
        <f ca="1">IFERROR(__xludf.DUMMYFUNCTION("""COMPUTED_VALUE"""),"МинЖКХ")</f>
        <v>МинЖКХ</v>
      </c>
      <c r="E404" s="20" t="str">
        <f ca="1">IFERROR(__xludf.DUMMYFUNCTION("""COMPUTED_VALUE"""),"Строительство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f>
        <v>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v>
      </c>
      <c r="F404" s="32" t="str">
        <f ca="1">IFERROR(__xludf.DUMMYFUNCTION("""COMPUTED_VALUE"""),"БМК")</f>
        <v>БМК</v>
      </c>
      <c r="G404" s="20" t="str">
        <f ca="1">IFERROR(__xludf.DUMMYFUNCTION("""COMPUTED_VALUE"""),"2020-2021")</f>
        <v>2020-2021</v>
      </c>
      <c r="H404" s="20" t="str">
        <f ca="1">IFERROR(__xludf.DUMMYFUNCTION("""COMPUTED_VALUE"""),"ПИР")</f>
        <v>ПИР</v>
      </c>
      <c r="I404" s="20"/>
      <c r="J404" s="20" t="str">
        <f ca="1">IFERROR(__xludf.DUMMYFUNCTION("""COMPUTED_VALUE"""),"Изменение условий оплаты в связи с вводом в эксплуатацию в 2021.")</f>
        <v>Изменение условий оплаты в связи с вводом в эксплуатацию в 2021.</v>
      </c>
      <c r="K404" s="20" t="str">
        <f ca="1">IFERROR(__xludf.DUMMYFUNCTION("""COMPUTED_VALUE"""),"-")</f>
        <v>-</v>
      </c>
      <c r="L404" s="20" t="str">
        <f ca="1">IFERROR(__xludf.DUMMYFUNCTION("""COMPUTED_VALUE"""),"-")</f>
        <v>-</v>
      </c>
      <c r="M404" s="20"/>
      <c r="N404" s="24">
        <f ca="1">IFERROR(__xludf.DUMMYFUNCTION("""COMPUTED_VALUE"""),99.88)</f>
        <v>99.88</v>
      </c>
      <c r="O404" s="20"/>
      <c r="P404" s="24">
        <f ca="1">IFERROR(__xludf.DUMMYFUNCTION("""COMPUTED_VALUE"""),99.88)</f>
        <v>99.88</v>
      </c>
      <c r="Q404" s="20"/>
      <c r="R404" s="20"/>
      <c r="S404" s="20"/>
      <c r="T404" s="20"/>
      <c r="U404" s="24">
        <f ca="1">IFERROR(__xludf.DUMMYFUNCTION("""COMPUTED_VALUE"""),114.77)</f>
        <v>114.77</v>
      </c>
      <c r="V404" s="24">
        <f ca="1">IFERROR(__xludf.DUMMYFUNCTION("""COMPUTED_VALUE"""),0)</f>
        <v>0</v>
      </c>
      <c r="W404" s="24">
        <f ca="1">IFERROR(__xludf.DUMMYFUNCTION("""COMPUTED_VALUE"""),114.77)</f>
        <v>114.77</v>
      </c>
      <c r="X404" s="24">
        <f ca="1">IFERROR(__xludf.DUMMYFUNCTION("""COMPUTED_VALUE"""),0)</f>
        <v>0</v>
      </c>
      <c r="Y404" s="24">
        <f ca="1">IFERROR(__xludf.DUMMYFUNCTION("""COMPUTED_VALUE"""),0)</f>
        <v>0</v>
      </c>
      <c r="Z404" s="24">
        <f ca="1">IFERROR(__xludf.DUMMYFUNCTION("""COMPUTED_VALUE"""),0)</f>
        <v>0</v>
      </c>
      <c r="AA404" s="20" t="str">
        <f ca="1">IFERROR(__xludf.DUMMYFUNCTION("""COMPUTED_VALUE"""),"10 3 02 40010")</f>
        <v>10 3 02 40010</v>
      </c>
      <c r="AB404" s="20">
        <f ca="1">IFERROR(__xludf.DUMMYFUNCTION("""COMPUTED_VALUE"""),414)</f>
        <v>414</v>
      </c>
      <c r="AC404" s="20"/>
      <c r="AD404" s="20"/>
      <c r="AE404" s="20"/>
      <c r="AF404" s="24">
        <f ca="1">IFERROR(__xludf.DUMMYFUNCTION("""COMPUTED_VALUE"""),2719.79)</f>
        <v>2719.79</v>
      </c>
      <c r="AG404" s="24">
        <f ca="1">IFERROR(__xludf.DUMMYFUNCTION("""COMPUTED_VALUE"""),0)</f>
        <v>0</v>
      </c>
      <c r="AH404" s="24">
        <f ca="1">IFERROR(__xludf.DUMMYFUNCTION("""COMPUTED_VALUE"""),2719.79)</f>
        <v>2719.79</v>
      </c>
      <c r="AI404" s="24">
        <f ca="1">IFERROR(__xludf.DUMMYFUNCTION("""COMPUTED_VALUE"""),0)</f>
        <v>0</v>
      </c>
      <c r="AJ404" s="24">
        <f ca="1">IFERROR(__xludf.DUMMYFUNCTION("""COMPUTED_VALUE"""),0)</f>
        <v>0</v>
      </c>
      <c r="AK404" s="24">
        <f ca="1">IFERROR(__xludf.DUMMYFUNCTION("""COMPUTED_VALUE"""),0)</f>
        <v>0</v>
      </c>
      <c r="AL404" s="24">
        <f ca="1">IFERROR(__xludf.DUMMYFUNCTION("""COMPUTED_VALUE"""),0)</f>
        <v>0</v>
      </c>
      <c r="AM404" s="20"/>
      <c r="AN404" s="20"/>
      <c r="AO404" s="20"/>
      <c r="AP404" s="20"/>
      <c r="AQ404" s="20"/>
      <c r="AR404" s="24">
        <f ca="1">IFERROR(__xludf.DUMMYFUNCTION("""COMPUTED_VALUE"""),0)</f>
        <v>0</v>
      </c>
      <c r="AS404" s="20"/>
      <c r="AT404" s="20"/>
      <c r="AU404" s="20"/>
      <c r="AV404" s="20"/>
      <c r="AW404" s="20"/>
      <c r="AX404" s="24">
        <f ca="1">IFERROR(__xludf.DUMMYFUNCTION("""COMPUTED_VALUE"""),214.65)</f>
        <v>214.65</v>
      </c>
      <c r="AY404" s="24">
        <f ca="1">IFERROR(__xludf.DUMMYFUNCTION("""COMPUTED_VALUE"""),0)</f>
        <v>0</v>
      </c>
      <c r="AZ404" s="24">
        <f ca="1">IFERROR(__xludf.DUMMYFUNCTION("""COMPUTED_VALUE"""),214.65)</f>
        <v>214.65</v>
      </c>
      <c r="BA404" s="24">
        <f ca="1">IFERROR(__xludf.DUMMYFUNCTION("""COMPUTED_VALUE"""),0)</f>
        <v>0</v>
      </c>
      <c r="BB404" s="24">
        <f ca="1">IFERROR(__xludf.DUMMYFUNCTION("""COMPUTED_VALUE"""),0)</f>
        <v>0</v>
      </c>
      <c r="BC404" s="20"/>
      <c r="BD404" s="24">
        <f ca="1">IFERROR(__xludf.DUMMYFUNCTION("""COMPUTED_VALUE"""),2505.14)</f>
        <v>2505.14</v>
      </c>
      <c r="BE404" s="24">
        <f ca="1">IFERROR(__xludf.DUMMYFUNCTION("""COMPUTED_VALUE"""),0)</f>
        <v>0</v>
      </c>
      <c r="BF404" s="24">
        <f ca="1">IFERROR(__xludf.DUMMYFUNCTION("""COMPUTED_VALUE"""),2505.14)</f>
        <v>2505.14</v>
      </c>
      <c r="BG404" s="24">
        <f ca="1">IFERROR(__xludf.DUMMYFUNCTION("""COMPUTED_VALUE"""),0)</f>
        <v>0</v>
      </c>
      <c r="BH404" s="24">
        <f ca="1">IFERROR(__xludf.DUMMYFUNCTION("""COMPUTED_VALUE"""),0)</f>
        <v>0</v>
      </c>
      <c r="BI404" s="20"/>
      <c r="BJ404" s="24">
        <f ca="1">IFERROR(__xludf.DUMMYFUNCTION("""COMPUTED_VALUE"""),0)</f>
        <v>0</v>
      </c>
      <c r="BK404" s="24">
        <f ca="1">IFERROR(__xludf.DUMMYFUNCTION("""COMPUTED_VALUE"""),0)</f>
        <v>0</v>
      </c>
      <c r="BL404" s="24">
        <f ca="1">IFERROR(__xludf.DUMMYFUNCTION("""COMPUTED_VALUE"""),0)</f>
        <v>0</v>
      </c>
      <c r="BM404" s="24">
        <f ca="1">IFERROR(__xludf.DUMMYFUNCTION("""COMPUTED_VALUE"""),0)</f>
        <v>0</v>
      </c>
      <c r="BN404" s="24">
        <f ca="1">IFERROR(__xludf.DUMMYFUNCTION("""COMPUTED_VALUE"""),0)</f>
        <v>0</v>
      </c>
      <c r="BO404" s="20"/>
      <c r="BP404" s="24">
        <f ca="1">IFERROR(__xludf.DUMMYFUNCTION("""COMPUTED_VALUE"""),0)</f>
        <v>0</v>
      </c>
      <c r="BQ404" s="24">
        <f ca="1">IFERROR(__xludf.DUMMYFUNCTION("""COMPUTED_VALUE"""),0)</f>
        <v>0</v>
      </c>
      <c r="BR404" s="24">
        <f ca="1">IFERROR(__xludf.DUMMYFUNCTION("""COMPUTED_VALUE"""),0)</f>
        <v>0</v>
      </c>
      <c r="BS404" s="24">
        <f ca="1">IFERROR(__xludf.DUMMYFUNCTION("""COMPUTED_VALUE"""),0)</f>
        <v>0</v>
      </c>
      <c r="BT404" s="24">
        <f ca="1">IFERROR(__xludf.DUMMYFUNCTION("""COMPUTED_VALUE"""),0)</f>
        <v>0</v>
      </c>
      <c r="BU404" s="20"/>
      <c r="BV404" s="24">
        <f ca="1">IFERROR(__xludf.DUMMYFUNCTION("""COMPUTED_VALUE"""),0)</f>
        <v>0</v>
      </c>
      <c r="BW404" s="24">
        <f ca="1">IFERROR(__xludf.DUMMYFUNCTION("""COMPUTED_VALUE"""),0)</f>
        <v>0</v>
      </c>
      <c r="BX404" s="24">
        <f ca="1">IFERROR(__xludf.DUMMYFUNCTION("""COMPUTED_VALUE"""),0)</f>
        <v>0</v>
      </c>
      <c r="BY404" s="24">
        <f ca="1">IFERROR(__xludf.DUMMYFUNCTION("""COMPUTED_VALUE"""),0)</f>
        <v>0</v>
      </c>
      <c r="BZ404" s="24">
        <f ca="1">IFERROR(__xludf.DUMMYFUNCTION("""COMPUTED_VALUE"""),0)</f>
        <v>0</v>
      </c>
      <c r="CA404" s="20"/>
      <c r="CB404" s="20"/>
      <c r="CC404" s="20"/>
      <c r="CD404" s="20"/>
      <c r="CE404" s="20"/>
      <c r="CF404" s="20"/>
      <c r="CG404" s="20"/>
      <c r="CH404" s="20"/>
      <c r="CI404" s="20"/>
      <c r="CJ404" s="20"/>
      <c r="CK404" s="20"/>
      <c r="CL404" s="20"/>
      <c r="CM404" s="20"/>
      <c r="CN404" s="20"/>
      <c r="CO404" s="20"/>
      <c r="CP404" s="20"/>
      <c r="CQ404" s="20"/>
      <c r="CR404" s="20"/>
      <c r="CS404" s="20"/>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row>
    <row r="405" spans="1:123" ht="64.5" customHeight="1" x14ac:dyDescent="0.2">
      <c r="A405" s="19"/>
      <c r="B405" s="20" t="str">
        <f ca="1">IFERROR(__xludf.DUMMYFUNCTION("""COMPUTED_VALUE"""),"МОС АВС")</f>
        <v>МОС АВС</v>
      </c>
      <c r="C405"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5" s="20" t="str">
        <f ca="1">IFERROR(__xludf.DUMMYFUNCTION("""COMPUTED_VALUE"""),"МинЖКХ")</f>
        <v>МинЖКХ</v>
      </c>
      <c r="E405" s="20" t="str">
        <f ca="1">IFERROR(__xludf.DUMMYFUNCTION("""COMPUTED_VALUE"""),"Строительство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f>
        <v>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v>
      </c>
      <c r="F405" s="32" t="str">
        <f ca="1">IFERROR(__xludf.DUMMYFUNCTION("""COMPUTED_VALUE"""),"БМК")</f>
        <v>БМК</v>
      </c>
      <c r="G405" s="20" t="str">
        <f ca="1">IFERROR(__xludf.DUMMYFUNCTION("""COMPUTED_VALUE"""),"2020-2021")</f>
        <v>2020-2021</v>
      </c>
      <c r="H405" s="20" t="str">
        <f ca="1">IFERROR(__xludf.DUMMYFUNCTION("""COMPUTED_VALUE"""),"ПИР")</f>
        <v>ПИР</v>
      </c>
      <c r="I405" s="20"/>
      <c r="J405" s="20" t="str">
        <f ca="1">IFERROR(__xludf.DUMMYFUNCTION("""COMPUTED_VALUE"""),"Отсутствует техническая возможность подключения к сетям газоснабжения. ")</f>
        <v xml:space="preserve">Отсутствует техническая возможность подключения к сетям газоснабжения. </v>
      </c>
      <c r="K405" s="20" t="str">
        <f ca="1">IFERROR(__xludf.DUMMYFUNCTION("""COMPUTED_VALUE"""),"-")</f>
        <v>-</v>
      </c>
      <c r="L405" s="20" t="str">
        <f ca="1">IFERROR(__xludf.DUMMYFUNCTION("""COMPUTED_VALUE"""),"-")</f>
        <v>-</v>
      </c>
      <c r="M405" s="20"/>
      <c r="N405" s="24">
        <f ca="1">IFERROR(__xludf.DUMMYFUNCTION("""COMPUTED_VALUE"""),0)</f>
        <v>0</v>
      </c>
      <c r="O405" s="20"/>
      <c r="P405" s="24">
        <f ca="1">IFERROR(__xludf.DUMMYFUNCTION("""COMPUTED_VALUE"""),0)</f>
        <v>0</v>
      </c>
      <c r="Q405" s="20"/>
      <c r="R405" s="20"/>
      <c r="S405" s="20"/>
      <c r="T405" s="20"/>
      <c r="U405" s="24">
        <f ca="1">IFERROR(__xludf.DUMMYFUNCTION("""COMPUTED_VALUE"""),50.1)</f>
        <v>50.1</v>
      </c>
      <c r="V405" s="24">
        <f ca="1">IFERROR(__xludf.DUMMYFUNCTION("""COMPUTED_VALUE"""),0)</f>
        <v>0</v>
      </c>
      <c r="W405" s="24">
        <f ca="1">IFERROR(__xludf.DUMMYFUNCTION("""COMPUTED_VALUE"""),50.1)</f>
        <v>50.1</v>
      </c>
      <c r="X405" s="24">
        <f ca="1">IFERROR(__xludf.DUMMYFUNCTION("""COMPUTED_VALUE"""),0)</f>
        <v>0</v>
      </c>
      <c r="Y405" s="24">
        <f ca="1">IFERROR(__xludf.DUMMYFUNCTION("""COMPUTED_VALUE"""),0)</f>
        <v>0</v>
      </c>
      <c r="Z405" s="24">
        <f ca="1">IFERROR(__xludf.DUMMYFUNCTION("""COMPUTED_VALUE"""),0)</f>
        <v>0</v>
      </c>
      <c r="AA405" s="20" t="str">
        <f ca="1">IFERROR(__xludf.DUMMYFUNCTION("""COMPUTED_VALUE"""),"10 3 02 40010")</f>
        <v>10 3 02 40010</v>
      </c>
      <c r="AB405" s="20">
        <f ca="1">IFERROR(__xludf.DUMMYFUNCTION("""COMPUTED_VALUE"""),414)</f>
        <v>414</v>
      </c>
      <c r="AC405" s="20"/>
      <c r="AD405" s="20"/>
      <c r="AE405" s="20"/>
      <c r="AF405" s="24">
        <f ca="1">IFERROR(__xludf.DUMMYFUNCTION("""COMPUTED_VALUE"""),2211.1)</f>
        <v>2211.1</v>
      </c>
      <c r="AG405" s="24">
        <f ca="1">IFERROR(__xludf.DUMMYFUNCTION("""COMPUTED_VALUE"""),0)</f>
        <v>0</v>
      </c>
      <c r="AH405" s="24">
        <f ca="1">IFERROR(__xludf.DUMMYFUNCTION("""COMPUTED_VALUE"""),2211.1)</f>
        <v>2211.1</v>
      </c>
      <c r="AI405" s="24">
        <f ca="1">IFERROR(__xludf.DUMMYFUNCTION("""COMPUTED_VALUE"""),0)</f>
        <v>0</v>
      </c>
      <c r="AJ405" s="24">
        <f ca="1">IFERROR(__xludf.DUMMYFUNCTION("""COMPUTED_VALUE"""),0)</f>
        <v>0</v>
      </c>
      <c r="AK405" s="24">
        <f ca="1">IFERROR(__xludf.DUMMYFUNCTION("""COMPUTED_VALUE"""),0)</f>
        <v>0</v>
      </c>
      <c r="AL405" s="24">
        <f ca="1">IFERROR(__xludf.DUMMYFUNCTION("""COMPUTED_VALUE"""),0)</f>
        <v>0</v>
      </c>
      <c r="AM405" s="20"/>
      <c r="AN405" s="20"/>
      <c r="AO405" s="20"/>
      <c r="AP405" s="20"/>
      <c r="AQ405" s="20"/>
      <c r="AR405" s="24">
        <f ca="1">IFERROR(__xludf.DUMMYFUNCTION("""COMPUTED_VALUE"""),0)</f>
        <v>0</v>
      </c>
      <c r="AS405" s="20"/>
      <c r="AT405" s="20"/>
      <c r="AU405" s="20"/>
      <c r="AV405" s="20"/>
      <c r="AW405" s="20"/>
      <c r="AX405" s="24">
        <f ca="1">IFERROR(__xludf.DUMMYFUNCTION("""COMPUTED_VALUE"""),50.1)</f>
        <v>50.1</v>
      </c>
      <c r="AY405" s="24">
        <f ca="1">IFERROR(__xludf.DUMMYFUNCTION("""COMPUTED_VALUE"""),0)</f>
        <v>0</v>
      </c>
      <c r="AZ405" s="24">
        <f ca="1">IFERROR(__xludf.DUMMYFUNCTION("""COMPUTED_VALUE"""),50.1)</f>
        <v>50.1</v>
      </c>
      <c r="BA405" s="24">
        <f ca="1">IFERROR(__xludf.DUMMYFUNCTION("""COMPUTED_VALUE"""),0)</f>
        <v>0</v>
      </c>
      <c r="BB405" s="24">
        <f ca="1">IFERROR(__xludf.DUMMYFUNCTION("""COMPUTED_VALUE"""),0)</f>
        <v>0</v>
      </c>
      <c r="BC405" s="20"/>
      <c r="BD405" s="24">
        <f ca="1">IFERROR(__xludf.DUMMYFUNCTION("""COMPUTED_VALUE"""),2161)</f>
        <v>2161</v>
      </c>
      <c r="BE405" s="24">
        <f ca="1">IFERROR(__xludf.DUMMYFUNCTION("""COMPUTED_VALUE"""),0)</f>
        <v>0</v>
      </c>
      <c r="BF405" s="24">
        <f ca="1">IFERROR(__xludf.DUMMYFUNCTION("""COMPUTED_VALUE"""),2161)</f>
        <v>2161</v>
      </c>
      <c r="BG405" s="24">
        <f ca="1">IFERROR(__xludf.DUMMYFUNCTION("""COMPUTED_VALUE"""),0)</f>
        <v>0</v>
      </c>
      <c r="BH405" s="24">
        <f ca="1">IFERROR(__xludf.DUMMYFUNCTION("""COMPUTED_VALUE"""),0)</f>
        <v>0</v>
      </c>
      <c r="BI405" s="20"/>
      <c r="BJ405" s="24">
        <f ca="1">IFERROR(__xludf.DUMMYFUNCTION("""COMPUTED_VALUE"""),0)</f>
        <v>0</v>
      </c>
      <c r="BK405" s="24">
        <f ca="1">IFERROR(__xludf.DUMMYFUNCTION("""COMPUTED_VALUE"""),0)</f>
        <v>0</v>
      </c>
      <c r="BL405" s="24">
        <f ca="1">IFERROR(__xludf.DUMMYFUNCTION("""COMPUTED_VALUE"""),0)</f>
        <v>0</v>
      </c>
      <c r="BM405" s="24">
        <f ca="1">IFERROR(__xludf.DUMMYFUNCTION("""COMPUTED_VALUE"""),0)</f>
        <v>0</v>
      </c>
      <c r="BN405" s="24">
        <f ca="1">IFERROR(__xludf.DUMMYFUNCTION("""COMPUTED_VALUE"""),0)</f>
        <v>0</v>
      </c>
      <c r="BO405" s="20"/>
      <c r="BP405" s="24">
        <f ca="1">IFERROR(__xludf.DUMMYFUNCTION("""COMPUTED_VALUE"""),0)</f>
        <v>0</v>
      </c>
      <c r="BQ405" s="24">
        <f ca="1">IFERROR(__xludf.DUMMYFUNCTION("""COMPUTED_VALUE"""),0)</f>
        <v>0</v>
      </c>
      <c r="BR405" s="24">
        <f ca="1">IFERROR(__xludf.DUMMYFUNCTION("""COMPUTED_VALUE"""),0)</f>
        <v>0</v>
      </c>
      <c r="BS405" s="24">
        <f ca="1">IFERROR(__xludf.DUMMYFUNCTION("""COMPUTED_VALUE"""),0)</f>
        <v>0</v>
      </c>
      <c r="BT405" s="24">
        <f ca="1">IFERROR(__xludf.DUMMYFUNCTION("""COMPUTED_VALUE"""),0)</f>
        <v>0</v>
      </c>
      <c r="BU405" s="20"/>
      <c r="BV405" s="24">
        <f ca="1">IFERROR(__xludf.DUMMYFUNCTION("""COMPUTED_VALUE"""),0)</f>
        <v>0</v>
      </c>
      <c r="BW405" s="24">
        <f ca="1">IFERROR(__xludf.DUMMYFUNCTION("""COMPUTED_VALUE"""),0)</f>
        <v>0</v>
      </c>
      <c r="BX405" s="24">
        <f ca="1">IFERROR(__xludf.DUMMYFUNCTION("""COMPUTED_VALUE"""),0)</f>
        <v>0</v>
      </c>
      <c r="BY405" s="24">
        <f ca="1">IFERROR(__xludf.DUMMYFUNCTION("""COMPUTED_VALUE"""),0)</f>
        <v>0</v>
      </c>
      <c r="BZ405" s="24">
        <f ca="1">IFERROR(__xludf.DUMMYFUNCTION("""COMPUTED_VALUE"""),0)</f>
        <v>0</v>
      </c>
      <c r="CA405" s="20"/>
      <c r="CB405" s="20"/>
      <c r="CC405" s="20"/>
      <c r="CD405" s="20"/>
      <c r="CE405" s="20"/>
      <c r="CF405" s="20"/>
      <c r="CG405" s="20"/>
      <c r="CH405" s="20"/>
      <c r="CI405" s="20"/>
      <c r="CJ405" s="20"/>
      <c r="CK405" s="20"/>
      <c r="CL405" s="20"/>
      <c r="CM405" s="20"/>
      <c r="CN405" s="20"/>
      <c r="CO405" s="20"/>
      <c r="CP405" s="20"/>
      <c r="CQ405" s="20"/>
      <c r="CR405" s="20"/>
      <c r="CS405" s="20"/>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row>
    <row r="406" spans="1:123" ht="64.5" customHeight="1" x14ac:dyDescent="0.2">
      <c r="A406" s="19"/>
      <c r="B406" s="20" t="str">
        <f ca="1">IFERROR(__xludf.DUMMYFUNCTION("""COMPUTED_VALUE"""),"МОС АВС")</f>
        <v>МОС АВС</v>
      </c>
      <c r="C406"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6" s="20" t="str">
        <f ca="1">IFERROR(__xludf.DUMMYFUNCTION("""COMPUTED_VALUE"""),"МинЖКХ")</f>
        <v>МинЖКХ</v>
      </c>
      <c r="E406" s="20" t="str">
        <f ca="1">IFERROR(__xludf.DUMMYFUNCTION("""COMPUTED_VALUE"""),"Строительство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f>
        <v>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v>
      </c>
      <c r="F406" s="32" t="str">
        <f ca="1">IFERROR(__xludf.DUMMYFUNCTION("""COMPUTED_VALUE"""),"БМК")</f>
        <v>БМК</v>
      </c>
      <c r="G406" s="20" t="str">
        <f ca="1">IFERROR(__xludf.DUMMYFUNCTION("""COMPUTED_VALUE"""),"2020-2022")</f>
        <v>2020-2022</v>
      </c>
      <c r="H406" s="20" t="str">
        <f ca="1">IFERROR(__xludf.DUMMYFUNCTION("""COMPUTED_VALUE"""),"ПИР")</f>
        <v>ПИР</v>
      </c>
      <c r="I406" s="20"/>
      <c r="J406" s="20" t="str">
        <f ca="1">IFERROR(__xludf.DUMMYFUNCTION("""COMPUTED_VALUE"""),"Участок не передан в безвозмездное пользовние . ")</f>
        <v xml:space="preserve">Участок не передан в безвозмездное пользовние . </v>
      </c>
      <c r="K406" s="20" t="str">
        <f ca="1">IFERROR(__xludf.DUMMYFUNCTION("""COMPUTED_VALUE"""),"-")</f>
        <v>-</v>
      </c>
      <c r="L406" s="20" t="str">
        <f ca="1">IFERROR(__xludf.DUMMYFUNCTION("""COMPUTED_VALUE"""),"-")</f>
        <v>-</v>
      </c>
      <c r="M406" s="20"/>
      <c r="N406" s="24">
        <f ca="1">IFERROR(__xludf.DUMMYFUNCTION("""COMPUTED_VALUE"""),0)</f>
        <v>0</v>
      </c>
      <c r="O406" s="20"/>
      <c r="P406" s="24">
        <f ca="1">IFERROR(__xludf.DUMMYFUNCTION("""COMPUTED_VALUE"""),0)</f>
        <v>0</v>
      </c>
      <c r="Q406" s="20"/>
      <c r="R406" s="20"/>
      <c r="S406" s="20"/>
      <c r="T406" s="20" t="str">
        <f ca="1">IFERROR(__xludf.DUMMYFUNCTION("""COMPUTED_VALUE"""),"ПИР до 25.12.2020")</f>
        <v>ПИР до 25.12.2020</v>
      </c>
      <c r="U406" s="24">
        <f ca="1">IFERROR(__xludf.DUMMYFUNCTION("""COMPUTED_VALUE"""),658.32)</f>
        <v>658.32</v>
      </c>
      <c r="V406" s="24">
        <f ca="1">IFERROR(__xludf.DUMMYFUNCTION("""COMPUTED_VALUE"""),0)</f>
        <v>0</v>
      </c>
      <c r="W406" s="24">
        <f ca="1">IFERROR(__xludf.DUMMYFUNCTION("""COMPUTED_VALUE"""),658.32)</f>
        <v>658.32</v>
      </c>
      <c r="X406" s="24">
        <f ca="1">IFERROR(__xludf.DUMMYFUNCTION("""COMPUTED_VALUE"""),0)</f>
        <v>0</v>
      </c>
      <c r="Y406" s="24">
        <f ca="1">IFERROR(__xludf.DUMMYFUNCTION("""COMPUTED_VALUE"""),0)</f>
        <v>0</v>
      </c>
      <c r="Z406" s="24">
        <f ca="1">IFERROR(__xludf.DUMMYFUNCTION("""COMPUTED_VALUE"""),0)</f>
        <v>0</v>
      </c>
      <c r="AA406" s="20" t="str">
        <f ca="1">IFERROR(__xludf.DUMMYFUNCTION("""COMPUTED_VALUE"""),"10 3 02 40010")</f>
        <v>10 3 02 40010</v>
      </c>
      <c r="AB406" s="20">
        <f ca="1">IFERROR(__xludf.DUMMYFUNCTION("""COMPUTED_VALUE"""),414)</f>
        <v>414</v>
      </c>
      <c r="AC406" s="20"/>
      <c r="AD406" s="20"/>
      <c r="AE406" s="20"/>
      <c r="AF406" s="24">
        <f ca="1">IFERROR(__xludf.DUMMYFUNCTION("""COMPUTED_VALUE"""),2372.38)</f>
        <v>2372.38</v>
      </c>
      <c r="AG406" s="24">
        <f ca="1">IFERROR(__xludf.DUMMYFUNCTION("""COMPUTED_VALUE"""),0)</f>
        <v>0</v>
      </c>
      <c r="AH406" s="24">
        <f ca="1">IFERROR(__xludf.DUMMYFUNCTION("""COMPUTED_VALUE"""),2372.38)</f>
        <v>2372.38</v>
      </c>
      <c r="AI406" s="24">
        <f ca="1">IFERROR(__xludf.DUMMYFUNCTION("""COMPUTED_VALUE"""),0)</f>
        <v>0</v>
      </c>
      <c r="AJ406" s="24">
        <f ca="1">IFERROR(__xludf.DUMMYFUNCTION("""COMPUTED_VALUE"""),0)</f>
        <v>0</v>
      </c>
      <c r="AK406" s="24">
        <f ca="1">IFERROR(__xludf.DUMMYFUNCTION("""COMPUTED_VALUE"""),0)</f>
        <v>0</v>
      </c>
      <c r="AL406" s="24">
        <f ca="1">IFERROR(__xludf.DUMMYFUNCTION("""COMPUTED_VALUE"""),0)</f>
        <v>0</v>
      </c>
      <c r="AM406" s="20"/>
      <c r="AN406" s="20"/>
      <c r="AO406" s="20"/>
      <c r="AP406" s="20"/>
      <c r="AQ406" s="20"/>
      <c r="AR406" s="24">
        <f ca="1">IFERROR(__xludf.DUMMYFUNCTION("""COMPUTED_VALUE"""),0)</f>
        <v>0</v>
      </c>
      <c r="AS406" s="20"/>
      <c r="AT406" s="20"/>
      <c r="AU406" s="20"/>
      <c r="AV406" s="20"/>
      <c r="AW406" s="20"/>
      <c r="AX406" s="24">
        <f ca="1">IFERROR(__xludf.DUMMYFUNCTION("""COMPUTED_VALUE"""),658.32)</f>
        <v>658.32</v>
      </c>
      <c r="AY406" s="24">
        <f ca="1">IFERROR(__xludf.DUMMYFUNCTION("""COMPUTED_VALUE"""),0)</f>
        <v>0</v>
      </c>
      <c r="AZ406" s="24">
        <f ca="1">IFERROR(__xludf.DUMMYFUNCTION("""COMPUTED_VALUE"""),658.32)</f>
        <v>658.32</v>
      </c>
      <c r="BA406" s="24">
        <f ca="1">IFERROR(__xludf.DUMMYFUNCTION("""COMPUTED_VALUE"""),0)</f>
        <v>0</v>
      </c>
      <c r="BB406" s="24">
        <f ca="1">IFERROR(__xludf.DUMMYFUNCTION("""COMPUTED_VALUE"""),0)</f>
        <v>0</v>
      </c>
      <c r="BC406" s="20"/>
      <c r="BD406" s="24">
        <f ca="1">IFERROR(__xludf.DUMMYFUNCTION("""COMPUTED_VALUE"""),1486.1)</f>
        <v>1486.1</v>
      </c>
      <c r="BE406" s="24">
        <f ca="1">IFERROR(__xludf.DUMMYFUNCTION("""COMPUTED_VALUE"""),0)</f>
        <v>0</v>
      </c>
      <c r="BF406" s="24">
        <f ca="1">IFERROR(__xludf.DUMMYFUNCTION("""COMPUTED_VALUE"""),1486.1)</f>
        <v>1486.1</v>
      </c>
      <c r="BG406" s="24">
        <f ca="1">IFERROR(__xludf.DUMMYFUNCTION("""COMPUTED_VALUE"""),0)</f>
        <v>0</v>
      </c>
      <c r="BH406" s="24">
        <f ca="1">IFERROR(__xludf.DUMMYFUNCTION("""COMPUTED_VALUE"""),0)</f>
        <v>0</v>
      </c>
      <c r="BI406" s="20"/>
      <c r="BJ406" s="24">
        <f ca="1">IFERROR(__xludf.DUMMYFUNCTION("""COMPUTED_VALUE"""),227.96)</f>
        <v>227.96</v>
      </c>
      <c r="BK406" s="24">
        <f ca="1">IFERROR(__xludf.DUMMYFUNCTION("""COMPUTED_VALUE"""),0)</f>
        <v>0</v>
      </c>
      <c r="BL406" s="20">
        <f ca="1">IFERROR(__xludf.DUMMYFUNCTION("""COMPUTED_VALUE"""),227.96)</f>
        <v>227.96</v>
      </c>
      <c r="BM406" s="24">
        <f ca="1">IFERROR(__xludf.DUMMYFUNCTION("""COMPUTED_VALUE"""),0)</f>
        <v>0</v>
      </c>
      <c r="BN406" s="24">
        <f ca="1">IFERROR(__xludf.DUMMYFUNCTION("""COMPUTED_VALUE"""),0)</f>
        <v>0</v>
      </c>
      <c r="BO406" s="20"/>
      <c r="BP406" s="24">
        <f ca="1">IFERROR(__xludf.DUMMYFUNCTION("""COMPUTED_VALUE"""),0)</f>
        <v>0</v>
      </c>
      <c r="BQ406" s="24">
        <f ca="1">IFERROR(__xludf.DUMMYFUNCTION("""COMPUTED_VALUE"""),0)</f>
        <v>0</v>
      </c>
      <c r="BR406" s="24">
        <f ca="1">IFERROR(__xludf.DUMMYFUNCTION("""COMPUTED_VALUE"""),0)</f>
        <v>0</v>
      </c>
      <c r="BS406" s="24">
        <f ca="1">IFERROR(__xludf.DUMMYFUNCTION("""COMPUTED_VALUE"""),0)</f>
        <v>0</v>
      </c>
      <c r="BT406" s="24">
        <f ca="1">IFERROR(__xludf.DUMMYFUNCTION("""COMPUTED_VALUE"""),0)</f>
        <v>0</v>
      </c>
      <c r="BU406" s="20"/>
      <c r="BV406" s="24">
        <f ca="1">IFERROR(__xludf.DUMMYFUNCTION("""COMPUTED_VALUE"""),0)</f>
        <v>0</v>
      </c>
      <c r="BW406" s="24">
        <f ca="1">IFERROR(__xludf.DUMMYFUNCTION("""COMPUTED_VALUE"""),0)</f>
        <v>0</v>
      </c>
      <c r="BX406" s="24">
        <f ca="1">IFERROR(__xludf.DUMMYFUNCTION("""COMPUTED_VALUE"""),0)</f>
        <v>0</v>
      </c>
      <c r="BY406" s="24">
        <f ca="1">IFERROR(__xludf.DUMMYFUNCTION("""COMPUTED_VALUE"""),0)</f>
        <v>0</v>
      </c>
      <c r="BZ406" s="24">
        <f ca="1">IFERROR(__xludf.DUMMYFUNCTION("""COMPUTED_VALUE"""),0)</f>
        <v>0</v>
      </c>
      <c r="CA406" s="20"/>
      <c r="CB406" s="20"/>
      <c r="CC406" s="20"/>
      <c r="CD406" s="20"/>
      <c r="CE406" s="20"/>
      <c r="CF406" s="20"/>
      <c r="CG406" s="20"/>
      <c r="CH406" s="20"/>
      <c r="CI406" s="20"/>
      <c r="CJ406" s="20"/>
      <c r="CK406" s="20"/>
      <c r="CL406" s="20"/>
      <c r="CM406" s="20"/>
      <c r="CN406" s="20"/>
      <c r="CO406" s="20"/>
      <c r="CP406" s="20"/>
      <c r="CQ406" s="20"/>
      <c r="CR406" s="20"/>
      <c r="CS406" s="20"/>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row>
    <row r="407" spans="1:123" ht="64.5" hidden="1" customHeight="1" x14ac:dyDescent="0.2">
      <c r="A407" s="19"/>
      <c r="B407" s="20" t="str">
        <f ca="1">IFERROR(__xludf.DUMMYFUNCTION("""COMPUTED_VALUE"""),"г.о. Коломенский")</f>
        <v>г.о. Коломенский</v>
      </c>
      <c r="C407"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07" s="20" t="str">
        <f ca="1">IFERROR(__xludf.DUMMYFUNCTION("""COMPUTED_VALUE"""),"МинЖКХ")</f>
        <v>МинЖКХ</v>
      </c>
      <c r="E407" s="20" t="str">
        <f ca="1">IFERROR(__xludf.DUMMYFUNCTION("""COMPUTED_VALUE"""),"Капитальный ремонт канализационных сетей в посёлке Станция Непецино, Коломенский г.о. (в т.ч. ПИР) ")</f>
        <v xml:space="preserve">Капитальный ремонт канализационных сетей в посёлке Станция Непецино, Коломенский г.о. (в т.ч. ПИР) </v>
      </c>
      <c r="F407" s="32" t="str">
        <f ca="1">IFERROR(__xludf.DUMMYFUNCTION("""COMPUTED_VALUE"""),"Сети")</f>
        <v>Сети</v>
      </c>
      <c r="G407" s="20">
        <f ca="1">IFERROR(__xludf.DUMMYFUNCTION("""COMPUTED_VALUE"""),2021)</f>
        <v>2021</v>
      </c>
      <c r="H407" s="20" t="str">
        <f ca="1">IFERROR(__xludf.DUMMYFUNCTION("""COMPUTED_VALUE"""),"СМР")</f>
        <v>СМР</v>
      </c>
      <c r="I407" s="20"/>
      <c r="J407" s="20"/>
      <c r="K407" s="20"/>
      <c r="L407" s="20"/>
      <c r="M407" s="20"/>
      <c r="N407" s="24">
        <f ca="1">IFERROR(__xludf.DUMMYFUNCTION("""COMPUTED_VALUE"""),0)</f>
        <v>0</v>
      </c>
      <c r="O407" s="20"/>
      <c r="P407" s="20"/>
      <c r="Q407" s="20"/>
      <c r="R407" s="20"/>
      <c r="S407" s="20"/>
      <c r="T407" s="20"/>
      <c r="U407" s="24">
        <f ca="1">IFERROR(__xludf.DUMMYFUNCTION("""COMPUTED_VALUE"""),0)</f>
        <v>0</v>
      </c>
      <c r="V407" s="24">
        <f ca="1">IFERROR(__xludf.DUMMYFUNCTION("""COMPUTED_VALUE"""),0)</f>
        <v>0</v>
      </c>
      <c r="W407" s="24">
        <f ca="1">IFERROR(__xludf.DUMMYFUNCTION("""COMPUTED_VALUE"""),0)</f>
        <v>0</v>
      </c>
      <c r="X407" s="24">
        <f ca="1">IFERROR(__xludf.DUMMYFUNCTION("""COMPUTED_VALUE"""),0)</f>
        <v>0</v>
      </c>
      <c r="Y407" s="24">
        <f ca="1">IFERROR(__xludf.DUMMYFUNCTION("""COMPUTED_VALUE"""),0)</f>
        <v>0</v>
      </c>
      <c r="Z407" s="24">
        <f ca="1">IFERROR(__xludf.DUMMYFUNCTION("""COMPUTED_VALUE"""),0)</f>
        <v>0</v>
      </c>
      <c r="AA407" s="20"/>
      <c r="AB407" s="20"/>
      <c r="AC407" s="20"/>
      <c r="AD407" s="20"/>
      <c r="AE407" s="20"/>
      <c r="AF407" s="24">
        <f ca="1">IFERROR(__xludf.DUMMYFUNCTION("""COMPUTED_VALUE"""),1176.77)</f>
        <v>1176.77</v>
      </c>
      <c r="AG407" s="24">
        <f ca="1">IFERROR(__xludf.DUMMYFUNCTION("""COMPUTED_VALUE"""),0)</f>
        <v>0</v>
      </c>
      <c r="AH407" s="24">
        <f ca="1">IFERROR(__xludf.DUMMYFUNCTION("""COMPUTED_VALUE"""),1118)</f>
        <v>1118</v>
      </c>
      <c r="AI407" s="24">
        <f ca="1">IFERROR(__xludf.DUMMYFUNCTION("""COMPUTED_VALUE"""),0)</f>
        <v>0</v>
      </c>
      <c r="AJ407" s="24">
        <f ca="1">IFERROR(__xludf.DUMMYFUNCTION("""COMPUTED_VALUE"""),58.77)</f>
        <v>58.77</v>
      </c>
      <c r="AK407" s="24">
        <f ca="1">IFERROR(__xludf.DUMMYFUNCTION("""COMPUTED_VALUE"""),0)</f>
        <v>0</v>
      </c>
      <c r="AL407" s="24">
        <f ca="1">IFERROR(__xludf.DUMMYFUNCTION("""COMPUTED_VALUE"""),0)</f>
        <v>0</v>
      </c>
      <c r="AM407" s="20"/>
      <c r="AN407" s="20"/>
      <c r="AO407" s="20"/>
      <c r="AP407" s="20"/>
      <c r="AQ407" s="20"/>
      <c r="AR407" s="24">
        <f ca="1">IFERROR(__xludf.DUMMYFUNCTION("""COMPUTED_VALUE"""),0)</f>
        <v>0</v>
      </c>
      <c r="AS407" s="20"/>
      <c r="AT407" s="20"/>
      <c r="AU407" s="20"/>
      <c r="AV407" s="20"/>
      <c r="AW407" s="20"/>
      <c r="AX407" s="24">
        <f ca="1">IFERROR(__xludf.DUMMYFUNCTION("""COMPUTED_VALUE"""),0)</f>
        <v>0</v>
      </c>
      <c r="AY407" s="24">
        <f ca="1">IFERROR(__xludf.DUMMYFUNCTION("""COMPUTED_VALUE"""),0)</f>
        <v>0</v>
      </c>
      <c r="AZ407" s="24">
        <f ca="1">IFERROR(__xludf.DUMMYFUNCTION("""COMPUTED_VALUE"""),0)</f>
        <v>0</v>
      </c>
      <c r="BA407" s="24">
        <f ca="1">IFERROR(__xludf.DUMMYFUNCTION("""COMPUTED_VALUE"""),0)</f>
        <v>0</v>
      </c>
      <c r="BB407" s="24">
        <f ca="1">IFERROR(__xludf.DUMMYFUNCTION("""COMPUTED_VALUE"""),0)</f>
        <v>0</v>
      </c>
      <c r="BC407" s="20"/>
      <c r="BD407" s="24">
        <f ca="1">IFERROR(__xludf.DUMMYFUNCTION("""COMPUTED_VALUE"""),0)</f>
        <v>0</v>
      </c>
      <c r="BE407" s="24">
        <f ca="1">IFERROR(__xludf.DUMMYFUNCTION("""COMPUTED_VALUE"""),0)</f>
        <v>0</v>
      </c>
      <c r="BF407" s="24">
        <f ca="1">IFERROR(__xludf.DUMMYFUNCTION("""COMPUTED_VALUE"""),0)</f>
        <v>0</v>
      </c>
      <c r="BG407" s="24">
        <f ca="1">IFERROR(__xludf.DUMMYFUNCTION("""COMPUTED_VALUE"""),0)</f>
        <v>0</v>
      </c>
      <c r="BH407" s="24">
        <f ca="1">IFERROR(__xludf.DUMMYFUNCTION("""COMPUTED_VALUE"""),0)</f>
        <v>0</v>
      </c>
      <c r="BI407" s="20"/>
      <c r="BJ407" s="24">
        <f ca="1">IFERROR(__xludf.DUMMYFUNCTION("""COMPUTED_VALUE"""),1176.77)</f>
        <v>1176.77</v>
      </c>
      <c r="BK407" s="24">
        <f ca="1">IFERROR(__xludf.DUMMYFUNCTION("""COMPUTED_VALUE"""),0)</f>
        <v>0</v>
      </c>
      <c r="BL407" s="24">
        <f ca="1">IFERROR(__xludf.DUMMYFUNCTION("""COMPUTED_VALUE"""),1118)</f>
        <v>1118</v>
      </c>
      <c r="BM407" s="24">
        <f ca="1">IFERROR(__xludf.DUMMYFUNCTION("""COMPUTED_VALUE"""),0)</f>
        <v>0</v>
      </c>
      <c r="BN407" s="24">
        <f ca="1">IFERROR(__xludf.DUMMYFUNCTION("""COMPUTED_VALUE"""),58.77)</f>
        <v>58.77</v>
      </c>
      <c r="BO407" s="20"/>
      <c r="BP407" s="24">
        <f ca="1">IFERROR(__xludf.DUMMYFUNCTION("""COMPUTED_VALUE"""),0)</f>
        <v>0</v>
      </c>
      <c r="BQ407" s="24">
        <f ca="1">IFERROR(__xludf.DUMMYFUNCTION("""COMPUTED_VALUE"""),0)</f>
        <v>0</v>
      </c>
      <c r="BR407" s="24">
        <f ca="1">IFERROR(__xludf.DUMMYFUNCTION("""COMPUTED_VALUE"""),0)</f>
        <v>0</v>
      </c>
      <c r="BS407" s="24">
        <f ca="1">IFERROR(__xludf.DUMMYFUNCTION("""COMPUTED_VALUE"""),0)</f>
        <v>0</v>
      </c>
      <c r="BT407" s="24">
        <f ca="1">IFERROR(__xludf.DUMMYFUNCTION("""COMPUTED_VALUE"""),0)</f>
        <v>0</v>
      </c>
      <c r="BU407" s="20"/>
      <c r="BV407" s="24">
        <f ca="1">IFERROR(__xludf.DUMMYFUNCTION("""COMPUTED_VALUE"""),0)</f>
        <v>0</v>
      </c>
      <c r="BW407" s="24">
        <f ca="1">IFERROR(__xludf.DUMMYFUNCTION("""COMPUTED_VALUE"""),0)</f>
        <v>0</v>
      </c>
      <c r="BX407" s="24">
        <f ca="1">IFERROR(__xludf.DUMMYFUNCTION("""COMPUTED_VALUE"""),0)</f>
        <v>0</v>
      </c>
      <c r="BY407" s="24">
        <f ca="1">IFERROR(__xludf.DUMMYFUNCTION("""COMPUTED_VALUE"""),0)</f>
        <v>0</v>
      </c>
      <c r="BZ407" s="24">
        <f ca="1">IFERROR(__xludf.DUMMYFUNCTION("""COMPUTED_VALUE"""),0)</f>
        <v>0</v>
      </c>
      <c r="CA407" s="20"/>
      <c r="CB407" s="20"/>
      <c r="CC407" s="20"/>
      <c r="CD407" s="20"/>
      <c r="CE407" s="20"/>
      <c r="CF407" s="20"/>
      <c r="CG407" s="20"/>
      <c r="CH407" s="20"/>
      <c r="CI407" s="20"/>
      <c r="CJ407" s="20"/>
      <c r="CK407" s="20"/>
      <c r="CL407" s="20"/>
      <c r="CM407" s="20"/>
      <c r="CN407" s="20"/>
      <c r="CO407" s="20"/>
      <c r="CP407" s="20"/>
      <c r="CQ407" s="20"/>
      <c r="CR407" s="20"/>
      <c r="CS407" s="20"/>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row>
    <row r="408" spans="1:123" ht="64.5" customHeight="1" x14ac:dyDescent="0.2">
      <c r="A408" s="19"/>
      <c r="B408" s="20" t="str">
        <f ca="1">IFERROR(__xludf.DUMMYFUNCTION("""COMPUTED_VALUE"""),"МОС АВС")</f>
        <v>МОС АВС</v>
      </c>
      <c r="C408"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8" s="20" t="str">
        <f ca="1">IFERROR(__xludf.DUMMYFUNCTION("""COMPUTED_VALUE"""),"МинЖКХ")</f>
        <v>МинЖКХ</v>
      </c>
      <c r="E408" s="20" t="str">
        <f ca="1">IFERROR(__xludf.DUMMYFUNCTION("""COMPUTED_VALUE"""),"Строительство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f>
        <v>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v>
      </c>
      <c r="F408" s="32" t="str">
        <f ca="1">IFERROR(__xludf.DUMMYFUNCTION("""COMPUTED_VALUE"""),"БМК")</f>
        <v>БМК</v>
      </c>
      <c r="G408" s="20" t="str">
        <f ca="1">IFERROR(__xludf.DUMMYFUNCTION("""COMPUTED_VALUE"""),"2020-2021")</f>
        <v>2020-2021</v>
      </c>
      <c r="H408" s="20" t="str">
        <f ca="1">IFERROR(__xludf.DUMMYFUNCTION("""COMPUTED_VALUE"""),"СМР")</f>
        <v>СМР</v>
      </c>
      <c r="I408" s="20"/>
      <c r="J408" s="20" t="str">
        <f ca="1">IFERROR(__xludf.DUMMYFUNCTION("""COMPUTED_VALUE"""),"Изменение условий оплаты в связи с вводом в эксплуатацию в 2021.")</f>
        <v>Изменение условий оплаты в связи с вводом в эксплуатацию в 2021.</v>
      </c>
      <c r="K408" s="20"/>
      <c r="L408" s="20"/>
      <c r="M408" s="20"/>
      <c r="N408" s="24">
        <f ca="1">IFERROR(__xludf.DUMMYFUNCTION("""COMPUTED_VALUE"""),7861.6)</f>
        <v>7861.6</v>
      </c>
      <c r="O408" s="20"/>
      <c r="P408" s="24">
        <f ca="1">IFERROR(__xludf.DUMMYFUNCTION("""COMPUTED_VALUE"""),7861.6)</f>
        <v>7861.6</v>
      </c>
      <c r="Q408" s="20"/>
      <c r="R408" s="20"/>
      <c r="S408" s="20"/>
      <c r="T408" s="20"/>
      <c r="U408" s="24">
        <f ca="1">IFERROR(__xludf.DUMMYFUNCTION("""COMPUTED_VALUE"""),4366.69999999999)</f>
        <v>4366.6999999999898</v>
      </c>
      <c r="V408" s="24">
        <f ca="1">IFERROR(__xludf.DUMMYFUNCTION("""COMPUTED_VALUE"""),0)</f>
        <v>0</v>
      </c>
      <c r="W408" s="24">
        <f ca="1">IFERROR(__xludf.DUMMYFUNCTION("""COMPUTED_VALUE"""),4366.69999999999)</f>
        <v>4366.6999999999898</v>
      </c>
      <c r="X408" s="24">
        <f ca="1">IFERROR(__xludf.DUMMYFUNCTION("""COMPUTED_VALUE"""),0)</f>
        <v>0</v>
      </c>
      <c r="Y408" s="24">
        <f ca="1">IFERROR(__xludf.DUMMYFUNCTION("""COMPUTED_VALUE"""),0)</f>
        <v>0</v>
      </c>
      <c r="Z408" s="24">
        <f ca="1">IFERROR(__xludf.DUMMYFUNCTION("""COMPUTED_VALUE"""),0)</f>
        <v>0</v>
      </c>
      <c r="AA408" s="20" t="str">
        <f ca="1">IFERROR(__xludf.DUMMYFUNCTION("""COMPUTED_VALUE"""),"10 3 02 40010")</f>
        <v>10 3 02 40010</v>
      </c>
      <c r="AB408" s="20">
        <f ca="1">IFERROR(__xludf.DUMMYFUNCTION("""COMPUTED_VALUE"""),414)</f>
        <v>414</v>
      </c>
      <c r="AC408" s="20"/>
      <c r="AD408" s="20"/>
      <c r="AE408" s="20"/>
      <c r="AF408" s="24">
        <f ca="1">IFERROR(__xludf.DUMMYFUNCTION("""COMPUTED_VALUE"""),12747.6999999999)</f>
        <v>12747.699999999901</v>
      </c>
      <c r="AG408" s="24">
        <f ca="1">IFERROR(__xludf.DUMMYFUNCTION("""COMPUTED_VALUE"""),0)</f>
        <v>0</v>
      </c>
      <c r="AH408" s="24">
        <f ca="1">IFERROR(__xludf.DUMMYFUNCTION("""COMPUTED_VALUE"""),12747.6999999999)</f>
        <v>12747.699999999901</v>
      </c>
      <c r="AI408" s="24">
        <f ca="1">IFERROR(__xludf.DUMMYFUNCTION("""COMPUTED_VALUE"""),0)</f>
        <v>0</v>
      </c>
      <c r="AJ408" s="24">
        <f ca="1">IFERROR(__xludf.DUMMYFUNCTION("""COMPUTED_VALUE"""),0)</f>
        <v>0</v>
      </c>
      <c r="AK408" s="24">
        <f ca="1">IFERROR(__xludf.DUMMYFUNCTION("""COMPUTED_VALUE"""),0)</f>
        <v>0</v>
      </c>
      <c r="AL408" s="24">
        <f ca="1">IFERROR(__xludf.DUMMYFUNCTION("""COMPUTED_VALUE"""),0)</f>
        <v>0</v>
      </c>
      <c r="AM408" s="20"/>
      <c r="AN408" s="20"/>
      <c r="AO408" s="20"/>
      <c r="AP408" s="20"/>
      <c r="AQ408" s="20"/>
      <c r="AR408" s="24">
        <f ca="1">IFERROR(__xludf.DUMMYFUNCTION("""COMPUTED_VALUE"""),0)</f>
        <v>0</v>
      </c>
      <c r="AS408" s="20"/>
      <c r="AT408" s="20"/>
      <c r="AU408" s="20"/>
      <c r="AV408" s="20"/>
      <c r="AW408" s="20"/>
      <c r="AX408" s="24">
        <f ca="1">IFERROR(__xludf.DUMMYFUNCTION("""COMPUTED_VALUE"""),12228.3)</f>
        <v>12228.3</v>
      </c>
      <c r="AY408" s="24">
        <f ca="1">IFERROR(__xludf.DUMMYFUNCTION("""COMPUTED_VALUE"""),0)</f>
        <v>0</v>
      </c>
      <c r="AZ408" s="24">
        <f ca="1">IFERROR(__xludf.DUMMYFUNCTION("""COMPUTED_VALUE"""),12228.3)</f>
        <v>12228.3</v>
      </c>
      <c r="BA408" s="24">
        <f ca="1">IFERROR(__xludf.DUMMYFUNCTION("""COMPUTED_VALUE"""),0)</f>
        <v>0</v>
      </c>
      <c r="BB408" s="24">
        <f ca="1">IFERROR(__xludf.DUMMYFUNCTION("""COMPUTED_VALUE"""),0)</f>
        <v>0</v>
      </c>
      <c r="BC408" s="20"/>
      <c r="BD408" s="24">
        <f ca="1">IFERROR(__xludf.DUMMYFUNCTION("""COMPUTED_VALUE"""),519.4)</f>
        <v>519.4</v>
      </c>
      <c r="BE408" s="24">
        <f ca="1">IFERROR(__xludf.DUMMYFUNCTION("""COMPUTED_VALUE"""),0)</f>
        <v>0</v>
      </c>
      <c r="BF408" s="24">
        <f ca="1">IFERROR(__xludf.DUMMYFUNCTION("""COMPUTED_VALUE"""),519.4)</f>
        <v>519.4</v>
      </c>
      <c r="BG408" s="24">
        <f ca="1">IFERROR(__xludf.DUMMYFUNCTION("""COMPUTED_VALUE"""),0)</f>
        <v>0</v>
      </c>
      <c r="BH408" s="24">
        <f ca="1">IFERROR(__xludf.DUMMYFUNCTION("""COMPUTED_VALUE"""),0)</f>
        <v>0</v>
      </c>
      <c r="BI408" s="20"/>
      <c r="BJ408" s="24">
        <f ca="1">IFERROR(__xludf.DUMMYFUNCTION("""COMPUTED_VALUE"""),0)</f>
        <v>0</v>
      </c>
      <c r="BK408" s="24">
        <f ca="1">IFERROR(__xludf.DUMMYFUNCTION("""COMPUTED_VALUE"""),0)</f>
        <v>0</v>
      </c>
      <c r="BL408" s="24">
        <f ca="1">IFERROR(__xludf.DUMMYFUNCTION("""COMPUTED_VALUE"""),0)</f>
        <v>0</v>
      </c>
      <c r="BM408" s="24">
        <f ca="1">IFERROR(__xludf.DUMMYFUNCTION("""COMPUTED_VALUE"""),0)</f>
        <v>0</v>
      </c>
      <c r="BN408" s="24">
        <f ca="1">IFERROR(__xludf.DUMMYFUNCTION("""COMPUTED_VALUE"""),0)</f>
        <v>0</v>
      </c>
      <c r="BO408" s="20"/>
      <c r="BP408" s="24">
        <f ca="1">IFERROR(__xludf.DUMMYFUNCTION("""COMPUTED_VALUE"""),0)</f>
        <v>0</v>
      </c>
      <c r="BQ408" s="24">
        <f ca="1">IFERROR(__xludf.DUMMYFUNCTION("""COMPUTED_VALUE"""),0)</f>
        <v>0</v>
      </c>
      <c r="BR408" s="24">
        <f ca="1">IFERROR(__xludf.DUMMYFUNCTION("""COMPUTED_VALUE"""),0)</f>
        <v>0</v>
      </c>
      <c r="BS408" s="24">
        <f ca="1">IFERROR(__xludf.DUMMYFUNCTION("""COMPUTED_VALUE"""),0)</f>
        <v>0</v>
      </c>
      <c r="BT408" s="24">
        <f ca="1">IFERROR(__xludf.DUMMYFUNCTION("""COMPUTED_VALUE"""),0)</f>
        <v>0</v>
      </c>
      <c r="BU408" s="20"/>
      <c r="BV408" s="24">
        <f ca="1">IFERROR(__xludf.DUMMYFUNCTION("""COMPUTED_VALUE"""),0)</f>
        <v>0</v>
      </c>
      <c r="BW408" s="24">
        <f ca="1">IFERROR(__xludf.DUMMYFUNCTION("""COMPUTED_VALUE"""),0)</f>
        <v>0</v>
      </c>
      <c r="BX408" s="24">
        <f ca="1">IFERROR(__xludf.DUMMYFUNCTION("""COMPUTED_VALUE"""),0)</f>
        <v>0</v>
      </c>
      <c r="BY408" s="24">
        <f ca="1">IFERROR(__xludf.DUMMYFUNCTION("""COMPUTED_VALUE"""),0)</f>
        <v>0</v>
      </c>
      <c r="BZ408" s="24">
        <f ca="1">IFERROR(__xludf.DUMMYFUNCTION("""COMPUTED_VALUE"""),0)</f>
        <v>0</v>
      </c>
      <c r="CA408" s="20"/>
      <c r="CB408" s="20"/>
      <c r="CC408" s="20"/>
      <c r="CD408" s="20"/>
      <c r="CE408" s="20"/>
      <c r="CF408" s="20"/>
      <c r="CG408" s="20"/>
      <c r="CH408" s="20"/>
      <c r="CI408" s="20"/>
      <c r="CJ408" s="20"/>
      <c r="CK408" s="20"/>
      <c r="CL408" s="20"/>
      <c r="CM408" s="25">
        <f ca="1">IFERROR(__xludf.DUMMYFUNCTION("""COMPUTED_VALUE"""),43754)</f>
        <v>43754</v>
      </c>
      <c r="CN408" s="20" t="str">
        <f ca="1">IFERROR(__xludf.DUMMYFUNCTION("""COMPUTED_VALUE"""),"0348200020819000069")</f>
        <v>0348200020819000069</v>
      </c>
      <c r="CO408" s="25">
        <f ca="1">IFERROR(__xludf.DUMMYFUNCTION("""COMPUTED_VALUE"""),43787)</f>
        <v>43787</v>
      </c>
      <c r="CP408" s="20" t="str">
        <f ca="1">IFERROR(__xludf.DUMMYFUNCTION("""COMPUTED_VALUE"""),"104/69")</f>
        <v>104/69</v>
      </c>
      <c r="CQ408" s="20">
        <f ca="1">IFERROR(__xludf.DUMMYFUNCTION("""COMPUTED_VALUE"""),12034568.21)</f>
        <v>12034568.210000001</v>
      </c>
      <c r="CR408" s="20" t="str">
        <f ca="1">IFERROR(__xludf.DUMMYFUNCTION("""COMPUTED_VALUE"""),"ООО ""СМУ СПЕЦСТРОЙ""")</f>
        <v>ООО "СМУ СПЕЦСТРОЙ"</v>
      </c>
      <c r="CS408" s="27" t="str">
        <f ca="1">IFERROR(__xludf.DUMMYFUNCTION("""COMPUTED_VALUE"""),"https://zakupki.gov.ru/epz/contract/contractCard/common-info.html?reestrNumber=2503107028619000081&amp;backUrl=5cad5904-c7d1-445d-8607-3f7135829b07")</f>
        <v>https://zakupki.gov.ru/epz/contract/contractCard/common-info.html?reestrNumber=2503107028619000081&amp;backUrl=5cad5904-c7d1-445d-8607-3f7135829b07</v>
      </c>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row>
    <row r="409" spans="1:123" ht="64.5" customHeight="1" x14ac:dyDescent="0.2">
      <c r="A409" s="19"/>
      <c r="B409" s="20" t="str">
        <f ca="1">IFERROR(__xludf.DUMMYFUNCTION("""COMPUTED_VALUE"""),"МОС АВС")</f>
        <v>МОС АВС</v>
      </c>
      <c r="C409"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9" s="20" t="str">
        <f ca="1">IFERROR(__xludf.DUMMYFUNCTION("""COMPUTED_VALUE"""),"МинЖКХ")</f>
        <v>МинЖКХ</v>
      </c>
      <c r="E409" s="20" t="str">
        <f ca="1">IFERROR(__xludf.DUMMYFUNCTION("""COMPUTED_VALUE"""),"Строительство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f>
        <v>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v>
      </c>
      <c r="F409" s="32" t="str">
        <f ca="1">IFERROR(__xludf.DUMMYFUNCTION("""COMPUTED_VALUE"""),"БМК")</f>
        <v>БМК</v>
      </c>
      <c r="G409" s="20" t="str">
        <f ca="1">IFERROR(__xludf.DUMMYFUNCTION("""COMPUTED_VALUE"""),"2020-2022")</f>
        <v>2020-2022</v>
      </c>
      <c r="H409" s="20" t="str">
        <f ca="1">IFERROR(__xludf.DUMMYFUNCTION("""COMPUTED_VALUE"""),"ПИР")</f>
        <v>ПИР</v>
      </c>
      <c r="I409" s="20"/>
      <c r="J409" s="20" t="str">
        <f ca="1">IFERROR(__xludf.DUMMYFUNCTION("""COMPUTED_VALUE"""),"Участок не передан в безвозмездное пользовние . ")</f>
        <v xml:space="preserve">Участок не передан в безвозмездное пользовние . </v>
      </c>
      <c r="K409" s="20" t="str">
        <f ca="1">IFERROR(__xludf.DUMMYFUNCTION("""COMPUTED_VALUE"""),"-")</f>
        <v>-</v>
      </c>
      <c r="L409" s="20" t="str">
        <f ca="1">IFERROR(__xludf.DUMMYFUNCTION("""COMPUTED_VALUE"""),"-")</f>
        <v>-</v>
      </c>
      <c r="M409" s="20"/>
      <c r="N409" s="24">
        <f ca="1">IFERROR(__xludf.DUMMYFUNCTION("""COMPUTED_VALUE"""),0)</f>
        <v>0</v>
      </c>
      <c r="O409" s="20"/>
      <c r="P409" s="24">
        <f ca="1">IFERROR(__xludf.DUMMYFUNCTION("""COMPUTED_VALUE"""),0)</f>
        <v>0</v>
      </c>
      <c r="Q409" s="20"/>
      <c r="R409" s="20"/>
      <c r="S409" s="20"/>
      <c r="T409" s="20"/>
      <c r="U409" s="24">
        <f ca="1">IFERROR(__xludf.DUMMYFUNCTION("""COMPUTED_VALUE"""),4918.85)</f>
        <v>4918.8500000000004</v>
      </c>
      <c r="V409" s="24">
        <f ca="1">IFERROR(__xludf.DUMMYFUNCTION("""COMPUTED_VALUE"""),0)</f>
        <v>0</v>
      </c>
      <c r="W409" s="24">
        <f ca="1">IFERROR(__xludf.DUMMYFUNCTION("""COMPUTED_VALUE"""),4918.85)</f>
        <v>4918.8500000000004</v>
      </c>
      <c r="X409" s="24">
        <f ca="1">IFERROR(__xludf.DUMMYFUNCTION("""COMPUTED_VALUE"""),0)</f>
        <v>0</v>
      </c>
      <c r="Y409" s="24">
        <f ca="1">IFERROR(__xludf.DUMMYFUNCTION("""COMPUTED_VALUE"""),0)</f>
        <v>0</v>
      </c>
      <c r="Z409" s="24">
        <f ca="1">IFERROR(__xludf.DUMMYFUNCTION("""COMPUTED_VALUE"""),0)</f>
        <v>0</v>
      </c>
      <c r="AA409" s="20" t="str">
        <f ca="1">IFERROR(__xludf.DUMMYFUNCTION("""COMPUTED_VALUE"""),"10 3 02 40010")</f>
        <v>10 3 02 40010</v>
      </c>
      <c r="AB409" s="20">
        <f ca="1">IFERROR(__xludf.DUMMYFUNCTION("""COMPUTED_VALUE"""),414)</f>
        <v>414</v>
      </c>
      <c r="AC409" s="20"/>
      <c r="AD409" s="20"/>
      <c r="AE409" s="20"/>
      <c r="AF409" s="24">
        <f ca="1">IFERROR(__xludf.DUMMYFUNCTION("""COMPUTED_VALUE"""),11278.84)</f>
        <v>11278.84</v>
      </c>
      <c r="AG409" s="24">
        <f ca="1">IFERROR(__xludf.DUMMYFUNCTION("""COMPUTED_VALUE"""),0)</f>
        <v>0</v>
      </c>
      <c r="AH409" s="24">
        <f ca="1">IFERROR(__xludf.DUMMYFUNCTION("""COMPUTED_VALUE"""),11278.84)</f>
        <v>11278.84</v>
      </c>
      <c r="AI409" s="24">
        <f ca="1">IFERROR(__xludf.DUMMYFUNCTION("""COMPUTED_VALUE"""),0)</f>
        <v>0</v>
      </c>
      <c r="AJ409" s="24">
        <f ca="1">IFERROR(__xludf.DUMMYFUNCTION("""COMPUTED_VALUE"""),0)</f>
        <v>0</v>
      </c>
      <c r="AK409" s="24">
        <f ca="1">IFERROR(__xludf.DUMMYFUNCTION("""COMPUTED_VALUE"""),0)</f>
        <v>0</v>
      </c>
      <c r="AL409" s="24">
        <f ca="1">IFERROR(__xludf.DUMMYFUNCTION("""COMPUTED_VALUE"""),0)</f>
        <v>0</v>
      </c>
      <c r="AM409" s="20"/>
      <c r="AN409" s="20"/>
      <c r="AO409" s="20"/>
      <c r="AP409" s="20"/>
      <c r="AQ409" s="20"/>
      <c r="AR409" s="24">
        <f ca="1">IFERROR(__xludf.DUMMYFUNCTION("""COMPUTED_VALUE"""),0)</f>
        <v>0</v>
      </c>
      <c r="AS409" s="20"/>
      <c r="AT409" s="20"/>
      <c r="AU409" s="20"/>
      <c r="AV409" s="20"/>
      <c r="AW409" s="20"/>
      <c r="AX409" s="24">
        <f ca="1">IFERROR(__xludf.DUMMYFUNCTION("""COMPUTED_VALUE"""),4918.85)</f>
        <v>4918.8500000000004</v>
      </c>
      <c r="AY409" s="24">
        <f ca="1">IFERROR(__xludf.DUMMYFUNCTION("""COMPUTED_VALUE"""),0)</f>
        <v>0</v>
      </c>
      <c r="AZ409" s="24">
        <f ca="1">IFERROR(__xludf.DUMMYFUNCTION("""COMPUTED_VALUE"""),4918.85)</f>
        <v>4918.8500000000004</v>
      </c>
      <c r="BA409" s="24">
        <f ca="1">IFERROR(__xludf.DUMMYFUNCTION("""COMPUTED_VALUE"""),0)</f>
        <v>0</v>
      </c>
      <c r="BB409" s="24">
        <f ca="1">IFERROR(__xludf.DUMMYFUNCTION("""COMPUTED_VALUE"""),0)</f>
        <v>0</v>
      </c>
      <c r="BC409" s="20"/>
      <c r="BD409" s="24">
        <f ca="1">IFERROR(__xludf.DUMMYFUNCTION("""COMPUTED_VALUE"""),4885.89)</f>
        <v>4885.8900000000003</v>
      </c>
      <c r="BE409" s="24">
        <f ca="1">IFERROR(__xludf.DUMMYFUNCTION("""COMPUTED_VALUE"""),0)</f>
        <v>0</v>
      </c>
      <c r="BF409" s="24">
        <f ca="1">IFERROR(__xludf.DUMMYFUNCTION("""COMPUTED_VALUE"""),4885.89)</f>
        <v>4885.8900000000003</v>
      </c>
      <c r="BG409" s="24">
        <f ca="1">IFERROR(__xludf.DUMMYFUNCTION("""COMPUTED_VALUE"""),0)</f>
        <v>0</v>
      </c>
      <c r="BH409" s="24">
        <f ca="1">IFERROR(__xludf.DUMMYFUNCTION("""COMPUTED_VALUE"""),0)</f>
        <v>0</v>
      </c>
      <c r="BI409" s="20"/>
      <c r="BJ409" s="24">
        <f ca="1">IFERROR(__xludf.DUMMYFUNCTION("""COMPUTED_VALUE"""),1474.1)</f>
        <v>1474.1</v>
      </c>
      <c r="BK409" s="24">
        <f ca="1">IFERROR(__xludf.DUMMYFUNCTION("""COMPUTED_VALUE"""),0)</f>
        <v>0</v>
      </c>
      <c r="BL409" s="20">
        <f ca="1">IFERROR(__xludf.DUMMYFUNCTION("""COMPUTED_VALUE"""),1474.1)</f>
        <v>1474.1</v>
      </c>
      <c r="BM409" s="24">
        <f ca="1">IFERROR(__xludf.DUMMYFUNCTION("""COMPUTED_VALUE"""),0)</f>
        <v>0</v>
      </c>
      <c r="BN409" s="24">
        <f ca="1">IFERROR(__xludf.DUMMYFUNCTION("""COMPUTED_VALUE"""),0)</f>
        <v>0</v>
      </c>
      <c r="BO409" s="20"/>
      <c r="BP409" s="24">
        <f ca="1">IFERROR(__xludf.DUMMYFUNCTION("""COMPUTED_VALUE"""),0)</f>
        <v>0</v>
      </c>
      <c r="BQ409" s="24">
        <f ca="1">IFERROR(__xludf.DUMMYFUNCTION("""COMPUTED_VALUE"""),0)</f>
        <v>0</v>
      </c>
      <c r="BR409" s="24">
        <f ca="1">IFERROR(__xludf.DUMMYFUNCTION("""COMPUTED_VALUE"""),0)</f>
        <v>0</v>
      </c>
      <c r="BS409" s="24">
        <f ca="1">IFERROR(__xludf.DUMMYFUNCTION("""COMPUTED_VALUE"""),0)</f>
        <v>0</v>
      </c>
      <c r="BT409" s="24">
        <f ca="1">IFERROR(__xludf.DUMMYFUNCTION("""COMPUTED_VALUE"""),0)</f>
        <v>0</v>
      </c>
      <c r="BU409" s="20"/>
      <c r="BV409" s="24">
        <f ca="1">IFERROR(__xludf.DUMMYFUNCTION("""COMPUTED_VALUE"""),0)</f>
        <v>0</v>
      </c>
      <c r="BW409" s="24">
        <f ca="1">IFERROR(__xludf.DUMMYFUNCTION("""COMPUTED_VALUE"""),0)</f>
        <v>0</v>
      </c>
      <c r="BX409" s="24">
        <f ca="1">IFERROR(__xludf.DUMMYFUNCTION("""COMPUTED_VALUE"""),0)</f>
        <v>0</v>
      </c>
      <c r="BY409" s="24">
        <f ca="1">IFERROR(__xludf.DUMMYFUNCTION("""COMPUTED_VALUE"""),0)</f>
        <v>0</v>
      </c>
      <c r="BZ409" s="24">
        <f ca="1">IFERROR(__xludf.DUMMYFUNCTION("""COMPUTED_VALUE"""),0)</f>
        <v>0</v>
      </c>
      <c r="CA409" s="20"/>
      <c r="CB409" s="20"/>
      <c r="CC409" s="20"/>
      <c r="CD409" s="20"/>
      <c r="CE409" s="20"/>
      <c r="CF409" s="20"/>
      <c r="CG409" s="20"/>
      <c r="CH409" s="20"/>
      <c r="CI409" s="20"/>
      <c r="CJ409" s="20"/>
      <c r="CK409" s="20"/>
      <c r="CL409" s="20"/>
      <c r="CM409" s="20"/>
      <c r="CN409" s="20"/>
      <c r="CO409" s="20"/>
      <c r="CP409" s="20"/>
      <c r="CQ409" s="20"/>
      <c r="CR409" s="20"/>
      <c r="CS409" s="20"/>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row>
    <row r="410" spans="1:123" ht="64.5" hidden="1" customHeight="1" x14ac:dyDescent="0.2">
      <c r="A410" s="19"/>
      <c r="B410" s="20" t="str">
        <f ca="1">IFERROR(__xludf.DUMMYFUNCTION("""COMPUTED_VALUE"""),"г.о. Солнечногорск")</f>
        <v>г.о. Солнечногорск</v>
      </c>
      <c r="C410"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10" s="20" t="str">
        <f ca="1">IFERROR(__xludf.DUMMYFUNCTION("""COMPUTED_VALUE"""),"МинЖКХ")</f>
        <v>МинЖКХ</v>
      </c>
      <c r="E410" s="20" t="str">
        <f ca="1">IFERROR(__xludf.DUMMYFUNCTION("""COMPUTED_VALUE"""),"Капитальный ремонт  водопроводных сетей,  д. Новая, Солнечногорский м.р. ")</f>
        <v xml:space="preserve">Капитальный ремонт  водопроводных сетей,  д. Новая, Солнечногорский м.р. </v>
      </c>
      <c r="F410" s="32" t="str">
        <f ca="1">IFERROR(__xludf.DUMMYFUNCTION("""COMPUTED_VALUE"""),"Сети")</f>
        <v>Сети</v>
      </c>
      <c r="G410" s="20">
        <f ca="1">IFERROR(__xludf.DUMMYFUNCTION("""COMPUTED_VALUE"""),2022)</f>
        <v>2022</v>
      </c>
      <c r="H410" s="20" t="str">
        <f ca="1">IFERROR(__xludf.DUMMYFUNCTION("""COMPUTED_VALUE"""),"СМР")</f>
        <v>СМР</v>
      </c>
      <c r="I410" s="20"/>
      <c r="J410" s="20"/>
      <c r="K410" s="20"/>
      <c r="L410" s="20"/>
      <c r="M410" s="20"/>
      <c r="N410" s="24">
        <f ca="1">IFERROR(__xludf.DUMMYFUNCTION("""COMPUTED_VALUE"""),0)</f>
        <v>0</v>
      </c>
      <c r="O410" s="20"/>
      <c r="P410" s="20"/>
      <c r="Q410" s="20"/>
      <c r="R410" s="20"/>
      <c r="S410" s="20"/>
      <c r="T410" s="20"/>
      <c r="U410" s="24">
        <f ca="1">IFERROR(__xludf.DUMMYFUNCTION("""COMPUTED_VALUE"""),0)</f>
        <v>0</v>
      </c>
      <c r="V410" s="24">
        <f ca="1">IFERROR(__xludf.DUMMYFUNCTION("""COMPUTED_VALUE"""),0)</f>
        <v>0</v>
      </c>
      <c r="W410" s="24">
        <f ca="1">IFERROR(__xludf.DUMMYFUNCTION("""COMPUTED_VALUE"""),0)</f>
        <v>0</v>
      </c>
      <c r="X410" s="24">
        <f ca="1">IFERROR(__xludf.DUMMYFUNCTION("""COMPUTED_VALUE"""),0)</f>
        <v>0</v>
      </c>
      <c r="Y410" s="24">
        <f ca="1">IFERROR(__xludf.DUMMYFUNCTION("""COMPUTED_VALUE"""),0)</f>
        <v>0</v>
      </c>
      <c r="Z410" s="24">
        <f ca="1">IFERROR(__xludf.DUMMYFUNCTION("""COMPUTED_VALUE"""),0)</f>
        <v>0</v>
      </c>
      <c r="AA410" s="20" t="str">
        <f ca="1">IFERROR(__xludf.DUMMYFUNCTION("""COMPUTED_VALUE"""),"10 3 02 60320")</f>
        <v>10 3 02 60320</v>
      </c>
      <c r="AB410" s="20">
        <f ca="1">IFERROR(__xludf.DUMMYFUNCTION("""COMPUTED_VALUE"""),521)</f>
        <v>521</v>
      </c>
      <c r="AC410" s="20"/>
      <c r="AD410" s="20"/>
      <c r="AE410" s="20"/>
      <c r="AF410" s="24">
        <f ca="1">IFERROR(__xludf.DUMMYFUNCTION("""COMPUTED_VALUE"""),15000)</f>
        <v>15000</v>
      </c>
      <c r="AG410" s="24">
        <f ca="1">IFERROR(__xludf.DUMMYFUNCTION("""COMPUTED_VALUE"""),0)</f>
        <v>0</v>
      </c>
      <c r="AH410" s="24">
        <f ca="1">IFERROR(__xludf.DUMMYFUNCTION("""COMPUTED_VALUE"""),11175)</f>
        <v>11175</v>
      </c>
      <c r="AI410" s="24">
        <f ca="1">IFERROR(__xludf.DUMMYFUNCTION("""COMPUTED_VALUE"""),0)</f>
        <v>0</v>
      </c>
      <c r="AJ410" s="24">
        <f ca="1">IFERROR(__xludf.DUMMYFUNCTION("""COMPUTED_VALUE"""),3825)</f>
        <v>3825</v>
      </c>
      <c r="AK410" s="24">
        <f ca="1">IFERROR(__xludf.DUMMYFUNCTION("""COMPUTED_VALUE"""),0)</f>
        <v>0</v>
      </c>
      <c r="AL410" s="24">
        <f ca="1">IFERROR(__xludf.DUMMYFUNCTION("""COMPUTED_VALUE"""),0)</f>
        <v>0</v>
      </c>
      <c r="AM410" s="20"/>
      <c r="AN410" s="20"/>
      <c r="AO410" s="20"/>
      <c r="AP410" s="20"/>
      <c r="AQ410" s="20"/>
      <c r="AR410" s="24">
        <f ca="1">IFERROR(__xludf.DUMMYFUNCTION("""COMPUTED_VALUE"""),0)</f>
        <v>0</v>
      </c>
      <c r="AS410" s="20"/>
      <c r="AT410" s="20"/>
      <c r="AU410" s="20"/>
      <c r="AV410" s="20"/>
      <c r="AW410" s="20"/>
      <c r="AX410" s="24">
        <f ca="1">IFERROR(__xludf.DUMMYFUNCTION("""COMPUTED_VALUE"""),0)</f>
        <v>0</v>
      </c>
      <c r="AY410" s="24">
        <f ca="1">IFERROR(__xludf.DUMMYFUNCTION("""COMPUTED_VALUE"""),0)</f>
        <v>0</v>
      </c>
      <c r="AZ410" s="24">
        <f ca="1">IFERROR(__xludf.DUMMYFUNCTION("""COMPUTED_VALUE"""),0)</f>
        <v>0</v>
      </c>
      <c r="BA410" s="24">
        <f ca="1">IFERROR(__xludf.DUMMYFUNCTION("""COMPUTED_VALUE"""),0)</f>
        <v>0</v>
      </c>
      <c r="BB410" s="24">
        <f ca="1">IFERROR(__xludf.DUMMYFUNCTION("""COMPUTED_VALUE"""),0)</f>
        <v>0</v>
      </c>
      <c r="BC410" s="20"/>
      <c r="BD410" s="24">
        <f ca="1">IFERROR(__xludf.DUMMYFUNCTION("""COMPUTED_VALUE"""),0)</f>
        <v>0</v>
      </c>
      <c r="BE410" s="24">
        <f ca="1">IFERROR(__xludf.DUMMYFUNCTION("""COMPUTED_VALUE"""),0)</f>
        <v>0</v>
      </c>
      <c r="BF410" s="24">
        <f ca="1">IFERROR(__xludf.DUMMYFUNCTION("""COMPUTED_VALUE"""),0)</f>
        <v>0</v>
      </c>
      <c r="BG410" s="24">
        <f ca="1">IFERROR(__xludf.DUMMYFUNCTION("""COMPUTED_VALUE"""),0)</f>
        <v>0</v>
      </c>
      <c r="BH410" s="24">
        <f ca="1">IFERROR(__xludf.DUMMYFUNCTION("""COMPUTED_VALUE"""),0)</f>
        <v>0</v>
      </c>
      <c r="BI410" s="20"/>
      <c r="BJ410" s="24">
        <f ca="1">IFERROR(__xludf.DUMMYFUNCTION("""COMPUTED_VALUE"""),15000)</f>
        <v>15000</v>
      </c>
      <c r="BK410" s="24">
        <f ca="1">IFERROR(__xludf.DUMMYFUNCTION("""COMPUTED_VALUE"""),0)</f>
        <v>0</v>
      </c>
      <c r="BL410" s="20">
        <f ca="1">IFERROR(__xludf.DUMMYFUNCTION("""COMPUTED_VALUE"""),11175)</f>
        <v>11175</v>
      </c>
      <c r="BM410" s="24">
        <f ca="1">IFERROR(__xludf.DUMMYFUNCTION("""COMPUTED_VALUE"""),0)</f>
        <v>0</v>
      </c>
      <c r="BN410" s="20">
        <f ca="1">IFERROR(__xludf.DUMMYFUNCTION("""COMPUTED_VALUE"""),3825)</f>
        <v>3825</v>
      </c>
      <c r="BO410" s="20"/>
      <c r="BP410" s="24">
        <f ca="1">IFERROR(__xludf.DUMMYFUNCTION("""COMPUTED_VALUE"""),0)</f>
        <v>0</v>
      </c>
      <c r="BQ410" s="24">
        <f ca="1">IFERROR(__xludf.DUMMYFUNCTION("""COMPUTED_VALUE"""),0)</f>
        <v>0</v>
      </c>
      <c r="BR410" s="24">
        <f ca="1">IFERROR(__xludf.DUMMYFUNCTION("""COMPUTED_VALUE"""),0)</f>
        <v>0</v>
      </c>
      <c r="BS410" s="24">
        <f ca="1">IFERROR(__xludf.DUMMYFUNCTION("""COMPUTED_VALUE"""),0)</f>
        <v>0</v>
      </c>
      <c r="BT410" s="24">
        <f ca="1">IFERROR(__xludf.DUMMYFUNCTION("""COMPUTED_VALUE"""),0)</f>
        <v>0</v>
      </c>
      <c r="BU410" s="20"/>
      <c r="BV410" s="24">
        <f ca="1">IFERROR(__xludf.DUMMYFUNCTION("""COMPUTED_VALUE"""),0)</f>
        <v>0</v>
      </c>
      <c r="BW410" s="24">
        <f ca="1">IFERROR(__xludf.DUMMYFUNCTION("""COMPUTED_VALUE"""),0)</f>
        <v>0</v>
      </c>
      <c r="BX410" s="24">
        <f ca="1">IFERROR(__xludf.DUMMYFUNCTION("""COMPUTED_VALUE"""),0)</f>
        <v>0</v>
      </c>
      <c r="BY410" s="24">
        <f ca="1">IFERROR(__xludf.DUMMYFUNCTION("""COMPUTED_VALUE"""),0)</f>
        <v>0</v>
      </c>
      <c r="BZ410" s="24">
        <f ca="1">IFERROR(__xludf.DUMMYFUNCTION("""COMPUTED_VALUE"""),0)</f>
        <v>0</v>
      </c>
      <c r="CA410" s="20"/>
      <c r="CB410" s="20"/>
      <c r="CC410" s="20"/>
      <c r="CD410" s="20"/>
      <c r="CE410" s="20"/>
      <c r="CF410" s="20"/>
      <c r="CG410" s="20"/>
      <c r="CH410" s="20"/>
      <c r="CI410" s="20"/>
      <c r="CJ410" s="20"/>
      <c r="CK410" s="20"/>
      <c r="CL410" s="20"/>
      <c r="CM410" s="20"/>
      <c r="CN410" s="20"/>
      <c r="CO410" s="20"/>
      <c r="CP410" s="20"/>
      <c r="CQ410" s="20"/>
      <c r="CR410" s="20"/>
      <c r="CS410" s="20"/>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row>
    <row r="411" spans="1:123" ht="64.5" customHeight="1" x14ac:dyDescent="0.2">
      <c r="A411" s="19"/>
      <c r="B411" s="20" t="str">
        <f ca="1">IFERROR(__xludf.DUMMYFUNCTION("""COMPUTED_VALUE"""),"МОС АВС")</f>
        <v>МОС АВС</v>
      </c>
      <c r="C411"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1" s="20" t="str">
        <f ca="1">IFERROR(__xludf.DUMMYFUNCTION("""COMPUTED_VALUE"""),"МинЖКХ")</f>
        <v>МинЖКХ</v>
      </c>
      <c r="E411" s="20" t="str">
        <f ca="1">IFERROR(__xludf.DUMMYFUNCTION("""COMPUTED_VALUE"""),"Строительство блочно-модульной котельной для ГБУЗ МО ""Пушкинская поликлиника микрорайона Клязьма"" по адресу: ул. Лермонтовская, д. 25  (в том числе ПИР)")</f>
        <v>Строительство блочно-модульной котельной для ГБУЗ МО "Пушкинская поликлиника микрорайона Клязьма" по адресу: ул. Лермонтовская, д. 25  (в том числе ПИР)</v>
      </c>
      <c r="F411" s="32" t="str">
        <f ca="1">IFERROR(__xludf.DUMMYFUNCTION("""COMPUTED_VALUE"""),"БМК")</f>
        <v>БМК</v>
      </c>
      <c r="G411" s="20" t="str">
        <f ca="1">IFERROR(__xludf.DUMMYFUNCTION("""COMPUTED_VALUE"""),"2020-2021")</f>
        <v>2020-2021</v>
      </c>
      <c r="H411" s="20" t="str">
        <f ca="1">IFERROR(__xludf.DUMMYFUNCTION("""COMPUTED_VALUE"""),"СМР")</f>
        <v>СМР</v>
      </c>
      <c r="I411" s="20"/>
      <c r="J411" s="20" t="str">
        <f ca="1">IFERROR(__xludf.DUMMYFUNCTION("""COMPUTED_VALUE"""),"Изменение размера платы по договору на ТП. ")</f>
        <v xml:space="preserve">Изменение размера платы по договору на ТП. </v>
      </c>
      <c r="K411" s="20"/>
      <c r="L411" s="20"/>
      <c r="M411" s="20"/>
      <c r="N411" s="24">
        <f ca="1">IFERROR(__xludf.DUMMYFUNCTION("""COMPUTED_VALUE"""),889.7)</f>
        <v>889.7</v>
      </c>
      <c r="O411" s="20"/>
      <c r="P411" s="24">
        <f ca="1">IFERROR(__xludf.DUMMYFUNCTION("""COMPUTED_VALUE"""),889.7)</f>
        <v>889.7</v>
      </c>
      <c r="Q411" s="20"/>
      <c r="R411" s="20"/>
      <c r="S411" s="20"/>
      <c r="T411" s="20"/>
      <c r="U411" s="24">
        <f ca="1">IFERROR(__xludf.DUMMYFUNCTION("""COMPUTED_VALUE"""),1808.08)</f>
        <v>1808.08</v>
      </c>
      <c r="V411" s="24">
        <f ca="1">IFERROR(__xludf.DUMMYFUNCTION("""COMPUTED_VALUE"""),0)</f>
        <v>0</v>
      </c>
      <c r="W411" s="24">
        <f ca="1">IFERROR(__xludf.DUMMYFUNCTION("""COMPUTED_VALUE"""),1808.08)</f>
        <v>1808.08</v>
      </c>
      <c r="X411" s="24">
        <f ca="1">IFERROR(__xludf.DUMMYFUNCTION("""COMPUTED_VALUE"""),0)</f>
        <v>0</v>
      </c>
      <c r="Y411" s="24">
        <f ca="1">IFERROR(__xludf.DUMMYFUNCTION("""COMPUTED_VALUE"""),0)</f>
        <v>0</v>
      </c>
      <c r="Z411" s="24">
        <f ca="1">IFERROR(__xludf.DUMMYFUNCTION("""COMPUTED_VALUE"""),0)</f>
        <v>0</v>
      </c>
      <c r="AA411" s="20" t="str">
        <f ca="1">IFERROR(__xludf.DUMMYFUNCTION("""COMPUTED_VALUE"""),"10 3 02 40010")</f>
        <v>10 3 02 40010</v>
      </c>
      <c r="AB411" s="20">
        <f ca="1">IFERROR(__xludf.DUMMYFUNCTION("""COMPUTED_VALUE"""),414)</f>
        <v>414</v>
      </c>
      <c r="AC411" s="20"/>
      <c r="AD411" s="20"/>
      <c r="AE411" s="20"/>
      <c r="AF411" s="24">
        <f ca="1">IFERROR(__xludf.DUMMYFUNCTION("""COMPUTED_VALUE"""),3242.74)</f>
        <v>3242.74</v>
      </c>
      <c r="AG411" s="24">
        <f ca="1">IFERROR(__xludf.DUMMYFUNCTION("""COMPUTED_VALUE"""),0)</f>
        <v>0</v>
      </c>
      <c r="AH411" s="24">
        <f ca="1">IFERROR(__xludf.DUMMYFUNCTION("""COMPUTED_VALUE"""),3242.74)</f>
        <v>3242.74</v>
      </c>
      <c r="AI411" s="24">
        <f ca="1">IFERROR(__xludf.DUMMYFUNCTION("""COMPUTED_VALUE"""),0)</f>
        <v>0</v>
      </c>
      <c r="AJ411" s="24">
        <f ca="1">IFERROR(__xludf.DUMMYFUNCTION("""COMPUTED_VALUE"""),0)</f>
        <v>0</v>
      </c>
      <c r="AK411" s="24">
        <f ca="1">IFERROR(__xludf.DUMMYFUNCTION("""COMPUTED_VALUE"""),0)</f>
        <v>0</v>
      </c>
      <c r="AL411" s="24">
        <f ca="1">IFERROR(__xludf.DUMMYFUNCTION("""COMPUTED_VALUE"""),0)</f>
        <v>0</v>
      </c>
      <c r="AM411" s="20"/>
      <c r="AN411" s="20"/>
      <c r="AO411" s="20"/>
      <c r="AP411" s="20"/>
      <c r="AQ411" s="20"/>
      <c r="AR411" s="24">
        <f ca="1">IFERROR(__xludf.DUMMYFUNCTION("""COMPUTED_VALUE"""),0)</f>
        <v>0</v>
      </c>
      <c r="AS411" s="20"/>
      <c r="AT411" s="20"/>
      <c r="AU411" s="20"/>
      <c r="AV411" s="20"/>
      <c r="AW411" s="20"/>
      <c r="AX411" s="24">
        <f ca="1">IFERROR(__xludf.DUMMYFUNCTION("""COMPUTED_VALUE"""),2697.78)</f>
        <v>2697.78</v>
      </c>
      <c r="AY411" s="24">
        <f ca="1">IFERROR(__xludf.DUMMYFUNCTION("""COMPUTED_VALUE"""),0)</f>
        <v>0</v>
      </c>
      <c r="AZ411" s="24">
        <f ca="1">IFERROR(__xludf.DUMMYFUNCTION("""COMPUTED_VALUE"""),2697.78)</f>
        <v>2697.78</v>
      </c>
      <c r="BA411" s="24">
        <f ca="1">IFERROR(__xludf.DUMMYFUNCTION("""COMPUTED_VALUE"""),0)</f>
        <v>0</v>
      </c>
      <c r="BB411" s="24">
        <f ca="1">IFERROR(__xludf.DUMMYFUNCTION("""COMPUTED_VALUE"""),0)</f>
        <v>0</v>
      </c>
      <c r="BC411" s="20"/>
      <c r="BD411" s="24">
        <f ca="1">IFERROR(__xludf.DUMMYFUNCTION("""COMPUTED_VALUE"""),544.96)</f>
        <v>544.96</v>
      </c>
      <c r="BE411" s="24">
        <f ca="1">IFERROR(__xludf.DUMMYFUNCTION("""COMPUTED_VALUE"""),0)</f>
        <v>0</v>
      </c>
      <c r="BF411" s="24">
        <f ca="1">IFERROR(__xludf.DUMMYFUNCTION("""COMPUTED_VALUE"""),544.96)</f>
        <v>544.96</v>
      </c>
      <c r="BG411" s="24">
        <f ca="1">IFERROR(__xludf.DUMMYFUNCTION("""COMPUTED_VALUE"""),0)</f>
        <v>0</v>
      </c>
      <c r="BH411" s="24">
        <f ca="1">IFERROR(__xludf.DUMMYFUNCTION("""COMPUTED_VALUE"""),0)</f>
        <v>0</v>
      </c>
      <c r="BI411" s="20"/>
      <c r="BJ411" s="24">
        <f ca="1">IFERROR(__xludf.DUMMYFUNCTION("""COMPUTED_VALUE"""),0)</f>
        <v>0</v>
      </c>
      <c r="BK411" s="24">
        <f ca="1">IFERROR(__xludf.DUMMYFUNCTION("""COMPUTED_VALUE"""),0)</f>
        <v>0</v>
      </c>
      <c r="BL411" s="24">
        <f ca="1">IFERROR(__xludf.DUMMYFUNCTION("""COMPUTED_VALUE"""),0)</f>
        <v>0</v>
      </c>
      <c r="BM411" s="24">
        <f ca="1">IFERROR(__xludf.DUMMYFUNCTION("""COMPUTED_VALUE"""),0)</f>
        <v>0</v>
      </c>
      <c r="BN411" s="24">
        <f ca="1">IFERROR(__xludf.DUMMYFUNCTION("""COMPUTED_VALUE"""),0)</f>
        <v>0</v>
      </c>
      <c r="BO411" s="20"/>
      <c r="BP411" s="24">
        <f ca="1">IFERROR(__xludf.DUMMYFUNCTION("""COMPUTED_VALUE"""),0)</f>
        <v>0</v>
      </c>
      <c r="BQ411" s="24">
        <f ca="1">IFERROR(__xludf.DUMMYFUNCTION("""COMPUTED_VALUE"""),0)</f>
        <v>0</v>
      </c>
      <c r="BR411" s="24">
        <f ca="1">IFERROR(__xludf.DUMMYFUNCTION("""COMPUTED_VALUE"""),0)</f>
        <v>0</v>
      </c>
      <c r="BS411" s="24">
        <f ca="1">IFERROR(__xludf.DUMMYFUNCTION("""COMPUTED_VALUE"""),0)</f>
        <v>0</v>
      </c>
      <c r="BT411" s="24">
        <f ca="1">IFERROR(__xludf.DUMMYFUNCTION("""COMPUTED_VALUE"""),0)</f>
        <v>0</v>
      </c>
      <c r="BU411" s="20"/>
      <c r="BV411" s="24">
        <f ca="1">IFERROR(__xludf.DUMMYFUNCTION("""COMPUTED_VALUE"""),0)</f>
        <v>0</v>
      </c>
      <c r="BW411" s="24">
        <f ca="1">IFERROR(__xludf.DUMMYFUNCTION("""COMPUTED_VALUE"""),0)</f>
        <v>0</v>
      </c>
      <c r="BX411" s="24">
        <f ca="1">IFERROR(__xludf.DUMMYFUNCTION("""COMPUTED_VALUE"""),0)</f>
        <v>0</v>
      </c>
      <c r="BY411" s="24">
        <f ca="1">IFERROR(__xludf.DUMMYFUNCTION("""COMPUTED_VALUE"""),0)</f>
        <v>0</v>
      </c>
      <c r="BZ411" s="24">
        <f ca="1">IFERROR(__xludf.DUMMYFUNCTION("""COMPUTED_VALUE"""),0)</f>
        <v>0</v>
      </c>
      <c r="CA411" s="20"/>
      <c r="CB411" s="20"/>
      <c r="CC411" s="20"/>
      <c r="CD411" s="20"/>
      <c r="CE411" s="20"/>
      <c r="CF411" s="20"/>
      <c r="CG411" s="20"/>
      <c r="CH411" s="20"/>
      <c r="CI411" s="20"/>
      <c r="CJ411" s="20"/>
      <c r="CK411" s="20"/>
      <c r="CL411" s="20"/>
      <c r="CM411" s="25">
        <f ca="1">IFERROR(__xludf.DUMMYFUNCTION("""COMPUTED_VALUE"""),43754)</f>
        <v>43754</v>
      </c>
      <c r="CN411" s="20" t="str">
        <f ca="1">IFERROR(__xludf.DUMMYFUNCTION("""COMPUTED_VALUE"""),"0348200020819000068")</f>
        <v>0348200020819000068</v>
      </c>
      <c r="CO411" s="25">
        <f ca="1">IFERROR(__xludf.DUMMYFUNCTION("""COMPUTED_VALUE"""),43787)</f>
        <v>43787</v>
      </c>
      <c r="CP411" s="20" t="str">
        <f ca="1">IFERROR(__xludf.DUMMYFUNCTION("""COMPUTED_VALUE"""),"107/68")</f>
        <v>107/68</v>
      </c>
      <c r="CQ411" s="20">
        <f ca="1">IFERROR(__xludf.DUMMYFUNCTION("""COMPUTED_VALUE"""),4504715.79)</f>
        <v>4504715.79</v>
      </c>
      <c r="CR411" s="20" t="str">
        <f ca="1">IFERROR(__xludf.DUMMYFUNCTION("""COMPUTED_VALUE"""),"ООО ""СМУ СПЕЦСТРОЙ""")</f>
        <v>ООО "СМУ СПЕЦСТРОЙ"</v>
      </c>
      <c r="CS411" s="27" t="str">
        <f ca="1">IFERROR(__xludf.DUMMYFUNCTION("""COMPUTED_VALUE"""),"https://zakupki.gov.ru/epz/contract/contractCard/common-info.html?reestrNumber=2503107028619000084&amp;backUrl=188c818a-4f36-4ad7-ad8b-b8c18e927734")</f>
        <v>https://zakupki.gov.ru/epz/contract/contractCard/common-info.html?reestrNumber=2503107028619000084&amp;backUrl=188c818a-4f36-4ad7-ad8b-b8c18e927734</v>
      </c>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row>
    <row r="412" spans="1:123" ht="64.5" customHeight="1" x14ac:dyDescent="0.2">
      <c r="A412" s="19"/>
      <c r="B412" s="20" t="str">
        <f ca="1">IFERROR(__xludf.DUMMYFUNCTION("""COMPUTED_VALUE"""),"МОС АВС")</f>
        <v>МОС АВС</v>
      </c>
      <c r="C412"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2" s="20" t="str">
        <f ca="1">IFERROR(__xludf.DUMMYFUNCTION("""COMPUTED_VALUE"""),"МинЖКХ")</f>
        <v>МинЖКХ</v>
      </c>
      <c r="E412" s="20"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f>
        <v>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v>
      </c>
      <c r="F412" s="32" t="str">
        <f ca="1">IFERROR(__xludf.DUMMYFUNCTION("""COMPUTED_VALUE"""),"БМК")</f>
        <v>БМК</v>
      </c>
      <c r="G412" s="20">
        <f ca="1">IFERROR(__xludf.DUMMYFUNCTION("""COMPUTED_VALUE"""),2020)</f>
        <v>2020</v>
      </c>
      <c r="H412" s="20" t="str">
        <f ca="1">IFERROR(__xludf.DUMMYFUNCTION("""COMPUTED_VALUE"""),"ПИР")</f>
        <v>ПИР</v>
      </c>
      <c r="I412" s="20"/>
      <c r="J412" s="20" t="str">
        <f ca="1">IFERROR(__xludf.DUMMYFUNCTION("""COMPUTED_VALUE"""),"Участок не передан в безвозмездное пользовние . Перенос на 2021 год.")</f>
        <v>Участок не передан в безвозмездное пользовние . Перенос на 2021 год.</v>
      </c>
      <c r="K412" s="20" t="str">
        <f ca="1">IFERROR(__xludf.DUMMYFUNCTION("""COMPUTED_VALUE"""),"-")</f>
        <v>-</v>
      </c>
      <c r="L412" s="20" t="str">
        <f ca="1">IFERROR(__xludf.DUMMYFUNCTION("""COMPUTED_VALUE"""),"-")</f>
        <v>-</v>
      </c>
      <c r="M412" s="20"/>
      <c r="N412" s="24">
        <f ca="1">IFERROR(__xludf.DUMMYFUNCTION("""COMPUTED_VALUE"""),0)</f>
        <v>0</v>
      </c>
      <c r="O412" s="20"/>
      <c r="P412" s="24">
        <f ca="1">IFERROR(__xludf.DUMMYFUNCTION("""COMPUTED_VALUE"""),0)</f>
        <v>0</v>
      </c>
      <c r="Q412" s="20"/>
      <c r="R412" s="20"/>
      <c r="S412" s="20"/>
      <c r="T412" s="20"/>
      <c r="U412" s="24">
        <f ca="1">IFERROR(__xludf.DUMMYFUNCTION("""COMPUTED_VALUE"""),5800)</f>
        <v>5800</v>
      </c>
      <c r="V412" s="24">
        <f ca="1">IFERROR(__xludf.DUMMYFUNCTION("""COMPUTED_VALUE"""),0)</f>
        <v>0</v>
      </c>
      <c r="W412" s="24">
        <f ca="1">IFERROR(__xludf.DUMMYFUNCTION("""COMPUTED_VALUE"""),5800)</f>
        <v>5800</v>
      </c>
      <c r="X412" s="24">
        <f ca="1">IFERROR(__xludf.DUMMYFUNCTION("""COMPUTED_VALUE"""),0)</f>
        <v>0</v>
      </c>
      <c r="Y412" s="24">
        <f ca="1">IFERROR(__xludf.DUMMYFUNCTION("""COMPUTED_VALUE"""),0)</f>
        <v>0</v>
      </c>
      <c r="Z412" s="24">
        <f ca="1">IFERROR(__xludf.DUMMYFUNCTION("""COMPUTED_VALUE"""),0)</f>
        <v>0</v>
      </c>
      <c r="AA412" s="20" t="str">
        <f ca="1">IFERROR(__xludf.DUMMYFUNCTION("""COMPUTED_VALUE"""),"10 3 02 40010")</f>
        <v>10 3 02 40010</v>
      </c>
      <c r="AB412" s="20">
        <f ca="1">IFERROR(__xludf.DUMMYFUNCTION("""COMPUTED_VALUE"""),414)</f>
        <v>414</v>
      </c>
      <c r="AC412" s="20"/>
      <c r="AD412" s="20"/>
      <c r="AE412" s="20"/>
      <c r="AF412" s="24">
        <f ca="1">IFERROR(__xludf.DUMMYFUNCTION("""COMPUTED_VALUE"""),5800)</f>
        <v>5800</v>
      </c>
      <c r="AG412" s="24">
        <f ca="1">IFERROR(__xludf.DUMMYFUNCTION("""COMPUTED_VALUE"""),0)</f>
        <v>0</v>
      </c>
      <c r="AH412" s="24">
        <f ca="1">IFERROR(__xludf.DUMMYFUNCTION("""COMPUTED_VALUE"""),5800)</f>
        <v>5800</v>
      </c>
      <c r="AI412" s="24">
        <f ca="1">IFERROR(__xludf.DUMMYFUNCTION("""COMPUTED_VALUE"""),0)</f>
        <v>0</v>
      </c>
      <c r="AJ412" s="24">
        <f ca="1">IFERROR(__xludf.DUMMYFUNCTION("""COMPUTED_VALUE"""),0)</f>
        <v>0</v>
      </c>
      <c r="AK412" s="24">
        <f ca="1">IFERROR(__xludf.DUMMYFUNCTION("""COMPUTED_VALUE"""),0)</f>
        <v>0</v>
      </c>
      <c r="AL412" s="24">
        <f ca="1">IFERROR(__xludf.DUMMYFUNCTION("""COMPUTED_VALUE"""),0)</f>
        <v>0</v>
      </c>
      <c r="AM412" s="20"/>
      <c r="AN412" s="20"/>
      <c r="AO412" s="20"/>
      <c r="AP412" s="20"/>
      <c r="AQ412" s="20"/>
      <c r="AR412" s="24">
        <f ca="1">IFERROR(__xludf.DUMMYFUNCTION("""COMPUTED_VALUE"""),0)</f>
        <v>0</v>
      </c>
      <c r="AS412" s="20"/>
      <c r="AT412" s="20"/>
      <c r="AU412" s="20"/>
      <c r="AV412" s="20"/>
      <c r="AW412" s="20"/>
      <c r="AX412" s="24">
        <f ca="1">IFERROR(__xludf.DUMMYFUNCTION("""COMPUTED_VALUE"""),5800)</f>
        <v>5800</v>
      </c>
      <c r="AY412" s="24">
        <f ca="1">IFERROR(__xludf.DUMMYFUNCTION("""COMPUTED_VALUE"""),0)</f>
        <v>0</v>
      </c>
      <c r="AZ412" s="24">
        <f ca="1">IFERROR(__xludf.DUMMYFUNCTION("""COMPUTED_VALUE"""),5800)</f>
        <v>5800</v>
      </c>
      <c r="BA412" s="24">
        <f ca="1">IFERROR(__xludf.DUMMYFUNCTION("""COMPUTED_VALUE"""),0)</f>
        <v>0</v>
      </c>
      <c r="BB412" s="24">
        <f ca="1">IFERROR(__xludf.DUMMYFUNCTION("""COMPUTED_VALUE"""),0)</f>
        <v>0</v>
      </c>
      <c r="BC412" s="20"/>
      <c r="BD412" s="24">
        <f ca="1">IFERROR(__xludf.DUMMYFUNCTION("""COMPUTED_VALUE"""),0)</f>
        <v>0</v>
      </c>
      <c r="BE412" s="24">
        <f ca="1">IFERROR(__xludf.DUMMYFUNCTION("""COMPUTED_VALUE"""),0)</f>
        <v>0</v>
      </c>
      <c r="BF412" s="24">
        <f ca="1">IFERROR(__xludf.DUMMYFUNCTION("""COMPUTED_VALUE"""),0)</f>
        <v>0</v>
      </c>
      <c r="BG412" s="24">
        <f ca="1">IFERROR(__xludf.DUMMYFUNCTION("""COMPUTED_VALUE"""),0)</f>
        <v>0</v>
      </c>
      <c r="BH412" s="24">
        <f ca="1">IFERROR(__xludf.DUMMYFUNCTION("""COMPUTED_VALUE"""),0)</f>
        <v>0</v>
      </c>
      <c r="BI412" s="20"/>
      <c r="BJ412" s="24">
        <f ca="1">IFERROR(__xludf.DUMMYFUNCTION("""COMPUTED_VALUE"""),0)</f>
        <v>0</v>
      </c>
      <c r="BK412" s="24">
        <f ca="1">IFERROR(__xludf.DUMMYFUNCTION("""COMPUTED_VALUE"""),0)</f>
        <v>0</v>
      </c>
      <c r="BL412" s="24">
        <f ca="1">IFERROR(__xludf.DUMMYFUNCTION("""COMPUTED_VALUE"""),0)</f>
        <v>0</v>
      </c>
      <c r="BM412" s="24">
        <f ca="1">IFERROR(__xludf.DUMMYFUNCTION("""COMPUTED_VALUE"""),0)</f>
        <v>0</v>
      </c>
      <c r="BN412" s="24">
        <f ca="1">IFERROR(__xludf.DUMMYFUNCTION("""COMPUTED_VALUE"""),0)</f>
        <v>0</v>
      </c>
      <c r="BO412" s="20"/>
      <c r="BP412" s="24">
        <f ca="1">IFERROR(__xludf.DUMMYFUNCTION("""COMPUTED_VALUE"""),0)</f>
        <v>0</v>
      </c>
      <c r="BQ412" s="24">
        <f ca="1">IFERROR(__xludf.DUMMYFUNCTION("""COMPUTED_VALUE"""),0)</f>
        <v>0</v>
      </c>
      <c r="BR412" s="24">
        <f ca="1">IFERROR(__xludf.DUMMYFUNCTION("""COMPUTED_VALUE"""),0)</f>
        <v>0</v>
      </c>
      <c r="BS412" s="24">
        <f ca="1">IFERROR(__xludf.DUMMYFUNCTION("""COMPUTED_VALUE"""),0)</f>
        <v>0</v>
      </c>
      <c r="BT412" s="24">
        <f ca="1">IFERROR(__xludf.DUMMYFUNCTION("""COMPUTED_VALUE"""),0)</f>
        <v>0</v>
      </c>
      <c r="BU412" s="20"/>
      <c r="BV412" s="24">
        <f ca="1">IFERROR(__xludf.DUMMYFUNCTION("""COMPUTED_VALUE"""),0)</f>
        <v>0</v>
      </c>
      <c r="BW412" s="24">
        <f ca="1">IFERROR(__xludf.DUMMYFUNCTION("""COMPUTED_VALUE"""),0)</f>
        <v>0</v>
      </c>
      <c r="BX412" s="24">
        <f ca="1">IFERROR(__xludf.DUMMYFUNCTION("""COMPUTED_VALUE"""),0)</f>
        <v>0</v>
      </c>
      <c r="BY412" s="24">
        <f ca="1">IFERROR(__xludf.DUMMYFUNCTION("""COMPUTED_VALUE"""),0)</f>
        <v>0</v>
      </c>
      <c r="BZ412" s="24">
        <f ca="1">IFERROR(__xludf.DUMMYFUNCTION("""COMPUTED_VALUE"""),0)</f>
        <v>0</v>
      </c>
      <c r="CA412" s="20"/>
      <c r="CB412" s="20"/>
      <c r="CC412" s="20"/>
      <c r="CD412" s="20"/>
      <c r="CE412" s="20"/>
      <c r="CF412" s="20"/>
      <c r="CG412" s="20"/>
      <c r="CH412" s="20"/>
      <c r="CI412" s="20"/>
      <c r="CJ412" s="20"/>
      <c r="CK412" s="20"/>
      <c r="CL412" s="20"/>
      <c r="CM412" s="20"/>
      <c r="CN412" s="20"/>
      <c r="CO412" s="20"/>
      <c r="CP412" s="20"/>
      <c r="CQ412" s="20"/>
      <c r="CR412" s="20"/>
      <c r="CS412" s="20"/>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row>
    <row r="413" spans="1:123" ht="64.5" customHeight="1" x14ac:dyDescent="0.2">
      <c r="A413" s="19"/>
      <c r="B413" s="20" t="str">
        <f ca="1">IFERROR(__xludf.DUMMYFUNCTION("""COMPUTED_VALUE"""),"МОС АВС")</f>
        <v>МОС АВС</v>
      </c>
      <c r="C413"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3" s="20" t="str">
        <f ca="1">IFERROR(__xludf.DUMMYFUNCTION("""COMPUTED_VALUE"""),"МинЖКХ")</f>
        <v>МинЖКХ</v>
      </c>
      <c r="E413" s="20"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f>
        <v xml:space="preserv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v>
      </c>
      <c r="F413" s="32" t="str">
        <f ca="1">IFERROR(__xludf.DUMMYFUNCTION("""COMPUTED_VALUE"""),"БМК")</f>
        <v>БМК</v>
      </c>
      <c r="G413" s="20">
        <f ca="1">IFERROR(__xludf.DUMMYFUNCTION("""COMPUTED_VALUE"""),2020)</f>
        <v>2020</v>
      </c>
      <c r="H413" s="20" t="str">
        <f ca="1">IFERROR(__xludf.DUMMYFUNCTION("""COMPUTED_VALUE"""),"ПИР")</f>
        <v>ПИР</v>
      </c>
      <c r="I413" s="20"/>
      <c r="J413" s="20" t="str">
        <f ca="1">IFERROR(__xludf.DUMMYFUNCTION("""COMPUTED_VALUE"""),"Участок не передан в безвозмездное пользовние . Перенос на 2021 год.")</f>
        <v>Участок не передан в безвозмездное пользовние . Перенос на 2021 год.</v>
      </c>
      <c r="K413" s="20" t="str">
        <f ca="1">IFERROR(__xludf.DUMMYFUNCTION("""COMPUTED_VALUE"""),"-")</f>
        <v>-</v>
      </c>
      <c r="L413" s="20" t="str">
        <f ca="1">IFERROR(__xludf.DUMMYFUNCTION("""COMPUTED_VALUE"""),"-")</f>
        <v>-</v>
      </c>
      <c r="M413" s="20"/>
      <c r="N413" s="24">
        <f ca="1">IFERROR(__xludf.DUMMYFUNCTION("""COMPUTED_VALUE"""),0)</f>
        <v>0</v>
      </c>
      <c r="O413" s="20"/>
      <c r="P413" s="24">
        <f ca="1">IFERROR(__xludf.DUMMYFUNCTION("""COMPUTED_VALUE"""),0)</f>
        <v>0</v>
      </c>
      <c r="Q413" s="20"/>
      <c r="R413" s="20"/>
      <c r="S413" s="20"/>
      <c r="T413" s="20"/>
      <c r="U413" s="24">
        <f ca="1">IFERROR(__xludf.DUMMYFUNCTION("""COMPUTED_VALUE"""),7211.71)</f>
        <v>7211.71</v>
      </c>
      <c r="V413" s="24">
        <f ca="1">IFERROR(__xludf.DUMMYFUNCTION("""COMPUTED_VALUE"""),0)</f>
        <v>0</v>
      </c>
      <c r="W413" s="24">
        <f ca="1">IFERROR(__xludf.DUMMYFUNCTION("""COMPUTED_VALUE"""),7211.71)</f>
        <v>7211.71</v>
      </c>
      <c r="X413" s="24">
        <f ca="1">IFERROR(__xludf.DUMMYFUNCTION("""COMPUTED_VALUE"""),0)</f>
        <v>0</v>
      </c>
      <c r="Y413" s="24">
        <f ca="1">IFERROR(__xludf.DUMMYFUNCTION("""COMPUTED_VALUE"""),0)</f>
        <v>0</v>
      </c>
      <c r="Z413" s="24">
        <f ca="1">IFERROR(__xludf.DUMMYFUNCTION("""COMPUTED_VALUE"""),0)</f>
        <v>0</v>
      </c>
      <c r="AA413" s="20" t="str">
        <f ca="1">IFERROR(__xludf.DUMMYFUNCTION("""COMPUTED_VALUE"""),"10 3 02 40010")</f>
        <v>10 3 02 40010</v>
      </c>
      <c r="AB413" s="20">
        <f ca="1">IFERROR(__xludf.DUMMYFUNCTION("""COMPUTED_VALUE"""),414)</f>
        <v>414</v>
      </c>
      <c r="AC413" s="20"/>
      <c r="AD413" s="20"/>
      <c r="AE413" s="20"/>
      <c r="AF413" s="24">
        <f ca="1">IFERROR(__xludf.DUMMYFUNCTION("""COMPUTED_VALUE"""),7211.71)</f>
        <v>7211.71</v>
      </c>
      <c r="AG413" s="24">
        <f ca="1">IFERROR(__xludf.DUMMYFUNCTION("""COMPUTED_VALUE"""),0)</f>
        <v>0</v>
      </c>
      <c r="AH413" s="24">
        <f ca="1">IFERROR(__xludf.DUMMYFUNCTION("""COMPUTED_VALUE"""),7211.71)</f>
        <v>7211.71</v>
      </c>
      <c r="AI413" s="24">
        <f ca="1">IFERROR(__xludf.DUMMYFUNCTION("""COMPUTED_VALUE"""),0)</f>
        <v>0</v>
      </c>
      <c r="AJ413" s="24">
        <f ca="1">IFERROR(__xludf.DUMMYFUNCTION("""COMPUTED_VALUE"""),0)</f>
        <v>0</v>
      </c>
      <c r="AK413" s="24">
        <f ca="1">IFERROR(__xludf.DUMMYFUNCTION("""COMPUTED_VALUE"""),0)</f>
        <v>0</v>
      </c>
      <c r="AL413" s="24">
        <f ca="1">IFERROR(__xludf.DUMMYFUNCTION("""COMPUTED_VALUE"""),0)</f>
        <v>0</v>
      </c>
      <c r="AM413" s="20"/>
      <c r="AN413" s="20"/>
      <c r="AO413" s="20"/>
      <c r="AP413" s="20"/>
      <c r="AQ413" s="20"/>
      <c r="AR413" s="24">
        <f ca="1">IFERROR(__xludf.DUMMYFUNCTION("""COMPUTED_VALUE"""),0)</f>
        <v>0</v>
      </c>
      <c r="AS413" s="20"/>
      <c r="AT413" s="20"/>
      <c r="AU413" s="20"/>
      <c r="AV413" s="20"/>
      <c r="AW413" s="20"/>
      <c r="AX413" s="24">
        <f ca="1">IFERROR(__xludf.DUMMYFUNCTION("""COMPUTED_VALUE"""),7211.71)</f>
        <v>7211.71</v>
      </c>
      <c r="AY413" s="24">
        <f ca="1">IFERROR(__xludf.DUMMYFUNCTION("""COMPUTED_VALUE"""),0)</f>
        <v>0</v>
      </c>
      <c r="AZ413" s="24">
        <f ca="1">IFERROR(__xludf.DUMMYFUNCTION("""COMPUTED_VALUE"""),7211.71)</f>
        <v>7211.71</v>
      </c>
      <c r="BA413" s="24">
        <f ca="1">IFERROR(__xludf.DUMMYFUNCTION("""COMPUTED_VALUE"""),0)</f>
        <v>0</v>
      </c>
      <c r="BB413" s="24">
        <f ca="1">IFERROR(__xludf.DUMMYFUNCTION("""COMPUTED_VALUE"""),0)</f>
        <v>0</v>
      </c>
      <c r="BC413" s="20"/>
      <c r="BD413" s="24">
        <f ca="1">IFERROR(__xludf.DUMMYFUNCTION("""COMPUTED_VALUE"""),0)</f>
        <v>0</v>
      </c>
      <c r="BE413" s="24">
        <f ca="1">IFERROR(__xludf.DUMMYFUNCTION("""COMPUTED_VALUE"""),0)</f>
        <v>0</v>
      </c>
      <c r="BF413" s="24">
        <f ca="1">IFERROR(__xludf.DUMMYFUNCTION("""COMPUTED_VALUE"""),0)</f>
        <v>0</v>
      </c>
      <c r="BG413" s="24">
        <f ca="1">IFERROR(__xludf.DUMMYFUNCTION("""COMPUTED_VALUE"""),0)</f>
        <v>0</v>
      </c>
      <c r="BH413" s="24">
        <f ca="1">IFERROR(__xludf.DUMMYFUNCTION("""COMPUTED_VALUE"""),0)</f>
        <v>0</v>
      </c>
      <c r="BI413" s="20"/>
      <c r="BJ413" s="24">
        <f ca="1">IFERROR(__xludf.DUMMYFUNCTION("""COMPUTED_VALUE"""),0)</f>
        <v>0</v>
      </c>
      <c r="BK413" s="24">
        <f ca="1">IFERROR(__xludf.DUMMYFUNCTION("""COMPUTED_VALUE"""),0)</f>
        <v>0</v>
      </c>
      <c r="BL413" s="24">
        <f ca="1">IFERROR(__xludf.DUMMYFUNCTION("""COMPUTED_VALUE"""),0)</f>
        <v>0</v>
      </c>
      <c r="BM413" s="24">
        <f ca="1">IFERROR(__xludf.DUMMYFUNCTION("""COMPUTED_VALUE"""),0)</f>
        <v>0</v>
      </c>
      <c r="BN413" s="24">
        <f ca="1">IFERROR(__xludf.DUMMYFUNCTION("""COMPUTED_VALUE"""),0)</f>
        <v>0</v>
      </c>
      <c r="BO413" s="20"/>
      <c r="BP413" s="24">
        <f ca="1">IFERROR(__xludf.DUMMYFUNCTION("""COMPUTED_VALUE"""),0)</f>
        <v>0</v>
      </c>
      <c r="BQ413" s="24">
        <f ca="1">IFERROR(__xludf.DUMMYFUNCTION("""COMPUTED_VALUE"""),0)</f>
        <v>0</v>
      </c>
      <c r="BR413" s="24">
        <f ca="1">IFERROR(__xludf.DUMMYFUNCTION("""COMPUTED_VALUE"""),0)</f>
        <v>0</v>
      </c>
      <c r="BS413" s="24">
        <f ca="1">IFERROR(__xludf.DUMMYFUNCTION("""COMPUTED_VALUE"""),0)</f>
        <v>0</v>
      </c>
      <c r="BT413" s="24">
        <f ca="1">IFERROR(__xludf.DUMMYFUNCTION("""COMPUTED_VALUE"""),0)</f>
        <v>0</v>
      </c>
      <c r="BU413" s="20"/>
      <c r="BV413" s="24">
        <f ca="1">IFERROR(__xludf.DUMMYFUNCTION("""COMPUTED_VALUE"""),0)</f>
        <v>0</v>
      </c>
      <c r="BW413" s="24">
        <f ca="1">IFERROR(__xludf.DUMMYFUNCTION("""COMPUTED_VALUE"""),0)</f>
        <v>0</v>
      </c>
      <c r="BX413" s="24">
        <f ca="1">IFERROR(__xludf.DUMMYFUNCTION("""COMPUTED_VALUE"""),0)</f>
        <v>0</v>
      </c>
      <c r="BY413" s="24">
        <f ca="1">IFERROR(__xludf.DUMMYFUNCTION("""COMPUTED_VALUE"""),0)</f>
        <v>0</v>
      </c>
      <c r="BZ413" s="24">
        <f ca="1">IFERROR(__xludf.DUMMYFUNCTION("""COMPUTED_VALUE"""),0)</f>
        <v>0</v>
      </c>
      <c r="CA413" s="20"/>
      <c r="CB413" s="20"/>
      <c r="CC413" s="20"/>
      <c r="CD413" s="20"/>
      <c r="CE413" s="20"/>
      <c r="CF413" s="20"/>
      <c r="CG413" s="20"/>
      <c r="CH413" s="20"/>
      <c r="CI413" s="20"/>
      <c r="CJ413" s="20"/>
      <c r="CK413" s="20"/>
      <c r="CL413" s="20"/>
      <c r="CM413" s="20"/>
      <c r="CN413" s="20"/>
      <c r="CO413" s="20"/>
      <c r="CP413" s="20"/>
      <c r="CQ413" s="20"/>
      <c r="CR413" s="20"/>
      <c r="CS413" s="20"/>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row>
    <row r="414" spans="1:123" ht="64.5" customHeight="1" x14ac:dyDescent="0.2">
      <c r="A414" s="19"/>
      <c r="B414" s="20" t="str">
        <f ca="1">IFERROR(__xludf.DUMMYFUNCTION("""COMPUTED_VALUE"""),"МОС АВС")</f>
        <v>МОС АВС</v>
      </c>
      <c r="C414"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4" s="20" t="str">
        <f ca="1">IFERROR(__xludf.DUMMYFUNCTION("""COMPUTED_VALUE"""),"МинЖКХ")</f>
        <v>МинЖКХ</v>
      </c>
      <c r="E414" s="20" t="str">
        <f ca="1">IFERROR(__xludf.DUMMYFUNCTION("""COMPUTED_VALUE"""),"Строительство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f>
        <v>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v>
      </c>
      <c r="F414" s="32" t="str">
        <f ca="1">IFERROR(__xludf.DUMMYFUNCTION("""COMPUTED_VALUE"""),"БМК")</f>
        <v>БМК</v>
      </c>
      <c r="G414" s="20" t="str">
        <f ca="1">IFERROR(__xludf.DUMMYFUNCTION("""COMPUTED_VALUE"""),"2020-2021")</f>
        <v>2020-2021</v>
      </c>
      <c r="H414" s="20" t="str">
        <f ca="1">IFERROR(__xludf.DUMMYFUNCTION("""COMPUTED_VALUE"""),"СМР")</f>
        <v>СМР</v>
      </c>
      <c r="I414" s="20"/>
      <c r="J414" s="20" t="str">
        <f ca="1">IFERROR(__xludf.DUMMYFUNCTION("""COMPUTED_VALUE"""),"Возврат ЛБО на БМК Денежниково")</f>
        <v>Возврат ЛБО на БМК Денежниково</v>
      </c>
      <c r="K414" s="20"/>
      <c r="L414" s="20"/>
      <c r="M414" s="20"/>
      <c r="N414" s="24">
        <f ca="1">IFERROR(__xludf.DUMMYFUNCTION("""COMPUTED_VALUE"""),15341.62)</f>
        <v>15341.62</v>
      </c>
      <c r="O414" s="20"/>
      <c r="P414" s="24">
        <f ca="1">IFERROR(__xludf.DUMMYFUNCTION("""COMPUTED_VALUE"""),15341.62)</f>
        <v>15341.62</v>
      </c>
      <c r="Q414" s="20"/>
      <c r="R414" s="20"/>
      <c r="S414" s="20"/>
      <c r="T414" s="20"/>
      <c r="U414" s="24">
        <f ca="1">IFERROR(__xludf.DUMMYFUNCTION("""COMPUTED_VALUE"""),7799.65999999999)</f>
        <v>7799.6599999999899</v>
      </c>
      <c r="V414" s="24">
        <f ca="1">IFERROR(__xludf.DUMMYFUNCTION("""COMPUTED_VALUE"""),0)</f>
        <v>0</v>
      </c>
      <c r="W414" s="24">
        <f ca="1">IFERROR(__xludf.DUMMYFUNCTION("""COMPUTED_VALUE"""),7799.65999999999)</f>
        <v>7799.6599999999899</v>
      </c>
      <c r="X414" s="24">
        <f ca="1">IFERROR(__xludf.DUMMYFUNCTION("""COMPUTED_VALUE"""),0)</f>
        <v>0</v>
      </c>
      <c r="Y414" s="24">
        <f ca="1">IFERROR(__xludf.DUMMYFUNCTION("""COMPUTED_VALUE"""),0)</f>
        <v>0</v>
      </c>
      <c r="Z414" s="24">
        <f ca="1">IFERROR(__xludf.DUMMYFUNCTION("""COMPUTED_VALUE"""),0)</f>
        <v>0</v>
      </c>
      <c r="AA414" s="20" t="str">
        <f ca="1">IFERROR(__xludf.DUMMYFUNCTION("""COMPUTED_VALUE"""),"10 3 02 40010")</f>
        <v>10 3 02 40010</v>
      </c>
      <c r="AB414" s="20">
        <f ca="1">IFERROR(__xludf.DUMMYFUNCTION("""COMPUTED_VALUE"""),414)</f>
        <v>414</v>
      </c>
      <c r="AC414" s="20"/>
      <c r="AD414" s="20"/>
      <c r="AE414" s="20"/>
      <c r="AF414" s="24">
        <f ca="1">IFERROR(__xludf.DUMMYFUNCTION("""COMPUTED_VALUE"""),23462.12)</f>
        <v>23462.12</v>
      </c>
      <c r="AG414" s="24">
        <f ca="1">IFERROR(__xludf.DUMMYFUNCTION("""COMPUTED_VALUE"""),0)</f>
        <v>0</v>
      </c>
      <c r="AH414" s="24">
        <f ca="1">IFERROR(__xludf.DUMMYFUNCTION("""COMPUTED_VALUE"""),23462.12)</f>
        <v>23462.12</v>
      </c>
      <c r="AI414" s="24">
        <f ca="1">IFERROR(__xludf.DUMMYFUNCTION("""COMPUTED_VALUE"""),0)</f>
        <v>0</v>
      </c>
      <c r="AJ414" s="24">
        <f ca="1">IFERROR(__xludf.DUMMYFUNCTION("""COMPUTED_VALUE"""),0)</f>
        <v>0</v>
      </c>
      <c r="AK414" s="24">
        <f ca="1">IFERROR(__xludf.DUMMYFUNCTION("""COMPUTED_VALUE"""),0)</f>
        <v>0</v>
      </c>
      <c r="AL414" s="24">
        <f ca="1">IFERROR(__xludf.DUMMYFUNCTION("""COMPUTED_VALUE"""),0)</f>
        <v>0</v>
      </c>
      <c r="AM414" s="20"/>
      <c r="AN414" s="20"/>
      <c r="AO414" s="20"/>
      <c r="AP414" s="20"/>
      <c r="AQ414" s="20"/>
      <c r="AR414" s="24">
        <f ca="1">IFERROR(__xludf.DUMMYFUNCTION("""COMPUTED_VALUE"""),0)</f>
        <v>0</v>
      </c>
      <c r="AS414" s="20"/>
      <c r="AT414" s="20"/>
      <c r="AU414" s="20"/>
      <c r="AV414" s="20"/>
      <c r="AW414" s="20"/>
      <c r="AX414" s="24">
        <f ca="1">IFERROR(__xludf.DUMMYFUNCTION("""COMPUTED_VALUE"""),23141.28)</f>
        <v>23141.279999999999</v>
      </c>
      <c r="AY414" s="24">
        <f ca="1">IFERROR(__xludf.DUMMYFUNCTION("""COMPUTED_VALUE"""),0)</f>
        <v>0</v>
      </c>
      <c r="AZ414" s="24">
        <f ca="1">IFERROR(__xludf.DUMMYFUNCTION("""COMPUTED_VALUE"""),23141.28)</f>
        <v>23141.279999999999</v>
      </c>
      <c r="BA414" s="24">
        <f ca="1">IFERROR(__xludf.DUMMYFUNCTION("""COMPUTED_VALUE"""),0)</f>
        <v>0</v>
      </c>
      <c r="BB414" s="24">
        <f ca="1">IFERROR(__xludf.DUMMYFUNCTION("""COMPUTED_VALUE"""),0)</f>
        <v>0</v>
      </c>
      <c r="BC414" s="20"/>
      <c r="BD414" s="24">
        <f ca="1">IFERROR(__xludf.DUMMYFUNCTION("""COMPUTED_VALUE"""),320.84)</f>
        <v>320.83999999999997</v>
      </c>
      <c r="BE414" s="24">
        <f ca="1">IFERROR(__xludf.DUMMYFUNCTION("""COMPUTED_VALUE"""),0)</f>
        <v>0</v>
      </c>
      <c r="BF414" s="24">
        <f ca="1">IFERROR(__xludf.DUMMYFUNCTION("""COMPUTED_VALUE"""),320.84)</f>
        <v>320.83999999999997</v>
      </c>
      <c r="BG414" s="24">
        <f ca="1">IFERROR(__xludf.DUMMYFUNCTION("""COMPUTED_VALUE"""),0)</f>
        <v>0</v>
      </c>
      <c r="BH414" s="24">
        <f ca="1">IFERROR(__xludf.DUMMYFUNCTION("""COMPUTED_VALUE"""),0)</f>
        <v>0</v>
      </c>
      <c r="BI414" s="20"/>
      <c r="BJ414" s="24">
        <f ca="1">IFERROR(__xludf.DUMMYFUNCTION("""COMPUTED_VALUE"""),0)</f>
        <v>0</v>
      </c>
      <c r="BK414" s="24">
        <f ca="1">IFERROR(__xludf.DUMMYFUNCTION("""COMPUTED_VALUE"""),0)</f>
        <v>0</v>
      </c>
      <c r="BL414" s="24">
        <f ca="1">IFERROR(__xludf.DUMMYFUNCTION("""COMPUTED_VALUE"""),0)</f>
        <v>0</v>
      </c>
      <c r="BM414" s="24">
        <f ca="1">IFERROR(__xludf.DUMMYFUNCTION("""COMPUTED_VALUE"""),0)</f>
        <v>0</v>
      </c>
      <c r="BN414" s="24">
        <f ca="1">IFERROR(__xludf.DUMMYFUNCTION("""COMPUTED_VALUE"""),0)</f>
        <v>0</v>
      </c>
      <c r="BO414" s="20"/>
      <c r="BP414" s="24">
        <f ca="1">IFERROR(__xludf.DUMMYFUNCTION("""COMPUTED_VALUE"""),0)</f>
        <v>0</v>
      </c>
      <c r="BQ414" s="24">
        <f ca="1">IFERROR(__xludf.DUMMYFUNCTION("""COMPUTED_VALUE"""),0)</f>
        <v>0</v>
      </c>
      <c r="BR414" s="24">
        <f ca="1">IFERROR(__xludf.DUMMYFUNCTION("""COMPUTED_VALUE"""),0)</f>
        <v>0</v>
      </c>
      <c r="BS414" s="24">
        <f ca="1">IFERROR(__xludf.DUMMYFUNCTION("""COMPUTED_VALUE"""),0)</f>
        <v>0</v>
      </c>
      <c r="BT414" s="24">
        <f ca="1">IFERROR(__xludf.DUMMYFUNCTION("""COMPUTED_VALUE"""),0)</f>
        <v>0</v>
      </c>
      <c r="BU414" s="20"/>
      <c r="BV414" s="24">
        <f ca="1">IFERROR(__xludf.DUMMYFUNCTION("""COMPUTED_VALUE"""),0)</f>
        <v>0</v>
      </c>
      <c r="BW414" s="24">
        <f ca="1">IFERROR(__xludf.DUMMYFUNCTION("""COMPUTED_VALUE"""),0)</f>
        <v>0</v>
      </c>
      <c r="BX414" s="24">
        <f ca="1">IFERROR(__xludf.DUMMYFUNCTION("""COMPUTED_VALUE"""),0)</f>
        <v>0</v>
      </c>
      <c r="BY414" s="24">
        <f ca="1">IFERROR(__xludf.DUMMYFUNCTION("""COMPUTED_VALUE"""),0)</f>
        <v>0</v>
      </c>
      <c r="BZ414" s="24">
        <f ca="1">IFERROR(__xludf.DUMMYFUNCTION("""COMPUTED_VALUE"""),0)</f>
        <v>0</v>
      </c>
      <c r="CA414" s="20"/>
      <c r="CB414" s="20"/>
      <c r="CC414" s="20"/>
      <c r="CD414" s="20"/>
      <c r="CE414" s="20"/>
      <c r="CF414" s="20"/>
      <c r="CG414" s="20"/>
      <c r="CH414" s="20"/>
      <c r="CI414" s="20"/>
      <c r="CJ414" s="20"/>
      <c r="CK414" s="20"/>
      <c r="CL414" s="20"/>
      <c r="CM414" s="26">
        <f ca="1">IFERROR(__xludf.DUMMYFUNCTION("""COMPUTED_VALUE"""),43735)</f>
        <v>43735</v>
      </c>
      <c r="CN414" s="20" t="str">
        <f ca="1">IFERROR(__xludf.DUMMYFUNCTION("""COMPUTED_VALUE"""),"0348200020819000054")</f>
        <v>0348200020819000054</v>
      </c>
      <c r="CO414" s="25">
        <f ca="1">IFERROR(__xludf.DUMMYFUNCTION("""COMPUTED_VALUE"""),43766)</f>
        <v>43766</v>
      </c>
      <c r="CP414" s="20" t="str">
        <f ca="1">IFERROR(__xludf.DUMMYFUNCTION("""COMPUTED_VALUE"""),"92/54")</f>
        <v>92/54</v>
      </c>
      <c r="CQ414" s="20">
        <f ca="1">IFERROR(__xludf.DUMMYFUNCTION("""COMPUTED_VALUE"""),16225264.44)</f>
        <v>16225264.439999999</v>
      </c>
      <c r="CR414" s="20" t="str">
        <f ca="1">IFERROR(__xludf.DUMMYFUNCTION("""COMPUTED_VALUE"""),"ООО ""СМУ СПЕЦСТРОЙ""")</f>
        <v>ООО "СМУ СПЕЦСТРОЙ"</v>
      </c>
      <c r="CS414" s="27" t="str">
        <f ca="1">IFERROR(__xludf.DUMMYFUNCTION("""COMPUTED_VALUE"""),"https://zakupki.gov.ru/epz/contract/contractCard/common-info.html?reestrNumber=2503107028619000074&amp;backUrl=a007b7ec-8601-42ac-b990-557bf8faafc4")</f>
        <v>https://zakupki.gov.ru/epz/contract/contractCard/common-info.html?reestrNumber=2503107028619000074&amp;backUrl=a007b7ec-8601-42ac-b990-557bf8faafc4</v>
      </c>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row>
    <row r="415" spans="1:123" ht="64.5" customHeight="1" x14ac:dyDescent="0.2">
      <c r="A415" s="19"/>
      <c r="B415" s="20" t="str">
        <f ca="1">IFERROR(__xludf.DUMMYFUNCTION("""COMPUTED_VALUE"""),"МОС АВС")</f>
        <v>МОС АВС</v>
      </c>
      <c r="C415"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5" s="20" t="str">
        <f ca="1">IFERROR(__xludf.DUMMYFUNCTION("""COMPUTED_VALUE"""),"МинЖКХ")</f>
        <v>МинЖКХ</v>
      </c>
      <c r="E415" s="20" t="str">
        <f ca="1">IFERROR(__xludf.DUMMYFUNCTION("""COMPUTED_VALUE"""),"Строительство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f>
        <v>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v>
      </c>
      <c r="F415" s="32" t="str">
        <f ca="1">IFERROR(__xludf.DUMMYFUNCTION("""COMPUTED_VALUE"""),"БМК")</f>
        <v>БМК</v>
      </c>
      <c r="G415" s="20" t="str">
        <f ca="1">IFERROR(__xludf.DUMMYFUNCTION("""COMPUTED_VALUE"""),"2020-2021")</f>
        <v>2020-2021</v>
      </c>
      <c r="H415" s="20" t="str">
        <f ca="1">IFERROR(__xludf.DUMMYFUNCTION("""COMPUTED_VALUE"""),"ПИР")</f>
        <v>ПИР</v>
      </c>
      <c r="I415" s="20"/>
      <c r="J415" s="20" t="str">
        <f ca="1">IFERROR(__xludf.DUMMYFUNCTION("""COMPUTED_VALUE"""),"Изменение размера платы по договору на ТП. Перенос на 2021 год.")</f>
        <v>Изменение размера платы по договору на ТП. Перенос на 2021 год.</v>
      </c>
      <c r="K415" s="20" t="str">
        <f ca="1">IFERROR(__xludf.DUMMYFUNCTION("""COMPUTED_VALUE"""),"-")</f>
        <v>-</v>
      </c>
      <c r="L415" s="20" t="str">
        <f ca="1">IFERROR(__xludf.DUMMYFUNCTION("""COMPUTED_VALUE"""),"-")</f>
        <v>-</v>
      </c>
      <c r="M415" s="20"/>
      <c r="N415" s="24">
        <f ca="1">IFERROR(__xludf.DUMMYFUNCTION("""COMPUTED_VALUE"""),0)</f>
        <v>0</v>
      </c>
      <c r="O415" s="20"/>
      <c r="P415" s="24">
        <f ca="1">IFERROR(__xludf.DUMMYFUNCTION("""COMPUTED_VALUE"""),0)</f>
        <v>0</v>
      </c>
      <c r="Q415" s="20"/>
      <c r="R415" s="20"/>
      <c r="S415" s="20"/>
      <c r="T415" s="20"/>
      <c r="U415" s="24">
        <f ca="1">IFERROR(__xludf.DUMMYFUNCTION("""COMPUTED_VALUE"""),61.36)</f>
        <v>61.36</v>
      </c>
      <c r="V415" s="24">
        <f ca="1">IFERROR(__xludf.DUMMYFUNCTION("""COMPUTED_VALUE"""),0)</f>
        <v>0</v>
      </c>
      <c r="W415" s="24">
        <f ca="1">IFERROR(__xludf.DUMMYFUNCTION("""COMPUTED_VALUE"""),61.36)</f>
        <v>61.36</v>
      </c>
      <c r="X415" s="24">
        <f ca="1">IFERROR(__xludf.DUMMYFUNCTION("""COMPUTED_VALUE"""),0)</f>
        <v>0</v>
      </c>
      <c r="Y415" s="24">
        <f ca="1">IFERROR(__xludf.DUMMYFUNCTION("""COMPUTED_VALUE"""),0)</f>
        <v>0</v>
      </c>
      <c r="Z415" s="24">
        <f ca="1">IFERROR(__xludf.DUMMYFUNCTION("""COMPUTED_VALUE"""),0)</f>
        <v>0</v>
      </c>
      <c r="AA415" s="20" t="str">
        <f ca="1">IFERROR(__xludf.DUMMYFUNCTION("""COMPUTED_VALUE"""),"10 3 02 40010")</f>
        <v>10 3 02 40010</v>
      </c>
      <c r="AB415" s="20">
        <f ca="1">IFERROR(__xludf.DUMMYFUNCTION("""COMPUTED_VALUE"""),414)</f>
        <v>414</v>
      </c>
      <c r="AC415" s="20"/>
      <c r="AD415" s="20"/>
      <c r="AE415" s="20"/>
      <c r="AF415" s="24">
        <f ca="1">IFERROR(__xludf.DUMMYFUNCTION("""COMPUTED_VALUE"""),3312.72)</f>
        <v>3312.72</v>
      </c>
      <c r="AG415" s="24">
        <f ca="1">IFERROR(__xludf.DUMMYFUNCTION("""COMPUTED_VALUE"""),0)</f>
        <v>0</v>
      </c>
      <c r="AH415" s="24">
        <f ca="1">IFERROR(__xludf.DUMMYFUNCTION("""COMPUTED_VALUE"""),3312.72)</f>
        <v>3312.72</v>
      </c>
      <c r="AI415" s="24">
        <f ca="1">IFERROR(__xludf.DUMMYFUNCTION("""COMPUTED_VALUE"""),0)</f>
        <v>0</v>
      </c>
      <c r="AJ415" s="24">
        <f ca="1">IFERROR(__xludf.DUMMYFUNCTION("""COMPUTED_VALUE"""),0)</f>
        <v>0</v>
      </c>
      <c r="AK415" s="24">
        <f ca="1">IFERROR(__xludf.DUMMYFUNCTION("""COMPUTED_VALUE"""),0)</f>
        <v>0</v>
      </c>
      <c r="AL415" s="24">
        <f ca="1">IFERROR(__xludf.DUMMYFUNCTION("""COMPUTED_VALUE"""),0)</f>
        <v>0</v>
      </c>
      <c r="AM415" s="20"/>
      <c r="AN415" s="20"/>
      <c r="AO415" s="20"/>
      <c r="AP415" s="20"/>
      <c r="AQ415" s="20"/>
      <c r="AR415" s="24">
        <f ca="1">IFERROR(__xludf.DUMMYFUNCTION("""COMPUTED_VALUE"""),0)</f>
        <v>0</v>
      </c>
      <c r="AS415" s="20"/>
      <c r="AT415" s="20"/>
      <c r="AU415" s="20"/>
      <c r="AV415" s="20"/>
      <c r="AW415" s="20"/>
      <c r="AX415" s="24">
        <f ca="1">IFERROR(__xludf.DUMMYFUNCTION("""COMPUTED_VALUE"""),61.36)</f>
        <v>61.36</v>
      </c>
      <c r="AY415" s="24">
        <f ca="1">IFERROR(__xludf.DUMMYFUNCTION("""COMPUTED_VALUE"""),0)</f>
        <v>0</v>
      </c>
      <c r="AZ415" s="24">
        <f ca="1">IFERROR(__xludf.DUMMYFUNCTION("""COMPUTED_VALUE"""),61.36)</f>
        <v>61.36</v>
      </c>
      <c r="BA415" s="24">
        <f ca="1">IFERROR(__xludf.DUMMYFUNCTION("""COMPUTED_VALUE"""),0)</f>
        <v>0</v>
      </c>
      <c r="BB415" s="24">
        <f ca="1">IFERROR(__xludf.DUMMYFUNCTION("""COMPUTED_VALUE"""),0)</f>
        <v>0</v>
      </c>
      <c r="BC415" s="20"/>
      <c r="BD415" s="24">
        <f ca="1">IFERROR(__xludf.DUMMYFUNCTION("""COMPUTED_VALUE"""),3251.36)</f>
        <v>3251.36</v>
      </c>
      <c r="BE415" s="24">
        <f ca="1">IFERROR(__xludf.DUMMYFUNCTION("""COMPUTED_VALUE"""),0)</f>
        <v>0</v>
      </c>
      <c r="BF415" s="24">
        <f ca="1">IFERROR(__xludf.DUMMYFUNCTION("""COMPUTED_VALUE"""),3251.36)</f>
        <v>3251.36</v>
      </c>
      <c r="BG415" s="24">
        <f ca="1">IFERROR(__xludf.DUMMYFUNCTION("""COMPUTED_VALUE"""),0)</f>
        <v>0</v>
      </c>
      <c r="BH415" s="24">
        <f ca="1">IFERROR(__xludf.DUMMYFUNCTION("""COMPUTED_VALUE"""),0)</f>
        <v>0</v>
      </c>
      <c r="BI415" s="20"/>
      <c r="BJ415" s="24">
        <f ca="1">IFERROR(__xludf.DUMMYFUNCTION("""COMPUTED_VALUE"""),0)</f>
        <v>0</v>
      </c>
      <c r="BK415" s="24">
        <f ca="1">IFERROR(__xludf.DUMMYFUNCTION("""COMPUTED_VALUE"""),0)</f>
        <v>0</v>
      </c>
      <c r="BL415" s="24">
        <f ca="1">IFERROR(__xludf.DUMMYFUNCTION("""COMPUTED_VALUE"""),0)</f>
        <v>0</v>
      </c>
      <c r="BM415" s="24">
        <f ca="1">IFERROR(__xludf.DUMMYFUNCTION("""COMPUTED_VALUE"""),0)</f>
        <v>0</v>
      </c>
      <c r="BN415" s="24">
        <f ca="1">IFERROR(__xludf.DUMMYFUNCTION("""COMPUTED_VALUE"""),0)</f>
        <v>0</v>
      </c>
      <c r="BO415" s="20"/>
      <c r="BP415" s="24">
        <f ca="1">IFERROR(__xludf.DUMMYFUNCTION("""COMPUTED_VALUE"""),0)</f>
        <v>0</v>
      </c>
      <c r="BQ415" s="24">
        <f ca="1">IFERROR(__xludf.DUMMYFUNCTION("""COMPUTED_VALUE"""),0)</f>
        <v>0</v>
      </c>
      <c r="BR415" s="24">
        <f ca="1">IFERROR(__xludf.DUMMYFUNCTION("""COMPUTED_VALUE"""),0)</f>
        <v>0</v>
      </c>
      <c r="BS415" s="24">
        <f ca="1">IFERROR(__xludf.DUMMYFUNCTION("""COMPUTED_VALUE"""),0)</f>
        <v>0</v>
      </c>
      <c r="BT415" s="24">
        <f ca="1">IFERROR(__xludf.DUMMYFUNCTION("""COMPUTED_VALUE"""),0)</f>
        <v>0</v>
      </c>
      <c r="BU415" s="20"/>
      <c r="BV415" s="24">
        <f ca="1">IFERROR(__xludf.DUMMYFUNCTION("""COMPUTED_VALUE"""),0)</f>
        <v>0</v>
      </c>
      <c r="BW415" s="24">
        <f ca="1">IFERROR(__xludf.DUMMYFUNCTION("""COMPUTED_VALUE"""),0)</f>
        <v>0</v>
      </c>
      <c r="BX415" s="24">
        <f ca="1">IFERROR(__xludf.DUMMYFUNCTION("""COMPUTED_VALUE"""),0)</f>
        <v>0</v>
      </c>
      <c r="BY415" s="24">
        <f ca="1">IFERROR(__xludf.DUMMYFUNCTION("""COMPUTED_VALUE"""),0)</f>
        <v>0</v>
      </c>
      <c r="BZ415" s="24">
        <f ca="1">IFERROR(__xludf.DUMMYFUNCTION("""COMPUTED_VALUE"""),0)</f>
        <v>0</v>
      </c>
      <c r="CA415" s="20"/>
      <c r="CB415" s="20"/>
      <c r="CC415" s="20"/>
      <c r="CD415" s="20"/>
      <c r="CE415" s="20"/>
      <c r="CF415" s="20"/>
      <c r="CG415" s="20"/>
      <c r="CH415" s="20"/>
      <c r="CI415" s="20"/>
      <c r="CJ415" s="20"/>
      <c r="CK415" s="20"/>
      <c r="CL415" s="20"/>
      <c r="CM415" s="20"/>
      <c r="CN415" s="20"/>
      <c r="CO415" s="20"/>
      <c r="CP415" s="20"/>
      <c r="CQ415" s="20"/>
      <c r="CR415" s="20"/>
      <c r="CS415" s="20"/>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row>
    <row r="416" spans="1:123" ht="64.5" customHeight="1" x14ac:dyDescent="0.2">
      <c r="A416" s="19"/>
      <c r="B416" s="20" t="str">
        <f ca="1">IFERROR(__xludf.DUMMYFUNCTION("""COMPUTED_VALUE"""),"МОС АВС")</f>
        <v>МОС АВС</v>
      </c>
      <c r="C416"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6" s="20" t="str">
        <f ca="1">IFERROR(__xludf.DUMMYFUNCTION("""COMPUTED_VALUE"""),"МинЖКХ")</f>
        <v>МинЖКХ</v>
      </c>
      <c r="E416" s="20"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f>
        <v>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v>
      </c>
      <c r="F416" s="32" t="str">
        <f ca="1">IFERROR(__xludf.DUMMYFUNCTION("""COMPUTED_VALUE"""),"БМК")</f>
        <v>БМК</v>
      </c>
      <c r="G416" s="20" t="str">
        <f ca="1">IFERROR(__xludf.DUMMYFUNCTION("""COMPUTED_VALUE"""),"2020-2022")</f>
        <v>2020-2022</v>
      </c>
      <c r="H416" s="20" t="str">
        <f ca="1">IFERROR(__xludf.DUMMYFUNCTION("""COMPUTED_VALUE"""),"ПИР")</f>
        <v>ПИР</v>
      </c>
      <c r="I416" s="20"/>
      <c r="J416" s="20" t="str">
        <f ca="1">IFERROR(__xludf.DUMMYFUNCTION("""COMPUTED_VALUE"""),"Отсутствуют сведения об утверждении платы по индивидуальному проекту. Перенос на 2021 год.")</f>
        <v>Отсутствуют сведения об утверждении платы по индивидуальному проекту. Перенос на 2021 год.</v>
      </c>
      <c r="K416" s="20" t="str">
        <f ca="1">IFERROR(__xludf.DUMMYFUNCTION("""COMPUTED_VALUE"""),"-")</f>
        <v>-</v>
      </c>
      <c r="L416" s="20" t="str">
        <f ca="1">IFERROR(__xludf.DUMMYFUNCTION("""COMPUTED_VALUE"""),"-")</f>
        <v>-</v>
      </c>
      <c r="M416" s="20"/>
      <c r="N416" s="24">
        <f ca="1">IFERROR(__xludf.DUMMYFUNCTION("""COMPUTED_VALUE"""),0)</f>
        <v>0</v>
      </c>
      <c r="O416" s="20"/>
      <c r="P416" s="24">
        <f ca="1">IFERROR(__xludf.DUMMYFUNCTION("""COMPUTED_VALUE"""),0)</f>
        <v>0</v>
      </c>
      <c r="Q416" s="20"/>
      <c r="R416" s="20"/>
      <c r="S416" s="20"/>
      <c r="T416" s="20"/>
      <c r="U416" s="24">
        <f ca="1">IFERROR(__xludf.DUMMYFUNCTION("""COMPUTED_VALUE"""),2269.47)</f>
        <v>2269.4699999999998</v>
      </c>
      <c r="V416" s="24">
        <f ca="1">IFERROR(__xludf.DUMMYFUNCTION("""COMPUTED_VALUE"""),0)</f>
        <v>0</v>
      </c>
      <c r="W416" s="24">
        <f ca="1">IFERROR(__xludf.DUMMYFUNCTION("""COMPUTED_VALUE"""),2269.47)</f>
        <v>2269.4699999999998</v>
      </c>
      <c r="X416" s="24">
        <f ca="1">IFERROR(__xludf.DUMMYFUNCTION("""COMPUTED_VALUE"""),0)</f>
        <v>0</v>
      </c>
      <c r="Y416" s="24">
        <f ca="1">IFERROR(__xludf.DUMMYFUNCTION("""COMPUTED_VALUE"""),0)</f>
        <v>0</v>
      </c>
      <c r="Z416" s="24">
        <f ca="1">IFERROR(__xludf.DUMMYFUNCTION("""COMPUTED_VALUE"""),0)</f>
        <v>0</v>
      </c>
      <c r="AA416" s="20" t="str">
        <f ca="1">IFERROR(__xludf.DUMMYFUNCTION("""COMPUTED_VALUE"""),"10 3 02 40010")</f>
        <v>10 3 02 40010</v>
      </c>
      <c r="AB416" s="20">
        <f ca="1">IFERROR(__xludf.DUMMYFUNCTION("""COMPUTED_VALUE"""),414)</f>
        <v>414</v>
      </c>
      <c r="AC416" s="20"/>
      <c r="AD416" s="20"/>
      <c r="AE416" s="20"/>
      <c r="AF416" s="24">
        <f ca="1">IFERROR(__xludf.DUMMYFUNCTION("""COMPUTED_VALUE"""),6466.88)</f>
        <v>6466.88</v>
      </c>
      <c r="AG416" s="24">
        <f ca="1">IFERROR(__xludf.DUMMYFUNCTION("""COMPUTED_VALUE"""),0)</f>
        <v>0</v>
      </c>
      <c r="AH416" s="24">
        <f ca="1">IFERROR(__xludf.DUMMYFUNCTION("""COMPUTED_VALUE"""),6466.88)</f>
        <v>6466.88</v>
      </c>
      <c r="AI416" s="24">
        <f ca="1">IFERROR(__xludf.DUMMYFUNCTION("""COMPUTED_VALUE"""),0)</f>
        <v>0</v>
      </c>
      <c r="AJ416" s="24">
        <f ca="1">IFERROR(__xludf.DUMMYFUNCTION("""COMPUTED_VALUE"""),0)</f>
        <v>0</v>
      </c>
      <c r="AK416" s="24">
        <f ca="1">IFERROR(__xludf.DUMMYFUNCTION("""COMPUTED_VALUE"""),0)</f>
        <v>0</v>
      </c>
      <c r="AL416" s="24">
        <f ca="1">IFERROR(__xludf.DUMMYFUNCTION("""COMPUTED_VALUE"""),0)</f>
        <v>0</v>
      </c>
      <c r="AM416" s="20"/>
      <c r="AN416" s="20"/>
      <c r="AO416" s="20"/>
      <c r="AP416" s="20"/>
      <c r="AQ416" s="20"/>
      <c r="AR416" s="24">
        <f ca="1">IFERROR(__xludf.DUMMYFUNCTION("""COMPUTED_VALUE"""),0)</f>
        <v>0</v>
      </c>
      <c r="AS416" s="20"/>
      <c r="AT416" s="20"/>
      <c r="AU416" s="20"/>
      <c r="AV416" s="20"/>
      <c r="AW416" s="20"/>
      <c r="AX416" s="24">
        <f ca="1">IFERROR(__xludf.DUMMYFUNCTION("""COMPUTED_VALUE"""),2269.47)</f>
        <v>2269.4699999999998</v>
      </c>
      <c r="AY416" s="24">
        <f ca="1">IFERROR(__xludf.DUMMYFUNCTION("""COMPUTED_VALUE"""),0)</f>
        <v>0</v>
      </c>
      <c r="AZ416" s="24">
        <f ca="1">IFERROR(__xludf.DUMMYFUNCTION("""COMPUTED_VALUE"""),2269.47)</f>
        <v>2269.4699999999998</v>
      </c>
      <c r="BA416" s="24">
        <f ca="1">IFERROR(__xludf.DUMMYFUNCTION("""COMPUTED_VALUE"""),0)</f>
        <v>0</v>
      </c>
      <c r="BB416" s="24">
        <f ca="1">IFERROR(__xludf.DUMMYFUNCTION("""COMPUTED_VALUE"""),0)</f>
        <v>0</v>
      </c>
      <c r="BC416" s="20"/>
      <c r="BD416" s="24">
        <f ca="1">IFERROR(__xludf.DUMMYFUNCTION("""COMPUTED_VALUE"""),3230.82)</f>
        <v>3230.82</v>
      </c>
      <c r="BE416" s="24">
        <f ca="1">IFERROR(__xludf.DUMMYFUNCTION("""COMPUTED_VALUE"""),0)</f>
        <v>0</v>
      </c>
      <c r="BF416" s="24">
        <f ca="1">IFERROR(__xludf.DUMMYFUNCTION("""COMPUTED_VALUE"""),3230.82)</f>
        <v>3230.82</v>
      </c>
      <c r="BG416" s="24">
        <f ca="1">IFERROR(__xludf.DUMMYFUNCTION("""COMPUTED_VALUE"""),0)</f>
        <v>0</v>
      </c>
      <c r="BH416" s="24">
        <f ca="1">IFERROR(__xludf.DUMMYFUNCTION("""COMPUTED_VALUE"""),0)</f>
        <v>0</v>
      </c>
      <c r="BI416" s="20"/>
      <c r="BJ416" s="24">
        <f ca="1">IFERROR(__xludf.DUMMYFUNCTION("""COMPUTED_VALUE"""),966.59)</f>
        <v>966.59</v>
      </c>
      <c r="BK416" s="24">
        <f ca="1">IFERROR(__xludf.DUMMYFUNCTION("""COMPUTED_VALUE"""),0)</f>
        <v>0</v>
      </c>
      <c r="BL416" s="20">
        <f ca="1">IFERROR(__xludf.DUMMYFUNCTION("""COMPUTED_VALUE"""),966.59)</f>
        <v>966.59</v>
      </c>
      <c r="BM416" s="24">
        <f ca="1">IFERROR(__xludf.DUMMYFUNCTION("""COMPUTED_VALUE"""),0)</f>
        <v>0</v>
      </c>
      <c r="BN416" s="24">
        <f ca="1">IFERROR(__xludf.DUMMYFUNCTION("""COMPUTED_VALUE"""),0)</f>
        <v>0</v>
      </c>
      <c r="BO416" s="20"/>
      <c r="BP416" s="24">
        <f ca="1">IFERROR(__xludf.DUMMYFUNCTION("""COMPUTED_VALUE"""),0)</f>
        <v>0</v>
      </c>
      <c r="BQ416" s="24">
        <f ca="1">IFERROR(__xludf.DUMMYFUNCTION("""COMPUTED_VALUE"""),0)</f>
        <v>0</v>
      </c>
      <c r="BR416" s="24">
        <f ca="1">IFERROR(__xludf.DUMMYFUNCTION("""COMPUTED_VALUE"""),0)</f>
        <v>0</v>
      </c>
      <c r="BS416" s="24">
        <f ca="1">IFERROR(__xludf.DUMMYFUNCTION("""COMPUTED_VALUE"""),0)</f>
        <v>0</v>
      </c>
      <c r="BT416" s="24">
        <f ca="1">IFERROR(__xludf.DUMMYFUNCTION("""COMPUTED_VALUE"""),0)</f>
        <v>0</v>
      </c>
      <c r="BU416" s="20"/>
      <c r="BV416" s="24">
        <f ca="1">IFERROR(__xludf.DUMMYFUNCTION("""COMPUTED_VALUE"""),0)</f>
        <v>0</v>
      </c>
      <c r="BW416" s="24">
        <f ca="1">IFERROR(__xludf.DUMMYFUNCTION("""COMPUTED_VALUE"""),0)</f>
        <v>0</v>
      </c>
      <c r="BX416" s="24">
        <f ca="1">IFERROR(__xludf.DUMMYFUNCTION("""COMPUTED_VALUE"""),0)</f>
        <v>0</v>
      </c>
      <c r="BY416" s="24">
        <f ca="1">IFERROR(__xludf.DUMMYFUNCTION("""COMPUTED_VALUE"""),0)</f>
        <v>0</v>
      </c>
      <c r="BZ416" s="24">
        <f ca="1">IFERROR(__xludf.DUMMYFUNCTION("""COMPUTED_VALUE"""),0)</f>
        <v>0</v>
      </c>
      <c r="CA416" s="20"/>
      <c r="CB416" s="20"/>
      <c r="CC416" s="20"/>
      <c r="CD416" s="20"/>
      <c r="CE416" s="20"/>
      <c r="CF416" s="20"/>
      <c r="CG416" s="20"/>
      <c r="CH416" s="20"/>
      <c r="CI416" s="20"/>
      <c r="CJ416" s="20"/>
      <c r="CK416" s="20"/>
      <c r="CL416" s="20"/>
      <c r="CM416" s="20"/>
      <c r="CN416" s="20"/>
      <c r="CO416" s="20"/>
      <c r="CP416" s="20"/>
      <c r="CQ416" s="20"/>
      <c r="CR416" s="20"/>
      <c r="CS416" s="20"/>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row>
    <row r="417" spans="1:123" ht="64.5" hidden="1" customHeight="1" x14ac:dyDescent="0.2">
      <c r="A417" s="19"/>
      <c r="B417" s="20" t="str">
        <f ca="1">IFERROR(__xludf.DUMMYFUNCTION("""COMPUTED_VALUE"""),"г.о. Дмитровский")</f>
        <v>г.о. Дмитровский</v>
      </c>
      <c r="C417" s="20" t="str">
        <f ca="1">IFERROR(__xludf.DUMMYFUNCTION("""COMPUTED_VALUE"""),"Предоставление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v>
      </c>
      <c r="D417" s="20" t="str">
        <f ca="1">IFERROR(__xludf.DUMMYFUNCTION("""COMPUTED_VALUE"""),"МинЖКХ")</f>
        <v>МинЖКХ</v>
      </c>
      <c r="E417" s="20" t="str">
        <f ca="1">IFERROR(__xludf.DUMMYFUNCTION("""COMPUTED_VALUE"""),"Приобретение  объектов теплоснабжения на территории  г.п. Деденево, Дмитровский муниципальный район ")</f>
        <v xml:space="preserve">Приобретение  объектов теплоснабжения на территории  г.п. Деденево, Дмитровский муниципальный район </v>
      </c>
      <c r="F417" s="32" t="str">
        <f ca="1">IFERROR(__xludf.DUMMYFUNCTION("""COMPUTED_VALUE"""),"Сети")</f>
        <v>Сети</v>
      </c>
      <c r="G417" s="20">
        <f ca="1">IFERROR(__xludf.DUMMYFUNCTION("""COMPUTED_VALUE"""),2021)</f>
        <v>2021</v>
      </c>
      <c r="H417" s="20" t="str">
        <f ca="1">IFERROR(__xludf.DUMMYFUNCTION("""COMPUTED_VALUE"""),"СМР")</f>
        <v>СМР</v>
      </c>
      <c r="I417" s="20"/>
      <c r="J417" s="20"/>
      <c r="K417" s="20"/>
      <c r="L417" s="20"/>
      <c r="M417" s="20"/>
      <c r="N417" s="24">
        <f ca="1">IFERROR(__xludf.DUMMYFUNCTION("""COMPUTED_VALUE"""),0)</f>
        <v>0</v>
      </c>
      <c r="O417" s="20"/>
      <c r="P417" s="20"/>
      <c r="Q417" s="20"/>
      <c r="R417" s="20"/>
      <c r="S417" s="20"/>
      <c r="T417" s="20"/>
      <c r="U417" s="24">
        <f ca="1">IFERROR(__xludf.DUMMYFUNCTION("""COMPUTED_VALUE"""),0)</f>
        <v>0</v>
      </c>
      <c r="V417" s="24">
        <f ca="1">IFERROR(__xludf.DUMMYFUNCTION("""COMPUTED_VALUE"""),0)</f>
        <v>0</v>
      </c>
      <c r="W417" s="24">
        <f ca="1">IFERROR(__xludf.DUMMYFUNCTION("""COMPUTED_VALUE"""),0)</f>
        <v>0</v>
      </c>
      <c r="X417" s="24">
        <f ca="1">IFERROR(__xludf.DUMMYFUNCTION("""COMPUTED_VALUE"""),0)</f>
        <v>0</v>
      </c>
      <c r="Y417" s="24">
        <f ca="1">IFERROR(__xludf.DUMMYFUNCTION("""COMPUTED_VALUE"""),0)</f>
        <v>0</v>
      </c>
      <c r="Z417" s="24">
        <f ca="1">IFERROR(__xludf.DUMMYFUNCTION("""COMPUTED_VALUE"""),0)</f>
        <v>0</v>
      </c>
      <c r="AA417" s="20"/>
      <c r="AB417" s="20"/>
      <c r="AC417" s="20"/>
      <c r="AD417" s="20"/>
      <c r="AE417" s="20"/>
      <c r="AF417" s="24">
        <f ca="1">IFERROR(__xludf.DUMMYFUNCTION("""COMPUTED_VALUE"""),80000)</f>
        <v>80000</v>
      </c>
      <c r="AG417" s="24">
        <f ca="1">IFERROR(__xludf.DUMMYFUNCTION("""COMPUTED_VALUE"""),0)</f>
        <v>0</v>
      </c>
      <c r="AH417" s="24">
        <f ca="1">IFERROR(__xludf.DUMMYFUNCTION("""COMPUTED_VALUE"""),66720)</f>
        <v>66720</v>
      </c>
      <c r="AI417" s="24">
        <f ca="1">IFERROR(__xludf.DUMMYFUNCTION("""COMPUTED_VALUE"""),0)</f>
        <v>0</v>
      </c>
      <c r="AJ417" s="24">
        <f ca="1">IFERROR(__xludf.DUMMYFUNCTION("""COMPUTED_VALUE"""),13280)</f>
        <v>13280</v>
      </c>
      <c r="AK417" s="24">
        <f ca="1">IFERROR(__xludf.DUMMYFUNCTION("""COMPUTED_VALUE"""),0)</f>
        <v>0</v>
      </c>
      <c r="AL417" s="24">
        <f ca="1">IFERROR(__xludf.DUMMYFUNCTION("""COMPUTED_VALUE"""),0)</f>
        <v>0</v>
      </c>
      <c r="AM417" s="20"/>
      <c r="AN417" s="20"/>
      <c r="AO417" s="20"/>
      <c r="AP417" s="20"/>
      <c r="AQ417" s="20"/>
      <c r="AR417" s="24">
        <f ca="1">IFERROR(__xludf.DUMMYFUNCTION("""COMPUTED_VALUE"""),0)</f>
        <v>0</v>
      </c>
      <c r="AS417" s="20"/>
      <c r="AT417" s="20"/>
      <c r="AU417" s="20"/>
      <c r="AV417" s="20"/>
      <c r="AW417" s="20"/>
      <c r="AX417" s="24">
        <f ca="1">IFERROR(__xludf.DUMMYFUNCTION("""COMPUTED_VALUE"""),0)</f>
        <v>0</v>
      </c>
      <c r="AY417" s="24">
        <f ca="1">IFERROR(__xludf.DUMMYFUNCTION("""COMPUTED_VALUE"""),0)</f>
        <v>0</v>
      </c>
      <c r="AZ417" s="24">
        <f ca="1">IFERROR(__xludf.DUMMYFUNCTION("""COMPUTED_VALUE"""),0)</f>
        <v>0</v>
      </c>
      <c r="BA417" s="24">
        <f ca="1">IFERROR(__xludf.DUMMYFUNCTION("""COMPUTED_VALUE"""),0)</f>
        <v>0</v>
      </c>
      <c r="BB417" s="24">
        <f ca="1">IFERROR(__xludf.DUMMYFUNCTION("""COMPUTED_VALUE"""),0)</f>
        <v>0</v>
      </c>
      <c r="BC417" s="20"/>
      <c r="BD417" s="24">
        <f ca="1">IFERROR(__xludf.DUMMYFUNCTION("""COMPUTED_VALUE"""),0)</f>
        <v>0</v>
      </c>
      <c r="BE417" s="24">
        <f ca="1">IFERROR(__xludf.DUMMYFUNCTION("""COMPUTED_VALUE"""),0)</f>
        <v>0</v>
      </c>
      <c r="BF417" s="24">
        <f ca="1">IFERROR(__xludf.DUMMYFUNCTION("""COMPUTED_VALUE"""),0)</f>
        <v>0</v>
      </c>
      <c r="BG417" s="24">
        <f ca="1">IFERROR(__xludf.DUMMYFUNCTION("""COMPUTED_VALUE"""),0)</f>
        <v>0</v>
      </c>
      <c r="BH417" s="24">
        <f ca="1">IFERROR(__xludf.DUMMYFUNCTION("""COMPUTED_VALUE"""),0)</f>
        <v>0</v>
      </c>
      <c r="BI417" s="20"/>
      <c r="BJ417" s="24">
        <f ca="1">IFERROR(__xludf.DUMMYFUNCTION("""COMPUTED_VALUE"""),80000)</f>
        <v>80000</v>
      </c>
      <c r="BK417" s="24">
        <f ca="1">IFERROR(__xludf.DUMMYFUNCTION("""COMPUTED_VALUE"""),0)</f>
        <v>0</v>
      </c>
      <c r="BL417" s="24">
        <f ca="1">IFERROR(__xludf.DUMMYFUNCTION("""COMPUTED_VALUE"""),66720)</f>
        <v>66720</v>
      </c>
      <c r="BM417" s="24">
        <f ca="1">IFERROR(__xludf.DUMMYFUNCTION("""COMPUTED_VALUE"""),0)</f>
        <v>0</v>
      </c>
      <c r="BN417" s="24">
        <f ca="1">IFERROR(__xludf.DUMMYFUNCTION("""COMPUTED_VALUE"""),13280)</f>
        <v>13280</v>
      </c>
      <c r="BO417" s="20"/>
      <c r="BP417" s="24">
        <f ca="1">IFERROR(__xludf.DUMMYFUNCTION("""COMPUTED_VALUE"""),0)</f>
        <v>0</v>
      </c>
      <c r="BQ417" s="24">
        <f ca="1">IFERROR(__xludf.DUMMYFUNCTION("""COMPUTED_VALUE"""),0)</f>
        <v>0</v>
      </c>
      <c r="BR417" s="24">
        <f ca="1">IFERROR(__xludf.DUMMYFUNCTION("""COMPUTED_VALUE"""),0)</f>
        <v>0</v>
      </c>
      <c r="BS417" s="24">
        <f ca="1">IFERROR(__xludf.DUMMYFUNCTION("""COMPUTED_VALUE"""),0)</f>
        <v>0</v>
      </c>
      <c r="BT417" s="24">
        <f ca="1">IFERROR(__xludf.DUMMYFUNCTION("""COMPUTED_VALUE"""),0)</f>
        <v>0</v>
      </c>
      <c r="BU417" s="20"/>
      <c r="BV417" s="24">
        <f ca="1">IFERROR(__xludf.DUMMYFUNCTION("""COMPUTED_VALUE"""),0)</f>
        <v>0</v>
      </c>
      <c r="BW417" s="24">
        <f ca="1">IFERROR(__xludf.DUMMYFUNCTION("""COMPUTED_VALUE"""),0)</f>
        <v>0</v>
      </c>
      <c r="BX417" s="24">
        <f ca="1">IFERROR(__xludf.DUMMYFUNCTION("""COMPUTED_VALUE"""),0)</f>
        <v>0</v>
      </c>
      <c r="BY417" s="24">
        <f ca="1">IFERROR(__xludf.DUMMYFUNCTION("""COMPUTED_VALUE"""),0)</f>
        <v>0</v>
      </c>
      <c r="BZ417" s="24">
        <f ca="1">IFERROR(__xludf.DUMMYFUNCTION("""COMPUTED_VALUE"""),0)</f>
        <v>0</v>
      </c>
      <c r="CA417" s="20"/>
      <c r="CB417" s="20"/>
      <c r="CC417" s="20"/>
      <c r="CD417" s="20"/>
      <c r="CE417" s="20"/>
      <c r="CF417" s="20"/>
      <c r="CG417" s="20"/>
      <c r="CH417" s="20"/>
      <c r="CI417" s="20"/>
      <c r="CJ417" s="20"/>
      <c r="CK417" s="20"/>
      <c r="CL417" s="20"/>
      <c r="CM417" s="20"/>
      <c r="CN417" s="20"/>
      <c r="CO417" s="20"/>
      <c r="CP417" s="20"/>
      <c r="CQ417" s="20"/>
      <c r="CR417" s="20"/>
      <c r="CS417" s="20"/>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row>
    <row r="418" spans="1:123" ht="64.5" customHeight="1" x14ac:dyDescent="0.2">
      <c r="A418" s="19"/>
      <c r="B418" s="20" t="str">
        <f ca="1">IFERROR(__xludf.DUMMYFUNCTION("""COMPUTED_VALUE"""),"МОС АВС")</f>
        <v>МОС АВС</v>
      </c>
      <c r="C418"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8" s="20" t="str">
        <f ca="1">IFERROR(__xludf.DUMMYFUNCTION("""COMPUTED_VALUE"""),"МинЖКХ")</f>
        <v>МинЖКХ</v>
      </c>
      <c r="E418" s="20"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f>
        <v>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v>
      </c>
      <c r="F418" s="32" t="str">
        <f ca="1">IFERROR(__xludf.DUMMYFUNCTION("""COMPUTED_VALUE"""),"БМК")</f>
        <v>БМК</v>
      </c>
      <c r="G418" s="20" t="str">
        <f ca="1">IFERROR(__xludf.DUMMYFUNCTION("""COMPUTED_VALUE"""),"2020-2022")</f>
        <v>2020-2022</v>
      </c>
      <c r="H418" s="20" t="str">
        <f ca="1">IFERROR(__xludf.DUMMYFUNCTION("""COMPUTED_VALUE"""),"ПИР")</f>
        <v>ПИР</v>
      </c>
      <c r="I418" s="20"/>
      <c r="J418" s="20" t="str">
        <f ca="1">IFERROR(__xludf.DUMMYFUNCTION("""COMPUTED_VALUE"""),"Расторжение контракта на ПИР.")</f>
        <v>Расторжение контракта на ПИР.</v>
      </c>
      <c r="K418" s="20" t="str">
        <f ca="1">IFERROR(__xludf.DUMMYFUNCTION("""COMPUTED_VALUE"""),"-")</f>
        <v>-</v>
      </c>
      <c r="L418" s="20" t="str">
        <f ca="1">IFERROR(__xludf.DUMMYFUNCTION("""COMPUTED_VALUE"""),"-")</f>
        <v>-</v>
      </c>
      <c r="M418" s="20"/>
      <c r="N418" s="24">
        <f ca="1">IFERROR(__xludf.DUMMYFUNCTION("""COMPUTED_VALUE"""),0)</f>
        <v>0</v>
      </c>
      <c r="O418" s="20"/>
      <c r="P418" s="24">
        <f ca="1">IFERROR(__xludf.DUMMYFUNCTION("""COMPUTED_VALUE"""),0)</f>
        <v>0</v>
      </c>
      <c r="Q418" s="20"/>
      <c r="R418" s="20"/>
      <c r="S418" s="20"/>
      <c r="T418" s="20"/>
      <c r="U418" s="24">
        <f ca="1">IFERROR(__xludf.DUMMYFUNCTION("""COMPUTED_VALUE"""),182.5)</f>
        <v>182.5</v>
      </c>
      <c r="V418" s="24">
        <f ca="1">IFERROR(__xludf.DUMMYFUNCTION("""COMPUTED_VALUE"""),0)</f>
        <v>0</v>
      </c>
      <c r="W418" s="24">
        <f ca="1">IFERROR(__xludf.DUMMYFUNCTION("""COMPUTED_VALUE"""),182.5)</f>
        <v>182.5</v>
      </c>
      <c r="X418" s="24">
        <f ca="1">IFERROR(__xludf.DUMMYFUNCTION("""COMPUTED_VALUE"""),0)</f>
        <v>0</v>
      </c>
      <c r="Y418" s="24">
        <f ca="1">IFERROR(__xludf.DUMMYFUNCTION("""COMPUTED_VALUE"""),0)</f>
        <v>0</v>
      </c>
      <c r="Z418" s="24">
        <f ca="1">IFERROR(__xludf.DUMMYFUNCTION("""COMPUTED_VALUE"""),0)</f>
        <v>0</v>
      </c>
      <c r="AA418" s="20" t="str">
        <f ca="1">IFERROR(__xludf.DUMMYFUNCTION("""COMPUTED_VALUE"""),"10 3 02 40010")</f>
        <v>10 3 02 40010</v>
      </c>
      <c r="AB418" s="20">
        <f ca="1">IFERROR(__xludf.DUMMYFUNCTION("""COMPUTED_VALUE"""),414)</f>
        <v>414</v>
      </c>
      <c r="AC418" s="20"/>
      <c r="AD418" s="20"/>
      <c r="AE418" s="20"/>
      <c r="AF418" s="24">
        <f ca="1">IFERROR(__xludf.DUMMYFUNCTION("""COMPUTED_VALUE"""),1124.01)</f>
        <v>1124.01</v>
      </c>
      <c r="AG418" s="24">
        <f ca="1">IFERROR(__xludf.DUMMYFUNCTION("""COMPUTED_VALUE"""),0)</f>
        <v>0</v>
      </c>
      <c r="AH418" s="24">
        <f ca="1">IFERROR(__xludf.DUMMYFUNCTION("""COMPUTED_VALUE"""),1124.01)</f>
        <v>1124.01</v>
      </c>
      <c r="AI418" s="24">
        <f ca="1">IFERROR(__xludf.DUMMYFUNCTION("""COMPUTED_VALUE"""),0)</f>
        <v>0</v>
      </c>
      <c r="AJ418" s="24">
        <f ca="1">IFERROR(__xludf.DUMMYFUNCTION("""COMPUTED_VALUE"""),0)</f>
        <v>0</v>
      </c>
      <c r="AK418" s="24">
        <f ca="1">IFERROR(__xludf.DUMMYFUNCTION("""COMPUTED_VALUE"""),0)</f>
        <v>0</v>
      </c>
      <c r="AL418" s="24">
        <f ca="1">IFERROR(__xludf.DUMMYFUNCTION("""COMPUTED_VALUE"""),0)</f>
        <v>0</v>
      </c>
      <c r="AM418" s="20"/>
      <c r="AN418" s="20"/>
      <c r="AO418" s="20"/>
      <c r="AP418" s="20"/>
      <c r="AQ418" s="20"/>
      <c r="AR418" s="24">
        <f ca="1">IFERROR(__xludf.DUMMYFUNCTION("""COMPUTED_VALUE"""),0)</f>
        <v>0</v>
      </c>
      <c r="AS418" s="20"/>
      <c r="AT418" s="20"/>
      <c r="AU418" s="20"/>
      <c r="AV418" s="20"/>
      <c r="AW418" s="20"/>
      <c r="AX418" s="24">
        <f ca="1">IFERROR(__xludf.DUMMYFUNCTION("""COMPUTED_VALUE"""),182.5)</f>
        <v>182.5</v>
      </c>
      <c r="AY418" s="24">
        <f ca="1">IFERROR(__xludf.DUMMYFUNCTION("""COMPUTED_VALUE"""),0)</f>
        <v>0</v>
      </c>
      <c r="AZ418" s="24">
        <f ca="1">IFERROR(__xludf.DUMMYFUNCTION("""COMPUTED_VALUE"""),182.5)</f>
        <v>182.5</v>
      </c>
      <c r="BA418" s="24">
        <f ca="1">IFERROR(__xludf.DUMMYFUNCTION("""COMPUTED_VALUE"""),0)</f>
        <v>0</v>
      </c>
      <c r="BB418" s="24">
        <f ca="1">IFERROR(__xludf.DUMMYFUNCTION("""COMPUTED_VALUE"""),0)</f>
        <v>0</v>
      </c>
      <c r="BC418" s="20"/>
      <c r="BD418" s="24">
        <f ca="1">IFERROR(__xludf.DUMMYFUNCTION("""COMPUTED_VALUE"""),870.27)</f>
        <v>870.27</v>
      </c>
      <c r="BE418" s="24">
        <f ca="1">IFERROR(__xludf.DUMMYFUNCTION("""COMPUTED_VALUE"""),0)</f>
        <v>0</v>
      </c>
      <c r="BF418" s="24">
        <f ca="1">IFERROR(__xludf.DUMMYFUNCTION("""COMPUTED_VALUE"""),870.27)</f>
        <v>870.27</v>
      </c>
      <c r="BG418" s="24">
        <f ca="1">IFERROR(__xludf.DUMMYFUNCTION("""COMPUTED_VALUE"""),0)</f>
        <v>0</v>
      </c>
      <c r="BH418" s="24">
        <f ca="1">IFERROR(__xludf.DUMMYFUNCTION("""COMPUTED_VALUE"""),0)</f>
        <v>0</v>
      </c>
      <c r="BI418" s="20"/>
      <c r="BJ418" s="24">
        <f ca="1">IFERROR(__xludf.DUMMYFUNCTION("""COMPUTED_VALUE"""),71.24)</f>
        <v>71.239999999999995</v>
      </c>
      <c r="BK418" s="24">
        <f ca="1">IFERROR(__xludf.DUMMYFUNCTION("""COMPUTED_VALUE"""),0)</f>
        <v>0</v>
      </c>
      <c r="BL418" s="20">
        <f ca="1">IFERROR(__xludf.DUMMYFUNCTION("""COMPUTED_VALUE"""),71.24)</f>
        <v>71.239999999999995</v>
      </c>
      <c r="BM418" s="24">
        <f ca="1">IFERROR(__xludf.DUMMYFUNCTION("""COMPUTED_VALUE"""),0)</f>
        <v>0</v>
      </c>
      <c r="BN418" s="24">
        <f ca="1">IFERROR(__xludf.DUMMYFUNCTION("""COMPUTED_VALUE"""),0)</f>
        <v>0</v>
      </c>
      <c r="BO418" s="20"/>
      <c r="BP418" s="24">
        <f ca="1">IFERROR(__xludf.DUMMYFUNCTION("""COMPUTED_VALUE"""),0)</f>
        <v>0</v>
      </c>
      <c r="BQ418" s="24">
        <f ca="1">IFERROR(__xludf.DUMMYFUNCTION("""COMPUTED_VALUE"""),0)</f>
        <v>0</v>
      </c>
      <c r="BR418" s="24">
        <f ca="1">IFERROR(__xludf.DUMMYFUNCTION("""COMPUTED_VALUE"""),0)</f>
        <v>0</v>
      </c>
      <c r="BS418" s="24">
        <f ca="1">IFERROR(__xludf.DUMMYFUNCTION("""COMPUTED_VALUE"""),0)</f>
        <v>0</v>
      </c>
      <c r="BT418" s="24">
        <f ca="1">IFERROR(__xludf.DUMMYFUNCTION("""COMPUTED_VALUE"""),0)</f>
        <v>0</v>
      </c>
      <c r="BU418" s="20"/>
      <c r="BV418" s="24">
        <f ca="1">IFERROR(__xludf.DUMMYFUNCTION("""COMPUTED_VALUE"""),0)</f>
        <v>0</v>
      </c>
      <c r="BW418" s="24">
        <f ca="1">IFERROR(__xludf.DUMMYFUNCTION("""COMPUTED_VALUE"""),0)</f>
        <v>0</v>
      </c>
      <c r="BX418" s="24">
        <f ca="1">IFERROR(__xludf.DUMMYFUNCTION("""COMPUTED_VALUE"""),0)</f>
        <v>0</v>
      </c>
      <c r="BY418" s="24">
        <f ca="1">IFERROR(__xludf.DUMMYFUNCTION("""COMPUTED_VALUE"""),0)</f>
        <v>0</v>
      </c>
      <c r="BZ418" s="24">
        <f ca="1">IFERROR(__xludf.DUMMYFUNCTION("""COMPUTED_VALUE"""),0)</f>
        <v>0</v>
      </c>
      <c r="CA418" s="20"/>
      <c r="CB418" s="20"/>
      <c r="CC418" s="20"/>
      <c r="CD418" s="20"/>
      <c r="CE418" s="20"/>
      <c r="CF418" s="20"/>
      <c r="CG418" s="20"/>
      <c r="CH418" s="20"/>
      <c r="CI418" s="20"/>
      <c r="CJ418" s="20"/>
      <c r="CK418" s="20"/>
      <c r="CL418" s="20"/>
      <c r="CM418" s="20"/>
      <c r="CN418" s="20"/>
      <c r="CO418" s="20"/>
      <c r="CP418" s="20"/>
      <c r="CQ418" s="20"/>
      <c r="CR418" s="20"/>
      <c r="CS418" s="20"/>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row>
    <row r="419" spans="1:123" ht="64.5" customHeight="1" x14ac:dyDescent="0.2">
      <c r="A419" s="19"/>
      <c r="B419" s="20" t="str">
        <f ca="1">IFERROR(__xludf.DUMMYFUNCTION("""COMPUTED_VALUE"""),"МОС АВС")</f>
        <v>МОС АВС</v>
      </c>
      <c r="C419"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9" s="20" t="str">
        <f ca="1">IFERROR(__xludf.DUMMYFUNCTION("""COMPUTED_VALUE"""),"МинЖКХ")</f>
        <v>МинЖКХ</v>
      </c>
      <c r="E419" s="20" t="str">
        <f ca="1">IFERROR(__xludf.DUMMYFUNCTION("""COMPUTED_VALUE"""),"Строительство блочно-модульной котельной для Клеменовская участковая больница ГБУЗ МО ""Егорьевская ЦРБ"" по адресу: д. Овчагино  (в том числе ПИР)")</f>
        <v>Строительство блочно-модульной котельной для Клеменовская участковая больница ГБУЗ МО "Егорьевская ЦРБ" по адресу: д. Овчагино  (в том числе ПИР)</v>
      </c>
      <c r="F419" s="32" t="str">
        <f ca="1">IFERROR(__xludf.DUMMYFUNCTION("""COMPUTED_VALUE"""),"БМК")</f>
        <v>БМК</v>
      </c>
      <c r="G419" s="20" t="str">
        <f ca="1">IFERROR(__xludf.DUMMYFUNCTION("""COMPUTED_VALUE"""),"2020-2021")</f>
        <v>2020-2021</v>
      </c>
      <c r="H419" s="20" t="str">
        <f ca="1">IFERROR(__xludf.DUMMYFUNCTION("""COMPUTED_VALUE"""),"СМР")</f>
        <v>СМР</v>
      </c>
      <c r="I419" s="20"/>
      <c r="J419" s="20" t="str">
        <f ca="1">IFERROR(__xludf.DUMMYFUNCTION("""COMPUTED_VALUE"""),"Расторжение контракта на ПИР.")</f>
        <v>Расторжение контракта на ПИР.</v>
      </c>
      <c r="K419" s="20"/>
      <c r="L419" s="20"/>
      <c r="M419" s="20"/>
      <c r="N419" s="24">
        <f ca="1">IFERROR(__xludf.DUMMYFUNCTION("""COMPUTED_VALUE"""),1566.29)</f>
        <v>1566.29</v>
      </c>
      <c r="O419" s="20"/>
      <c r="P419" s="24">
        <f ca="1">IFERROR(__xludf.DUMMYFUNCTION("""COMPUTED_VALUE"""),1566.29)</f>
        <v>1566.29</v>
      </c>
      <c r="Q419" s="20"/>
      <c r="R419" s="20"/>
      <c r="S419" s="20"/>
      <c r="T419" s="20"/>
      <c r="U419" s="24">
        <f ca="1">IFERROR(__xludf.DUMMYFUNCTION("""COMPUTED_VALUE"""),1012.38999999999)</f>
        <v>1012.38999999999</v>
      </c>
      <c r="V419" s="24">
        <f ca="1">IFERROR(__xludf.DUMMYFUNCTION("""COMPUTED_VALUE"""),0)</f>
        <v>0</v>
      </c>
      <c r="W419" s="24">
        <f ca="1">IFERROR(__xludf.DUMMYFUNCTION("""COMPUTED_VALUE"""),1012.38999999999)</f>
        <v>1012.38999999999</v>
      </c>
      <c r="X419" s="24">
        <f ca="1">IFERROR(__xludf.DUMMYFUNCTION("""COMPUTED_VALUE"""),0)</f>
        <v>0</v>
      </c>
      <c r="Y419" s="24">
        <f ca="1">IFERROR(__xludf.DUMMYFUNCTION("""COMPUTED_VALUE"""),0)</f>
        <v>0</v>
      </c>
      <c r="Z419" s="24">
        <f ca="1">IFERROR(__xludf.DUMMYFUNCTION("""COMPUTED_VALUE"""),0)</f>
        <v>0</v>
      </c>
      <c r="AA419" s="20" t="str">
        <f ca="1">IFERROR(__xludf.DUMMYFUNCTION("""COMPUTED_VALUE"""),"10 3 02 40010")</f>
        <v>10 3 02 40010</v>
      </c>
      <c r="AB419" s="20">
        <f ca="1">IFERROR(__xludf.DUMMYFUNCTION("""COMPUTED_VALUE"""),414)</f>
        <v>414</v>
      </c>
      <c r="AC419" s="20"/>
      <c r="AD419" s="20"/>
      <c r="AE419" s="20"/>
      <c r="AF419" s="24">
        <f ca="1">IFERROR(__xludf.DUMMYFUNCTION("""COMPUTED_VALUE"""),38093.37)</f>
        <v>38093.370000000003</v>
      </c>
      <c r="AG419" s="24">
        <f ca="1">IFERROR(__xludf.DUMMYFUNCTION("""COMPUTED_VALUE"""),0)</f>
        <v>0</v>
      </c>
      <c r="AH419" s="24">
        <f ca="1">IFERROR(__xludf.DUMMYFUNCTION("""COMPUTED_VALUE"""),38093.37)</f>
        <v>38093.370000000003</v>
      </c>
      <c r="AI419" s="24">
        <f ca="1">IFERROR(__xludf.DUMMYFUNCTION("""COMPUTED_VALUE"""),0)</f>
        <v>0</v>
      </c>
      <c r="AJ419" s="24">
        <f ca="1">IFERROR(__xludf.DUMMYFUNCTION("""COMPUTED_VALUE"""),0)</f>
        <v>0</v>
      </c>
      <c r="AK419" s="24">
        <f ca="1">IFERROR(__xludf.DUMMYFUNCTION("""COMPUTED_VALUE"""),0)</f>
        <v>0</v>
      </c>
      <c r="AL419" s="24">
        <f ca="1">IFERROR(__xludf.DUMMYFUNCTION("""COMPUTED_VALUE"""),0)</f>
        <v>0</v>
      </c>
      <c r="AM419" s="20"/>
      <c r="AN419" s="20"/>
      <c r="AO419" s="20"/>
      <c r="AP419" s="20"/>
      <c r="AQ419" s="20"/>
      <c r="AR419" s="24">
        <f ca="1">IFERROR(__xludf.DUMMYFUNCTION("""COMPUTED_VALUE"""),0)</f>
        <v>0</v>
      </c>
      <c r="AS419" s="20"/>
      <c r="AT419" s="20"/>
      <c r="AU419" s="20"/>
      <c r="AV419" s="20"/>
      <c r="AW419" s="20"/>
      <c r="AX419" s="24">
        <f ca="1">IFERROR(__xludf.DUMMYFUNCTION("""COMPUTED_VALUE"""),2578.68)</f>
        <v>2578.6799999999998</v>
      </c>
      <c r="AY419" s="24">
        <f ca="1">IFERROR(__xludf.DUMMYFUNCTION("""COMPUTED_VALUE"""),0)</f>
        <v>0</v>
      </c>
      <c r="AZ419" s="24">
        <f ca="1">IFERROR(__xludf.DUMMYFUNCTION("""COMPUTED_VALUE"""),2578.68)</f>
        <v>2578.6799999999998</v>
      </c>
      <c r="BA419" s="24">
        <f ca="1">IFERROR(__xludf.DUMMYFUNCTION("""COMPUTED_VALUE"""),0)</f>
        <v>0</v>
      </c>
      <c r="BB419" s="24">
        <f ca="1">IFERROR(__xludf.DUMMYFUNCTION("""COMPUTED_VALUE"""),0)</f>
        <v>0</v>
      </c>
      <c r="BC419" s="20"/>
      <c r="BD419" s="24">
        <f ca="1">IFERROR(__xludf.DUMMYFUNCTION("""COMPUTED_VALUE"""),35514.69)</f>
        <v>35514.69</v>
      </c>
      <c r="BE419" s="24">
        <f ca="1">IFERROR(__xludf.DUMMYFUNCTION("""COMPUTED_VALUE"""),0)</f>
        <v>0</v>
      </c>
      <c r="BF419" s="24">
        <f ca="1">IFERROR(__xludf.DUMMYFUNCTION("""COMPUTED_VALUE"""),35514.69)</f>
        <v>35514.69</v>
      </c>
      <c r="BG419" s="24">
        <f ca="1">IFERROR(__xludf.DUMMYFUNCTION("""COMPUTED_VALUE"""),0)</f>
        <v>0</v>
      </c>
      <c r="BH419" s="24">
        <f ca="1">IFERROR(__xludf.DUMMYFUNCTION("""COMPUTED_VALUE"""),0)</f>
        <v>0</v>
      </c>
      <c r="BI419" s="20"/>
      <c r="BJ419" s="24">
        <f ca="1">IFERROR(__xludf.DUMMYFUNCTION("""COMPUTED_VALUE"""),0)</f>
        <v>0</v>
      </c>
      <c r="BK419" s="24">
        <f ca="1">IFERROR(__xludf.DUMMYFUNCTION("""COMPUTED_VALUE"""),0)</f>
        <v>0</v>
      </c>
      <c r="BL419" s="24">
        <f ca="1">IFERROR(__xludf.DUMMYFUNCTION("""COMPUTED_VALUE"""),0)</f>
        <v>0</v>
      </c>
      <c r="BM419" s="24">
        <f ca="1">IFERROR(__xludf.DUMMYFUNCTION("""COMPUTED_VALUE"""),0)</f>
        <v>0</v>
      </c>
      <c r="BN419" s="24">
        <f ca="1">IFERROR(__xludf.DUMMYFUNCTION("""COMPUTED_VALUE"""),0)</f>
        <v>0</v>
      </c>
      <c r="BO419" s="20"/>
      <c r="BP419" s="24">
        <f ca="1">IFERROR(__xludf.DUMMYFUNCTION("""COMPUTED_VALUE"""),0)</f>
        <v>0</v>
      </c>
      <c r="BQ419" s="24">
        <f ca="1">IFERROR(__xludf.DUMMYFUNCTION("""COMPUTED_VALUE"""),0)</f>
        <v>0</v>
      </c>
      <c r="BR419" s="24">
        <f ca="1">IFERROR(__xludf.DUMMYFUNCTION("""COMPUTED_VALUE"""),0)</f>
        <v>0</v>
      </c>
      <c r="BS419" s="24">
        <f ca="1">IFERROR(__xludf.DUMMYFUNCTION("""COMPUTED_VALUE"""),0)</f>
        <v>0</v>
      </c>
      <c r="BT419" s="24">
        <f ca="1">IFERROR(__xludf.DUMMYFUNCTION("""COMPUTED_VALUE"""),0)</f>
        <v>0</v>
      </c>
      <c r="BU419" s="20"/>
      <c r="BV419" s="24">
        <f ca="1">IFERROR(__xludf.DUMMYFUNCTION("""COMPUTED_VALUE"""),0)</f>
        <v>0</v>
      </c>
      <c r="BW419" s="24">
        <f ca="1">IFERROR(__xludf.DUMMYFUNCTION("""COMPUTED_VALUE"""),0)</f>
        <v>0</v>
      </c>
      <c r="BX419" s="24">
        <f ca="1">IFERROR(__xludf.DUMMYFUNCTION("""COMPUTED_VALUE"""),0)</f>
        <v>0</v>
      </c>
      <c r="BY419" s="24">
        <f ca="1">IFERROR(__xludf.DUMMYFUNCTION("""COMPUTED_VALUE"""),0)</f>
        <v>0</v>
      </c>
      <c r="BZ419" s="24">
        <f ca="1">IFERROR(__xludf.DUMMYFUNCTION("""COMPUTED_VALUE"""),0)</f>
        <v>0</v>
      </c>
      <c r="CA419" s="20"/>
      <c r="CB419" s="20"/>
      <c r="CC419" s="20"/>
      <c r="CD419" s="20"/>
      <c r="CE419" s="20"/>
      <c r="CF419" s="20"/>
      <c r="CG419" s="20"/>
      <c r="CH419" s="20"/>
      <c r="CI419" s="20"/>
      <c r="CJ419" s="20"/>
      <c r="CK419" s="20"/>
      <c r="CL419" s="20"/>
      <c r="CM419" s="20"/>
      <c r="CN419" s="20"/>
      <c r="CO419" s="20"/>
      <c r="CP419" s="20"/>
      <c r="CQ419" s="20"/>
      <c r="CR419" s="20"/>
      <c r="CS419" s="20"/>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row>
    <row r="420" spans="1:123" ht="64.5" customHeight="1" x14ac:dyDescent="0.2">
      <c r="A420" s="19"/>
      <c r="B420" s="20" t="str">
        <f ca="1">IFERROR(__xludf.DUMMYFUNCTION("""COMPUTED_VALUE"""),"МОС АВС")</f>
        <v>МОС АВС</v>
      </c>
      <c r="C420"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20" s="20" t="str">
        <f ca="1">IFERROR(__xludf.DUMMYFUNCTION("""COMPUTED_VALUE"""),"МинЖКХ")</f>
        <v>МинЖКХ</v>
      </c>
      <c r="E420" s="20" t="str">
        <f ca="1">IFERROR(__xludf.DUMMYFUNCTION("""COMPUTED_VALUE"""),"Строительство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f>
        <v>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v>
      </c>
      <c r="F420" s="32" t="str">
        <f ca="1">IFERROR(__xludf.DUMMYFUNCTION("""COMPUTED_VALUE"""),"БМК")</f>
        <v>БМК</v>
      </c>
      <c r="G420" s="20" t="str">
        <f ca="1">IFERROR(__xludf.DUMMYFUNCTION("""COMPUTED_VALUE"""),"2020-2022")</f>
        <v>2020-2022</v>
      </c>
      <c r="H420" s="20" t="str">
        <f ca="1">IFERROR(__xludf.DUMMYFUNCTION("""COMPUTED_VALUE"""),"СМР")</f>
        <v>СМР</v>
      </c>
      <c r="I420" s="20"/>
      <c r="J420" s="20" t="str">
        <f ca="1">IFERROR(__xludf.DUMMYFUNCTION("""COMPUTED_VALUE"""),"Участок не передан в безвозмездное пользовние .")</f>
        <v>Участок не передан в безвозмездное пользовние .</v>
      </c>
      <c r="K420" s="20"/>
      <c r="L420" s="20"/>
      <c r="M420" s="20"/>
      <c r="N420" s="24">
        <f ca="1">IFERROR(__xludf.DUMMYFUNCTION("""COMPUTED_VALUE"""),0)</f>
        <v>0</v>
      </c>
      <c r="O420" s="20"/>
      <c r="P420" s="24">
        <f ca="1">IFERROR(__xludf.DUMMYFUNCTION("""COMPUTED_VALUE"""),0)</f>
        <v>0</v>
      </c>
      <c r="Q420" s="20"/>
      <c r="R420" s="20"/>
      <c r="S420" s="20"/>
      <c r="T420" s="20" t="str">
        <f ca="1">IFERROR(__xludf.DUMMYFUNCTION("""COMPUTED_VALUE"""),"ПИР до 25.12.2020")</f>
        <v>ПИР до 25.12.2020</v>
      </c>
      <c r="U420" s="24">
        <f ca="1">IFERROR(__xludf.DUMMYFUNCTION("""COMPUTED_VALUE"""),804.6)</f>
        <v>804.6</v>
      </c>
      <c r="V420" s="24">
        <f ca="1">IFERROR(__xludf.DUMMYFUNCTION("""COMPUTED_VALUE"""),0)</f>
        <v>0</v>
      </c>
      <c r="W420" s="24">
        <f ca="1">IFERROR(__xludf.DUMMYFUNCTION("""COMPUTED_VALUE"""),804.6)</f>
        <v>804.6</v>
      </c>
      <c r="X420" s="24">
        <f ca="1">IFERROR(__xludf.DUMMYFUNCTION("""COMPUTED_VALUE"""),0)</f>
        <v>0</v>
      </c>
      <c r="Y420" s="24">
        <f ca="1">IFERROR(__xludf.DUMMYFUNCTION("""COMPUTED_VALUE"""),0)</f>
        <v>0</v>
      </c>
      <c r="Z420" s="24">
        <f ca="1">IFERROR(__xludf.DUMMYFUNCTION("""COMPUTED_VALUE"""),0)</f>
        <v>0</v>
      </c>
      <c r="AA420" s="20" t="str">
        <f ca="1">IFERROR(__xludf.DUMMYFUNCTION("""COMPUTED_VALUE"""),"10 3 02 40010")</f>
        <v>10 3 02 40010</v>
      </c>
      <c r="AB420" s="20">
        <f ca="1">IFERROR(__xludf.DUMMYFUNCTION("""COMPUTED_VALUE"""),414)</f>
        <v>414</v>
      </c>
      <c r="AC420" s="20"/>
      <c r="AD420" s="20"/>
      <c r="AE420" s="20"/>
      <c r="AF420" s="24">
        <f ca="1">IFERROR(__xludf.DUMMYFUNCTION("""COMPUTED_VALUE"""),5775.6)</f>
        <v>5775.6</v>
      </c>
      <c r="AG420" s="24">
        <f ca="1">IFERROR(__xludf.DUMMYFUNCTION("""COMPUTED_VALUE"""),0)</f>
        <v>0</v>
      </c>
      <c r="AH420" s="24">
        <f ca="1">IFERROR(__xludf.DUMMYFUNCTION("""COMPUTED_VALUE"""),5775.6)</f>
        <v>5775.6</v>
      </c>
      <c r="AI420" s="24">
        <f ca="1">IFERROR(__xludf.DUMMYFUNCTION("""COMPUTED_VALUE"""),0)</f>
        <v>0</v>
      </c>
      <c r="AJ420" s="24">
        <f ca="1">IFERROR(__xludf.DUMMYFUNCTION("""COMPUTED_VALUE"""),0)</f>
        <v>0</v>
      </c>
      <c r="AK420" s="24">
        <f ca="1">IFERROR(__xludf.DUMMYFUNCTION("""COMPUTED_VALUE"""),0)</f>
        <v>0</v>
      </c>
      <c r="AL420" s="24">
        <f ca="1">IFERROR(__xludf.DUMMYFUNCTION("""COMPUTED_VALUE"""),0)</f>
        <v>0</v>
      </c>
      <c r="AM420" s="20"/>
      <c r="AN420" s="20"/>
      <c r="AO420" s="20"/>
      <c r="AP420" s="20"/>
      <c r="AQ420" s="20"/>
      <c r="AR420" s="24">
        <f ca="1">IFERROR(__xludf.DUMMYFUNCTION("""COMPUTED_VALUE"""),0)</f>
        <v>0</v>
      </c>
      <c r="AS420" s="20"/>
      <c r="AT420" s="20"/>
      <c r="AU420" s="20"/>
      <c r="AV420" s="20"/>
      <c r="AW420" s="20"/>
      <c r="AX420" s="24">
        <f ca="1">IFERROR(__xludf.DUMMYFUNCTION("""COMPUTED_VALUE"""),804.6)</f>
        <v>804.6</v>
      </c>
      <c r="AY420" s="24">
        <f ca="1">IFERROR(__xludf.DUMMYFUNCTION("""COMPUTED_VALUE"""),0)</f>
        <v>0</v>
      </c>
      <c r="AZ420" s="24">
        <f ca="1">IFERROR(__xludf.DUMMYFUNCTION("""COMPUTED_VALUE"""),804.6)</f>
        <v>804.6</v>
      </c>
      <c r="BA420" s="24">
        <f ca="1">IFERROR(__xludf.DUMMYFUNCTION("""COMPUTED_VALUE"""),0)</f>
        <v>0</v>
      </c>
      <c r="BB420" s="24">
        <f ca="1">IFERROR(__xludf.DUMMYFUNCTION("""COMPUTED_VALUE"""),0)</f>
        <v>0</v>
      </c>
      <c r="BC420" s="20"/>
      <c r="BD420" s="24">
        <f ca="1">IFERROR(__xludf.DUMMYFUNCTION("""COMPUTED_VALUE"""),4365.06)</f>
        <v>4365.0600000000004</v>
      </c>
      <c r="BE420" s="24">
        <f ca="1">IFERROR(__xludf.DUMMYFUNCTION("""COMPUTED_VALUE"""),0)</f>
        <v>0</v>
      </c>
      <c r="BF420" s="24">
        <f ca="1">IFERROR(__xludf.DUMMYFUNCTION("""COMPUTED_VALUE"""),4365.06)</f>
        <v>4365.0600000000004</v>
      </c>
      <c r="BG420" s="24">
        <f ca="1">IFERROR(__xludf.DUMMYFUNCTION("""COMPUTED_VALUE"""),0)</f>
        <v>0</v>
      </c>
      <c r="BH420" s="24">
        <f ca="1">IFERROR(__xludf.DUMMYFUNCTION("""COMPUTED_VALUE"""),0)</f>
        <v>0</v>
      </c>
      <c r="BI420" s="20"/>
      <c r="BJ420" s="24">
        <f ca="1">IFERROR(__xludf.DUMMYFUNCTION("""COMPUTED_VALUE"""),605.94)</f>
        <v>605.94000000000005</v>
      </c>
      <c r="BK420" s="24">
        <f ca="1">IFERROR(__xludf.DUMMYFUNCTION("""COMPUTED_VALUE"""),0)</f>
        <v>0</v>
      </c>
      <c r="BL420" s="20">
        <f ca="1">IFERROR(__xludf.DUMMYFUNCTION("""COMPUTED_VALUE"""),605.94)</f>
        <v>605.94000000000005</v>
      </c>
      <c r="BM420" s="24">
        <f ca="1">IFERROR(__xludf.DUMMYFUNCTION("""COMPUTED_VALUE"""),0)</f>
        <v>0</v>
      </c>
      <c r="BN420" s="24">
        <f ca="1">IFERROR(__xludf.DUMMYFUNCTION("""COMPUTED_VALUE"""),0)</f>
        <v>0</v>
      </c>
      <c r="BO420" s="20"/>
      <c r="BP420" s="24">
        <f ca="1">IFERROR(__xludf.DUMMYFUNCTION("""COMPUTED_VALUE"""),0)</f>
        <v>0</v>
      </c>
      <c r="BQ420" s="24">
        <f ca="1">IFERROR(__xludf.DUMMYFUNCTION("""COMPUTED_VALUE"""),0)</f>
        <v>0</v>
      </c>
      <c r="BR420" s="24">
        <f ca="1">IFERROR(__xludf.DUMMYFUNCTION("""COMPUTED_VALUE"""),0)</f>
        <v>0</v>
      </c>
      <c r="BS420" s="24">
        <f ca="1">IFERROR(__xludf.DUMMYFUNCTION("""COMPUTED_VALUE"""),0)</f>
        <v>0</v>
      </c>
      <c r="BT420" s="24">
        <f ca="1">IFERROR(__xludf.DUMMYFUNCTION("""COMPUTED_VALUE"""),0)</f>
        <v>0</v>
      </c>
      <c r="BU420" s="20"/>
      <c r="BV420" s="24">
        <f ca="1">IFERROR(__xludf.DUMMYFUNCTION("""COMPUTED_VALUE"""),0)</f>
        <v>0</v>
      </c>
      <c r="BW420" s="24">
        <f ca="1">IFERROR(__xludf.DUMMYFUNCTION("""COMPUTED_VALUE"""),0)</f>
        <v>0</v>
      </c>
      <c r="BX420" s="24">
        <f ca="1">IFERROR(__xludf.DUMMYFUNCTION("""COMPUTED_VALUE"""),0)</f>
        <v>0</v>
      </c>
      <c r="BY420" s="24">
        <f ca="1">IFERROR(__xludf.DUMMYFUNCTION("""COMPUTED_VALUE"""),0)</f>
        <v>0</v>
      </c>
      <c r="BZ420" s="24">
        <f ca="1">IFERROR(__xludf.DUMMYFUNCTION("""COMPUTED_VALUE"""),0)</f>
        <v>0</v>
      </c>
      <c r="CA420" s="20"/>
      <c r="CB420" s="20"/>
      <c r="CC420" s="20"/>
      <c r="CD420" s="20"/>
      <c r="CE420" s="20"/>
      <c r="CF420" s="20"/>
      <c r="CG420" s="20"/>
      <c r="CH420" s="20"/>
      <c r="CI420" s="20"/>
      <c r="CJ420" s="20"/>
      <c r="CK420" s="20"/>
      <c r="CL420" s="20"/>
      <c r="CM420" s="20"/>
      <c r="CN420" s="20"/>
      <c r="CO420" s="20"/>
      <c r="CP420" s="20"/>
      <c r="CQ420" s="20"/>
      <c r="CR420" s="20"/>
      <c r="CS420" s="20"/>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row>
    <row r="421" spans="1:123" ht="64.5" hidden="1" customHeight="1" x14ac:dyDescent="0.2">
      <c r="A421" s="19"/>
      <c r="B421" s="20" t="str">
        <f ca="1">IFERROR(__xludf.DUMMYFUNCTION("IMPORTRANGE(""https://docs.google.com/spreadsheets/d/1ZpB0joDVH_P6wgS1qdxv2Cg30eSt21FXcCJZMPEFRM4/edit#gid=549951974&amp;range=B5:CS49"", ""'ПП3 ВГ'!B5:CS49"")"),"г.о. Ступино")</f>
        <v>г.о. Ступино</v>
      </c>
      <c r="C42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1" s="24" t="str">
        <f ca="1">IFERROR(__xludf.DUMMYFUNCTION("""COMPUTED_VALUE"""),"Минобр")</f>
        <v>Минобр</v>
      </c>
      <c r="E421" s="20" t="str">
        <f ca="1">IFERROR(__xludf.DUMMYFUNCTION("""COMPUTED_VALUE"""),"Капитальный ремонт МБОУ «Мещеринская СОШ № 1», пос. Мещерино-1, г.о. Ступино,  военный городок № 1, в/ч 03770")</f>
        <v>Капитальный ремонт МБОУ «Мещеринская СОШ № 1», пос. Мещерино-1, г.о. Ступино,  военный городок № 1, в/ч 03770</v>
      </c>
      <c r="F421" s="32"/>
      <c r="G421" s="20">
        <f ca="1">IFERROR(__xludf.DUMMYFUNCTION("""COMPUTED_VALUE"""),2020)</f>
        <v>2020</v>
      </c>
      <c r="H421" s="24" t="str">
        <f ca="1">IFERROR(__xludf.DUMMYFUNCTION("""COMPUTED_VALUE"""),"Вып")</f>
        <v>Вып</v>
      </c>
      <c r="I421" s="20"/>
      <c r="J421" s="20" t="str">
        <f ca="1">IFERROR(__xludf.DUMMYFUNCTION("""COMPUTED_VALUE"""),"открыты")</f>
        <v>открыты</v>
      </c>
      <c r="K421" s="20"/>
      <c r="L421" s="20"/>
      <c r="M421" s="20"/>
      <c r="N421" s="20">
        <f ca="1">IFERROR(__xludf.DUMMYFUNCTION("""COMPUTED_VALUE"""),33193.68)</f>
        <v>33193.68</v>
      </c>
      <c r="O421" s="20"/>
      <c r="P421" s="20">
        <f ca="1">IFERROR(__xludf.DUMMYFUNCTION("""COMPUTED_VALUE"""),33193.68)</f>
        <v>33193.68</v>
      </c>
      <c r="Q421" s="20"/>
      <c r="R421" s="20"/>
      <c r="S421" s="20"/>
      <c r="T421" s="20"/>
      <c r="U421" s="24">
        <f ca="1">IFERROR(__xludf.DUMMYFUNCTION("""COMPUTED_VALUE"""),18077.32)</f>
        <v>18077.32</v>
      </c>
      <c r="V421" s="24">
        <f ca="1">IFERROR(__xludf.DUMMYFUNCTION("""COMPUTED_VALUE"""),0)</f>
        <v>0</v>
      </c>
      <c r="W421" s="24">
        <f ca="1">IFERROR(__xludf.DUMMYFUNCTION("""COMPUTED_VALUE"""),15514.32)</f>
        <v>15514.32</v>
      </c>
      <c r="X421" s="24">
        <f ca="1">IFERROR(__xludf.DUMMYFUNCTION("""COMPUTED_VALUE"""),0)</f>
        <v>0</v>
      </c>
      <c r="Y421" s="24">
        <f ca="1">IFERROR(__xludf.DUMMYFUNCTION("""COMPUTED_VALUE"""),2563)</f>
        <v>2563</v>
      </c>
      <c r="Z421" s="24">
        <f ca="1">IFERROR(__xludf.DUMMYFUNCTION("""COMPUTED_VALUE"""),0)</f>
        <v>0</v>
      </c>
      <c r="AA421" s="20"/>
      <c r="AB421" s="20"/>
      <c r="AC421" s="20"/>
      <c r="AD421" s="20"/>
      <c r="AE421" s="20"/>
      <c r="AF421" s="24">
        <f ca="1">IFERROR(__xludf.DUMMYFUNCTION("""COMPUTED_VALUE"""),51271)</f>
        <v>51271</v>
      </c>
      <c r="AG421" s="24">
        <f ca="1">IFERROR(__xludf.DUMMYFUNCTION("""COMPUTED_VALUE"""),0)</f>
        <v>0</v>
      </c>
      <c r="AH421" s="24">
        <f ca="1">IFERROR(__xludf.DUMMYFUNCTION("""COMPUTED_VALUE"""),48708)</f>
        <v>48708</v>
      </c>
      <c r="AI421" s="24">
        <f ca="1">IFERROR(__xludf.DUMMYFUNCTION("""COMPUTED_VALUE"""),0)</f>
        <v>0</v>
      </c>
      <c r="AJ421" s="24">
        <f ca="1">IFERROR(__xludf.DUMMYFUNCTION("""COMPUTED_VALUE"""),2563)</f>
        <v>2563</v>
      </c>
      <c r="AK421" s="24">
        <f ca="1">IFERROR(__xludf.DUMMYFUNCTION("""COMPUTED_VALUE"""),0)</f>
        <v>0</v>
      </c>
      <c r="AL421" s="24">
        <f ca="1">IFERROR(__xludf.DUMMYFUNCTION("""COMPUTED_VALUE"""),0)</f>
        <v>0</v>
      </c>
      <c r="AM421" s="20"/>
      <c r="AN421" s="24">
        <f ca="1">IFERROR(__xludf.DUMMYFUNCTION("""COMPUTED_VALUE"""),0)</f>
        <v>0</v>
      </c>
      <c r="AO421" s="24">
        <f ca="1">IFERROR(__xludf.DUMMYFUNCTION("""COMPUTED_VALUE"""),0)</f>
        <v>0</v>
      </c>
      <c r="AP421" s="24">
        <f ca="1">IFERROR(__xludf.DUMMYFUNCTION("""COMPUTED_VALUE"""),0)</f>
        <v>0</v>
      </c>
      <c r="AQ421" s="20"/>
      <c r="AR421" s="24">
        <f ca="1">IFERROR(__xludf.DUMMYFUNCTION("""COMPUTED_VALUE"""),0)</f>
        <v>0</v>
      </c>
      <c r="AS421" s="20"/>
      <c r="AT421" s="24">
        <f ca="1">IFERROR(__xludf.DUMMYFUNCTION("""COMPUTED_VALUE"""),0)</f>
        <v>0</v>
      </c>
      <c r="AU421" s="24">
        <f ca="1">IFERROR(__xludf.DUMMYFUNCTION("""COMPUTED_VALUE"""),0)</f>
        <v>0</v>
      </c>
      <c r="AV421" s="24">
        <f ca="1">IFERROR(__xludf.DUMMYFUNCTION("""COMPUTED_VALUE"""),0)</f>
        <v>0</v>
      </c>
      <c r="AW421" s="20"/>
      <c r="AX421" s="24">
        <f ca="1">IFERROR(__xludf.DUMMYFUNCTION("""COMPUTED_VALUE"""),51271)</f>
        <v>51271</v>
      </c>
      <c r="AY421" s="20"/>
      <c r="AZ421" s="24">
        <f ca="1">IFERROR(__xludf.DUMMYFUNCTION("""COMPUTED_VALUE"""),48708)</f>
        <v>48708</v>
      </c>
      <c r="BA421" s="24">
        <f ca="1">IFERROR(__xludf.DUMMYFUNCTION("""COMPUTED_VALUE"""),0)</f>
        <v>0</v>
      </c>
      <c r="BB421" s="24">
        <f ca="1">IFERROR(__xludf.DUMMYFUNCTION("""COMPUTED_VALUE"""),2563)</f>
        <v>2563</v>
      </c>
      <c r="BC421" s="20"/>
      <c r="BD421" s="24">
        <f ca="1">IFERROR(__xludf.DUMMYFUNCTION("""COMPUTED_VALUE"""),0)</f>
        <v>0</v>
      </c>
      <c r="BE421" s="20"/>
      <c r="BF421" s="24">
        <f ca="1">IFERROR(__xludf.DUMMYFUNCTION("""COMPUTED_VALUE"""),0)</f>
        <v>0</v>
      </c>
      <c r="BG421" s="24">
        <f ca="1">IFERROR(__xludf.DUMMYFUNCTION("""COMPUTED_VALUE"""),0)</f>
        <v>0</v>
      </c>
      <c r="BH421" s="24">
        <f ca="1">IFERROR(__xludf.DUMMYFUNCTION("""COMPUTED_VALUE"""),0)</f>
        <v>0</v>
      </c>
      <c r="BI421" s="20"/>
      <c r="BJ421" s="24">
        <f ca="1">IFERROR(__xludf.DUMMYFUNCTION("""COMPUTED_VALUE"""),0)</f>
        <v>0</v>
      </c>
      <c r="BK421" s="20"/>
      <c r="BL421" s="24">
        <f ca="1">IFERROR(__xludf.DUMMYFUNCTION("""COMPUTED_VALUE"""),0)</f>
        <v>0</v>
      </c>
      <c r="BM421" s="24">
        <f ca="1">IFERROR(__xludf.DUMMYFUNCTION("""COMPUTED_VALUE"""),0)</f>
        <v>0</v>
      </c>
      <c r="BN421" s="24">
        <f ca="1">IFERROR(__xludf.DUMMYFUNCTION("""COMPUTED_VALUE"""),0)</f>
        <v>0</v>
      </c>
      <c r="BO421" s="20"/>
      <c r="BP421" s="24">
        <f ca="1">IFERROR(__xludf.DUMMYFUNCTION("""COMPUTED_VALUE"""),0)</f>
        <v>0</v>
      </c>
      <c r="BQ421" s="20"/>
      <c r="BR421" s="24">
        <f ca="1">IFERROR(__xludf.DUMMYFUNCTION("""COMPUTED_VALUE"""),0)</f>
        <v>0</v>
      </c>
      <c r="BS421" s="24">
        <f ca="1">IFERROR(__xludf.DUMMYFUNCTION("""COMPUTED_VALUE"""),0)</f>
        <v>0</v>
      </c>
      <c r="BT421" s="24">
        <f ca="1">IFERROR(__xludf.DUMMYFUNCTION("""COMPUTED_VALUE"""),0)</f>
        <v>0</v>
      </c>
      <c r="BU421" s="20"/>
      <c r="BV421" s="24">
        <f ca="1">IFERROR(__xludf.DUMMYFUNCTION("""COMPUTED_VALUE"""),0)</f>
        <v>0</v>
      </c>
      <c r="BW421" s="20"/>
      <c r="BX421" s="20"/>
      <c r="BY421" s="20"/>
      <c r="BZ421" s="20"/>
      <c r="CA421" s="20"/>
      <c r="CB421" s="20"/>
      <c r="CC421" s="20"/>
      <c r="CD421" s="20"/>
      <c r="CE421" s="20"/>
      <c r="CF421" s="20"/>
      <c r="CG421" s="20"/>
      <c r="CH421" s="20"/>
      <c r="CI421" s="20"/>
      <c r="CJ421" s="20"/>
      <c r="CK421" s="20"/>
      <c r="CL421" s="20"/>
      <c r="CM421" s="20"/>
      <c r="CN421" s="20"/>
      <c r="CO421" s="20"/>
      <c r="CP421" s="20"/>
      <c r="CQ421" s="20"/>
      <c r="CR421" s="20"/>
      <c r="CS421" s="20"/>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row>
    <row r="422" spans="1:123" ht="64.5" customHeight="1" x14ac:dyDescent="0.2">
      <c r="A422" s="19"/>
      <c r="B422" s="20" t="str">
        <f ca="1">IFERROR(__xludf.DUMMYFUNCTION("""COMPUTED_VALUE"""),"г.о. Балашиха")</f>
        <v>г.о. Балашиха</v>
      </c>
      <c r="C42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2" s="24" t="str">
        <f ca="1">IFERROR(__xludf.DUMMYFUNCTION("""COMPUTED_VALUE"""),"МинЖКХ ")</f>
        <v xml:space="preserve">МинЖКХ </v>
      </c>
      <c r="E422" s="20" t="str">
        <f ca="1">IFERROR(__xludf.DUMMYFUNCTION("""COMPUTED_VALUE"""),"Капитальный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облас"&amp;"ти – 3 662,00 тыс.руб.)")</f>
        <v>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области – 3 662,00 тыс.руб.)</v>
      </c>
      <c r="F422" s="32" t="str">
        <f ca="1">IFERROR(__xludf.DUMMYFUNCTION("""COMPUTED_VALUE"""),"Сети")</f>
        <v>Сети</v>
      </c>
      <c r="G422" s="20" t="str">
        <f ca="1">IFERROR(__xludf.DUMMYFUNCTION("""COMPUTED_VALUE"""),"2019-2020")</f>
        <v>2019-2020</v>
      </c>
      <c r="H422" s="24" t="str">
        <f ca="1">IFERROR(__xludf.DUMMYFUNCTION("""COMPUTED_VALUE"""),"Вып")</f>
        <v>Вып</v>
      </c>
      <c r="I422" s="20">
        <f ca="1">IFERROR(__xludf.DUMMYFUNCTION("""COMPUTED_VALUE"""),100)</f>
        <v>100</v>
      </c>
      <c r="J422" s="20" t="str">
        <f ca="1">IFERROR(__xludf.DUMMYFUNCTION("""COMPUTED_VALUE"""),"Работы завершены.
 Кредиторская задолженность оплачена полностью.
Работы завершены. На данный момент идет итоговая приемка выполненных работ.
Тк РС не требуется, акта ввода объекта в эксплуатацию не будет. Только акт приемки. 
")</f>
        <v xml:space="preserve">Работы завершены.
 Кредиторская задолженность оплачена полностью.
Работы завершены. На данный момент идет итоговая приемка выполненных работ.
Тк РС не требуется, акта ввода объекта в эксплуатацию не будет. Только акт приемки. 
</v>
      </c>
      <c r="K422" s="20">
        <f ca="1">IFERROR(__xludf.DUMMYFUNCTION("""COMPUTED_VALUE"""),2045)</f>
        <v>2045</v>
      </c>
      <c r="L422" s="20">
        <f ca="1">IFERROR(__xludf.DUMMYFUNCTION("""COMPUTED_VALUE"""),2045)</f>
        <v>2045</v>
      </c>
      <c r="M422" s="20"/>
      <c r="N422" s="24">
        <f ca="1">IFERROR(__xludf.DUMMYFUNCTION("""COMPUTED_VALUE"""),82579.25)</f>
        <v>82579.25</v>
      </c>
      <c r="O422" s="20"/>
      <c r="P422" s="24">
        <f ca="1">IFERROR(__xludf.DUMMYFUNCTION("""COMPUTED_VALUE"""),82579.25)</f>
        <v>82579.25</v>
      </c>
      <c r="Q422" s="20"/>
      <c r="R422" s="20"/>
      <c r="S422" s="20"/>
      <c r="T422" s="20"/>
      <c r="U422" s="24">
        <f ca="1">IFERROR(__xludf.DUMMYFUNCTION("""COMPUTED_VALUE"""),9175.55999999999)</f>
        <v>9175.5599999999904</v>
      </c>
      <c r="V422" s="24">
        <f ca="1">IFERROR(__xludf.DUMMYFUNCTION("""COMPUTED_VALUE"""),0)</f>
        <v>0</v>
      </c>
      <c r="W422" s="24">
        <f ca="1">IFERROR(__xludf.DUMMYFUNCTION("""COMPUTED_VALUE"""),0.0599999999976716)</f>
        <v>5.9999999997671603E-2</v>
      </c>
      <c r="X422" s="24">
        <f ca="1">IFERROR(__xludf.DUMMYFUNCTION("""COMPUTED_VALUE"""),0)</f>
        <v>0</v>
      </c>
      <c r="Y422" s="24">
        <f ca="1">IFERROR(__xludf.DUMMYFUNCTION("""COMPUTED_VALUE"""),9175.5)</f>
        <v>9175.5</v>
      </c>
      <c r="Z422" s="24">
        <f ca="1">IFERROR(__xludf.DUMMYFUNCTION("""COMPUTED_VALUE"""),0)</f>
        <v>0</v>
      </c>
      <c r="AA422" s="24" t="str">
        <f ca="1">IFERROR(__xludf.DUMMYFUNCTION("""COMPUTED_VALUE"""),"10 3 03 60300")</f>
        <v>10 3 03 60300</v>
      </c>
      <c r="AB422" s="20">
        <f ca="1">IFERROR(__xludf.DUMMYFUNCTION("""COMPUTED_VALUE"""),521)</f>
        <v>521</v>
      </c>
      <c r="AC422" s="20" t="str">
        <f ca="1">IFERROR(__xludf.DUMMYFUNCTION("""COMPUTED_VALUE"""),"не требуется")</f>
        <v>не требуется</v>
      </c>
      <c r="AD422" s="20"/>
      <c r="AE422" s="20"/>
      <c r="AF422" s="24">
        <f ca="1">IFERROR(__xludf.DUMMYFUNCTION("""COMPUTED_VALUE"""),104172.91)</f>
        <v>104172.91</v>
      </c>
      <c r="AG422" s="24">
        <f ca="1">IFERROR(__xludf.DUMMYFUNCTION("""COMPUTED_VALUE"""),0)</f>
        <v>0</v>
      </c>
      <c r="AH422" s="24">
        <f ca="1">IFERROR(__xludf.DUMMYFUNCTION("""COMPUTED_VALUE"""),93755.61)</f>
        <v>93755.61</v>
      </c>
      <c r="AI422" s="24">
        <f ca="1">IFERROR(__xludf.DUMMYFUNCTION("""COMPUTED_VALUE"""),0)</f>
        <v>0</v>
      </c>
      <c r="AJ422" s="24">
        <f ca="1">IFERROR(__xludf.DUMMYFUNCTION("""COMPUTED_VALUE"""),10417.3)</f>
        <v>10417.299999999999</v>
      </c>
      <c r="AK422" s="24">
        <f ca="1">IFERROR(__xludf.DUMMYFUNCTION("""COMPUTED_VALUE"""),0)</f>
        <v>0</v>
      </c>
      <c r="AL422" s="24">
        <f ca="1">IFERROR(__xludf.DUMMYFUNCTION("""COMPUTED_VALUE"""),0)</f>
        <v>0</v>
      </c>
      <c r="AM422" s="20"/>
      <c r="AN422" s="24">
        <f ca="1">IFERROR(__xludf.DUMMYFUNCTION("""COMPUTED_VALUE"""),0)</f>
        <v>0</v>
      </c>
      <c r="AO422" s="24">
        <f ca="1">IFERROR(__xludf.DUMMYFUNCTION("""COMPUTED_VALUE"""),0)</f>
        <v>0</v>
      </c>
      <c r="AP422" s="24">
        <f ca="1">IFERROR(__xludf.DUMMYFUNCTION("""COMPUTED_VALUE"""),0)</f>
        <v>0</v>
      </c>
      <c r="AQ422" s="20"/>
      <c r="AR422" s="24">
        <f ca="1">IFERROR(__xludf.DUMMYFUNCTION("""COMPUTED_VALUE"""),12418.0999999999)</f>
        <v>12418.0999999999</v>
      </c>
      <c r="AS422" s="20"/>
      <c r="AT422" s="24">
        <f ca="1">IFERROR(__xludf.DUMMYFUNCTION("""COMPUTED_VALUE"""),11176.3)</f>
        <v>11176.3</v>
      </c>
      <c r="AU422" s="24">
        <f ca="1">IFERROR(__xludf.DUMMYFUNCTION("""COMPUTED_VALUE"""),0)</f>
        <v>0</v>
      </c>
      <c r="AV422" s="24">
        <f ca="1">IFERROR(__xludf.DUMMYFUNCTION("""COMPUTED_VALUE"""),1241.8)</f>
        <v>1241.8</v>
      </c>
      <c r="AW422" s="20"/>
      <c r="AX422" s="24">
        <f ca="1">IFERROR(__xludf.DUMMYFUNCTION("""COMPUTED_VALUE"""),91754.81)</f>
        <v>91754.81</v>
      </c>
      <c r="AY422" s="20"/>
      <c r="AZ422" s="24">
        <f ca="1">IFERROR(__xludf.DUMMYFUNCTION("""COMPUTED_VALUE"""),82579.31)</f>
        <v>82579.31</v>
      </c>
      <c r="BA422" s="24">
        <f ca="1">IFERROR(__xludf.DUMMYFUNCTION("""COMPUTED_VALUE"""),0)</f>
        <v>0</v>
      </c>
      <c r="BB422" s="24">
        <f ca="1">IFERROR(__xludf.DUMMYFUNCTION("""COMPUTED_VALUE"""),9175.5)</f>
        <v>9175.5</v>
      </c>
      <c r="BC422" s="20"/>
      <c r="BD422" s="24">
        <f ca="1">IFERROR(__xludf.DUMMYFUNCTION("""COMPUTED_VALUE"""),0)</f>
        <v>0</v>
      </c>
      <c r="BE422" s="20"/>
      <c r="BF422" s="24">
        <f ca="1">IFERROR(__xludf.DUMMYFUNCTION("""COMPUTED_VALUE"""),0)</f>
        <v>0</v>
      </c>
      <c r="BG422" s="24">
        <f ca="1">IFERROR(__xludf.DUMMYFUNCTION("""COMPUTED_VALUE"""),0)</f>
        <v>0</v>
      </c>
      <c r="BH422" s="24">
        <f ca="1">IFERROR(__xludf.DUMMYFUNCTION("""COMPUTED_VALUE"""),0)</f>
        <v>0</v>
      </c>
      <c r="BI422" s="20"/>
      <c r="BJ422" s="24">
        <f ca="1">IFERROR(__xludf.DUMMYFUNCTION("""COMPUTED_VALUE"""),0)</f>
        <v>0</v>
      </c>
      <c r="BK422" s="20"/>
      <c r="BL422" s="24">
        <f ca="1">IFERROR(__xludf.DUMMYFUNCTION("""COMPUTED_VALUE"""),0)</f>
        <v>0</v>
      </c>
      <c r="BM422" s="24">
        <f ca="1">IFERROR(__xludf.DUMMYFUNCTION("""COMPUTED_VALUE"""),0)</f>
        <v>0</v>
      </c>
      <c r="BN422" s="24">
        <f ca="1">IFERROR(__xludf.DUMMYFUNCTION("""COMPUTED_VALUE"""),0)</f>
        <v>0</v>
      </c>
      <c r="BO422" s="20"/>
      <c r="BP422" s="24">
        <f ca="1">IFERROR(__xludf.DUMMYFUNCTION("""COMPUTED_VALUE"""),0)</f>
        <v>0</v>
      </c>
      <c r="BQ422" s="20"/>
      <c r="BR422" s="24">
        <f ca="1">IFERROR(__xludf.DUMMYFUNCTION("""COMPUTED_VALUE"""),0)</f>
        <v>0</v>
      </c>
      <c r="BS422" s="24">
        <f ca="1">IFERROR(__xludf.DUMMYFUNCTION("""COMPUTED_VALUE"""),0)</f>
        <v>0</v>
      </c>
      <c r="BT422" s="24">
        <f ca="1">IFERROR(__xludf.DUMMYFUNCTION("""COMPUTED_VALUE"""),0)</f>
        <v>0</v>
      </c>
      <c r="BU422" s="20"/>
      <c r="BV422" s="24">
        <f ca="1">IFERROR(__xludf.DUMMYFUNCTION("""COMPUTED_VALUE"""),0)</f>
        <v>0</v>
      </c>
      <c r="BW422" s="20"/>
      <c r="BX422" s="20"/>
      <c r="BY422" s="20"/>
      <c r="BZ422" s="20"/>
      <c r="CA422" s="20"/>
      <c r="CB422" s="20"/>
      <c r="CC422" s="20"/>
      <c r="CD422" s="20"/>
      <c r="CE422" s="20"/>
      <c r="CF422" s="20"/>
      <c r="CG422" s="20"/>
      <c r="CH422" s="20" t="str">
        <f ca="1">IFERROR(__xludf.DUMMYFUNCTION("""COMPUTED_VALUE"""),"ООО ""ТПС-проект""")</f>
        <v>ООО "ТПС-проект"</v>
      </c>
      <c r="CI422" s="20"/>
      <c r="CJ422" s="26">
        <f ca="1">IFERROR(__xludf.DUMMYFUNCTION("""COMPUTED_VALUE"""),43187)</f>
        <v>43187</v>
      </c>
      <c r="CK422" s="33">
        <f ca="1">IFERROR(__xludf.DUMMYFUNCTION("""COMPUTED_VALUE"""),43279)</f>
        <v>43279</v>
      </c>
      <c r="CL422" s="20" t="str">
        <f ca="1">IFERROR(__xludf.DUMMYFUNCTION("""COMPUTED_VALUE"""),"№ 50-1-0699-18 (сметная стоимость)")</f>
        <v>№ 50-1-0699-18 (сметная стоимость)</v>
      </c>
      <c r="CM422" s="26">
        <f ca="1">IFERROR(__xludf.DUMMYFUNCTION("""COMPUTED_VALUE"""),43629)</f>
        <v>43629</v>
      </c>
      <c r="CN422" s="20" t="str">
        <f ca="1">IFERROR(__xludf.DUMMYFUNCTION("""COMPUTED_VALUE"""),"0148200005419000267")</f>
        <v>0148200005419000267</v>
      </c>
      <c r="CO422" s="26">
        <f ca="1">IFERROR(__xludf.DUMMYFUNCTION("""COMPUTED_VALUE"""),43676)</f>
        <v>43676</v>
      </c>
      <c r="CP422" s="20" t="str">
        <f ca="1">IFERROR(__xludf.DUMMYFUNCTION("""COMPUTED_VALUE"""),"01482000054190002670001")</f>
        <v>01482000054190002670001</v>
      </c>
      <c r="CQ422" s="24">
        <f ca="1">IFERROR(__xludf.DUMMYFUNCTION("""COMPUTED_VALUE"""),56582160.11)</f>
        <v>56582160.109999999</v>
      </c>
      <c r="CR422" s="20" t="str">
        <f ca="1">IFERROR(__xludf.DUMMYFUNCTION("""COMPUTED_VALUE"""),"ООО ""Балашихинский 
водоканал""")</f>
        <v>ООО "Балашихинский 
водоканал"</v>
      </c>
      <c r="CS422" s="27" t="str">
        <f ca="1">IFERROR(__xludf.DUMMYFUNCTION("""COMPUTED_VALUE"""),"https://zakupki.gov.ru/epz/contract/contractCard/document-info.html?reestrNumber=3500110667219000142")</f>
        <v>https://zakupki.gov.ru/epz/contract/contractCard/document-info.html?reestrNumber=3500110667219000142</v>
      </c>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row>
    <row r="423" spans="1:123" ht="64.5" customHeight="1" x14ac:dyDescent="0.2">
      <c r="A423" s="19"/>
      <c r="B423" s="20" t="str">
        <f ca="1">IFERROR(__xludf.DUMMYFUNCTION("""COMPUTED_VALUE"""),"г.о. Балашиха")</f>
        <v>г.о. Балашиха</v>
      </c>
      <c r="C42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3" s="24" t="str">
        <f ca="1">IFERROR(__xludf.DUMMYFUNCTION("""COMPUTED_VALUE"""),"МинЖКХ ")</f>
        <v xml:space="preserve">МинЖКХ </v>
      </c>
      <c r="E423" s="20" t="str">
        <f ca="1">IFERROR(__xludf.DUMMYFUNCTION("""COMPUTED_VALUE"""),"Капитальный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2"&amp;"22,0 тыс.руб.)
")</f>
        <v xml:space="preserv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222,0 тыс.руб.)
</v>
      </c>
      <c r="F423" s="32" t="str">
        <f ca="1">IFERROR(__xludf.DUMMYFUNCTION("""COMPUTED_VALUE"""),"Сети")</f>
        <v>Сети</v>
      </c>
      <c r="G423" s="20" t="str">
        <f ca="1">IFERROR(__xludf.DUMMYFUNCTION("""COMPUTED_VALUE"""),"2019-2020")</f>
        <v>2019-2020</v>
      </c>
      <c r="H423" s="24" t="str">
        <f ca="1">IFERROR(__xludf.DUMMYFUNCTION("""COMPUTED_VALUE"""),"СМР")</f>
        <v>СМР</v>
      </c>
      <c r="I423" s="20">
        <f ca="1">IFERROR(__xludf.DUMMYFUNCTION("""COMPUTED_VALUE"""),88)</f>
        <v>88</v>
      </c>
      <c r="J423" s="20" t="str">
        <f ca="1">IFERROR(__xludf.DUMMYFUNCTION("""COMPUTED_VALUE"""),"
Завершение работ 30.12.2020.
Неосвоение - 34 005 тыс.руб. Будут не выполнены работы по благоустройству и врезки по теплу по причине зимнего периода. Возможно ли эти перенести на 2021 год по гарантийному письму? ОМСУ отказывается переносить эти работы по "&amp;"гарантийке.
От 25.12.2020 заявка на 62 млн руб")</f>
        <v xml:space="preserve">
Завершение работ 30.12.2020.
Неосвоение - 34 005 тыс.руб. Будут не выполнены работы по благоустройству и врезки по теплу по причине зимнего периода. Возможно ли эти перенести на 2021 год по гарантийному письму? ОМСУ отказывается переносить эти работы по гарантийке.
От 25.12.2020 заявка на 62 млн руб</v>
      </c>
      <c r="K423" s="20">
        <f ca="1">IFERROR(__xludf.DUMMYFUNCTION("""COMPUTED_VALUE"""),17000)</f>
        <v>17000</v>
      </c>
      <c r="L423" s="20">
        <f ca="1">IFERROR(__xludf.DUMMYFUNCTION("""COMPUTED_VALUE"""),17000)</f>
        <v>17000</v>
      </c>
      <c r="M423" s="20"/>
      <c r="N423" s="24">
        <f ca="1">IFERROR(__xludf.DUMMYFUNCTION("""COMPUTED_VALUE"""),172120.6)</f>
        <v>172120.6</v>
      </c>
      <c r="O423" s="20"/>
      <c r="P423" s="24">
        <f ca="1">IFERROR(__xludf.DUMMYFUNCTION("""COMPUTED_VALUE"""),172120.6)</f>
        <v>172120.6</v>
      </c>
      <c r="Q423" s="20"/>
      <c r="R423" s="20"/>
      <c r="S423" s="20"/>
      <c r="T423" s="20"/>
      <c r="U423" s="24">
        <f ca="1">IFERROR(__xludf.DUMMYFUNCTION("""COMPUTED_VALUE"""),49063.1399999998)</f>
        <v>49063.139999999803</v>
      </c>
      <c r="V423" s="24">
        <f ca="1">IFERROR(__xludf.DUMMYFUNCTION("""COMPUTED_VALUE"""),0)</f>
        <v>0</v>
      </c>
      <c r="W423" s="24">
        <f ca="1">IFERROR(__xludf.DUMMYFUNCTION("""COMPUTED_VALUE"""),25105.0899999999)</f>
        <v>25105.089999999898</v>
      </c>
      <c r="X423" s="24">
        <f ca="1">IFERROR(__xludf.DUMMYFUNCTION("""COMPUTED_VALUE"""),0)</f>
        <v>0</v>
      </c>
      <c r="Y423" s="24">
        <f ca="1">IFERROR(__xludf.DUMMYFUNCTION("""COMPUTED_VALUE"""),23958.05)</f>
        <v>23958.05</v>
      </c>
      <c r="Z423" s="24">
        <f ca="1">IFERROR(__xludf.DUMMYFUNCTION("""COMPUTED_VALUE"""),0)</f>
        <v>0</v>
      </c>
      <c r="AA423" s="24" t="str">
        <f ca="1">IFERROR(__xludf.DUMMYFUNCTION("""COMPUTED_VALUE"""),"10 3 03 60300")</f>
        <v>10 3 03 60300</v>
      </c>
      <c r="AB423" s="20">
        <f ca="1">IFERROR(__xludf.DUMMYFUNCTION("""COMPUTED_VALUE"""),521)</f>
        <v>521</v>
      </c>
      <c r="AC423" s="20" t="str">
        <f ca="1">IFERROR(__xludf.DUMMYFUNCTION("""COMPUTED_VALUE"""),"не требуется")</f>
        <v>не требуется</v>
      </c>
      <c r="AD423" s="20"/>
      <c r="AE423" s="20"/>
      <c r="AF423" s="24">
        <f ca="1">IFERROR(__xludf.DUMMYFUNCTION("""COMPUTED_VALUE"""),230196.84)</f>
        <v>230196.84</v>
      </c>
      <c r="AG423" s="24">
        <f ca="1">IFERROR(__xludf.DUMMYFUNCTION("""COMPUTED_VALUE"""),0)</f>
        <v>0</v>
      </c>
      <c r="AH423" s="24">
        <f ca="1">IFERROR(__xludf.DUMMYFUNCTION("""COMPUTED_VALUE"""),205337.49)</f>
        <v>205337.49</v>
      </c>
      <c r="AI423" s="24">
        <f ca="1">IFERROR(__xludf.DUMMYFUNCTION("""COMPUTED_VALUE"""),0)</f>
        <v>0</v>
      </c>
      <c r="AJ423" s="24">
        <f ca="1">IFERROR(__xludf.DUMMYFUNCTION("""COMPUTED_VALUE"""),24859.35)</f>
        <v>24859.35</v>
      </c>
      <c r="AK423" s="24">
        <f ca="1">IFERROR(__xludf.DUMMYFUNCTION("""COMPUTED_VALUE"""),0)</f>
        <v>0</v>
      </c>
      <c r="AL423" s="24">
        <f ca="1">IFERROR(__xludf.DUMMYFUNCTION("""COMPUTED_VALUE"""),0)</f>
        <v>0</v>
      </c>
      <c r="AM423" s="20"/>
      <c r="AN423" s="24">
        <f ca="1">IFERROR(__xludf.DUMMYFUNCTION("""COMPUTED_VALUE"""),0)</f>
        <v>0</v>
      </c>
      <c r="AO423" s="24">
        <f ca="1">IFERROR(__xludf.DUMMYFUNCTION("""COMPUTED_VALUE"""),0)</f>
        <v>0</v>
      </c>
      <c r="AP423" s="24">
        <f ca="1">IFERROR(__xludf.DUMMYFUNCTION("""COMPUTED_VALUE"""),0)</f>
        <v>0</v>
      </c>
      <c r="AQ423" s="20"/>
      <c r="AR423" s="24">
        <f ca="1">IFERROR(__xludf.DUMMYFUNCTION("""COMPUTED_VALUE"""),9013.1)</f>
        <v>9013.1</v>
      </c>
      <c r="AS423" s="20"/>
      <c r="AT423" s="24">
        <f ca="1">IFERROR(__xludf.DUMMYFUNCTION("""COMPUTED_VALUE"""),8111.8)</f>
        <v>8111.8</v>
      </c>
      <c r="AU423" s="24">
        <f ca="1">IFERROR(__xludf.DUMMYFUNCTION("""COMPUTED_VALUE"""),0)</f>
        <v>0</v>
      </c>
      <c r="AV423" s="24">
        <f ca="1">IFERROR(__xludf.DUMMYFUNCTION("""COMPUTED_VALUE"""),901.3)</f>
        <v>901.3</v>
      </c>
      <c r="AW423" s="20"/>
      <c r="AX423" s="24">
        <f ca="1">IFERROR(__xludf.DUMMYFUNCTION("""COMPUTED_VALUE"""),221183.74)</f>
        <v>221183.74</v>
      </c>
      <c r="AY423" s="20"/>
      <c r="AZ423" s="24">
        <f ca="1">IFERROR(__xludf.DUMMYFUNCTION("""COMPUTED_VALUE"""),197225.69)</f>
        <v>197225.69</v>
      </c>
      <c r="BA423" s="24">
        <f ca="1">IFERROR(__xludf.DUMMYFUNCTION("""COMPUTED_VALUE"""),0)</f>
        <v>0</v>
      </c>
      <c r="BB423" s="24">
        <f ca="1">IFERROR(__xludf.DUMMYFUNCTION("""COMPUTED_VALUE"""),23958.05)</f>
        <v>23958.05</v>
      </c>
      <c r="BC423" s="20"/>
      <c r="BD423" s="24">
        <f ca="1">IFERROR(__xludf.DUMMYFUNCTION("""COMPUTED_VALUE"""),0)</f>
        <v>0</v>
      </c>
      <c r="BE423" s="20"/>
      <c r="BF423" s="24">
        <f ca="1">IFERROR(__xludf.DUMMYFUNCTION("""COMPUTED_VALUE"""),0)</f>
        <v>0</v>
      </c>
      <c r="BG423" s="24">
        <f ca="1">IFERROR(__xludf.DUMMYFUNCTION("""COMPUTED_VALUE"""),0)</f>
        <v>0</v>
      </c>
      <c r="BH423" s="24">
        <f ca="1">IFERROR(__xludf.DUMMYFUNCTION("""COMPUTED_VALUE"""),0)</f>
        <v>0</v>
      </c>
      <c r="BI423" s="20"/>
      <c r="BJ423" s="24">
        <f ca="1">IFERROR(__xludf.DUMMYFUNCTION("""COMPUTED_VALUE"""),0)</f>
        <v>0</v>
      </c>
      <c r="BK423" s="20"/>
      <c r="BL423" s="24">
        <f ca="1">IFERROR(__xludf.DUMMYFUNCTION("""COMPUTED_VALUE"""),0)</f>
        <v>0</v>
      </c>
      <c r="BM423" s="24">
        <f ca="1">IFERROR(__xludf.DUMMYFUNCTION("""COMPUTED_VALUE"""),0)</f>
        <v>0</v>
      </c>
      <c r="BN423" s="24">
        <f ca="1">IFERROR(__xludf.DUMMYFUNCTION("""COMPUTED_VALUE"""),0)</f>
        <v>0</v>
      </c>
      <c r="BO423" s="20"/>
      <c r="BP423" s="24">
        <f ca="1">IFERROR(__xludf.DUMMYFUNCTION("""COMPUTED_VALUE"""),0)</f>
        <v>0</v>
      </c>
      <c r="BQ423" s="20"/>
      <c r="BR423" s="24">
        <f ca="1">IFERROR(__xludf.DUMMYFUNCTION("""COMPUTED_VALUE"""),0)</f>
        <v>0</v>
      </c>
      <c r="BS423" s="24">
        <f ca="1">IFERROR(__xludf.DUMMYFUNCTION("""COMPUTED_VALUE"""),0)</f>
        <v>0</v>
      </c>
      <c r="BT423" s="24">
        <f ca="1">IFERROR(__xludf.DUMMYFUNCTION("""COMPUTED_VALUE"""),0)</f>
        <v>0</v>
      </c>
      <c r="BU423" s="20"/>
      <c r="BV423" s="24">
        <f ca="1">IFERROR(__xludf.DUMMYFUNCTION("""COMPUTED_VALUE"""),0)</f>
        <v>0</v>
      </c>
      <c r="BW423" s="20"/>
      <c r="BX423" s="20"/>
      <c r="BY423" s="20"/>
      <c r="BZ423" s="20"/>
      <c r="CA423" s="20"/>
      <c r="CB423" s="20"/>
      <c r="CC423" s="20"/>
      <c r="CD423" s="20"/>
      <c r="CE423" s="20"/>
      <c r="CF423" s="20"/>
      <c r="CG423" s="20"/>
      <c r="CH423" s="20" t="str">
        <f ca="1">IFERROR(__xludf.DUMMYFUNCTION("""COMPUTED_VALUE"""),"ООО ""ТПС-проект""")</f>
        <v>ООО "ТПС-проект"</v>
      </c>
      <c r="CI423" s="20"/>
      <c r="CJ423" s="26">
        <f ca="1">IFERROR(__xludf.DUMMYFUNCTION("""COMPUTED_VALUE"""),43187)</f>
        <v>43187</v>
      </c>
      <c r="CK423" s="33">
        <f ca="1">IFERROR(__xludf.DUMMYFUNCTION("""COMPUTED_VALUE"""),43251)</f>
        <v>43251</v>
      </c>
      <c r="CL423" s="20" t="str">
        <f ca="1">IFERROR(__xludf.DUMMYFUNCTION("""COMPUTED_VALUE"""),"№ 50-1-0485-18 (сметная стоимость)")</f>
        <v>№ 50-1-0485-18 (сметная стоимость)</v>
      </c>
      <c r="CM423" s="26">
        <f ca="1">IFERROR(__xludf.DUMMYFUNCTION("""COMPUTED_VALUE"""),43665)</f>
        <v>43665</v>
      </c>
      <c r="CN423" s="20" t="str">
        <f ca="1">IFERROR(__xludf.DUMMYFUNCTION("""COMPUTED_VALUE"""),"0148200005419000361")</f>
        <v>0148200005419000361</v>
      </c>
      <c r="CO423" s="26">
        <f ca="1">IFERROR(__xludf.DUMMYFUNCTION("""COMPUTED_VALUE"""),43691)</f>
        <v>43691</v>
      </c>
      <c r="CP423" s="20" t="str">
        <f ca="1">IFERROR(__xludf.DUMMYFUNCTION("""COMPUTED_VALUE"""),"01482000054190003610001")</f>
        <v>01482000054190003610001</v>
      </c>
      <c r="CQ423" s="24">
        <f ca="1">IFERROR(__xludf.DUMMYFUNCTION("""COMPUTED_VALUE"""),228370960.54)</f>
        <v>228370960.53999999</v>
      </c>
      <c r="CR423" s="20" t="str">
        <f ca="1">IFERROR(__xludf.DUMMYFUNCTION("""COMPUTED_VALUE"""),"ООО ""Балашихинский 
водоканал""")</f>
        <v>ООО "Балашихинский 
водоканал"</v>
      </c>
      <c r="CS423" s="27" t="str">
        <f ca="1">IFERROR(__xludf.DUMMYFUNCTION("""COMPUTED_VALUE"""),"https://zakupki.gov.ru/epz/contract/contractCard/document-info.html?reestrNumber=3500110667219000161")</f>
        <v>https://zakupki.gov.ru/epz/contract/contractCard/document-info.html?reestrNumber=3500110667219000161</v>
      </c>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row>
    <row r="424" spans="1:123" ht="64.5" hidden="1" customHeight="1" x14ac:dyDescent="0.2">
      <c r="A424" s="19"/>
      <c r="B424" s="20" t="str">
        <f ca="1">IFERROR(__xludf.DUMMYFUNCTION("""COMPUTED_VALUE"""),"г.о. Балашиха")</f>
        <v>г.о. Балашиха</v>
      </c>
      <c r="C42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4" s="24" t="str">
        <f ca="1">IFERROR(__xludf.DUMMYFUNCTION("""COMPUTED_VALUE"""),"Минкульт")</f>
        <v>Минкульт</v>
      </c>
      <c r="E424" s="20" t="str">
        <f ca="1">IFERROR(__xludf.DUMMYFUNCTION("""COMPUTED_VALUE"""),"Капитальный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f>
        <v>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v>
      </c>
      <c r="F424" s="32"/>
      <c r="G424" s="20" t="str">
        <f ca="1">IFERROR(__xludf.DUMMYFUNCTION("""COMPUTED_VALUE"""),"2018-2020")</f>
        <v>2018-2020</v>
      </c>
      <c r="H424" s="20"/>
      <c r="I424" s="20"/>
      <c r="J424" s="20"/>
      <c r="K424" s="20"/>
      <c r="L424" s="20"/>
      <c r="M424" s="20"/>
      <c r="N424" s="20">
        <f ca="1">IFERROR(__xludf.DUMMYFUNCTION("""COMPUTED_VALUE"""),0)</f>
        <v>0</v>
      </c>
      <c r="O424" s="20"/>
      <c r="P424" s="20"/>
      <c r="Q424" s="20"/>
      <c r="R424" s="20"/>
      <c r="S424" s="20"/>
      <c r="T424" s="20"/>
      <c r="U424" s="24">
        <f ca="1">IFERROR(__xludf.DUMMYFUNCTION("""COMPUTED_VALUE"""),70951.6)</f>
        <v>70951.600000000006</v>
      </c>
      <c r="V424" s="24">
        <f ca="1">IFERROR(__xludf.DUMMYFUNCTION("""COMPUTED_VALUE"""),0)</f>
        <v>0</v>
      </c>
      <c r="W424" s="24">
        <f ca="1">IFERROR(__xludf.DUMMYFUNCTION("""COMPUTED_VALUE"""),67408)</f>
        <v>67408</v>
      </c>
      <c r="X424" s="24">
        <f ca="1">IFERROR(__xludf.DUMMYFUNCTION("""COMPUTED_VALUE"""),0)</f>
        <v>0</v>
      </c>
      <c r="Y424" s="24">
        <f ca="1">IFERROR(__xludf.DUMMYFUNCTION("""COMPUTED_VALUE"""),3543.6)</f>
        <v>3543.6</v>
      </c>
      <c r="Z424" s="24">
        <f ca="1">IFERROR(__xludf.DUMMYFUNCTION("""COMPUTED_VALUE"""),0)</f>
        <v>0</v>
      </c>
      <c r="AA424" s="20"/>
      <c r="AB424" s="20"/>
      <c r="AC424" s="20"/>
      <c r="AD424" s="20"/>
      <c r="AE424" s="20"/>
      <c r="AF424" s="24">
        <f ca="1">IFERROR(__xludf.DUMMYFUNCTION("""COMPUTED_VALUE"""),103014.92)</f>
        <v>103014.92</v>
      </c>
      <c r="AG424" s="24">
        <f ca="1">IFERROR(__xludf.DUMMYFUNCTION("""COMPUTED_VALUE"""),0)</f>
        <v>0</v>
      </c>
      <c r="AH424" s="24">
        <f ca="1">IFERROR(__xludf.DUMMYFUNCTION("""COMPUTED_VALUE"""),96796.27)</f>
        <v>96796.27</v>
      </c>
      <c r="AI424" s="24">
        <f ca="1">IFERROR(__xludf.DUMMYFUNCTION("""COMPUTED_VALUE"""),0)</f>
        <v>0</v>
      </c>
      <c r="AJ424" s="24">
        <f ca="1">IFERROR(__xludf.DUMMYFUNCTION("""COMPUTED_VALUE"""),6218.65)</f>
        <v>6218.65</v>
      </c>
      <c r="AK424" s="24">
        <f ca="1">IFERROR(__xludf.DUMMYFUNCTION("""COMPUTED_VALUE"""),0)</f>
        <v>0</v>
      </c>
      <c r="AL424" s="24">
        <f ca="1">IFERROR(__xludf.DUMMYFUNCTION("""COMPUTED_VALUE"""),1128.3)</f>
        <v>1128.3</v>
      </c>
      <c r="AM424" s="20"/>
      <c r="AN424" s="24">
        <f ca="1">IFERROR(__xludf.DUMMYFUNCTION("""COMPUTED_VALUE"""),0)</f>
        <v>0</v>
      </c>
      <c r="AO424" s="24">
        <f ca="1">IFERROR(__xludf.DUMMYFUNCTION("""COMPUTED_VALUE"""),0)</f>
        <v>0</v>
      </c>
      <c r="AP424" s="24">
        <f ca="1">IFERROR(__xludf.DUMMYFUNCTION("""COMPUTED_VALUE"""),1128.3)</f>
        <v>1128.3</v>
      </c>
      <c r="AQ424" s="20"/>
      <c r="AR424" s="24">
        <f ca="1">IFERROR(__xludf.DUMMYFUNCTION("""COMPUTED_VALUE"""),30935.02)</f>
        <v>30935.02</v>
      </c>
      <c r="AS424" s="20"/>
      <c r="AT424" s="24">
        <f ca="1">IFERROR(__xludf.DUMMYFUNCTION("""COMPUTED_VALUE"""),29388.27)</f>
        <v>29388.27</v>
      </c>
      <c r="AU424" s="24">
        <f ca="1">IFERROR(__xludf.DUMMYFUNCTION("""COMPUTED_VALUE"""),0)</f>
        <v>0</v>
      </c>
      <c r="AV424" s="24">
        <f ca="1">IFERROR(__xludf.DUMMYFUNCTION("""COMPUTED_VALUE"""),1546.75)</f>
        <v>1546.75</v>
      </c>
      <c r="AW424" s="20"/>
      <c r="AX424" s="24">
        <f ca="1">IFERROR(__xludf.DUMMYFUNCTION("""COMPUTED_VALUE"""),70951.6)</f>
        <v>70951.600000000006</v>
      </c>
      <c r="AY424" s="20"/>
      <c r="AZ424" s="24">
        <f ca="1">IFERROR(__xludf.DUMMYFUNCTION("""COMPUTED_VALUE"""),67408)</f>
        <v>67408</v>
      </c>
      <c r="BA424" s="24">
        <f ca="1">IFERROR(__xludf.DUMMYFUNCTION("""COMPUTED_VALUE"""),0)</f>
        <v>0</v>
      </c>
      <c r="BB424" s="24">
        <f ca="1">IFERROR(__xludf.DUMMYFUNCTION("""COMPUTED_VALUE"""),3543.6)</f>
        <v>3543.6</v>
      </c>
      <c r="BC424" s="20"/>
      <c r="BD424" s="24">
        <f ca="1">IFERROR(__xludf.DUMMYFUNCTION("""COMPUTED_VALUE"""),0)</f>
        <v>0</v>
      </c>
      <c r="BE424" s="20"/>
      <c r="BF424" s="24">
        <f ca="1">IFERROR(__xludf.DUMMYFUNCTION("""COMPUTED_VALUE"""),0)</f>
        <v>0</v>
      </c>
      <c r="BG424" s="24">
        <f ca="1">IFERROR(__xludf.DUMMYFUNCTION("""COMPUTED_VALUE"""),0)</f>
        <v>0</v>
      </c>
      <c r="BH424" s="24">
        <f ca="1">IFERROR(__xludf.DUMMYFUNCTION("""COMPUTED_VALUE"""),0)</f>
        <v>0</v>
      </c>
      <c r="BI424" s="20"/>
      <c r="BJ424" s="24">
        <f ca="1">IFERROR(__xludf.DUMMYFUNCTION("""COMPUTED_VALUE"""),0)</f>
        <v>0</v>
      </c>
      <c r="BK424" s="20"/>
      <c r="BL424" s="24">
        <f ca="1">IFERROR(__xludf.DUMMYFUNCTION("""COMPUTED_VALUE"""),0)</f>
        <v>0</v>
      </c>
      <c r="BM424" s="24">
        <f ca="1">IFERROR(__xludf.DUMMYFUNCTION("""COMPUTED_VALUE"""),0)</f>
        <v>0</v>
      </c>
      <c r="BN424" s="24">
        <f ca="1">IFERROR(__xludf.DUMMYFUNCTION("""COMPUTED_VALUE"""),0)</f>
        <v>0</v>
      </c>
      <c r="BO424" s="20"/>
      <c r="BP424" s="24">
        <f ca="1">IFERROR(__xludf.DUMMYFUNCTION("""COMPUTED_VALUE"""),0)</f>
        <v>0</v>
      </c>
      <c r="BQ424" s="20"/>
      <c r="BR424" s="24">
        <f ca="1">IFERROR(__xludf.DUMMYFUNCTION("""COMPUTED_VALUE"""),0)</f>
        <v>0</v>
      </c>
      <c r="BS424" s="24">
        <f ca="1">IFERROR(__xludf.DUMMYFUNCTION("""COMPUTED_VALUE"""),0)</f>
        <v>0</v>
      </c>
      <c r="BT424" s="24">
        <f ca="1">IFERROR(__xludf.DUMMYFUNCTION("""COMPUTED_VALUE"""),0)</f>
        <v>0</v>
      </c>
      <c r="BU424" s="20"/>
      <c r="BV424" s="24">
        <f ca="1">IFERROR(__xludf.DUMMYFUNCTION("""COMPUTED_VALUE"""),0)</f>
        <v>0</v>
      </c>
      <c r="BW424" s="20"/>
      <c r="BX424" s="20"/>
      <c r="BY424" s="20"/>
      <c r="BZ424" s="20"/>
      <c r="CA424" s="20"/>
      <c r="CB424" s="20"/>
      <c r="CC424" s="20"/>
      <c r="CD424" s="20"/>
      <c r="CE424" s="20"/>
      <c r="CF424" s="20"/>
      <c r="CG424" s="20"/>
      <c r="CH424" s="20"/>
      <c r="CI424" s="20"/>
      <c r="CJ424" s="20"/>
      <c r="CK424" s="20"/>
      <c r="CL424" s="20"/>
      <c r="CM424" s="20"/>
      <c r="CN424" s="20"/>
      <c r="CO424" s="20"/>
      <c r="CP424" s="20"/>
      <c r="CQ424" s="20"/>
      <c r="CR424" s="20"/>
      <c r="CS424" s="20"/>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row>
    <row r="425" spans="1:123" ht="64.5" hidden="1" customHeight="1" x14ac:dyDescent="0.2">
      <c r="A425" s="19"/>
      <c r="B425" s="20" t="str">
        <f ca="1">IFERROR(__xludf.DUMMYFUNCTION("""COMPUTED_VALUE"""),"г.о. Балашиха")</f>
        <v>г.о. Балашиха</v>
      </c>
      <c r="C425"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25" s="24" t="str">
        <f ca="1">IFERROR(__xludf.DUMMYFUNCTION("""COMPUTED_VALUE"""),"МинЖКХ ")</f>
        <v xml:space="preserve">МинЖКХ </v>
      </c>
      <c r="E425" s="20" t="str">
        <f ca="1">IFERROR(__xludf.DUMMYFUNCTION("""COMPUTED_VALUE"""),"Строительство газовой котельной 20МВт по адресу: городской округ Балашиха, мкр. Северный, в том числе:: ПИР")</f>
        <v>Строительство газовой котельной 20МВт по адресу: городской округ Балашиха, мкр. Северный, в том числе:: ПИР</v>
      </c>
      <c r="F425" s="38" t="str">
        <f ca="1">IFERROR(__xludf.DUMMYFUNCTION("""COMPUTED_VALUE"""),"Котельная")</f>
        <v>Котельная</v>
      </c>
      <c r="G425" s="24" t="str">
        <f ca="1">IFERROR(__xludf.DUMMYFUNCTION("""COMPUTED_VALUE"""),"2018, 2021, 2022")</f>
        <v>2018, 2021, 2022</v>
      </c>
      <c r="H425" s="24" t="str">
        <f ca="1">IFERROR(__xludf.DUMMYFUNCTION("""COMPUTED_VALUE"""),"ПИР")</f>
        <v>ПИР</v>
      </c>
      <c r="I425" s="20">
        <f ca="1">IFERROR(__xludf.DUMMYFUNCTION("""COMPUTED_VALUE"""),0)</f>
        <v>0</v>
      </c>
      <c r="J425" s="20" t="str">
        <f ca="1">IFERROR(__xludf.DUMMYFUNCTION("""COMPUTED_VALUE"""),"Для проведения закупки на СМР необходимо решить вопрос с выносом сетей находящихся в собственности Мособлгаз. В свою очередь, 04.09.2020 Мособлгаз предоставил технические решения для выноса газопровода. Требуется корректировка проекта (~1,5 месяца) + МОГЭ"&amp;" (~1.5 месяца). Ориентировочный выход из МОГЭ - 25.12.2020. В бюджетной заявке ГРБС предусмотрен перенос средств финансирования (77,77 млн.руб.) на 2022 год.
В конце февраля -  откорректированный проект. Начало марта - экспертиза. Начало апреля - конкурс "&amp;"на СМР.")</f>
        <v>Для проведения закупки на СМР необходимо решить вопрос с выносом сетей находящихся в собственности Мособлгаз. В свою очередь, 04.09.2020 Мособлгаз предоставил технические решения для выноса газопровода. Требуется корректировка проекта (~1,5 месяца) + МОГЭ (~1.5 месяца). Ориентировочный выход из МОГЭ - 25.12.2020. В бюджетной заявке ГРБС предусмотрен перенос средств финансирования (77,77 млн.руб.) на 2022 год.
В конце февраля -  откорректированный проект. Начало марта - экспертиза. Начало апреля - конкурс на СМР.</v>
      </c>
      <c r="K425" s="20">
        <f ca="1">IFERROR(__xludf.DUMMYFUNCTION("""COMPUTED_VALUE"""),2045)</f>
        <v>2045</v>
      </c>
      <c r="L425" s="20">
        <f ca="1">IFERROR(__xludf.DUMMYFUNCTION("""COMPUTED_VALUE"""),2045)</f>
        <v>2045</v>
      </c>
      <c r="M425" s="20"/>
      <c r="N425" s="24">
        <f ca="1">IFERROR(__xludf.DUMMYFUNCTION("""COMPUTED_VALUE"""),0)</f>
        <v>0</v>
      </c>
      <c r="O425" s="20"/>
      <c r="P425" s="24">
        <f ca="1">IFERROR(__xludf.DUMMYFUNCTION("""COMPUTED_VALUE"""),0)</f>
        <v>0</v>
      </c>
      <c r="Q425" s="20"/>
      <c r="R425" s="20"/>
      <c r="S425" s="20"/>
      <c r="T425" s="20"/>
      <c r="U425" s="24">
        <f ca="1">IFERROR(__xludf.DUMMYFUNCTION("""COMPUTED_VALUE"""),0)</f>
        <v>0</v>
      </c>
      <c r="V425" s="24">
        <f ca="1">IFERROR(__xludf.DUMMYFUNCTION("""COMPUTED_VALUE"""),0)</f>
        <v>0</v>
      </c>
      <c r="W425" s="24">
        <f ca="1">IFERROR(__xludf.DUMMYFUNCTION("""COMPUTED_VALUE"""),0)</f>
        <v>0</v>
      </c>
      <c r="X425" s="24">
        <f ca="1">IFERROR(__xludf.DUMMYFUNCTION("""COMPUTED_VALUE"""),0)</f>
        <v>0</v>
      </c>
      <c r="Y425" s="24">
        <f ca="1">IFERROR(__xludf.DUMMYFUNCTION("""COMPUTED_VALUE"""),0)</f>
        <v>0</v>
      </c>
      <c r="Z425" s="24">
        <f ca="1">IFERROR(__xludf.DUMMYFUNCTION("""COMPUTED_VALUE"""),0)</f>
        <v>0</v>
      </c>
      <c r="AA425" s="20"/>
      <c r="AB425" s="20"/>
      <c r="AC425" s="20"/>
      <c r="AD425" s="20"/>
      <c r="AE425" s="20"/>
      <c r="AF425" s="24">
        <f ca="1">IFERROR(__xludf.DUMMYFUNCTION("""COMPUTED_VALUE"""),227468.88)</f>
        <v>227468.88</v>
      </c>
      <c r="AG425" s="24">
        <f ca="1">IFERROR(__xludf.DUMMYFUNCTION("""COMPUTED_VALUE"""),0)</f>
        <v>0</v>
      </c>
      <c r="AH425" s="24">
        <f ca="1">IFERROR(__xludf.DUMMYFUNCTION("""COMPUTED_VALUE"""),70000)</f>
        <v>70000</v>
      </c>
      <c r="AI425" s="24">
        <f ca="1">IFERROR(__xludf.DUMMYFUNCTION("""COMPUTED_VALUE"""),127522)</f>
        <v>127522</v>
      </c>
      <c r="AJ425" s="24">
        <f ca="1">IFERROR(__xludf.DUMMYFUNCTION("""COMPUTED_VALUE"""),29946.8799999999)</f>
        <v>29946.879999999899</v>
      </c>
      <c r="AK425" s="24">
        <f ca="1">IFERROR(__xludf.DUMMYFUNCTION("""COMPUTED_VALUE"""),0)</f>
        <v>0</v>
      </c>
      <c r="AL425" s="24">
        <f ca="1">IFERROR(__xludf.DUMMYFUNCTION("""COMPUTED_VALUE"""),8000)</f>
        <v>8000</v>
      </c>
      <c r="AM425" s="20"/>
      <c r="AN425" s="24">
        <f ca="1">IFERROR(__xludf.DUMMYFUNCTION("""COMPUTED_VALUE"""),0)</f>
        <v>0</v>
      </c>
      <c r="AO425" s="24">
        <f ca="1">IFERROR(__xludf.DUMMYFUNCTION("""COMPUTED_VALUE"""),0)</f>
        <v>0</v>
      </c>
      <c r="AP425" s="24">
        <f ca="1">IFERROR(__xludf.DUMMYFUNCTION("""COMPUTED_VALUE"""),8000)</f>
        <v>8000</v>
      </c>
      <c r="AQ425" s="20"/>
      <c r="AR425" s="24">
        <f ca="1">IFERROR(__xludf.DUMMYFUNCTION("""COMPUTED_VALUE"""),0)</f>
        <v>0</v>
      </c>
      <c r="AS425" s="20"/>
      <c r="AT425" s="24">
        <f ca="1">IFERROR(__xludf.DUMMYFUNCTION("""COMPUTED_VALUE"""),0)</f>
        <v>0</v>
      </c>
      <c r="AU425" s="24">
        <f ca="1">IFERROR(__xludf.DUMMYFUNCTION("""COMPUTED_VALUE"""),0)</f>
        <v>0</v>
      </c>
      <c r="AV425" s="24">
        <f ca="1">IFERROR(__xludf.DUMMYFUNCTION("""COMPUTED_VALUE"""),0)</f>
        <v>0</v>
      </c>
      <c r="AW425" s="20"/>
      <c r="AX425" s="24">
        <f ca="1">IFERROR(__xludf.DUMMYFUNCTION("""COMPUTED_VALUE"""),0)</f>
        <v>0</v>
      </c>
      <c r="AY425" s="20"/>
      <c r="AZ425" s="24">
        <f ca="1">IFERROR(__xludf.DUMMYFUNCTION("""COMPUTED_VALUE"""),0)</f>
        <v>0</v>
      </c>
      <c r="BA425" s="24">
        <f ca="1">IFERROR(__xludf.DUMMYFUNCTION("""COMPUTED_VALUE"""),0)</f>
        <v>0</v>
      </c>
      <c r="BB425" s="24">
        <f ca="1">IFERROR(__xludf.DUMMYFUNCTION("""COMPUTED_VALUE"""),0)</f>
        <v>0</v>
      </c>
      <c r="BC425" s="20"/>
      <c r="BD425" s="24">
        <f ca="1">IFERROR(__xludf.DUMMYFUNCTION("""COMPUTED_VALUE"""),141691.1)</f>
        <v>141691.1</v>
      </c>
      <c r="BE425" s="20"/>
      <c r="BF425" s="24">
        <f ca="1">IFERROR(__xludf.DUMMYFUNCTION("""COMPUTED_VALUE"""),0)</f>
        <v>0</v>
      </c>
      <c r="BG425" s="24">
        <f ca="1">IFERROR(__xludf.DUMMYFUNCTION("""COMPUTED_VALUE"""),127522)</f>
        <v>127522</v>
      </c>
      <c r="BH425" s="39">
        <f ca="1">IFERROR(__xludf.DUMMYFUNCTION("""COMPUTED_VALUE"""),14169.1)</f>
        <v>14169.1</v>
      </c>
      <c r="BI425" s="20"/>
      <c r="BJ425" s="24">
        <f ca="1">IFERROR(__xludf.DUMMYFUNCTION("""COMPUTED_VALUE"""),77777.78)</f>
        <v>77777.78</v>
      </c>
      <c r="BK425" s="20"/>
      <c r="BL425" s="24">
        <f ca="1">IFERROR(__xludf.DUMMYFUNCTION("""COMPUTED_VALUE"""),70000)</f>
        <v>70000</v>
      </c>
      <c r="BM425" s="24">
        <f ca="1">IFERROR(__xludf.DUMMYFUNCTION("""COMPUTED_VALUE"""),0)</f>
        <v>0</v>
      </c>
      <c r="BN425" s="24">
        <f ca="1">IFERROR(__xludf.DUMMYFUNCTION("""COMPUTED_VALUE"""),7777.78)</f>
        <v>7777.78</v>
      </c>
      <c r="BO425" s="20"/>
      <c r="BP425" s="24">
        <f ca="1">IFERROR(__xludf.DUMMYFUNCTION("""COMPUTED_VALUE"""),0)</f>
        <v>0</v>
      </c>
      <c r="BQ425" s="20"/>
      <c r="BR425" s="24">
        <f ca="1">IFERROR(__xludf.DUMMYFUNCTION("""COMPUTED_VALUE"""),0)</f>
        <v>0</v>
      </c>
      <c r="BS425" s="24">
        <f ca="1">IFERROR(__xludf.DUMMYFUNCTION("""COMPUTED_VALUE"""),0)</f>
        <v>0</v>
      </c>
      <c r="BT425" s="24">
        <f ca="1">IFERROR(__xludf.DUMMYFUNCTION("""COMPUTED_VALUE"""),0)</f>
        <v>0</v>
      </c>
      <c r="BU425" s="20"/>
      <c r="BV425" s="24">
        <f ca="1">IFERROR(__xludf.DUMMYFUNCTION("""COMPUTED_VALUE"""),0)</f>
        <v>0</v>
      </c>
      <c r="BW425" s="20"/>
      <c r="BX425" s="20"/>
      <c r="BY425" s="20"/>
      <c r="BZ425" s="20"/>
      <c r="CA425" s="20"/>
      <c r="CB425" s="20"/>
      <c r="CC425" s="26">
        <f ca="1">IFERROR(__xludf.DUMMYFUNCTION("""COMPUTED_VALUE"""),43217)</f>
        <v>43217</v>
      </c>
      <c r="CD425" s="20" t="str">
        <f ca="1">IFERROR(__xludf.DUMMYFUNCTION("""COMPUTED_VALUE"""),"0848300064118000195")</f>
        <v>0848300064118000195</v>
      </c>
      <c r="CE425" s="26">
        <f ca="1">IFERROR(__xludf.DUMMYFUNCTION("""COMPUTED_VALUE"""),43258)</f>
        <v>43258</v>
      </c>
      <c r="CF425" s="20" t="str">
        <f ca="1">IFERROR(__xludf.DUMMYFUNCTION("""COMPUTED_VALUE"""),"184-ДА")</f>
        <v>184-ДА</v>
      </c>
      <c r="CG425" s="20" t="str">
        <f ca="1">IFERROR(__xludf.DUMMYFUNCTION("""COMPUTED_VALUE"""),"8 000 000,00")</f>
        <v>8 000 000,00</v>
      </c>
      <c r="CH425" s="20" t="str">
        <f ca="1">IFERROR(__xludf.DUMMYFUNCTION("""COMPUTED_VALUE"""),"ОБЩЕСТВО С ОГРАНИЧЕННОЙ ОТВЕТСТВЕННОСТЬЮ ""ИТ СИНТЕЗ""")</f>
        <v>ОБЩЕСТВО С ОГРАНИЧЕННОЙ ОТВЕТСТВЕННОСТЬЮ "ИТ СИНТЕЗ"</v>
      </c>
      <c r="CI425" s="27" t="str">
        <f ca="1">IFERROR(__xludf.DUMMYFUNCTION("""COMPUTED_VALUE"""),"https://zakupki.gov.ru/epz/contract/contractCard/document-info.html?reestrNumber=3500110667218000122")</f>
        <v>https://zakupki.gov.ru/epz/contract/contractCard/document-info.html?reestrNumber=3500110667218000122</v>
      </c>
      <c r="CJ425" s="20"/>
      <c r="CK425" s="20"/>
      <c r="CL425" s="20"/>
      <c r="CM425" s="20"/>
      <c r="CN425" s="20"/>
      <c r="CO425" s="20"/>
      <c r="CP425" s="20"/>
      <c r="CQ425" s="20"/>
      <c r="CR425" s="20"/>
      <c r="CS425" s="20"/>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row>
    <row r="426" spans="1:123" ht="64.5" customHeight="1" x14ac:dyDescent="0.2">
      <c r="A426" s="19"/>
      <c r="B426" s="20" t="str">
        <f ca="1">IFERROR(__xludf.DUMMYFUNCTION("""COMPUTED_VALUE"""),"г.о. Богородский")</f>
        <v>г.о. Богородский</v>
      </c>
      <c r="C42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26" s="24" t="str">
        <f ca="1">IFERROR(__xludf.DUMMYFUNCTION("""COMPUTED_VALUE"""),"МинЖКХ ")</f>
        <v xml:space="preserve">МинЖКХ </v>
      </c>
      <c r="E426" s="20" t="str">
        <f ca="1">IFERROR(__xludf.DUMMYFUNCTION("""COMPUTED_VALUE"""),"Реконструкция котельной № 123 по адресу: Ногинский муниципальный район, с.п. Мамонтовское, военный городок Ногинск-9, в том числе:проектно-изыскательские работы")</f>
        <v>Реконструкция котельной № 123 по адресу: Ногинский муниципальный район, с.п. Мамонтовское, военный городок Ногинск-9, в том числе:проектно-изыскательские работы</v>
      </c>
      <c r="F426" s="32" t="str">
        <f ca="1">IFERROR(__xludf.DUMMYFUNCTION("""COMPUTED_VALUE"""),"Котельная")</f>
        <v>Котельная</v>
      </c>
      <c r="G426" s="20" t="str">
        <f ca="1">IFERROR(__xludf.DUMMYFUNCTION("""COMPUTED_VALUE"""),"2018-2020")</f>
        <v>2018-2020</v>
      </c>
      <c r="H426" s="24" t="str">
        <f ca="1">IFERROR(__xludf.DUMMYFUNCTION("""COMPUTED_VALUE"""),"Вып")</f>
        <v>Вып</v>
      </c>
      <c r="I426" s="20">
        <f ca="1">IFERROR(__xludf.DUMMYFUNCTION("""COMPUTED_VALUE"""),100)</f>
        <v>100</v>
      </c>
      <c r="J426" s="20" t="str">
        <f ca="1">IFERROR(__xludf.DUMMYFUNCTION("""COMPUTED_VALUE"""),"Тепловые сети: 
Общий показатель выполненных работ - 100%
Котельная:
Общий показатель выполненных работ - 100%
Завершение работ 23.12.2020
Запросить заключение МОГЭ с учетом увеличения бюджета.
")</f>
        <v xml:space="preserve">Тепловые сети: 
Общий показатель выполненных работ - 100%
Котельная:
Общий показатель выполненных работ - 100%
Завершение работ 23.12.2020
Запросить заключение МОГЭ с учетом увеличения бюджета.
</v>
      </c>
      <c r="K426" s="20">
        <f ca="1">IFERROR(__xludf.DUMMYFUNCTION("""COMPUTED_VALUE"""),6500)</f>
        <v>6500</v>
      </c>
      <c r="L426" s="20">
        <f ca="1">IFERROR(__xludf.DUMMYFUNCTION("""COMPUTED_VALUE"""),6500)</f>
        <v>6500</v>
      </c>
      <c r="M426" s="20"/>
      <c r="N426" s="24">
        <f ca="1">IFERROR(__xludf.DUMMYFUNCTION("""COMPUTED_VALUE"""),193864.79)</f>
        <v>193864.79</v>
      </c>
      <c r="O426" s="20"/>
      <c r="P426" s="24">
        <f ca="1">IFERROR(__xludf.DUMMYFUNCTION("""COMPUTED_VALUE"""),11702.79)</f>
        <v>11702.79</v>
      </c>
      <c r="Q426" s="24">
        <f ca="1">IFERROR(__xludf.DUMMYFUNCTION("""COMPUTED_VALUE"""),182162)</f>
        <v>182162</v>
      </c>
      <c r="R426" s="20"/>
      <c r="S426" s="20"/>
      <c r="T426" s="20"/>
      <c r="U426" s="24">
        <f ca="1">IFERROR(__xludf.DUMMYFUNCTION("""COMPUTED_VALUE"""),9178.72999999998)</f>
        <v>9178.7299999999796</v>
      </c>
      <c r="V426" s="24">
        <f ca="1">IFERROR(__xludf.DUMMYFUNCTION("""COMPUTED_VALUE"""),0)</f>
        <v>0</v>
      </c>
      <c r="W426" s="24">
        <f ca="1">IFERROR(__xludf.DUMMYFUNCTION("""COMPUTED_VALUE"""),447.859999999998)</f>
        <v>447.85999999999802</v>
      </c>
      <c r="X426" s="24">
        <f ca="1">IFERROR(__xludf.DUMMYFUNCTION("""COMPUTED_VALUE"""),0)</f>
        <v>0</v>
      </c>
      <c r="Y426" s="24">
        <f ca="1">IFERROR(__xludf.DUMMYFUNCTION("""COMPUTED_VALUE"""),8730.87)</f>
        <v>8730.8700000000008</v>
      </c>
      <c r="Z426" s="24">
        <f ca="1">IFERROR(__xludf.DUMMYFUNCTION("""COMPUTED_VALUE"""),0)</f>
        <v>0</v>
      </c>
      <c r="AA426" s="20" t="str">
        <f ca="1">IFERROR(__xludf.DUMMYFUNCTION("""COMPUTED_VALUE"""),"10 3 03 64460")</f>
        <v>10 3 03 64460</v>
      </c>
      <c r="AB426" s="20">
        <f ca="1">IFERROR(__xludf.DUMMYFUNCTION("""COMPUTED_VALUE"""),522)</f>
        <v>522</v>
      </c>
      <c r="AC426" s="20" t="str">
        <f ca="1">IFERROR(__xludf.DUMMYFUNCTION("""COMPUTED_VALUE"""),"не требуется")</f>
        <v>не требуется</v>
      </c>
      <c r="AD426" s="20"/>
      <c r="AE426" s="20"/>
      <c r="AF426" s="24">
        <f ca="1">IFERROR(__xludf.DUMMYFUNCTION("""COMPUTED_VALUE"""),362223.11)</f>
        <v>362223.11</v>
      </c>
      <c r="AG426" s="24">
        <f ca="1">IFERROR(__xludf.DUMMYFUNCTION("""COMPUTED_VALUE"""),0)</f>
        <v>0</v>
      </c>
      <c r="AH426" s="24">
        <f ca="1">IFERROR(__xludf.DUMMYFUNCTION("""COMPUTED_VALUE"""),162603.949999999)</f>
        <v>162603.94999999899</v>
      </c>
      <c r="AI426" s="24">
        <f ca="1">IFERROR(__xludf.DUMMYFUNCTION("""COMPUTED_VALUE"""),182162)</f>
        <v>182162</v>
      </c>
      <c r="AJ426" s="24">
        <f ca="1">IFERROR(__xludf.DUMMYFUNCTION("""COMPUTED_VALUE"""),17457.16)</f>
        <v>17457.16</v>
      </c>
      <c r="AK426" s="24">
        <f ca="1">IFERROR(__xludf.DUMMYFUNCTION("""COMPUTED_VALUE"""),0)</f>
        <v>0</v>
      </c>
      <c r="AL426" s="24">
        <f ca="1">IFERROR(__xludf.DUMMYFUNCTION("""COMPUTED_VALUE"""),23793.5)</f>
        <v>23793.5</v>
      </c>
      <c r="AM426" s="20"/>
      <c r="AN426" s="24">
        <f ca="1">IFERROR(__xludf.DUMMYFUNCTION("""COMPUTED_VALUE"""),21631.83)</f>
        <v>21631.83</v>
      </c>
      <c r="AO426" s="24">
        <f ca="1">IFERROR(__xludf.DUMMYFUNCTION("""COMPUTED_VALUE"""),0)</f>
        <v>0</v>
      </c>
      <c r="AP426" s="24">
        <f ca="1">IFERROR(__xludf.DUMMYFUNCTION("""COMPUTED_VALUE"""),2161.67)</f>
        <v>2161.67</v>
      </c>
      <c r="AQ426" s="20"/>
      <c r="AR426" s="24">
        <f ca="1">IFERROR(__xludf.DUMMYFUNCTION("""COMPUTED_VALUE"""),135386.09)</f>
        <v>135386.09</v>
      </c>
      <c r="AS426" s="20"/>
      <c r="AT426" s="24">
        <f ca="1">IFERROR(__xludf.DUMMYFUNCTION("""COMPUTED_VALUE"""),128821.47)</f>
        <v>128821.47</v>
      </c>
      <c r="AU426" s="24">
        <f ca="1">IFERROR(__xludf.DUMMYFUNCTION("""COMPUTED_VALUE"""),0)</f>
        <v>0</v>
      </c>
      <c r="AV426" s="24">
        <f ca="1">IFERROR(__xludf.DUMMYFUNCTION("""COMPUTED_VALUE"""),6564.62)</f>
        <v>6564.62</v>
      </c>
      <c r="AW426" s="20"/>
      <c r="AX426" s="24">
        <f ca="1">IFERROR(__xludf.DUMMYFUNCTION("""COMPUTED_VALUE"""),203043.52)</f>
        <v>203043.52</v>
      </c>
      <c r="AY426" s="20"/>
      <c r="AZ426" s="24">
        <f ca="1">IFERROR(__xludf.DUMMYFUNCTION("""COMPUTED_VALUE"""),12150.65)</f>
        <v>12150.65</v>
      </c>
      <c r="BA426" s="24">
        <f ca="1">IFERROR(__xludf.DUMMYFUNCTION("""COMPUTED_VALUE"""),182162)</f>
        <v>182162</v>
      </c>
      <c r="BB426" s="24">
        <f ca="1">IFERROR(__xludf.DUMMYFUNCTION("""COMPUTED_VALUE"""),8730.87)</f>
        <v>8730.8700000000008</v>
      </c>
      <c r="BC426" s="20"/>
      <c r="BD426" s="24">
        <f ca="1">IFERROR(__xludf.DUMMYFUNCTION("""COMPUTED_VALUE"""),0)</f>
        <v>0</v>
      </c>
      <c r="BE426" s="20"/>
      <c r="BF426" s="24">
        <f ca="1">IFERROR(__xludf.DUMMYFUNCTION("""COMPUTED_VALUE"""),0)</f>
        <v>0</v>
      </c>
      <c r="BG426" s="24">
        <f ca="1">IFERROR(__xludf.DUMMYFUNCTION("""COMPUTED_VALUE"""),0)</f>
        <v>0</v>
      </c>
      <c r="BH426" s="24">
        <f ca="1">IFERROR(__xludf.DUMMYFUNCTION("""COMPUTED_VALUE"""),0)</f>
        <v>0</v>
      </c>
      <c r="BI426" s="20"/>
      <c r="BJ426" s="24">
        <f ca="1">IFERROR(__xludf.DUMMYFUNCTION("""COMPUTED_VALUE"""),0)</f>
        <v>0</v>
      </c>
      <c r="BK426" s="20"/>
      <c r="BL426" s="24">
        <f ca="1">IFERROR(__xludf.DUMMYFUNCTION("""COMPUTED_VALUE"""),0)</f>
        <v>0</v>
      </c>
      <c r="BM426" s="24">
        <f ca="1">IFERROR(__xludf.DUMMYFUNCTION("""COMPUTED_VALUE"""),0)</f>
        <v>0</v>
      </c>
      <c r="BN426" s="24">
        <f ca="1">IFERROR(__xludf.DUMMYFUNCTION("""COMPUTED_VALUE"""),0)</f>
        <v>0</v>
      </c>
      <c r="BO426" s="20"/>
      <c r="BP426" s="24">
        <f ca="1">IFERROR(__xludf.DUMMYFUNCTION("""COMPUTED_VALUE"""),0)</f>
        <v>0</v>
      </c>
      <c r="BQ426" s="20"/>
      <c r="BR426" s="24">
        <f ca="1">IFERROR(__xludf.DUMMYFUNCTION("""COMPUTED_VALUE"""),0)</f>
        <v>0</v>
      </c>
      <c r="BS426" s="24">
        <f ca="1">IFERROR(__xludf.DUMMYFUNCTION("""COMPUTED_VALUE"""),0)</f>
        <v>0</v>
      </c>
      <c r="BT426" s="24">
        <f ca="1">IFERROR(__xludf.DUMMYFUNCTION("""COMPUTED_VALUE"""),0)</f>
        <v>0</v>
      </c>
      <c r="BU426" s="20"/>
      <c r="BV426" s="24">
        <f ca="1">IFERROR(__xludf.DUMMYFUNCTION("""COMPUTED_VALUE"""),0)</f>
        <v>0</v>
      </c>
      <c r="BW426" s="20"/>
      <c r="BX426" s="20"/>
      <c r="BY426" s="20"/>
      <c r="BZ426" s="20"/>
      <c r="CA426" s="20"/>
      <c r="CB426" s="20"/>
      <c r="CC426" s="26">
        <f ca="1">IFERROR(__xludf.DUMMYFUNCTION("""COMPUTED_VALUE"""),42982)</f>
        <v>42982</v>
      </c>
      <c r="CD426" s="20" t="str">
        <f ca="1">IFERROR(__xludf.DUMMYFUNCTION("""COMPUTED_VALUE"""),"0148200005417000900")</f>
        <v>0148200005417000900</v>
      </c>
      <c r="CE426" s="26">
        <f ca="1">IFERROR(__xludf.DUMMYFUNCTION("""COMPUTED_VALUE"""),43018)</f>
        <v>43018</v>
      </c>
      <c r="CF426" s="20">
        <f ca="1">IFERROR(__xludf.DUMMYFUNCTION("""COMPUTED_VALUE"""),117)</f>
        <v>117</v>
      </c>
      <c r="CG426" s="20" t="str">
        <f ca="1">IFERROR(__xludf.DUMMYFUNCTION("""COMPUTED_VALUE"""),"23 793 500,00")</f>
        <v>23 793 500,00</v>
      </c>
      <c r="CH426" s="20" t="str">
        <f ca="1">IFERROR(__xludf.DUMMYFUNCTION("""COMPUTED_VALUE"""),"ООО ""Строй Групп""")</f>
        <v>ООО "Строй Групп"</v>
      </c>
      <c r="CI426" s="27" t="str">
        <f ca="1">IFERROR(__xludf.DUMMYFUNCTION("""COMPUTED_VALUE"""),"https://zakupki.gov.ru/epz/contract/contractCard/document-info.html?reestrNumber=3503107821417000066")</f>
        <v>https://zakupki.gov.ru/epz/contract/contractCard/document-info.html?reestrNumber=3503107821417000066</v>
      </c>
      <c r="CJ426" s="26">
        <f ca="1">IFERROR(__xludf.DUMMYFUNCTION("""COMPUTED_VALUE"""),43321)</f>
        <v>43321</v>
      </c>
      <c r="CK426" s="33">
        <f ca="1">IFERROR(__xludf.DUMMYFUNCTION("""COMPUTED_VALUE"""),43385)</f>
        <v>43385</v>
      </c>
      <c r="CL426" s="20" t="str">
        <f ca="1">IFERROR(__xludf.DUMMYFUNCTION("""COMPUTED_VALUE"""),"№ 50-1-1-3-1448-18")</f>
        <v>№ 50-1-1-3-1448-18</v>
      </c>
      <c r="CM426" s="26">
        <f ca="1">IFERROR(__xludf.DUMMYFUNCTION("""COMPUTED_VALUE"""),43581)</f>
        <v>43581</v>
      </c>
      <c r="CN426" s="20" t="str">
        <f ca="1">IFERROR(__xludf.DUMMYFUNCTION("""COMPUTED_VALUE"""),"0148200005419000124")</f>
        <v>0148200005419000124</v>
      </c>
      <c r="CO426" s="26">
        <f ca="1">IFERROR(__xludf.DUMMYFUNCTION("""COMPUTED_VALUE"""),43633)</f>
        <v>43633</v>
      </c>
      <c r="CP426" s="20">
        <f ca="1">IFERROR(__xludf.DUMMYFUNCTION("""COMPUTED_VALUE"""),49)</f>
        <v>49</v>
      </c>
      <c r="CQ426" s="24">
        <f ca="1">IFERROR(__xludf.DUMMYFUNCTION("""COMPUTED_VALUE"""),297411181.84)</f>
        <v>297411181.83999997</v>
      </c>
      <c r="CR426" s="20" t="str">
        <f ca="1">IFERROR(__xludf.DUMMYFUNCTION("""COMPUTED_VALUE"""),"ООО ""Строй Групп""")</f>
        <v>ООО "Строй Групп"</v>
      </c>
      <c r="CS426" s="27" t="str">
        <f ca="1">IFERROR(__xludf.DUMMYFUNCTION("""COMPUTED_VALUE"""),"https://zakupki.gov.ru/epz/contract/contractCard/document-info.html?reestrNumber=3503107821419000029")</f>
        <v>https://zakupki.gov.ru/epz/contract/contractCard/document-info.html?reestrNumber=3503107821419000029</v>
      </c>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row>
    <row r="427" spans="1:123" ht="64.5" hidden="1" customHeight="1" x14ac:dyDescent="0.2">
      <c r="A427" s="19"/>
      <c r="B427" s="20" t="str">
        <f ca="1">IFERROR(__xludf.DUMMYFUNCTION("""COMPUTED_VALUE"""),"г.о. Богородский")</f>
        <v>г.о. Богородский</v>
      </c>
      <c r="C427"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7" s="24" t="str">
        <f ca="1">IFERROR(__xludf.DUMMYFUNCTION("""COMPUTED_VALUE"""),"МинЖКХ ")</f>
        <v xml:space="preserve">МинЖКХ </v>
      </c>
      <c r="E427" s="20" t="str">
        <f ca="1">IFERROR(__xludf.DUMMYFUNCTION("""COMPUTED_VALUE"""),"Капитальный ремонт наружных тепловых сетей и ГВС в в/г Ногинск-9 Богородского городского округа Московской области")</f>
        <v>Капитальный ремонт наружных тепловых сетей и ГВС в в/г Ногинск-9 Богородского городского округа Московской области</v>
      </c>
      <c r="F427" s="32" t="str">
        <f ca="1">IFERROR(__xludf.DUMMYFUNCTION("""COMPUTED_VALUE"""),"Сети")</f>
        <v>Сети</v>
      </c>
      <c r="G427" s="20">
        <f ca="1">IFERROR(__xludf.DUMMYFUNCTION("""COMPUTED_VALUE"""),2021)</f>
        <v>2021</v>
      </c>
      <c r="H427" s="20"/>
      <c r="I427" s="20">
        <f ca="1">IFERROR(__xludf.DUMMYFUNCTION("""COMPUTED_VALUE"""),0)</f>
        <v>0</v>
      </c>
      <c r="J427" s="20" t="str">
        <f ca="1">IFERROR(__xludf.DUMMYFUNCTION("""COMPUTED_VALUE"""),"Лимиты заблокированы МЭФ по причине Covid-19. В данный момент Администрация готова размещать закупку на капремонт. Имеются сметы и заключение МОГЭ. МинЖКХ не согласовывает конкурсную документацию по причине блокировки лимитов МЭФ.
")</f>
        <v xml:space="preserve">Лимиты заблокированы МЭФ по причине Covid-19. В данный момент Администрация готова размещать закупку на капремонт. Имеются сметы и заключение МОГЭ. МинЖКХ не согласовывает конкурсную документацию по причине блокировки лимитов МЭФ.
</v>
      </c>
      <c r="K427" s="20">
        <f ca="1">IFERROR(__xludf.DUMMYFUNCTION("""COMPUTED_VALUE"""),6500)</f>
        <v>6500</v>
      </c>
      <c r="L427" s="20">
        <f ca="1">IFERROR(__xludf.DUMMYFUNCTION("""COMPUTED_VALUE"""),6500)</f>
        <v>6500</v>
      </c>
      <c r="M427" s="20"/>
      <c r="N427" s="24">
        <f ca="1">IFERROR(__xludf.DUMMYFUNCTION("""COMPUTED_VALUE"""),0)</f>
        <v>0</v>
      </c>
      <c r="O427" s="20"/>
      <c r="P427" s="24">
        <f ca="1">IFERROR(__xludf.DUMMYFUNCTION("""COMPUTED_VALUE"""),0)</f>
        <v>0</v>
      </c>
      <c r="Q427" s="20"/>
      <c r="R427" s="20"/>
      <c r="S427" s="20"/>
      <c r="T427" s="20"/>
      <c r="U427" s="24">
        <f ca="1">IFERROR(__xludf.DUMMYFUNCTION("""COMPUTED_VALUE"""),0)</f>
        <v>0</v>
      </c>
      <c r="V427" s="24">
        <f ca="1">IFERROR(__xludf.DUMMYFUNCTION("""COMPUTED_VALUE"""),0)</f>
        <v>0</v>
      </c>
      <c r="W427" s="24">
        <f ca="1">IFERROR(__xludf.DUMMYFUNCTION("""COMPUTED_VALUE"""),0)</f>
        <v>0</v>
      </c>
      <c r="X427" s="24">
        <f ca="1">IFERROR(__xludf.DUMMYFUNCTION("""COMPUTED_VALUE"""),0)</f>
        <v>0</v>
      </c>
      <c r="Y427" s="24">
        <f ca="1">IFERROR(__xludf.DUMMYFUNCTION("""COMPUTED_VALUE"""),0)</f>
        <v>0</v>
      </c>
      <c r="Z427" s="24">
        <f ca="1">IFERROR(__xludf.DUMMYFUNCTION("""COMPUTED_VALUE"""),0)</f>
        <v>0</v>
      </c>
      <c r="AA427" s="20"/>
      <c r="AB427" s="20"/>
      <c r="AC427" s="20"/>
      <c r="AD427" s="20"/>
      <c r="AE427" s="20"/>
      <c r="AF427" s="24">
        <f ca="1">IFERROR(__xludf.DUMMYFUNCTION("""COMPUTED_VALUE"""),36390.48)</f>
        <v>36390.480000000003</v>
      </c>
      <c r="AG427" s="24">
        <f ca="1">IFERROR(__xludf.DUMMYFUNCTION("""COMPUTED_VALUE"""),0)</f>
        <v>0</v>
      </c>
      <c r="AH427" s="24">
        <f ca="1">IFERROR(__xludf.DUMMYFUNCTION("""COMPUTED_VALUE"""),34571)</f>
        <v>34571</v>
      </c>
      <c r="AI427" s="24">
        <f ca="1">IFERROR(__xludf.DUMMYFUNCTION("""COMPUTED_VALUE"""),0)</f>
        <v>0</v>
      </c>
      <c r="AJ427" s="24">
        <f ca="1">IFERROR(__xludf.DUMMYFUNCTION("""COMPUTED_VALUE"""),1819.48)</f>
        <v>1819.48</v>
      </c>
      <c r="AK427" s="24">
        <f ca="1">IFERROR(__xludf.DUMMYFUNCTION("""COMPUTED_VALUE"""),0)</f>
        <v>0</v>
      </c>
      <c r="AL427" s="24">
        <f ca="1">IFERROR(__xludf.DUMMYFUNCTION("""COMPUTED_VALUE"""),0)</f>
        <v>0</v>
      </c>
      <c r="AM427" s="20"/>
      <c r="AN427" s="24">
        <f ca="1">IFERROR(__xludf.DUMMYFUNCTION("""COMPUTED_VALUE"""),0)</f>
        <v>0</v>
      </c>
      <c r="AO427" s="24">
        <f ca="1">IFERROR(__xludf.DUMMYFUNCTION("""COMPUTED_VALUE"""),0)</f>
        <v>0</v>
      </c>
      <c r="AP427" s="24">
        <f ca="1">IFERROR(__xludf.DUMMYFUNCTION("""COMPUTED_VALUE"""),0)</f>
        <v>0</v>
      </c>
      <c r="AQ427" s="20"/>
      <c r="AR427" s="24">
        <f ca="1">IFERROR(__xludf.DUMMYFUNCTION("""COMPUTED_VALUE"""),0)</f>
        <v>0</v>
      </c>
      <c r="AS427" s="20"/>
      <c r="AT427" s="24">
        <f ca="1">IFERROR(__xludf.DUMMYFUNCTION("""COMPUTED_VALUE"""),0)</f>
        <v>0</v>
      </c>
      <c r="AU427" s="24">
        <f ca="1">IFERROR(__xludf.DUMMYFUNCTION("""COMPUTED_VALUE"""),0)</f>
        <v>0</v>
      </c>
      <c r="AV427" s="24">
        <f ca="1">IFERROR(__xludf.DUMMYFUNCTION("""COMPUTED_VALUE"""),0)</f>
        <v>0</v>
      </c>
      <c r="AW427" s="20"/>
      <c r="AX427" s="24">
        <f ca="1">IFERROR(__xludf.DUMMYFUNCTION("""COMPUTED_VALUE"""),0)</f>
        <v>0</v>
      </c>
      <c r="AY427" s="20"/>
      <c r="AZ427" s="24">
        <f ca="1">IFERROR(__xludf.DUMMYFUNCTION("""COMPUTED_VALUE"""),0)</f>
        <v>0</v>
      </c>
      <c r="BA427" s="24">
        <f ca="1">IFERROR(__xludf.DUMMYFUNCTION("""COMPUTED_VALUE"""),0)</f>
        <v>0</v>
      </c>
      <c r="BB427" s="24">
        <f ca="1">IFERROR(__xludf.DUMMYFUNCTION("""COMPUTED_VALUE"""),0)</f>
        <v>0</v>
      </c>
      <c r="BC427" s="20"/>
      <c r="BD427" s="24">
        <f ca="1">IFERROR(__xludf.DUMMYFUNCTION("""COMPUTED_VALUE"""),36390.48)</f>
        <v>36390.480000000003</v>
      </c>
      <c r="BE427" s="20"/>
      <c r="BF427" s="24">
        <f ca="1">IFERROR(__xludf.DUMMYFUNCTION("""COMPUTED_VALUE"""),34571)</f>
        <v>34571</v>
      </c>
      <c r="BG427" s="24">
        <f ca="1">IFERROR(__xludf.DUMMYFUNCTION("""COMPUTED_VALUE"""),0)</f>
        <v>0</v>
      </c>
      <c r="BH427" s="24">
        <f ca="1">IFERROR(__xludf.DUMMYFUNCTION("""COMPUTED_VALUE"""),1819.48)</f>
        <v>1819.48</v>
      </c>
      <c r="BI427" s="20"/>
      <c r="BJ427" s="24">
        <f ca="1">IFERROR(__xludf.DUMMYFUNCTION("""COMPUTED_VALUE"""),0)</f>
        <v>0</v>
      </c>
      <c r="BK427" s="20"/>
      <c r="BL427" s="24">
        <f ca="1">IFERROR(__xludf.DUMMYFUNCTION("""COMPUTED_VALUE"""),0)</f>
        <v>0</v>
      </c>
      <c r="BM427" s="24">
        <f ca="1">IFERROR(__xludf.DUMMYFUNCTION("""COMPUTED_VALUE"""),0)</f>
        <v>0</v>
      </c>
      <c r="BN427" s="24">
        <f ca="1">IFERROR(__xludf.DUMMYFUNCTION("""COMPUTED_VALUE"""),0)</f>
        <v>0</v>
      </c>
      <c r="BO427" s="20"/>
      <c r="BP427" s="24">
        <f ca="1">IFERROR(__xludf.DUMMYFUNCTION("""COMPUTED_VALUE"""),0)</f>
        <v>0</v>
      </c>
      <c r="BQ427" s="20"/>
      <c r="BR427" s="24">
        <f ca="1">IFERROR(__xludf.DUMMYFUNCTION("""COMPUTED_VALUE"""),0)</f>
        <v>0</v>
      </c>
      <c r="BS427" s="24">
        <f ca="1">IFERROR(__xludf.DUMMYFUNCTION("""COMPUTED_VALUE"""),0)</f>
        <v>0</v>
      </c>
      <c r="BT427" s="24">
        <f ca="1">IFERROR(__xludf.DUMMYFUNCTION("""COMPUTED_VALUE"""),0)</f>
        <v>0</v>
      </c>
      <c r="BU427" s="20"/>
      <c r="BV427" s="24">
        <f ca="1">IFERROR(__xludf.DUMMYFUNCTION("""COMPUTED_VALUE"""),0)</f>
        <v>0</v>
      </c>
      <c r="BW427" s="20"/>
      <c r="BX427" s="20"/>
      <c r="BY427" s="20"/>
      <c r="BZ427" s="20"/>
      <c r="CA427" s="20"/>
      <c r="CB427" s="20"/>
      <c r="CC427" s="20"/>
      <c r="CD427" s="20"/>
      <c r="CE427" s="20"/>
      <c r="CF427" s="20"/>
      <c r="CG427" s="20"/>
      <c r="CH427" s="20"/>
      <c r="CI427" s="20"/>
      <c r="CJ427" s="20"/>
      <c r="CK427" s="20"/>
      <c r="CL427" s="20"/>
      <c r="CM427" s="20"/>
      <c r="CN427" s="20"/>
      <c r="CO427" s="20" t="str">
        <f ca="1">IFERROR(__xludf.DUMMYFUNCTION("""COMPUTED_VALUE"""),"Отменен")</f>
        <v>Отменен</v>
      </c>
      <c r="CP427" s="20"/>
      <c r="CQ427" s="20"/>
      <c r="CR427" s="20"/>
      <c r="CS427" s="20"/>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row>
    <row r="428" spans="1:123" ht="64.5" hidden="1" customHeight="1" x14ac:dyDescent="0.2">
      <c r="A428" s="19"/>
      <c r="B428" s="20" t="str">
        <f ca="1">IFERROR(__xludf.DUMMYFUNCTION("""COMPUTED_VALUE"""),"г.о. Богородский")</f>
        <v>г.о. Богородский</v>
      </c>
      <c r="C428"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8" s="24" t="str">
        <f ca="1">IFERROR(__xludf.DUMMYFUNCTION("""COMPUTED_VALUE"""),"МинЖКХ ")</f>
        <v xml:space="preserve">МинЖКХ </v>
      </c>
      <c r="E428" s="20" t="str">
        <f ca="1">IFERROR(__xludf.DUMMYFUNCTION("""COMPUTED_VALUE"""),"Капитальный ремонт наружных водопроводных сетей в в/г Ногинск-9 Богородского городского округа Московской области")</f>
        <v>Капитальный ремонт наружных водопроводных сетей в в/г Ногинск-9 Богородского городского округа Московской области</v>
      </c>
      <c r="F428" s="32" t="str">
        <f ca="1">IFERROR(__xludf.DUMMYFUNCTION("""COMPUTED_VALUE"""),"Сети")</f>
        <v>Сети</v>
      </c>
      <c r="G428" s="20">
        <f ca="1">IFERROR(__xludf.DUMMYFUNCTION("""COMPUTED_VALUE"""),2021)</f>
        <v>2021</v>
      </c>
      <c r="H428" s="20"/>
      <c r="I428" s="20">
        <f ca="1">IFERROR(__xludf.DUMMYFUNCTION("""COMPUTED_VALUE"""),0)</f>
        <v>0</v>
      </c>
      <c r="J428" s="20" t="str">
        <f ca="1">IFERROR(__xludf.DUMMYFUNCTION("""COMPUTED_VALUE"""),"Лимиты заблокированы МЭФ по причине Covid-19. В данный момент Администрация готова размещать закупку на капремонт. Имеются сметы и заключение МОГЭ. МинЖКХ не согласовывает конкурсную документацию по причине блокировки лимитов МЭФ.")</f>
        <v>Лимиты заблокированы МЭФ по причине Covid-19. В данный момент Администрация готова размещать закупку на капремонт. Имеются сметы и заключение МОГЭ. МинЖКХ не согласовывает конкурсную документацию по причине блокировки лимитов МЭФ.</v>
      </c>
      <c r="K428" s="20">
        <f ca="1">IFERROR(__xludf.DUMMYFUNCTION("""COMPUTED_VALUE"""),6500)</f>
        <v>6500</v>
      </c>
      <c r="L428" s="20">
        <f ca="1">IFERROR(__xludf.DUMMYFUNCTION("""COMPUTED_VALUE"""),6500)</f>
        <v>6500</v>
      </c>
      <c r="M428" s="20"/>
      <c r="N428" s="24">
        <f ca="1">IFERROR(__xludf.DUMMYFUNCTION("""COMPUTED_VALUE"""),0)</f>
        <v>0</v>
      </c>
      <c r="O428" s="20"/>
      <c r="P428" s="24">
        <f ca="1">IFERROR(__xludf.DUMMYFUNCTION("""COMPUTED_VALUE"""),0)</f>
        <v>0</v>
      </c>
      <c r="Q428" s="20"/>
      <c r="R428" s="20"/>
      <c r="S428" s="20"/>
      <c r="T428" s="20"/>
      <c r="U428" s="24">
        <f ca="1">IFERROR(__xludf.DUMMYFUNCTION("""COMPUTED_VALUE"""),0)</f>
        <v>0</v>
      </c>
      <c r="V428" s="24">
        <f ca="1">IFERROR(__xludf.DUMMYFUNCTION("""COMPUTED_VALUE"""),0)</f>
        <v>0</v>
      </c>
      <c r="W428" s="24">
        <f ca="1">IFERROR(__xludf.DUMMYFUNCTION("""COMPUTED_VALUE"""),0)</f>
        <v>0</v>
      </c>
      <c r="X428" s="24">
        <f ca="1">IFERROR(__xludf.DUMMYFUNCTION("""COMPUTED_VALUE"""),0)</f>
        <v>0</v>
      </c>
      <c r="Y428" s="24">
        <f ca="1">IFERROR(__xludf.DUMMYFUNCTION("""COMPUTED_VALUE"""),0)</f>
        <v>0</v>
      </c>
      <c r="Z428" s="24">
        <f ca="1">IFERROR(__xludf.DUMMYFUNCTION("""COMPUTED_VALUE"""),0)</f>
        <v>0</v>
      </c>
      <c r="AA428" s="20"/>
      <c r="AB428" s="20"/>
      <c r="AC428" s="20"/>
      <c r="AD428" s="20"/>
      <c r="AE428" s="20"/>
      <c r="AF428" s="24">
        <f ca="1">IFERROR(__xludf.DUMMYFUNCTION("""COMPUTED_VALUE"""),34408.03)</f>
        <v>34408.03</v>
      </c>
      <c r="AG428" s="24">
        <f ca="1">IFERROR(__xludf.DUMMYFUNCTION("""COMPUTED_VALUE"""),0)</f>
        <v>0</v>
      </c>
      <c r="AH428" s="24">
        <f ca="1">IFERROR(__xludf.DUMMYFUNCTION("""COMPUTED_VALUE"""),32687.77)</f>
        <v>32687.77</v>
      </c>
      <c r="AI428" s="24">
        <f ca="1">IFERROR(__xludf.DUMMYFUNCTION("""COMPUTED_VALUE"""),0)</f>
        <v>0</v>
      </c>
      <c r="AJ428" s="24">
        <f ca="1">IFERROR(__xludf.DUMMYFUNCTION("""COMPUTED_VALUE"""),1720.26)</f>
        <v>1720.26</v>
      </c>
      <c r="AK428" s="24">
        <f ca="1">IFERROR(__xludf.DUMMYFUNCTION("""COMPUTED_VALUE"""),0)</f>
        <v>0</v>
      </c>
      <c r="AL428" s="24">
        <f ca="1">IFERROR(__xludf.DUMMYFUNCTION("""COMPUTED_VALUE"""),0)</f>
        <v>0</v>
      </c>
      <c r="AM428" s="20"/>
      <c r="AN428" s="24">
        <f ca="1">IFERROR(__xludf.DUMMYFUNCTION("""COMPUTED_VALUE"""),0)</f>
        <v>0</v>
      </c>
      <c r="AO428" s="24">
        <f ca="1">IFERROR(__xludf.DUMMYFUNCTION("""COMPUTED_VALUE"""),0)</f>
        <v>0</v>
      </c>
      <c r="AP428" s="24">
        <f ca="1">IFERROR(__xludf.DUMMYFUNCTION("""COMPUTED_VALUE"""),0)</f>
        <v>0</v>
      </c>
      <c r="AQ428" s="20"/>
      <c r="AR428" s="24">
        <f ca="1">IFERROR(__xludf.DUMMYFUNCTION("""COMPUTED_VALUE"""),0)</f>
        <v>0</v>
      </c>
      <c r="AS428" s="20"/>
      <c r="AT428" s="24">
        <f ca="1">IFERROR(__xludf.DUMMYFUNCTION("""COMPUTED_VALUE"""),0)</f>
        <v>0</v>
      </c>
      <c r="AU428" s="24">
        <f ca="1">IFERROR(__xludf.DUMMYFUNCTION("""COMPUTED_VALUE"""),0)</f>
        <v>0</v>
      </c>
      <c r="AV428" s="24">
        <f ca="1">IFERROR(__xludf.DUMMYFUNCTION("""COMPUTED_VALUE"""),0)</f>
        <v>0</v>
      </c>
      <c r="AW428" s="20"/>
      <c r="AX428" s="24">
        <f ca="1">IFERROR(__xludf.DUMMYFUNCTION("""COMPUTED_VALUE"""),0)</f>
        <v>0</v>
      </c>
      <c r="AY428" s="20"/>
      <c r="AZ428" s="24">
        <f ca="1">IFERROR(__xludf.DUMMYFUNCTION("""COMPUTED_VALUE"""),0)</f>
        <v>0</v>
      </c>
      <c r="BA428" s="24">
        <f ca="1">IFERROR(__xludf.DUMMYFUNCTION("""COMPUTED_VALUE"""),0)</f>
        <v>0</v>
      </c>
      <c r="BB428" s="24">
        <f ca="1">IFERROR(__xludf.DUMMYFUNCTION("""COMPUTED_VALUE"""),0)</f>
        <v>0</v>
      </c>
      <c r="BC428" s="20"/>
      <c r="BD428" s="24">
        <f ca="1">IFERROR(__xludf.DUMMYFUNCTION("""COMPUTED_VALUE"""),34408.03)</f>
        <v>34408.03</v>
      </c>
      <c r="BE428" s="20"/>
      <c r="BF428" s="24">
        <f ca="1">IFERROR(__xludf.DUMMYFUNCTION("""COMPUTED_VALUE"""),32687.77)</f>
        <v>32687.77</v>
      </c>
      <c r="BG428" s="24">
        <f ca="1">IFERROR(__xludf.DUMMYFUNCTION("""COMPUTED_VALUE"""),0)</f>
        <v>0</v>
      </c>
      <c r="BH428" s="24">
        <f ca="1">IFERROR(__xludf.DUMMYFUNCTION("""COMPUTED_VALUE"""),1720.26)</f>
        <v>1720.26</v>
      </c>
      <c r="BI428" s="20"/>
      <c r="BJ428" s="24">
        <f ca="1">IFERROR(__xludf.DUMMYFUNCTION("""COMPUTED_VALUE"""),0)</f>
        <v>0</v>
      </c>
      <c r="BK428" s="20"/>
      <c r="BL428" s="24">
        <f ca="1">IFERROR(__xludf.DUMMYFUNCTION("""COMPUTED_VALUE"""),0)</f>
        <v>0</v>
      </c>
      <c r="BM428" s="24">
        <f ca="1">IFERROR(__xludf.DUMMYFUNCTION("""COMPUTED_VALUE"""),0)</f>
        <v>0</v>
      </c>
      <c r="BN428" s="24">
        <f ca="1">IFERROR(__xludf.DUMMYFUNCTION("""COMPUTED_VALUE"""),0)</f>
        <v>0</v>
      </c>
      <c r="BO428" s="20"/>
      <c r="BP428" s="24">
        <f ca="1">IFERROR(__xludf.DUMMYFUNCTION("""COMPUTED_VALUE"""),0)</f>
        <v>0</v>
      </c>
      <c r="BQ428" s="20"/>
      <c r="BR428" s="24">
        <f ca="1">IFERROR(__xludf.DUMMYFUNCTION("""COMPUTED_VALUE"""),0)</f>
        <v>0</v>
      </c>
      <c r="BS428" s="24">
        <f ca="1">IFERROR(__xludf.DUMMYFUNCTION("""COMPUTED_VALUE"""),0)</f>
        <v>0</v>
      </c>
      <c r="BT428" s="24">
        <f ca="1">IFERROR(__xludf.DUMMYFUNCTION("""COMPUTED_VALUE"""),0)</f>
        <v>0</v>
      </c>
      <c r="BU428" s="20"/>
      <c r="BV428" s="24">
        <f ca="1">IFERROR(__xludf.DUMMYFUNCTION("""COMPUTED_VALUE"""),0)</f>
        <v>0</v>
      </c>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row>
    <row r="429" spans="1:123" ht="64.5" hidden="1" customHeight="1" x14ac:dyDescent="0.2">
      <c r="A429" s="19"/>
      <c r="B429" s="20" t="str">
        <f ca="1">IFERROR(__xludf.DUMMYFUNCTION("""COMPUTED_VALUE"""),"г.о. Электросталь")</f>
        <v>г.о. Электросталь</v>
      </c>
      <c r="C42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9" s="24" t="str">
        <f ca="1">IFERROR(__xludf.DUMMYFUNCTION("""COMPUTED_VALUE"""),"МинЖКХ ")</f>
        <v xml:space="preserve">МинЖКХ </v>
      </c>
      <c r="E429" s="20" t="str">
        <f ca="1">IFERROR(__xludf.DUMMYFUNCTION("""COMPUTED_VALUE"""),"Капитальный ремонт наружных сетей канализации сельское поселение Степановское, село Всеволодово военный городок Ногинск-5")</f>
        <v>Капитальный ремонт наружных сетей канализации сельское поселение Степановское, село Всеволодово военный городок Ногинск-5</v>
      </c>
      <c r="F429" s="32" t="str">
        <f ca="1">IFERROR(__xludf.DUMMYFUNCTION("""COMPUTED_VALUE"""),"Сети")</f>
        <v>Сети</v>
      </c>
      <c r="G429" s="20">
        <f ca="1">IFERROR(__xludf.DUMMYFUNCTION("""COMPUTED_VALUE"""),2019)</f>
        <v>2019</v>
      </c>
      <c r="H429" s="20"/>
      <c r="I429" s="20"/>
      <c r="J429" s="20"/>
      <c r="K429" s="20"/>
      <c r="L429" s="20"/>
      <c r="M429" s="20"/>
      <c r="N429" s="20">
        <f ca="1">IFERROR(__xludf.DUMMYFUNCTION("""COMPUTED_VALUE"""),0)</f>
        <v>0</v>
      </c>
      <c r="O429" s="20"/>
      <c r="P429" s="20"/>
      <c r="Q429" s="20"/>
      <c r="R429" s="20"/>
      <c r="S429" s="20"/>
      <c r="T429" s="20"/>
      <c r="U429" s="24">
        <f ca="1">IFERROR(__xludf.DUMMYFUNCTION("""COMPUTED_VALUE"""),0)</f>
        <v>0</v>
      </c>
      <c r="V429" s="24">
        <f ca="1">IFERROR(__xludf.DUMMYFUNCTION("""COMPUTED_VALUE"""),0)</f>
        <v>0</v>
      </c>
      <c r="W429" s="24">
        <f ca="1">IFERROR(__xludf.DUMMYFUNCTION("""COMPUTED_VALUE"""),0)</f>
        <v>0</v>
      </c>
      <c r="X429" s="24">
        <f ca="1">IFERROR(__xludf.DUMMYFUNCTION("""COMPUTED_VALUE"""),0)</f>
        <v>0</v>
      </c>
      <c r="Y429" s="24">
        <f ca="1">IFERROR(__xludf.DUMMYFUNCTION("""COMPUTED_VALUE"""),0)</f>
        <v>0</v>
      </c>
      <c r="Z429" s="24">
        <f ca="1">IFERROR(__xludf.DUMMYFUNCTION("""COMPUTED_VALUE"""),0)</f>
        <v>0</v>
      </c>
      <c r="AA429" s="20"/>
      <c r="AB429" s="20"/>
      <c r="AC429" s="20"/>
      <c r="AD429" s="20"/>
      <c r="AE429" s="20"/>
      <c r="AF429" s="24">
        <f ca="1">IFERROR(__xludf.DUMMYFUNCTION("""COMPUTED_VALUE"""),89495.06)</f>
        <v>89495.06</v>
      </c>
      <c r="AG429" s="24">
        <f ca="1">IFERROR(__xludf.DUMMYFUNCTION("""COMPUTED_VALUE"""),0)</f>
        <v>0</v>
      </c>
      <c r="AH429" s="24">
        <f ca="1">IFERROR(__xludf.DUMMYFUNCTION("""COMPUTED_VALUE"""),85020.68)</f>
        <v>85020.68</v>
      </c>
      <c r="AI429" s="24">
        <f ca="1">IFERROR(__xludf.DUMMYFUNCTION("""COMPUTED_VALUE"""),0)</f>
        <v>0</v>
      </c>
      <c r="AJ429" s="24">
        <f ca="1">IFERROR(__xludf.DUMMYFUNCTION("""COMPUTED_VALUE"""),4474.38)</f>
        <v>4474.38</v>
      </c>
      <c r="AK429" s="24">
        <f ca="1">IFERROR(__xludf.DUMMYFUNCTION("""COMPUTED_VALUE"""),0)</f>
        <v>0</v>
      </c>
      <c r="AL429" s="24">
        <f ca="1">IFERROR(__xludf.DUMMYFUNCTION("""COMPUTED_VALUE"""),0)</f>
        <v>0</v>
      </c>
      <c r="AM429" s="20"/>
      <c r="AN429" s="24">
        <f ca="1">IFERROR(__xludf.DUMMYFUNCTION("""COMPUTED_VALUE"""),0)</f>
        <v>0</v>
      </c>
      <c r="AO429" s="24">
        <f ca="1">IFERROR(__xludf.DUMMYFUNCTION("""COMPUTED_VALUE"""),0)</f>
        <v>0</v>
      </c>
      <c r="AP429" s="24">
        <f ca="1">IFERROR(__xludf.DUMMYFUNCTION("""COMPUTED_VALUE"""),0)</f>
        <v>0</v>
      </c>
      <c r="AQ429" s="20"/>
      <c r="AR429" s="24">
        <f ca="1">IFERROR(__xludf.DUMMYFUNCTION("""COMPUTED_VALUE"""),89495.06)</f>
        <v>89495.06</v>
      </c>
      <c r="AS429" s="20"/>
      <c r="AT429" s="24">
        <f ca="1">IFERROR(__xludf.DUMMYFUNCTION("""COMPUTED_VALUE"""),85020.68)</f>
        <v>85020.68</v>
      </c>
      <c r="AU429" s="24">
        <f ca="1">IFERROR(__xludf.DUMMYFUNCTION("""COMPUTED_VALUE"""),0)</f>
        <v>0</v>
      </c>
      <c r="AV429" s="24">
        <f ca="1">IFERROR(__xludf.DUMMYFUNCTION("""COMPUTED_VALUE"""),4474.38)</f>
        <v>4474.38</v>
      </c>
      <c r="AW429" s="20"/>
      <c r="AX429" s="24">
        <f ca="1">IFERROR(__xludf.DUMMYFUNCTION("""COMPUTED_VALUE"""),0)</f>
        <v>0</v>
      </c>
      <c r="AY429" s="20"/>
      <c r="AZ429" s="24">
        <f ca="1">IFERROR(__xludf.DUMMYFUNCTION("""COMPUTED_VALUE"""),0)</f>
        <v>0</v>
      </c>
      <c r="BA429" s="24">
        <f ca="1">IFERROR(__xludf.DUMMYFUNCTION("""COMPUTED_VALUE"""),0)</f>
        <v>0</v>
      </c>
      <c r="BB429" s="24">
        <f ca="1">IFERROR(__xludf.DUMMYFUNCTION("""COMPUTED_VALUE"""),0)</f>
        <v>0</v>
      </c>
      <c r="BC429" s="20"/>
      <c r="BD429" s="24">
        <f ca="1">IFERROR(__xludf.DUMMYFUNCTION("""COMPUTED_VALUE"""),0)</f>
        <v>0</v>
      </c>
      <c r="BE429" s="20"/>
      <c r="BF429" s="24">
        <f ca="1">IFERROR(__xludf.DUMMYFUNCTION("""COMPUTED_VALUE"""),0)</f>
        <v>0</v>
      </c>
      <c r="BG429" s="24">
        <f ca="1">IFERROR(__xludf.DUMMYFUNCTION("""COMPUTED_VALUE"""),0)</f>
        <v>0</v>
      </c>
      <c r="BH429" s="24">
        <f ca="1">IFERROR(__xludf.DUMMYFUNCTION("""COMPUTED_VALUE"""),0)</f>
        <v>0</v>
      </c>
      <c r="BI429" s="20"/>
      <c r="BJ429" s="24">
        <f ca="1">IFERROR(__xludf.DUMMYFUNCTION("""COMPUTED_VALUE"""),0)</f>
        <v>0</v>
      </c>
      <c r="BK429" s="20"/>
      <c r="BL429" s="24">
        <f ca="1">IFERROR(__xludf.DUMMYFUNCTION("""COMPUTED_VALUE"""),0)</f>
        <v>0</v>
      </c>
      <c r="BM429" s="24">
        <f ca="1">IFERROR(__xludf.DUMMYFUNCTION("""COMPUTED_VALUE"""),0)</f>
        <v>0</v>
      </c>
      <c r="BN429" s="24">
        <f ca="1">IFERROR(__xludf.DUMMYFUNCTION("""COMPUTED_VALUE"""),0)</f>
        <v>0</v>
      </c>
      <c r="BO429" s="20"/>
      <c r="BP429" s="24">
        <f ca="1">IFERROR(__xludf.DUMMYFUNCTION("""COMPUTED_VALUE"""),0)</f>
        <v>0</v>
      </c>
      <c r="BQ429" s="20"/>
      <c r="BR429" s="24">
        <f ca="1">IFERROR(__xludf.DUMMYFUNCTION("""COMPUTED_VALUE"""),0)</f>
        <v>0</v>
      </c>
      <c r="BS429" s="24">
        <f ca="1">IFERROR(__xludf.DUMMYFUNCTION("""COMPUTED_VALUE"""),0)</f>
        <v>0</v>
      </c>
      <c r="BT429" s="24">
        <f ca="1">IFERROR(__xludf.DUMMYFUNCTION("""COMPUTED_VALUE"""),0)</f>
        <v>0</v>
      </c>
      <c r="BU429" s="20"/>
      <c r="BV429" s="24">
        <f ca="1">IFERROR(__xludf.DUMMYFUNCTION("""COMPUTED_VALUE"""),0)</f>
        <v>0</v>
      </c>
      <c r="BW429" s="20"/>
      <c r="BX429" s="20"/>
      <c r="BY429" s="20"/>
      <c r="BZ429" s="20"/>
      <c r="CA429" s="20"/>
      <c r="CB429" s="20"/>
      <c r="CC429" s="20"/>
      <c r="CD429" s="20"/>
      <c r="CE429" s="20"/>
      <c r="CF429" s="20"/>
      <c r="CG429" s="20"/>
      <c r="CH429" s="20"/>
      <c r="CI429" s="20"/>
      <c r="CJ429" s="20"/>
      <c r="CK429" s="20"/>
      <c r="CL429" s="20"/>
      <c r="CM429" s="26">
        <f ca="1">IFERROR(__xludf.DUMMYFUNCTION("""COMPUTED_VALUE"""),43642)</f>
        <v>43642</v>
      </c>
      <c r="CN429" s="20" t="str">
        <f ca="1">IFERROR(__xludf.DUMMYFUNCTION("""COMPUTED_VALUE"""),"0148200005419000301")</f>
        <v>0148200005419000301</v>
      </c>
      <c r="CO429" s="26">
        <f ca="1">IFERROR(__xludf.DUMMYFUNCTION("""COMPUTED_VALUE"""),43689)</f>
        <v>43689</v>
      </c>
      <c r="CP429" s="20" t="str">
        <f ca="1">IFERROR(__xludf.DUMMYFUNCTION("""COMPUTED_VALUE"""),"044/2019")</f>
        <v>044/2019</v>
      </c>
      <c r="CQ429" s="20">
        <f ca="1">IFERROR(__xludf.DUMMYFUNCTION("""COMPUTED_VALUE"""),86868367.79)</f>
        <v>86868367.790000007</v>
      </c>
      <c r="CR429" s="20" t="str">
        <f ca="1">IFERROR(__xludf.DUMMYFUNCTION("""COMPUTED_VALUE"""),"ООО ""СТРОЙ ГРУПП""")</f>
        <v>ООО "СТРОЙ ГРУПП"</v>
      </c>
      <c r="CS429" s="27" t="str">
        <f ca="1">IFERROR(__xludf.DUMMYFUNCTION("""COMPUTED_VALUE"""),"https://zakupki.gov.ru/epz/contract/contractCard/common-info.html?reestrNumber=3505305293219000018&amp;backUrl=53488c45-ebfd-4524-af8b-a355d378776f")</f>
        <v>https://zakupki.gov.ru/epz/contract/contractCard/common-info.html?reestrNumber=3505305293219000018&amp;backUrl=53488c45-ebfd-4524-af8b-a355d378776f</v>
      </c>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row>
    <row r="430" spans="1:123" ht="64.5" hidden="1" customHeight="1" x14ac:dyDescent="0.2">
      <c r="A430" s="19"/>
      <c r="B430" s="20" t="str">
        <f ca="1">IFERROR(__xludf.DUMMYFUNCTION("""COMPUTED_VALUE"""),"ЗАТО Власиха")</f>
        <v>ЗАТО Власиха</v>
      </c>
      <c r="C430"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0" s="24" t="str">
        <f ca="1">IFERROR(__xludf.DUMMYFUNCTION("""COMPUTED_VALUE"""),"МинЖКХ ")</f>
        <v xml:space="preserve">МинЖКХ </v>
      </c>
      <c r="E430" s="20" t="str">
        <f ca="1">IFERROR(__xludf.DUMMYFUNCTION("""COMPUTED_VALUE"""),"Реконструкция тепловой сети в подземном исполнении по адресу: Московская область, городской округ Власиха, п. Власиха, ул. Цветной бульвар")</f>
        <v>Реконструкция тепловой сети в подземном исполнении по адресу: Московская область, городской округ Власиха, п. Власиха, ул. Цветной бульвар</v>
      </c>
      <c r="F430" s="38" t="str">
        <f ca="1">IFERROR(__xludf.DUMMYFUNCTION("""COMPUTED_VALUE"""),"Сети")</f>
        <v>Сети</v>
      </c>
      <c r="G430" s="24" t="str">
        <f ca="1">IFERROR(__xludf.DUMMYFUNCTION("""COMPUTED_VALUE"""),"2021-2022")</f>
        <v>2021-2022</v>
      </c>
      <c r="H430" s="20"/>
      <c r="I430" s="20">
        <f ca="1">IFERROR(__xludf.DUMMYFUNCTION("""COMPUTED_VALUE"""),0)</f>
        <v>0</v>
      </c>
      <c r="J430" s="20" t="str">
        <f ca="1">IFERROR(__xludf.DUMMYFUNCTION("""COMPUTED_VALUE"""),"До 27.11.2020 направление конкурсной документации на проверку в МинЖКХ.
Заключение контракта и корректировка проекта в МОГЭ планируется в 2021 году.
 Финансирование перенесено на 2022 год")</f>
        <v>До 27.11.2020 направление конкурсной документации на проверку в МинЖКХ.
Заключение контракта и корректировка проекта в МОГЭ планируется в 2021 году.
 Финансирование перенесено на 2022 год</v>
      </c>
      <c r="K430" s="20">
        <f ca="1">IFERROR(__xludf.DUMMYFUNCTION("""COMPUTED_VALUE"""),3130)</f>
        <v>3130</v>
      </c>
      <c r="L430" s="20">
        <f ca="1">IFERROR(__xludf.DUMMYFUNCTION("""COMPUTED_VALUE"""),3130)</f>
        <v>3130</v>
      </c>
      <c r="M430" s="20"/>
      <c r="N430" s="24">
        <f ca="1">IFERROR(__xludf.DUMMYFUNCTION("""COMPUTED_VALUE"""),0)</f>
        <v>0</v>
      </c>
      <c r="O430" s="20"/>
      <c r="P430" s="24">
        <f ca="1">IFERROR(__xludf.DUMMYFUNCTION("""COMPUTED_VALUE"""),0)</f>
        <v>0</v>
      </c>
      <c r="Q430" s="20"/>
      <c r="R430" s="20"/>
      <c r="S430" s="20"/>
      <c r="T430" s="20"/>
      <c r="U430" s="24">
        <f ca="1">IFERROR(__xludf.DUMMYFUNCTION("""COMPUTED_VALUE"""),0)</f>
        <v>0</v>
      </c>
      <c r="V430" s="24">
        <f ca="1">IFERROR(__xludf.DUMMYFUNCTION("""COMPUTED_VALUE"""),0)</f>
        <v>0</v>
      </c>
      <c r="W430" s="24">
        <f ca="1">IFERROR(__xludf.DUMMYFUNCTION("""COMPUTED_VALUE"""),0)</f>
        <v>0</v>
      </c>
      <c r="X430" s="24">
        <f ca="1">IFERROR(__xludf.DUMMYFUNCTION("""COMPUTED_VALUE"""),0)</f>
        <v>0</v>
      </c>
      <c r="Y430" s="24">
        <f ca="1">IFERROR(__xludf.DUMMYFUNCTION("""COMPUTED_VALUE"""),0)</f>
        <v>0</v>
      </c>
      <c r="Z430" s="24">
        <f ca="1">IFERROR(__xludf.DUMMYFUNCTION("""COMPUTED_VALUE"""),0)</f>
        <v>0</v>
      </c>
      <c r="AA430" s="20"/>
      <c r="AB430" s="20"/>
      <c r="AC430" s="20"/>
      <c r="AD430" s="20"/>
      <c r="AE430" s="20"/>
      <c r="AF430" s="24">
        <f ca="1">IFERROR(__xludf.DUMMYFUNCTION("""COMPUTED_VALUE"""),105547.08)</f>
        <v>105547.08</v>
      </c>
      <c r="AG430" s="24">
        <f ca="1">IFERROR(__xludf.DUMMYFUNCTION("""COMPUTED_VALUE"""),0)</f>
        <v>0</v>
      </c>
      <c r="AH430" s="24">
        <f ca="1">IFERROR(__xludf.DUMMYFUNCTION("""COMPUTED_VALUE"""),88817)</f>
        <v>88817</v>
      </c>
      <c r="AI430" s="24">
        <f ca="1">IFERROR(__xludf.DUMMYFUNCTION("""COMPUTED_VALUE"""),9869)</f>
        <v>9869</v>
      </c>
      <c r="AJ430" s="24">
        <f ca="1">IFERROR(__xludf.DUMMYFUNCTION("""COMPUTED_VALUE"""),6861.08)</f>
        <v>6861.08</v>
      </c>
      <c r="AK430" s="24">
        <f ca="1">IFERROR(__xludf.DUMMYFUNCTION("""COMPUTED_VALUE"""),0)</f>
        <v>0</v>
      </c>
      <c r="AL430" s="24">
        <f ca="1">IFERROR(__xludf.DUMMYFUNCTION("""COMPUTED_VALUE"""),0)</f>
        <v>0</v>
      </c>
      <c r="AM430" s="20"/>
      <c r="AN430" s="24">
        <f ca="1">IFERROR(__xludf.DUMMYFUNCTION("""COMPUTED_VALUE"""),0)</f>
        <v>0</v>
      </c>
      <c r="AO430" s="24">
        <f ca="1">IFERROR(__xludf.DUMMYFUNCTION("""COMPUTED_VALUE"""),0)</f>
        <v>0</v>
      </c>
      <c r="AP430" s="24">
        <f ca="1">IFERROR(__xludf.DUMMYFUNCTION("""COMPUTED_VALUE"""),0)</f>
        <v>0</v>
      </c>
      <c r="AQ430" s="20"/>
      <c r="AR430" s="24">
        <f ca="1">IFERROR(__xludf.DUMMYFUNCTION("""COMPUTED_VALUE"""),0)</f>
        <v>0</v>
      </c>
      <c r="AS430" s="20"/>
      <c r="AT430" s="24">
        <f ca="1">IFERROR(__xludf.DUMMYFUNCTION("""COMPUTED_VALUE"""),0)</f>
        <v>0</v>
      </c>
      <c r="AU430" s="24">
        <f ca="1">IFERROR(__xludf.DUMMYFUNCTION("""COMPUTED_VALUE"""),0)</f>
        <v>0</v>
      </c>
      <c r="AV430" s="24">
        <f ca="1">IFERROR(__xludf.DUMMYFUNCTION("""COMPUTED_VALUE"""),0)</f>
        <v>0</v>
      </c>
      <c r="AW430" s="20"/>
      <c r="AX430" s="24">
        <f ca="1">IFERROR(__xludf.DUMMYFUNCTION("""COMPUTED_VALUE"""),0)</f>
        <v>0</v>
      </c>
      <c r="AY430" s="20"/>
      <c r="AZ430" s="24">
        <f ca="1">IFERROR(__xludf.DUMMYFUNCTION("""COMPUTED_VALUE"""),0)</f>
        <v>0</v>
      </c>
      <c r="BA430" s="24">
        <f ca="1">IFERROR(__xludf.DUMMYFUNCTION("""COMPUTED_VALUE"""),0)</f>
        <v>0</v>
      </c>
      <c r="BB430" s="24">
        <f ca="1">IFERROR(__xludf.DUMMYFUNCTION("""COMPUTED_VALUE"""),0)</f>
        <v>0</v>
      </c>
      <c r="BC430" s="20"/>
      <c r="BD430" s="24">
        <f ca="1">IFERROR(__xludf.DUMMYFUNCTION("""COMPUTED_VALUE"""),10555.09)</f>
        <v>10555.09</v>
      </c>
      <c r="BE430" s="20"/>
      <c r="BF430" s="24">
        <f ca="1">IFERROR(__xludf.DUMMYFUNCTION("""COMPUTED_VALUE"""),0)</f>
        <v>0</v>
      </c>
      <c r="BG430" s="24">
        <f ca="1">IFERROR(__xludf.DUMMYFUNCTION("""COMPUTED_VALUE"""),9869)</f>
        <v>9869</v>
      </c>
      <c r="BH430" s="24">
        <f ca="1">IFERROR(__xludf.DUMMYFUNCTION("""COMPUTED_VALUE"""),686.09)</f>
        <v>686.09</v>
      </c>
      <c r="BI430" s="20"/>
      <c r="BJ430" s="24">
        <f ca="1">IFERROR(__xludf.DUMMYFUNCTION("""COMPUTED_VALUE"""),94991.99)</f>
        <v>94991.99</v>
      </c>
      <c r="BK430" s="20"/>
      <c r="BL430" s="24">
        <f ca="1">IFERROR(__xludf.DUMMYFUNCTION("""COMPUTED_VALUE"""),88817)</f>
        <v>88817</v>
      </c>
      <c r="BM430" s="24">
        <f ca="1">IFERROR(__xludf.DUMMYFUNCTION("""COMPUTED_VALUE"""),0)</f>
        <v>0</v>
      </c>
      <c r="BN430" s="24">
        <f ca="1">IFERROR(__xludf.DUMMYFUNCTION("""COMPUTED_VALUE"""),6174.99)</f>
        <v>6174.99</v>
      </c>
      <c r="BO430" s="20"/>
      <c r="BP430" s="24">
        <f ca="1">IFERROR(__xludf.DUMMYFUNCTION("""COMPUTED_VALUE"""),0)</f>
        <v>0</v>
      </c>
      <c r="BQ430" s="20"/>
      <c r="BR430" s="24">
        <f ca="1">IFERROR(__xludf.DUMMYFUNCTION("""COMPUTED_VALUE"""),0)</f>
        <v>0</v>
      </c>
      <c r="BS430" s="24">
        <f ca="1">IFERROR(__xludf.DUMMYFUNCTION("""COMPUTED_VALUE"""),0)</f>
        <v>0</v>
      </c>
      <c r="BT430" s="24">
        <f ca="1">IFERROR(__xludf.DUMMYFUNCTION("""COMPUTED_VALUE"""),0)</f>
        <v>0</v>
      </c>
      <c r="BU430" s="20"/>
      <c r="BV430" s="24">
        <f ca="1">IFERROR(__xludf.DUMMYFUNCTION("""COMPUTED_VALUE"""),0)</f>
        <v>0</v>
      </c>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row>
    <row r="431" spans="1:123" ht="64.5" hidden="1" customHeight="1" x14ac:dyDescent="0.2">
      <c r="A431" s="19"/>
      <c r="B431" s="20" t="str">
        <f ca="1">IFERROR(__xludf.DUMMYFUNCTION("""COMPUTED_VALUE"""),"г.о. Балашиха")</f>
        <v>г.о. Балашиха</v>
      </c>
      <c r="C43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1" s="24" t="str">
        <f ca="1">IFERROR(__xludf.DUMMYFUNCTION("""COMPUTED_VALUE"""),"Минкульт")</f>
        <v>Минкульт</v>
      </c>
      <c r="E431" s="20" t="str">
        <f ca="1">IFERROR(__xludf.DUMMYFUNCTION("""COMPUTED_VALUE"""),"Капитальный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f>
        <v xml:space="preserv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v>
      </c>
      <c r="F431" s="32"/>
      <c r="G431" s="20" t="str">
        <f ca="1">IFERROR(__xludf.DUMMYFUNCTION("""COMPUTED_VALUE"""),"2019-2020")</f>
        <v>2019-2020</v>
      </c>
      <c r="H431" s="20"/>
      <c r="I431" s="20"/>
      <c r="J431" s="20"/>
      <c r="K431" s="20"/>
      <c r="L431" s="20"/>
      <c r="M431" s="20"/>
      <c r="N431" s="20">
        <f ca="1">IFERROR(__xludf.DUMMYFUNCTION("""COMPUTED_VALUE"""),0)</f>
        <v>0</v>
      </c>
      <c r="O431" s="20"/>
      <c r="P431" s="20"/>
      <c r="Q431" s="20"/>
      <c r="R431" s="20"/>
      <c r="S431" s="20"/>
      <c r="T431" s="20"/>
      <c r="U431" s="24">
        <f ca="1">IFERROR(__xludf.DUMMYFUNCTION("""COMPUTED_VALUE"""),0)</f>
        <v>0</v>
      </c>
      <c r="V431" s="24">
        <f ca="1">IFERROR(__xludf.DUMMYFUNCTION("""COMPUTED_VALUE"""),0)</f>
        <v>0</v>
      </c>
      <c r="W431" s="24">
        <f ca="1">IFERROR(__xludf.DUMMYFUNCTION("""COMPUTED_VALUE"""),0)</f>
        <v>0</v>
      </c>
      <c r="X431" s="24">
        <f ca="1">IFERROR(__xludf.DUMMYFUNCTION("""COMPUTED_VALUE"""),0)</f>
        <v>0</v>
      </c>
      <c r="Y431" s="24">
        <f ca="1">IFERROR(__xludf.DUMMYFUNCTION("""COMPUTED_VALUE"""),0)</f>
        <v>0</v>
      </c>
      <c r="Z431" s="24">
        <f ca="1">IFERROR(__xludf.DUMMYFUNCTION("""COMPUTED_VALUE"""),0)</f>
        <v>0</v>
      </c>
      <c r="AA431" s="20"/>
      <c r="AB431" s="20"/>
      <c r="AC431" s="20"/>
      <c r="AD431" s="20"/>
      <c r="AE431" s="20"/>
      <c r="AF431" s="24">
        <f ca="1">IFERROR(__xludf.DUMMYFUNCTION("""COMPUTED_VALUE"""),1163)</f>
        <v>1163</v>
      </c>
      <c r="AG431" s="24">
        <f ca="1">IFERROR(__xludf.DUMMYFUNCTION("""COMPUTED_VALUE"""),0)</f>
        <v>0</v>
      </c>
      <c r="AH431" s="24">
        <f ca="1">IFERROR(__xludf.DUMMYFUNCTION("""COMPUTED_VALUE"""),0)</f>
        <v>0</v>
      </c>
      <c r="AI431" s="24">
        <f ca="1">IFERROR(__xludf.DUMMYFUNCTION("""COMPUTED_VALUE"""),0)</f>
        <v>0</v>
      </c>
      <c r="AJ431" s="24">
        <f ca="1">IFERROR(__xludf.DUMMYFUNCTION("""COMPUTED_VALUE"""),1163)</f>
        <v>1163</v>
      </c>
      <c r="AK431" s="24">
        <f ca="1">IFERROR(__xludf.DUMMYFUNCTION("""COMPUTED_VALUE"""),0)</f>
        <v>0</v>
      </c>
      <c r="AL431" s="24">
        <f ca="1">IFERROR(__xludf.DUMMYFUNCTION("""COMPUTED_VALUE"""),0)</f>
        <v>0</v>
      </c>
      <c r="AM431" s="20"/>
      <c r="AN431" s="24">
        <f ca="1">IFERROR(__xludf.DUMMYFUNCTION("""COMPUTED_VALUE"""),0)</f>
        <v>0</v>
      </c>
      <c r="AO431" s="24">
        <f ca="1">IFERROR(__xludf.DUMMYFUNCTION("""COMPUTED_VALUE"""),0)</f>
        <v>0</v>
      </c>
      <c r="AP431" s="24">
        <f ca="1">IFERROR(__xludf.DUMMYFUNCTION("""COMPUTED_VALUE"""),0)</f>
        <v>0</v>
      </c>
      <c r="AQ431" s="20"/>
      <c r="AR431" s="24">
        <f ca="1">IFERROR(__xludf.DUMMYFUNCTION("""COMPUTED_VALUE"""),1163)</f>
        <v>1163</v>
      </c>
      <c r="AS431" s="20"/>
      <c r="AT431" s="24">
        <f ca="1">IFERROR(__xludf.DUMMYFUNCTION("""COMPUTED_VALUE"""),0)</f>
        <v>0</v>
      </c>
      <c r="AU431" s="24">
        <f ca="1">IFERROR(__xludf.DUMMYFUNCTION("""COMPUTED_VALUE"""),0)</f>
        <v>0</v>
      </c>
      <c r="AV431" s="24">
        <f ca="1">IFERROR(__xludf.DUMMYFUNCTION("""COMPUTED_VALUE"""),1163)</f>
        <v>1163</v>
      </c>
      <c r="AW431" s="20"/>
      <c r="AX431" s="24">
        <f ca="1">IFERROR(__xludf.DUMMYFUNCTION("""COMPUTED_VALUE"""),0)</f>
        <v>0</v>
      </c>
      <c r="AY431" s="20"/>
      <c r="AZ431" s="24">
        <f ca="1">IFERROR(__xludf.DUMMYFUNCTION("""COMPUTED_VALUE"""),0)</f>
        <v>0</v>
      </c>
      <c r="BA431" s="24">
        <f ca="1">IFERROR(__xludf.DUMMYFUNCTION("""COMPUTED_VALUE"""),0)</f>
        <v>0</v>
      </c>
      <c r="BB431" s="24">
        <f ca="1">IFERROR(__xludf.DUMMYFUNCTION("""COMPUTED_VALUE"""),0)</f>
        <v>0</v>
      </c>
      <c r="BC431" s="20"/>
      <c r="BD431" s="24">
        <f ca="1">IFERROR(__xludf.DUMMYFUNCTION("""COMPUTED_VALUE"""),0)</f>
        <v>0</v>
      </c>
      <c r="BE431" s="20"/>
      <c r="BF431" s="24">
        <f ca="1">IFERROR(__xludf.DUMMYFUNCTION("""COMPUTED_VALUE"""),0)</f>
        <v>0</v>
      </c>
      <c r="BG431" s="24">
        <f ca="1">IFERROR(__xludf.DUMMYFUNCTION("""COMPUTED_VALUE"""),0)</f>
        <v>0</v>
      </c>
      <c r="BH431" s="24">
        <f ca="1">IFERROR(__xludf.DUMMYFUNCTION("""COMPUTED_VALUE"""),0)</f>
        <v>0</v>
      </c>
      <c r="BI431" s="20"/>
      <c r="BJ431" s="24">
        <f ca="1">IFERROR(__xludf.DUMMYFUNCTION("""COMPUTED_VALUE"""),0)</f>
        <v>0</v>
      </c>
      <c r="BK431" s="20"/>
      <c r="BL431" s="24">
        <f ca="1">IFERROR(__xludf.DUMMYFUNCTION("""COMPUTED_VALUE"""),0)</f>
        <v>0</v>
      </c>
      <c r="BM431" s="24">
        <f ca="1">IFERROR(__xludf.DUMMYFUNCTION("""COMPUTED_VALUE"""),0)</f>
        <v>0</v>
      </c>
      <c r="BN431" s="24">
        <f ca="1">IFERROR(__xludf.DUMMYFUNCTION("""COMPUTED_VALUE"""),0)</f>
        <v>0</v>
      </c>
      <c r="BO431" s="20"/>
      <c r="BP431" s="24">
        <f ca="1">IFERROR(__xludf.DUMMYFUNCTION("""COMPUTED_VALUE"""),0)</f>
        <v>0</v>
      </c>
      <c r="BQ431" s="20"/>
      <c r="BR431" s="24">
        <f ca="1">IFERROR(__xludf.DUMMYFUNCTION("""COMPUTED_VALUE"""),0)</f>
        <v>0</v>
      </c>
      <c r="BS431" s="24">
        <f ca="1">IFERROR(__xludf.DUMMYFUNCTION("""COMPUTED_VALUE"""),0)</f>
        <v>0</v>
      </c>
      <c r="BT431" s="24">
        <f ca="1">IFERROR(__xludf.DUMMYFUNCTION("""COMPUTED_VALUE"""),0)</f>
        <v>0</v>
      </c>
      <c r="BU431" s="20"/>
      <c r="BV431" s="24">
        <f ca="1">IFERROR(__xludf.DUMMYFUNCTION("""COMPUTED_VALUE"""),0)</f>
        <v>0</v>
      </c>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row>
    <row r="432" spans="1:123" ht="64.5" hidden="1" customHeight="1" x14ac:dyDescent="0.2">
      <c r="A432" s="19"/>
      <c r="B432" s="20" t="str">
        <f ca="1">IFERROR(__xludf.DUMMYFUNCTION("""COMPUTED_VALUE"""),"ЗАТО Власиха")</f>
        <v>ЗАТО Власиха</v>
      </c>
      <c r="C432"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2" s="24" t="str">
        <f ca="1">IFERROR(__xludf.DUMMYFUNCTION("""COMPUTED_VALUE"""),"МинЖКХ ")</f>
        <v xml:space="preserve">МинЖКХ </v>
      </c>
      <c r="E432" s="20" t="str">
        <f ca="1">IFERROR(__xludf.DUMMYFUNCTION("""COMPUTED_VALUE"""),"Реконструкция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f>
        <v>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v>
      </c>
      <c r="F432" s="40" t="str">
        <f ca="1">IFERROR(__xludf.DUMMYFUNCTION("""COMPUTED_VALUE"""),"Котельная")</f>
        <v>Котельная</v>
      </c>
      <c r="G432" s="41" t="str">
        <f ca="1">IFERROR(__xludf.DUMMYFUNCTION("""COMPUTED_VALUE"""),"2019")</f>
        <v>2019</v>
      </c>
      <c r="H432" s="20"/>
      <c r="I432" s="20"/>
      <c r="J432" s="20"/>
      <c r="K432" s="20">
        <f ca="1">IFERROR(__xludf.DUMMYFUNCTION("""COMPUTED_VALUE"""),3130)</f>
        <v>3130</v>
      </c>
      <c r="L432" s="20">
        <f ca="1">IFERROR(__xludf.DUMMYFUNCTION("""COMPUTED_VALUE"""),3130)</f>
        <v>3130</v>
      </c>
      <c r="M432" s="20"/>
      <c r="N432" s="20">
        <f ca="1">IFERROR(__xludf.DUMMYFUNCTION("""COMPUTED_VALUE"""),0)</f>
        <v>0</v>
      </c>
      <c r="O432" s="20"/>
      <c r="P432" s="20"/>
      <c r="Q432" s="20"/>
      <c r="R432" s="20"/>
      <c r="S432" s="20"/>
      <c r="T432" s="20"/>
      <c r="U432" s="24">
        <f ca="1">IFERROR(__xludf.DUMMYFUNCTION("""COMPUTED_VALUE"""),0)</f>
        <v>0</v>
      </c>
      <c r="V432" s="24">
        <f ca="1">IFERROR(__xludf.DUMMYFUNCTION("""COMPUTED_VALUE"""),0)</f>
        <v>0</v>
      </c>
      <c r="W432" s="24">
        <f ca="1">IFERROR(__xludf.DUMMYFUNCTION("""COMPUTED_VALUE"""),0)</f>
        <v>0</v>
      </c>
      <c r="X432" s="24">
        <f ca="1">IFERROR(__xludf.DUMMYFUNCTION("""COMPUTED_VALUE"""),0)</f>
        <v>0</v>
      </c>
      <c r="Y432" s="24">
        <f ca="1">IFERROR(__xludf.DUMMYFUNCTION("""COMPUTED_VALUE"""),0)</f>
        <v>0</v>
      </c>
      <c r="Z432" s="24">
        <f ca="1">IFERROR(__xludf.DUMMYFUNCTION("""COMPUTED_VALUE"""),0)</f>
        <v>0</v>
      </c>
      <c r="AA432" s="20"/>
      <c r="AB432" s="20"/>
      <c r="AC432" s="20"/>
      <c r="AD432" s="20"/>
      <c r="AE432" s="20"/>
      <c r="AF432" s="24">
        <f ca="1">IFERROR(__xludf.DUMMYFUNCTION("""COMPUTED_VALUE"""),14779.28)</f>
        <v>14779.28</v>
      </c>
      <c r="AG432" s="24">
        <f ca="1">IFERROR(__xludf.DUMMYFUNCTION("""COMPUTED_VALUE"""),0)</f>
        <v>0</v>
      </c>
      <c r="AH432" s="24">
        <f ca="1">IFERROR(__xludf.DUMMYFUNCTION("""COMPUTED_VALUE"""),14779)</f>
        <v>14779</v>
      </c>
      <c r="AI432" s="24">
        <f ca="1">IFERROR(__xludf.DUMMYFUNCTION("""COMPUTED_VALUE"""),0)</f>
        <v>0</v>
      </c>
      <c r="AJ432" s="24">
        <f ca="1">IFERROR(__xludf.DUMMYFUNCTION("""COMPUTED_VALUE"""),0.28)</f>
        <v>0.28000000000000003</v>
      </c>
      <c r="AK432" s="24">
        <f ca="1">IFERROR(__xludf.DUMMYFUNCTION("""COMPUTED_VALUE"""),0)</f>
        <v>0</v>
      </c>
      <c r="AL432" s="24">
        <f ca="1">IFERROR(__xludf.DUMMYFUNCTION("""COMPUTED_VALUE"""),0)</f>
        <v>0</v>
      </c>
      <c r="AM432" s="20"/>
      <c r="AN432" s="24">
        <f ca="1">IFERROR(__xludf.DUMMYFUNCTION("""COMPUTED_VALUE"""),0)</f>
        <v>0</v>
      </c>
      <c r="AO432" s="24">
        <f ca="1">IFERROR(__xludf.DUMMYFUNCTION("""COMPUTED_VALUE"""),0)</f>
        <v>0</v>
      </c>
      <c r="AP432" s="24">
        <f ca="1">IFERROR(__xludf.DUMMYFUNCTION("""COMPUTED_VALUE"""),0)</f>
        <v>0</v>
      </c>
      <c r="AQ432" s="20"/>
      <c r="AR432" s="24">
        <f ca="1">IFERROR(__xludf.DUMMYFUNCTION("""COMPUTED_VALUE"""),14779.28)</f>
        <v>14779.28</v>
      </c>
      <c r="AS432" s="20"/>
      <c r="AT432" s="24">
        <f ca="1">IFERROR(__xludf.DUMMYFUNCTION("""COMPUTED_VALUE"""),14779)</f>
        <v>14779</v>
      </c>
      <c r="AU432" s="24">
        <f ca="1">IFERROR(__xludf.DUMMYFUNCTION("""COMPUTED_VALUE"""),0)</f>
        <v>0</v>
      </c>
      <c r="AV432" s="24">
        <f ca="1">IFERROR(__xludf.DUMMYFUNCTION("""COMPUTED_VALUE"""),0.28)</f>
        <v>0.28000000000000003</v>
      </c>
      <c r="AW432" s="20"/>
      <c r="AX432" s="24">
        <f ca="1">IFERROR(__xludf.DUMMYFUNCTION("""COMPUTED_VALUE"""),0)</f>
        <v>0</v>
      </c>
      <c r="AY432" s="20"/>
      <c r="AZ432" s="24">
        <f ca="1">IFERROR(__xludf.DUMMYFUNCTION("""COMPUTED_VALUE"""),0)</f>
        <v>0</v>
      </c>
      <c r="BA432" s="24">
        <f ca="1">IFERROR(__xludf.DUMMYFUNCTION("""COMPUTED_VALUE"""),0)</f>
        <v>0</v>
      </c>
      <c r="BB432" s="24">
        <f ca="1">IFERROR(__xludf.DUMMYFUNCTION("""COMPUTED_VALUE"""),0)</f>
        <v>0</v>
      </c>
      <c r="BC432" s="20"/>
      <c r="BD432" s="24">
        <f ca="1">IFERROR(__xludf.DUMMYFUNCTION("""COMPUTED_VALUE"""),0)</f>
        <v>0</v>
      </c>
      <c r="BE432" s="20"/>
      <c r="BF432" s="24">
        <f ca="1">IFERROR(__xludf.DUMMYFUNCTION("""COMPUTED_VALUE"""),0)</f>
        <v>0</v>
      </c>
      <c r="BG432" s="24">
        <f ca="1">IFERROR(__xludf.DUMMYFUNCTION("""COMPUTED_VALUE"""),0)</f>
        <v>0</v>
      </c>
      <c r="BH432" s="24">
        <f ca="1">IFERROR(__xludf.DUMMYFUNCTION("""COMPUTED_VALUE"""),0)</f>
        <v>0</v>
      </c>
      <c r="BI432" s="20"/>
      <c r="BJ432" s="24">
        <f ca="1">IFERROR(__xludf.DUMMYFUNCTION("""COMPUTED_VALUE"""),0)</f>
        <v>0</v>
      </c>
      <c r="BK432" s="20"/>
      <c r="BL432" s="24">
        <f ca="1">IFERROR(__xludf.DUMMYFUNCTION("""COMPUTED_VALUE"""),0)</f>
        <v>0</v>
      </c>
      <c r="BM432" s="24">
        <f ca="1">IFERROR(__xludf.DUMMYFUNCTION("""COMPUTED_VALUE"""),0)</f>
        <v>0</v>
      </c>
      <c r="BN432" s="24">
        <f ca="1">IFERROR(__xludf.DUMMYFUNCTION("""COMPUTED_VALUE"""),0)</f>
        <v>0</v>
      </c>
      <c r="BO432" s="20"/>
      <c r="BP432" s="24">
        <f ca="1">IFERROR(__xludf.DUMMYFUNCTION("""COMPUTED_VALUE"""),0)</f>
        <v>0</v>
      </c>
      <c r="BQ432" s="20"/>
      <c r="BR432" s="24">
        <f ca="1">IFERROR(__xludf.DUMMYFUNCTION("""COMPUTED_VALUE"""),0)</f>
        <v>0</v>
      </c>
      <c r="BS432" s="24">
        <f ca="1">IFERROR(__xludf.DUMMYFUNCTION("""COMPUTED_VALUE"""),0)</f>
        <v>0</v>
      </c>
      <c r="BT432" s="24">
        <f ca="1">IFERROR(__xludf.DUMMYFUNCTION("""COMPUTED_VALUE"""),0)</f>
        <v>0</v>
      </c>
      <c r="BU432" s="20"/>
      <c r="BV432" s="24">
        <f ca="1">IFERROR(__xludf.DUMMYFUNCTION("""COMPUTED_VALUE"""),0)</f>
        <v>0</v>
      </c>
      <c r="BW432" s="20"/>
      <c r="BX432" s="20"/>
      <c r="BY432" s="20"/>
      <c r="BZ432" s="20"/>
      <c r="CA432" s="20"/>
      <c r="CB432" s="20"/>
      <c r="CC432" s="20"/>
      <c r="CD432" s="20"/>
      <c r="CE432" s="20"/>
      <c r="CF432" s="20"/>
      <c r="CG432" s="20"/>
      <c r="CH432" s="20"/>
      <c r="CI432" s="20"/>
      <c r="CJ432" s="20"/>
      <c r="CK432" s="20"/>
      <c r="CL432" s="20"/>
      <c r="CM432" s="20"/>
      <c r="CN432" s="20"/>
      <c r="CO432" s="20"/>
      <c r="CP432" s="20"/>
      <c r="CQ432" s="20"/>
      <c r="CR432" s="20"/>
      <c r="CS432" s="20"/>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row>
    <row r="433" spans="1:123" ht="64.5" hidden="1" customHeight="1" x14ac:dyDescent="0.2">
      <c r="A433" s="19"/>
      <c r="B433" s="20" t="str">
        <f ca="1">IFERROR(__xludf.DUMMYFUNCTION("""COMPUTED_VALUE"""),"ЗАТО Власиха")</f>
        <v>ЗАТО Власиха</v>
      </c>
      <c r="C43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3" s="24" t="str">
        <f ca="1">IFERROR(__xludf.DUMMYFUNCTION("""COMPUTED_VALUE"""),"МинЖКХ ")</f>
        <v xml:space="preserve">МинЖКХ </v>
      </c>
      <c r="E433" s="20" t="str">
        <f ca="1">IFERROR(__xludf.DUMMYFUNCTION("""COMPUTED_VALUE"""),"Капитальный ремонт сетей водоснабжения п. Власиха военный городок № 22/1 (г.Одинцово-10)
")</f>
        <v xml:space="preserve">Капитальный ремонт сетей водоснабжения п. Власиха военный городок № 22/1 (г.Одинцово-10)
</v>
      </c>
      <c r="F433" s="32" t="str">
        <f ca="1">IFERROR(__xludf.DUMMYFUNCTION("""COMPUTED_VALUE"""),"Сети")</f>
        <v>Сети</v>
      </c>
      <c r="G433" s="20">
        <f ca="1">IFERROR(__xludf.DUMMYFUNCTION("""COMPUTED_VALUE"""),2019)</f>
        <v>2019</v>
      </c>
      <c r="H433" s="20"/>
      <c r="I433" s="20"/>
      <c r="J433" s="20"/>
      <c r="K433" s="20"/>
      <c r="L433" s="20"/>
      <c r="M433" s="20"/>
      <c r="N433" s="20">
        <f ca="1">IFERROR(__xludf.DUMMYFUNCTION("""COMPUTED_VALUE"""),0)</f>
        <v>0</v>
      </c>
      <c r="O433" s="20"/>
      <c r="P433" s="20"/>
      <c r="Q433" s="20"/>
      <c r="R433" s="20"/>
      <c r="S433" s="20"/>
      <c r="T433" s="20"/>
      <c r="U433" s="24">
        <f ca="1">IFERROR(__xludf.DUMMYFUNCTION("""COMPUTED_VALUE"""),0)</f>
        <v>0</v>
      </c>
      <c r="V433" s="24">
        <f ca="1">IFERROR(__xludf.DUMMYFUNCTION("""COMPUTED_VALUE"""),0)</f>
        <v>0</v>
      </c>
      <c r="W433" s="24">
        <f ca="1">IFERROR(__xludf.DUMMYFUNCTION("""COMPUTED_VALUE"""),0)</f>
        <v>0</v>
      </c>
      <c r="X433" s="24">
        <f ca="1">IFERROR(__xludf.DUMMYFUNCTION("""COMPUTED_VALUE"""),0)</f>
        <v>0</v>
      </c>
      <c r="Y433" s="24">
        <f ca="1">IFERROR(__xludf.DUMMYFUNCTION("""COMPUTED_VALUE"""),0)</f>
        <v>0</v>
      </c>
      <c r="Z433" s="24">
        <f ca="1">IFERROR(__xludf.DUMMYFUNCTION("""COMPUTED_VALUE"""),0)</f>
        <v>0</v>
      </c>
      <c r="AA433" s="20"/>
      <c r="AB433" s="20"/>
      <c r="AC433" s="20"/>
      <c r="AD433" s="20"/>
      <c r="AE433" s="20"/>
      <c r="AF433" s="24">
        <f ca="1">IFERROR(__xludf.DUMMYFUNCTION("""COMPUTED_VALUE"""),37743.27)</f>
        <v>37743.269999999997</v>
      </c>
      <c r="AG433" s="24">
        <f ca="1">IFERROR(__xludf.DUMMYFUNCTION("""COMPUTED_VALUE"""),0)</f>
        <v>0</v>
      </c>
      <c r="AH433" s="24">
        <f ca="1">IFERROR(__xludf.DUMMYFUNCTION("""COMPUTED_VALUE"""),35856)</f>
        <v>35856</v>
      </c>
      <c r="AI433" s="24">
        <f ca="1">IFERROR(__xludf.DUMMYFUNCTION("""COMPUTED_VALUE"""),0)</f>
        <v>0</v>
      </c>
      <c r="AJ433" s="24">
        <f ca="1">IFERROR(__xludf.DUMMYFUNCTION("""COMPUTED_VALUE"""),1887.27)</f>
        <v>1887.27</v>
      </c>
      <c r="AK433" s="24">
        <f ca="1">IFERROR(__xludf.DUMMYFUNCTION("""COMPUTED_VALUE"""),0)</f>
        <v>0</v>
      </c>
      <c r="AL433" s="24">
        <f ca="1">IFERROR(__xludf.DUMMYFUNCTION("""COMPUTED_VALUE"""),0)</f>
        <v>0</v>
      </c>
      <c r="AM433" s="20"/>
      <c r="AN433" s="24">
        <f ca="1">IFERROR(__xludf.DUMMYFUNCTION("""COMPUTED_VALUE"""),0)</f>
        <v>0</v>
      </c>
      <c r="AO433" s="24">
        <f ca="1">IFERROR(__xludf.DUMMYFUNCTION("""COMPUTED_VALUE"""),0)</f>
        <v>0</v>
      </c>
      <c r="AP433" s="24">
        <f ca="1">IFERROR(__xludf.DUMMYFUNCTION("""COMPUTED_VALUE"""),0)</f>
        <v>0</v>
      </c>
      <c r="AQ433" s="20"/>
      <c r="AR433" s="24">
        <f ca="1">IFERROR(__xludf.DUMMYFUNCTION("""COMPUTED_VALUE"""),37743.27)</f>
        <v>37743.269999999997</v>
      </c>
      <c r="AS433" s="20"/>
      <c r="AT433" s="24">
        <f ca="1">IFERROR(__xludf.DUMMYFUNCTION("""COMPUTED_VALUE"""),35856)</f>
        <v>35856</v>
      </c>
      <c r="AU433" s="24">
        <f ca="1">IFERROR(__xludf.DUMMYFUNCTION("""COMPUTED_VALUE"""),0)</f>
        <v>0</v>
      </c>
      <c r="AV433" s="24">
        <f ca="1">IFERROR(__xludf.DUMMYFUNCTION("""COMPUTED_VALUE"""),1887.27)</f>
        <v>1887.27</v>
      </c>
      <c r="AW433" s="20"/>
      <c r="AX433" s="24">
        <f ca="1">IFERROR(__xludf.DUMMYFUNCTION("""COMPUTED_VALUE"""),0)</f>
        <v>0</v>
      </c>
      <c r="AY433" s="20"/>
      <c r="AZ433" s="24">
        <f ca="1">IFERROR(__xludf.DUMMYFUNCTION("""COMPUTED_VALUE"""),0)</f>
        <v>0</v>
      </c>
      <c r="BA433" s="24">
        <f ca="1">IFERROR(__xludf.DUMMYFUNCTION("""COMPUTED_VALUE"""),0)</f>
        <v>0</v>
      </c>
      <c r="BB433" s="24">
        <f ca="1">IFERROR(__xludf.DUMMYFUNCTION("""COMPUTED_VALUE"""),0)</f>
        <v>0</v>
      </c>
      <c r="BC433" s="20"/>
      <c r="BD433" s="24">
        <f ca="1">IFERROR(__xludf.DUMMYFUNCTION("""COMPUTED_VALUE"""),0)</f>
        <v>0</v>
      </c>
      <c r="BE433" s="20"/>
      <c r="BF433" s="24">
        <f ca="1">IFERROR(__xludf.DUMMYFUNCTION("""COMPUTED_VALUE"""),0)</f>
        <v>0</v>
      </c>
      <c r="BG433" s="24">
        <f ca="1">IFERROR(__xludf.DUMMYFUNCTION("""COMPUTED_VALUE"""),0)</f>
        <v>0</v>
      </c>
      <c r="BH433" s="24">
        <f ca="1">IFERROR(__xludf.DUMMYFUNCTION("""COMPUTED_VALUE"""),0)</f>
        <v>0</v>
      </c>
      <c r="BI433" s="20"/>
      <c r="BJ433" s="24">
        <f ca="1">IFERROR(__xludf.DUMMYFUNCTION("""COMPUTED_VALUE"""),0)</f>
        <v>0</v>
      </c>
      <c r="BK433" s="20"/>
      <c r="BL433" s="24">
        <f ca="1">IFERROR(__xludf.DUMMYFUNCTION("""COMPUTED_VALUE"""),0)</f>
        <v>0</v>
      </c>
      <c r="BM433" s="24">
        <f ca="1">IFERROR(__xludf.DUMMYFUNCTION("""COMPUTED_VALUE"""),0)</f>
        <v>0</v>
      </c>
      <c r="BN433" s="24">
        <f ca="1">IFERROR(__xludf.DUMMYFUNCTION("""COMPUTED_VALUE"""),0)</f>
        <v>0</v>
      </c>
      <c r="BO433" s="20"/>
      <c r="BP433" s="24">
        <f ca="1">IFERROR(__xludf.DUMMYFUNCTION("""COMPUTED_VALUE"""),0)</f>
        <v>0</v>
      </c>
      <c r="BQ433" s="20"/>
      <c r="BR433" s="24">
        <f ca="1">IFERROR(__xludf.DUMMYFUNCTION("""COMPUTED_VALUE"""),0)</f>
        <v>0</v>
      </c>
      <c r="BS433" s="24">
        <f ca="1">IFERROR(__xludf.DUMMYFUNCTION("""COMPUTED_VALUE"""),0)</f>
        <v>0</v>
      </c>
      <c r="BT433" s="24">
        <f ca="1">IFERROR(__xludf.DUMMYFUNCTION("""COMPUTED_VALUE"""),0)</f>
        <v>0</v>
      </c>
      <c r="BU433" s="20"/>
      <c r="BV433" s="24">
        <f ca="1">IFERROR(__xludf.DUMMYFUNCTION("""COMPUTED_VALUE"""),0)</f>
        <v>0</v>
      </c>
      <c r="BW433" s="20"/>
      <c r="BX433" s="20"/>
      <c r="BY433" s="20"/>
      <c r="BZ433" s="20"/>
      <c r="CA433" s="20"/>
      <c r="CB433" s="20"/>
      <c r="CC433" s="20"/>
      <c r="CD433" s="20"/>
      <c r="CE433" s="20"/>
      <c r="CF433" s="20"/>
      <c r="CG433" s="20"/>
      <c r="CH433" s="20"/>
      <c r="CI433" s="20"/>
      <c r="CJ433" s="20"/>
      <c r="CK433" s="20"/>
      <c r="CL433" s="20"/>
      <c r="CM433" s="20"/>
      <c r="CN433" s="20"/>
      <c r="CO433" s="20"/>
      <c r="CP433" s="20"/>
      <c r="CQ433" s="20"/>
      <c r="CR433" s="20"/>
      <c r="CS433" s="20"/>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row>
    <row r="434" spans="1:123" ht="64.5" hidden="1" customHeight="1" x14ac:dyDescent="0.2">
      <c r="A434" s="19"/>
      <c r="B434" s="20" t="str">
        <f ca="1">IFERROR(__xludf.DUMMYFUNCTION("""COMPUTED_VALUE"""),"ЗАТО Власиха")</f>
        <v>ЗАТО Власиха</v>
      </c>
      <c r="C43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4" s="24" t="str">
        <f ca="1">IFERROR(__xludf.DUMMYFUNCTION("""COMPUTED_VALUE"""),"Минкульт")</f>
        <v>Минкульт</v>
      </c>
      <c r="E434" s="20" t="str">
        <f ca="1">IFERROR(__xludf.DUMMYFUNCTION("""COMPUTED_VALUE"""),"Капитальный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f>
        <v xml:space="preserv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v>
      </c>
      <c r="F434" s="32"/>
      <c r="G434" s="20" t="str">
        <f ca="1">IFERROR(__xludf.DUMMYFUNCTION("""COMPUTED_VALUE"""),"2018-2020")</f>
        <v>2018-2020</v>
      </c>
      <c r="H434" s="20"/>
      <c r="I434" s="20"/>
      <c r="J434" s="20"/>
      <c r="K434" s="20"/>
      <c r="L434" s="20"/>
      <c r="M434" s="20"/>
      <c r="N434" s="20">
        <f ca="1">IFERROR(__xludf.DUMMYFUNCTION("""COMPUTED_VALUE"""),0)</f>
        <v>0</v>
      </c>
      <c r="O434" s="20"/>
      <c r="P434" s="20"/>
      <c r="Q434" s="20"/>
      <c r="R434" s="20"/>
      <c r="S434" s="20"/>
      <c r="T434" s="20"/>
      <c r="U434" s="24">
        <f ca="1">IFERROR(__xludf.DUMMYFUNCTION("""COMPUTED_VALUE"""),62635.59)</f>
        <v>62635.59</v>
      </c>
      <c r="V434" s="24">
        <f ca="1">IFERROR(__xludf.DUMMYFUNCTION("""COMPUTED_VALUE"""),0)</f>
        <v>0</v>
      </c>
      <c r="W434" s="24">
        <f ca="1">IFERROR(__xludf.DUMMYFUNCTION("""COMPUTED_VALUE"""),59503.81)</f>
        <v>59503.81</v>
      </c>
      <c r="X434" s="24">
        <f ca="1">IFERROR(__xludf.DUMMYFUNCTION("""COMPUTED_VALUE"""),0)</f>
        <v>0</v>
      </c>
      <c r="Y434" s="24">
        <f ca="1">IFERROR(__xludf.DUMMYFUNCTION("""COMPUTED_VALUE"""),3131.77999999999)</f>
        <v>3131.7799999999902</v>
      </c>
      <c r="Z434" s="24">
        <f ca="1">IFERROR(__xludf.DUMMYFUNCTION("""COMPUTED_VALUE"""),0)</f>
        <v>0</v>
      </c>
      <c r="AA434" s="20"/>
      <c r="AB434" s="20"/>
      <c r="AC434" s="20"/>
      <c r="AD434" s="20"/>
      <c r="AE434" s="20"/>
      <c r="AF434" s="24">
        <f ca="1">IFERROR(__xludf.DUMMYFUNCTION("""COMPUTED_VALUE"""),126565.629999999)</f>
        <v>126565.629999999</v>
      </c>
      <c r="AG434" s="24">
        <f ca="1">IFERROR(__xludf.DUMMYFUNCTION("""COMPUTED_VALUE"""),0)</f>
        <v>0</v>
      </c>
      <c r="AH434" s="24">
        <f ca="1">IFERROR(__xludf.DUMMYFUNCTION("""COMPUTED_VALUE"""),119901.15)</f>
        <v>119901.15</v>
      </c>
      <c r="AI434" s="24">
        <f ca="1">IFERROR(__xludf.DUMMYFUNCTION("""COMPUTED_VALUE"""),0)</f>
        <v>0</v>
      </c>
      <c r="AJ434" s="24">
        <f ca="1">IFERROR(__xludf.DUMMYFUNCTION("""COMPUTED_VALUE"""),6664.48)</f>
        <v>6664.48</v>
      </c>
      <c r="AK434" s="24">
        <f ca="1">IFERROR(__xludf.DUMMYFUNCTION("""COMPUTED_VALUE"""),0)</f>
        <v>0</v>
      </c>
      <c r="AL434" s="24">
        <f ca="1">IFERROR(__xludf.DUMMYFUNCTION("""COMPUTED_VALUE"""),16418.11)</f>
        <v>16418.11</v>
      </c>
      <c r="AM434" s="20"/>
      <c r="AN434" s="24">
        <f ca="1">IFERROR(__xludf.DUMMYFUNCTION("""COMPUTED_VALUE"""),15517.41)</f>
        <v>15517.41</v>
      </c>
      <c r="AO434" s="24">
        <f ca="1">IFERROR(__xludf.DUMMYFUNCTION("""COMPUTED_VALUE"""),0)</f>
        <v>0</v>
      </c>
      <c r="AP434" s="24">
        <f ca="1">IFERROR(__xludf.DUMMYFUNCTION("""COMPUTED_VALUE"""),900.7)</f>
        <v>900.7</v>
      </c>
      <c r="AQ434" s="20"/>
      <c r="AR434" s="24">
        <f ca="1">IFERROR(__xludf.DUMMYFUNCTION("""COMPUTED_VALUE"""),47511.93)</f>
        <v>47511.93</v>
      </c>
      <c r="AS434" s="20"/>
      <c r="AT434" s="24">
        <f ca="1">IFERROR(__xludf.DUMMYFUNCTION("""COMPUTED_VALUE"""),44879.93)</f>
        <v>44879.93</v>
      </c>
      <c r="AU434" s="24">
        <f ca="1">IFERROR(__xludf.DUMMYFUNCTION("""COMPUTED_VALUE"""),0)</f>
        <v>0</v>
      </c>
      <c r="AV434" s="24">
        <f ca="1">IFERROR(__xludf.DUMMYFUNCTION("""COMPUTED_VALUE"""),2632)</f>
        <v>2632</v>
      </c>
      <c r="AW434" s="20"/>
      <c r="AX434" s="24">
        <f ca="1">IFERROR(__xludf.DUMMYFUNCTION("""COMPUTED_VALUE"""),62635.59)</f>
        <v>62635.59</v>
      </c>
      <c r="AY434" s="20"/>
      <c r="AZ434" s="24">
        <f ca="1">IFERROR(__xludf.DUMMYFUNCTION("""COMPUTED_VALUE"""),59503.81)</f>
        <v>59503.81</v>
      </c>
      <c r="BA434" s="24">
        <f ca="1">IFERROR(__xludf.DUMMYFUNCTION("""COMPUTED_VALUE"""),0)</f>
        <v>0</v>
      </c>
      <c r="BB434" s="24">
        <f ca="1">IFERROR(__xludf.DUMMYFUNCTION("""COMPUTED_VALUE"""),3131.77999999999)</f>
        <v>3131.7799999999902</v>
      </c>
      <c r="BC434" s="20"/>
      <c r="BD434" s="24">
        <f ca="1">IFERROR(__xludf.DUMMYFUNCTION("""COMPUTED_VALUE"""),0)</f>
        <v>0</v>
      </c>
      <c r="BE434" s="20"/>
      <c r="BF434" s="24">
        <f ca="1">IFERROR(__xludf.DUMMYFUNCTION("""COMPUTED_VALUE"""),0)</f>
        <v>0</v>
      </c>
      <c r="BG434" s="24">
        <f ca="1">IFERROR(__xludf.DUMMYFUNCTION("""COMPUTED_VALUE"""),0)</f>
        <v>0</v>
      </c>
      <c r="BH434" s="24">
        <f ca="1">IFERROR(__xludf.DUMMYFUNCTION("""COMPUTED_VALUE"""),0)</f>
        <v>0</v>
      </c>
      <c r="BI434" s="20"/>
      <c r="BJ434" s="24">
        <f ca="1">IFERROR(__xludf.DUMMYFUNCTION("""COMPUTED_VALUE"""),0)</f>
        <v>0</v>
      </c>
      <c r="BK434" s="20"/>
      <c r="BL434" s="24">
        <f ca="1">IFERROR(__xludf.DUMMYFUNCTION("""COMPUTED_VALUE"""),0)</f>
        <v>0</v>
      </c>
      <c r="BM434" s="24">
        <f ca="1">IFERROR(__xludf.DUMMYFUNCTION("""COMPUTED_VALUE"""),0)</f>
        <v>0</v>
      </c>
      <c r="BN434" s="24">
        <f ca="1">IFERROR(__xludf.DUMMYFUNCTION("""COMPUTED_VALUE"""),0)</f>
        <v>0</v>
      </c>
      <c r="BO434" s="20"/>
      <c r="BP434" s="24">
        <f ca="1">IFERROR(__xludf.DUMMYFUNCTION("""COMPUTED_VALUE"""),0)</f>
        <v>0</v>
      </c>
      <c r="BQ434" s="20"/>
      <c r="BR434" s="24">
        <f ca="1">IFERROR(__xludf.DUMMYFUNCTION("""COMPUTED_VALUE"""),0)</f>
        <v>0</v>
      </c>
      <c r="BS434" s="24">
        <f ca="1">IFERROR(__xludf.DUMMYFUNCTION("""COMPUTED_VALUE"""),0)</f>
        <v>0</v>
      </c>
      <c r="BT434" s="24">
        <f ca="1">IFERROR(__xludf.DUMMYFUNCTION("""COMPUTED_VALUE"""),0)</f>
        <v>0</v>
      </c>
      <c r="BU434" s="20"/>
      <c r="BV434" s="24">
        <f ca="1">IFERROR(__xludf.DUMMYFUNCTION("""COMPUTED_VALUE"""),0)</f>
        <v>0</v>
      </c>
      <c r="BW434" s="20"/>
      <c r="BX434" s="20"/>
      <c r="BY434" s="20"/>
      <c r="BZ434" s="20"/>
      <c r="CA434" s="20"/>
      <c r="CB434" s="20"/>
      <c r="CC434" s="20"/>
      <c r="CD434" s="20"/>
      <c r="CE434" s="20"/>
      <c r="CF434" s="20"/>
      <c r="CG434" s="20"/>
      <c r="CH434" s="20"/>
      <c r="CI434" s="20"/>
      <c r="CJ434" s="20"/>
      <c r="CK434" s="20"/>
      <c r="CL434" s="20"/>
      <c r="CM434" s="20"/>
      <c r="CN434" s="20"/>
      <c r="CO434" s="20"/>
      <c r="CP434" s="20"/>
      <c r="CQ434" s="20"/>
      <c r="CR434" s="20"/>
      <c r="CS434" s="20"/>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row>
    <row r="435" spans="1:123" ht="64.5" hidden="1" customHeight="1" x14ac:dyDescent="0.2">
      <c r="A435" s="19"/>
      <c r="B435" s="20" t="str">
        <f ca="1">IFERROR(__xludf.DUMMYFUNCTION("""COMPUTED_VALUE"""),"ЗАТО Молодежный")</f>
        <v>ЗАТО Молодежный</v>
      </c>
      <c r="C435"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5" s="24" t="str">
        <f ca="1">IFERROR(__xludf.DUMMYFUNCTION("""COMPUTED_VALUE"""),"МинЖКХ ")</f>
        <v xml:space="preserve">МинЖКХ </v>
      </c>
      <c r="E435" s="20" t="str">
        <f ca="1">IFERROR(__xludf.DUMMYFUNCTION("""COMPUTED_VALUE"""),"Канализационные очистные сооружения хозяйственно-бытовых сточных вод производительностью 1500 куб.м/сут. по адресу: п. Молодежный (в том числе ПИР)")</f>
        <v>Канализационные очистные сооружения хозяйственно-бытовых сточных вод производительностью 1500 куб.м/сут. по адресу: п. Молодежный (в том числе ПИР)</v>
      </c>
      <c r="F435" s="32" t="str">
        <f ca="1">IFERROR(__xludf.DUMMYFUNCTION("""COMPUTED_VALUE"""),"ОС")</f>
        <v>ОС</v>
      </c>
      <c r="G435" s="20" t="str">
        <f ca="1">IFERROR(__xludf.DUMMYFUNCTION("""COMPUTED_VALUE"""),"2016, 2022")</f>
        <v>2016, 2022</v>
      </c>
      <c r="H435" s="20"/>
      <c r="I435" s="23">
        <f ca="1">IFERROR(__xludf.DUMMYFUNCTION("""COMPUTED_VALUE"""),0)</f>
        <v>0</v>
      </c>
      <c r="J435" s="20" t="str">
        <f ca="1">IFERROR(__xludf.DUMMYFUNCTION("""COMPUTED_VALUE"""),"Судебное заседание состоялось 21.07.2020, по итогам, которого подрядчику 
было отказано в иске. Ожидается ответный иск от Администрации. 
Был заключен контракт на проведение 
технического обследования объекта с целью установления 
объемов, качества и стои"&amp;"мости выполненных работ с 
последующим предъявлением подрядчику в суде. 
В результате проведенной экспертизы ГБУ МО ""МОСОБЛСТРОЙЦНИЛ"" 
выявлены нарушения технологических процессов и отступления 
от проектной документации. Заказчик готовит иск в суд с тр"&amp;"ебованием 
о расторжении контракта с устранением всех выявленных недостатков. 
Иск был направлен в суд 24.09.2020 г. 
 17.11.2020 назначены предварительные слушания
 Финансирование перенесено на 2022 год")</f>
        <v>Судебное заседание состоялось 21.07.2020, по итогам, которого подрядчику 
было отказано в иске. Ожидается ответный иск от Администрации. 
Был заключен контракт на проведение 
технического обследования объекта с целью установления 
объемов, качества и стоимости выполненных работ с 
последующим предъявлением подрядчику в суде. 
В результате проведенной экспертизы ГБУ МО "МОСОБЛСТРОЙЦНИЛ" 
выявлены нарушения технологических процессов и отступления 
от проектной документации. Заказчик готовит иск в суд с требованием 
о расторжении контракта с устранением всех выявленных недостатков. 
Иск был направлен в суд 24.09.2020 г. 
 17.11.2020 назначены предварительные слушания
 Финансирование перенесено на 2022 год</v>
      </c>
      <c r="K435" s="20">
        <f ca="1">IFERROR(__xludf.DUMMYFUNCTION("""COMPUTED_VALUE"""),2849)</f>
        <v>2849</v>
      </c>
      <c r="L435" s="20">
        <f ca="1">IFERROR(__xludf.DUMMYFUNCTION("""COMPUTED_VALUE"""),2849)</f>
        <v>2849</v>
      </c>
      <c r="M435" s="20"/>
      <c r="N435" s="24">
        <f ca="1">IFERROR(__xludf.DUMMYFUNCTION("""COMPUTED_VALUE"""),0)</f>
        <v>0</v>
      </c>
      <c r="O435" s="20"/>
      <c r="P435" s="24">
        <f ca="1">IFERROR(__xludf.DUMMYFUNCTION("""COMPUTED_VALUE"""),0)</f>
        <v>0</v>
      </c>
      <c r="Q435" s="20"/>
      <c r="R435" s="20"/>
      <c r="S435" s="20"/>
      <c r="T435" s="20"/>
      <c r="U435" s="24">
        <f ca="1">IFERROR(__xludf.DUMMYFUNCTION("""COMPUTED_VALUE"""),0)</f>
        <v>0</v>
      </c>
      <c r="V435" s="24">
        <f ca="1">IFERROR(__xludf.DUMMYFUNCTION("""COMPUTED_VALUE"""),0)</f>
        <v>0</v>
      </c>
      <c r="W435" s="24">
        <f ca="1">IFERROR(__xludf.DUMMYFUNCTION("""COMPUTED_VALUE"""),0)</f>
        <v>0</v>
      </c>
      <c r="X435" s="24">
        <f ca="1">IFERROR(__xludf.DUMMYFUNCTION("""COMPUTED_VALUE"""),0)</f>
        <v>0</v>
      </c>
      <c r="Y435" s="24">
        <f ca="1">IFERROR(__xludf.DUMMYFUNCTION("""COMPUTED_VALUE"""),0)</f>
        <v>0</v>
      </c>
      <c r="Z435" s="24">
        <f ca="1">IFERROR(__xludf.DUMMYFUNCTION("""COMPUTED_VALUE"""),0)</f>
        <v>0</v>
      </c>
      <c r="AA435" s="20"/>
      <c r="AB435" s="20"/>
      <c r="AC435" s="20"/>
      <c r="AD435" s="20"/>
      <c r="AE435" s="20"/>
      <c r="AF435" s="24">
        <f ca="1">IFERROR(__xludf.DUMMYFUNCTION("""COMPUTED_VALUE"""),111735.62)</f>
        <v>111735.62</v>
      </c>
      <c r="AG435" s="24">
        <f ca="1">IFERROR(__xludf.DUMMYFUNCTION("""COMPUTED_VALUE"""),0)</f>
        <v>0</v>
      </c>
      <c r="AH435" s="24">
        <f ca="1">IFERROR(__xludf.DUMMYFUNCTION("""COMPUTED_VALUE"""),106148.1)</f>
        <v>106148.1</v>
      </c>
      <c r="AI435" s="24">
        <f ca="1">IFERROR(__xludf.DUMMYFUNCTION("""COMPUTED_VALUE"""),0)</f>
        <v>0</v>
      </c>
      <c r="AJ435" s="24">
        <f ca="1">IFERROR(__xludf.DUMMYFUNCTION("""COMPUTED_VALUE"""),5587.52)</f>
        <v>5587.52</v>
      </c>
      <c r="AK435" s="24">
        <f ca="1">IFERROR(__xludf.DUMMYFUNCTION("""COMPUTED_VALUE"""),0)</f>
        <v>0</v>
      </c>
      <c r="AL435" s="24">
        <f ca="1">IFERROR(__xludf.DUMMYFUNCTION("""COMPUTED_VALUE"""),50840.57)</f>
        <v>50840.57</v>
      </c>
      <c r="AM435" s="20"/>
      <c r="AN435" s="24">
        <f ca="1">IFERROR(__xludf.DUMMYFUNCTION("""COMPUTED_VALUE"""),48298.54)</f>
        <v>48298.54</v>
      </c>
      <c r="AO435" s="24">
        <f ca="1">IFERROR(__xludf.DUMMYFUNCTION("""COMPUTED_VALUE"""),0)</f>
        <v>0</v>
      </c>
      <c r="AP435" s="24">
        <f ca="1">IFERROR(__xludf.DUMMYFUNCTION("""COMPUTED_VALUE"""),2542.03)</f>
        <v>2542.0300000000002</v>
      </c>
      <c r="AQ435" s="20"/>
      <c r="AR435" s="24">
        <f ca="1">IFERROR(__xludf.DUMMYFUNCTION("""COMPUTED_VALUE"""),13879.4)</f>
        <v>13879.4</v>
      </c>
      <c r="AS435" s="20"/>
      <c r="AT435" s="24">
        <f ca="1">IFERROR(__xludf.DUMMYFUNCTION("""COMPUTED_VALUE"""),13184.56)</f>
        <v>13184.56</v>
      </c>
      <c r="AU435" s="24">
        <f ca="1">IFERROR(__xludf.DUMMYFUNCTION("""COMPUTED_VALUE"""),0)</f>
        <v>0</v>
      </c>
      <c r="AV435" s="24">
        <f ca="1">IFERROR(__xludf.DUMMYFUNCTION("""COMPUTED_VALUE"""),694.84)</f>
        <v>694.84</v>
      </c>
      <c r="AW435" s="20"/>
      <c r="AX435" s="24">
        <f ca="1">IFERROR(__xludf.DUMMYFUNCTION("""COMPUTED_VALUE"""),0)</f>
        <v>0</v>
      </c>
      <c r="AY435" s="20"/>
      <c r="AZ435" s="24">
        <f ca="1">IFERROR(__xludf.DUMMYFUNCTION("""COMPUTED_VALUE"""),0)</f>
        <v>0</v>
      </c>
      <c r="BA435" s="24">
        <f ca="1">IFERROR(__xludf.DUMMYFUNCTION("""COMPUTED_VALUE"""),0)</f>
        <v>0</v>
      </c>
      <c r="BB435" s="24">
        <f ca="1">IFERROR(__xludf.DUMMYFUNCTION("""COMPUTED_VALUE"""),0)</f>
        <v>0</v>
      </c>
      <c r="BC435" s="20"/>
      <c r="BD435" s="24">
        <f ca="1">IFERROR(__xludf.DUMMYFUNCTION("""COMPUTED_VALUE"""),0)</f>
        <v>0</v>
      </c>
      <c r="BE435" s="20"/>
      <c r="BF435" s="24">
        <f ca="1">IFERROR(__xludf.DUMMYFUNCTION("""COMPUTED_VALUE"""),0)</f>
        <v>0</v>
      </c>
      <c r="BG435" s="24">
        <f ca="1">IFERROR(__xludf.DUMMYFUNCTION("""COMPUTED_VALUE"""),0)</f>
        <v>0</v>
      </c>
      <c r="BH435" s="24">
        <f ca="1">IFERROR(__xludf.DUMMYFUNCTION("""COMPUTED_VALUE"""),0)</f>
        <v>0</v>
      </c>
      <c r="BI435" s="20"/>
      <c r="BJ435" s="24">
        <f ca="1">IFERROR(__xludf.DUMMYFUNCTION("""COMPUTED_VALUE"""),47015.65)</f>
        <v>47015.65</v>
      </c>
      <c r="BK435" s="20"/>
      <c r="BL435" s="24">
        <f ca="1">IFERROR(__xludf.DUMMYFUNCTION("""COMPUTED_VALUE"""),44665)</f>
        <v>44665</v>
      </c>
      <c r="BM435" s="24">
        <f ca="1">IFERROR(__xludf.DUMMYFUNCTION("""COMPUTED_VALUE"""),0)</f>
        <v>0</v>
      </c>
      <c r="BN435" s="24">
        <f ca="1">IFERROR(__xludf.DUMMYFUNCTION("""COMPUTED_VALUE"""),2350.65)</f>
        <v>2350.65</v>
      </c>
      <c r="BO435" s="20"/>
      <c r="BP435" s="24">
        <f ca="1">IFERROR(__xludf.DUMMYFUNCTION("""COMPUTED_VALUE"""),0)</f>
        <v>0</v>
      </c>
      <c r="BQ435" s="20"/>
      <c r="BR435" s="24">
        <f ca="1">IFERROR(__xludf.DUMMYFUNCTION("""COMPUTED_VALUE"""),0)</f>
        <v>0</v>
      </c>
      <c r="BS435" s="24">
        <f ca="1">IFERROR(__xludf.DUMMYFUNCTION("""COMPUTED_VALUE"""),0)</f>
        <v>0</v>
      </c>
      <c r="BT435" s="24">
        <f ca="1">IFERROR(__xludf.DUMMYFUNCTION("""COMPUTED_VALUE"""),0)</f>
        <v>0</v>
      </c>
      <c r="BU435" s="20"/>
      <c r="BV435" s="24">
        <f ca="1">IFERROR(__xludf.DUMMYFUNCTION("""COMPUTED_VALUE"""),0)</f>
        <v>0</v>
      </c>
      <c r="BW435" s="20"/>
      <c r="BX435" s="20"/>
      <c r="BY435" s="20"/>
      <c r="BZ435" s="20"/>
      <c r="CA435" s="20"/>
      <c r="CB435" s="20"/>
      <c r="CC435" s="20"/>
      <c r="CD435" s="20"/>
      <c r="CE435" s="20"/>
      <c r="CF435" s="20"/>
      <c r="CG435" s="20"/>
      <c r="CH435" s="20"/>
      <c r="CI435" s="20"/>
      <c r="CJ435" s="20"/>
      <c r="CK435" s="20"/>
      <c r="CL435" s="20"/>
      <c r="CM435" s="20"/>
      <c r="CN435" s="20"/>
      <c r="CO435" s="20"/>
      <c r="CP435" s="20"/>
      <c r="CQ435" s="20"/>
      <c r="CR435" s="20"/>
      <c r="CS435" s="20"/>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row>
    <row r="436" spans="1:123" ht="64.5" hidden="1" customHeight="1" x14ac:dyDescent="0.2">
      <c r="A436" s="19"/>
      <c r="B436" s="20" t="str">
        <f ca="1">IFERROR(__xludf.DUMMYFUNCTION("""COMPUTED_VALUE"""),"ЗАТО Молодежный")</f>
        <v>ЗАТО Молодежный</v>
      </c>
      <c r="C43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6" s="24" t="str">
        <f ca="1">IFERROR(__xludf.DUMMYFUNCTION("""COMPUTED_VALUE"""),"Минстрой")</f>
        <v>Минстрой</v>
      </c>
      <c r="E436" s="20" t="str">
        <f ca="1">IFERROR(__xludf.DUMMYFUNCTION("""COMPUTED_VALUE"""),"Физкультурно-оздоровительный комплекс с универсальным спортивным залом (ПИР и строительство) в ЗАТО Молодежный")</f>
        <v>Физкультурно-оздоровительный комплекс с универсальным спортивным залом (ПИР и строительство) в ЗАТО Молодежный</v>
      </c>
      <c r="F436" s="32"/>
      <c r="G436" s="20" t="str">
        <f ca="1">IFERROR(__xludf.DUMMYFUNCTION("""COMPUTED_VALUE"""),"2018-2020")</f>
        <v>2018-2020</v>
      </c>
      <c r="H436" s="20"/>
      <c r="I436" s="20"/>
      <c r="J436" s="20"/>
      <c r="K436" s="20"/>
      <c r="L436" s="20"/>
      <c r="M436" s="20"/>
      <c r="N436" s="20">
        <f ca="1">IFERROR(__xludf.DUMMYFUNCTION("""COMPUTED_VALUE"""),0)</f>
        <v>0</v>
      </c>
      <c r="O436" s="20"/>
      <c r="P436" s="20"/>
      <c r="Q436" s="20"/>
      <c r="R436" s="20"/>
      <c r="S436" s="20"/>
      <c r="T436" s="20"/>
      <c r="U436" s="24">
        <f ca="1">IFERROR(__xludf.DUMMYFUNCTION("""COMPUTED_VALUE"""),0)</f>
        <v>0</v>
      </c>
      <c r="V436" s="24">
        <f ca="1">IFERROR(__xludf.DUMMYFUNCTION("""COMPUTED_VALUE"""),0)</f>
        <v>0</v>
      </c>
      <c r="W436" s="24">
        <f ca="1">IFERROR(__xludf.DUMMYFUNCTION("""COMPUTED_VALUE"""),0)</f>
        <v>0</v>
      </c>
      <c r="X436" s="24">
        <f ca="1">IFERROR(__xludf.DUMMYFUNCTION("""COMPUTED_VALUE"""),0)</f>
        <v>0</v>
      </c>
      <c r="Y436" s="24">
        <f ca="1">IFERROR(__xludf.DUMMYFUNCTION("""COMPUTED_VALUE"""),0)</f>
        <v>0</v>
      </c>
      <c r="Z436" s="24">
        <f ca="1">IFERROR(__xludf.DUMMYFUNCTION("""COMPUTED_VALUE"""),0)</f>
        <v>0</v>
      </c>
      <c r="AA436" s="20"/>
      <c r="AB436" s="20"/>
      <c r="AC436" s="20"/>
      <c r="AD436" s="20"/>
      <c r="AE436" s="20"/>
      <c r="AF436" s="24">
        <f ca="1">IFERROR(__xludf.DUMMYFUNCTION("""COMPUTED_VALUE"""),15000)</f>
        <v>15000</v>
      </c>
      <c r="AG436" s="24">
        <f ca="1">IFERROR(__xludf.DUMMYFUNCTION("""COMPUTED_VALUE"""),0)</f>
        <v>0</v>
      </c>
      <c r="AH436" s="24">
        <f ca="1">IFERROR(__xludf.DUMMYFUNCTION("""COMPUTED_VALUE"""),14250)</f>
        <v>14250</v>
      </c>
      <c r="AI436" s="24">
        <f ca="1">IFERROR(__xludf.DUMMYFUNCTION("""COMPUTED_VALUE"""),0)</f>
        <v>0</v>
      </c>
      <c r="AJ436" s="24">
        <f ca="1">IFERROR(__xludf.DUMMYFUNCTION("""COMPUTED_VALUE"""),750)</f>
        <v>750</v>
      </c>
      <c r="AK436" s="24">
        <f ca="1">IFERROR(__xludf.DUMMYFUNCTION("""COMPUTED_VALUE"""),0)</f>
        <v>0</v>
      </c>
      <c r="AL436" s="24">
        <f ca="1">IFERROR(__xludf.DUMMYFUNCTION("""COMPUTED_VALUE"""),15000)</f>
        <v>15000</v>
      </c>
      <c r="AM436" s="20"/>
      <c r="AN436" s="24">
        <f ca="1">IFERROR(__xludf.DUMMYFUNCTION("""COMPUTED_VALUE"""),14250)</f>
        <v>14250</v>
      </c>
      <c r="AO436" s="24">
        <f ca="1">IFERROR(__xludf.DUMMYFUNCTION("""COMPUTED_VALUE"""),0)</f>
        <v>0</v>
      </c>
      <c r="AP436" s="24">
        <f ca="1">IFERROR(__xludf.DUMMYFUNCTION("""COMPUTED_VALUE"""),750)</f>
        <v>750</v>
      </c>
      <c r="AQ436" s="20"/>
      <c r="AR436" s="24">
        <f ca="1">IFERROR(__xludf.DUMMYFUNCTION("""COMPUTED_VALUE"""),0)</f>
        <v>0</v>
      </c>
      <c r="AS436" s="20"/>
      <c r="AT436" s="24">
        <f ca="1">IFERROR(__xludf.DUMMYFUNCTION("""COMPUTED_VALUE"""),0)</f>
        <v>0</v>
      </c>
      <c r="AU436" s="24">
        <f ca="1">IFERROR(__xludf.DUMMYFUNCTION("""COMPUTED_VALUE"""),0)</f>
        <v>0</v>
      </c>
      <c r="AV436" s="24">
        <f ca="1">IFERROR(__xludf.DUMMYFUNCTION("""COMPUTED_VALUE"""),0)</f>
        <v>0</v>
      </c>
      <c r="AW436" s="20"/>
      <c r="AX436" s="24">
        <f ca="1">IFERROR(__xludf.DUMMYFUNCTION("""COMPUTED_VALUE"""),0)</f>
        <v>0</v>
      </c>
      <c r="AY436" s="20"/>
      <c r="AZ436" s="24">
        <f ca="1">IFERROR(__xludf.DUMMYFUNCTION("""COMPUTED_VALUE"""),0)</f>
        <v>0</v>
      </c>
      <c r="BA436" s="24">
        <f ca="1">IFERROR(__xludf.DUMMYFUNCTION("""COMPUTED_VALUE"""),0)</f>
        <v>0</v>
      </c>
      <c r="BB436" s="24">
        <f ca="1">IFERROR(__xludf.DUMMYFUNCTION("""COMPUTED_VALUE"""),0)</f>
        <v>0</v>
      </c>
      <c r="BC436" s="20"/>
      <c r="BD436" s="24">
        <f ca="1">IFERROR(__xludf.DUMMYFUNCTION("""COMPUTED_VALUE"""),0)</f>
        <v>0</v>
      </c>
      <c r="BE436" s="20"/>
      <c r="BF436" s="24">
        <f ca="1">IFERROR(__xludf.DUMMYFUNCTION("""COMPUTED_VALUE"""),0)</f>
        <v>0</v>
      </c>
      <c r="BG436" s="24">
        <f ca="1">IFERROR(__xludf.DUMMYFUNCTION("""COMPUTED_VALUE"""),0)</f>
        <v>0</v>
      </c>
      <c r="BH436" s="24">
        <f ca="1">IFERROR(__xludf.DUMMYFUNCTION("""COMPUTED_VALUE"""),0)</f>
        <v>0</v>
      </c>
      <c r="BI436" s="20"/>
      <c r="BJ436" s="24">
        <f ca="1">IFERROR(__xludf.DUMMYFUNCTION("""COMPUTED_VALUE"""),0)</f>
        <v>0</v>
      </c>
      <c r="BK436" s="20"/>
      <c r="BL436" s="24">
        <f ca="1">IFERROR(__xludf.DUMMYFUNCTION("""COMPUTED_VALUE"""),0)</f>
        <v>0</v>
      </c>
      <c r="BM436" s="24">
        <f ca="1">IFERROR(__xludf.DUMMYFUNCTION("""COMPUTED_VALUE"""),0)</f>
        <v>0</v>
      </c>
      <c r="BN436" s="24">
        <f ca="1">IFERROR(__xludf.DUMMYFUNCTION("""COMPUTED_VALUE"""),0)</f>
        <v>0</v>
      </c>
      <c r="BO436" s="20"/>
      <c r="BP436" s="24">
        <f ca="1">IFERROR(__xludf.DUMMYFUNCTION("""COMPUTED_VALUE"""),0)</f>
        <v>0</v>
      </c>
      <c r="BQ436" s="20"/>
      <c r="BR436" s="24">
        <f ca="1">IFERROR(__xludf.DUMMYFUNCTION("""COMPUTED_VALUE"""),0)</f>
        <v>0</v>
      </c>
      <c r="BS436" s="24">
        <f ca="1">IFERROR(__xludf.DUMMYFUNCTION("""COMPUTED_VALUE"""),0)</f>
        <v>0</v>
      </c>
      <c r="BT436" s="24">
        <f ca="1">IFERROR(__xludf.DUMMYFUNCTION("""COMPUTED_VALUE"""),0)</f>
        <v>0</v>
      </c>
      <c r="BU436" s="20"/>
      <c r="BV436" s="24">
        <f ca="1">IFERROR(__xludf.DUMMYFUNCTION("""COMPUTED_VALUE"""),0)</f>
        <v>0</v>
      </c>
      <c r="BW436" s="20"/>
      <c r="BX436" s="20"/>
      <c r="BY436" s="20"/>
      <c r="BZ436" s="20"/>
      <c r="CA436" s="20"/>
      <c r="CB436" s="20"/>
      <c r="CC436" s="20"/>
      <c r="CD436" s="20"/>
      <c r="CE436" s="20"/>
      <c r="CF436" s="20"/>
      <c r="CG436" s="20"/>
      <c r="CH436" s="20"/>
      <c r="CI436" s="20"/>
      <c r="CJ436" s="20"/>
      <c r="CK436" s="20"/>
      <c r="CL436" s="20"/>
      <c r="CM436" s="20"/>
      <c r="CN436" s="20"/>
      <c r="CO436" s="20"/>
      <c r="CP436" s="20"/>
      <c r="CQ436" s="20"/>
      <c r="CR436" s="20"/>
      <c r="CS436" s="20"/>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row>
    <row r="437" spans="1:123" ht="64.5" customHeight="1" x14ac:dyDescent="0.2">
      <c r="A437" s="19"/>
      <c r="B437" s="20" t="str">
        <f ca="1">IFERROR(__xludf.DUMMYFUNCTION("""COMPUTED_VALUE"""),"г.о. Коломенский")</f>
        <v>г.о. Коломенский</v>
      </c>
      <c r="C43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7" s="24" t="str">
        <f ca="1">IFERROR(__xludf.DUMMYFUNCTION("""COMPUTED_VALUE"""),"МинЖКХ ")</f>
        <v xml:space="preserve">МинЖКХ </v>
      </c>
      <c r="E437" s="20" t="str">
        <f ca="1">IFERROR(__xludf.DUMMYFUNCTION("""COMPUTED_VALUE"""),"Реконструкция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f>
        <v>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v>
      </c>
      <c r="F437" s="40" t="str">
        <f ca="1">IFERROR(__xludf.DUMMYFUNCTION("""COMPUTED_VALUE"""),"Сети")</f>
        <v>Сети</v>
      </c>
      <c r="G437" s="41" t="str">
        <f ca="1">IFERROR(__xludf.DUMMYFUNCTION("""COMPUTED_VALUE"""),"2019-2020")</f>
        <v>2019-2020</v>
      </c>
      <c r="H437" s="24" t="str">
        <f ca="1">IFERROR(__xludf.DUMMYFUNCTION("""COMPUTED_VALUE"""),"Вып")</f>
        <v>Вып</v>
      </c>
      <c r="I437" s="20">
        <f ca="1">IFERROR(__xludf.DUMMYFUNCTION("""COMPUTED_VALUE"""),100)</f>
        <v>100</v>
      </c>
      <c r="J437" s="20" t="str">
        <f ca="1">IFERROR(__xludf.DUMMYFUNCTION("""COMPUTED_VALUE"""),"Объект введен в эксплуатацию 24.08.2020
Кредиторская задолженность за 2019 год оплачена 
(377,72 тыс. руб. в 2020 году). 
Работы выполнены в 2020 году. 
Документы на оплату работ за 2020 год 
подвешены в ПИК (41 179 274,79 руб.) 
Письмо  разбивкой денежн"&amp;"ых средств и экономией в ходе СМР от 28.12.2020 115Исх-13979/2020")</f>
        <v>Объект введен в эксплуатацию 24.08.2020
Кредиторская задолженность за 2019 год оплачена 
(377,72 тыс. руб. в 2020 году). 
Работы выполнены в 2020 году. 
Документы на оплату работ за 2020 год 
подвешены в ПИК (41 179 274,79 руб.) 
Письмо  разбивкой денежных средств и экономией в ходе СМР от 28.12.2020 115Исх-13979/2020</v>
      </c>
      <c r="K437" s="20">
        <f ca="1">IFERROR(__xludf.DUMMYFUNCTION("""COMPUTED_VALUE"""),1935)</f>
        <v>1935</v>
      </c>
      <c r="L437" s="20">
        <f ca="1">IFERROR(__xludf.DUMMYFUNCTION("""COMPUTED_VALUE"""),1935)</f>
        <v>1935</v>
      </c>
      <c r="M437" s="20"/>
      <c r="N437" s="24">
        <f ca="1">IFERROR(__xludf.DUMMYFUNCTION("""COMPUTED_VALUE"""),40322.18)</f>
        <v>40322.18</v>
      </c>
      <c r="O437" s="20"/>
      <c r="P437" s="20"/>
      <c r="Q437" s="24">
        <f ca="1">IFERROR(__xludf.DUMMYFUNCTION("""COMPUTED_VALUE"""),40322.18)</f>
        <v>40322.18</v>
      </c>
      <c r="R437" s="20"/>
      <c r="S437" s="20"/>
      <c r="T437" s="20"/>
      <c r="U437" s="24">
        <f ca="1">IFERROR(__xludf.DUMMYFUNCTION("""COMPUTED_VALUE"""),2991.18)</f>
        <v>2991.18</v>
      </c>
      <c r="V437" s="24">
        <f ca="1">IFERROR(__xludf.DUMMYFUNCTION("""COMPUTED_VALUE"""),0)</f>
        <v>0</v>
      </c>
      <c r="W437" s="24">
        <f ca="1">IFERROR(__xludf.DUMMYFUNCTION("""COMPUTED_VALUE"""),0)</f>
        <v>0</v>
      </c>
      <c r="X437" s="24">
        <f ca="1">IFERROR(__xludf.DUMMYFUNCTION("""COMPUTED_VALUE"""),844.54)</f>
        <v>844.54</v>
      </c>
      <c r="Y437" s="24">
        <f ca="1">IFERROR(__xludf.DUMMYFUNCTION("""COMPUTED_VALUE"""),2146.64)</f>
        <v>2146.64</v>
      </c>
      <c r="Z437" s="24">
        <f ca="1">IFERROR(__xludf.DUMMYFUNCTION("""COMPUTED_VALUE"""),0)</f>
        <v>0</v>
      </c>
      <c r="AA437" s="20" t="str">
        <f ca="1">IFERROR(__xludf.DUMMYFUNCTION("""COMPUTED_VALUE"""),"10 3 03 64460")</f>
        <v>10 3 03 64460</v>
      </c>
      <c r="AB437" s="20">
        <f ca="1">IFERROR(__xludf.DUMMYFUNCTION("""COMPUTED_VALUE"""),522)</f>
        <v>522</v>
      </c>
      <c r="AC437" s="20" t="str">
        <f ca="1">IFERROR(__xludf.DUMMYFUNCTION("""COMPUTED_VALUE"""),"да")</f>
        <v>да</v>
      </c>
      <c r="AD437" s="20"/>
      <c r="AE437" s="20" t="str">
        <f ca="1">IFERROR(__xludf.DUMMYFUNCTION("""COMPUTED_VALUE"""),"№429 от 07.08.2019")</f>
        <v>№429 от 07.08.2019</v>
      </c>
      <c r="AF437" s="24">
        <f ca="1">IFERROR(__xludf.DUMMYFUNCTION("""COMPUTED_VALUE"""),63910.29)</f>
        <v>63910.29</v>
      </c>
      <c r="AG437" s="24">
        <f ca="1">IFERROR(__xludf.DUMMYFUNCTION("""COMPUTED_VALUE"""),0)</f>
        <v>0</v>
      </c>
      <c r="AH437" s="24">
        <f ca="1">IFERROR(__xludf.DUMMYFUNCTION("""COMPUTED_VALUE"""),19548.06)</f>
        <v>19548.060000000001</v>
      </c>
      <c r="AI437" s="24">
        <f ca="1">IFERROR(__xludf.DUMMYFUNCTION("""COMPUTED_VALUE"""),41166.72)</f>
        <v>41166.720000000001</v>
      </c>
      <c r="AJ437" s="24">
        <f ca="1">IFERROR(__xludf.DUMMYFUNCTION("""COMPUTED_VALUE"""),3195.50999999999)</f>
        <v>3195.5099999999902</v>
      </c>
      <c r="AK437" s="24">
        <f ca="1">IFERROR(__xludf.DUMMYFUNCTION("""COMPUTED_VALUE"""),0)</f>
        <v>0</v>
      </c>
      <c r="AL437" s="24">
        <f ca="1">IFERROR(__xludf.DUMMYFUNCTION("""COMPUTED_VALUE"""),0)</f>
        <v>0</v>
      </c>
      <c r="AM437" s="20"/>
      <c r="AN437" s="24">
        <f ca="1">IFERROR(__xludf.DUMMYFUNCTION("""COMPUTED_VALUE"""),0)</f>
        <v>0</v>
      </c>
      <c r="AO437" s="24">
        <f ca="1">IFERROR(__xludf.DUMMYFUNCTION("""COMPUTED_VALUE"""),0)</f>
        <v>0</v>
      </c>
      <c r="AP437" s="24">
        <f ca="1">IFERROR(__xludf.DUMMYFUNCTION("""COMPUTED_VALUE"""),0)</f>
        <v>0</v>
      </c>
      <c r="AQ437" s="20"/>
      <c r="AR437" s="24">
        <f ca="1">IFERROR(__xludf.DUMMYFUNCTION("""COMPUTED_VALUE"""),20596.93)</f>
        <v>20596.93</v>
      </c>
      <c r="AS437" s="20"/>
      <c r="AT437" s="24">
        <f ca="1">IFERROR(__xludf.DUMMYFUNCTION("""COMPUTED_VALUE"""),19548.06)</f>
        <v>19548.060000000001</v>
      </c>
      <c r="AU437" s="24">
        <f ca="1">IFERROR(__xludf.DUMMYFUNCTION("""COMPUTED_VALUE"""),0)</f>
        <v>0</v>
      </c>
      <c r="AV437" s="24">
        <f ca="1">IFERROR(__xludf.DUMMYFUNCTION("""COMPUTED_VALUE"""),1048.87)</f>
        <v>1048.8699999999999</v>
      </c>
      <c r="AW437" s="20"/>
      <c r="AX437" s="24">
        <f ca="1">IFERROR(__xludf.DUMMYFUNCTION("""COMPUTED_VALUE"""),43313.36)</f>
        <v>43313.36</v>
      </c>
      <c r="AY437" s="20"/>
      <c r="AZ437" s="24">
        <f ca="1">IFERROR(__xludf.DUMMYFUNCTION("""COMPUTED_VALUE"""),0)</f>
        <v>0</v>
      </c>
      <c r="BA437" s="24">
        <f ca="1">IFERROR(__xludf.DUMMYFUNCTION("""COMPUTED_VALUE"""),41166.72)</f>
        <v>41166.720000000001</v>
      </c>
      <c r="BB437" s="24">
        <f ca="1">IFERROR(__xludf.DUMMYFUNCTION("""COMPUTED_VALUE"""),2146.64)</f>
        <v>2146.64</v>
      </c>
      <c r="BC437" s="20"/>
      <c r="BD437" s="24">
        <f ca="1">IFERROR(__xludf.DUMMYFUNCTION("""COMPUTED_VALUE"""),0)</f>
        <v>0</v>
      </c>
      <c r="BE437" s="20"/>
      <c r="BF437" s="24">
        <f ca="1">IFERROR(__xludf.DUMMYFUNCTION("""COMPUTED_VALUE"""),0)</f>
        <v>0</v>
      </c>
      <c r="BG437" s="24">
        <f ca="1">IFERROR(__xludf.DUMMYFUNCTION("""COMPUTED_VALUE"""),0)</f>
        <v>0</v>
      </c>
      <c r="BH437" s="24">
        <f ca="1">IFERROR(__xludf.DUMMYFUNCTION("""COMPUTED_VALUE"""),0)</f>
        <v>0</v>
      </c>
      <c r="BI437" s="20"/>
      <c r="BJ437" s="24">
        <f ca="1">IFERROR(__xludf.DUMMYFUNCTION("""COMPUTED_VALUE"""),0)</f>
        <v>0</v>
      </c>
      <c r="BK437" s="20"/>
      <c r="BL437" s="24">
        <f ca="1">IFERROR(__xludf.DUMMYFUNCTION("""COMPUTED_VALUE"""),0)</f>
        <v>0</v>
      </c>
      <c r="BM437" s="24">
        <f ca="1">IFERROR(__xludf.DUMMYFUNCTION("""COMPUTED_VALUE"""),0)</f>
        <v>0</v>
      </c>
      <c r="BN437" s="24">
        <f ca="1">IFERROR(__xludf.DUMMYFUNCTION("""COMPUTED_VALUE"""),0)</f>
        <v>0</v>
      </c>
      <c r="BO437" s="20"/>
      <c r="BP437" s="24">
        <f ca="1">IFERROR(__xludf.DUMMYFUNCTION("""COMPUTED_VALUE"""),0)</f>
        <v>0</v>
      </c>
      <c r="BQ437" s="20"/>
      <c r="BR437" s="24">
        <f ca="1">IFERROR(__xludf.DUMMYFUNCTION("""COMPUTED_VALUE"""),0)</f>
        <v>0</v>
      </c>
      <c r="BS437" s="24">
        <f ca="1">IFERROR(__xludf.DUMMYFUNCTION("""COMPUTED_VALUE"""),0)</f>
        <v>0</v>
      </c>
      <c r="BT437" s="24">
        <f ca="1">IFERROR(__xludf.DUMMYFUNCTION("""COMPUTED_VALUE"""),0)</f>
        <v>0</v>
      </c>
      <c r="BU437" s="20"/>
      <c r="BV437" s="24">
        <f ca="1">IFERROR(__xludf.DUMMYFUNCTION("""COMPUTED_VALUE"""),0)</f>
        <v>0</v>
      </c>
      <c r="BW437" s="20"/>
      <c r="BX437" s="20"/>
      <c r="BY437" s="20"/>
      <c r="BZ437" s="20"/>
      <c r="CA437" s="20"/>
      <c r="CB437" s="20"/>
      <c r="CC437" s="26">
        <f ca="1">IFERROR(__xludf.DUMMYFUNCTION("""COMPUTED_VALUE"""),43314)</f>
        <v>43314</v>
      </c>
      <c r="CD437" s="20" t="str">
        <f ca="1">IFERROR(__xludf.DUMMYFUNCTION("""COMPUTED_VALUE"""),"0848600002718000552")</f>
        <v>0848600002718000552</v>
      </c>
      <c r="CE437" s="26">
        <f ca="1">IFERROR(__xludf.DUMMYFUNCTION("""COMPUTED_VALUE"""),43347)</f>
        <v>43347</v>
      </c>
      <c r="CF437" s="20" t="str">
        <f ca="1">IFERROR(__xludf.DUMMYFUNCTION("""COMPUTED_VALUE"""),"0848600002718000552")</f>
        <v>0848600002718000552</v>
      </c>
      <c r="CG437" s="20" t="str">
        <f ca="1">IFERROR(__xludf.DUMMYFUNCTION("""COMPUTED_VALUE"""),"3 593 000,00")</f>
        <v>3 593 000,00</v>
      </c>
      <c r="CH437" s="20" t="str">
        <f ca="1">IFERROR(__xludf.DUMMYFUNCTION("""COMPUTED_VALUE"""),"ОАО ""ГРАЖДАНПРОЕКТ""")</f>
        <v>ОАО "ГРАЖДАНПРОЕКТ"</v>
      </c>
      <c r="CI437" s="27" t="str">
        <f ca="1">IFERROR(__xludf.DUMMYFUNCTION("""COMPUTED_VALUE"""),"https://zakupki.gov.ru/epz/contract/search/results.html?searchString=&amp;orderNumber=0848600002718000552&amp;openMode=USE_DEFAULT_PARAMS&amp;fz44=on&amp;priceFrom=0&amp;priceTo=200000000000&amp;contractStageList=0%2C1%2C2%2C3&amp;budgetaryFunds=on&amp;extraBudgetaryFunds=on")</f>
        <v>https://zakupki.gov.ru/epz/contract/search/results.html?searchString=&amp;orderNumber=0848600002718000552&amp;openMode=USE_DEFAULT_PARAMS&amp;fz44=on&amp;priceFrom=0&amp;priceTo=200000000000&amp;contractStageList=0%2C1%2C2%2C3&amp;budgetaryFunds=on&amp;extraBudgetaryFunds=on</v>
      </c>
      <c r="CJ437" s="26">
        <f ca="1">IFERROR(__xludf.DUMMYFUNCTION("""COMPUTED_VALUE"""),43430)</f>
        <v>43430</v>
      </c>
      <c r="CK437" s="33">
        <f ca="1">IFERROR(__xludf.DUMMYFUNCTION("""COMPUTED_VALUE"""),43463)</f>
        <v>43463</v>
      </c>
      <c r="CL437" s="20" t="str">
        <f ca="1">IFERROR(__xludf.DUMMYFUNCTION("""COMPUTED_VALUE"""),"№ 50-1-1-3-2028-18")</f>
        <v>№ 50-1-1-3-2028-18</v>
      </c>
      <c r="CM437" s="26">
        <f ca="1">IFERROR(__xludf.DUMMYFUNCTION("""COMPUTED_VALUE"""),43623)</f>
        <v>43623</v>
      </c>
      <c r="CN437" s="20" t="str">
        <f ca="1">IFERROR(__xludf.DUMMYFUNCTION("""COMPUTED_VALUE"""),"0148200005419000257")</f>
        <v>0148200005419000257</v>
      </c>
      <c r="CO437" s="26">
        <f ca="1">IFERROR(__xludf.DUMMYFUNCTION("""COMPUTED_VALUE"""),43670)</f>
        <v>43670</v>
      </c>
      <c r="CP437" s="20" t="str">
        <f ca="1">IFERROR(__xludf.DUMMYFUNCTION("""COMPUTED_VALUE"""),"0148200005419000257")</f>
        <v>0148200005419000257</v>
      </c>
      <c r="CQ437" s="24">
        <f ca="1">IFERROR(__xludf.DUMMYFUNCTION("""COMPUTED_VALUE"""),58235855.59)</f>
        <v>58235855.590000004</v>
      </c>
      <c r="CR437" s="20" t="str">
        <f ca="1">IFERROR(__xludf.DUMMYFUNCTION("""COMPUTED_VALUE"""),"МКСМ")</f>
        <v>МКСМ</v>
      </c>
      <c r="CS437" s="27" t="str">
        <f ca="1">IFERROR(__xludf.DUMMYFUNCTION("""COMPUTED_VALUE"""),"https://zakupki.gov.ru/epz/contract/search/results.html?searchString=&amp;orderNumber=0148200005419000257&amp;openMode=USE_DEFAULT_PARAMS&amp;fz44=on&amp;priceFrom=0&amp;priceTo=200000000000&amp;contractStageList=0%2C1%2C2%2C3&amp;budgetaryFunds=on&amp;extraBudgetaryFunds=on")</f>
        <v>https://zakupki.gov.ru/epz/contract/search/results.html?searchString=&amp;orderNumber=0148200005419000257&amp;openMode=USE_DEFAULT_PARAMS&amp;fz44=on&amp;priceFrom=0&amp;priceTo=200000000000&amp;contractStageList=0%2C1%2C2%2C3&amp;budgetaryFunds=on&amp;extraBudgetaryFunds=on</v>
      </c>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row>
    <row r="438" spans="1:123" ht="64.5" hidden="1" customHeight="1" x14ac:dyDescent="0.2">
      <c r="A438" s="19"/>
      <c r="B438" s="20" t="str">
        <f ca="1">IFERROR(__xludf.DUMMYFUNCTION("""COMPUTED_VALUE"""),"г.о. Звездный городок")</f>
        <v>г.о. Звездный городок</v>
      </c>
      <c r="C438"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38" s="24" t="str">
        <f ca="1">IFERROR(__xludf.DUMMYFUNCTION("""COMPUTED_VALUE"""),"МинЖКХ ")</f>
        <v xml:space="preserve">МинЖКХ </v>
      </c>
      <c r="E438" s="20" t="str">
        <f ca="1">IFERROR(__xludf.DUMMYFUNCTION("""COMPUTED_VALUE"""),"Реконструкция инженерных сетей на территории городского округа Звездный городок Московской области
 ")</f>
        <v xml:space="preserve">Реконструкция инженерных сетей на территории городского округа Звездный городок Московской области
 </v>
      </c>
      <c r="F438" s="32" t="str">
        <f ca="1">IFERROR(__xludf.DUMMYFUNCTION("""COMPUTED_VALUE"""),"Сети")</f>
        <v>Сети</v>
      </c>
      <c r="G438" s="20">
        <f ca="1">IFERROR(__xludf.DUMMYFUNCTION("""COMPUTED_VALUE"""),2019)</f>
        <v>2019</v>
      </c>
      <c r="H438" s="20"/>
      <c r="I438" s="20"/>
      <c r="J438" s="20"/>
      <c r="K438" s="20"/>
      <c r="L438" s="20"/>
      <c r="M438" s="20"/>
      <c r="N438" s="20">
        <f ca="1">IFERROR(__xludf.DUMMYFUNCTION("""COMPUTED_VALUE"""),0)</f>
        <v>0</v>
      </c>
      <c r="O438" s="20"/>
      <c r="P438" s="20"/>
      <c r="Q438" s="20"/>
      <c r="R438" s="20"/>
      <c r="S438" s="20"/>
      <c r="T438" s="20"/>
      <c r="U438" s="24">
        <f ca="1">IFERROR(__xludf.DUMMYFUNCTION("""COMPUTED_VALUE"""),0)</f>
        <v>0</v>
      </c>
      <c r="V438" s="24">
        <f ca="1">IFERROR(__xludf.DUMMYFUNCTION("""COMPUTED_VALUE"""),0)</f>
        <v>0</v>
      </c>
      <c r="W438" s="24">
        <f ca="1">IFERROR(__xludf.DUMMYFUNCTION("""COMPUTED_VALUE"""),0)</f>
        <v>0</v>
      </c>
      <c r="X438" s="24">
        <f ca="1">IFERROR(__xludf.DUMMYFUNCTION("""COMPUTED_VALUE"""),0)</f>
        <v>0</v>
      </c>
      <c r="Y438" s="24">
        <f ca="1">IFERROR(__xludf.DUMMYFUNCTION("""COMPUTED_VALUE"""),0)</f>
        <v>0</v>
      </c>
      <c r="Z438" s="24">
        <f ca="1">IFERROR(__xludf.DUMMYFUNCTION("""COMPUTED_VALUE"""),0)</f>
        <v>0</v>
      </c>
      <c r="AA438" s="20"/>
      <c r="AB438" s="20"/>
      <c r="AC438" s="20"/>
      <c r="AD438" s="20"/>
      <c r="AE438" s="20"/>
      <c r="AF438" s="24">
        <f ca="1">IFERROR(__xludf.DUMMYFUNCTION("""COMPUTED_VALUE"""),29892.91)</f>
        <v>29892.91</v>
      </c>
      <c r="AG438" s="24">
        <f ca="1">IFERROR(__xludf.DUMMYFUNCTION("""COMPUTED_VALUE"""),0)</f>
        <v>0</v>
      </c>
      <c r="AH438" s="24">
        <f ca="1">IFERROR(__xludf.DUMMYFUNCTION("""COMPUTED_VALUE"""),28398.24)</f>
        <v>28398.240000000002</v>
      </c>
      <c r="AI438" s="24">
        <f ca="1">IFERROR(__xludf.DUMMYFUNCTION("""COMPUTED_VALUE"""),0)</f>
        <v>0</v>
      </c>
      <c r="AJ438" s="24">
        <f ca="1">IFERROR(__xludf.DUMMYFUNCTION("""COMPUTED_VALUE"""),1494.67)</f>
        <v>1494.67</v>
      </c>
      <c r="AK438" s="24">
        <f ca="1">IFERROR(__xludf.DUMMYFUNCTION("""COMPUTED_VALUE"""),0)</f>
        <v>0</v>
      </c>
      <c r="AL438" s="24">
        <f ca="1">IFERROR(__xludf.DUMMYFUNCTION("""COMPUTED_VALUE"""),0)</f>
        <v>0</v>
      </c>
      <c r="AM438" s="20"/>
      <c r="AN438" s="24">
        <f ca="1">IFERROR(__xludf.DUMMYFUNCTION("""COMPUTED_VALUE"""),0)</f>
        <v>0</v>
      </c>
      <c r="AO438" s="24">
        <f ca="1">IFERROR(__xludf.DUMMYFUNCTION("""COMPUTED_VALUE"""),0)</f>
        <v>0</v>
      </c>
      <c r="AP438" s="24">
        <f ca="1">IFERROR(__xludf.DUMMYFUNCTION("""COMPUTED_VALUE"""),0)</f>
        <v>0</v>
      </c>
      <c r="AQ438" s="20"/>
      <c r="AR438" s="24">
        <f ca="1">IFERROR(__xludf.DUMMYFUNCTION("""COMPUTED_VALUE"""),29892.91)</f>
        <v>29892.91</v>
      </c>
      <c r="AS438" s="20"/>
      <c r="AT438" s="24">
        <f ca="1">IFERROR(__xludf.DUMMYFUNCTION("""COMPUTED_VALUE"""),28398.24)</f>
        <v>28398.240000000002</v>
      </c>
      <c r="AU438" s="24">
        <f ca="1">IFERROR(__xludf.DUMMYFUNCTION("""COMPUTED_VALUE"""),0)</f>
        <v>0</v>
      </c>
      <c r="AV438" s="24">
        <f ca="1">IFERROR(__xludf.DUMMYFUNCTION("""COMPUTED_VALUE"""),1494.67)</f>
        <v>1494.67</v>
      </c>
      <c r="AW438" s="20"/>
      <c r="AX438" s="24">
        <f ca="1">IFERROR(__xludf.DUMMYFUNCTION("""COMPUTED_VALUE"""),0)</f>
        <v>0</v>
      </c>
      <c r="AY438" s="20"/>
      <c r="AZ438" s="24">
        <f ca="1">IFERROR(__xludf.DUMMYFUNCTION("""COMPUTED_VALUE"""),0)</f>
        <v>0</v>
      </c>
      <c r="BA438" s="24">
        <f ca="1">IFERROR(__xludf.DUMMYFUNCTION("""COMPUTED_VALUE"""),0)</f>
        <v>0</v>
      </c>
      <c r="BB438" s="24">
        <f ca="1">IFERROR(__xludf.DUMMYFUNCTION("""COMPUTED_VALUE"""),0)</f>
        <v>0</v>
      </c>
      <c r="BC438" s="20"/>
      <c r="BD438" s="24">
        <f ca="1">IFERROR(__xludf.DUMMYFUNCTION("""COMPUTED_VALUE"""),0)</f>
        <v>0</v>
      </c>
      <c r="BE438" s="20"/>
      <c r="BF438" s="24">
        <f ca="1">IFERROR(__xludf.DUMMYFUNCTION("""COMPUTED_VALUE"""),0)</f>
        <v>0</v>
      </c>
      <c r="BG438" s="24">
        <f ca="1">IFERROR(__xludf.DUMMYFUNCTION("""COMPUTED_VALUE"""),0)</f>
        <v>0</v>
      </c>
      <c r="BH438" s="24">
        <f ca="1">IFERROR(__xludf.DUMMYFUNCTION("""COMPUTED_VALUE"""),0)</f>
        <v>0</v>
      </c>
      <c r="BI438" s="20"/>
      <c r="BJ438" s="24">
        <f ca="1">IFERROR(__xludf.DUMMYFUNCTION("""COMPUTED_VALUE"""),0)</f>
        <v>0</v>
      </c>
      <c r="BK438" s="20"/>
      <c r="BL438" s="24">
        <f ca="1">IFERROR(__xludf.DUMMYFUNCTION("""COMPUTED_VALUE"""),0)</f>
        <v>0</v>
      </c>
      <c r="BM438" s="24">
        <f ca="1">IFERROR(__xludf.DUMMYFUNCTION("""COMPUTED_VALUE"""),0)</f>
        <v>0</v>
      </c>
      <c r="BN438" s="24">
        <f ca="1">IFERROR(__xludf.DUMMYFUNCTION("""COMPUTED_VALUE"""),0)</f>
        <v>0</v>
      </c>
      <c r="BO438" s="20"/>
      <c r="BP438" s="24">
        <f ca="1">IFERROR(__xludf.DUMMYFUNCTION("""COMPUTED_VALUE"""),0)</f>
        <v>0</v>
      </c>
      <c r="BQ438" s="20"/>
      <c r="BR438" s="24">
        <f ca="1">IFERROR(__xludf.DUMMYFUNCTION("""COMPUTED_VALUE"""),0)</f>
        <v>0</v>
      </c>
      <c r="BS438" s="24">
        <f ca="1">IFERROR(__xludf.DUMMYFUNCTION("""COMPUTED_VALUE"""),0)</f>
        <v>0</v>
      </c>
      <c r="BT438" s="24">
        <f ca="1">IFERROR(__xludf.DUMMYFUNCTION("""COMPUTED_VALUE"""),0)</f>
        <v>0</v>
      </c>
      <c r="BU438" s="20"/>
      <c r="BV438" s="24">
        <f ca="1">IFERROR(__xludf.DUMMYFUNCTION("""COMPUTED_VALUE"""),0)</f>
        <v>0</v>
      </c>
      <c r="BW438" s="20"/>
      <c r="BX438" s="20"/>
      <c r="BY438" s="20"/>
      <c r="BZ438" s="20"/>
      <c r="CA438" s="20"/>
      <c r="CB438" s="20"/>
      <c r="CC438" s="20"/>
      <c r="CD438" s="20"/>
      <c r="CE438" s="20"/>
      <c r="CF438" s="20"/>
      <c r="CG438" s="20"/>
      <c r="CH438" s="20"/>
      <c r="CI438" s="20"/>
      <c r="CJ438" s="20"/>
      <c r="CK438" s="20"/>
      <c r="CL438" s="20"/>
      <c r="CM438" s="26">
        <f ca="1">IFERROR(__xludf.DUMMYFUNCTION("""COMPUTED_VALUE"""),43640)</f>
        <v>43640</v>
      </c>
      <c r="CN438" s="20" t="str">
        <f ca="1">IFERROR(__xludf.DUMMYFUNCTION("""COMPUTED_VALUE"""),"0148300044119000021")</f>
        <v>0148300044119000021</v>
      </c>
      <c r="CO438" s="26">
        <f ca="1">IFERROR(__xludf.DUMMYFUNCTION("""COMPUTED_VALUE"""),43676)</f>
        <v>43676</v>
      </c>
      <c r="CP438" s="20" t="str">
        <f ca="1">IFERROR(__xludf.DUMMYFUNCTION("""COMPUTED_VALUE"""),"ЭА.2019.021")</f>
        <v>ЭА.2019.021</v>
      </c>
      <c r="CQ438" s="20">
        <f ca="1">IFERROR(__xludf.DUMMYFUNCTION("""COMPUTED_VALUE"""),37530840)</f>
        <v>37530840</v>
      </c>
      <c r="CR438" s="20" t="str">
        <f ca="1">IFERROR(__xludf.DUMMYFUNCTION("""COMPUTED_VALUE"""),"ОБЩЕСТВО С ОГРАНИЧЕННОЙ ОТВЕТСТВЕННОСТЬЮ ""СТРОЭЛ+""")</f>
        <v>ОБЩЕСТВО С ОГРАНИЧЕННОЙ ОТВЕТСТВЕННОСТЬЮ "СТРОЭЛ+"</v>
      </c>
      <c r="CS438" s="27" t="str">
        <f ca="1">IFERROR(__xludf.DUMMYFUNCTION("""COMPUTED_VALUE"""),"https://zakupki.gov.ru/epz/contract/contractCard/common-info.html?reestrNumber=3505008153319000044&amp;backUrl=d3674d40-120f-4a3f-b5e6-f95240f10534")</f>
        <v>https://zakupki.gov.ru/epz/contract/contractCard/common-info.html?reestrNumber=3505008153319000044&amp;backUrl=d3674d40-120f-4a3f-b5e6-f95240f10534</v>
      </c>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row>
    <row r="439" spans="1:123" ht="64.5" hidden="1" customHeight="1" x14ac:dyDescent="0.2">
      <c r="A439" s="19"/>
      <c r="B439" s="20" t="str">
        <f ca="1">IFERROR(__xludf.DUMMYFUNCTION("""COMPUTED_VALUE"""),"г.о. Звездный городок")</f>
        <v>г.о. Звездный городок</v>
      </c>
      <c r="C43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9" s="24" t="str">
        <f ca="1">IFERROR(__xludf.DUMMYFUNCTION("""COMPUTED_VALUE"""),"МинЖКХ")</f>
        <v>МинЖКХ</v>
      </c>
      <c r="E439" s="20" t="str">
        <f ca="1">IFERROR(__xludf.DUMMYFUNCTION("""COMPUTED_VALUE"""),"Капитальный ремонт тепловых сетей и сетей горячего водоснабжения, поселок Звёздный городок, военный городок № 1, в/ч 26266
")</f>
        <v xml:space="preserve">Капитальный ремонт тепловых сетей и сетей горячего водоснабжения, поселок Звёздный городок, военный городок № 1, в/ч 26266
</v>
      </c>
      <c r="F439" s="32" t="str">
        <f ca="1">IFERROR(__xludf.DUMMYFUNCTION("""COMPUTED_VALUE"""),"Сети")</f>
        <v>Сети</v>
      </c>
      <c r="G439" s="20" t="str">
        <f ca="1">IFERROR(__xludf.DUMMYFUNCTION("""COMPUTED_VALUE"""),"2018-2019")</f>
        <v>2018-2019</v>
      </c>
      <c r="H439" s="20"/>
      <c r="I439" s="20"/>
      <c r="J439" s="20"/>
      <c r="K439" s="20"/>
      <c r="L439" s="20"/>
      <c r="M439" s="20"/>
      <c r="N439" s="20">
        <f ca="1">IFERROR(__xludf.DUMMYFUNCTION("""COMPUTED_VALUE"""),0)</f>
        <v>0</v>
      </c>
      <c r="O439" s="20"/>
      <c r="P439" s="20"/>
      <c r="Q439" s="20"/>
      <c r="R439" s="20"/>
      <c r="S439" s="20"/>
      <c r="T439" s="20"/>
      <c r="U439" s="24">
        <f ca="1">IFERROR(__xludf.DUMMYFUNCTION("""COMPUTED_VALUE"""),0)</f>
        <v>0</v>
      </c>
      <c r="V439" s="24">
        <f ca="1">IFERROR(__xludf.DUMMYFUNCTION("""COMPUTED_VALUE"""),0)</f>
        <v>0</v>
      </c>
      <c r="W439" s="24">
        <f ca="1">IFERROR(__xludf.DUMMYFUNCTION("""COMPUTED_VALUE"""),0)</f>
        <v>0</v>
      </c>
      <c r="X439" s="24">
        <f ca="1">IFERROR(__xludf.DUMMYFUNCTION("""COMPUTED_VALUE"""),0)</f>
        <v>0</v>
      </c>
      <c r="Y439" s="24">
        <f ca="1">IFERROR(__xludf.DUMMYFUNCTION("""COMPUTED_VALUE"""),0)</f>
        <v>0</v>
      </c>
      <c r="Z439" s="24">
        <f ca="1">IFERROR(__xludf.DUMMYFUNCTION("""COMPUTED_VALUE"""),0)</f>
        <v>0</v>
      </c>
      <c r="AA439" s="20"/>
      <c r="AB439" s="20"/>
      <c r="AC439" s="20"/>
      <c r="AD439" s="20"/>
      <c r="AE439" s="20"/>
      <c r="AF439" s="24">
        <f ca="1">IFERROR(__xludf.DUMMYFUNCTION("""COMPUTED_VALUE"""),31009.13)</f>
        <v>31009.13</v>
      </c>
      <c r="AG439" s="24">
        <f ca="1">IFERROR(__xludf.DUMMYFUNCTION("""COMPUTED_VALUE"""),0)</f>
        <v>0</v>
      </c>
      <c r="AH439" s="24">
        <f ca="1">IFERROR(__xludf.DUMMYFUNCTION("""COMPUTED_VALUE"""),29458.68)</f>
        <v>29458.68</v>
      </c>
      <c r="AI439" s="24">
        <f ca="1">IFERROR(__xludf.DUMMYFUNCTION("""COMPUTED_VALUE"""),0)</f>
        <v>0</v>
      </c>
      <c r="AJ439" s="24">
        <f ca="1">IFERROR(__xludf.DUMMYFUNCTION("""COMPUTED_VALUE"""),1550.45)</f>
        <v>1550.45</v>
      </c>
      <c r="AK439" s="24">
        <f ca="1">IFERROR(__xludf.DUMMYFUNCTION("""COMPUTED_VALUE"""),0)</f>
        <v>0</v>
      </c>
      <c r="AL439" s="24">
        <f ca="1">IFERROR(__xludf.DUMMYFUNCTION("""COMPUTED_VALUE"""),27125)</f>
        <v>27125</v>
      </c>
      <c r="AM439" s="20"/>
      <c r="AN439" s="24">
        <f ca="1">IFERROR(__xludf.DUMMYFUNCTION("""COMPUTED_VALUE"""),25768.76)</f>
        <v>25768.76</v>
      </c>
      <c r="AO439" s="24">
        <f ca="1">IFERROR(__xludf.DUMMYFUNCTION("""COMPUTED_VALUE"""),0)</f>
        <v>0</v>
      </c>
      <c r="AP439" s="24">
        <f ca="1">IFERROR(__xludf.DUMMYFUNCTION("""COMPUTED_VALUE"""),1356.24)</f>
        <v>1356.24</v>
      </c>
      <c r="AQ439" s="20"/>
      <c r="AR439" s="24">
        <f ca="1">IFERROR(__xludf.DUMMYFUNCTION("""COMPUTED_VALUE"""),3884.13)</f>
        <v>3884.13</v>
      </c>
      <c r="AS439" s="20"/>
      <c r="AT439" s="24">
        <f ca="1">IFERROR(__xludf.DUMMYFUNCTION("""COMPUTED_VALUE"""),3689.92)</f>
        <v>3689.92</v>
      </c>
      <c r="AU439" s="24">
        <f ca="1">IFERROR(__xludf.DUMMYFUNCTION("""COMPUTED_VALUE"""),0)</f>
        <v>0</v>
      </c>
      <c r="AV439" s="24">
        <f ca="1">IFERROR(__xludf.DUMMYFUNCTION("""COMPUTED_VALUE"""),194.21)</f>
        <v>194.21</v>
      </c>
      <c r="AW439" s="20"/>
      <c r="AX439" s="24">
        <f ca="1">IFERROR(__xludf.DUMMYFUNCTION("""COMPUTED_VALUE"""),0)</f>
        <v>0</v>
      </c>
      <c r="AY439" s="20"/>
      <c r="AZ439" s="24">
        <f ca="1">IFERROR(__xludf.DUMMYFUNCTION("""COMPUTED_VALUE"""),0)</f>
        <v>0</v>
      </c>
      <c r="BA439" s="24">
        <f ca="1">IFERROR(__xludf.DUMMYFUNCTION("""COMPUTED_VALUE"""),0)</f>
        <v>0</v>
      </c>
      <c r="BB439" s="24">
        <f ca="1">IFERROR(__xludf.DUMMYFUNCTION("""COMPUTED_VALUE"""),0)</f>
        <v>0</v>
      </c>
      <c r="BC439" s="20"/>
      <c r="BD439" s="24">
        <f ca="1">IFERROR(__xludf.DUMMYFUNCTION("""COMPUTED_VALUE"""),0)</f>
        <v>0</v>
      </c>
      <c r="BE439" s="20"/>
      <c r="BF439" s="24">
        <f ca="1">IFERROR(__xludf.DUMMYFUNCTION("""COMPUTED_VALUE"""),0)</f>
        <v>0</v>
      </c>
      <c r="BG439" s="24">
        <f ca="1">IFERROR(__xludf.DUMMYFUNCTION("""COMPUTED_VALUE"""),0)</f>
        <v>0</v>
      </c>
      <c r="BH439" s="24">
        <f ca="1">IFERROR(__xludf.DUMMYFUNCTION("""COMPUTED_VALUE"""),0)</f>
        <v>0</v>
      </c>
      <c r="BI439" s="20"/>
      <c r="BJ439" s="24">
        <f ca="1">IFERROR(__xludf.DUMMYFUNCTION("""COMPUTED_VALUE"""),0)</f>
        <v>0</v>
      </c>
      <c r="BK439" s="20"/>
      <c r="BL439" s="24">
        <f ca="1">IFERROR(__xludf.DUMMYFUNCTION("""COMPUTED_VALUE"""),0)</f>
        <v>0</v>
      </c>
      <c r="BM439" s="24">
        <f ca="1">IFERROR(__xludf.DUMMYFUNCTION("""COMPUTED_VALUE"""),0)</f>
        <v>0</v>
      </c>
      <c r="BN439" s="24">
        <f ca="1">IFERROR(__xludf.DUMMYFUNCTION("""COMPUTED_VALUE"""),0)</f>
        <v>0</v>
      </c>
      <c r="BO439" s="20"/>
      <c r="BP439" s="24">
        <f ca="1">IFERROR(__xludf.DUMMYFUNCTION("""COMPUTED_VALUE"""),0)</f>
        <v>0</v>
      </c>
      <c r="BQ439" s="20"/>
      <c r="BR439" s="24">
        <f ca="1">IFERROR(__xludf.DUMMYFUNCTION("""COMPUTED_VALUE"""),0)</f>
        <v>0</v>
      </c>
      <c r="BS439" s="24">
        <f ca="1">IFERROR(__xludf.DUMMYFUNCTION("""COMPUTED_VALUE"""),0)</f>
        <v>0</v>
      </c>
      <c r="BT439" s="24">
        <f ca="1">IFERROR(__xludf.DUMMYFUNCTION("""COMPUTED_VALUE"""),0)</f>
        <v>0</v>
      </c>
      <c r="BU439" s="20"/>
      <c r="BV439" s="24">
        <f ca="1">IFERROR(__xludf.DUMMYFUNCTION("""COMPUTED_VALUE"""),0)</f>
        <v>0</v>
      </c>
      <c r="BW439" s="20"/>
      <c r="BX439" s="20"/>
      <c r="BY439" s="20"/>
      <c r="BZ439" s="20"/>
      <c r="CA439" s="20"/>
      <c r="CB439" s="20"/>
      <c r="CC439" s="20"/>
      <c r="CD439" s="20"/>
      <c r="CE439" s="20"/>
      <c r="CF439" s="20"/>
      <c r="CG439" s="20"/>
      <c r="CH439" s="20"/>
      <c r="CI439" s="20"/>
      <c r="CJ439" s="20"/>
      <c r="CK439" s="20"/>
      <c r="CL439" s="20"/>
      <c r="CM439" s="20"/>
      <c r="CN439" s="20"/>
      <c r="CO439" s="20"/>
      <c r="CP439" s="20"/>
      <c r="CQ439" s="20"/>
      <c r="CR439" s="20"/>
      <c r="CS439" s="20"/>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row>
    <row r="440" spans="1:123" ht="64.5" hidden="1" customHeight="1" x14ac:dyDescent="0.2">
      <c r="A440" s="19"/>
      <c r="B440" s="20" t="str">
        <f ca="1">IFERROR(__xludf.DUMMYFUNCTION("""COMPUTED_VALUE"""),"г.о. Клин")</f>
        <v>г.о. Клин</v>
      </c>
      <c r="C440"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0" s="24" t="str">
        <f ca="1">IFERROR(__xludf.DUMMYFUNCTION("""COMPUTED_VALUE"""),"МинЖКХ ")</f>
        <v xml:space="preserve">МинЖКХ </v>
      </c>
      <c r="E440" s="20" t="str">
        <f ca="1">IFERROR(__xludf.DUMMYFUNCTION("""COMPUTED_VALUE"""),"Приобретение, монтаж и ввод в эксплуатациюблочно-модульной станции обезжелезивания воды в Клин-9")</f>
        <v>Приобретение, монтаж и ввод в эксплуатациюблочно-модульной станции обезжелезивания воды в Клин-9</v>
      </c>
      <c r="F440" s="32" t="str">
        <f ca="1">IFERROR(__xludf.DUMMYFUNCTION("""COMPUTED_VALUE"""),"ВЗУ")</f>
        <v>ВЗУ</v>
      </c>
      <c r="G440" s="20">
        <f ca="1">IFERROR(__xludf.DUMMYFUNCTION("""COMPUTED_VALUE"""),2019)</f>
        <v>2019</v>
      </c>
      <c r="H440" s="20"/>
      <c r="I440" s="20"/>
      <c r="J440" s="20"/>
      <c r="K440" s="20"/>
      <c r="L440" s="20"/>
      <c r="M440" s="20"/>
      <c r="N440" s="20">
        <f ca="1">IFERROR(__xludf.DUMMYFUNCTION("""COMPUTED_VALUE"""),0)</f>
        <v>0</v>
      </c>
      <c r="O440" s="20"/>
      <c r="P440" s="20"/>
      <c r="Q440" s="20"/>
      <c r="R440" s="20"/>
      <c r="S440" s="20"/>
      <c r="T440" s="20"/>
      <c r="U440" s="24">
        <f ca="1">IFERROR(__xludf.DUMMYFUNCTION("""COMPUTED_VALUE"""),0)</f>
        <v>0</v>
      </c>
      <c r="V440" s="24">
        <f ca="1">IFERROR(__xludf.DUMMYFUNCTION("""COMPUTED_VALUE"""),0)</f>
        <v>0</v>
      </c>
      <c r="W440" s="24">
        <f ca="1">IFERROR(__xludf.DUMMYFUNCTION("""COMPUTED_VALUE"""),0)</f>
        <v>0</v>
      </c>
      <c r="X440" s="24">
        <f ca="1">IFERROR(__xludf.DUMMYFUNCTION("""COMPUTED_VALUE"""),0)</f>
        <v>0</v>
      </c>
      <c r="Y440" s="24">
        <f ca="1">IFERROR(__xludf.DUMMYFUNCTION("""COMPUTED_VALUE"""),0)</f>
        <v>0</v>
      </c>
      <c r="Z440" s="24">
        <f ca="1">IFERROR(__xludf.DUMMYFUNCTION("""COMPUTED_VALUE"""),0)</f>
        <v>0</v>
      </c>
      <c r="AA440" s="20"/>
      <c r="AB440" s="20"/>
      <c r="AC440" s="20"/>
      <c r="AD440" s="20"/>
      <c r="AE440" s="20"/>
      <c r="AF440" s="24">
        <f ca="1">IFERROR(__xludf.DUMMYFUNCTION("""COMPUTED_VALUE"""),9849.47)</f>
        <v>9849.4699999999993</v>
      </c>
      <c r="AG440" s="24">
        <f ca="1">IFERROR(__xludf.DUMMYFUNCTION("""COMPUTED_VALUE"""),0)</f>
        <v>0</v>
      </c>
      <c r="AH440" s="24">
        <f ca="1">IFERROR(__xludf.DUMMYFUNCTION("""COMPUTED_VALUE"""),9310)</f>
        <v>9310</v>
      </c>
      <c r="AI440" s="24">
        <f ca="1">IFERROR(__xludf.DUMMYFUNCTION("""COMPUTED_VALUE"""),0)</f>
        <v>0</v>
      </c>
      <c r="AJ440" s="24">
        <f ca="1">IFERROR(__xludf.DUMMYFUNCTION("""COMPUTED_VALUE"""),539.47)</f>
        <v>539.47</v>
      </c>
      <c r="AK440" s="24">
        <f ca="1">IFERROR(__xludf.DUMMYFUNCTION("""COMPUTED_VALUE"""),0)</f>
        <v>0</v>
      </c>
      <c r="AL440" s="24">
        <f ca="1">IFERROR(__xludf.DUMMYFUNCTION("""COMPUTED_VALUE"""),0)</f>
        <v>0</v>
      </c>
      <c r="AM440" s="20"/>
      <c r="AN440" s="24">
        <f ca="1">IFERROR(__xludf.DUMMYFUNCTION("""COMPUTED_VALUE"""),0)</f>
        <v>0</v>
      </c>
      <c r="AO440" s="24">
        <f ca="1">IFERROR(__xludf.DUMMYFUNCTION("""COMPUTED_VALUE"""),0)</f>
        <v>0</v>
      </c>
      <c r="AP440" s="24">
        <f ca="1">IFERROR(__xludf.DUMMYFUNCTION("""COMPUTED_VALUE"""),0)</f>
        <v>0</v>
      </c>
      <c r="AQ440" s="20"/>
      <c r="AR440" s="24">
        <f ca="1">IFERROR(__xludf.DUMMYFUNCTION("""COMPUTED_VALUE"""),9849.47)</f>
        <v>9849.4699999999993</v>
      </c>
      <c r="AS440" s="20"/>
      <c r="AT440" s="24">
        <f ca="1">IFERROR(__xludf.DUMMYFUNCTION("""COMPUTED_VALUE"""),9310)</f>
        <v>9310</v>
      </c>
      <c r="AU440" s="24">
        <f ca="1">IFERROR(__xludf.DUMMYFUNCTION("""COMPUTED_VALUE"""),0)</f>
        <v>0</v>
      </c>
      <c r="AV440" s="24">
        <f ca="1">IFERROR(__xludf.DUMMYFUNCTION("""COMPUTED_VALUE"""),539.47)</f>
        <v>539.47</v>
      </c>
      <c r="AW440" s="20"/>
      <c r="AX440" s="24">
        <f ca="1">IFERROR(__xludf.DUMMYFUNCTION("""COMPUTED_VALUE"""),0)</f>
        <v>0</v>
      </c>
      <c r="AY440" s="20"/>
      <c r="AZ440" s="24">
        <f ca="1">IFERROR(__xludf.DUMMYFUNCTION("""COMPUTED_VALUE"""),0)</f>
        <v>0</v>
      </c>
      <c r="BA440" s="24">
        <f ca="1">IFERROR(__xludf.DUMMYFUNCTION("""COMPUTED_VALUE"""),0)</f>
        <v>0</v>
      </c>
      <c r="BB440" s="24">
        <f ca="1">IFERROR(__xludf.DUMMYFUNCTION("""COMPUTED_VALUE"""),0)</f>
        <v>0</v>
      </c>
      <c r="BC440" s="20"/>
      <c r="BD440" s="24">
        <f ca="1">IFERROR(__xludf.DUMMYFUNCTION("""COMPUTED_VALUE"""),0)</f>
        <v>0</v>
      </c>
      <c r="BE440" s="20"/>
      <c r="BF440" s="24">
        <f ca="1">IFERROR(__xludf.DUMMYFUNCTION("""COMPUTED_VALUE"""),0)</f>
        <v>0</v>
      </c>
      <c r="BG440" s="24">
        <f ca="1">IFERROR(__xludf.DUMMYFUNCTION("""COMPUTED_VALUE"""),0)</f>
        <v>0</v>
      </c>
      <c r="BH440" s="24">
        <f ca="1">IFERROR(__xludf.DUMMYFUNCTION("""COMPUTED_VALUE"""),0)</f>
        <v>0</v>
      </c>
      <c r="BI440" s="20"/>
      <c r="BJ440" s="24">
        <f ca="1">IFERROR(__xludf.DUMMYFUNCTION("""COMPUTED_VALUE"""),0)</f>
        <v>0</v>
      </c>
      <c r="BK440" s="20"/>
      <c r="BL440" s="24">
        <f ca="1">IFERROR(__xludf.DUMMYFUNCTION("""COMPUTED_VALUE"""),0)</f>
        <v>0</v>
      </c>
      <c r="BM440" s="24">
        <f ca="1">IFERROR(__xludf.DUMMYFUNCTION("""COMPUTED_VALUE"""),0)</f>
        <v>0</v>
      </c>
      <c r="BN440" s="24">
        <f ca="1">IFERROR(__xludf.DUMMYFUNCTION("""COMPUTED_VALUE"""),0)</f>
        <v>0</v>
      </c>
      <c r="BO440" s="20"/>
      <c r="BP440" s="24">
        <f ca="1">IFERROR(__xludf.DUMMYFUNCTION("""COMPUTED_VALUE"""),0)</f>
        <v>0</v>
      </c>
      <c r="BQ440" s="20"/>
      <c r="BR440" s="24">
        <f ca="1">IFERROR(__xludf.DUMMYFUNCTION("""COMPUTED_VALUE"""),0)</f>
        <v>0</v>
      </c>
      <c r="BS440" s="24">
        <f ca="1">IFERROR(__xludf.DUMMYFUNCTION("""COMPUTED_VALUE"""),0)</f>
        <v>0</v>
      </c>
      <c r="BT440" s="24">
        <f ca="1">IFERROR(__xludf.DUMMYFUNCTION("""COMPUTED_VALUE"""),0)</f>
        <v>0</v>
      </c>
      <c r="BU440" s="20"/>
      <c r="BV440" s="24">
        <f ca="1">IFERROR(__xludf.DUMMYFUNCTION("""COMPUTED_VALUE"""),0)</f>
        <v>0</v>
      </c>
      <c r="BW440" s="20"/>
      <c r="BX440" s="20"/>
      <c r="BY440" s="20"/>
      <c r="BZ440" s="20"/>
      <c r="CA440" s="20"/>
      <c r="CB440" s="20"/>
      <c r="CC440" s="20"/>
      <c r="CD440" s="20"/>
      <c r="CE440" s="20"/>
      <c r="CF440" s="20"/>
      <c r="CG440" s="20"/>
      <c r="CH440" s="20"/>
      <c r="CI440" s="20"/>
      <c r="CJ440" s="20"/>
      <c r="CK440" s="20"/>
      <c r="CL440" s="20"/>
      <c r="CM440" s="20"/>
      <c r="CN440" s="20"/>
      <c r="CO440" s="20"/>
      <c r="CP440" s="20"/>
      <c r="CQ440" s="20"/>
      <c r="CR440" s="20"/>
      <c r="CS440" s="20"/>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row>
    <row r="441" spans="1:123" ht="64.5" customHeight="1" x14ac:dyDescent="0.2">
      <c r="A441" s="19"/>
      <c r="B441" s="20" t="str">
        <f ca="1">IFERROR(__xludf.DUMMYFUNCTION("""COMPUTED_VALUE"""),"г.о. Коломенский")</f>
        <v>г.о. Коломенский</v>
      </c>
      <c r="C441"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1" s="24" t="str">
        <f ca="1">IFERROR(__xludf.DUMMYFUNCTION("""COMPUTED_VALUE"""),"МинЖКХ ")</f>
        <v xml:space="preserve">МинЖКХ </v>
      </c>
      <c r="E441" s="20" t="str">
        <f ca="1">IFERROR(__xludf.DUMMYFUNCTION("""COMPUTED_VALUE"""),"Строительство БМК, г. Коломна-1, военный городок Сосновый бор,  в/ч 17204 (в том числе ПИР) ")</f>
        <v xml:space="preserve">Строительство БМК, г. Коломна-1, военный городок Сосновый бор,  в/ч 17204 (в том числе ПИР) </v>
      </c>
      <c r="F441" s="40" t="str">
        <f ca="1">IFERROR(__xludf.DUMMYFUNCTION("""COMPUTED_VALUE"""),"БМК")</f>
        <v>БМК</v>
      </c>
      <c r="G441" s="41" t="str">
        <f ca="1">IFERROR(__xludf.DUMMYFUNCTION("""COMPUTED_VALUE"""),"2020-2022")</f>
        <v>2020-2022</v>
      </c>
      <c r="H441" s="24" t="str">
        <f ca="1">IFERROR(__xludf.DUMMYFUNCTION("""COMPUTED_VALUE"""),"ПИР")</f>
        <v>ПИР</v>
      </c>
      <c r="I441" s="20">
        <f ca="1">IFERROR(__xludf.DUMMYFUNCTION("""COMPUTED_VALUE"""),100)</f>
        <v>100</v>
      </c>
      <c r="J441" s="20" t="str">
        <f ca="1">IFERROR(__xludf.DUMMYFUNCTION("""COMPUTED_VALUE"""),"Проект разработан, получено положительное заключение 
ГАУ МО ""Мособлэкспертиза"" № 50-1-1-3-0636-20 от 02.04.2020. 
Муниципальный контракт на ПИР оплачен полностью. 
 Перенос лимитов финансирования СМР на 2022 год
07.10.2020 был направлен запрос на доп.ф"&amp;"инансирование, письмо №115исх-10414/2020")</f>
        <v>Проект разработан, получено положительное заключение 
ГАУ МО "Мособлэкспертиза" № 50-1-1-3-0636-20 от 02.04.2020. 
Муниципальный контракт на ПИР оплачен полностью. 
 Перенос лимитов финансирования СМР на 2022 год
07.10.2020 был направлен запрос на доп.финансирование, письмо №115исх-10414/2020</v>
      </c>
      <c r="K441" s="20">
        <f ca="1">IFERROR(__xludf.DUMMYFUNCTION("""COMPUTED_VALUE"""),1935)</f>
        <v>1935</v>
      </c>
      <c r="L441" s="20">
        <f ca="1">IFERROR(__xludf.DUMMYFUNCTION("""COMPUTED_VALUE"""),1935)</f>
        <v>1935</v>
      </c>
      <c r="M441" s="20"/>
      <c r="N441" s="24">
        <f ca="1">IFERROR(__xludf.DUMMYFUNCTION("""COMPUTED_VALUE"""),3752.5)</f>
        <v>3752.5</v>
      </c>
      <c r="O441" s="20"/>
      <c r="P441" s="20"/>
      <c r="Q441" s="24">
        <f ca="1">IFERROR(__xludf.DUMMYFUNCTION("""COMPUTED_VALUE"""),3752.5)</f>
        <v>3752.5</v>
      </c>
      <c r="R441" s="20"/>
      <c r="S441" s="20"/>
      <c r="T441" s="20"/>
      <c r="U441" s="24">
        <f ca="1">IFERROR(__xludf.DUMMYFUNCTION("""COMPUTED_VALUE"""),197.5)</f>
        <v>197.5</v>
      </c>
      <c r="V441" s="24">
        <f ca="1">IFERROR(__xludf.DUMMYFUNCTION("""COMPUTED_VALUE"""),0)</f>
        <v>0</v>
      </c>
      <c r="W441" s="24">
        <f ca="1">IFERROR(__xludf.DUMMYFUNCTION("""COMPUTED_VALUE"""),0)</f>
        <v>0</v>
      </c>
      <c r="X441" s="24">
        <f ca="1">IFERROR(__xludf.DUMMYFUNCTION("""COMPUTED_VALUE"""),0)</f>
        <v>0</v>
      </c>
      <c r="Y441" s="24">
        <f ca="1">IFERROR(__xludf.DUMMYFUNCTION("""COMPUTED_VALUE"""),197.5)</f>
        <v>197.5</v>
      </c>
      <c r="Z441" s="24">
        <f ca="1">IFERROR(__xludf.DUMMYFUNCTION("""COMPUTED_VALUE"""),0)</f>
        <v>0</v>
      </c>
      <c r="AA441" s="20"/>
      <c r="AB441" s="20"/>
      <c r="AC441" s="20"/>
      <c r="AD441" s="20"/>
      <c r="AE441" s="20"/>
      <c r="AF441" s="24">
        <f ca="1">IFERROR(__xludf.DUMMYFUNCTION("""COMPUTED_VALUE"""),77635.68)</f>
        <v>77635.679999999993</v>
      </c>
      <c r="AG441" s="24">
        <f ca="1">IFERROR(__xludf.DUMMYFUNCTION("""COMPUTED_VALUE"""),0)</f>
        <v>0</v>
      </c>
      <c r="AH441" s="24">
        <f ca="1">IFERROR(__xludf.DUMMYFUNCTION("""COMPUTED_VALUE"""),70001.15)</f>
        <v>70001.149999999994</v>
      </c>
      <c r="AI441" s="24">
        <f ca="1">IFERROR(__xludf.DUMMYFUNCTION("""COMPUTED_VALUE"""),3752.5)</f>
        <v>3752.5</v>
      </c>
      <c r="AJ441" s="24">
        <f ca="1">IFERROR(__xludf.DUMMYFUNCTION("""COMPUTED_VALUE"""),3882.02999999999)</f>
        <v>3882.0299999999902</v>
      </c>
      <c r="AK441" s="24">
        <f ca="1">IFERROR(__xludf.DUMMYFUNCTION("""COMPUTED_VALUE"""),0)</f>
        <v>0</v>
      </c>
      <c r="AL441" s="24">
        <f ca="1">IFERROR(__xludf.DUMMYFUNCTION("""COMPUTED_VALUE"""),0)</f>
        <v>0</v>
      </c>
      <c r="AM441" s="20"/>
      <c r="AN441" s="24">
        <f ca="1">IFERROR(__xludf.DUMMYFUNCTION("""COMPUTED_VALUE"""),0)</f>
        <v>0</v>
      </c>
      <c r="AO441" s="24">
        <f ca="1">IFERROR(__xludf.DUMMYFUNCTION("""COMPUTED_VALUE"""),0)</f>
        <v>0</v>
      </c>
      <c r="AP441" s="24">
        <f ca="1">IFERROR(__xludf.DUMMYFUNCTION("""COMPUTED_VALUE"""),0)</f>
        <v>0</v>
      </c>
      <c r="AQ441" s="20"/>
      <c r="AR441" s="24">
        <f ca="1">IFERROR(__xludf.DUMMYFUNCTION("""COMPUTED_VALUE"""),0)</f>
        <v>0</v>
      </c>
      <c r="AS441" s="20"/>
      <c r="AT441" s="24">
        <f ca="1">IFERROR(__xludf.DUMMYFUNCTION("""COMPUTED_VALUE"""),0)</f>
        <v>0</v>
      </c>
      <c r="AU441" s="24">
        <f ca="1">IFERROR(__xludf.DUMMYFUNCTION("""COMPUTED_VALUE"""),0)</f>
        <v>0</v>
      </c>
      <c r="AV441" s="24">
        <f ca="1">IFERROR(__xludf.DUMMYFUNCTION("""COMPUTED_VALUE"""),0)</f>
        <v>0</v>
      </c>
      <c r="AW441" s="20"/>
      <c r="AX441" s="24">
        <f ca="1">IFERROR(__xludf.DUMMYFUNCTION("""COMPUTED_VALUE"""),3950)</f>
        <v>3950</v>
      </c>
      <c r="AY441" s="20"/>
      <c r="AZ441" s="24">
        <f ca="1">IFERROR(__xludf.DUMMYFUNCTION("""COMPUTED_VALUE"""),0)</f>
        <v>0</v>
      </c>
      <c r="BA441" s="24">
        <f ca="1">IFERROR(__xludf.DUMMYFUNCTION("""COMPUTED_VALUE"""),3752.5)</f>
        <v>3752.5</v>
      </c>
      <c r="BB441" s="24">
        <f ca="1">IFERROR(__xludf.DUMMYFUNCTION("""COMPUTED_VALUE"""),197.5)</f>
        <v>197.5</v>
      </c>
      <c r="BC441" s="20"/>
      <c r="BD441" s="24">
        <f ca="1">IFERROR(__xludf.DUMMYFUNCTION("""COMPUTED_VALUE"""),33685.53)</f>
        <v>33685.53</v>
      </c>
      <c r="BE441" s="20"/>
      <c r="BF441" s="24">
        <f ca="1">IFERROR(__xludf.DUMMYFUNCTION("""COMPUTED_VALUE"""),32001)</f>
        <v>32001</v>
      </c>
      <c r="BG441" s="24">
        <f ca="1">IFERROR(__xludf.DUMMYFUNCTION("""COMPUTED_VALUE"""),0)</f>
        <v>0</v>
      </c>
      <c r="BH441" s="24">
        <f ca="1">IFERROR(__xludf.DUMMYFUNCTION("""COMPUTED_VALUE"""),1684.53)</f>
        <v>1684.53</v>
      </c>
      <c r="BI441" s="20"/>
      <c r="BJ441" s="24">
        <f ca="1">IFERROR(__xludf.DUMMYFUNCTION("""COMPUTED_VALUE"""),40000.15)</f>
        <v>40000.15</v>
      </c>
      <c r="BK441" s="20"/>
      <c r="BL441" s="24">
        <f ca="1">IFERROR(__xludf.DUMMYFUNCTION("""COMPUTED_VALUE"""),38000.15)</f>
        <v>38000.15</v>
      </c>
      <c r="BM441" s="24">
        <f ca="1">IFERROR(__xludf.DUMMYFUNCTION("""COMPUTED_VALUE"""),0)</f>
        <v>0</v>
      </c>
      <c r="BN441" s="24">
        <f ca="1">IFERROR(__xludf.DUMMYFUNCTION("""COMPUTED_VALUE"""),2000)</f>
        <v>2000</v>
      </c>
      <c r="BO441" s="20"/>
      <c r="BP441" s="24">
        <f ca="1">IFERROR(__xludf.DUMMYFUNCTION("""COMPUTED_VALUE"""),0)</f>
        <v>0</v>
      </c>
      <c r="BQ441" s="20"/>
      <c r="BR441" s="24">
        <f ca="1">IFERROR(__xludf.DUMMYFUNCTION("""COMPUTED_VALUE"""),0)</f>
        <v>0</v>
      </c>
      <c r="BS441" s="24">
        <f ca="1">IFERROR(__xludf.DUMMYFUNCTION("""COMPUTED_VALUE"""),0)</f>
        <v>0</v>
      </c>
      <c r="BT441" s="24">
        <f ca="1">IFERROR(__xludf.DUMMYFUNCTION("""COMPUTED_VALUE"""),0)</f>
        <v>0</v>
      </c>
      <c r="BU441" s="20"/>
      <c r="BV441" s="24">
        <f ca="1">IFERROR(__xludf.DUMMYFUNCTION("""COMPUTED_VALUE"""),0)</f>
        <v>0</v>
      </c>
      <c r="BW441" s="20"/>
      <c r="BX441" s="20"/>
      <c r="BY441" s="20"/>
      <c r="BZ441" s="20"/>
      <c r="CA441" s="20"/>
      <c r="CB441" s="20"/>
      <c r="CC441" s="26">
        <f ca="1">IFERROR(__xludf.DUMMYFUNCTION("""COMPUTED_VALUE"""),43516)</f>
        <v>43516</v>
      </c>
      <c r="CD441" s="20" t="str">
        <f ca="1">IFERROR(__xludf.DUMMYFUNCTION("""COMPUTED_VALUE"""),"0848600002719000018")</f>
        <v>0848600002719000018</v>
      </c>
      <c r="CE441" s="26">
        <f ca="1">IFERROR(__xludf.DUMMYFUNCTION("""COMPUTED_VALUE"""),43565)</f>
        <v>43565</v>
      </c>
      <c r="CF441" s="20" t="str">
        <f ca="1">IFERROR(__xludf.DUMMYFUNCTION("""COMPUTED_VALUE"""),"Ф.2019.142366")</f>
        <v>Ф.2019.142366</v>
      </c>
      <c r="CG441" s="20" t="str">
        <f ca="1">IFERROR(__xludf.DUMMYFUNCTION("""COMPUTED_VALUE"""),"3 950 000,00")</f>
        <v>3 950 000,00</v>
      </c>
      <c r="CH441" s="20" t="str">
        <f ca="1">IFERROR(__xludf.DUMMYFUNCTION("""COMPUTED_VALUE"""),"ООО ""Берег""")</f>
        <v>ООО "Берег"</v>
      </c>
      <c r="CI441" s="27" t="str">
        <f ca="1">IFERROR(__xludf.DUMMYFUNCTION("""COMPUTED_VALUE"""),"https://zakupki.gov.ru/epz/contract/contractCard/common-info.html?reestrNumber=3502205470719000037")</f>
        <v>https://zakupki.gov.ru/epz/contract/contractCard/common-info.html?reestrNumber=3502205470719000037</v>
      </c>
      <c r="CJ441" s="20"/>
      <c r="CK441" s="33">
        <f ca="1">IFERROR(__xludf.DUMMYFUNCTION("""COMPUTED_VALUE"""),43922)</f>
        <v>43922</v>
      </c>
      <c r="CL441" s="20" t="str">
        <f ca="1">IFERROR(__xludf.DUMMYFUNCTION("""COMPUTED_VALUE"""),"50-1-1-3-0636-20")</f>
        <v>50-1-1-3-0636-20</v>
      </c>
      <c r="CM441" s="20"/>
      <c r="CN441" s="20"/>
      <c r="CO441" s="20"/>
      <c r="CP441" s="20"/>
      <c r="CQ441" s="20"/>
      <c r="CR441" s="20"/>
      <c r="CS441" s="20"/>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row>
    <row r="442" spans="1:123" ht="64.5" hidden="1" customHeight="1" x14ac:dyDescent="0.2">
      <c r="A442" s="19"/>
      <c r="B442" s="20" t="str">
        <f ca="1">IFERROR(__xludf.DUMMYFUNCTION("""COMPUTED_VALUE"""),"г.о. Орехово-Зуево")</f>
        <v>г.о. Орехово-Зуево</v>
      </c>
      <c r="C442"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2" s="24" t="str">
        <f ca="1">IFERROR(__xludf.DUMMYFUNCTION("""COMPUTED_VALUE"""),"МинЖКХ ")</f>
        <v xml:space="preserve">МинЖКХ </v>
      </c>
      <c r="E442" s="20" t="str">
        <f ca="1">IFERROR(__xludf.DUMMYFUNCTION("""COMPUTED_VALUE"""),"Строительство скважины в п. Военный городок, Орехово-Зуевский городской округ")</f>
        <v>Строительство скважины в п. Военный городок, Орехово-Зуевский городской округ</v>
      </c>
      <c r="F442" s="32" t="str">
        <f ca="1">IFERROR(__xludf.DUMMYFUNCTION("""COMPUTED_VALUE"""),"ВЗУ")</f>
        <v>ВЗУ</v>
      </c>
      <c r="G442" s="20">
        <f ca="1">IFERROR(__xludf.DUMMYFUNCTION("""COMPUTED_VALUE"""),2023)</f>
        <v>2023</v>
      </c>
      <c r="H442" s="20"/>
      <c r="I442" s="20">
        <f ca="1">IFERROR(__xludf.DUMMYFUNCTION("""COMPUTED_VALUE"""),0)</f>
        <v>0</v>
      </c>
      <c r="J442" s="20" t="str">
        <f ca="1">IFERROR(__xludf.DUMMYFUNCTION("""COMPUTED_VALUE"""),"Ведутся работы по оформлению земельного 
участка. 
 В бюджетной заявке ГРБС на 2020 год учтен перенос 
лимитов финансирования на 2023 год")</f>
        <v>Ведутся работы по оформлению земельного 
участка. 
 В бюджетной заявке ГРБС на 2020 год учтен перенос 
лимитов финансирования на 2023 год</v>
      </c>
      <c r="K442" s="20">
        <f ca="1">IFERROR(__xludf.DUMMYFUNCTION("""COMPUTED_VALUE"""),75)</f>
        <v>75</v>
      </c>
      <c r="L442" s="20">
        <f ca="1">IFERROR(__xludf.DUMMYFUNCTION("""COMPUTED_VALUE"""),75)</f>
        <v>75</v>
      </c>
      <c r="M442" s="20"/>
      <c r="N442" s="24">
        <f ca="1">IFERROR(__xludf.DUMMYFUNCTION("""COMPUTED_VALUE"""),0)</f>
        <v>0</v>
      </c>
      <c r="O442" s="20"/>
      <c r="P442" s="24">
        <f ca="1">IFERROR(__xludf.DUMMYFUNCTION("""COMPUTED_VALUE"""),0)</f>
        <v>0</v>
      </c>
      <c r="Q442" s="20"/>
      <c r="R442" s="20"/>
      <c r="S442" s="20"/>
      <c r="T442" s="20"/>
      <c r="U442" s="24">
        <f ca="1">IFERROR(__xludf.DUMMYFUNCTION("""COMPUTED_VALUE"""),0)</f>
        <v>0</v>
      </c>
      <c r="V442" s="24">
        <f ca="1">IFERROR(__xludf.DUMMYFUNCTION("""COMPUTED_VALUE"""),0)</f>
        <v>0</v>
      </c>
      <c r="W442" s="24">
        <f ca="1">IFERROR(__xludf.DUMMYFUNCTION("""COMPUTED_VALUE"""),0)</f>
        <v>0</v>
      </c>
      <c r="X442" s="24">
        <f ca="1">IFERROR(__xludf.DUMMYFUNCTION("""COMPUTED_VALUE"""),0)</f>
        <v>0</v>
      </c>
      <c r="Y442" s="24">
        <f ca="1">IFERROR(__xludf.DUMMYFUNCTION("""COMPUTED_VALUE"""),0)</f>
        <v>0</v>
      </c>
      <c r="Z442" s="24">
        <f ca="1">IFERROR(__xludf.DUMMYFUNCTION("""COMPUTED_VALUE"""),0)</f>
        <v>0</v>
      </c>
      <c r="AA442" s="20"/>
      <c r="AB442" s="20"/>
      <c r="AC442" s="20"/>
      <c r="AD442" s="20"/>
      <c r="AE442" s="20"/>
      <c r="AF442" s="24">
        <f ca="1">IFERROR(__xludf.DUMMYFUNCTION("""COMPUTED_VALUE"""),3500)</f>
        <v>3500</v>
      </c>
      <c r="AG442" s="24">
        <f ca="1">IFERROR(__xludf.DUMMYFUNCTION("""COMPUTED_VALUE"""),0)</f>
        <v>0</v>
      </c>
      <c r="AH442" s="24">
        <f ca="1">IFERROR(__xludf.DUMMYFUNCTION("""COMPUTED_VALUE"""),3325)</f>
        <v>3325</v>
      </c>
      <c r="AI442" s="24">
        <f ca="1">IFERROR(__xludf.DUMMYFUNCTION("""COMPUTED_VALUE"""),0)</f>
        <v>0</v>
      </c>
      <c r="AJ442" s="24">
        <f ca="1">IFERROR(__xludf.DUMMYFUNCTION("""COMPUTED_VALUE"""),175)</f>
        <v>175</v>
      </c>
      <c r="AK442" s="24">
        <f ca="1">IFERROR(__xludf.DUMMYFUNCTION("""COMPUTED_VALUE"""),0)</f>
        <v>0</v>
      </c>
      <c r="AL442" s="24">
        <f ca="1">IFERROR(__xludf.DUMMYFUNCTION("""COMPUTED_VALUE"""),0)</f>
        <v>0</v>
      </c>
      <c r="AM442" s="20"/>
      <c r="AN442" s="24">
        <f ca="1">IFERROR(__xludf.DUMMYFUNCTION("""COMPUTED_VALUE"""),0)</f>
        <v>0</v>
      </c>
      <c r="AO442" s="24">
        <f ca="1">IFERROR(__xludf.DUMMYFUNCTION("""COMPUTED_VALUE"""),0)</f>
        <v>0</v>
      </c>
      <c r="AP442" s="24">
        <f ca="1">IFERROR(__xludf.DUMMYFUNCTION("""COMPUTED_VALUE"""),0)</f>
        <v>0</v>
      </c>
      <c r="AQ442" s="20"/>
      <c r="AR442" s="24">
        <f ca="1">IFERROR(__xludf.DUMMYFUNCTION("""COMPUTED_VALUE"""),0)</f>
        <v>0</v>
      </c>
      <c r="AS442" s="20"/>
      <c r="AT442" s="24">
        <f ca="1">IFERROR(__xludf.DUMMYFUNCTION("""COMPUTED_VALUE"""),0)</f>
        <v>0</v>
      </c>
      <c r="AU442" s="24">
        <f ca="1">IFERROR(__xludf.DUMMYFUNCTION("""COMPUTED_VALUE"""),0)</f>
        <v>0</v>
      </c>
      <c r="AV442" s="24">
        <f ca="1">IFERROR(__xludf.DUMMYFUNCTION("""COMPUTED_VALUE"""),0)</f>
        <v>0</v>
      </c>
      <c r="AW442" s="20"/>
      <c r="AX442" s="24">
        <f ca="1">IFERROR(__xludf.DUMMYFUNCTION("""COMPUTED_VALUE"""),0)</f>
        <v>0</v>
      </c>
      <c r="AY442" s="20"/>
      <c r="AZ442" s="24">
        <f ca="1">IFERROR(__xludf.DUMMYFUNCTION("""COMPUTED_VALUE"""),0)</f>
        <v>0</v>
      </c>
      <c r="BA442" s="24">
        <f ca="1">IFERROR(__xludf.DUMMYFUNCTION("""COMPUTED_VALUE"""),0)</f>
        <v>0</v>
      </c>
      <c r="BB442" s="24">
        <f ca="1">IFERROR(__xludf.DUMMYFUNCTION("""COMPUTED_VALUE"""),0)</f>
        <v>0</v>
      </c>
      <c r="BC442" s="20"/>
      <c r="BD442" s="24">
        <f ca="1">IFERROR(__xludf.DUMMYFUNCTION("""COMPUTED_VALUE"""),0)</f>
        <v>0</v>
      </c>
      <c r="BE442" s="20"/>
      <c r="BF442" s="24">
        <f ca="1">IFERROR(__xludf.DUMMYFUNCTION("""COMPUTED_VALUE"""),0)</f>
        <v>0</v>
      </c>
      <c r="BG442" s="24">
        <f ca="1">IFERROR(__xludf.DUMMYFUNCTION("""COMPUTED_VALUE"""),0)</f>
        <v>0</v>
      </c>
      <c r="BH442" s="24">
        <f ca="1">IFERROR(__xludf.DUMMYFUNCTION("""COMPUTED_VALUE"""),0)</f>
        <v>0</v>
      </c>
      <c r="BI442" s="20"/>
      <c r="BJ442" s="24">
        <f ca="1">IFERROR(__xludf.DUMMYFUNCTION("""COMPUTED_VALUE"""),0)</f>
        <v>0</v>
      </c>
      <c r="BK442" s="20"/>
      <c r="BL442" s="24">
        <f ca="1">IFERROR(__xludf.DUMMYFUNCTION("""COMPUTED_VALUE"""),0)</f>
        <v>0</v>
      </c>
      <c r="BM442" s="24">
        <f ca="1">IFERROR(__xludf.DUMMYFUNCTION("""COMPUTED_VALUE"""),0)</f>
        <v>0</v>
      </c>
      <c r="BN442" s="24">
        <f ca="1">IFERROR(__xludf.DUMMYFUNCTION("""COMPUTED_VALUE"""),0)</f>
        <v>0</v>
      </c>
      <c r="BO442" s="20"/>
      <c r="BP442" s="24">
        <f ca="1">IFERROR(__xludf.DUMMYFUNCTION("""COMPUTED_VALUE"""),3500)</f>
        <v>3500</v>
      </c>
      <c r="BQ442" s="20"/>
      <c r="BR442" s="24">
        <f ca="1">IFERROR(__xludf.DUMMYFUNCTION("""COMPUTED_VALUE"""),3325)</f>
        <v>3325</v>
      </c>
      <c r="BS442" s="24">
        <f ca="1">IFERROR(__xludf.DUMMYFUNCTION("""COMPUTED_VALUE"""),0)</f>
        <v>0</v>
      </c>
      <c r="BT442" s="24">
        <f ca="1">IFERROR(__xludf.DUMMYFUNCTION("""COMPUTED_VALUE"""),175)</f>
        <v>175</v>
      </c>
      <c r="BU442" s="20"/>
      <c r="BV442" s="24">
        <f ca="1">IFERROR(__xludf.DUMMYFUNCTION("""COMPUTED_VALUE"""),0)</f>
        <v>0</v>
      </c>
      <c r="BW442" s="20"/>
      <c r="BX442" s="20"/>
      <c r="BY442" s="20"/>
      <c r="BZ442" s="20"/>
      <c r="CA442" s="20"/>
      <c r="CB442" s="20"/>
      <c r="CC442" s="20"/>
      <c r="CD442" s="20"/>
      <c r="CE442" s="20"/>
      <c r="CF442" s="20"/>
      <c r="CG442" s="20"/>
      <c r="CH442" s="20"/>
      <c r="CI442" s="20"/>
      <c r="CJ442" s="20"/>
      <c r="CK442" s="20"/>
      <c r="CL442" s="20"/>
      <c r="CM442" s="20"/>
      <c r="CN442" s="20"/>
      <c r="CO442" s="20"/>
      <c r="CP442" s="20"/>
      <c r="CQ442" s="20"/>
      <c r="CR442" s="20"/>
      <c r="CS442" s="20"/>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row>
    <row r="443" spans="1:123" ht="64.5" hidden="1" customHeight="1" x14ac:dyDescent="0.2">
      <c r="A443" s="19"/>
      <c r="B443" s="20" t="str">
        <f ca="1">IFERROR(__xludf.DUMMYFUNCTION("""COMPUTED_VALUE"""),"г.о. Краснознаменск")</f>
        <v>г.о. Краснознаменск</v>
      </c>
      <c r="C44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3" s="24" t="str">
        <f ca="1">IFERROR(__xludf.DUMMYFUNCTION("""COMPUTED_VALUE"""),"Минкульт")</f>
        <v>Минкульт</v>
      </c>
      <c r="E443" s="20" t="str">
        <f ca="1">IFERROR(__xludf.DUMMYFUNCTION("""COMPUTED_VALUE"""),"
Капитальный ремонт техническое переоснащение здания МБУК «Дом офицеров» Московская область, г. Краснознаменск, ул. Молодёжная, д. 2")</f>
        <v xml:space="preserve">
Капитальный ремонт техническое переоснащение здания МБУК «Дом офицеров» Московская область, г. Краснознаменск, ул. Молодёжная, д. 2</v>
      </c>
      <c r="F443" s="32"/>
      <c r="G443" s="20" t="str">
        <f ca="1">IFERROR(__xludf.DUMMYFUNCTION("""COMPUTED_VALUE"""),"2017-2020")</f>
        <v>2017-2020</v>
      </c>
      <c r="H443" s="20"/>
      <c r="I443" s="20"/>
      <c r="J443" s="20"/>
      <c r="K443" s="20"/>
      <c r="L443" s="20"/>
      <c r="M443" s="20"/>
      <c r="N443" s="20">
        <f ca="1">IFERROR(__xludf.DUMMYFUNCTION("""COMPUTED_VALUE"""),0)</f>
        <v>0</v>
      </c>
      <c r="O443" s="20"/>
      <c r="P443" s="20"/>
      <c r="Q443" s="20"/>
      <c r="R443" s="20"/>
      <c r="S443" s="20"/>
      <c r="T443" s="20"/>
      <c r="U443" s="24">
        <f ca="1">IFERROR(__xludf.DUMMYFUNCTION("""COMPUTED_VALUE"""),3125.26)</f>
        <v>3125.26</v>
      </c>
      <c r="V443" s="24">
        <f ca="1">IFERROR(__xludf.DUMMYFUNCTION("""COMPUTED_VALUE"""),0)</f>
        <v>0</v>
      </c>
      <c r="W443" s="24">
        <f ca="1">IFERROR(__xludf.DUMMYFUNCTION("""COMPUTED_VALUE"""),1484.5)</f>
        <v>1484.5</v>
      </c>
      <c r="X443" s="24">
        <f ca="1">IFERROR(__xludf.DUMMYFUNCTION("""COMPUTED_VALUE"""),1562.63)</f>
        <v>1562.63</v>
      </c>
      <c r="Y443" s="24">
        <f ca="1">IFERROR(__xludf.DUMMYFUNCTION("""COMPUTED_VALUE"""),78.13)</f>
        <v>78.13</v>
      </c>
      <c r="Z443" s="24">
        <f ca="1">IFERROR(__xludf.DUMMYFUNCTION("""COMPUTED_VALUE"""),0)</f>
        <v>0</v>
      </c>
      <c r="AA443" s="20"/>
      <c r="AB443" s="20"/>
      <c r="AC443" s="20"/>
      <c r="AD443" s="20"/>
      <c r="AE443" s="20"/>
      <c r="AF443" s="24">
        <f ca="1">IFERROR(__xludf.DUMMYFUNCTION("""COMPUTED_VALUE"""),209878.69)</f>
        <v>209878.69</v>
      </c>
      <c r="AG443" s="24">
        <f ca="1">IFERROR(__xludf.DUMMYFUNCTION("""COMPUTED_VALUE"""),0)</f>
        <v>0</v>
      </c>
      <c r="AH443" s="24">
        <f ca="1">IFERROR(__xludf.DUMMYFUNCTION("""COMPUTED_VALUE"""),197428.76)</f>
        <v>197428.76</v>
      </c>
      <c r="AI443" s="24">
        <f ca="1">IFERROR(__xludf.DUMMYFUNCTION("""COMPUTED_VALUE"""),1562.63)</f>
        <v>1562.63</v>
      </c>
      <c r="AJ443" s="24">
        <f ca="1">IFERROR(__xludf.DUMMYFUNCTION("""COMPUTED_VALUE"""),10887.3)</f>
        <v>10887.3</v>
      </c>
      <c r="AK443" s="24">
        <f ca="1">IFERROR(__xludf.DUMMYFUNCTION("""COMPUTED_VALUE"""),0)</f>
        <v>0</v>
      </c>
      <c r="AL443" s="24">
        <f ca="1">IFERROR(__xludf.DUMMYFUNCTION("""COMPUTED_VALUE"""),94742.86)</f>
        <v>94742.86</v>
      </c>
      <c r="AM443" s="20"/>
      <c r="AN443" s="24">
        <f ca="1">IFERROR(__xludf.DUMMYFUNCTION("""COMPUTED_VALUE"""),89534.26)</f>
        <v>89534.26</v>
      </c>
      <c r="AO443" s="24">
        <f ca="1">IFERROR(__xludf.DUMMYFUNCTION("""COMPUTED_VALUE"""),0)</f>
        <v>0</v>
      </c>
      <c r="AP443" s="24">
        <f ca="1">IFERROR(__xludf.DUMMYFUNCTION("""COMPUTED_VALUE"""),5208.6)</f>
        <v>5208.6000000000004</v>
      </c>
      <c r="AQ443" s="20"/>
      <c r="AR443" s="24">
        <f ca="1">IFERROR(__xludf.DUMMYFUNCTION("""COMPUTED_VALUE"""),112010.57)</f>
        <v>112010.57</v>
      </c>
      <c r="AS443" s="20"/>
      <c r="AT443" s="24">
        <f ca="1">IFERROR(__xludf.DUMMYFUNCTION("""COMPUTED_VALUE"""),106410)</f>
        <v>106410</v>
      </c>
      <c r="AU443" s="24">
        <f ca="1">IFERROR(__xludf.DUMMYFUNCTION("""COMPUTED_VALUE"""),0)</f>
        <v>0</v>
      </c>
      <c r="AV443" s="24">
        <f ca="1">IFERROR(__xludf.DUMMYFUNCTION("""COMPUTED_VALUE"""),5600.57)</f>
        <v>5600.57</v>
      </c>
      <c r="AW443" s="20"/>
      <c r="AX443" s="24">
        <f ca="1">IFERROR(__xludf.DUMMYFUNCTION("""COMPUTED_VALUE"""),3125.26)</f>
        <v>3125.26</v>
      </c>
      <c r="AY443" s="20"/>
      <c r="AZ443" s="24">
        <f ca="1">IFERROR(__xludf.DUMMYFUNCTION("""COMPUTED_VALUE"""),1484.5)</f>
        <v>1484.5</v>
      </c>
      <c r="BA443" s="24">
        <f ca="1">IFERROR(__xludf.DUMMYFUNCTION("""COMPUTED_VALUE"""),1562.63)</f>
        <v>1562.63</v>
      </c>
      <c r="BB443" s="24">
        <f ca="1">IFERROR(__xludf.DUMMYFUNCTION("""COMPUTED_VALUE"""),78.13)</f>
        <v>78.13</v>
      </c>
      <c r="BC443" s="20"/>
      <c r="BD443" s="24">
        <f ca="1">IFERROR(__xludf.DUMMYFUNCTION("""COMPUTED_VALUE"""),0)</f>
        <v>0</v>
      </c>
      <c r="BE443" s="20"/>
      <c r="BF443" s="24">
        <f ca="1">IFERROR(__xludf.DUMMYFUNCTION("""COMPUTED_VALUE"""),0)</f>
        <v>0</v>
      </c>
      <c r="BG443" s="24">
        <f ca="1">IFERROR(__xludf.DUMMYFUNCTION("""COMPUTED_VALUE"""),0)</f>
        <v>0</v>
      </c>
      <c r="BH443" s="24">
        <f ca="1">IFERROR(__xludf.DUMMYFUNCTION("""COMPUTED_VALUE"""),0)</f>
        <v>0</v>
      </c>
      <c r="BI443" s="20"/>
      <c r="BJ443" s="24">
        <f ca="1">IFERROR(__xludf.DUMMYFUNCTION("""COMPUTED_VALUE"""),0)</f>
        <v>0</v>
      </c>
      <c r="BK443" s="20"/>
      <c r="BL443" s="24">
        <f ca="1">IFERROR(__xludf.DUMMYFUNCTION("""COMPUTED_VALUE"""),0)</f>
        <v>0</v>
      </c>
      <c r="BM443" s="24">
        <f ca="1">IFERROR(__xludf.DUMMYFUNCTION("""COMPUTED_VALUE"""),0)</f>
        <v>0</v>
      </c>
      <c r="BN443" s="24">
        <f ca="1">IFERROR(__xludf.DUMMYFUNCTION("""COMPUTED_VALUE"""),0)</f>
        <v>0</v>
      </c>
      <c r="BO443" s="20"/>
      <c r="BP443" s="24">
        <f ca="1">IFERROR(__xludf.DUMMYFUNCTION("""COMPUTED_VALUE"""),0)</f>
        <v>0</v>
      </c>
      <c r="BQ443" s="20"/>
      <c r="BR443" s="24">
        <f ca="1">IFERROR(__xludf.DUMMYFUNCTION("""COMPUTED_VALUE"""),0)</f>
        <v>0</v>
      </c>
      <c r="BS443" s="24">
        <f ca="1">IFERROR(__xludf.DUMMYFUNCTION("""COMPUTED_VALUE"""),0)</f>
        <v>0</v>
      </c>
      <c r="BT443" s="24">
        <f ca="1">IFERROR(__xludf.DUMMYFUNCTION("""COMPUTED_VALUE"""),0)</f>
        <v>0</v>
      </c>
      <c r="BU443" s="20"/>
      <c r="BV443" s="24">
        <f ca="1">IFERROR(__xludf.DUMMYFUNCTION("""COMPUTED_VALUE"""),0)</f>
        <v>0</v>
      </c>
      <c r="BW443" s="20"/>
      <c r="BX443" s="20"/>
      <c r="BY443" s="20"/>
      <c r="BZ443" s="20"/>
      <c r="CA443" s="20"/>
      <c r="CB443" s="20"/>
      <c r="CC443" s="20"/>
      <c r="CD443" s="20"/>
      <c r="CE443" s="20"/>
      <c r="CF443" s="20"/>
      <c r="CG443" s="20"/>
      <c r="CH443" s="20"/>
      <c r="CI443" s="20"/>
      <c r="CJ443" s="20"/>
      <c r="CK443" s="20"/>
      <c r="CL443" s="20"/>
      <c r="CM443" s="20"/>
      <c r="CN443" s="20"/>
      <c r="CO443" s="20"/>
      <c r="CP443" s="20"/>
      <c r="CQ443" s="20"/>
      <c r="CR443" s="20"/>
      <c r="CS443" s="20"/>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row>
    <row r="444" spans="1:123" ht="64.5" hidden="1" customHeight="1" x14ac:dyDescent="0.2">
      <c r="A444" s="19"/>
      <c r="B444" s="20" t="str">
        <f ca="1">IFERROR(__xludf.DUMMYFUNCTION("""COMPUTED_VALUE"""),"г.о. Одинцово")</f>
        <v>г.о. Одинцово</v>
      </c>
      <c r="C44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4" s="24" t="str">
        <f ca="1">IFERROR(__xludf.DUMMYFUNCTION("""COMPUTED_VALUE"""),"Минобр")</f>
        <v>Минобр</v>
      </c>
      <c r="E444" s="20" t="str">
        <f ca="1">IFERROR(__xludf.DUMMYFUNCTION("""COMPUTED_VALUE"""),"Капитальный ремонт здания клуба ""Искатель"" для размещения детского сада Новый городок Кубинка-7 Одинцовский м.р.                 ")</f>
        <v xml:space="preserve">Капитальный ремонт здания клуба "Искатель" для размещения детского сада Новый городок Кубинка-7 Одинцовский м.р.                 </v>
      </c>
      <c r="F444" s="32"/>
      <c r="G444" s="20">
        <f ca="1">IFERROR(__xludf.DUMMYFUNCTION("""COMPUTED_VALUE"""),2020)</f>
        <v>2020</v>
      </c>
      <c r="H444" s="24" t="str">
        <f ca="1">IFERROR(__xludf.DUMMYFUNCTION("""COMPUTED_VALUE"""),"Вып")</f>
        <v>Вып</v>
      </c>
      <c r="I444" s="20"/>
      <c r="J444" s="20"/>
      <c r="K444" s="20"/>
      <c r="L444" s="20"/>
      <c r="M444" s="20"/>
      <c r="N444" s="20">
        <f ca="1">IFERROR(__xludf.DUMMYFUNCTION("""COMPUTED_VALUE"""),0)</f>
        <v>0</v>
      </c>
      <c r="O444" s="20"/>
      <c r="P444" s="20"/>
      <c r="Q444" s="20"/>
      <c r="R444" s="20"/>
      <c r="S444" s="20"/>
      <c r="T444" s="20"/>
      <c r="U444" s="24">
        <f ca="1">IFERROR(__xludf.DUMMYFUNCTION("""COMPUTED_VALUE"""),149508)</f>
        <v>149508</v>
      </c>
      <c r="V444" s="24">
        <f ca="1">IFERROR(__xludf.DUMMYFUNCTION("""COMPUTED_VALUE"""),0)</f>
        <v>0</v>
      </c>
      <c r="W444" s="24">
        <f ca="1">IFERROR(__xludf.DUMMYFUNCTION("""COMPUTED_VALUE"""),142032)</f>
        <v>142032</v>
      </c>
      <c r="X444" s="24">
        <f ca="1">IFERROR(__xludf.DUMMYFUNCTION("""COMPUTED_VALUE"""),0)</f>
        <v>0</v>
      </c>
      <c r="Y444" s="24">
        <f ca="1">IFERROR(__xludf.DUMMYFUNCTION("""COMPUTED_VALUE"""),7476)</f>
        <v>7476</v>
      </c>
      <c r="Z444" s="24">
        <f ca="1">IFERROR(__xludf.DUMMYFUNCTION("""COMPUTED_VALUE"""),0)</f>
        <v>0</v>
      </c>
      <c r="AA444" s="20"/>
      <c r="AB444" s="20"/>
      <c r="AC444" s="20"/>
      <c r="AD444" s="20"/>
      <c r="AE444" s="20"/>
      <c r="AF444" s="24">
        <f ca="1">IFERROR(__xludf.DUMMYFUNCTION("""COMPUTED_VALUE"""),149508)</f>
        <v>149508</v>
      </c>
      <c r="AG444" s="24">
        <f ca="1">IFERROR(__xludf.DUMMYFUNCTION("""COMPUTED_VALUE"""),0)</f>
        <v>0</v>
      </c>
      <c r="AH444" s="24">
        <f ca="1">IFERROR(__xludf.DUMMYFUNCTION("""COMPUTED_VALUE"""),142032)</f>
        <v>142032</v>
      </c>
      <c r="AI444" s="24">
        <f ca="1">IFERROR(__xludf.DUMMYFUNCTION("""COMPUTED_VALUE"""),0)</f>
        <v>0</v>
      </c>
      <c r="AJ444" s="24">
        <f ca="1">IFERROR(__xludf.DUMMYFUNCTION("""COMPUTED_VALUE"""),7476)</f>
        <v>7476</v>
      </c>
      <c r="AK444" s="24">
        <f ca="1">IFERROR(__xludf.DUMMYFUNCTION("""COMPUTED_VALUE"""),0)</f>
        <v>0</v>
      </c>
      <c r="AL444" s="24">
        <f ca="1">IFERROR(__xludf.DUMMYFUNCTION("""COMPUTED_VALUE"""),0)</f>
        <v>0</v>
      </c>
      <c r="AM444" s="20"/>
      <c r="AN444" s="24">
        <f ca="1">IFERROR(__xludf.DUMMYFUNCTION("""COMPUTED_VALUE"""),0)</f>
        <v>0</v>
      </c>
      <c r="AO444" s="24">
        <f ca="1">IFERROR(__xludf.DUMMYFUNCTION("""COMPUTED_VALUE"""),0)</f>
        <v>0</v>
      </c>
      <c r="AP444" s="24">
        <f ca="1">IFERROR(__xludf.DUMMYFUNCTION("""COMPUTED_VALUE"""),0)</f>
        <v>0</v>
      </c>
      <c r="AQ444" s="20"/>
      <c r="AR444" s="24">
        <f ca="1">IFERROR(__xludf.DUMMYFUNCTION("""COMPUTED_VALUE"""),0)</f>
        <v>0</v>
      </c>
      <c r="AS444" s="20"/>
      <c r="AT444" s="24">
        <f ca="1">IFERROR(__xludf.DUMMYFUNCTION("""COMPUTED_VALUE"""),0)</f>
        <v>0</v>
      </c>
      <c r="AU444" s="24">
        <f ca="1">IFERROR(__xludf.DUMMYFUNCTION("""COMPUTED_VALUE"""),0)</f>
        <v>0</v>
      </c>
      <c r="AV444" s="24">
        <f ca="1">IFERROR(__xludf.DUMMYFUNCTION("""COMPUTED_VALUE"""),0)</f>
        <v>0</v>
      </c>
      <c r="AW444" s="20"/>
      <c r="AX444" s="24">
        <f ca="1">IFERROR(__xludf.DUMMYFUNCTION("""COMPUTED_VALUE"""),149508)</f>
        <v>149508</v>
      </c>
      <c r="AY444" s="20"/>
      <c r="AZ444" s="24">
        <f ca="1">IFERROR(__xludf.DUMMYFUNCTION("""COMPUTED_VALUE"""),142032)</f>
        <v>142032</v>
      </c>
      <c r="BA444" s="24">
        <f ca="1">IFERROR(__xludf.DUMMYFUNCTION("""COMPUTED_VALUE"""),0)</f>
        <v>0</v>
      </c>
      <c r="BB444" s="24">
        <f ca="1">IFERROR(__xludf.DUMMYFUNCTION("""COMPUTED_VALUE"""),7476)</f>
        <v>7476</v>
      </c>
      <c r="BC444" s="20"/>
      <c r="BD444" s="24">
        <f ca="1">IFERROR(__xludf.DUMMYFUNCTION("""COMPUTED_VALUE"""),0)</f>
        <v>0</v>
      </c>
      <c r="BE444" s="20"/>
      <c r="BF444" s="24">
        <f ca="1">IFERROR(__xludf.DUMMYFUNCTION("""COMPUTED_VALUE"""),0)</f>
        <v>0</v>
      </c>
      <c r="BG444" s="24">
        <f ca="1">IFERROR(__xludf.DUMMYFUNCTION("""COMPUTED_VALUE"""),0)</f>
        <v>0</v>
      </c>
      <c r="BH444" s="24">
        <f ca="1">IFERROR(__xludf.DUMMYFUNCTION("""COMPUTED_VALUE"""),0)</f>
        <v>0</v>
      </c>
      <c r="BI444" s="20"/>
      <c r="BJ444" s="24">
        <f ca="1">IFERROR(__xludf.DUMMYFUNCTION("""COMPUTED_VALUE"""),0)</f>
        <v>0</v>
      </c>
      <c r="BK444" s="20"/>
      <c r="BL444" s="24">
        <f ca="1">IFERROR(__xludf.DUMMYFUNCTION("""COMPUTED_VALUE"""),0)</f>
        <v>0</v>
      </c>
      <c r="BM444" s="24">
        <f ca="1">IFERROR(__xludf.DUMMYFUNCTION("""COMPUTED_VALUE"""),0)</f>
        <v>0</v>
      </c>
      <c r="BN444" s="24">
        <f ca="1">IFERROR(__xludf.DUMMYFUNCTION("""COMPUTED_VALUE"""),0)</f>
        <v>0</v>
      </c>
      <c r="BO444" s="20"/>
      <c r="BP444" s="24">
        <f ca="1">IFERROR(__xludf.DUMMYFUNCTION("""COMPUTED_VALUE"""),0)</f>
        <v>0</v>
      </c>
      <c r="BQ444" s="20"/>
      <c r="BR444" s="24">
        <f ca="1">IFERROR(__xludf.DUMMYFUNCTION("""COMPUTED_VALUE"""),0)</f>
        <v>0</v>
      </c>
      <c r="BS444" s="24">
        <f ca="1">IFERROR(__xludf.DUMMYFUNCTION("""COMPUTED_VALUE"""),0)</f>
        <v>0</v>
      </c>
      <c r="BT444" s="24">
        <f ca="1">IFERROR(__xludf.DUMMYFUNCTION("""COMPUTED_VALUE"""),0)</f>
        <v>0</v>
      </c>
      <c r="BU444" s="20"/>
      <c r="BV444" s="24">
        <f ca="1">IFERROR(__xludf.DUMMYFUNCTION("""COMPUTED_VALUE"""),0)</f>
        <v>0</v>
      </c>
      <c r="BW444" s="20"/>
      <c r="BX444" s="20"/>
      <c r="BY444" s="20"/>
      <c r="BZ444" s="20"/>
      <c r="CA444" s="20"/>
      <c r="CB444" s="20"/>
      <c r="CC444" s="20"/>
      <c r="CD444" s="20"/>
      <c r="CE444" s="20"/>
      <c r="CF444" s="20"/>
      <c r="CG444" s="20"/>
      <c r="CH444" s="20"/>
      <c r="CI444" s="20"/>
      <c r="CJ444" s="20"/>
      <c r="CK444" s="20"/>
      <c r="CL444" s="20"/>
      <c r="CM444" s="20"/>
      <c r="CN444" s="20"/>
      <c r="CO444" s="20"/>
      <c r="CP444" s="20"/>
      <c r="CQ444" s="20"/>
      <c r="CR444" s="20"/>
      <c r="CS444" s="20"/>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row>
    <row r="445" spans="1:123" ht="64.5" hidden="1" customHeight="1" x14ac:dyDescent="0.2">
      <c r="A445" s="19"/>
      <c r="B445" s="20" t="str">
        <f ca="1">IFERROR(__xludf.DUMMYFUNCTION("""COMPUTED_VALUE"""),"г.о. Одинцово")</f>
        <v>г.о. Одинцово</v>
      </c>
      <c r="C445"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5" s="24" t="str">
        <f ca="1">IFERROR(__xludf.DUMMYFUNCTION("""COMPUTED_VALUE"""),"Минобр")</f>
        <v>Минобр</v>
      </c>
      <c r="E445" s="20" t="str">
        <f ca="1">IFERROR(__xludf.DUMMYFUNCTION("""COMPUTED_VALUE"""),"Капитальный ремонт МБОУ Новогородковская городская средняя образовательная школа с.п. Никольское, пос. Новый Городок военный городок Кубинка-7")</f>
        <v>Капитальный ремонт МБОУ Новогородковская городская средняя образовательная школа с.п. Никольское, пос. Новый Городок военный городок Кубинка-7</v>
      </c>
      <c r="F445" s="32"/>
      <c r="G445" s="20" t="str">
        <f ca="1">IFERROR(__xludf.DUMMYFUNCTION("""COMPUTED_VALUE"""),"2019-2020")</f>
        <v>2019-2020</v>
      </c>
      <c r="H445" s="24" t="str">
        <f ca="1">IFERROR(__xludf.DUMMYFUNCTION("""COMPUTED_VALUE"""),"Вып")</f>
        <v>Вып</v>
      </c>
      <c r="I445" s="20"/>
      <c r="J445" s="20" t="str">
        <f ca="1">IFERROR(__xludf.DUMMYFUNCTION("""COMPUTED_VALUE"""),"открыты")</f>
        <v>открыты</v>
      </c>
      <c r="K445" s="20"/>
      <c r="L445" s="20"/>
      <c r="M445" s="20"/>
      <c r="N445" s="20">
        <f ca="1">IFERROR(__xludf.DUMMYFUNCTION("""COMPUTED_VALUE"""),0)</f>
        <v>0</v>
      </c>
      <c r="O445" s="20"/>
      <c r="P445" s="20"/>
      <c r="Q445" s="20"/>
      <c r="R445" s="20"/>
      <c r="S445" s="20"/>
      <c r="T445" s="20"/>
      <c r="U445" s="24">
        <f ca="1">IFERROR(__xludf.DUMMYFUNCTION("""COMPUTED_VALUE"""),227831)</f>
        <v>227831</v>
      </c>
      <c r="V445" s="24">
        <f ca="1">IFERROR(__xludf.DUMMYFUNCTION("""COMPUTED_VALUE"""),0)</f>
        <v>0</v>
      </c>
      <c r="W445" s="24">
        <f ca="1">IFERROR(__xludf.DUMMYFUNCTION("""COMPUTED_VALUE"""),205047)</f>
        <v>205047</v>
      </c>
      <c r="X445" s="24">
        <f ca="1">IFERROR(__xludf.DUMMYFUNCTION("""COMPUTED_VALUE"""),0)</f>
        <v>0</v>
      </c>
      <c r="Y445" s="24">
        <f ca="1">IFERROR(__xludf.DUMMYFUNCTION("""COMPUTED_VALUE"""),22784)</f>
        <v>22784</v>
      </c>
      <c r="Z445" s="24">
        <f ca="1">IFERROR(__xludf.DUMMYFUNCTION("""COMPUTED_VALUE"""),0)</f>
        <v>0</v>
      </c>
      <c r="AA445" s="20"/>
      <c r="AB445" s="20"/>
      <c r="AC445" s="20"/>
      <c r="AD445" s="20"/>
      <c r="AE445" s="20"/>
      <c r="AF445" s="24">
        <f ca="1">IFERROR(__xludf.DUMMYFUNCTION("""COMPUTED_VALUE"""),306920.99)</f>
        <v>306920.99</v>
      </c>
      <c r="AG445" s="24">
        <f ca="1">IFERROR(__xludf.DUMMYFUNCTION("""COMPUTED_VALUE"""),0)</f>
        <v>0</v>
      </c>
      <c r="AH445" s="24">
        <f ca="1">IFERROR(__xludf.DUMMYFUNCTION("""COMPUTED_VALUE"""),276227.99)</f>
        <v>276227.99</v>
      </c>
      <c r="AI445" s="24">
        <f ca="1">IFERROR(__xludf.DUMMYFUNCTION("""COMPUTED_VALUE"""),0)</f>
        <v>0</v>
      </c>
      <c r="AJ445" s="24">
        <f ca="1">IFERROR(__xludf.DUMMYFUNCTION("""COMPUTED_VALUE"""),30693)</f>
        <v>30693</v>
      </c>
      <c r="AK445" s="24">
        <f ca="1">IFERROR(__xludf.DUMMYFUNCTION("""COMPUTED_VALUE"""),0)</f>
        <v>0</v>
      </c>
      <c r="AL445" s="24">
        <f ca="1">IFERROR(__xludf.DUMMYFUNCTION("""COMPUTED_VALUE"""),0)</f>
        <v>0</v>
      </c>
      <c r="AM445" s="20"/>
      <c r="AN445" s="24">
        <f ca="1">IFERROR(__xludf.DUMMYFUNCTION("""COMPUTED_VALUE"""),0)</f>
        <v>0</v>
      </c>
      <c r="AO445" s="24">
        <f ca="1">IFERROR(__xludf.DUMMYFUNCTION("""COMPUTED_VALUE"""),0)</f>
        <v>0</v>
      </c>
      <c r="AP445" s="24">
        <f ca="1">IFERROR(__xludf.DUMMYFUNCTION("""COMPUTED_VALUE"""),0)</f>
        <v>0</v>
      </c>
      <c r="AQ445" s="20"/>
      <c r="AR445" s="24">
        <f ca="1">IFERROR(__xludf.DUMMYFUNCTION("""COMPUTED_VALUE"""),79089.99)</f>
        <v>79089.990000000005</v>
      </c>
      <c r="AS445" s="20"/>
      <c r="AT445" s="24">
        <f ca="1">IFERROR(__xludf.DUMMYFUNCTION("""COMPUTED_VALUE"""),71180.99)</f>
        <v>71180.990000000005</v>
      </c>
      <c r="AU445" s="24">
        <f ca="1">IFERROR(__xludf.DUMMYFUNCTION("""COMPUTED_VALUE"""),0)</f>
        <v>0</v>
      </c>
      <c r="AV445" s="24">
        <f ca="1">IFERROR(__xludf.DUMMYFUNCTION("""COMPUTED_VALUE"""),7909)</f>
        <v>7909</v>
      </c>
      <c r="AW445" s="20"/>
      <c r="AX445" s="24">
        <f ca="1">IFERROR(__xludf.DUMMYFUNCTION("""COMPUTED_VALUE"""),227831)</f>
        <v>227831</v>
      </c>
      <c r="AY445" s="20"/>
      <c r="AZ445" s="24">
        <f ca="1">IFERROR(__xludf.DUMMYFUNCTION("""COMPUTED_VALUE"""),205047)</f>
        <v>205047</v>
      </c>
      <c r="BA445" s="24">
        <f ca="1">IFERROR(__xludf.DUMMYFUNCTION("""COMPUTED_VALUE"""),0)</f>
        <v>0</v>
      </c>
      <c r="BB445" s="24">
        <f ca="1">IFERROR(__xludf.DUMMYFUNCTION("""COMPUTED_VALUE"""),22784)</f>
        <v>22784</v>
      </c>
      <c r="BC445" s="20"/>
      <c r="BD445" s="24">
        <f ca="1">IFERROR(__xludf.DUMMYFUNCTION("""COMPUTED_VALUE"""),0)</f>
        <v>0</v>
      </c>
      <c r="BE445" s="20"/>
      <c r="BF445" s="24">
        <f ca="1">IFERROR(__xludf.DUMMYFUNCTION("""COMPUTED_VALUE"""),0)</f>
        <v>0</v>
      </c>
      <c r="BG445" s="24">
        <f ca="1">IFERROR(__xludf.DUMMYFUNCTION("""COMPUTED_VALUE"""),0)</f>
        <v>0</v>
      </c>
      <c r="BH445" s="24">
        <f ca="1">IFERROR(__xludf.DUMMYFUNCTION("""COMPUTED_VALUE"""),0)</f>
        <v>0</v>
      </c>
      <c r="BI445" s="20"/>
      <c r="BJ445" s="24">
        <f ca="1">IFERROR(__xludf.DUMMYFUNCTION("""COMPUTED_VALUE"""),0)</f>
        <v>0</v>
      </c>
      <c r="BK445" s="20"/>
      <c r="BL445" s="24">
        <f ca="1">IFERROR(__xludf.DUMMYFUNCTION("""COMPUTED_VALUE"""),0)</f>
        <v>0</v>
      </c>
      <c r="BM445" s="24">
        <f ca="1">IFERROR(__xludf.DUMMYFUNCTION("""COMPUTED_VALUE"""),0)</f>
        <v>0</v>
      </c>
      <c r="BN445" s="24">
        <f ca="1">IFERROR(__xludf.DUMMYFUNCTION("""COMPUTED_VALUE"""),0)</f>
        <v>0</v>
      </c>
      <c r="BO445" s="20"/>
      <c r="BP445" s="24">
        <f ca="1">IFERROR(__xludf.DUMMYFUNCTION("""COMPUTED_VALUE"""),0)</f>
        <v>0</v>
      </c>
      <c r="BQ445" s="20"/>
      <c r="BR445" s="24">
        <f ca="1">IFERROR(__xludf.DUMMYFUNCTION("""COMPUTED_VALUE"""),0)</f>
        <v>0</v>
      </c>
      <c r="BS445" s="24">
        <f ca="1">IFERROR(__xludf.DUMMYFUNCTION("""COMPUTED_VALUE"""),0)</f>
        <v>0</v>
      </c>
      <c r="BT445" s="24">
        <f ca="1">IFERROR(__xludf.DUMMYFUNCTION("""COMPUTED_VALUE"""),0)</f>
        <v>0</v>
      </c>
      <c r="BU445" s="20"/>
      <c r="BV445" s="24">
        <f ca="1">IFERROR(__xludf.DUMMYFUNCTION("""COMPUTED_VALUE"""),0)</f>
        <v>0</v>
      </c>
      <c r="BW445" s="20"/>
      <c r="BX445" s="20"/>
      <c r="BY445" s="20"/>
      <c r="BZ445" s="20"/>
      <c r="CA445" s="20"/>
      <c r="CB445" s="20"/>
      <c r="CC445" s="20"/>
      <c r="CD445" s="20"/>
      <c r="CE445" s="20"/>
      <c r="CF445" s="20"/>
      <c r="CG445" s="20"/>
      <c r="CH445" s="20"/>
      <c r="CI445" s="20"/>
      <c r="CJ445" s="20"/>
      <c r="CK445" s="20"/>
      <c r="CL445" s="20"/>
      <c r="CM445" s="20"/>
      <c r="CN445" s="20"/>
      <c r="CO445" s="20"/>
      <c r="CP445" s="20"/>
      <c r="CQ445" s="20"/>
      <c r="CR445" s="20"/>
      <c r="CS445" s="20"/>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row>
    <row r="446" spans="1:123" ht="64.5" hidden="1" customHeight="1" x14ac:dyDescent="0.2">
      <c r="A446" s="19"/>
      <c r="B446" s="20" t="str">
        <f ca="1">IFERROR(__xludf.DUMMYFUNCTION("""COMPUTED_VALUE"""),"г.о. Орехово-Зуево")</f>
        <v>г.о. Орехово-Зуево</v>
      </c>
      <c r="C44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6" s="24" t="str">
        <f ca="1">IFERROR(__xludf.DUMMYFUNCTION("""COMPUTED_VALUE"""),"МинЖКХ ")</f>
        <v xml:space="preserve">МинЖКХ </v>
      </c>
      <c r="E446" s="20" t="str">
        <f ca="1">IFERROR(__xludf.DUMMYFUNCTION("""COMPUTED_VALUE"""),"Строительство локальных очистных сооружений п. Военный городок объемом до 30 куб.м.  Орехово-Зуевский городской округ")</f>
        <v>Строительство локальных очистных сооружений п. Военный городок объемом до 30 куб.м.  Орехово-Зуевский городской округ</v>
      </c>
      <c r="F446" s="32" t="str">
        <f ca="1">IFERROR(__xludf.DUMMYFUNCTION("""COMPUTED_VALUE"""),"ОС")</f>
        <v>ОС</v>
      </c>
      <c r="G446" s="20">
        <f ca="1">IFERROR(__xludf.DUMMYFUNCTION("""COMPUTED_VALUE"""),2023)</f>
        <v>2023</v>
      </c>
      <c r="H446" s="20"/>
      <c r="I446" s="20">
        <f ca="1">IFERROR(__xludf.DUMMYFUNCTION("""COMPUTED_VALUE"""),0)</f>
        <v>0</v>
      </c>
      <c r="J446" s="20" t="str">
        <f ca="1">IFERROR(__xludf.DUMMYFUNCTION("""COMPUTED_VALUE"""),"Выполнение мероприятия переностится с 2021 года на 2023 год в соответствии с выпиской из проекта постановления Правительства МО ""О внесении изменений в госудаственную программу Московской области ""Развитие инженерной инфраструктуры и энергоэффективности"&amp;""" на 2018-2024 годы"". Объем финансирования в 2023 году составит 4995,24 тыс.руб, в том числе БМО - 4745,00 тыс.руб., бюджет ОМСУ - 250,24 тыс.руб.")</f>
        <v>Выполнение мероприятия переностится с 2021 года на 2023 год в соответствии с выпиской из проекта постановления Правительства МО "О внесении изменений в госудаственную программу Московской области "Развитие инженерной инфраструктуры и энергоэффективности" на 2018-2024 годы". Объем финансирования в 2023 году составит 4995,24 тыс.руб, в том числе БМО - 4745,00 тыс.руб., бюджет ОМСУ - 250,24 тыс.руб.</v>
      </c>
      <c r="K446" s="20">
        <f ca="1">IFERROR(__xludf.DUMMYFUNCTION("""COMPUTED_VALUE"""),75)</f>
        <v>75</v>
      </c>
      <c r="L446" s="20">
        <f ca="1">IFERROR(__xludf.DUMMYFUNCTION("""COMPUTED_VALUE"""),75)</f>
        <v>75</v>
      </c>
      <c r="M446" s="20"/>
      <c r="N446" s="24">
        <f ca="1">IFERROR(__xludf.DUMMYFUNCTION("""COMPUTED_VALUE"""),0)</f>
        <v>0</v>
      </c>
      <c r="O446" s="20"/>
      <c r="P446" s="24">
        <f ca="1">IFERROR(__xludf.DUMMYFUNCTION("""COMPUTED_VALUE"""),0)</f>
        <v>0</v>
      </c>
      <c r="Q446" s="20"/>
      <c r="R446" s="20"/>
      <c r="S446" s="20"/>
      <c r="T446" s="20"/>
      <c r="U446" s="24">
        <f ca="1">IFERROR(__xludf.DUMMYFUNCTION("""COMPUTED_VALUE"""),0)</f>
        <v>0</v>
      </c>
      <c r="V446" s="24">
        <f ca="1">IFERROR(__xludf.DUMMYFUNCTION("""COMPUTED_VALUE"""),0)</f>
        <v>0</v>
      </c>
      <c r="W446" s="24">
        <f ca="1">IFERROR(__xludf.DUMMYFUNCTION("""COMPUTED_VALUE"""),0)</f>
        <v>0</v>
      </c>
      <c r="X446" s="24">
        <f ca="1">IFERROR(__xludf.DUMMYFUNCTION("""COMPUTED_VALUE"""),0)</f>
        <v>0</v>
      </c>
      <c r="Y446" s="24">
        <f ca="1">IFERROR(__xludf.DUMMYFUNCTION("""COMPUTED_VALUE"""),0)</f>
        <v>0</v>
      </c>
      <c r="Z446" s="24">
        <f ca="1">IFERROR(__xludf.DUMMYFUNCTION("""COMPUTED_VALUE"""),0)</f>
        <v>0</v>
      </c>
      <c r="AA446" s="20"/>
      <c r="AB446" s="20"/>
      <c r="AC446" s="20"/>
      <c r="AD446" s="20"/>
      <c r="AE446" s="20"/>
      <c r="AF446" s="24">
        <f ca="1">IFERROR(__xludf.DUMMYFUNCTION("""COMPUTED_VALUE"""),4995.24)</f>
        <v>4995.24</v>
      </c>
      <c r="AG446" s="24">
        <f ca="1">IFERROR(__xludf.DUMMYFUNCTION("""COMPUTED_VALUE"""),0)</f>
        <v>0</v>
      </c>
      <c r="AH446" s="24">
        <f ca="1">IFERROR(__xludf.DUMMYFUNCTION("""COMPUTED_VALUE"""),4745)</f>
        <v>4745</v>
      </c>
      <c r="AI446" s="24">
        <f ca="1">IFERROR(__xludf.DUMMYFUNCTION("""COMPUTED_VALUE"""),0)</f>
        <v>0</v>
      </c>
      <c r="AJ446" s="24">
        <f ca="1">IFERROR(__xludf.DUMMYFUNCTION("""COMPUTED_VALUE"""),250.24)</f>
        <v>250.24</v>
      </c>
      <c r="AK446" s="24">
        <f ca="1">IFERROR(__xludf.DUMMYFUNCTION("""COMPUTED_VALUE"""),0)</f>
        <v>0</v>
      </c>
      <c r="AL446" s="24">
        <f ca="1">IFERROR(__xludf.DUMMYFUNCTION("""COMPUTED_VALUE"""),0)</f>
        <v>0</v>
      </c>
      <c r="AM446" s="20"/>
      <c r="AN446" s="24">
        <f ca="1">IFERROR(__xludf.DUMMYFUNCTION("""COMPUTED_VALUE"""),0)</f>
        <v>0</v>
      </c>
      <c r="AO446" s="24">
        <f ca="1">IFERROR(__xludf.DUMMYFUNCTION("""COMPUTED_VALUE"""),0)</f>
        <v>0</v>
      </c>
      <c r="AP446" s="24">
        <f ca="1">IFERROR(__xludf.DUMMYFUNCTION("""COMPUTED_VALUE"""),0)</f>
        <v>0</v>
      </c>
      <c r="AQ446" s="20"/>
      <c r="AR446" s="24">
        <f ca="1">IFERROR(__xludf.DUMMYFUNCTION("""COMPUTED_VALUE"""),0)</f>
        <v>0</v>
      </c>
      <c r="AS446" s="20"/>
      <c r="AT446" s="24">
        <f ca="1">IFERROR(__xludf.DUMMYFUNCTION("""COMPUTED_VALUE"""),0)</f>
        <v>0</v>
      </c>
      <c r="AU446" s="24">
        <f ca="1">IFERROR(__xludf.DUMMYFUNCTION("""COMPUTED_VALUE"""),0)</f>
        <v>0</v>
      </c>
      <c r="AV446" s="24">
        <f ca="1">IFERROR(__xludf.DUMMYFUNCTION("""COMPUTED_VALUE"""),0)</f>
        <v>0</v>
      </c>
      <c r="AW446" s="20"/>
      <c r="AX446" s="24">
        <f ca="1">IFERROR(__xludf.DUMMYFUNCTION("""COMPUTED_VALUE"""),0)</f>
        <v>0</v>
      </c>
      <c r="AY446" s="20"/>
      <c r="AZ446" s="24">
        <f ca="1">IFERROR(__xludf.DUMMYFUNCTION("""COMPUTED_VALUE"""),0)</f>
        <v>0</v>
      </c>
      <c r="BA446" s="24">
        <f ca="1">IFERROR(__xludf.DUMMYFUNCTION("""COMPUTED_VALUE"""),0)</f>
        <v>0</v>
      </c>
      <c r="BB446" s="24">
        <f ca="1">IFERROR(__xludf.DUMMYFUNCTION("""COMPUTED_VALUE"""),0)</f>
        <v>0</v>
      </c>
      <c r="BC446" s="20"/>
      <c r="BD446" s="24">
        <f ca="1">IFERROR(__xludf.DUMMYFUNCTION("""COMPUTED_VALUE"""),0)</f>
        <v>0</v>
      </c>
      <c r="BE446" s="20"/>
      <c r="BF446" s="24">
        <f ca="1">IFERROR(__xludf.DUMMYFUNCTION("""COMPUTED_VALUE"""),0)</f>
        <v>0</v>
      </c>
      <c r="BG446" s="24">
        <f ca="1">IFERROR(__xludf.DUMMYFUNCTION("""COMPUTED_VALUE"""),0)</f>
        <v>0</v>
      </c>
      <c r="BH446" s="24">
        <f ca="1">IFERROR(__xludf.DUMMYFUNCTION("""COMPUTED_VALUE"""),0)</f>
        <v>0</v>
      </c>
      <c r="BI446" s="20"/>
      <c r="BJ446" s="24">
        <f ca="1">IFERROR(__xludf.DUMMYFUNCTION("""COMPUTED_VALUE"""),0)</f>
        <v>0</v>
      </c>
      <c r="BK446" s="20"/>
      <c r="BL446" s="24">
        <f ca="1">IFERROR(__xludf.DUMMYFUNCTION("""COMPUTED_VALUE"""),0)</f>
        <v>0</v>
      </c>
      <c r="BM446" s="24">
        <f ca="1">IFERROR(__xludf.DUMMYFUNCTION("""COMPUTED_VALUE"""),0)</f>
        <v>0</v>
      </c>
      <c r="BN446" s="24">
        <f ca="1">IFERROR(__xludf.DUMMYFUNCTION("""COMPUTED_VALUE"""),0)</f>
        <v>0</v>
      </c>
      <c r="BO446" s="20"/>
      <c r="BP446" s="24">
        <f ca="1">IFERROR(__xludf.DUMMYFUNCTION("""COMPUTED_VALUE"""),4995.24)</f>
        <v>4995.24</v>
      </c>
      <c r="BQ446" s="20"/>
      <c r="BR446" s="24">
        <f ca="1">IFERROR(__xludf.DUMMYFUNCTION("""COMPUTED_VALUE"""),4745)</f>
        <v>4745</v>
      </c>
      <c r="BS446" s="24">
        <f ca="1">IFERROR(__xludf.DUMMYFUNCTION("""COMPUTED_VALUE"""),0)</f>
        <v>0</v>
      </c>
      <c r="BT446" s="24">
        <f ca="1">IFERROR(__xludf.DUMMYFUNCTION("""COMPUTED_VALUE"""),250.24)</f>
        <v>250.24</v>
      </c>
      <c r="BU446" s="20"/>
      <c r="BV446" s="24">
        <f ca="1">IFERROR(__xludf.DUMMYFUNCTION("""COMPUTED_VALUE"""),0)</f>
        <v>0</v>
      </c>
      <c r="BW446" s="20"/>
      <c r="BX446" s="20"/>
      <c r="BY446" s="20"/>
      <c r="BZ446" s="20"/>
      <c r="CA446" s="20"/>
      <c r="CB446" s="20"/>
      <c r="CC446" s="20"/>
      <c r="CD446" s="20"/>
      <c r="CE446" s="20"/>
      <c r="CF446" s="20"/>
      <c r="CG446" s="20"/>
      <c r="CH446" s="20"/>
      <c r="CI446" s="20"/>
      <c r="CJ446" s="20"/>
      <c r="CK446" s="20"/>
      <c r="CL446" s="20"/>
      <c r="CM446" s="20"/>
      <c r="CN446" s="20"/>
      <c r="CO446" s="20"/>
      <c r="CP446" s="20"/>
      <c r="CQ446" s="20"/>
      <c r="CR446" s="20"/>
      <c r="CS446" s="20"/>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row>
    <row r="447" spans="1:123" ht="64.5" customHeight="1" x14ac:dyDescent="0.2">
      <c r="A447" s="19"/>
      <c r="B447" s="20" t="str">
        <f ca="1">IFERROR(__xludf.DUMMYFUNCTION("""COMPUTED_VALUE"""),"г.о. Ступино")</f>
        <v>г.о. Ступино</v>
      </c>
      <c r="C44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7" s="24" t="str">
        <f ca="1">IFERROR(__xludf.DUMMYFUNCTION("""COMPUTED_VALUE"""),"МинЖКХ ")</f>
        <v xml:space="preserve">МинЖКХ </v>
      </c>
      <c r="E447" s="20" t="str">
        <f ca="1">IFERROR(__xludf.DUMMYFUNCTION("""COMPUTED_VALUE"""),"Строительство блочно-модульной котельной в военном городке № 112 Михнево-3 Ступинский муниципальный район (в том числе ПИР)")</f>
        <v>Строительство блочно-модульной котельной в военном городке № 112 Михнево-3 Ступинский муниципальный район (в том числе ПИР)</v>
      </c>
      <c r="F447" s="40" t="str">
        <f ca="1">IFERROR(__xludf.DUMMYFUNCTION("""COMPUTED_VALUE"""),"БМК")</f>
        <v>БМК</v>
      </c>
      <c r="G447" s="41" t="str">
        <f ca="1">IFERROR(__xludf.DUMMYFUNCTION("""COMPUTED_VALUE"""),"2020")</f>
        <v>2020</v>
      </c>
      <c r="H447" s="24" t="str">
        <f ca="1">IFERROR(__xludf.DUMMYFUNCTION("""COMPUTED_VALUE"""),"СМР")</f>
        <v>СМР</v>
      </c>
      <c r="I447" s="20">
        <f ca="1">IFERROR(__xludf.DUMMYFUNCTION("""COMPUTED_VALUE"""),10)</f>
        <v>10</v>
      </c>
      <c r="J447" s="20" t="str">
        <f ca="1">IFERROR(__xludf.DUMMYFUNCTION("""COMPUTED_VALUE"""),"￼Календарным планом выполнения работ предусмотрено изготовление котельной с доставкой в течение 10 дней с момента заключения контракта и 40 дней на строительно-монтажные работы. Данные сроки Подрядной организацией нарушены. 09.10.2020 г. выставлена претен"&amp;"зия и штрафные санкции на сумму 361 722,4 руб. Принято решение  расторгнуть контракт в одностороннем порядке. Общий показатель выполненных работ - 10%
29.10.2020 на имя Министра МО Велиховского А.А направлено письмо 14.1-15/1862 с просьбой переноса лимито"&amp;"в 2020 года на 2021 год по причине нарушения сроков подрядной организацией ООО ""СТРОИТЕЛЬНАЯ КОМПАНИЯ ""МАСТЕР"" и расторжения контракта с подрядчиком.
Направили подрядчику почтовое письмо с информацией об одностороннем расторжении контракта. Планируетс"&amp;"я корректировка проекта + экспертиза. Будет направлено письмо с обоснованием увеличения бюджета.")</f>
        <v>￼Календарным планом выполнения работ предусмотрено изготовление котельной с доставкой в течение 10 дней с момента заключения контракта и 40 дней на строительно-монтажные работы. Данные сроки Подрядной организацией нарушены. 09.10.2020 г. выставлена претензия и штрафные санкции на сумму 361 722,4 руб. Принято решение  расторгнуть контракт в одностороннем порядке. Общий показатель выполненных работ - 10%
29.10.2020 на имя Министра МО Велиховского А.А направлено письмо 14.1-15/1862 с просьбой переноса лимитов 2020 года на 2021 год по причине нарушения сроков подрядной организацией ООО "СТРОИТЕЛЬНАЯ КОМПАНИЯ "МАСТЕР" и расторжения контракта с подрядчиком.
Направили подрядчику почтовое письмо с информацией об одностороннем расторжении контракта. Планируется корректировка проекта + экспертиза. Будет направлено письмо с обоснованием увеличения бюджета.</v>
      </c>
      <c r="K447" s="20">
        <f ca="1">IFERROR(__xludf.DUMMYFUNCTION("""COMPUTED_VALUE"""),500)</f>
        <v>500</v>
      </c>
      <c r="L447" s="20">
        <f ca="1">IFERROR(__xludf.DUMMYFUNCTION("""COMPUTED_VALUE"""),500)</f>
        <v>500</v>
      </c>
      <c r="M447" s="27" t="str">
        <f ca="1">IFERROR(__xludf.DUMMYFUNCTION("""COMPUTED_VALUE"""),"https://drive.google.com/drive/folders/17oRbTRK7o2kb9erkQxxvOOq4dqZ-KsxI?usp=sharing")</f>
        <v>https://drive.google.com/drive/folders/17oRbTRK7o2kb9erkQxxvOOq4dqZ-KsxI?usp=sharing</v>
      </c>
      <c r="N447" s="24">
        <f ca="1">IFERROR(__xludf.DUMMYFUNCTION("""COMPUTED_VALUE"""),0)</f>
        <v>0</v>
      </c>
      <c r="O447" s="20"/>
      <c r="P447" s="24">
        <f ca="1">IFERROR(__xludf.DUMMYFUNCTION("""COMPUTED_VALUE"""),0)</f>
        <v>0</v>
      </c>
      <c r="Q447" s="20"/>
      <c r="R447" s="20"/>
      <c r="S447" s="20"/>
      <c r="T447" s="20"/>
      <c r="U447" s="24">
        <f ca="1">IFERROR(__xludf.DUMMYFUNCTION("""COMPUTED_VALUE"""),9327.47)</f>
        <v>9327.4699999999993</v>
      </c>
      <c r="V447" s="24">
        <f ca="1">IFERROR(__xludf.DUMMYFUNCTION("""COMPUTED_VALUE"""),0)</f>
        <v>0</v>
      </c>
      <c r="W447" s="24">
        <f ca="1">IFERROR(__xludf.DUMMYFUNCTION("""COMPUTED_VALUE"""),0)</f>
        <v>0</v>
      </c>
      <c r="X447" s="24">
        <f ca="1">IFERROR(__xludf.DUMMYFUNCTION("""COMPUTED_VALUE"""),7163.5)</f>
        <v>7163.5</v>
      </c>
      <c r="Y447" s="24">
        <f ca="1">IFERROR(__xludf.DUMMYFUNCTION("""COMPUTED_VALUE"""),2163.97)</f>
        <v>2163.9699999999998</v>
      </c>
      <c r="Z447" s="24">
        <f ca="1">IFERROR(__xludf.DUMMYFUNCTION("""COMPUTED_VALUE"""),0)</f>
        <v>0</v>
      </c>
      <c r="AA447" s="20" t="str">
        <f ca="1">IFERROR(__xludf.DUMMYFUNCTION("""COMPUTED_VALUE"""),"10 3 03 64460")</f>
        <v>10 3 03 64460</v>
      </c>
      <c r="AB447" s="20">
        <f ca="1">IFERROR(__xludf.DUMMYFUNCTION("""COMPUTED_VALUE"""),522)</f>
        <v>522</v>
      </c>
      <c r="AC447" s="20"/>
      <c r="AD447" s="20"/>
      <c r="AE447" s="20"/>
      <c r="AF447" s="24">
        <f ca="1">IFERROR(__xludf.DUMMYFUNCTION("""COMPUTED_VALUE"""),16105.45)</f>
        <v>16105.45</v>
      </c>
      <c r="AG447" s="24">
        <f ca="1">IFERROR(__xludf.DUMMYFUNCTION("""COMPUTED_VALUE"""),0)</f>
        <v>0</v>
      </c>
      <c r="AH447" s="24">
        <f ca="1">IFERROR(__xludf.DUMMYFUNCTION("""COMPUTED_VALUE"""),5205.49)</f>
        <v>5205.49</v>
      </c>
      <c r="AI447" s="24">
        <f ca="1">IFERROR(__xludf.DUMMYFUNCTION("""COMPUTED_VALUE"""),7163.5)</f>
        <v>7163.5</v>
      </c>
      <c r="AJ447" s="24">
        <f ca="1">IFERROR(__xludf.DUMMYFUNCTION("""COMPUTED_VALUE"""),3736.46)</f>
        <v>3736.46</v>
      </c>
      <c r="AK447" s="24">
        <f ca="1">IFERROR(__xludf.DUMMYFUNCTION("""COMPUTED_VALUE"""),0)</f>
        <v>0</v>
      </c>
      <c r="AL447" s="24">
        <f ca="1">IFERROR(__xludf.DUMMYFUNCTION("""COMPUTED_VALUE"""),2617.55)</f>
        <v>2617.5500000000002</v>
      </c>
      <c r="AM447" s="20"/>
      <c r="AN447" s="24">
        <f ca="1">IFERROR(__xludf.DUMMYFUNCTION("""COMPUTED_VALUE"""),2010.28)</f>
        <v>2010.28</v>
      </c>
      <c r="AO447" s="24">
        <f ca="1">IFERROR(__xludf.DUMMYFUNCTION("""COMPUTED_VALUE"""),0)</f>
        <v>0</v>
      </c>
      <c r="AP447" s="24">
        <f ca="1">IFERROR(__xludf.DUMMYFUNCTION("""COMPUTED_VALUE"""),607.27)</f>
        <v>607.27</v>
      </c>
      <c r="AQ447" s="20"/>
      <c r="AR447" s="24">
        <f ca="1">IFERROR(__xludf.DUMMYFUNCTION("""COMPUTED_VALUE"""),4160.43)</f>
        <v>4160.43</v>
      </c>
      <c r="AS447" s="20"/>
      <c r="AT447" s="24">
        <f ca="1">IFERROR(__xludf.DUMMYFUNCTION("""COMPUTED_VALUE"""),3195.21)</f>
        <v>3195.21</v>
      </c>
      <c r="AU447" s="24">
        <f ca="1">IFERROR(__xludf.DUMMYFUNCTION("""COMPUTED_VALUE"""),0)</f>
        <v>0</v>
      </c>
      <c r="AV447" s="24">
        <f ca="1">IFERROR(__xludf.DUMMYFUNCTION("""COMPUTED_VALUE"""),965.22)</f>
        <v>965.22</v>
      </c>
      <c r="AW447" s="20"/>
      <c r="AX447" s="24">
        <f ca="1">IFERROR(__xludf.DUMMYFUNCTION("""COMPUTED_VALUE"""),9327.47)</f>
        <v>9327.4699999999993</v>
      </c>
      <c r="AY447" s="20"/>
      <c r="AZ447" s="24">
        <f ca="1">IFERROR(__xludf.DUMMYFUNCTION("""COMPUTED_VALUE"""),0)</f>
        <v>0</v>
      </c>
      <c r="BA447" s="24">
        <f ca="1">IFERROR(__xludf.DUMMYFUNCTION("""COMPUTED_VALUE"""),7163.5)</f>
        <v>7163.5</v>
      </c>
      <c r="BB447" s="24">
        <f ca="1">IFERROR(__xludf.DUMMYFUNCTION("""COMPUTED_VALUE"""),2163.97)</f>
        <v>2163.9699999999998</v>
      </c>
      <c r="BC447" s="20"/>
      <c r="BD447" s="24">
        <f ca="1">IFERROR(__xludf.DUMMYFUNCTION("""COMPUTED_VALUE"""),0)</f>
        <v>0</v>
      </c>
      <c r="BE447" s="20"/>
      <c r="BF447" s="24">
        <f ca="1">IFERROR(__xludf.DUMMYFUNCTION("""COMPUTED_VALUE"""),0)</f>
        <v>0</v>
      </c>
      <c r="BG447" s="24">
        <f ca="1">IFERROR(__xludf.DUMMYFUNCTION("""COMPUTED_VALUE"""),0)</f>
        <v>0</v>
      </c>
      <c r="BH447" s="24">
        <f ca="1">IFERROR(__xludf.DUMMYFUNCTION("""COMPUTED_VALUE"""),0)</f>
        <v>0</v>
      </c>
      <c r="BI447" s="20"/>
      <c r="BJ447" s="24">
        <f ca="1">IFERROR(__xludf.DUMMYFUNCTION("""COMPUTED_VALUE"""),0)</f>
        <v>0</v>
      </c>
      <c r="BK447" s="20"/>
      <c r="BL447" s="24">
        <f ca="1">IFERROR(__xludf.DUMMYFUNCTION("""COMPUTED_VALUE"""),0)</f>
        <v>0</v>
      </c>
      <c r="BM447" s="24">
        <f ca="1">IFERROR(__xludf.DUMMYFUNCTION("""COMPUTED_VALUE"""),0)</f>
        <v>0</v>
      </c>
      <c r="BN447" s="24">
        <f ca="1">IFERROR(__xludf.DUMMYFUNCTION("""COMPUTED_VALUE"""),0)</f>
        <v>0</v>
      </c>
      <c r="BO447" s="20"/>
      <c r="BP447" s="24">
        <f ca="1">IFERROR(__xludf.DUMMYFUNCTION("""COMPUTED_VALUE"""),0)</f>
        <v>0</v>
      </c>
      <c r="BQ447" s="20"/>
      <c r="BR447" s="24">
        <f ca="1">IFERROR(__xludf.DUMMYFUNCTION("""COMPUTED_VALUE"""),0)</f>
        <v>0</v>
      </c>
      <c r="BS447" s="24">
        <f ca="1">IFERROR(__xludf.DUMMYFUNCTION("""COMPUTED_VALUE"""),0)</f>
        <v>0</v>
      </c>
      <c r="BT447" s="24">
        <f ca="1">IFERROR(__xludf.DUMMYFUNCTION("""COMPUTED_VALUE"""),0)</f>
        <v>0</v>
      </c>
      <c r="BU447" s="20"/>
      <c r="BV447" s="24">
        <f ca="1">IFERROR(__xludf.DUMMYFUNCTION("""COMPUTED_VALUE"""),0)</f>
        <v>0</v>
      </c>
      <c r="BW447" s="20"/>
      <c r="BX447" s="20"/>
      <c r="BY447" s="20"/>
      <c r="BZ447" s="20"/>
      <c r="CA447" s="20"/>
      <c r="CB447" s="20"/>
      <c r="CC447" s="20"/>
      <c r="CD447" s="20"/>
      <c r="CE447" s="20"/>
      <c r="CF447" s="20"/>
      <c r="CG447" s="20"/>
      <c r="CH447" s="20"/>
      <c r="CI447" s="20"/>
      <c r="CJ447" s="26">
        <f ca="1">IFERROR(__xludf.DUMMYFUNCTION("""COMPUTED_VALUE"""),43182)</f>
        <v>43182</v>
      </c>
      <c r="CK447" s="33">
        <f ca="1">IFERROR(__xludf.DUMMYFUNCTION("""COMPUTED_VALUE"""),43317)</f>
        <v>43317</v>
      </c>
      <c r="CL447" s="20" t="str">
        <f ca="1">IFERROR(__xludf.DUMMYFUNCTION("""COMPUTED_VALUE"""),"№ 50-1-1-3-0226-18")</f>
        <v>№ 50-1-1-3-0226-18</v>
      </c>
      <c r="CM447" s="26">
        <f ca="1">IFERROR(__xludf.DUMMYFUNCTION("""COMPUTED_VALUE"""),44055)</f>
        <v>44055</v>
      </c>
      <c r="CN447" s="20" t="str">
        <f ca="1">IFERROR(__xludf.DUMMYFUNCTION("""COMPUTED_VALUE"""),"0848600008920000198")</f>
        <v>0848600008920000198</v>
      </c>
      <c r="CO447" s="26">
        <f ca="1">IFERROR(__xludf.DUMMYFUNCTION("""COMPUTED_VALUE"""),44088)</f>
        <v>44088</v>
      </c>
      <c r="CP447" s="20" t="str">
        <f ca="1">IFERROR(__xludf.DUMMYFUNCTION("""COMPUTED_VALUE"""),"126-А")</f>
        <v>126-А</v>
      </c>
      <c r="CQ447" s="24">
        <f ca="1">IFERROR(__xludf.DUMMYFUNCTION("""COMPUTED_VALUE"""),10112344.32)</f>
        <v>10112344.32</v>
      </c>
      <c r="CR447" s="20" t="str">
        <f ca="1">IFERROR(__xludf.DUMMYFUNCTION("""COMPUTED_VALUE"""),"ООО ""СТРОИТЕЛЬНАЯ КОМПАНИЯ""МАСТЕР""")</f>
        <v>ООО "СТРОИТЕЛЬНАЯ КОМПАНИЯ"МАСТЕР"</v>
      </c>
      <c r="CS447" s="27" t="str">
        <f ca="1">IFERROR(__xludf.DUMMYFUNCTION("""COMPUTED_VALUE"""),"https://zakupki.gov.ru/epz/contract/contractCard/document-info.html?reestrNumber=3504506235920000123")</f>
        <v>https://zakupki.gov.ru/epz/contract/contractCard/document-info.html?reestrNumber=3504506235920000123</v>
      </c>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row>
    <row r="448" spans="1:123" ht="64.5" hidden="1" customHeight="1" x14ac:dyDescent="0.2">
      <c r="A448" s="19"/>
      <c r="B448" s="20" t="str">
        <f ca="1">IFERROR(__xludf.DUMMYFUNCTION("""COMPUTED_VALUE"""),"г.о. Серпухов")</f>
        <v>г.о. Серпухов</v>
      </c>
      <c r="C448"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8" s="24" t="str">
        <f ca="1">IFERROR(__xludf.DUMMYFUNCTION("""COMPUTED_VALUE"""),"Минобр")</f>
        <v>Минобр</v>
      </c>
      <c r="E448" s="20" t="str">
        <f ca="1">IFERROR(__xludf.DUMMYFUNCTION("""COMPUTED_VALUE"""),"Капитальный ремонт МДОУ детский сад № 39 «Золотой ключик» по адресу: г. Серпухов, Московское шоссе, д. 62 ")</f>
        <v xml:space="preserve">Капитальный ремонт МДОУ детский сад № 39 «Золотой ключик» по адресу: г. Серпухов, Московское шоссе, д. 62 </v>
      </c>
      <c r="F448" s="32"/>
      <c r="G448" s="20" t="str">
        <f ca="1">IFERROR(__xludf.DUMMYFUNCTION("""COMPUTED_VALUE"""),"2019-2020")</f>
        <v>2019-2020</v>
      </c>
      <c r="H448" s="24" t="str">
        <f ca="1">IFERROR(__xludf.DUMMYFUNCTION("""COMPUTED_VALUE"""),"Вып")</f>
        <v>Вып</v>
      </c>
      <c r="I448" s="20"/>
      <c r="J448" s="20"/>
      <c r="K448" s="20"/>
      <c r="L448" s="20"/>
      <c r="M448" s="20"/>
      <c r="N448" s="20">
        <f ca="1">IFERROR(__xludf.DUMMYFUNCTION("""COMPUTED_VALUE"""),0)</f>
        <v>0</v>
      </c>
      <c r="O448" s="20"/>
      <c r="P448" s="20"/>
      <c r="Q448" s="20"/>
      <c r="R448" s="20"/>
      <c r="S448" s="20"/>
      <c r="T448" s="20"/>
      <c r="U448" s="24">
        <f ca="1">IFERROR(__xludf.DUMMYFUNCTION("""COMPUTED_VALUE"""),7850.83)</f>
        <v>7850.83</v>
      </c>
      <c r="V448" s="24">
        <f ca="1">IFERROR(__xludf.DUMMYFUNCTION("""COMPUTED_VALUE"""),0)</f>
        <v>0</v>
      </c>
      <c r="W448" s="24">
        <f ca="1">IFERROR(__xludf.DUMMYFUNCTION("""COMPUTED_VALUE"""),0)</f>
        <v>0</v>
      </c>
      <c r="X448" s="24">
        <f ca="1">IFERROR(__xludf.DUMMYFUNCTION("""COMPUTED_VALUE"""),0)</f>
        <v>0</v>
      </c>
      <c r="Y448" s="24">
        <f ca="1">IFERROR(__xludf.DUMMYFUNCTION("""COMPUTED_VALUE"""),7850.83)</f>
        <v>7850.83</v>
      </c>
      <c r="Z448" s="24">
        <f ca="1">IFERROR(__xludf.DUMMYFUNCTION("""COMPUTED_VALUE"""),0)</f>
        <v>0</v>
      </c>
      <c r="AA448" s="20"/>
      <c r="AB448" s="20"/>
      <c r="AC448" s="20"/>
      <c r="AD448" s="20"/>
      <c r="AE448" s="20"/>
      <c r="AF448" s="24">
        <f ca="1">IFERROR(__xludf.DUMMYFUNCTION("""COMPUTED_VALUE"""),67560.83)</f>
        <v>67560.83</v>
      </c>
      <c r="AG448" s="24">
        <f ca="1">IFERROR(__xludf.DUMMYFUNCTION("""COMPUTED_VALUE"""),0)</f>
        <v>0</v>
      </c>
      <c r="AH448" s="24">
        <f ca="1">IFERROR(__xludf.DUMMYFUNCTION("""COMPUTED_VALUE"""),56724)</f>
        <v>56724</v>
      </c>
      <c r="AI448" s="24">
        <f ca="1">IFERROR(__xludf.DUMMYFUNCTION("""COMPUTED_VALUE"""),0)</f>
        <v>0</v>
      </c>
      <c r="AJ448" s="24">
        <f ca="1">IFERROR(__xludf.DUMMYFUNCTION("""COMPUTED_VALUE"""),10836.83)</f>
        <v>10836.83</v>
      </c>
      <c r="AK448" s="24">
        <f ca="1">IFERROR(__xludf.DUMMYFUNCTION("""COMPUTED_VALUE"""),0)</f>
        <v>0</v>
      </c>
      <c r="AL448" s="24">
        <f ca="1">IFERROR(__xludf.DUMMYFUNCTION("""COMPUTED_VALUE"""),0)</f>
        <v>0</v>
      </c>
      <c r="AM448" s="20"/>
      <c r="AN448" s="24">
        <f ca="1">IFERROR(__xludf.DUMMYFUNCTION("""COMPUTED_VALUE"""),0)</f>
        <v>0</v>
      </c>
      <c r="AO448" s="24">
        <f ca="1">IFERROR(__xludf.DUMMYFUNCTION("""COMPUTED_VALUE"""),0)</f>
        <v>0</v>
      </c>
      <c r="AP448" s="24">
        <f ca="1">IFERROR(__xludf.DUMMYFUNCTION("""COMPUTED_VALUE"""),0)</f>
        <v>0</v>
      </c>
      <c r="AQ448" s="20"/>
      <c r="AR448" s="24">
        <f ca="1">IFERROR(__xludf.DUMMYFUNCTION("""COMPUTED_VALUE"""),59710)</f>
        <v>59710</v>
      </c>
      <c r="AS448" s="20"/>
      <c r="AT448" s="24">
        <f ca="1">IFERROR(__xludf.DUMMYFUNCTION("""COMPUTED_VALUE"""),56724)</f>
        <v>56724</v>
      </c>
      <c r="AU448" s="24">
        <f ca="1">IFERROR(__xludf.DUMMYFUNCTION("""COMPUTED_VALUE"""),0)</f>
        <v>0</v>
      </c>
      <c r="AV448" s="24">
        <f ca="1">IFERROR(__xludf.DUMMYFUNCTION("""COMPUTED_VALUE"""),2986)</f>
        <v>2986</v>
      </c>
      <c r="AW448" s="20"/>
      <c r="AX448" s="24">
        <f ca="1">IFERROR(__xludf.DUMMYFUNCTION("""COMPUTED_VALUE"""),7850.83)</f>
        <v>7850.83</v>
      </c>
      <c r="AY448" s="20"/>
      <c r="AZ448" s="24">
        <f ca="1">IFERROR(__xludf.DUMMYFUNCTION("""COMPUTED_VALUE"""),0)</f>
        <v>0</v>
      </c>
      <c r="BA448" s="24">
        <f ca="1">IFERROR(__xludf.DUMMYFUNCTION("""COMPUTED_VALUE"""),0)</f>
        <v>0</v>
      </c>
      <c r="BB448" s="24">
        <f ca="1">IFERROR(__xludf.DUMMYFUNCTION("""COMPUTED_VALUE"""),7850.83)</f>
        <v>7850.83</v>
      </c>
      <c r="BC448" s="20"/>
      <c r="BD448" s="24">
        <f ca="1">IFERROR(__xludf.DUMMYFUNCTION("""COMPUTED_VALUE"""),0)</f>
        <v>0</v>
      </c>
      <c r="BE448" s="20"/>
      <c r="BF448" s="24">
        <f ca="1">IFERROR(__xludf.DUMMYFUNCTION("""COMPUTED_VALUE"""),0)</f>
        <v>0</v>
      </c>
      <c r="BG448" s="24">
        <f ca="1">IFERROR(__xludf.DUMMYFUNCTION("""COMPUTED_VALUE"""),0)</f>
        <v>0</v>
      </c>
      <c r="BH448" s="24">
        <f ca="1">IFERROR(__xludf.DUMMYFUNCTION("""COMPUTED_VALUE"""),0)</f>
        <v>0</v>
      </c>
      <c r="BI448" s="20"/>
      <c r="BJ448" s="24">
        <f ca="1">IFERROR(__xludf.DUMMYFUNCTION("""COMPUTED_VALUE"""),0)</f>
        <v>0</v>
      </c>
      <c r="BK448" s="20"/>
      <c r="BL448" s="24">
        <f ca="1">IFERROR(__xludf.DUMMYFUNCTION("""COMPUTED_VALUE"""),0)</f>
        <v>0</v>
      </c>
      <c r="BM448" s="24">
        <f ca="1">IFERROR(__xludf.DUMMYFUNCTION("""COMPUTED_VALUE"""),0)</f>
        <v>0</v>
      </c>
      <c r="BN448" s="24">
        <f ca="1">IFERROR(__xludf.DUMMYFUNCTION("""COMPUTED_VALUE"""),0)</f>
        <v>0</v>
      </c>
      <c r="BO448" s="20"/>
      <c r="BP448" s="24">
        <f ca="1">IFERROR(__xludf.DUMMYFUNCTION("""COMPUTED_VALUE"""),0)</f>
        <v>0</v>
      </c>
      <c r="BQ448" s="20"/>
      <c r="BR448" s="24">
        <f ca="1">IFERROR(__xludf.DUMMYFUNCTION("""COMPUTED_VALUE"""),0)</f>
        <v>0</v>
      </c>
      <c r="BS448" s="24">
        <f ca="1">IFERROR(__xludf.DUMMYFUNCTION("""COMPUTED_VALUE"""),0)</f>
        <v>0</v>
      </c>
      <c r="BT448" s="24">
        <f ca="1">IFERROR(__xludf.DUMMYFUNCTION("""COMPUTED_VALUE"""),0)</f>
        <v>0</v>
      </c>
      <c r="BU448" s="20"/>
      <c r="BV448" s="24">
        <f ca="1">IFERROR(__xludf.DUMMYFUNCTION("""COMPUTED_VALUE"""),0)</f>
        <v>0</v>
      </c>
      <c r="BW448" s="20"/>
      <c r="BX448" s="20"/>
      <c r="BY448" s="20"/>
      <c r="BZ448" s="20"/>
      <c r="CA448" s="20"/>
      <c r="CB448" s="20"/>
      <c r="CC448" s="20"/>
      <c r="CD448" s="20"/>
      <c r="CE448" s="20"/>
      <c r="CF448" s="20"/>
      <c r="CG448" s="20"/>
      <c r="CH448" s="20"/>
      <c r="CI448" s="20"/>
      <c r="CJ448" s="20"/>
      <c r="CK448" s="20"/>
      <c r="CL448" s="20"/>
      <c r="CM448" s="20"/>
      <c r="CN448" s="20"/>
      <c r="CO448" s="20"/>
      <c r="CP448" s="20"/>
      <c r="CQ448" s="20"/>
      <c r="CR448" s="20"/>
      <c r="CS448" s="20"/>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row>
    <row r="449" spans="1:123" ht="64.5" hidden="1" customHeight="1" x14ac:dyDescent="0.2">
      <c r="A449" s="19"/>
      <c r="B449" s="20" t="str">
        <f ca="1">IFERROR(__xludf.DUMMYFUNCTION("""COMPUTED_VALUE"""),"г.о. Солнечногорск")</f>
        <v>г.о. Солнечногорск</v>
      </c>
      <c r="C44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9" s="24" t="str">
        <f ca="1">IFERROR(__xludf.DUMMYFUNCTION("""COMPUTED_VALUE"""),"Минкульт")</f>
        <v>Минкульт</v>
      </c>
      <c r="E449" s="20" t="str">
        <f ca="1">IFERROR(__xludf.DUMMYFUNCTION("""COMPUTED_VALUE"""),"Капитальный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f>
        <v>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v>
      </c>
      <c r="F449" s="32"/>
      <c r="G449" s="20" t="str">
        <f ca="1">IFERROR(__xludf.DUMMYFUNCTION("""COMPUTED_VALUE"""),"2019-2020")</f>
        <v>2019-2020</v>
      </c>
      <c r="H449" s="20"/>
      <c r="I449" s="20"/>
      <c r="J449" s="20"/>
      <c r="K449" s="20"/>
      <c r="L449" s="20"/>
      <c r="M449" s="20"/>
      <c r="N449" s="20">
        <f ca="1">IFERROR(__xludf.DUMMYFUNCTION("""COMPUTED_VALUE"""),0)</f>
        <v>0</v>
      </c>
      <c r="O449" s="20"/>
      <c r="P449" s="20"/>
      <c r="Q449" s="20"/>
      <c r="R449" s="20"/>
      <c r="S449" s="20"/>
      <c r="T449" s="20"/>
      <c r="U449" s="24">
        <f ca="1">IFERROR(__xludf.DUMMYFUNCTION("""COMPUTED_VALUE"""),150468.41)</f>
        <v>150468.41</v>
      </c>
      <c r="V449" s="24">
        <f ca="1">IFERROR(__xludf.DUMMYFUNCTION("""COMPUTED_VALUE"""),0)</f>
        <v>0</v>
      </c>
      <c r="W449" s="24">
        <f ca="1">IFERROR(__xludf.DUMMYFUNCTION("""COMPUTED_VALUE"""),142945)</f>
        <v>142945</v>
      </c>
      <c r="X449" s="24">
        <f ca="1">IFERROR(__xludf.DUMMYFUNCTION("""COMPUTED_VALUE"""),0)</f>
        <v>0</v>
      </c>
      <c r="Y449" s="24">
        <f ca="1">IFERROR(__xludf.DUMMYFUNCTION("""COMPUTED_VALUE"""),7523.41)</f>
        <v>7523.41</v>
      </c>
      <c r="Z449" s="24">
        <f ca="1">IFERROR(__xludf.DUMMYFUNCTION("""COMPUTED_VALUE"""),0)</f>
        <v>0</v>
      </c>
      <c r="AA449" s="20"/>
      <c r="AB449" s="20"/>
      <c r="AC449" s="20"/>
      <c r="AD449" s="20"/>
      <c r="AE449" s="20"/>
      <c r="AF449" s="24">
        <f ca="1">IFERROR(__xludf.DUMMYFUNCTION("""COMPUTED_VALUE"""),185161.61)</f>
        <v>185161.61</v>
      </c>
      <c r="AG449" s="24">
        <f ca="1">IFERROR(__xludf.DUMMYFUNCTION("""COMPUTED_VALUE"""),0)</f>
        <v>0</v>
      </c>
      <c r="AH449" s="24">
        <f ca="1">IFERROR(__xludf.DUMMYFUNCTION("""COMPUTED_VALUE"""),175903.54)</f>
        <v>175903.54</v>
      </c>
      <c r="AI449" s="24">
        <f ca="1">IFERROR(__xludf.DUMMYFUNCTION("""COMPUTED_VALUE"""),0)</f>
        <v>0</v>
      </c>
      <c r="AJ449" s="24">
        <f ca="1">IFERROR(__xludf.DUMMYFUNCTION("""COMPUTED_VALUE"""),9258.07)</f>
        <v>9258.07</v>
      </c>
      <c r="AK449" s="24">
        <f ca="1">IFERROR(__xludf.DUMMYFUNCTION("""COMPUTED_VALUE"""),0)</f>
        <v>0</v>
      </c>
      <c r="AL449" s="24">
        <f ca="1">IFERROR(__xludf.DUMMYFUNCTION("""COMPUTED_VALUE"""),0)</f>
        <v>0</v>
      </c>
      <c r="AM449" s="20"/>
      <c r="AN449" s="24">
        <f ca="1">IFERROR(__xludf.DUMMYFUNCTION("""COMPUTED_VALUE"""),0)</f>
        <v>0</v>
      </c>
      <c r="AO449" s="24">
        <f ca="1">IFERROR(__xludf.DUMMYFUNCTION("""COMPUTED_VALUE"""),0)</f>
        <v>0</v>
      </c>
      <c r="AP449" s="24">
        <f ca="1">IFERROR(__xludf.DUMMYFUNCTION("""COMPUTED_VALUE"""),0)</f>
        <v>0</v>
      </c>
      <c r="AQ449" s="20"/>
      <c r="AR449" s="24">
        <f ca="1">IFERROR(__xludf.DUMMYFUNCTION("""COMPUTED_VALUE"""),34693.2)</f>
        <v>34693.199999999997</v>
      </c>
      <c r="AS449" s="20"/>
      <c r="AT449" s="24">
        <f ca="1">IFERROR(__xludf.DUMMYFUNCTION("""COMPUTED_VALUE"""),32958.54)</f>
        <v>32958.54</v>
      </c>
      <c r="AU449" s="24">
        <f ca="1">IFERROR(__xludf.DUMMYFUNCTION("""COMPUTED_VALUE"""),0)</f>
        <v>0</v>
      </c>
      <c r="AV449" s="24">
        <f ca="1">IFERROR(__xludf.DUMMYFUNCTION("""COMPUTED_VALUE"""),1734.66)</f>
        <v>1734.66</v>
      </c>
      <c r="AW449" s="20"/>
      <c r="AX449" s="24">
        <f ca="1">IFERROR(__xludf.DUMMYFUNCTION("""COMPUTED_VALUE"""),150468.41)</f>
        <v>150468.41</v>
      </c>
      <c r="AY449" s="20"/>
      <c r="AZ449" s="24">
        <f ca="1">IFERROR(__xludf.DUMMYFUNCTION("""COMPUTED_VALUE"""),142945)</f>
        <v>142945</v>
      </c>
      <c r="BA449" s="24">
        <f ca="1">IFERROR(__xludf.DUMMYFUNCTION("""COMPUTED_VALUE"""),0)</f>
        <v>0</v>
      </c>
      <c r="BB449" s="24">
        <f ca="1">IFERROR(__xludf.DUMMYFUNCTION("""COMPUTED_VALUE"""),7523.41)</f>
        <v>7523.41</v>
      </c>
      <c r="BC449" s="20"/>
      <c r="BD449" s="24">
        <f ca="1">IFERROR(__xludf.DUMMYFUNCTION("""COMPUTED_VALUE"""),0)</f>
        <v>0</v>
      </c>
      <c r="BE449" s="20"/>
      <c r="BF449" s="24">
        <f ca="1">IFERROR(__xludf.DUMMYFUNCTION("""COMPUTED_VALUE"""),0)</f>
        <v>0</v>
      </c>
      <c r="BG449" s="24">
        <f ca="1">IFERROR(__xludf.DUMMYFUNCTION("""COMPUTED_VALUE"""),0)</f>
        <v>0</v>
      </c>
      <c r="BH449" s="24">
        <f ca="1">IFERROR(__xludf.DUMMYFUNCTION("""COMPUTED_VALUE"""),0)</f>
        <v>0</v>
      </c>
      <c r="BI449" s="20"/>
      <c r="BJ449" s="24">
        <f ca="1">IFERROR(__xludf.DUMMYFUNCTION("""COMPUTED_VALUE"""),0)</f>
        <v>0</v>
      </c>
      <c r="BK449" s="20"/>
      <c r="BL449" s="24">
        <f ca="1">IFERROR(__xludf.DUMMYFUNCTION("""COMPUTED_VALUE"""),0)</f>
        <v>0</v>
      </c>
      <c r="BM449" s="24">
        <f ca="1">IFERROR(__xludf.DUMMYFUNCTION("""COMPUTED_VALUE"""),0)</f>
        <v>0</v>
      </c>
      <c r="BN449" s="24">
        <f ca="1">IFERROR(__xludf.DUMMYFUNCTION("""COMPUTED_VALUE"""),0)</f>
        <v>0</v>
      </c>
      <c r="BO449" s="20"/>
      <c r="BP449" s="24">
        <f ca="1">IFERROR(__xludf.DUMMYFUNCTION("""COMPUTED_VALUE"""),0)</f>
        <v>0</v>
      </c>
      <c r="BQ449" s="20"/>
      <c r="BR449" s="24">
        <f ca="1">IFERROR(__xludf.DUMMYFUNCTION("""COMPUTED_VALUE"""),0)</f>
        <v>0</v>
      </c>
      <c r="BS449" s="24">
        <f ca="1">IFERROR(__xludf.DUMMYFUNCTION("""COMPUTED_VALUE"""),0)</f>
        <v>0</v>
      </c>
      <c r="BT449" s="24">
        <f ca="1">IFERROR(__xludf.DUMMYFUNCTION("""COMPUTED_VALUE"""),0)</f>
        <v>0</v>
      </c>
      <c r="BU449" s="20"/>
      <c r="BV449" s="24">
        <f ca="1">IFERROR(__xludf.DUMMYFUNCTION("""COMPUTED_VALUE"""),0)</f>
        <v>0</v>
      </c>
      <c r="BW449" s="20"/>
      <c r="BX449" s="20"/>
      <c r="BY449" s="20"/>
      <c r="BZ449" s="20"/>
      <c r="CA449" s="20"/>
      <c r="CB449" s="20"/>
      <c r="CC449" s="20"/>
      <c r="CD449" s="20"/>
      <c r="CE449" s="20"/>
      <c r="CF449" s="20"/>
      <c r="CG449" s="20"/>
      <c r="CH449" s="20"/>
      <c r="CI449" s="20"/>
      <c r="CJ449" s="20"/>
      <c r="CK449" s="20"/>
      <c r="CL449" s="20"/>
      <c r="CM449" s="20"/>
      <c r="CN449" s="20"/>
      <c r="CO449" s="20"/>
      <c r="CP449" s="20"/>
      <c r="CQ449" s="20"/>
      <c r="CR449" s="20"/>
      <c r="CS449" s="20"/>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row>
    <row r="450" spans="1:123" ht="64.5" customHeight="1" x14ac:dyDescent="0.2">
      <c r="A450" s="19"/>
      <c r="B450" s="20" t="str">
        <f ca="1">IFERROR(__xludf.DUMMYFUNCTION("""COMPUTED_VALUE"""),"г.о. Черноголовка")</f>
        <v>г.о. Черноголовка</v>
      </c>
      <c r="C450"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50" s="24" t="str">
        <f ca="1">IFERROR(__xludf.DUMMYFUNCTION("""COMPUTED_VALUE"""),"МинЖКХ ")</f>
        <v xml:space="preserve">МинЖКХ </v>
      </c>
      <c r="E450" s="20" t="str">
        <f ca="1">IFERROR(__xludf.DUMMYFUNCTION("""COMPUTED_VALUE"""),"Строительство канализационных очистных сооружений, по адресу: военный городок Ногинск-4,
с. Макарово, городской округ Черноголовка (в т.ч. ПИР)    
")</f>
        <v xml:space="preserve">Строительство канализационных очистных сооружений, по адресу: военный городок Ногинск-4,
с. Макарово, городской округ Черноголовка (в т.ч. ПИР)    
</v>
      </c>
      <c r="F450" s="40" t="str">
        <f ca="1">IFERROR(__xludf.DUMMYFUNCTION("""COMPUTED_VALUE"""),"ОС")</f>
        <v>ОС</v>
      </c>
      <c r="G450" s="41" t="str">
        <f ca="1">IFERROR(__xludf.DUMMYFUNCTION("""COMPUTED_VALUE"""),"2020-2021")</f>
        <v>2020-2021</v>
      </c>
      <c r="H450" s="24" t="str">
        <f ca="1">IFERROR(__xludf.DUMMYFUNCTION("""COMPUTED_VALUE"""),"ПИР")</f>
        <v>ПИР</v>
      </c>
      <c r="I450" s="20">
        <f ca="1">IFERROR(__xludf.DUMMYFUNCTION("""COMPUTED_VALUE"""),0)</f>
        <v>0</v>
      </c>
      <c r="J450" s="20" t="str">
        <f ca="1">IFERROR(__xludf.DUMMYFUNCTION("""COMPUTED_VALUE"""),"Положительное заключение МОГЭ не получено. Готовится расторжение контракта с подрядной организацией ООО ""МЕЩЕРСКАЯ АКВАРЕЛЬ"". Новый заход в МОГЭ ориентировочно в конце 2021 года.
Проектная организация во время не завершила обязательства по договору, в с"&amp;"вязи с чем заключить договор на строительство канализационных очистных сооружений в 2020 году не представляется возможным. Заключение договора предполагается в 2021 году.
25.12.2020 направлено письмо ГКУ-04-8295/20
")</f>
        <v xml:space="preserve">Положительное заключение МОГЭ не получено. Готовится расторжение контракта с подрядной организацией ООО "МЕЩЕРСКАЯ АКВАРЕЛЬ". Новый заход в МОГЭ ориентировочно в конце 2021 года.
Проектная организация во время не завершила обязательства по договору, в связи с чем заключить договор на строительство канализационных очистных сооружений в 2020 году не представляется возможным. Заключение договора предполагается в 2021 году.
25.12.2020 направлено письмо ГКУ-04-8295/20
</v>
      </c>
      <c r="K450" s="20">
        <f ca="1">IFERROR(__xludf.DUMMYFUNCTION("""COMPUTED_VALUE"""),0)</f>
        <v>0</v>
      </c>
      <c r="L450" s="20">
        <f ca="1">IFERROR(__xludf.DUMMYFUNCTION("""COMPUTED_VALUE"""),1000)</f>
        <v>1000</v>
      </c>
      <c r="M450" s="20"/>
      <c r="N450" s="24">
        <f ca="1">IFERROR(__xludf.DUMMYFUNCTION("""COMPUTED_VALUE"""),0)</f>
        <v>0</v>
      </c>
      <c r="O450" s="20"/>
      <c r="P450" s="24">
        <f ca="1">IFERROR(__xludf.DUMMYFUNCTION("""COMPUTED_VALUE"""),0)</f>
        <v>0</v>
      </c>
      <c r="Q450" s="20"/>
      <c r="R450" s="20"/>
      <c r="S450" s="20"/>
      <c r="T450" s="20"/>
      <c r="U450" s="24">
        <f ca="1">IFERROR(__xludf.DUMMYFUNCTION("""COMPUTED_VALUE"""),22985.29)</f>
        <v>22985.29</v>
      </c>
      <c r="V450" s="24">
        <f ca="1">IFERROR(__xludf.DUMMYFUNCTION("""COMPUTED_VALUE"""),0)</f>
        <v>0</v>
      </c>
      <c r="W450" s="24">
        <f ca="1">IFERROR(__xludf.DUMMYFUNCTION("""COMPUTED_VALUE"""),0)</f>
        <v>0</v>
      </c>
      <c r="X450" s="24">
        <f ca="1">IFERROR(__xludf.DUMMYFUNCTION("""COMPUTED_VALUE"""),20319)</f>
        <v>20319</v>
      </c>
      <c r="Y450" s="24">
        <f ca="1">IFERROR(__xludf.DUMMYFUNCTION("""COMPUTED_VALUE"""),2666.29)</f>
        <v>2666.29</v>
      </c>
      <c r="Z450" s="24">
        <f ca="1">IFERROR(__xludf.DUMMYFUNCTION("""COMPUTED_VALUE"""),0)</f>
        <v>0</v>
      </c>
      <c r="AA450" s="20" t="str">
        <f ca="1">IFERROR(__xludf.DUMMYFUNCTION("""COMPUTED_VALUE"""),"10 3 03 64460")</f>
        <v>10 3 03 64460</v>
      </c>
      <c r="AB450" s="20"/>
      <c r="AC450" s="20"/>
      <c r="AD450" s="20"/>
      <c r="AE450" s="20"/>
      <c r="AF450" s="24">
        <f ca="1">IFERROR(__xludf.DUMMYFUNCTION("""COMPUTED_VALUE"""),42985)</f>
        <v>42985</v>
      </c>
      <c r="AG450" s="24">
        <f ca="1">IFERROR(__xludf.DUMMYFUNCTION("""COMPUTED_VALUE"""),0)</f>
        <v>0</v>
      </c>
      <c r="AH450" s="24">
        <f ca="1">IFERROR(__xludf.DUMMYFUNCTION("""COMPUTED_VALUE"""),17681)</f>
        <v>17681</v>
      </c>
      <c r="AI450" s="24">
        <f ca="1">IFERROR(__xludf.DUMMYFUNCTION("""COMPUTED_VALUE"""),20319)</f>
        <v>20319</v>
      </c>
      <c r="AJ450" s="24">
        <f ca="1">IFERROR(__xludf.DUMMYFUNCTION("""COMPUTED_VALUE"""),4985)</f>
        <v>4985</v>
      </c>
      <c r="AK450" s="24">
        <f ca="1">IFERROR(__xludf.DUMMYFUNCTION("""COMPUTED_VALUE"""),0)</f>
        <v>0</v>
      </c>
      <c r="AL450" s="24">
        <f ca="1">IFERROR(__xludf.DUMMYFUNCTION("""COMPUTED_VALUE"""),0)</f>
        <v>0</v>
      </c>
      <c r="AM450" s="20"/>
      <c r="AN450" s="24">
        <f ca="1">IFERROR(__xludf.DUMMYFUNCTION("""COMPUTED_VALUE"""),0)</f>
        <v>0</v>
      </c>
      <c r="AO450" s="24">
        <f ca="1">IFERROR(__xludf.DUMMYFUNCTION("""COMPUTED_VALUE"""),0)</f>
        <v>0</v>
      </c>
      <c r="AP450" s="24">
        <f ca="1">IFERROR(__xludf.DUMMYFUNCTION("""COMPUTED_VALUE"""),0)</f>
        <v>0</v>
      </c>
      <c r="AQ450" s="20"/>
      <c r="AR450" s="24">
        <f ca="1">IFERROR(__xludf.DUMMYFUNCTION("""COMPUTED_VALUE"""),0)</f>
        <v>0</v>
      </c>
      <c r="AS450" s="20"/>
      <c r="AT450" s="24">
        <f ca="1">IFERROR(__xludf.DUMMYFUNCTION("""COMPUTED_VALUE"""),0)</f>
        <v>0</v>
      </c>
      <c r="AU450" s="24">
        <f ca="1">IFERROR(__xludf.DUMMYFUNCTION("""COMPUTED_VALUE"""),0)</f>
        <v>0</v>
      </c>
      <c r="AV450" s="24">
        <f ca="1">IFERROR(__xludf.DUMMYFUNCTION("""COMPUTED_VALUE"""),0)</f>
        <v>0</v>
      </c>
      <c r="AW450" s="20"/>
      <c r="AX450" s="24">
        <f ca="1">IFERROR(__xludf.DUMMYFUNCTION("""COMPUTED_VALUE"""),22985.29)</f>
        <v>22985.29</v>
      </c>
      <c r="AY450" s="20"/>
      <c r="AZ450" s="24">
        <f ca="1">IFERROR(__xludf.DUMMYFUNCTION("""COMPUTED_VALUE"""),0)</f>
        <v>0</v>
      </c>
      <c r="BA450" s="24">
        <f ca="1">IFERROR(__xludf.DUMMYFUNCTION("""COMPUTED_VALUE"""),20319)</f>
        <v>20319</v>
      </c>
      <c r="BB450" s="24">
        <f ca="1">IFERROR(__xludf.DUMMYFUNCTION("""COMPUTED_VALUE"""),2666.29)</f>
        <v>2666.29</v>
      </c>
      <c r="BC450" s="20"/>
      <c r="BD450" s="24">
        <f ca="1">IFERROR(__xludf.DUMMYFUNCTION("""COMPUTED_VALUE"""),19999.71)</f>
        <v>19999.71</v>
      </c>
      <c r="BE450" s="20"/>
      <c r="BF450" s="24">
        <f ca="1">IFERROR(__xludf.DUMMYFUNCTION("""COMPUTED_VALUE"""),17681)</f>
        <v>17681</v>
      </c>
      <c r="BG450" s="24">
        <f ca="1">IFERROR(__xludf.DUMMYFUNCTION("""COMPUTED_VALUE"""),0)</f>
        <v>0</v>
      </c>
      <c r="BH450" s="24">
        <f ca="1">IFERROR(__xludf.DUMMYFUNCTION("""COMPUTED_VALUE"""),2318.71)</f>
        <v>2318.71</v>
      </c>
      <c r="BI450" s="20"/>
      <c r="BJ450" s="24">
        <f ca="1">IFERROR(__xludf.DUMMYFUNCTION("""COMPUTED_VALUE"""),0)</f>
        <v>0</v>
      </c>
      <c r="BK450" s="20"/>
      <c r="BL450" s="24">
        <f ca="1">IFERROR(__xludf.DUMMYFUNCTION("""COMPUTED_VALUE"""),0)</f>
        <v>0</v>
      </c>
      <c r="BM450" s="24">
        <f ca="1">IFERROR(__xludf.DUMMYFUNCTION("""COMPUTED_VALUE"""),0)</f>
        <v>0</v>
      </c>
      <c r="BN450" s="24">
        <f ca="1">IFERROR(__xludf.DUMMYFUNCTION("""COMPUTED_VALUE"""),0)</f>
        <v>0</v>
      </c>
      <c r="BO450" s="20"/>
      <c r="BP450" s="24">
        <f ca="1">IFERROR(__xludf.DUMMYFUNCTION("""COMPUTED_VALUE"""),0)</f>
        <v>0</v>
      </c>
      <c r="BQ450" s="20"/>
      <c r="BR450" s="24">
        <f ca="1">IFERROR(__xludf.DUMMYFUNCTION("""COMPUTED_VALUE"""),0)</f>
        <v>0</v>
      </c>
      <c r="BS450" s="24">
        <f ca="1">IFERROR(__xludf.DUMMYFUNCTION("""COMPUTED_VALUE"""),0)</f>
        <v>0</v>
      </c>
      <c r="BT450" s="24">
        <f ca="1">IFERROR(__xludf.DUMMYFUNCTION("""COMPUTED_VALUE"""),0)</f>
        <v>0</v>
      </c>
      <c r="BU450" s="20"/>
      <c r="BV450" s="24">
        <f ca="1">IFERROR(__xludf.DUMMYFUNCTION("""COMPUTED_VALUE"""),0)</f>
        <v>0</v>
      </c>
      <c r="BW450" s="20"/>
      <c r="BX450" s="20"/>
      <c r="BY450" s="20"/>
      <c r="BZ450" s="20"/>
      <c r="CA450" s="20"/>
      <c r="CB450" s="25" t="str">
        <f ca="1">IFERROR(__xludf.DUMMYFUNCTION("""COMPUTED_VALUE"""),"заключен")</f>
        <v>заключен</v>
      </c>
      <c r="CC450" s="25">
        <f ca="1">IFERROR(__xludf.DUMMYFUNCTION("""COMPUTED_VALUE"""),43755)</f>
        <v>43755</v>
      </c>
      <c r="CD450" s="20" t="str">
        <f ca="1">IFERROR(__xludf.DUMMYFUNCTION("""COMPUTED_VALUE"""),"0148300009119000132")</f>
        <v>0148300009119000132</v>
      </c>
      <c r="CE450" s="26">
        <f ca="1">IFERROR(__xludf.DUMMYFUNCTION("""COMPUTED_VALUE"""),43777)</f>
        <v>43777</v>
      </c>
      <c r="CF450" s="20" t="str">
        <f ca="1">IFERROR(__xludf.DUMMYFUNCTION("""COMPUTED_VALUE"""),"0148300009119000132")</f>
        <v>0148300009119000132</v>
      </c>
      <c r="CG450" s="24" t="str">
        <f ca="1">IFERROR(__xludf.DUMMYFUNCTION("""COMPUTED_VALUE"""),"2 984 866,43")</f>
        <v>2 984 866,43</v>
      </c>
      <c r="CH450" s="20" t="str">
        <f ca="1">IFERROR(__xludf.DUMMYFUNCTION("""COMPUTED_VALUE"""),"ООО ""МЕЩЕРСКАЯ АКВАРЕЛЬ""")</f>
        <v>ООО "МЕЩЕРСКАЯ АКВАРЕЛЬ"</v>
      </c>
      <c r="CI450" s="27" t="str">
        <f ca="1">IFERROR(__xludf.DUMMYFUNCTION("""COMPUTED_VALUE"""),"https://zakupki.gov.ru/epz/contract/contractCard/common-info.html?reestrNumber=3503102976019000101&amp;backUrl=dd9b8ff1-86d9-4be6-8e41-5596f19d8404")</f>
        <v>https://zakupki.gov.ru/epz/contract/contractCard/common-info.html?reestrNumber=3503102976019000101&amp;backUrl=dd9b8ff1-86d9-4be6-8e41-5596f19d8404</v>
      </c>
      <c r="CJ450" s="20" t="str">
        <f ca="1">IFERROR(__xludf.DUMMYFUNCTION("""COMPUTED_VALUE"""),"03.09.2020 (повторный)")</f>
        <v>03.09.2020 (повторный)</v>
      </c>
      <c r="CK450" s="33">
        <f ca="1">IFERROR(__xludf.DUMMYFUNCTION("""COMPUTED_VALUE"""),44151)</f>
        <v>44151</v>
      </c>
      <c r="CL450" s="20"/>
      <c r="CM450" s="20"/>
      <c r="CN450" s="20"/>
      <c r="CO450" s="20"/>
      <c r="CP450" s="20"/>
      <c r="CQ450" s="20"/>
      <c r="CR450" s="20"/>
      <c r="CS450" s="20"/>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row>
    <row r="451" spans="1:123" ht="64.5" hidden="1" customHeight="1" x14ac:dyDescent="0.2">
      <c r="A451" s="19"/>
      <c r="B451" s="20" t="str">
        <f ca="1">IFERROR(__xludf.DUMMYFUNCTION("""COMPUTED_VALUE"""),"г.о. Ступино")</f>
        <v>г.о. Ступино</v>
      </c>
      <c r="C45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1" s="24" t="str">
        <f ca="1">IFERROR(__xludf.DUMMYFUNCTION("""COMPUTED_VALUE"""),"Минобр")</f>
        <v>Минобр</v>
      </c>
      <c r="E451" s="20" t="str">
        <f ca="1">IFERROR(__xludf.DUMMYFUNCTION("""COMPUTED_VALUE"""),"Капитальный ремонт МАДОУ «Мещеринский детский сад комбинированного вида «Солнышко» г.о. Ступино, в/ч 03770")</f>
        <v>Капитальный ремонт МАДОУ «Мещеринский детский сад комбинированного вида «Солнышко» г.о. Ступино, в/ч 03770</v>
      </c>
      <c r="F451" s="32"/>
      <c r="G451" s="20">
        <f ca="1">IFERROR(__xludf.DUMMYFUNCTION("""COMPUTED_VALUE"""),2020)</f>
        <v>2020</v>
      </c>
      <c r="H451" s="24" t="str">
        <f ca="1">IFERROR(__xludf.DUMMYFUNCTION("""COMPUTED_VALUE"""),"Вып")</f>
        <v>Вып</v>
      </c>
      <c r="I451" s="20"/>
      <c r="J451" s="20"/>
      <c r="K451" s="20"/>
      <c r="L451" s="20"/>
      <c r="M451" s="20"/>
      <c r="N451" s="20">
        <f ca="1">IFERROR(__xludf.DUMMYFUNCTION("""COMPUTED_VALUE"""),0)</f>
        <v>0</v>
      </c>
      <c r="O451" s="20"/>
      <c r="P451" s="20"/>
      <c r="Q451" s="20"/>
      <c r="R451" s="20"/>
      <c r="S451" s="20"/>
      <c r="T451" s="20"/>
      <c r="U451" s="24">
        <f ca="1">IFERROR(__xludf.DUMMYFUNCTION("""COMPUTED_VALUE"""),26885)</f>
        <v>26885</v>
      </c>
      <c r="V451" s="24">
        <f ca="1">IFERROR(__xludf.DUMMYFUNCTION("""COMPUTED_VALUE"""),0)</f>
        <v>0</v>
      </c>
      <c r="W451" s="24">
        <f ca="1">IFERROR(__xludf.DUMMYFUNCTION("""COMPUTED_VALUE"""),25541)</f>
        <v>25541</v>
      </c>
      <c r="X451" s="24">
        <f ca="1">IFERROR(__xludf.DUMMYFUNCTION("""COMPUTED_VALUE"""),0)</f>
        <v>0</v>
      </c>
      <c r="Y451" s="24">
        <f ca="1">IFERROR(__xludf.DUMMYFUNCTION("""COMPUTED_VALUE"""),1344)</f>
        <v>1344</v>
      </c>
      <c r="Z451" s="24">
        <f ca="1">IFERROR(__xludf.DUMMYFUNCTION("""COMPUTED_VALUE"""),0)</f>
        <v>0</v>
      </c>
      <c r="AA451" s="20"/>
      <c r="AB451" s="20"/>
      <c r="AC451" s="20"/>
      <c r="AD451" s="20"/>
      <c r="AE451" s="20"/>
      <c r="AF451" s="24">
        <f ca="1">IFERROR(__xludf.DUMMYFUNCTION("""COMPUTED_VALUE"""),26885)</f>
        <v>26885</v>
      </c>
      <c r="AG451" s="24">
        <f ca="1">IFERROR(__xludf.DUMMYFUNCTION("""COMPUTED_VALUE"""),0)</f>
        <v>0</v>
      </c>
      <c r="AH451" s="24">
        <f ca="1">IFERROR(__xludf.DUMMYFUNCTION("""COMPUTED_VALUE"""),25541)</f>
        <v>25541</v>
      </c>
      <c r="AI451" s="24">
        <f ca="1">IFERROR(__xludf.DUMMYFUNCTION("""COMPUTED_VALUE"""),0)</f>
        <v>0</v>
      </c>
      <c r="AJ451" s="24">
        <f ca="1">IFERROR(__xludf.DUMMYFUNCTION("""COMPUTED_VALUE"""),1344)</f>
        <v>1344</v>
      </c>
      <c r="AK451" s="24">
        <f ca="1">IFERROR(__xludf.DUMMYFUNCTION("""COMPUTED_VALUE"""),0)</f>
        <v>0</v>
      </c>
      <c r="AL451" s="24">
        <f ca="1">IFERROR(__xludf.DUMMYFUNCTION("""COMPUTED_VALUE"""),0)</f>
        <v>0</v>
      </c>
      <c r="AM451" s="20"/>
      <c r="AN451" s="24">
        <f ca="1">IFERROR(__xludf.DUMMYFUNCTION("""COMPUTED_VALUE"""),0)</f>
        <v>0</v>
      </c>
      <c r="AO451" s="24">
        <f ca="1">IFERROR(__xludf.DUMMYFUNCTION("""COMPUTED_VALUE"""),0)</f>
        <v>0</v>
      </c>
      <c r="AP451" s="24">
        <f ca="1">IFERROR(__xludf.DUMMYFUNCTION("""COMPUTED_VALUE"""),0)</f>
        <v>0</v>
      </c>
      <c r="AQ451" s="20"/>
      <c r="AR451" s="24">
        <f ca="1">IFERROR(__xludf.DUMMYFUNCTION("""COMPUTED_VALUE"""),0)</f>
        <v>0</v>
      </c>
      <c r="AS451" s="20"/>
      <c r="AT451" s="24">
        <f ca="1">IFERROR(__xludf.DUMMYFUNCTION("""COMPUTED_VALUE"""),0)</f>
        <v>0</v>
      </c>
      <c r="AU451" s="24">
        <f ca="1">IFERROR(__xludf.DUMMYFUNCTION("""COMPUTED_VALUE"""),0)</f>
        <v>0</v>
      </c>
      <c r="AV451" s="24">
        <f ca="1">IFERROR(__xludf.DUMMYFUNCTION("""COMPUTED_VALUE"""),0)</f>
        <v>0</v>
      </c>
      <c r="AW451" s="20"/>
      <c r="AX451" s="24">
        <f ca="1">IFERROR(__xludf.DUMMYFUNCTION("""COMPUTED_VALUE"""),26885)</f>
        <v>26885</v>
      </c>
      <c r="AY451" s="20"/>
      <c r="AZ451" s="24">
        <f ca="1">IFERROR(__xludf.DUMMYFUNCTION("""COMPUTED_VALUE"""),25541)</f>
        <v>25541</v>
      </c>
      <c r="BA451" s="24">
        <f ca="1">IFERROR(__xludf.DUMMYFUNCTION("""COMPUTED_VALUE"""),0)</f>
        <v>0</v>
      </c>
      <c r="BB451" s="24">
        <f ca="1">IFERROR(__xludf.DUMMYFUNCTION("""COMPUTED_VALUE"""),1344)</f>
        <v>1344</v>
      </c>
      <c r="BC451" s="20"/>
      <c r="BD451" s="24">
        <f ca="1">IFERROR(__xludf.DUMMYFUNCTION("""COMPUTED_VALUE"""),0)</f>
        <v>0</v>
      </c>
      <c r="BE451" s="20"/>
      <c r="BF451" s="24">
        <f ca="1">IFERROR(__xludf.DUMMYFUNCTION("""COMPUTED_VALUE"""),0)</f>
        <v>0</v>
      </c>
      <c r="BG451" s="24">
        <f ca="1">IFERROR(__xludf.DUMMYFUNCTION("""COMPUTED_VALUE"""),0)</f>
        <v>0</v>
      </c>
      <c r="BH451" s="24">
        <f ca="1">IFERROR(__xludf.DUMMYFUNCTION("""COMPUTED_VALUE"""),0)</f>
        <v>0</v>
      </c>
      <c r="BI451" s="20"/>
      <c r="BJ451" s="24">
        <f ca="1">IFERROR(__xludf.DUMMYFUNCTION("""COMPUTED_VALUE"""),0)</f>
        <v>0</v>
      </c>
      <c r="BK451" s="20"/>
      <c r="BL451" s="24">
        <f ca="1">IFERROR(__xludf.DUMMYFUNCTION("""COMPUTED_VALUE"""),0)</f>
        <v>0</v>
      </c>
      <c r="BM451" s="24">
        <f ca="1">IFERROR(__xludf.DUMMYFUNCTION("""COMPUTED_VALUE"""),0)</f>
        <v>0</v>
      </c>
      <c r="BN451" s="24">
        <f ca="1">IFERROR(__xludf.DUMMYFUNCTION("""COMPUTED_VALUE"""),0)</f>
        <v>0</v>
      </c>
      <c r="BO451" s="20"/>
      <c r="BP451" s="24">
        <f ca="1">IFERROR(__xludf.DUMMYFUNCTION("""COMPUTED_VALUE"""),0)</f>
        <v>0</v>
      </c>
      <c r="BQ451" s="20"/>
      <c r="BR451" s="24">
        <f ca="1">IFERROR(__xludf.DUMMYFUNCTION("""COMPUTED_VALUE"""),0)</f>
        <v>0</v>
      </c>
      <c r="BS451" s="24">
        <f ca="1">IFERROR(__xludf.DUMMYFUNCTION("""COMPUTED_VALUE"""),0)</f>
        <v>0</v>
      </c>
      <c r="BT451" s="24">
        <f ca="1">IFERROR(__xludf.DUMMYFUNCTION("""COMPUTED_VALUE"""),0)</f>
        <v>0</v>
      </c>
      <c r="BU451" s="20"/>
      <c r="BV451" s="24">
        <f ca="1">IFERROR(__xludf.DUMMYFUNCTION("""COMPUTED_VALUE"""),0)</f>
        <v>0</v>
      </c>
      <c r="BW451" s="20"/>
      <c r="BX451" s="20"/>
      <c r="BY451" s="20"/>
      <c r="BZ451" s="20"/>
      <c r="CA451" s="20"/>
      <c r="CB451" s="20"/>
      <c r="CC451" s="20"/>
      <c r="CD451" s="20"/>
      <c r="CE451" s="20"/>
      <c r="CF451" s="20"/>
      <c r="CG451" s="20"/>
      <c r="CH451" s="20"/>
      <c r="CI451" s="20"/>
      <c r="CJ451" s="20"/>
      <c r="CK451" s="20"/>
      <c r="CL451" s="20"/>
      <c r="CM451" s="20"/>
      <c r="CN451" s="20"/>
      <c r="CO451" s="20"/>
      <c r="CP451" s="20"/>
      <c r="CQ451" s="20"/>
      <c r="CR451" s="20"/>
      <c r="CS451" s="20"/>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row>
    <row r="452" spans="1:123" ht="64.5" hidden="1" customHeight="1" x14ac:dyDescent="0.2">
      <c r="A452" s="19"/>
      <c r="B452" s="20" t="str">
        <f ca="1">IFERROR(__xludf.DUMMYFUNCTION("""COMPUTED_VALUE"""),"г.о. Ступино")</f>
        <v>г.о. Ступино</v>
      </c>
      <c r="C45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2" s="24" t="str">
        <f ca="1">IFERROR(__xludf.DUMMYFUNCTION("""COMPUTED_VALUE"""),"Минобр")</f>
        <v>Минобр</v>
      </c>
      <c r="E452" s="20" t="str">
        <f ca="1">IFERROR(__xludf.DUMMYFUNCTION("""COMPUTED_VALUE"""),"Капитальный ремонт МАДОУ «Мещеринский детский сад общеразвивающего вида «Светлячок» г.о. Ступино, в/ч 92551")</f>
        <v>Капитальный ремонт МАДОУ «Мещеринский детский сад общеразвивающего вида «Светлячок» г.о. Ступино, в/ч 92551</v>
      </c>
      <c r="F452" s="32"/>
      <c r="G452" s="20">
        <f ca="1">IFERROR(__xludf.DUMMYFUNCTION("""COMPUTED_VALUE"""),2020)</f>
        <v>2020</v>
      </c>
      <c r="H452" s="20"/>
      <c r="I452" s="20"/>
      <c r="J452" s="20" t="str">
        <f ca="1">IFERROR(__xludf.DUMMYFUNCTION("""COMPUTED_VALUE"""),"не откроется, есть письмо ")</f>
        <v xml:space="preserve">не откроется, есть письмо </v>
      </c>
      <c r="K452" s="20"/>
      <c r="L452" s="20"/>
      <c r="M452" s="20"/>
      <c r="N452" s="20">
        <f ca="1">IFERROR(__xludf.DUMMYFUNCTION("""COMPUTED_VALUE"""),0)</f>
        <v>0</v>
      </c>
      <c r="O452" s="20"/>
      <c r="P452" s="20"/>
      <c r="Q452" s="20"/>
      <c r="R452" s="20"/>
      <c r="S452" s="20"/>
      <c r="T452" s="20"/>
      <c r="U452" s="24">
        <f ca="1">IFERROR(__xludf.DUMMYFUNCTION("""COMPUTED_VALUE"""),22732)</f>
        <v>22732</v>
      </c>
      <c r="V452" s="24">
        <f ca="1">IFERROR(__xludf.DUMMYFUNCTION("""COMPUTED_VALUE"""),0)</f>
        <v>0</v>
      </c>
      <c r="W452" s="24">
        <f ca="1">IFERROR(__xludf.DUMMYFUNCTION("""COMPUTED_VALUE"""),21595)</f>
        <v>21595</v>
      </c>
      <c r="X452" s="24">
        <f ca="1">IFERROR(__xludf.DUMMYFUNCTION("""COMPUTED_VALUE"""),0)</f>
        <v>0</v>
      </c>
      <c r="Y452" s="24">
        <f ca="1">IFERROR(__xludf.DUMMYFUNCTION("""COMPUTED_VALUE"""),1137)</f>
        <v>1137</v>
      </c>
      <c r="Z452" s="24">
        <f ca="1">IFERROR(__xludf.DUMMYFUNCTION("""COMPUTED_VALUE"""),0)</f>
        <v>0</v>
      </c>
      <c r="AA452" s="20"/>
      <c r="AB452" s="20"/>
      <c r="AC452" s="20"/>
      <c r="AD452" s="20"/>
      <c r="AE452" s="20"/>
      <c r="AF452" s="24">
        <f ca="1">IFERROR(__xludf.DUMMYFUNCTION("""COMPUTED_VALUE"""),22732)</f>
        <v>22732</v>
      </c>
      <c r="AG452" s="24">
        <f ca="1">IFERROR(__xludf.DUMMYFUNCTION("""COMPUTED_VALUE"""),0)</f>
        <v>0</v>
      </c>
      <c r="AH452" s="24">
        <f ca="1">IFERROR(__xludf.DUMMYFUNCTION("""COMPUTED_VALUE"""),21595)</f>
        <v>21595</v>
      </c>
      <c r="AI452" s="24">
        <f ca="1">IFERROR(__xludf.DUMMYFUNCTION("""COMPUTED_VALUE"""),0)</f>
        <v>0</v>
      </c>
      <c r="AJ452" s="24">
        <f ca="1">IFERROR(__xludf.DUMMYFUNCTION("""COMPUTED_VALUE"""),1137)</f>
        <v>1137</v>
      </c>
      <c r="AK452" s="24">
        <f ca="1">IFERROR(__xludf.DUMMYFUNCTION("""COMPUTED_VALUE"""),0)</f>
        <v>0</v>
      </c>
      <c r="AL452" s="24">
        <f ca="1">IFERROR(__xludf.DUMMYFUNCTION("""COMPUTED_VALUE"""),0)</f>
        <v>0</v>
      </c>
      <c r="AM452" s="20"/>
      <c r="AN452" s="24">
        <f ca="1">IFERROR(__xludf.DUMMYFUNCTION("""COMPUTED_VALUE"""),0)</f>
        <v>0</v>
      </c>
      <c r="AO452" s="24">
        <f ca="1">IFERROR(__xludf.DUMMYFUNCTION("""COMPUTED_VALUE"""),0)</f>
        <v>0</v>
      </c>
      <c r="AP452" s="24">
        <f ca="1">IFERROR(__xludf.DUMMYFUNCTION("""COMPUTED_VALUE"""),0)</f>
        <v>0</v>
      </c>
      <c r="AQ452" s="20"/>
      <c r="AR452" s="24">
        <f ca="1">IFERROR(__xludf.DUMMYFUNCTION("""COMPUTED_VALUE"""),0)</f>
        <v>0</v>
      </c>
      <c r="AS452" s="20"/>
      <c r="AT452" s="24">
        <f ca="1">IFERROR(__xludf.DUMMYFUNCTION("""COMPUTED_VALUE"""),0)</f>
        <v>0</v>
      </c>
      <c r="AU452" s="24">
        <f ca="1">IFERROR(__xludf.DUMMYFUNCTION("""COMPUTED_VALUE"""),0)</f>
        <v>0</v>
      </c>
      <c r="AV452" s="24">
        <f ca="1">IFERROR(__xludf.DUMMYFUNCTION("""COMPUTED_VALUE"""),0)</f>
        <v>0</v>
      </c>
      <c r="AW452" s="20"/>
      <c r="AX452" s="24">
        <f ca="1">IFERROR(__xludf.DUMMYFUNCTION("""COMPUTED_VALUE"""),22732)</f>
        <v>22732</v>
      </c>
      <c r="AY452" s="20"/>
      <c r="AZ452" s="24">
        <f ca="1">IFERROR(__xludf.DUMMYFUNCTION("""COMPUTED_VALUE"""),21595)</f>
        <v>21595</v>
      </c>
      <c r="BA452" s="24">
        <f ca="1">IFERROR(__xludf.DUMMYFUNCTION("""COMPUTED_VALUE"""),0)</f>
        <v>0</v>
      </c>
      <c r="BB452" s="24">
        <f ca="1">IFERROR(__xludf.DUMMYFUNCTION("""COMPUTED_VALUE"""),1137)</f>
        <v>1137</v>
      </c>
      <c r="BC452" s="20"/>
      <c r="BD452" s="24">
        <f ca="1">IFERROR(__xludf.DUMMYFUNCTION("""COMPUTED_VALUE"""),0)</f>
        <v>0</v>
      </c>
      <c r="BE452" s="20"/>
      <c r="BF452" s="24">
        <f ca="1">IFERROR(__xludf.DUMMYFUNCTION("""COMPUTED_VALUE"""),0)</f>
        <v>0</v>
      </c>
      <c r="BG452" s="24">
        <f ca="1">IFERROR(__xludf.DUMMYFUNCTION("""COMPUTED_VALUE"""),0)</f>
        <v>0</v>
      </c>
      <c r="BH452" s="24">
        <f ca="1">IFERROR(__xludf.DUMMYFUNCTION("""COMPUTED_VALUE"""),0)</f>
        <v>0</v>
      </c>
      <c r="BI452" s="20"/>
      <c r="BJ452" s="24">
        <f ca="1">IFERROR(__xludf.DUMMYFUNCTION("""COMPUTED_VALUE"""),0)</f>
        <v>0</v>
      </c>
      <c r="BK452" s="20"/>
      <c r="BL452" s="24">
        <f ca="1">IFERROR(__xludf.DUMMYFUNCTION("""COMPUTED_VALUE"""),0)</f>
        <v>0</v>
      </c>
      <c r="BM452" s="24">
        <f ca="1">IFERROR(__xludf.DUMMYFUNCTION("""COMPUTED_VALUE"""),0)</f>
        <v>0</v>
      </c>
      <c r="BN452" s="24">
        <f ca="1">IFERROR(__xludf.DUMMYFUNCTION("""COMPUTED_VALUE"""),0)</f>
        <v>0</v>
      </c>
      <c r="BO452" s="20"/>
      <c r="BP452" s="24">
        <f ca="1">IFERROR(__xludf.DUMMYFUNCTION("""COMPUTED_VALUE"""),0)</f>
        <v>0</v>
      </c>
      <c r="BQ452" s="20"/>
      <c r="BR452" s="24">
        <f ca="1">IFERROR(__xludf.DUMMYFUNCTION("""COMPUTED_VALUE"""),0)</f>
        <v>0</v>
      </c>
      <c r="BS452" s="24">
        <f ca="1">IFERROR(__xludf.DUMMYFUNCTION("""COMPUTED_VALUE"""),0)</f>
        <v>0</v>
      </c>
      <c r="BT452" s="24">
        <f ca="1">IFERROR(__xludf.DUMMYFUNCTION("""COMPUTED_VALUE"""),0)</f>
        <v>0</v>
      </c>
      <c r="BU452" s="20"/>
      <c r="BV452" s="24">
        <f ca="1">IFERROR(__xludf.DUMMYFUNCTION("""COMPUTED_VALUE"""),0)</f>
        <v>0</v>
      </c>
      <c r="BW452" s="20"/>
      <c r="BX452" s="20"/>
      <c r="BY452" s="20"/>
      <c r="BZ452" s="20"/>
      <c r="CA452" s="20"/>
      <c r="CB452" s="20"/>
      <c r="CC452" s="20"/>
      <c r="CD452" s="20"/>
      <c r="CE452" s="20"/>
      <c r="CF452" s="20"/>
      <c r="CG452" s="20"/>
      <c r="CH452" s="20"/>
      <c r="CI452" s="20"/>
      <c r="CJ452" s="20"/>
      <c r="CK452" s="20"/>
      <c r="CL452" s="20"/>
      <c r="CM452" s="20"/>
      <c r="CN452" s="20"/>
      <c r="CO452" s="20"/>
      <c r="CP452" s="20"/>
      <c r="CQ452" s="20"/>
      <c r="CR452" s="20"/>
      <c r="CS452" s="20"/>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row>
    <row r="453" spans="1:123" ht="64.5" customHeight="1" x14ac:dyDescent="0.2">
      <c r="A453" s="19"/>
      <c r="B453" s="20" t="str">
        <f ca="1">IFERROR(__xludf.DUMMYFUNCTION("""COMPUTED_VALUE"""),"г.о. Чехов")</f>
        <v>г.о. Чехов</v>
      </c>
      <c r="C453"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3" s="24" t="str">
        <f ca="1">IFERROR(__xludf.DUMMYFUNCTION("""COMPUTED_VALUE"""),"МинЖКХ ")</f>
        <v xml:space="preserve">МинЖКХ </v>
      </c>
      <c r="E453" s="20" t="str">
        <f ca="1">IFERROR(__xludf.DUMMYFUNCTION("""COMPUTED_VALUE"""),"Реконструкция очистных сооружений канализации по адресу: пос.Чернецкое, г. Чехов-7, ул. Победы, военный городок №  18, в том числе: проектно-изыскательские работы")</f>
        <v>Реконструкция очистных сооружений канализации по адресу: пос.Чернецкое, г. Чехов-7, ул. Победы, военный городок №  18, в том числе: проектно-изыскательские работы</v>
      </c>
      <c r="F453" s="32" t="str">
        <f ca="1">IFERROR(__xludf.DUMMYFUNCTION("""COMPUTED_VALUE"""),"ОС")</f>
        <v>ОС</v>
      </c>
      <c r="G453" s="20" t="str">
        <f ca="1">IFERROR(__xludf.DUMMYFUNCTION("""COMPUTED_VALUE"""),"2019-2022")</f>
        <v>2019-2022</v>
      </c>
      <c r="H453" s="24" t="str">
        <f ca="1">IFERROR(__xludf.DUMMYFUNCTION("""COMPUTED_VALUE"""),"СМР")</f>
        <v>СМР</v>
      </c>
      <c r="I453" s="20">
        <f ca="1">IFERROR(__xludf.DUMMYFUNCTION("""COMPUTED_VALUE"""),5)</f>
        <v>5</v>
      </c>
      <c r="J453" s="20" t="str">
        <f ca="1">IFERROR(__xludf.DUMMYFUNCTION("""COMPUTED_VALUE"""),"
В настоящее время ведутся работы по демонтажу здания, устройству ограждения территории. Работы ведутся в соответствии с графиком производства работ.
Информационный стенд с паспортом объекта установлен.
РС отсутствует. 
Документация направлена на получени"&amp;"е РС в ИСОГД – 09.11.2020 (возможны замечания, потребуется время на их устранение). При предварительной подаче на РС в 2019 году были получены замечания, касающиеся правок в проекте и получения согласований с ГУКН МО и МОКТУ (Московско-Окское территориаль"&amp;"ное управление Федерального агентства по рыболовству).  03.12.2020 в ИСОГД будут загружены документы, с учетом устраненных замечаний от 09.11.2020. 
В ходе выполнения работ по данному контракту заказчиком МУП «Чеховский водоканал» заказчиком принято решен"&amp;"ие о перепроектировании, в ходе которого будут получены согласования ГУКН МО и МОКТУ.  Необходимы подтверждающие документы
Ориентировочный заход в МОГЭ – 24.12.2020. Ориентировочный срок выхода из МОГЭ – февраль 2021 г. 
 Завершение работ 23.05.2022
До 11"&amp;".12.2020 планируется заявка на сумму 31 млн руб")</f>
        <v xml:space="preserve">
В настоящее время ведутся работы по демонтажу здания, устройству ограждения территории. Работы ведутся в соответствии с графиком производства работ.
Информационный стенд с паспортом объекта установлен.
РС отсутствует. 
Документация направлена на получение РС в ИСОГД – 09.11.2020 (возможны замечания, потребуется время на их устранение). При предварительной подаче на РС в 2019 году были получены замечания, касающиеся правок в проекте и получения согласований с ГУКН МО и МОКТУ (Московско-Окское территориальное управление Федерального агентства по рыболовству).  03.12.2020 в ИСОГД будут загружены документы, с учетом устраненных замечаний от 09.11.2020. 
В ходе выполнения работ по данному контракту заказчиком МУП «Чеховский водоканал» заказчиком принято решение о перепроектировании, в ходе которого будут получены согласования ГУКН МО и МОКТУ.  Необходимы подтверждающие документы
Ориентировочный заход в МОГЭ – 24.12.2020. Ориентировочный срок выхода из МОГЭ – февраль 2021 г. 
 Завершение работ 23.05.2022
До 11.12.2020 планируется заявка на сумму 31 млн руб</v>
      </c>
      <c r="K453" s="20">
        <f ca="1">IFERROR(__xludf.DUMMYFUNCTION("""COMPUTED_VALUE"""),5000)</f>
        <v>5000</v>
      </c>
      <c r="L453" s="20">
        <f ca="1">IFERROR(__xludf.DUMMYFUNCTION("""COMPUTED_VALUE"""),5000)</f>
        <v>5000</v>
      </c>
      <c r="M453" s="27" t="str">
        <f ca="1">IFERROR(__xludf.DUMMYFUNCTION("""COMPUTED_VALUE"""),"https://drive.google.com/drive/folders/1c614LYlV-DyKK8fYuzo9TOyjm5_GcfPa?usp=sharing")</f>
        <v>https://drive.google.com/drive/folders/1c614LYlV-DyKK8fYuzo9TOyjm5_GcfPa?usp=sharing</v>
      </c>
      <c r="N453" s="24">
        <f ca="1">IFERROR(__xludf.DUMMYFUNCTION("""COMPUTED_VALUE"""),29863.29)</f>
        <v>29863.29</v>
      </c>
      <c r="O453" s="20"/>
      <c r="P453" s="24">
        <f ca="1">IFERROR(__xludf.DUMMYFUNCTION("""COMPUTED_VALUE"""),0)</f>
        <v>0</v>
      </c>
      <c r="Q453" s="24">
        <f ca="1">IFERROR(__xludf.DUMMYFUNCTION("""COMPUTED_VALUE"""),29863.29)</f>
        <v>29863.29</v>
      </c>
      <c r="R453" s="20"/>
      <c r="S453" s="20"/>
      <c r="T453" s="20"/>
      <c r="U453" s="24">
        <f ca="1">IFERROR(__xludf.DUMMYFUNCTION("""COMPUTED_VALUE"""),76942.51)</f>
        <v>76942.509999999995</v>
      </c>
      <c r="V453" s="24">
        <f ca="1">IFERROR(__xludf.DUMMYFUNCTION("""COMPUTED_VALUE"""),0)</f>
        <v>0</v>
      </c>
      <c r="W453" s="24">
        <f ca="1">IFERROR(__xludf.DUMMYFUNCTION("""COMPUTED_VALUE"""),0)</f>
        <v>0</v>
      </c>
      <c r="X453" s="24">
        <f ca="1">IFERROR(__xludf.DUMMYFUNCTION("""COMPUTED_VALUE"""),71602.2399999999)</f>
        <v>71602.239999999903</v>
      </c>
      <c r="Y453" s="24">
        <f ca="1">IFERROR(__xludf.DUMMYFUNCTION("""COMPUTED_VALUE"""),5340.27)</f>
        <v>5340.27</v>
      </c>
      <c r="Z453" s="24">
        <f ca="1">IFERROR(__xludf.DUMMYFUNCTION("""COMPUTED_VALUE"""),0)</f>
        <v>0</v>
      </c>
      <c r="AA453" s="20" t="str">
        <f ca="1">IFERROR(__xludf.DUMMYFUNCTION("""COMPUTED_VALUE"""),"10 3 03 64460")</f>
        <v>10 3 03 64460</v>
      </c>
      <c r="AB453" s="20">
        <f ca="1">IFERROR(__xludf.DUMMYFUNCTION("""COMPUTED_VALUE"""),522)</f>
        <v>522</v>
      </c>
      <c r="AC453" s="20" t="str">
        <f ca="1">IFERROR(__xludf.DUMMYFUNCTION("""COMPUTED_VALUE"""),"нет")</f>
        <v>нет</v>
      </c>
      <c r="AD453" s="20"/>
      <c r="AE453" s="20"/>
      <c r="AF453" s="24">
        <f ca="1">IFERROR(__xludf.DUMMYFUNCTION("""COMPUTED_VALUE"""),295859.379999999)</f>
        <v>295859.37999999902</v>
      </c>
      <c r="AG453" s="24">
        <f ca="1">IFERROR(__xludf.DUMMYFUNCTION("""COMPUTED_VALUE"""),0)</f>
        <v>0</v>
      </c>
      <c r="AH453" s="24">
        <f ca="1">IFERROR(__xludf.DUMMYFUNCTION("""COMPUTED_VALUE"""),179600.8)</f>
        <v>179600.8</v>
      </c>
      <c r="AI453" s="24">
        <f ca="1">IFERROR(__xludf.DUMMYFUNCTION("""COMPUTED_VALUE"""),101465.53)</f>
        <v>101465.53</v>
      </c>
      <c r="AJ453" s="24">
        <f ca="1">IFERROR(__xludf.DUMMYFUNCTION("""COMPUTED_VALUE"""),14793.05)</f>
        <v>14793.05</v>
      </c>
      <c r="AK453" s="24">
        <f ca="1">IFERROR(__xludf.DUMMYFUNCTION("""COMPUTED_VALUE"""),0)</f>
        <v>0</v>
      </c>
      <c r="AL453" s="24">
        <f ca="1">IFERROR(__xludf.DUMMYFUNCTION("""COMPUTED_VALUE"""),0)</f>
        <v>0</v>
      </c>
      <c r="AM453" s="20"/>
      <c r="AN453" s="24">
        <f ca="1">IFERROR(__xludf.DUMMYFUNCTION("""COMPUTED_VALUE"""),0)</f>
        <v>0</v>
      </c>
      <c r="AO453" s="24">
        <f ca="1">IFERROR(__xludf.DUMMYFUNCTION("""COMPUTED_VALUE"""),0)</f>
        <v>0</v>
      </c>
      <c r="AP453" s="24">
        <f ca="1">IFERROR(__xludf.DUMMYFUNCTION("""COMPUTED_VALUE"""),0)</f>
        <v>0</v>
      </c>
      <c r="AQ453" s="20"/>
      <c r="AR453" s="24">
        <f ca="1">IFERROR(__xludf.DUMMYFUNCTION("""COMPUTED_VALUE"""),3400)</f>
        <v>3400</v>
      </c>
      <c r="AS453" s="20"/>
      <c r="AT453" s="24">
        <f ca="1">IFERROR(__xludf.DUMMYFUNCTION("""COMPUTED_VALUE"""),3230)</f>
        <v>3230</v>
      </c>
      <c r="AU453" s="24">
        <f ca="1">IFERROR(__xludf.DUMMYFUNCTION("""COMPUTED_VALUE"""),0)</f>
        <v>0</v>
      </c>
      <c r="AV453" s="24">
        <f ca="1">IFERROR(__xludf.DUMMYFUNCTION("""COMPUTED_VALUE"""),170)</f>
        <v>170</v>
      </c>
      <c r="AW453" s="20"/>
      <c r="AX453" s="24">
        <f ca="1">IFERROR(__xludf.DUMMYFUNCTION("""COMPUTED_VALUE"""),106805.8)</f>
        <v>106805.8</v>
      </c>
      <c r="AY453" s="20"/>
      <c r="AZ453" s="24">
        <f ca="1">IFERROR(__xludf.DUMMYFUNCTION("""COMPUTED_VALUE"""),0)</f>
        <v>0</v>
      </c>
      <c r="BA453" s="24">
        <f ca="1">IFERROR(__xludf.DUMMYFUNCTION("""COMPUTED_VALUE"""),101465.53)</f>
        <v>101465.53</v>
      </c>
      <c r="BB453" s="24">
        <f ca="1">IFERROR(__xludf.DUMMYFUNCTION("""COMPUTED_VALUE"""),5340.27)</f>
        <v>5340.27</v>
      </c>
      <c r="BC453" s="20"/>
      <c r="BD453" s="24">
        <f ca="1">IFERROR(__xludf.DUMMYFUNCTION("""COMPUTED_VALUE"""),10526.22)</f>
        <v>10526.22</v>
      </c>
      <c r="BE453" s="20"/>
      <c r="BF453" s="24">
        <f ca="1">IFERROR(__xludf.DUMMYFUNCTION("""COMPUTED_VALUE"""),10000)</f>
        <v>10000</v>
      </c>
      <c r="BG453" s="24">
        <f ca="1">IFERROR(__xludf.DUMMYFUNCTION("""COMPUTED_VALUE"""),0)</f>
        <v>0</v>
      </c>
      <c r="BH453" s="24">
        <f ca="1">IFERROR(__xludf.DUMMYFUNCTION("""COMPUTED_VALUE"""),526.22)</f>
        <v>526.22</v>
      </c>
      <c r="BI453" s="20"/>
      <c r="BJ453" s="24">
        <f ca="1">IFERROR(__xludf.DUMMYFUNCTION("""COMPUTED_VALUE"""),175127.36)</f>
        <v>175127.36</v>
      </c>
      <c r="BK453" s="20"/>
      <c r="BL453" s="24">
        <f ca="1">IFERROR(__xludf.DUMMYFUNCTION("""COMPUTED_VALUE"""),166370.8)</f>
        <v>166370.79999999999</v>
      </c>
      <c r="BM453" s="24">
        <f ca="1">IFERROR(__xludf.DUMMYFUNCTION("""COMPUTED_VALUE"""),0)</f>
        <v>0</v>
      </c>
      <c r="BN453" s="24">
        <f ca="1">IFERROR(__xludf.DUMMYFUNCTION("""COMPUTED_VALUE"""),8756.56)</f>
        <v>8756.56</v>
      </c>
      <c r="BO453" s="20"/>
      <c r="BP453" s="24">
        <f ca="1">IFERROR(__xludf.DUMMYFUNCTION("""COMPUTED_VALUE"""),0)</f>
        <v>0</v>
      </c>
      <c r="BQ453" s="20"/>
      <c r="BR453" s="24">
        <f ca="1">IFERROR(__xludf.DUMMYFUNCTION("""COMPUTED_VALUE"""),0)</f>
        <v>0</v>
      </c>
      <c r="BS453" s="24">
        <f ca="1">IFERROR(__xludf.DUMMYFUNCTION("""COMPUTED_VALUE"""),0)</f>
        <v>0</v>
      </c>
      <c r="BT453" s="24">
        <f ca="1">IFERROR(__xludf.DUMMYFUNCTION("""COMPUTED_VALUE"""),0)</f>
        <v>0</v>
      </c>
      <c r="BU453" s="20"/>
      <c r="BV453" s="24">
        <f ca="1">IFERROR(__xludf.DUMMYFUNCTION("""COMPUTED_VALUE"""),0)</f>
        <v>0</v>
      </c>
      <c r="BW453" s="20"/>
      <c r="BX453" s="20"/>
      <c r="BY453" s="20"/>
      <c r="BZ453" s="20"/>
      <c r="CA453" s="20"/>
      <c r="CB453" s="20"/>
      <c r="CC453" s="26">
        <f ca="1">IFERROR(__xludf.DUMMYFUNCTION("""COMPUTED_VALUE"""),42915)</f>
        <v>42915</v>
      </c>
      <c r="CD453" s="20" t="str">
        <f ca="1">IFERROR(__xludf.DUMMYFUNCTION("""COMPUTED_VALUE"""),"0848300016517000363")</f>
        <v>0848300016517000363</v>
      </c>
      <c r="CE453" s="26">
        <f ca="1">IFERROR(__xludf.DUMMYFUNCTION("""COMPUTED_VALUE"""),42944)</f>
        <v>42944</v>
      </c>
      <c r="CF453" s="20" t="str">
        <f ca="1">IFERROR(__xludf.DUMMYFUNCTION("""COMPUTED_VALUE"""),"0848300016517000363")</f>
        <v>0848300016517000363</v>
      </c>
      <c r="CG453" s="20" t="str">
        <f ca="1">IFERROR(__xludf.DUMMYFUNCTION("""COMPUTED_VALUE"""),"3 400 000,00")</f>
        <v>3 400 000,00</v>
      </c>
      <c r="CH453" s="20" t="str">
        <f ca="1">IFERROR(__xludf.DUMMYFUNCTION("""COMPUTED_VALUE"""),"ООО «Гепал»")</f>
        <v>ООО «Гепал»</v>
      </c>
      <c r="CI453" s="27" t="str">
        <f ca="1">IFERROR(__xludf.DUMMYFUNCTION("""COMPUTED_VALUE"""),"https://zakupki.gov.ru/epz/contract/contractCard/document-info.html?reestrNumber=3504805359217000053")</f>
        <v>https://zakupki.gov.ru/epz/contract/contractCard/document-info.html?reestrNumber=3504805359217000053</v>
      </c>
      <c r="CJ453" s="25">
        <f ca="1">IFERROR(__xludf.DUMMYFUNCTION("""COMPUTED_VALUE"""),43452)</f>
        <v>43452</v>
      </c>
      <c r="CK453" s="33">
        <f ca="1">IFERROR(__xludf.DUMMYFUNCTION("""COMPUTED_VALUE"""),43508)</f>
        <v>43508</v>
      </c>
      <c r="CL453" s="20" t="str">
        <f ca="1">IFERROR(__xludf.DUMMYFUNCTION("""COMPUTED_VALUE"""),"№ 50-1-1-3-0077-19")</f>
        <v>№ 50-1-1-3-0077-19</v>
      </c>
      <c r="CM453" s="26">
        <f ca="1">IFERROR(__xludf.DUMMYFUNCTION("""COMPUTED_VALUE"""),44042)</f>
        <v>44042</v>
      </c>
      <c r="CN453" s="20" t="str">
        <f ca="1">IFERROR(__xludf.DUMMYFUNCTION("""COMPUTED_VALUE"""),"0148200005420000262")</f>
        <v>0148200005420000262</v>
      </c>
      <c r="CO453" s="26">
        <f ca="1">IFERROR(__xludf.DUMMYFUNCTION("""COMPUTED_VALUE"""),44070)</f>
        <v>44070</v>
      </c>
      <c r="CP453" s="20" t="str">
        <f ca="1">IFERROR(__xludf.DUMMYFUNCTION("""COMPUTED_VALUE"""),"0148200005420000262")</f>
        <v>0148200005420000262</v>
      </c>
      <c r="CQ453" s="24">
        <f ca="1">IFERROR(__xludf.DUMMYFUNCTION("""COMPUTED_VALUE"""),256525752.86)</f>
        <v>256525752.86000001</v>
      </c>
      <c r="CR453" s="20" t="str">
        <f ca="1">IFERROR(__xludf.DUMMYFUNCTION("""COMPUTED_VALUE"""),"ООО «АСК-38»")</f>
        <v>ООО «АСК-38»</v>
      </c>
      <c r="CS453" s="27" t="str">
        <f ca="1">IFERROR(__xludf.DUMMYFUNCTION("""COMPUTED_VALUE"""),"https://zakupki.gov.ru/epz/contract/search/results.html?searchString=&amp;orderNumber=0148200005420000262&amp;openMode=USE_DEFAULT_PARAMS&amp;fz44=on&amp;priceFrom=0&amp;priceTo=200000000000&amp;contractStageList=0%2C1%2C2%2C3&amp;budgetaryFunds=on&amp;extraBudgetaryFunds=on")</f>
        <v>https://zakupki.gov.ru/epz/contract/search/results.html?searchString=&amp;orderNumber=0148200005420000262&amp;openMode=USE_DEFAULT_PARAMS&amp;fz44=on&amp;priceFrom=0&amp;priceTo=200000000000&amp;contractStageList=0%2C1%2C2%2C3&amp;budgetaryFunds=on&amp;extraBudgetaryFunds=on</v>
      </c>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row>
    <row r="454" spans="1:123" ht="64.5" customHeight="1" x14ac:dyDescent="0.2">
      <c r="A454" s="19"/>
      <c r="B454" s="20" t="str">
        <f ca="1">IFERROR(__xludf.DUMMYFUNCTION("""COMPUTED_VALUE"""),"г.о. Чехов")</f>
        <v>г.о. Чехов</v>
      </c>
      <c r="C454"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4" s="24" t="str">
        <f ca="1">IFERROR(__xludf.DUMMYFUNCTION("""COMPUTED_VALUE"""),"МинЖКХ ")</f>
        <v xml:space="preserve">МинЖКХ </v>
      </c>
      <c r="E454" s="20" t="str">
        <f ca="1">IFERROR(__xludf.DUMMYFUNCTION("""COMPUTED_VALUE"""),"Реконструкция котельной № 6 по адресу: пос.Чернецкое, г. Чехов-7, ул. Победы, военный городок №  18 (в том числе ПИР)")</f>
        <v>Реконструкция котельной № 6 по адресу: пос.Чернецкое, г. Чехов-7, ул. Победы, военный городок №  18 (в том числе ПИР)</v>
      </c>
      <c r="F454" s="32" t="str">
        <f ca="1">IFERROR(__xludf.DUMMYFUNCTION("""COMPUTED_VALUE"""),"Котельная")</f>
        <v>Котельная</v>
      </c>
      <c r="G454" s="20" t="str">
        <f ca="1">IFERROR(__xludf.DUMMYFUNCTION("""COMPUTED_VALUE"""),"2019-2022")</f>
        <v>2019-2022</v>
      </c>
      <c r="H454" s="24" t="str">
        <f ca="1">IFERROR(__xludf.DUMMYFUNCTION("""COMPUTED_VALUE"""),"СМР")</f>
        <v>СМР</v>
      </c>
      <c r="I454" s="20">
        <f ca="1">IFERROR(__xludf.DUMMYFUNCTION("""COMPUTED_VALUE"""),15)</f>
        <v>15</v>
      </c>
      <c r="J454" s="20" t="str">
        <f ca="1">IFERROR(__xludf.DUMMYFUNCTION("""COMPUTED_VALUE"""),"В настоящее время ведутся работы по демонтажу котла, утеплению фасада здания, ремонту кровли, замена окон и витражей. Работы ведутся в соответствии с графиком производства работ.
РС отсутствует. ТУ согласованы.
Получены замечания от ИСОГД. В настоящий мом"&amp;"ент замечания устраняются.
Ориентировочный срок внесения исправлений и новой подачи документов составляет 15-25 дней.
Котел заказан 15.09.2020. (запросить договор организацией, кот. 
должна предоставить оборудование, +  счет на оплату котла).
 Поставка ко"&amp;"тла должна произойти до 10.11.2020. 
Монтаж котла планируется в период с 20.11.2020 по 30.11.2020. 
В декабре планируется ""косметика"" до 15.12.2020. 
Завершение работ по замене котла 20.12.2020 
Авансирование не предусмотерно контрактом. 
 Завершение ра"&amp;"бот 10.09.2022
03.12.2020 получено письмо из Минжилполитики, что РС не требуется, планируется оплата для закупки оборудования. 08.12.2020 завка на 7 млн руб.
До 11.12.2020 планируется заявка на сумму 6 млн руб, остаток - оплата оборудования")</f>
        <v>В настоящее время ведутся работы по демонтажу котла, утеплению фасада здания, ремонту кровли, замена окон и витражей. Работы ведутся в соответствии с графиком производства работ.
РС отсутствует. ТУ согласованы.
Получены замечания от ИСОГД. В настоящий момент замечания устраняются.
Ориентировочный срок внесения исправлений и новой подачи документов составляет 15-25 дней.
Котел заказан 15.09.2020. (запросить договор организацией, кот. 
должна предоставить оборудование, +  счет на оплату котла).
 Поставка котла должна произойти до 10.11.2020. 
Монтаж котла планируется в период с 20.11.2020 по 30.11.2020. 
В декабре планируется "косметика" до 15.12.2020. 
Завершение работ по замене котла 20.12.2020 
Авансирование не предусмотерно контрактом. 
 Завершение работ 10.09.2022
03.12.2020 получено письмо из Минжилполитики, что РС не требуется, планируется оплата для закупки оборудования. 08.12.2020 завка на 7 млн руб.
До 11.12.2020 планируется заявка на сумму 6 млн руб, остаток - оплата оборудования</v>
      </c>
      <c r="K454" s="20">
        <f ca="1">IFERROR(__xludf.DUMMYFUNCTION("""COMPUTED_VALUE"""),5000)</f>
        <v>5000</v>
      </c>
      <c r="L454" s="20">
        <f ca="1">IFERROR(__xludf.DUMMYFUNCTION("""COMPUTED_VALUE"""),5000)</f>
        <v>5000</v>
      </c>
      <c r="M454" s="27" t="str">
        <f ca="1">IFERROR(__xludf.DUMMYFUNCTION("""COMPUTED_VALUE"""),"https://drive.google.com/drive/folders/1CD6P0gNQl0u0Fvx95N33zFIHzjAiGPSp?usp=sharing")</f>
        <v>https://drive.google.com/drive/folders/1CD6P0gNQl0u0Fvx95N33zFIHzjAiGPSp?usp=sharing</v>
      </c>
      <c r="N454" s="24">
        <f ca="1">IFERROR(__xludf.DUMMYFUNCTION("""COMPUTED_VALUE"""),6978.66)</f>
        <v>6978.66</v>
      </c>
      <c r="O454" s="20"/>
      <c r="P454" s="24">
        <f ca="1">IFERROR(__xludf.DUMMYFUNCTION("""COMPUTED_VALUE"""),0)</f>
        <v>0</v>
      </c>
      <c r="Q454" s="24">
        <f ca="1">IFERROR(__xludf.DUMMYFUNCTION("""COMPUTED_VALUE"""),6978.66)</f>
        <v>6978.66</v>
      </c>
      <c r="R454" s="20"/>
      <c r="S454" s="20"/>
      <c r="T454" s="20" t="str">
        <f ca="1">IFERROR(__xludf.DUMMYFUNCTION("""COMPUTED_VALUE"""),"Документация направлена на получение РС в ИСОГД – 09.11.2020 (возможны замечания, потребуется время на их устранение).
Запланировано перепроектирование. 
Ориентировочный заход в МОГЭ – 24.11.2020. Ориентировочный срок выхода из МОГЭ – февраль 2021 г. Ждут"&amp;" письмо от Минжилполитики, что РС не требуется, далее планируется оплата для закупки оборудования.")</f>
        <v>Документация направлена на получение РС в ИСОГД – 09.11.2020 (возможны замечания, потребуется время на их устранение).
Запланировано перепроектирование. 
Ориентировочный заход в МОГЭ – 24.11.2020. Ориентировочный срок выхода из МОГЭ – февраль 2021 г. Ждут письмо от Минжилполитики, что РС не требуется, далее планируется оплата для закупки оборудования.</v>
      </c>
      <c r="U454" s="24">
        <f ca="1">IFERROR(__xludf.DUMMYFUNCTION("""COMPUTED_VALUE"""),30608.34)</f>
        <v>30608.34</v>
      </c>
      <c r="V454" s="24">
        <f ca="1">IFERROR(__xludf.DUMMYFUNCTION("""COMPUTED_VALUE"""),0)</f>
        <v>0</v>
      </c>
      <c r="W454" s="24">
        <f ca="1">IFERROR(__xludf.DUMMYFUNCTION("""COMPUTED_VALUE"""),0)</f>
        <v>0</v>
      </c>
      <c r="X454" s="24">
        <f ca="1">IFERROR(__xludf.DUMMYFUNCTION("""COMPUTED_VALUE"""),28728.99)</f>
        <v>28728.99</v>
      </c>
      <c r="Y454" s="24">
        <f ca="1">IFERROR(__xludf.DUMMYFUNCTION("""COMPUTED_VALUE"""),1879.35)</f>
        <v>1879.35</v>
      </c>
      <c r="Z454" s="24">
        <f ca="1">IFERROR(__xludf.DUMMYFUNCTION("""COMPUTED_VALUE"""),0)</f>
        <v>0</v>
      </c>
      <c r="AA454" s="20" t="str">
        <f ca="1">IFERROR(__xludf.DUMMYFUNCTION("""COMPUTED_VALUE"""),"10 3 03 64460")</f>
        <v>10 3 03 64460</v>
      </c>
      <c r="AB454" s="20">
        <f ca="1">IFERROR(__xludf.DUMMYFUNCTION("""COMPUTED_VALUE"""),522)</f>
        <v>522</v>
      </c>
      <c r="AC454" s="20" t="str">
        <f ca="1">IFERROR(__xludf.DUMMYFUNCTION("""COMPUTED_VALUE"""),"нет")</f>
        <v>нет</v>
      </c>
      <c r="AD454" s="20" t="str">
        <f ca="1">IFERROR(__xludf.DUMMYFUNCTION("""COMPUTED_VALUE"""),"ноябрь")</f>
        <v>ноябрь</v>
      </c>
      <c r="AE454" s="20"/>
      <c r="AF454" s="24">
        <f ca="1">IFERROR(__xludf.DUMMYFUNCTION("""COMPUTED_VALUE"""),134782.56)</f>
        <v>134782.56</v>
      </c>
      <c r="AG454" s="24">
        <f ca="1">IFERROR(__xludf.DUMMYFUNCTION("""COMPUTED_VALUE"""),0)</f>
        <v>0</v>
      </c>
      <c r="AH454" s="24">
        <f ca="1">IFERROR(__xludf.DUMMYFUNCTION("""COMPUTED_VALUE"""),31549.85)</f>
        <v>31549.85</v>
      </c>
      <c r="AI454" s="24">
        <f ca="1">IFERROR(__xludf.DUMMYFUNCTION("""COMPUTED_VALUE"""),96492.65)</f>
        <v>96492.65</v>
      </c>
      <c r="AJ454" s="24">
        <f ca="1">IFERROR(__xludf.DUMMYFUNCTION("""COMPUTED_VALUE"""),6740.06)</f>
        <v>6740.06</v>
      </c>
      <c r="AK454" s="24">
        <f ca="1">IFERROR(__xludf.DUMMYFUNCTION("""COMPUTED_VALUE"""),0)</f>
        <v>0</v>
      </c>
      <c r="AL454" s="24">
        <f ca="1">IFERROR(__xludf.DUMMYFUNCTION("""COMPUTED_VALUE"""),0)</f>
        <v>0</v>
      </c>
      <c r="AM454" s="20"/>
      <c r="AN454" s="24">
        <f ca="1">IFERROR(__xludf.DUMMYFUNCTION("""COMPUTED_VALUE"""),0)</f>
        <v>0</v>
      </c>
      <c r="AO454" s="24">
        <f ca="1">IFERROR(__xludf.DUMMYFUNCTION("""COMPUTED_VALUE"""),0)</f>
        <v>0</v>
      </c>
      <c r="AP454" s="24">
        <f ca="1">IFERROR(__xludf.DUMMYFUNCTION("""COMPUTED_VALUE"""),0)</f>
        <v>0</v>
      </c>
      <c r="AQ454" s="20"/>
      <c r="AR454" s="24">
        <f ca="1">IFERROR(__xludf.DUMMYFUNCTION("""COMPUTED_VALUE"""),9492.55)</f>
        <v>9492.5499999999993</v>
      </c>
      <c r="AS454" s="20"/>
      <c r="AT454" s="24">
        <f ca="1">IFERROR(__xludf.DUMMYFUNCTION("""COMPUTED_VALUE"""),9017.85)</f>
        <v>9017.85</v>
      </c>
      <c r="AU454" s="24">
        <f ca="1">IFERROR(__xludf.DUMMYFUNCTION("""COMPUTED_VALUE"""),0)</f>
        <v>0</v>
      </c>
      <c r="AV454" s="24">
        <f ca="1">IFERROR(__xludf.DUMMYFUNCTION("""COMPUTED_VALUE"""),474.7)</f>
        <v>474.7</v>
      </c>
      <c r="AW454" s="20"/>
      <c r="AX454" s="24">
        <f ca="1">IFERROR(__xludf.DUMMYFUNCTION("""COMPUTED_VALUE"""),37587)</f>
        <v>37587</v>
      </c>
      <c r="AY454" s="20"/>
      <c r="AZ454" s="24">
        <f ca="1">IFERROR(__xludf.DUMMYFUNCTION("""COMPUTED_VALUE"""),0)</f>
        <v>0</v>
      </c>
      <c r="BA454" s="24">
        <f ca="1">IFERROR(__xludf.DUMMYFUNCTION("""COMPUTED_VALUE"""),35707.65)</f>
        <v>35707.65</v>
      </c>
      <c r="BB454" s="24">
        <f ca="1">IFERROR(__xludf.DUMMYFUNCTION("""COMPUTED_VALUE"""),1879.35)</f>
        <v>1879.35</v>
      </c>
      <c r="BC454" s="20"/>
      <c r="BD454" s="24">
        <f ca="1">IFERROR(__xludf.DUMMYFUNCTION("""COMPUTED_VALUE"""),63985.12)</f>
        <v>63985.120000000003</v>
      </c>
      <c r="BE454" s="20"/>
      <c r="BF454" s="24">
        <f ca="1">IFERROR(__xludf.DUMMYFUNCTION("""COMPUTED_VALUE"""),0)</f>
        <v>0</v>
      </c>
      <c r="BG454" s="24">
        <f ca="1">IFERROR(__xludf.DUMMYFUNCTION("""COMPUTED_VALUE"""),60785)</f>
        <v>60785</v>
      </c>
      <c r="BH454" s="24">
        <f ca="1">IFERROR(__xludf.DUMMYFUNCTION("""COMPUTED_VALUE"""),3200.12)</f>
        <v>3200.12</v>
      </c>
      <c r="BI454" s="20"/>
      <c r="BJ454" s="24">
        <f ca="1">IFERROR(__xludf.DUMMYFUNCTION("""COMPUTED_VALUE"""),23717.89)</f>
        <v>23717.89</v>
      </c>
      <c r="BK454" s="20"/>
      <c r="BL454" s="24">
        <f ca="1">IFERROR(__xludf.DUMMYFUNCTION("""COMPUTED_VALUE"""),22532)</f>
        <v>22532</v>
      </c>
      <c r="BM454" s="24">
        <f ca="1">IFERROR(__xludf.DUMMYFUNCTION("""COMPUTED_VALUE"""),0)</f>
        <v>0</v>
      </c>
      <c r="BN454" s="24">
        <f ca="1">IFERROR(__xludf.DUMMYFUNCTION("""COMPUTED_VALUE"""),1185.89)</f>
        <v>1185.8900000000001</v>
      </c>
      <c r="BO454" s="20"/>
      <c r="BP454" s="24">
        <f ca="1">IFERROR(__xludf.DUMMYFUNCTION("""COMPUTED_VALUE"""),0)</f>
        <v>0</v>
      </c>
      <c r="BQ454" s="20"/>
      <c r="BR454" s="24">
        <f ca="1">IFERROR(__xludf.DUMMYFUNCTION("""COMPUTED_VALUE"""),0)</f>
        <v>0</v>
      </c>
      <c r="BS454" s="24">
        <f ca="1">IFERROR(__xludf.DUMMYFUNCTION("""COMPUTED_VALUE"""),0)</f>
        <v>0</v>
      </c>
      <c r="BT454" s="24">
        <f ca="1">IFERROR(__xludf.DUMMYFUNCTION("""COMPUTED_VALUE"""),0)</f>
        <v>0</v>
      </c>
      <c r="BU454" s="20"/>
      <c r="BV454" s="24">
        <f ca="1">IFERROR(__xludf.DUMMYFUNCTION("""COMPUTED_VALUE"""),0)</f>
        <v>0</v>
      </c>
      <c r="BW454" s="20"/>
      <c r="BX454" s="20"/>
      <c r="BY454" s="20"/>
      <c r="BZ454" s="20"/>
      <c r="CA454" s="20"/>
      <c r="CB454" s="20"/>
      <c r="CC454" s="26">
        <f ca="1">IFERROR(__xludf.DUMMYFUNCTION("""COMPUTED_VALUE"""),42934)</f>
        <v>42934</v>
      </c>
      <c r="CD454" s="20" t="str">
        <f ca="1">IFERROR(__xludf.DUMMYFUNCTION("""COMPUTED_VALUE"""),"0148200005417000710")</f>
        <v>0148200005417000710</v>
      </c>
      <c r="CE454" s="26">
        <f ca="1">IFERROR(__xludf.DUMMYFUNCTION("""COMPUTED_VALUE"""),42983)</f>
        <v>42983</v>
      </c>
      <c r="CF454" s="20" t="str">
        <f ca="1">IFERROR(__xludf.DUMMYFUNCTION("""COMPUTED_VALUE"""),"0148200005417000710")</f>
        <v>0148200005417000710</v>
      </c>
      <c r="CG454" s="20" t="str">
        <f ca="1">IFERROR(__xludf.DUMMYFUNCTION("""COMPUTED_VALUE"""),"9 492 472,93")</f>
        <v>9 492 472,93</v>
      </c>
      <c r="CH454" s="20" t="str">
        <f ca="1">IFERROR(__xludf.DUMMYFUNCTION("""COMPUTED_VALUE"""),"ГУП МО УЕЗ «Мособлкоммуналстрой»")</f>
        <v>ГУП МО УЕЗ «Мособлкоммуналстрой»</v>
      </c>
      <c r="CI454" s="27" t="str">
        <f ca="1">IFERROR(__xludf.DUMMYFUNCTION("""COMPUTED_VALUE"""),"https://zakupki.gov.ru/epz/contract/contractCard/document-info.html?reestrNumber=3504805359217000067")</f>
        <v>https://zakupki.gov.ru/epz/contract/contractCard/document-info.html?reestrNumber=3504805359217000067</v>
      </c>
      <c r="CJ454" s="26">
        <f ca="1">IFERROR(__xludf.DUMMYFUNCTION("""COMPUTED_VALUE"""),43486)</f>
        <v>43486</v>
      </c>
      <c r="CK454" s="33">
        <f ca="1">IFERROR(__xludf.DUMMYFUNCTION("""COMPUTED_VALUE"""),43537)</f>
        <v>43537</v>
      </c>
      <c r="CL454" s="20" t="str">
        <f ca="1">IFERROR(__xludf.DUMMYFUNCTION("""COMPUTED_VALUE"""),"№ 50-1-1-3-0170-19")</f>
        <v>№ 50-1-1-3-0170-19</v>
      </c>
      <c r="CM454" s="26">
        <f ca="1">IFERROR(__xludf.DUMMYFUNCTION("""COMPUTED_VALUE"""),43959)</f>
        <v>43959</v>
      </c>
      <c r="CN454" s="20" t="str">
        <f ca="1">IFERROR(__xludf.DUMMYFUNCTION("""COMPUTED_VALUE"""),"0148200005420000149")</f>
        <v>0148200005420000149</v>
      </c>
      <c r="CO454" s="26">
        <f ca="1">IFERROR(__xludf.DUMMYFUNCTION("""COMPUTED_VALUE"""),44022)</f>
        <v>44022</v>
      </c>
      <c r="CP454" s="20" t="str">
        <f ca="1">IFERROR(__xludf.DUMMYFUNCTION("""COMPUTED_VALUE"""),"0148200005420000149")</f>
        <v>0148200005420000149</v>
      </c>
      <c r="CQ454" s="24">
        <f ca="1">IFERROR(__xludf.DUMMYFUNCTION("""COMPUTED_VALUE"""),96443496.05)</f>
        <v>96443496.049999997</v>
      </c>
      <c r="CR454" s="20" t="str">
        <f ca="1">IFERROR(__xludf.DUMMYFUNCTION("""COMPUTED_VALUE"""),"ООО ""РИЦ""")</f>
        <v>ООО "РИЦ"</v>
      </c>
      <c r="CS454" s="27" t="str">
        <f ca="1">IFERROR(__xludf.DUMMYFUNCTION("""COMPUTED_VALUE"""),"https://zakupki.gov.ru/epz/contract/search/results.html?searchString=&amp;orderNumber=0148200005420000149&amp;openMode=USE_DEFAULT_PARAMS&amp;fz44=on&amp;priceFrom=0&amp;priceTo=200000000000&amp;contractStageList=0%2C1%2C2%2C3&amp;budgetaryFunds=on&amp;extraBudgetaryFunds=on")</f>
        <v>https://zakupki.gov.ru/epz/contract/search/results.html?searchString=&amp;orderNumber=0148200005420000149&amp;openMode=USE_DEFAULT_PARAMS&amp;fz44=on&amp;priceFrom=0&amp;priceTo=200000000000&amp;contractStageList=0%2C1%2C2%2C3&amp;budgetaryFunds=on&amp;extraBudgetaryFunds=on</v>
      </c>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row>
    <row r="455" spans="1:123" ht="64.5" customHeight="1" x14ac:dyDescent="0.2">
      <c r="A455" s="19"/>
      <c r="B455" s="20" t="str">
        <f ca="1">IFERROR(__xludf.DUMMYFUNCTION("""COMPUTED_VALUE"""),"г.о. Чехов")</f>
        <v>г.о. Чехов</v>
      </c>
      <c r="C455"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5" s="24" t="str">
        <f ca="1">IFERROR(__xludf.DUMMYFUNCTION("""COMPUTED_VALUE"""),"МинЖКХ ")</f>
        <v xml:space="preserve">МинЖКХ </v>
      </c>
      <c r="E455" s="20" t="str">
        <f ca="1">IFERROR(__xludf.DUMMYFUNCTION("""COMPUTED_VALUE"""),"Реконструкция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- 17 992,0"&amp;"  т.р. за счет средств поступивших из города Москвы) в том числе:")</f>
        <v>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  т.р. за счет средств поступивших из города Москвы) в том числе:</v>
      </c>
      <c r="F455" s="32" t="str">
        <f ca="1">IFERROR(__xludf.DUMMYFUNCTION("""COMPUTED_VALUE"""),"ВЗУ")</f>
        <v>ВЗУ</v>
      </c>
      <c r="G455" s="20" t="str">
        <f ca="1">IFERROR(__xludf.DUMMYFUNCTION("""COMPUTED_VALUE"""),"2018-2020")</f>
        <v>2018-2020</v>
      </c>
      <c r="H455" s="24" t="str">
        <f ca="1">IFERROR(__xludf.DUMMYFUNCTION("""COMPUTED_VALUE"""),"Вып")</f>
        <v>Вып</v>
      </c>
      <c r="I455" s="20">
        <f ca="1">IFERROR(__xludf.DUMMYFUNCTION("""COMPUTED_VALUE"""),100)</f>
        <v>100</v>
      </c>
      <c r="J455" s="20" t="str">
        <f ca="1">IFERROR(__xludf.DUMMYFUNCTION("""COMPUTED_VALUE"""),"Кредиторская задолженность оплачена. 
Работы выполнены в 2019 году.")</f>
        <v>Кредиторская задолженность оплачена. 
Работы выполнены в 2019 году.</v>
      </c>
      <c r="K455" s="20">
        <f ca="1">IFERROR(__xludf.DUMMYFUNCTION("""COMPUTED_VALUE"""),5000)</f>
        <v>5000</v>
      </c>
      <c r="L455" s="20">
        <f ca="1">IFERROR(__xludf.DUMMYFUNCTION("""COMPUTED_VALUE"""),5000)</f>
        <v>5000</v>
      </c>
      <c r="M455" s="20"/>
      <c r="N455" s="24">
        <f ca="1">IFERROR(__xludf.DUMMYFUNCTION("""COMPUTED_VALUE"""),17992.28)</f>
        <v>17992.28</v>
      </c>
      <c r="O455" s="20"/>
      <c r="P455" s="20"/>
      <c r="Q455" s="24">
        <f ca="1">IFERROR(__xludf.DUMMYFUNCTION("""COMPUTED_VALUE"""),17992)</f>
        <v>17992</v>
      </c>
      <c r="R455" s="24">
        <f ca="1">IFERROR(__xludf.DUMMYFUNCTION("""COMPUTED_VALUE"""),0.28)</f>
        <v>0.28000000000000003</v>
      </c>
      <c r="S455" s="20"/>
      <c r="T455" s="20"/>
      <c r="U455" s="24">
        <f ca="1">IFERROR(__xludf.DUMMYFUNCTION("""COMPUTED_VALUE"""),0)</f>
        <v>0</v>
      </c>
      <c r="V455" s="24">
        <f ca="1">IFERROR(__xludf.DUMMYFUNCTION("""COMPUTED_VALUE"""),0)</f>
        <v>0</v>
      </c>
      <c r="W455" s="24">
        <f ca="1">IFERROR(__xludf.DUMMYFUNCTION("""COMPUTED_VALUE"""),0)</f>
        <v>0</v>
      </c>
      <c r="X455" s="24">
        <f ca="1">IFERROR(__xludf.DUMMYFUNCTION("""COMPUTED_VALUE"""),0)</f>
        <v>0</v>
      </c>
      <c r="Y455" s="24">
        <f ca="1">IFERROR(__xludf.DUMMYFUNCTION("""COMPUTED_VALUE"""),0)</f>
        <v>0</v>
      </c>
      <c r="Z455" s="24">
        <f ca="1">IFERROR(__xludf.DUMMYFUNCTION("""COMPUTED_VALUE"""),0)</f>
        <v>0</v>
      </c>
      <c r="AA455" s="20"/>
      <c r="AB455" s="20"/>
      <c r="AC455" s="20" t="str">
        <f ca="1">IFERROR(__xludf.DUMMYFUNCTION("""COMPUTED_VALUE"""),"не требуется")</f>
        <v>не требуется</v>
      </c>
      <c r="AD455" s="20"/>
      <c r="AE455" s="20"/>
      <c r="AF455" s="24">
        <f ca="1">IFERROR(__xludf.DUMMYFUNCTION("""COMPUTED_VALUE"""),22235.49)</f>
        <v>22235.49</v>
      </c>
      <c r="AG455" s="24">
        <f ca="1">IFERROR(__xludf.DUMMYFUNCTION("""COMPUTED_VALUE"""),0)</f>
        <v>0</v>
      </c>
      <c r="AH455" s="24">
        <f ca="1">IFERROR(__xludf.DUMMYFUNCTION("""COMPUTED_VALUE"""),3131.25)</f>
        <v>3131.25</v>
      </c>
      <c r="AI455" s="24">
        <f ca="1">IFERROR(__xludf.DUMMYFUNCTION("""COMPUTED_VALUE"""),17992)</f>
        <v>17992</v>
      </c>
      <c r="AJ455" s="24">
        <f ca="1">IFERROR(__xludf.DUMMYFUNCTION("""COMPUTED_VALUE"""),1112.24)</f>
        <v>1112.24</v>
      </c>
      <c r="AK455" s="24">
        <f ca="1">IFERROR(__xludf.DUMMYFUNCTION("""COMPUTED_VALUE"""),0)</f>
        <v>0</v>
      </c>
      <c r="AL455" s="24">
        <f ca="1">IFERROR(__xludf.DUMMYFUNCTION("""COMPUTED_VALUE"""),165)</f>
        <v>165</v>
      </c>
      <c r="AM455" s="20"/>
      <c r="AN455" s="24">
        <f ca="1">IFERROR(__xludf.DUMMYFUNCTION("""COMPUTED_VALUE"""),0)</f>
        <v>0</v>
      </c>
      <c r="AO455" s="24">
        <f ca="1">IFERROR(__xludf.DUMMYFUNCTION("""COMPUTED_VALUE"""),0)</f>
        <v>0</v>
      </c>
      <c r="AP455" s="24">
        <f ca="1">IFERROR(__xludf.DUMMYFUNCTION("""COMPUTED_VALUE"""),165)</f>
        <v>165</v>
      </c>
      <c r="AQ455" s="20"/>
      <c r="AR455" s="24">
        <f ca="1">IFERROR(__xludf.DUMMYFUNCTION("""COMPUTED_VALUE"""),4078.21)</f>
        <v>4078.21</v>
      </c>
      <c r="AS455" s="20"/>
      <c r="AT455" s="24">
        <f ca="1">IFERROR(__xludf.DUMMYFUNCTION("""COMPUTED_VALUE"""),3131.25)</f>
        <v>3131.25</v>
      </c>
      <c r="AU455" s="24">
        <f ca="1">IFERROR(__xludf.DUMMYFUNCTION("""COMPUTED_VALUE"""),0)</f>
        <v>0</v>
      </c>
      <c r="AV455" s="24">
        <f ca="1">IFERROR(__xludf.DUMMYFUNCTION("""COMPUTED_VALUE"""),946.96)</f>
        <v>946.96</v>
      </c>
      <c r="AW455" s="20"/>
      <c r="AX455" s="24">
        <f ca="1">IFERROR(__xludf.DUMMYFUNCTION("""COMPUTED_VALUE"""),17992.28)</f>
        <v>17992.28</v>
      </c>
      <c r="AY455" s="20"/>
      <c r="AZ455" s="24">
        <f ca="1">IFERROR(__xludf.DUMMYFUNCTION("""COMPUTED_VALUE"""),0)</f>
        <v>0</v>
      </c>
      <c r="BA455" s="24">
        <f ca="1">IFERROR(__xludf.DUMMYFUNCTION("""COMPUTED_VALUE"""),17992)</f>
        <v>17992</v>
      </c>
      <c r="BB455" s="24">
        <f ca="1">IFERROR(__xludf.DUMMYFUNCTION("""COMPUTED_VALUE"""),0.28)</f>
        <v>0.28000000000000003</v>
      </c>
      <c r="BC455" s="20"/>
      <c r="BD455" s="24">
        <f ca="1">IFERROR(__xludf.DUMMYFUNCTION("""COMPUTED_VALUE"""),0)</f>
        <v>0</v>
      </c>
      <c r="BE455" s="20"/>
      <c r="BF455" s="24">
        <f ca="1">IFERROR(__xludf.DUMMYFUNCTION("""COMPUTED_VALUE"""),0)</f>
        <v>0</v>
      </c>
      <c r="BG455" s="24">
        <f ca="1">IFERROR(__xludf.DUMMYFUNCTION("""COMPUTED_VALUE"""),0)</f>
        <v>0</v>
      </c>
      <c r="BH455" s="24">
        <f ca="1">IFERROR(__xludf.DUMMYFUNCTION("""COMPUTED_VALUE"""),0)</f>
        <v>0</v>
      </c>
      <c r="BI455" s="20"/>
      <c r="BJ455" s="24">
        <f ca="1">IFERROR(__xludf.DUMMYFUNCTION("""COMPUTED_VALUE"""),0)</f>
        <v>0</v>
      </c>
      <c r="BK455" s="20"/>
      <c r="BL455" s="24">
        <f ca="1">IFERROR(__xludf.DUMMYFUNCTION("""COMPUTED_VALUE"""),0)</f>
        <v>0</v>
      </c>
      <c r="BM455" s="24">
        <f ca="1">IFERROR(__xludf.DUMMYFUNCTION("""COMPUTED_VALUE"""),0)</f>
        <v>0</v>
      </c>
      <c r="BN455" s="24">
        <f ca="1">IFERROR(__xludf.DUMMYFUNCTION("""COMPUTED_VALUE"""),0)</f>
        <v>0</v>
      </c>
      <c r="BO455" s="20"/>
      <c r="BP455" s="24">
        <f ca="1">IFERROR(__xludf.DUMMYFUNCTION("""COMPUTED_VALUE"""),0)</f>
        <v>0</v>
      </c>
      <c r="BQ455" s="20"/>
      <c r="BR455" s="24">
        <f ca="1">IFERROR(__xludf.DUMMYFUNCTION("""COMPUTED_VALUE"""),0)</f>
        <v>0</v>
      </c>
      <c r="BS455" s="24">
        <f ca="1">IFERROR(__xludf.DUMMYFUNCTION("""COMPUTED_VALUE"""),0)</f>
        <v>0</v>
      </c>
      <c r="BT455" s="24">
        <f ca="1">IFERROR(__xludf.DUMMYFUNCTION("""COMPUTED_VALUE"""),0)</f>
        <v>0</v>
      </c>
      <c r="BU455" s="20"/>
      <c r="BV455" s="24">
        <f ca="1">IFERROR(__xludf.DUMMYFUNCTION("""COMPUTED_VALUE"""),0)</f>
        <v>0</v>
      </c>
      <c r="BW455" s="20"/>
      <c r="BX455" s="20"/>
      <c r="BY455" s="20"/>
      <c r="BZ455" s="20"/>
      <c r="CA455" s="20"/>
      <c r="CB455" s="20"/>
      <c r="CC455" s="20"/>
      <c r="CD455" s="20"/>
      <c r="CE455" s="20"/>
      <c r="CF455" s="20"/>
      <c r="CG455" s="20"/>
      <c r="CH455" s="20"/>
      <c r="CI455" s="20"/>
      <c r="CJ455" s="20"/>
      <c r="CK455" s="20"/>
      <c r="CL455" s="20"/>
      <c r="CM455" s="20"/>
      <c r="CN455" s="20"/>
      <c r="CO455" s="20"/>
      <c r="CP455" s="20"/>
      <c r="CQ455" s="20"/>
      <c r="CR455" s="20"/>
      <c r="CS455" s="20"/>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row>
    <row r="456" spans="1:123" ht="64.5" customHeight="1" x14ac:dyDescent="0.2">
      <c r="A456" s="19"/>
      <c r="B456" s="20" t="str">
        <f ca="1">IFERROR(__xludf.DUMMYFUNCTION("""COMPUTED_VALUE"""),"г.о. Чехов")</f>
        <v>г.о. Чехов</v>
      </c>
      <c r="C45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6" s="24" t="str">
        <f ca="1">IFERROR(__xludf.DUMMYFUNCTION("""COMPUTED_VALUE"""),"МинЖКХ ")</f>
        <v xml:space="preserve">МинЖКХ </v>
      </c>
      <c r="E456" s="20" t="str">
        <f ca="1">IFERROR(__xludf.DUMMYFUNCTION("""COMPUTED_VALUE"""),"Реконструкция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поступивших"&amp;" из города Москвы
 ")</f>
        <v xml:space="preserv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 из города Москвы
 </v>
      </c>
      <c r="F456" s="32" t="str">
        <f ca="1">IFERROR(__xludf.DUMMYFUNCTION("""COMPUTED_VALUE"""),"Сети")</f>
        <v>Сети</v>
      </c>
      <c r="G456" s="20" t="str">
        <f ca="1">IFERROR(__xludf.DUMMYFUNCTION("""COMPUTED_VALUE"""),"2019-2020")</f>
        <v>2019-2020</v>
      </c>
      <c r="H456" s="24" t="str">
        <f ca="1">IFERROR(__xludf.DUMMYFUNCTION("""COMPUTED_VALUE"""),"Вып")</f>
        <v>Вып</v>
      </c>
      <c r="I456" s="20">
        <f ca="1">IFERROR(__xludf.DUMMYFUNCTION("""COMPUTED_VALUE"""),100)</f>
        <v>100</v>
      </c>
      <c r="J456" s="20" t="str">
        <f ca="1">IFERROR(__xludf.DUMMYFUNCTION("""COMPUTED_VALUE"""),"Работы завершены.
Кредиторская задолженность (26 366,86 тыс.руб.) оплачена. 
 Поэтапная оплата работ согласно муниципальному контракту
 Завершение работ 30.11.2020 (есть доп.соглашение, продлевающее срок действия контракта до 30.12.2020 в связи с Kovid-19"&amp;")
В настоящий момент ведутся работы  по монтажу ж/б лотков теплосети и работы по бетонированию теплосети.
Общий километраж сетей - 2,968 метров, из них 1500 метров проложено. 
 07.12.2020 принесли КС на проверку, заявка ожидается до 10.12.2020 на сумму 31"&amp;" млн. руб.")</f>
        <v>Работы завершены.
Кредиторская задолженность (26 366,86 тыс.руб.) оплачена. 
 Поэтапная оплата работ согласно муниципальному контракту
 Завершение работ 30.11.2020 (есть доп.соглашение, продлевающее срок действия контракта до 30.12.2020 в связи с Kovid-19)
В настоящий момент ведутся работы  по монтажу ж/б лотков теплосети и работы по бетонированию теплосети.
Общий километраж сетей - 2,968 метров, из них 1500 метров проложено. 
 07.12.2020 принесли КС на проверку, заявка ожидается до 10.12.2020 на сумму 31 млн. руб.</v>
      </c>
      <c r="K456" s="20">
        <f ca="1">IFERROR(__xludf.DUMMYFUNCTION("""COMPUTED_VALUE"""),5000)</f>
        <v>5000</v>
      </c>
      <c r="L456" s="20">
        <f ca="1">IFERROR(__xludf.DUMMYFUNCTION("""COMPUTED_VALUE"""),5000)</f>
        <v>5000</v>
      </c>
      <c r="M456" s="27" t="str">
        <f ca="1">IFERROR(__xludf.DUMMYFUNCTION("""COMPUTED_VALUE"""),"https://drive.google.com/drive/folders/1BKhtX24QMmvAokCE7UM1jBbROzdlDhk-?usp=sharing")</f>
        <v>https://drive.google.com/drive/folders/1BKhtX24QMmvAokCE7UM1jBbROzdlDhk-?usp=sharing</v>
      </c>
      <c r="N456" s="24">
        <f ca="1">IFERROR(__xludf.DUMMYFUNCTION("""COMPUTED_VALUE"""),65700.56)</f>
        <v>65700.56</v>
      </c>
      <c r="O456" s="20"/>
      <c r="P456" s="20"/>
      <c r="Q456" s="24">
        <f ca="1">IFERROR(__xludf.DUMMYFUNCTION("""COMPUTED_VALUE"""),65700.56)</f>
        <v>65700.56</v>
      </c>
      <c r="R456" s="20"/>
      <c r="S456" s="20"/>
      <c r="T456" s="20"/>
      <c r="U456" s="24">
        <f ca="1">IFERROR(__xludf.DUMMYFUNCTION("""COMPUTED_VALUE"""),33277.67)</f>
        <v>33277.67</v>
      </c>
      <c r="V456" s="24">
        <f ca="1">IFERROR(__xludf.DUMMYFUNCTION("""COMPUTED_VALUE"""),0)</f>
        <v>0</v>
      </c>
      <c r="W456" s="24">
        <f ca="1">IFERROR(__xludf.DUMMYFUNCTION("""COMPUTED_VALUE"""),0)</f>
        <v>0</v>
      </c>
      <c r="X456" s="24">
        <f ca="1">IFERROR(__xludf.DUMMYFUNCTION("""COMPUTED_VALUE"""),29647.1)</f>
        <v>29647.1</v>
      </c>
      <c r="Y456" s="24">
        <f ca="1">IFERROR(__xludf.DUMMYFUNCTION("""COMPUTED_VALUE"""),3630.57)</f>
        <v>3630.57</v>
      </c>
      <c r="Z456" s="24">
        <f ca="1">IFERROR(__xludf.DUMMYFUNCTION("""COMPUTED_VALUE"""),0)</f>
        <v>0</v>
      </c>
      <c r="AA456" s="24" t="str">
        <f ca="1">IFERROR(__xludf.DUMMYFUNCTION("""COMPUTED_VALUE"""),"10 3 03 64460")</f>
        <v>10 3 03 64460</v>
      </c>
      <c r="AB456" s="20">
        <f ca="1">IFERROR(__xludf.DUMMYFUNCTION("""COMPUTED_VALUE"""),522)</f>
        <v>522</v>
      </c>
      <c r="AC456" s="20" t="str">
        <f ca="1">IFERROR(__xludf.DUMMYFUNCTION("""COMPUTED_VALUE"""),"не требуется")</f>
        <v>не требуется</v>
      </c>
      <c r="AD456" s="20"/>
      <c r="AE456" s="20"/>
      <c r="AF456" s="24">
        <f ca="1">IFERROR(__xludf.DUMMYFUNCTION("""COMPUTED_VALUE"""),105223.32)</f>
        <v>105223.32</v>
      </c>
      <c r="AG456" s="24">
        <f ca="1">IFERROR(__xludf.DUMMYFUNCTION("""COMPUTED_VALUE"""),0)</f>
        <v>0</v>
      </c>
      <c r="AH456" s="24">
        <f ca="1">IFERROR(__xludf.DUMMYFUNCTION("""COMPUTED_VALUE"""),4631.59)</f>
        <v>4631.59</v>
      </c>
      <c r="AI456" s="24">
        <f ca="1">IFERROR(__xludf.DUMMYFUNCTION("""COMPUTED_VALUE"""),95347.66)</f>
        <v>95347.66</v>
      </c>
      <c r="AJ456" s="24">
        <f ca="1">IFERROR(__xludf.DUMMYFUNCTION("""COMPUTED_VALUE"""),5244.07)</f>
        <v>5244.07</v>
      </c>
      <c r="AK456" s="24">
        <f ca="1">IFERROR(__xludf.DUMMYFUNCTION("""COMPUTED_VALUE"""),0)</f>
        <v>0</v>
      </c>
      <c r="AL456" s="24">
        <f ca="1">IFERROR(__xludf.DUMMYFUNCTION("""COMPUTED_VALUE"""),0)</f>
        <v>0</v>
      </c>
      <c r="AM456" s="20"/>
      <c r="AN456" s="24">
        <f ca="1">IFERROR(__xludf.DUMMYFUNCTION("""COMPUTED_VALUE"""),0)</f>
        <v>0</v>
      </c>
      <c r="AO456" s="24">
        <f ca="1">IFERROR(__xludf.DUMMYFUNCTION("""COMPUTED_VALUE"""),0)</f>
        <v>0</v>
      </c>
      <c r="AP456" s="24">
        <f ca="1">IFERROR(__xludf.DUMMYFUNCTION("""COMPUTED_VALUE"""),0)</f>
        <v>0</v>
      </c>
      <c r="AQ456" s="20"/>
      <c r="AR456" s="24">
        <f ca="1">IFERROR(__xludf.DUMMYFUNCTION("""COMPUTED_VALUE"""),6245.09)</f>
        <v>6245.09</v>
      </c>
      <c r="AS456" s="20"/>
      <c r="AT456" s="24">
        <f ca="1">IFERROR(__xludf.DUMMYFUNCTION("""COMPUTED_VALUE"""),4631.59)</f>
        <v>4631.59</v>
      </c>
      <c r="AU456" s="24">
        <f ca="1">IFERROR(__xludf.DUMMYFUNCTION("""COMPUTED_VALUE"""),0)</f>
        <v>0</v>
      </c>
      <c r="AV456" s="24">
        <f ca="1">IFERROR(__xludf.DUMMYFUNCTION("""COMPUTED_VALUE"""),1613.5)</f>
        <v>1613.5</v>
      </c>
      <c r="AW456" s="20"/>
      <c r="AX456" s="24">
        <f ca="1">IFERROR(__xludf.DUMMYFUNCTION("""COMPUTED_VALUE"""),98978.23)</f>
        <v>98978.23</v>
      </c>
      <c r="AY456" s="20"/>
      <c r="AZ456" s="24">
        <f ca="1">IFERROR(__xludf.DUMMYFUNCTION("""COMPUTED_VALUE"""),0)</f>
        <v>0</v>
      </c>
      <c r="BA456" s="24">
        <f ca="1">IFERROR(__xludf.DUMMYFUNCTION("""COMPUTED_VALUE"""),95347.66)</f>
        <v>95347.66</v>
      </c>
      <c r="BB456" s="24">
        <f ca="1">IFERROR(__xludf.DUMMYFUNCTION("""COMPUTED_VALUE"""),3630.57)</f>
        <v>3630.57</v>
      </c>
      <c r="BC456" s="20"/>
      <c r="BD456" s="24">
        <f ca="1">IFERROR(__xludf.DUMMYFUNCTION("""COMPUTED_VALUE"""),0)</f>
        <v>0</v>
      </c>
      <c r="BE456" s="20"/>
      <c r="BF456" s="24">
        <f ca="1">IFERROR(__xludf.DUMMYFUNCTION("""COMPUTED_VALUE"""),0)</f>
        <v>0</v>
      </c>
      <c r="BG456" s="24">
        <f ca="1">IFERROR(__xludf.DUMMYFUNCTION("""COMPUTED_VALUE"""),0)</f>
        <v>0</v>
      </c>
      <c r="BH456" s="24">
        <f ca="1">IFERROR(__xludf.DUMMYFUNCTION("""COMPUTED_VALUE"""),0)</f>
        <v>0</v>
      </c>
      <c r="BI456" s="20"/>
      <c r="BJ456" s="24">
        <f ca="1">IFERROR(__xludf.DUMMYFUNCTION("""COMPUTED_VALUE"""),0)</f>
        <v>0</v>
      </c>
      <c r="BK456" s="20"/>
      <c r="BL456" s="24">
        <f ca="1">IFERROR(__xludf.DUMMYFUNCTION("""COMPUTED_VALUE"""),0)</f>
        <v>0</v>
      </c>
      <c r="BM456" s="24">
        <f ca="1">IFERROR(__xludf.DUMMYFUNCTION("""COMPUTED_VALUE"""),0)</f>
        <v>0</v>
      </c>
      <c r="BN456" s="24">
        <f ca="1">IFERROR(__xludf.DUMMYFUNCTION("""COMPUTED_VALUE"""),0)</f>
        <v>0</v>
      </c>
      <c r="BO456" s="20"/>
      <c r="BP456" s="24">
        <f ca="1">IFERROR(__xludf.DUMMYFUNCTION("""COMPUTED_VALUE"""),0)</f>
        <v>0</v>
      </c>
      <c r="BQ456" s="20"/>
      <c r="BR456" s="24">
        <f ca="1">IFERROR(__xludf.DUMMYFUNCTION("""COMPUTED_VALUE"""),0)</f>
        <v>0</v>
      </c>
      <c r="BS456" s="24">
        <f ca="1">IFERROR(__xludf.DUMMYFUNCTION("""COMPUTED_VALUE"""),0)</f>
        <v>0</v>
      </c>
      <c r="BT456" s="24">
        <f ca="1">IFERROR(__xludf.DUMMYFUNCTION("""COMPUTED_VALUE"""),0)</f>
        <v>0</v>
      </c>
      <c r="BU456" s="20"/>
      <c r="BV456" s="24">
        <f ca="1">IFERROR(__xludf.DUMMYFUNCTION("""COMPUTED_VALUE"""),0)</f>
        <v>0</v>
      </c>
      <c r="BW456" s="20"/>
      <c r="BX456" s="20"/>
      <c r="BY456" s="20"/>
      <c r="BZ456" s="20"/>
      <c r="CA456" s="20"/>
      <c r="CB456" s="20"/>
      <c r="CC456" s="26">
        <f ca="1">IFERROR(__xludf.DUMMYFUNCTION("""COMPUTED_VALUE"""),42895)</f>
        <v>42895</v>
      </c>
      <c r="CD456" s="20" t="str">
        <f ca="1">IFERROR(__xludf.DUMMYFUNCTION("""COMPUTED_VALUE"""),"0848300016517000360")</f>
        <v>0848300016517000360</v>
      </c>
      <c r="CE456" s="26">
        <f ca="1">IFERROR(__xludf.DUMMYFUNCTION("""COMPUTED_VALUE"""),42937)</f>
        <v>42937</v>
      </c>
      <c r="CF456" s="20" t="str">
        <f ca="1">IFERROR(__xludf.DUMMYFUNCTION("""COMPUTED_VALUE"""),"0848300016517000360")</f>
        <v>0848300016517000360</v>
      </c>
      <c r="CG456" s="20" t="str">
        <f ca="1">IFERROR(__xludf.DUMMYFUNCTION("""COMPUTED_VALUE"""),"4 875 359,55")</f>
        <v>4 875 359,55</v>
      </c>
      <c r="CH456" s="20" t="str">
        <f ca="1">IFERROR(__xludf.DUMMYFUNCTION("""COMPUTED_VALUE"""),"ГУП МО УЕЗ «Мособлкоммуналстрой»")</f>
        <v>ГУП МО УЕЗ «Мособлкоммуналстрой»</v>
      </c>
      <c r="CI456" s="27" t="str">
        <f ca="1">IFERROR(__xludf.DUMMYFUNCTION("""COMPUTED_VALUE"""),"https://zakupki.gov.ru/epz/contract/search/results.html?searchString=&amp;orderNumber=0848300016517000360&amp;openMode=USE_DEFAULT_PARAMS&amp;fz44=on&amp;priceFrom=0&amp;priceTo=200000000000&amp;contractStageList=0%2C1%2C2%2C3&amp;budgetaryFunds=on&amp;extraBudgetaryFunds=on")</f>
        <v>https://zakupki.gov.ru/epz/contract/search/results.html?searchString=&amp;orderNumber=0848300016517000360&amp;openMode=USE_DEFAULT_PARAMS&amp;fz44=on&amp;priceFrom=0&amp;priceTo=200000000000&amp;contractStageList=0%2C1%2C2%2C3&amp;budgetaryFunds=on&amp;extraBudgetaryFunds=on</v>
      </c>
      <c r="CJ456" s="26">
        <f ca="1">IFERROR(__xludf.DUMMYFUNCTION("""COMPUTED_VALUE"""),43375)</f>
        <v>43375</v>
      </c>
      <c r="CK456" s="33">
        <f ca="1">IFERROR(__xludf.DUMMYFUNCTION("""COMPUTED_VALUE"""),43463)</f>
        <v>43463</v>
      </c>
      <c r="CL456" s="20" t="str">
        <f ca="1">IFERROR(__xludf.DUMMYFUNCTION("""COMPUTED_VALUE"""),"№ 50-1-1-3-2031-18")</f>
        <v>№ 50-1-1-3-2031-18</v>
      </c>
      <c r="CM456" s="26">
        <f ca="1">IFERROR(__xludf.DUMMYFUNCTION("""COMPUTED_VALUE"""),43781)</f>
        <v>43781</v>
      </c>
      <c r="CN456" s="20" t="str">
        <f ca="1">IFERROR(__xludf.DUMMYFUNCTION("""COMPUTED_VALUE"""),"0148200005419000619")</f>
        <v>0148200005419000619</v>
      </c>
      <c r="CO456" s="26">
        <f ca="1">IFERROR(__xludf.DUMMYFUNCTION("""COMPUTED_VALUE"""),43808)</f>
        <v>43808</v>
      </c>
      <c r="CP456" s="20" t="str">
        <f ca="1">IFERROR(__xludf.DUMMYFUNCTION("""COMPUTED_VALUE"""),"0148200005419000619")</f>
        <v>0148200005419000619</v>
      </c>
      <c r="CQ456" s="24">
        <f ca="1">IFERROR(__xludf.DUMMYFUNCTION("""COMPUTED_VALUE"""),92515309.43)</f>
        <v>92515309.430000007</v>
      </c>
      <c r="CR456" s="20" t="str">
        <f ca="1">IFERROR(__xludf.DUMMYFUNCTION("""COMPUTED_VALUE"""),"АО ""Ремонт 
тоннелей и мостов""")</f>
        <v>АО "Ремонт 
тоннелей и мостов"</v>
      </c>
      <c r="CS456" s="27" t="str">
        <f ca="1">IFERROR(__xludf.DUMMYFUNCTION("""COMPUTED_VALUE"""),"https://zakupki.gov.ru/epz/contract/search/results.html?searchString=&amp;orderNumber=0148200005419000619&amp;openMode=USE_DEFAULT_PARAMS&amp;fz44=on&amp;priceFrom=0&amp;priceTo=200000000000&amp;contractStageList=0%2C1%2C2%2C3&amp;budgetaryFunds=on&amp;extraBudgetaryFunds=on")</f>
        <v>https://zakupki.gov.ru/epz/contract/search/results.html?searchString=&amp;orderNumber=0148200005419000619&amp;openMode=USE_DEFAULT_PARAMS&amp;fz44=on&amp;priceFrom=0&amp;priceTo=200000000000&amp;contractStageList=0%2C1%2C2%2C3&amp;budgetaryFunds=on&amp;extraBudgetaryFunds=on</v>
      </c>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row>
    <row r="457" spans="1:123" ht="64.5" hidden="1" customHeight="1" x14ac:dyDescent="0.2">
      <c r="A457" s="19"/>
      <c r="B457" s="20" t="str">
        <f ca="1">IFERROR(__xludf.DUMMYFUNCTION("""COMPUTED_VALUE"""),"г.о. Щелково")</f>
        <v>г.о. Щелково</v>
      </c>
      <c r="C45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57" s="24" t="str">
        <f ca="1">IFERROR(__xludf.DUMMYFUNCTION("""COMPUTED_VALUE"""),"МинЖКХ ")</f>
        <v xml:space="preserve">МинЖКХ </v>
      </c>
      <c r="E457" s="20" t="str">
        <f ca="1">IFERROR(__xludf.DUMMYFUNCTION("""COMPUTED_VALUE"""),"Строительство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f>
        <v>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v>
      </c>
      <c r="F457" s="38" t="str">
        <f ca="1">IFERROR(__xludf.DUMMYFUNCTION("""COMPUTED_VALUE"""),"Котельная")</f>
        <v>Котельная</v>
      </c>
      <c r="G457" s="24" t="str">
        <f ca="1">IFERROR(__xludf.DUMMYFUNCTION("""COMPUTED_VALUE"""),"2021-2022")</f>
        <v>2021-2022</v>
      </c>
      <c r="H457" s="20"/>
      <c r="I457" s="20">
        <f ca="1">IFERROR(__xludf.DUMMYFUNCTION("""COMPUTED_VALUE"""),0)</f>
        <v>0</v>
      </c>
      <c r="J457" s="20" t="str">
        <f ca="1">IFERROR(__xludf.DUMMYFUNCTION("""COMPUTED_VALUE"""),"Земельный участок попадает в зону владения Министерства обороны. 
Судебное заседание состоялось 22.09.2020. 
По итогам заседания истцу (Минобороны) полностью отказано. 
В настоящее время ожидается публикация решения судьи.
 По итогам публикации, ОМСУ буду"&amp;"т обращаться для регистрации в ИСОГД. 
Назначено совещание на 28.08.2020 совместно с 
Минобороны и МинЖКХ, на котором будут приняты решения.
26.10. Минобороны подали апелляцию в 10-ый Арбитражный Апелляционный суд. 
Заседание назначено на 03.12.2020  в 15"&amp;":20. Аппеляция отклонена, участок будет присвоен г.о. Щелково.
До 31.01.2021 будут загружены документы в ИСОГД, после чего будут подаваться на РС.
")</f>
        <v xml:space="preserve">Земельный участок попадает в зону владения Министерства обороны. 
Судебное заседание состоялось 22.09.2020. 
По итогам заседания истцу (Минобороны) полностью отказано. 
В настоящее время ожидается публикация решения судьи.
 По итогам публикации, ОМСУ будут обращаться для регистрации в ИСОГД. 
Назначено совещание на 28.08.2020 совместно с 
Минобороны и МинЖКХ, на котором будут приняты решения.
26.10. Минобороны подали апелляцию в 10-ый Арбитражный Апелляционный суд. 
Заседание назначено на 03.12.2020  в 15:20. Аппеляция отклонена, участок будет присвоен г.о. Щелково.
До 31.01.2021 будут загружены документы в ИСОГД, после чего будут подаваться на РС.
</v>
      </c>
      <c r="K457" s="20">
        <f ca="1">IFERROR(__xludf.DUMMYFUNCTION("""COMPUTED_VALUE"""),3161)</f>
        <v>3161</v>
      </c>
      <c r="L457" s="20">
        <f ca="1">IFERROR(__xludf.DUMMYFUNCTION("""COMPUTED_VALUE"""),3161)</f>
        <v>3161</v>
      </c>
      <c r="M457" s="20"/>
      <c r="N457" s="24">
        <f ca="1">IFERROR(__xludf.DUMMYFUNCTION("""COMPUTED_VALUE"""),0)</f>
        <v>0</v>
      </c>
      <c r="O457" s="20"/>
      <c r="P457" s="24">
        <f ca="1">IFERROR(__xludf.DUMMYFUNCTION("""COMPUTED_VALUE"""),0)</f>
        <v>0</v>
      </c>
      <c r="Q457" s="20"/>
      <c r="R457" s="20"/>
      <c r="S457" s="20"/>
      <c r="T457" s="20"/>
      <c r="U457" s="24">
        <f ca="1">IFERROR(__xludf.DUMMYFUNCTION("""COMPUTED_VALUE"""),0)</f>
        <v>0</v>
      </c>
      <c r="V457" s="24">
        <f ca="1">IFERROR(__xludf.DUMMYFUNCTION("""COMPUTED_VALUE"""),0)</f>
        <v>0</v>
      </c>
      <c r="W457" s="24">
        <f ca="1">IFERROR(__xludf.DUMMYFUNCTION("""COMPUTED_VALUE"""),0)</f>
        <v>0</v>
      </c>
      <c r="X457" s="24">
        <f ca="1">IFERROR(__xludf.DUMMYFUNCTION("""COMPUTED_VALUE"""),0)</f>
        <v>0</v>
      </c>
      <c r="Y457" s="24">
        <f ca="1">IFERROR(__xludf.DUMMYFUNCTION("""COMPUTED_VALUE"""),0)</f>
        <v>0</v>
      </c>
      <c r="Z457" s="24">
        <f ca="1">IFERROR(__xludf.DUMMYFUNCTION("""COMPUTED_VALUE"""),0)</f>
        <v>0</v>
      </c>
      <c r="AA457" s="20"/>
      <c r="AB457" s="20"/>
      <c r="AC457" s="20"/>
      <c r="AD457" s="20"/>
      <c r="AE457" s="20"/>
      <c r="AF457" s="24">
        <f ca="1">IFERROR(__xludf.DUMMYFUNCTION("""COMPUTED_VALUE"""),169828.93)</f>
        <v>169828.93</v>
      </c>
      <c r="AG457" s="24">
        <f ca="1">IFERROR(__xludf.DUMMYFUNCTION("""COMPUTED_VALUE"""),0)</f>
        <v>0</v>
      </c>
      <c r="AH457" s="24">
        <f ca="1">IFERROR(__xludf.DUMMYFUNCTION("""COMPUTED_VALUE"""),72053.27)</f>
        <v>72053.27</v>
      </c>
      <c r="AI457" s="24">
        <f ca="1">IFERROR(__xludf.DUMMYFUNCTION("""COMPUTED_VALUE"""),80792)</f>
        <v>80792</v>
      </c>
      <c r="AJ457" s="24">
        <f ca="1">IFERROR(__xludf.DUMMYFUNCTION("""COMPUTED_VALUE"""),16983.66)</f>
        <v>16983.66</v>
      </c>
      <c r="AK457" s="24">
        <f ca="1">IFERROR(__xludf.DUMMYFUNCTION("""COMPUTED_VALUE"""),0)</f>
        <v>0</v>
      </c>
      <c r="AL457" s="24">
        <f ca="1">IFERROR(__xludf.DUMMYFUNCTION("""COMPUTED_VALUE"""),0)</f>
        <v>0</v>
      </c>
      <c r="AM457" s="20"/>
      <c r="AN457" s="24">
        <f ca="1">IFERROR(__xludf.DUMMYFUNCTION("""COMPUTED_VALUE"""),0)</f>
        <v>0</v>
      </c>
      <c r="AO457" s="24">
        <f ca="1">IFERROR(__xludf.DUMMYFUNCTION("""COMPUTED_VALUE"""),0)</f>
        <v>0</v>
      </c>
      <c r="AP457" s="24">
        <f ca="1">IFERROR(__xludf.DUMMYFUNCTION("""COMPUTED_VALUE"""),0)</f>
        <v>0</v>
      </c>
      <c r="AQ457" s="20"/>
      <c r="AR457" s="24">
        <f ca="1">IFERROR(__xludf.DUMMYFUNCTION("""COMPUTED_VALUE"""),0)</f>
        <v>0</v>
      </c>
      <c r="AS457" s="20"/>
      <c r="AT457" s="24">
        <f ca="1">IFERROR(__xludf.DUMMYFUNCTION("""COMPUTED_VALUE"""),0)</f>
        <v>0</v>
      </c>
      <c r="AU457" s="24">
        <f ca="1">IFERROR(__xludf.DUMMYFUNCTION("""COMPUTED_VALUE"""),0)</f>
        <v>0</v>
      </c>
      <c r="AV457" s="24">
        <f ca="1">IFERROR(__xludf.DUMMYFUNCTION("""COMPUTED_VALUE"""),0)</f>
        <v>0</v>
      </c>
      <c r="AW457" s="20"/>
      <c r="AX457" s="24">
        <f ca="1">IFERROR(__xludf.DUMMYFUNCTION("""COMPUTED_VALUE"""),0)</f>
        <v>0</v>
      </c>
      <c r="AY457" s="20"/>
      <c r="AZ457" s="24">
        <f ca="1">IFERROR(__xludf.DUMMYFUNCTION("""COMPUTED_VALUE"""),0)</f>
        <v>0</v>
      </c>
      <c r="BA457" s="24">
        <f ca="1">IFERROR(__xludf.DUMMYFUNCTION("""COMPUTED_VALUE"""),0)</f>
        <v>0</v>
      </c>
      <c r="BB457" s="24">
        <f ca="1">IFERROR(__xludf.DUMMYFUNCTION("""COMPUTED_VALUE"""),0)</f>
        <v>0</v>
      </c>
      <c r="BC457" s="20"/>
      <c r="BD457" s="24">
        <f ca="1">IFERROR(__xludf.DUMMYFUNCTION("""COMPUTED_VALUE"""),89768.92)</f>
        <v>89768.92</v>
      </c>
      <c r="BE457" s="20"/>
      <c r="BF457" s="24">
        <f ca="1">IFERROR(__xludf.DUMMYFUNCTION("""COMPUTED_VALUE"""),0)</f>
        <v>0</v>
      </c>
      <c r="BG457" s="24">
        <f ca="1">IFERROR(__xludf.DUMMYFUNCTION("""COMPUTED_VALUE"""),80792)</f>
        <v>80792</v>
      </c>
      <c r="BH457" s="24">
        <f ca="1">IFERROR(__xludf.DUMMYFUNCTION("""COMPUTED_VALUE"""),8976.92)</f>
        <v>8976.92</v>
      </c>
      <c r="BI457" s="20"/>
      <c r="BJ457" s="24">
        <f ca="1">IFERROR(__xludf.DUMMYFUNCTION("""COMPUTED_VALUE"""),80060.01)</f>
        <v>80060.009999999995</v>
      </c>
      <c r="BK457" s="20"/>
      <c r="BL457" s="24">
        <f ca="1">IFERROR(__xludf.DUMMYFUNCTION("""COMPUTED_VALUE"""),72053.27)</f>
        <v>72053.27</v>
      </c>
      <c r="BM457" s="24">
        <f ca="1">IFERROR(__xludf.DUMMYFUNCTION("""COMPUTED_VALUE"""),0)</f>
        <v>0</v>
      </c>
      <c r="BN457" s="24">
        <f ca="1">IFERROR(__xludf.DUMMYFUNCTION("""COMPUTED_VALUE"""),8006.74)</f>
        <v>8006.74</v>
      </c>
      <c r="BO457" s="20"/>
      <c r="BP457" s="24">
        <f ca="1">IFERROR(__xludf.DUMMYFUNCTION("""COMPUTED_VALUE"""),0)</f>
        <v>0</v>
      </c>
      <c r="BQ457" s="20"/>
      <c r="BR457" s="24">
        <f ca="1">IFERROR(__xludf.DUMMYFUNCTION("""COMPUTED_VALUE"""),0)</f>
        <v>0</v>
      </c>
      <c r="BS457" s="24">
        <f ca="1">IFERROR(__xludf.DUMMYFUNCTION("""COMPUTED_VALUE"""),0)</f>
        <v>0</v>
      </c>
      <c r="BT457" s="24">
        <f ca="1">IFERROR(__xludf.DUMMYFUNCTION("""COMPUTED_VALUE"""),0)</f>
        <v>0</v>
      </c>
      <c r="BU457" s="20"/>
      <c r="BV457" s="24">
        <f ca="1">IFERROR(__xludf.DUMMYFUNCTION("""COMPUTED_VALUE"""),0)</f>
        <v>0</v>
      </c>
      <c r="BW457" s="20"/>
      <c r="BX457" s="20"/>
      <c r="BY457" s="20"/>
      <c r="BZ457" s="20"/>
      <c r="CA457" s="20"/>
      <c r="CB457" s="20"/>
      <c r="CC457" s="20"/>
      <c r="CD457" s="20"/>
      <c r="CE457" s="20"/>
      <c r="CF457" s="20"/>
      <c r="CG457" s="20"/>
      <c r="CH457" s="20"/>
      <c r="CI457" s="20"/>
      <c r="CJ457" s="20"/>
      <c r="CK457" s="20"/>
      <c r="CL457" s="20"/>
      <c r="CM457" s="20"/>
      <c r="CN457" s="20"/>
      <c r="CO457" s="20"/>
      <c r="CP457" s="20"/>
      <c r="CQ457" s="20"/>
      <c r="CR457" s="20"/>
      <c r="CS457" s="20"/>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row>
    <row r="458" spans="1:123" ht="64.5" hidden="1" customHeight="1" x14ac:dyDescent="0.2">
      <c r="A458" s="19"/>
      <c r="B458" s="20" t="str">
        <f ca="1">IFERROR(__xludf.DUMMYFUNCTION("""COMPUTED_VALUE"""),"г.о. Щелково ")</f>
        <v xml:space="preserve">г.о. Щелково </v>
      </c>
      <c r="C458"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8" s="24" t="str">
        <f ca="1">IFERROR(__xludf.DUMMYFUNCTION("""COMPUTED_VALUE"""),"Минкульт")</f>
        <v>Минкульт</v>
      </c>
      <c r="E458" s="20" t="str">
        <f ca="1">IFERROR(__xludf.DUMMYFUNCTION("""COMPUTED_VALUE"""),"Капитальный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f>
        <v xml:space="preserv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v>
      </c>
      <c r="F458" s="32"/>
      <c r="G458" s="20" t="str">
        <f ca="1">IFERROR(__xludf.DUMMYFUNCTION("""COMPUTED_VALUE"""),"2016-2022")</f>
        <v>2016-2022</v>
      </c>
      <c r="H458" s="20"/>
      <c r="I458" s="20"/>
      <c r="J458" s="20"/>
      <c r="K458" s="20">
        <f ca="1">IFERROR(__xludf.DUMMYFUNCTION("""COMPUTED_VALUE"""),22512)</f>
        <v>22512</v>
      </c>
      <c r="L458" s="20"/>
      <c r="M458" s="20"/>
      <c r="N458" s="20">
        <f ca="1">IFERROR(__xludf.DUMMYFUNCTION("""COMPUTED_VALUE"""),0)</f>
        <v>0</v>
      </c>
      <c r="O458" s="20"/>
      <c r="P458" s="20"/>
      <c r="Q458" s="20"/>
      <c r="R458" s="20"/>
      <c r="S458" s="20"/>
      <c r="T458" s="20"/>
      <c r="U458" s="24">
        <f ca="1">IFERROR(__xludf.DUMMYFUNCTION("""COMPUTED_VALUE"""),14150.8999999999)</f>
        <v>14150.8999999999</v>
      </c>
      <c r="V458" s="24">
        <f ca="1">IFERROR(__xludf.DUMMYFUNCTION("""COMPUTED_VALUE"""),0)</f>
        <v>0</v>
      </c>
      <c r="W458" s="24">
        <f ca="1">IFERROR(__xludf.DUMMYFUNCTION("""COMPUTED_VALUE"""),13535.5999999999)</f>
        <v>13535.5999999999</v>
      </c>
      <c r="X458" s="24">
        <f ca="1">IFERROR(__xludf.DUMMYFUNCTION("""COMPUTED_VALUE"""),0)</f>
        <v>0</v>
      </c>
      <c r="Y458" s="24">
        <f ca="1">IFERROR(__xludf.DUMMYFUNCTION("""COMPUTED_VALUE"""),615.3)</f>
        <v>615.29999999999995</v>
      </c>
      <c r="Z458" s="24">
        <f ca="1">IFERROR(__xludf.DUMMYFUNCTION("""COMPUTED_VALUE"""),0)</f>
        <v>0</v>
      </c>
      <c r="AA458" s="20"/>
      <c r="AB458" s="20"/>
      <c r="AC458" s="20"/>
      <c r="AD458" s="20"/>
      <c r="AE458" s="20"/>
      <c r="AF458" s="24">
        <f ca="1">IFERROR(__xludf.DUMMYFUNCTION("""COMPUTED_VALUE"""),261696.28)</f>
        <v>261696.28</v>
      </c>
      <c r="AG458" s="24">
        <f ca="1">IFERROR(__xludf.DUMMYFUNCTION("""COMPUTED_VALUE"""),0)</f>
        <v>0</v>
      </c>
      <c r="AH458" s="24">
        <f ca="1">IFERROR(__xludf.DUMMYFUNCTION("""COMPUTED_VALUE"""),248357.08)</f>
        <v>248357.08</v>
      </c>
      <c r="AI458" s="24">
        <f ca="1">IFERROR(__xludf.DUMMYFUNCTION("""COMPUTED_VALUE"""),0)</f>
        <v>0</v>
      </c>
      <c r="AJ458" s="24">
        <f ca="1">IFERROR(__xludf.DUMMYFUNCTION("""COMPUTED_VALUE"""),13339.2)</f>
        <v>13339.2</v>
      </c>
      <c r="AK458" s="24">
        <f ca="1">IFERROR(__xludf.DUMMYFUNCTION("""COMPUTED_VALUE"""),0)</f>
        <v>0</v>
      </c>
      <c r="AL458" s="24">
        <f ca="1">IFERROR(__xludf.DUMMYFUNCTION("""COMPUTED_VALUE"""),93638.19)</f>
        <v>93638.19</v>
      </c>
      <c r="AM458" s="20"/>
      <c r="AN458" s="24">
        <f ca="1">IFERROR(__xludf.DUMMYFUNCTION("""COMPUTED_VALUE"""),88609.69)</f>
        <v>88609.69</v>
      </c>
      <c r="AO458" s="24">
        <f ca="1">IFERROR(__xludf.DUMMYFUNCTION("""COMPUTED_VALUE"""),0)</f>
        <v>0</v>
      </c>
      <c r="AP458" s="24">
        <f ca="1">IFERROR(__xludf.DUMMYFUNCTION("""COMPUTED_VALUE"""),5028.5)</f>
        <v>5028.5</v>
      </c>
      <c r="AQ458" s="20"/>
      <c r="AR458" s="24">
        <f ca="1">IFERROR(__xludf.DUMMYFUNCTION("""COMPUTED_VALUE"""),25789.88)</f>
        <v>25789.88</v>
      </c>
      <c r="AS458" s="20"/>
      <c r="AT458" s="24">
        <f ca="1">IFERROR(__xludf.DUMMYFUNCTION("""COMPUTED_VALUE"""),24500.39)</f>
        <v>24500.39</v>
      </c>
      <c r="AU458" s="24">
        <f ca="1">IFERROR(__xludf.DUMMYFUNCTION("""COMPUTED_VALUE"""),0)</f>
        <v>0</v>
      </c>
      <c r="AV458" s="24">
        <f ca="1">IFERROR(__xludf.DUMMYFUNCTION("""COMPUTED_VALUE"""),1289.49)</f>
        <v>1289.49</v>
      </c>
      <c r="AW458" s="20"/>
      <c r="AX458" s="24">
        <f ca="1">IFERROR(__xludf.DUMMYFUNCTION("""COMPUTED_VALUE"""),14150.8999999999)</f>
        <v>14150.8999999999</v>
      </c>
      <c r="AY458" s="20"/>
      <c r="AZ458" s="24">
        <f ca="1">IFERROR(__xludf.DUMMYFUNCTION("""COMPUTED_VALUE"""),13535.5999999999)</f>
        <v>13535.5999999999</v>
      </c>
      <c r="BA458" s="24">
        <f ca="1">IFERROR(__xludf.DUMMYFUNCTION("""COMPUTED_VALUE"""),0)</f>
        <v>0</v>
      </c>
      <c r="BB458" s="24">
        <f ca="1">IFERROR(__xludf.DUMMYFUNCTION("""COMPUTED_VALUE"""),615.3)</f>
        <v>615.29999999999995</v>
      </c>
      <c r="BC458" s="20"/>
      <c r="BD458" s="24">
        <f ca="1">IFERROR(__xludf.DUMMYFUNCTION("""COMPUTED_VALUE"""),74110.9899999999)</f>
        <v>74110.989999999903</v>
      </c>
      <c r="BE458" s="20"/>
      <c r="BF458" s="24">
        <f ca="1">IFERROR(__xludf.DUMMYFUNCTION("""COMPUTED_VALUE"""),70405.4)</f>
        <v>70405.399999999994</v>
      </c>
      <c r="BG458" s="24">
        <f ca="1">IFERROR(__xludf.DUMMYFUNCTION("""COMPUTED_VALUE"""),0)</f>
        <v>0</v>
      </c>
      <c r="BH458" s="24">
        <f ca="1">IFERROR(__xludf.DUMMYFUNCTION("""COMPUTED_VALUE"""),3705.59)</f>
        <v>3705.59</v>
      </c>
      <c r="BI458" s="20"/>
      <c r="BJ458" s="24">
        <f ca="1">IFERROR(__xludf.DUMMYFUNCTION("""COMPUTED_VALUE"""),54006.32)</f>
        <v>54006.32</v>
      </c>
      <c r="BK458" s="20"/>
      <c r="BL458" s="24">
        <f ca="1">IFERROR(__xludf.DUMMYFUNCTION("""COMPUTED_VALUE"""),51306)</f>
        <v>51306</v>
      </c>
      <c r="BM458" s="24">
        <f ca="1">IFERROR(__xludf.DUMMYFUNCTION("""COMPUTED_VALUE"""),0)</f>
        <v>0</v>
      </c>
      <c r="BN458" s="24">
        <f ca="1">IFERROR(__xludf.DUMMYFUNCTION("""COMPUTED_VALUE"""),2700.32)</f>
        <v>2700.32</v>
      </c>
      <c r="BO458" s="20"/>
      <c r="BP458" s="24">
        <f ca="1">IFERROR(__xludf.DUMMYFUNCTION("""COMPUTED_VALUE"""),0)</f>
        <v>0</v>
      </c>
      <c r="BQ458" s="20"/>
      <c r="BR458" s="24">
        <f ca="1">IFERROR(__xludf.DUMMYFUNCTION("""COMPUTED_VALUE"""),0)</f>
        <v>0</v>
      </c>
      <c r="BS458" s="24">
        <f ca="1">IFERROR(__xludf.DUMMYFUNCTION("""COMPUTED_VALUE"""),0)</f>
        <v>0</v>
      </c>
      <c r="BT458" s="24">
        <f ca="1">IFERROR(__xludf.DUMMYFUNCTION("""COMPUTED_VALUE"""),0)</f>
        <v>0</v>
      </c>
      <c r="BU458" s="20"/>
      <c r="BV458" s="24">
        <f ca="1">IFERROR(__xludf.DUMMYFUNCTION("""COMPUTED_VALUE"""),0)</f>
        <v>0</v>
      </c>
      <c r="BW458" s="20"/>
      <c r="BX458" s="20"/>
      <c r="BY458" s="20"/>
      <c r="BZ458" s="20"/>
      <c r="CA458" s="20"/>
      <c r="CB458" s="20"/>
      <c r="CC458" s="20"/>
      <c r="CD458" s="20"/>
      <c r="CE458" s="20"/>
      <c r="CF458" s="20"/>
      <c r="CG458" s="20"/>
      <c r="CH458" s="20"/>
      <c r="CI458" s="20"/>
      <c r="CJ458" s="20"/>
      <c r="CK458" s="20"/>
      <c r="CL458" s="20"/>
      <c r="CM458" s="20"/>
      <c r="CN458" s="20"/>
      <c r="CO458" s="20" t="str">
        <f ca="1">IFERROR(__xludf.DUMMYFUNCTION("""COMPUTED_VALUE"""),"(контракт заключен)")</f>
        <v>(контракт заключен)</v>
      </c>
      <c r="CP458" s="20"/>
      <c r="CQ458" s="20"/>
      <c r="CR458" s="20"/>
      <c r="CS458" s="20"/>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row>
    <row r="459" spans="1:123" ht="64.5" hidden="1" customHeight="1" x14ac:dyDescent="0.2">
      <c r="A459" s="19"/>
      <c r="B459" s="20" t="str">
        <f ca="1">IFERROR(__xludf.DUMMYFUNCTION("""COMPUTED_VALUE"""),"г.о. Щелково ")</f>
        <v xml:space="preserve">г.о. Щелково </v>
      </c>
      <c r="C45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9" s="24" t="str">
        <f ca="1">IFERROR(__xludf.DUMMYFUNCTION("""COMPUTED_VALUE"""),"Минкульт")</f>
        <v>Минкульт</v>
      </c>
      <c r="E459" s="20" t="str">
        <f ca="1">IFERROR(__xludf.DUMMYFUNCTION("""COMPUTED_VALUE"""),"Капитальный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f>
        <v xml:space="preserv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v>
      </c>
      <c r="F459" s="32"/>
      <c r="G459" s="20" t="str">
        <f ca="1">IFERROR(__xludf.DUMMYFUNCTION("""COMPUTED_VALUE"""),"2019-2021")</f>
        <v>2019-2021</v>
      </c>
      <c r="H459" s="20"/>
      <c r="I459" s="20"/>
      <c r="J459" s="20"/>
      <c r="K459" s="20">
        <f ca="1">IFERROR(__xludf.DUMMYFUNCTION("""COMPUTED_VALUE"""),30000)</f>
        <v>30000</v>
      </c>
      <c r="L459" s="20"/>
      <c r="M459" s="20"/>
      <c r="N459" s="20">
        <f ca="1">IFERROR(__xludf.DUMMYFUNCTION("""COMPUTED_VALUE"""),0)</f>
        <v>0</v>
      </c>
      <c r="O459" s="20"/>
      <c r="P459" s="20"/>
      <c r="Q459" s="20"/>
      <c r="R459" s="20"/>
      <c r="S459" s="20"/>
      <c r="T459" s="20"/>
      <c r="U459" s="24">
        <f ca="1">IFERROR(__xludf.DUMMYFUNCTION("""COMPUTED_VALUE"""),80826.6699999999)</f>
        <v>80826.669999999896</v>
      </c>
      <c r="V459" s="24">
        <f ca="1">IFERROR(__xludf.DUMMYFUNCTION("""COMPUTED_VALUE"""),0)</f>
        <v>0</v>
      </c>
      <c r="W459" s="24">
        <f ca="1">IFERROR(__xludf.DUMMYFUNCTION("""COMPUTED_VALUE"""),76785.2999999999)</f>
        <v>76785.299999999901</v>
      </c>
      <c r="X459" s="24">
        <f ca="1">IFERROR(__xludf.DUMMYFUNCTION("""COMPUTED_VALUE"""),0)</f>
        <v>0</v>
      </c>
      <c r="Y459" s="24">
        <f ca="1">IFERROR(__xludf.DUMMYFUNCTION("""COMPUTED_VALUE"""),4041.37)</f>
        <v>4041.37</v>
      </c>
      <c r="Z459" s="24">
        <f ca="1">IFERROR(__xludf.DUMMYFUNCTION("""COMPUTED_VALUE"""),0)</f>
        <v>0</v>
      </c>
      <c r="AA459" s="20"/>
      <c r="AB459" s="20"/>
      <c r="AC459" s="20"/>
      <c r="AD459" s="20"/>
      <c r="AE459" s="20"/>
      <c r="AF459" s="24">
        <f ca="1">IFERROR(__xludf.DUMMYFUNCTION("""COMPUTED_VALUE"""),194168.82)</f>
        <v>194168.82</v>
      </c>
      <c r="AG459" s="24">
        <f ca="1">IFERROR(__xludf.DUMMYFUNCTION("""COMPUTED_VALUE"""),0)</f>
        <v>0</v>
      </c>
      <c r="AH459" s="24">
        <f ca="1">IFERROR(__xludf.DUMMYFUNCTION("""COMPUTED_VALUE"""),184460.34)</f>
        <v>184460.34</v>
      </c>
      <c r="AI459" s="24">
        <f ca="1">IFERROR(__xludf.DUMMYFUNCTION("""COMPUTED_VALUE"""),0)</f>
        <v>0</v>
      </c>
      <c r="AJ459" s="24">
        <f ca="1">IFERROR(__xludf.DUMMYFUNCTION("""COMPUTED_VALUE"""),9708.48)</f>
        <v>9708.48</v>
      </c>
      <c r="AK459" s="24">
        <f ca="1">IFERROR(__xludf.DUMMYFUNCTION("""COMPUTED_VALUE"""),0)</f>
        <v>0</v>
      </c>
      <c r="AL459" s="24">
        <f ca="1">IFERROR(__xludf.DUMMYFUNCTION("""COMPUTED_VALUE"""),0)</f>
        <v>0</v>
      </c>
      <c r="AM459" s="20"/>
      <c r="AN459" s="24">
        <f ca="1">IFERROR(__xludf.DUMMYFUNCTION("""COMPUTED_VALUE"""),0)</f>
        <v>0</v>
      </c>
      <c r="AO459" s="24">
        <f ca="1">IFERROR(__xludf.DUMMYFUNCTION("""COMPUTED_VALUE"""),0)</f>
        <v>0</v>
      </c>
      <c r="AP459" s="24">
        <f ca="1">IFERROR(__xludf.DUMMYFUNCTION("""COMPUTED_VALUE"""),0)</f>
        <v>0</v>
      </c>
      <c r="AQ459" s="20"/>
      <c r="AR459" s="24">
        <f ca="1">IFERROR(__xludf.DUMMYFUNCTION("""COMPUTED_VALUE"""),20872.63)</f>
        <v>20872.63</v>
      </c>
      <c r="AS459" s="20"/>
      <c r="AT459" s="24">
        <f ca="1">IFERROR(__xludf.DUMMYFUNCTION("""COMPUTED_VALUE"""),19829)</f>
        <v>19829</v>
      </c>
      <c r="AU459" s="24">
        <f ca="1">IFERROR(__xludf.DUMMYFUNCTION("""COMPUTED_VALUE"""),0)</f>
        <v>0</v>
      </c>
      <c r="AV459" s="24">
        <f ca="1">IFERROR(__xludf.DUMMYFUNCTION("""COMPUTED_VALUE"""),1043.63)</f>
        <v>1043.6300000000001</v>
      </c>
      <c r="AW459" s="20"/>
      <c r="AX459" s="24">
        <f ca="1">IFERROR(__xludf.DUMMYFUNCTION("""COMPUTED_VALUE"""),80826.6699999999)</f>
        <v>80826.669999999896</v>
      </c>
      <c r="AY459" s="20"/>
      <c r="AZ459" s="24">
        <f ca="1">IFERROR(__xludf.DUMMYFUNCTION("""COMPUTED_VALUE"""),76785.2999999999)</f>
        <v>76785.299999999901</v>
      </c>
      <c r="BA459" s="24">
        <f ca="1">IFERROR(__xludf.DUMMYFUNCTION("""COMPUTED_VALUE"""),0)</f>
        <v>0</v>
      </c>
      <c r="BB459" s="24">
        <f ca="1">IFERROR(__xludf.DUMMYFUNCTION("""COMPUTED_VALUE"""),4041.37)</f>
        <v>4041.37</v>
      </c>
      <c r="BC459" s="20"/>
      <c r="BD459" s="24">
        <f ca="1">IFERROR(__xludf.DUMMYFUNCTION("""COMPUTED_VALUE"""),92469.52)</f>
        <v>92469.52</v>
      </c>
      <c r="BE459" s="20"/>
      <c r="BF459" s="24">
        <f ca="1">IFERROR(__xludf.DUMMYFUNCTION("""COMPUTED_VALUE"""),87846.04)</f>
        <v>87846.04</v>
      </c>
      <c r="BG459" s="24">
        <f ca="1">IFERROR(__xludf.DUMMYFUNCTION("""COMPUTED_VALUE"""),0)</f>
        <v>0</v>
      </c>
      <c r="BH459" s="24">
        <f ca="1">IFERROR(__xludf.DUMMYFUNCTION("""COMPUTED_VALUE"""),4623.48)</f>
        <v>4623.4799999999996</v>
      </c>
      <c r="BI459" s="20"/>
      <c r="BJ459" s="24">
        <f ca="1">IFERROR(__xludf.DUMMYFUNCTION("""COMPUTED_VALUE"""),0)</f>
        <v>0</v>
      </c>
      <c r="BK459" s="20"/>
      <c r="BL459" s="24">
        <f ca="1">IFERROR(__xludf.DUMMYFUNCTION("""COMPUTED_VALUE"""),0)</f>
        <v>0</v>
      </c>
      <c r="BM459" s="24">
        <f ca="1">IFERROR(__xludf.DUMMYFUNCTION("""COMPUTED_VALUE"""),0)</f>
        <v>0</v>
      </c>
      <c r="BN459" s="24">
        <f ca="1">IFERROR(__xludf.DUMMYFUNCTION("""COMPUTED_VALUE"""),0)</f>
        <v>0</v>
      </c>
      <c r="BO459" s="20"/>
      <c r="BP459" s="24">
        <f ca="1">IFERROR(__xludf.DUMMYFUNCTION("""COMPUTED_VALUE"""),0)</f>
        <v>0</v>
      </c>
      <c r="BQ459" s="20"/>
      <c r="BR459" s="24">
        <f ca="1">IFERROR(__xludf.DUMMYFUNCTION("""COMPUTED_VALUE"""),0)</f>
        <v>0</v>
      </c>
      <c r="BS459" s="24">
        <f ca="1">IFERROR(__xludf.DUMMYFUNCTION("""COMPUTED_VALUE"""),0)</f>
        <v>0</v>
      </c>
      <c r="BT459" s="24">
        <f ca="1">IFERROR(__xludf.DUMMYFUNCTION("""COMPUTED_VALUE"""),0)</f>
        <v>0</v>
      </c>
      <c r="BU459" s="20"/>
      <c r="BV459" s="24">
        <f ca="1">IFERROR(__xludf.DUMMYFUNCTION("""COMPUTED_VALUE"""),0)</f>
        <v>0</v>
      </c>
      <c r="BW459" s="20"/>
      <c r="BX459" s="20"/>
      <c r="BY459" s="20"/>
      <c r="BZ459" s="20"/>
      <c r="CA459" s="20"/>
      <c r="CB459" s="20"/>
      <c r="CC459" s="20"/>
      <c r="CD459" s="20"/>
      <c r="CE459" s="20"/>
      <c r="CF459" s="20"/>
      <c r="CG459" s="20"/>
      <c r="CH459" s="20"/>
      <c r="CI459" s="20"/>
      <c r="CJ459" s="20"/>
      <c r="CK459" s="20"/>
      <c r="CL459" s="20"/>
      <c r="CM459" s="20"/>
      <c r="CN459" s="20"/>
      <c r="CO459" s="20"/>
      <c r="CP459" s="20"/>
      <c r="CQ459" s="20"/>
      <c r="CR459" s="20"/>
      <c r="CS459" s="20"/>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row>
    <row r="460" spans="1:123" ht="64.5" customHeight="1" x14ac:dyDescent="0.2">
      <c r="A460" s="19"/>
      <c r="B460" s="20" t="str">
        <f ca="1">IFERROR(__xludf.DUMMYFUNCTION("""COMPUTED_VALUE"""),"г.о. Щелково")</f>
        <v>г.о. Щелково</v>
      </c>
      <c r="C460"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0" s="24" t="str">
        <f ca="1">IFERROR(__xludf.DUMMYFUNCTION("""COMPUTED_VALUE"""),"МинЖКХ")</f>
        <v>МинЖКХ</v>
      </c>
      <c r="E460" s="20" t="str">
        <f ca="1">IFERROR(__xludf.DUMMYFUNCTION("""COMPUTED_VALUE"""),"Проведение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Щ"&amp;"елковский район, г. Щелково (Щелково-4, ул. Беляева) - с.п. Анискинское (д. Леониха) - г. Щелково (Щелково-3),военный городок Щелково 3-4")</f>
        <v>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Щелковский район, г. Щелково (Щелково-4, ул. Беляева) - с.п. Анискинское (д. Леониха) - г. Щелково (Щелково-3),военный городок Щелково 3-4</v>
      </c>
      <c r="F460" s="32" t="str">
        <f ca="1">IFERROR(__xludf.DUMMYFUNCTION("""COMPUTED_VALUE"""),"КНК")</f>
        <v>КНК</v>
      </c>
      <c r="G460" s="20" t="str">
        <f ca="1">IFERROR(__xludf.DUMMYFUNCTION("""COMPUTED_VALUE"""),"2019-2020")</f>
        <v>2019-2020</v>
      </c>
      <c r="H460" s="24" t="str">
        <f ca="1">IFERROR(__xludf.DUMMYFUNCTION("""COMPUTED_VALUE"""),"Вып")</f>
        <v>Вып</v>
      </c>
      <c r="I460" s="20">
        <f ca="1">IFERROR(__xludf.DUMMYFUNCTION("""COMPUTED_VALUE"""),100)</f>
        <v>100</v>
      </c>
      <c r="J460" s="20" t="str">
        <f ca="1">IFERROR(__xludf.DUMMYFUNCTION("""COMPUTED_VALUE"""),"Работы завершены.
22.12.2020 будет повторно направлена заявка на сумму 300.000 руб за СК. Остаток 3,5 мнл.руб, экономия, планируется расторжение контракта. 
25.12.2020 направят письмо о расторжении контракта по соглашению сторон. ")</f>
        <v xml:space="preserve">Работы завершены.
22.12.2020 будет повторно направлена заявка на сумму 300.000 руб за СК. Остаток 3,5 мнл.руб, экономия, планируется расторжение контракта. 
25.12.2020 направят письмо о расторжении контракта по соглашению сторон. </v>
      </c>
      <c r="K460" s="20">
        <f ca="1">IFERROR(__xludf.DUMMYFUNCTION("""COMPUTED_VALUE"""),13000)</f>
        <v>13000</v>
      </c>
      <c r="L460" s="20">
        <f ca="1">IFERROR(__xludf.DUMMYFUNCTION("""COMPUTED_VALUE"""),13000)</f>
        <v>13000</v>
      </c>
      <c r="M460" s="20"/>
      <c r="N460" s="24">
        <f ca="1">IFERROR(__xludf.DUMMYFUNCTION("""COMPUTED_VALUE"""),78165.32)</f>
        <v>78165.320000000007</v>
      </c>
      <c r="O460" s="20"/>
      <c r="P460" s="24">
        <f ca="1">IFERROR(__xludf.DUMMYFUNCTION("""COMPUTED_VALUE"""),78165.32)</f>
        <v>78165.320000000007</v>
      </c>
      <c r="Q460" s="20"/>
      <c r="R460" s="20"/>
      <c r="S460" s="20"/>
      <c r="T460" s="20"/>
      <c r="U460" s="24">
        <f ca="1">IFERROR(__xludf.DUMMYFUNCTION("""COMPUTED_VALUE"""),12574.8699999999)</f>
        <v>12574.869999999901</v>
      </c>
      <c r="V460" s="24">
        <f ca="1">IFERROR(__xludf.DUMMYFUNCTION("""COMPUTED_VALUE"""),0)</f>
        <v>0</v>
      </c>
      <c r="W460" s="24">
        <f ca="1">IFERROR(__xludf.DUMMYFUNCTION("""COMPUTED_VALUE"""),3501.67999999999)</f>
        <v>3501.6799999999898</v>
      </c>
      <c r="X460" s="24">
        <f ca="1">IFERROR(__xludf.DUMMYFUNCTION("""COMPUTED_VALUE"""),0)</f>
        <v>0</v>
      </c>
      <c r="Y460" s="24">
        <f ca="1">IFERROR(__xludf.DUMMYFUNCTION("""COMPUTED_VALUE"""),9073.19)</f>
        <v>9073.19</v>
      </c>
      <c r="Z460" s="24">
        <f ca="1">IFERROR(__xludf.DUMMYFUNCTION("""COMPUTED_VALUE"""),0)</f>
        <v>0</v>
      </c>
      <c r="AA460" s="20" t="str">
        <f ca="1">IFERROR(__xludf.DUMMYFUNCTION("""COMPUTED_VALUE"""),"10 3 03 60300")</f>
        <v>10 3 03 60300</v>
      </c>
      <c r="AB460" s="20">
        <f ca="1">IFERROR(__xludf.DUMMYFUNCTION("""COMPUTED_VALUE"""),521)</f>
        <v>521</v>
      </c>
      <c r="AC460" s="20" t="str">
        <f ca="1">IFERROR(__xludf.DUMMYFUNCTION("""COMPUTED_VALUE"""),"не требуется")</f>
        <v>не требуется</v>
      </c>
      <c r="AD460" s="20"/>
      <c r="AE460" s="20"/>
      <c r="AF460" s="24">
        <f ca="1">IFERROR(__xludf.DUMMYFUNCTION("""COMPUTED_VALUE"""),126893.53)</f>
        <v>126893.53</v>
      </c>
      <c r="AG460" s="24">
        <f ca="1">IFERROR(__xludf.DUMMYFUNCTION("""COMPUTED_VALUE"""),0)</f>
        <v>0</v>
      </c>
      <c r="AH460" s="24">
        <f ca="1">IFERROR(__xludf.DUMMYFUNCTION("""COMPUTED_VALUE"""),114205.04)</f>
        <v>114205.04</v>
      </c>
      <c r="AI460" s="24">
        <f ca="1">IFERROR(__xludf.DUMMYFUNCTION("""COMPUTED_VALUE"""),0)</f>
        <v>0</v>
      </c>
      <c r="AJ460" s="24">
        <f ca="1">IFERROR(__xludf.DUMMYFUNCTION("""COMPUTED_VALUE"""),12688.49)</f>
        <v>12688.49</v>
      </c>
      <c r="AK460" s="24">
        <f ca="1">IFERROR(__xludf.DUMMYFUNCTION("""COMPUTED_VALUE"""),0)</f>
        <v>0</v>
      </c>
      <c r="AL460" s="24">
        <f ca="1">IFERROR(__xludf.DUMMYFUNCTION("""COMPUTED_VALUE"""),0)</f>
        <v>0</v>
      </c>
      <c r="AM460" s="20"/>
      <c r="AN460" s="24">
        <f ca="1">IFERROR(__xludf.DUMMYFUNCTION("""COMPUTED_VALUE"""),0)</f>
        <v>0</v>
      </c>
      <c r="AO460" s="24">
        <f ca="1">IFERROR(__xludf.DUMMYFUNCTION("""COMPUTED_VALUE"""),0)</f>
        <v>0</v>
      </c>
      <c r="AP460" s="24">
        <f ca="1">IFERROR(__xludf.DUMMYFUNCTION("""COMPUTED_VALUE"""),0)</f>
        <v>0</v>
      </c>
      <c r="AQ460" s="20"/>
      <c r="AR460" s="24">
        <f ca="1">IFERROR(__xludf.DUMMYFUNCTION("""COMPUTED_VALUE"""),36153.34)</f>
        <v>36153.339999999997</v>
      </c>
      <c r="AS460" s="20"/>
      <c r="AT460" s="24">
        <f ca="1">IFERROR(__xludf.DUMMYFUNCTION("""COMPUTED_VALUE"""),32538.04)</f>
        <v>32538.04</v>
      </c>
      <c r="AU460" s="24">
        <f ca="1">IFERROR(__xludf.DUMMYFUNCTION("""COMPUTED_VALUE"""),0)</f>
        <v>0</v>
      </c>
      <c r="AV460" s="24">
        <f ca="1">IFERROR(__xludf.DUMMYFUNCTION("""COMPUTED_VALUE"""),3615.3)</f>
        <v>3615.3</v>
      </c>
      <c r="AW460" s="20"/>
      <c r="AX460" s="24">
        <f ca="1">IFERROR(__xludf.DUMMYFUNCTION("""COMPUTED_VALUE"""),90740.19)</f>
        <v>90740.19</v>
      </c>
      <c r="AY460" s="20"/>
      <c r="AZ460" s="24">
        <f ca="1">IFERROR(__xludf.DUMMYFUNCTION("""COMPUTED_VALUE"""),81667)</f>
        <v>81667</v>
      </c>
      <c r="BA460" s="24">
        <f ca="1">IFERROR(__xludf.DUMMYFUNCTION("""COMPUTED_VALUE"""),0)</f>
        <v>0</v>
      </c>
      <c r="BB460" s="24">
        <f ca="1">IFERROR(__xludf.DUMMYFUNCTION("""COMPUTED_VALUE"""),9073.19)</f>
        <v>9073.19</v>
      </c>
      <c r="BC460" s="20"/>
      <c r="BD460" s="24">
        <f ca="1">IFERROR(__xludf.DUMMYFUNCTION("""COMPUTED_VALUE"""),0)</f>
        <v>0</v>
      </c>
      <c r="BE460" s="20"/>
      <c r="BF460" s="24">
        <f ca="1">IFERROR(__xludf.DUMMYFUNCTION("""COMPUTED_VALUE"""),0)</f>
        <v>0</v>
      </c>
      <c r="BG460" s="24">
        <f ca="1">IFERROR(__xludf.DUMMYFUNCTION("""COMPUTED_VALUE"""),0)</f>
        <v>0</v>
      </c>
      <c r="BH460" s="24">
        <f ca="1">IFERROR(__xludf.DUMMYFUNCTION("""COMPUTED_VALUE"""),0)</f>
        <v>0</v>
      </c>
      <c r="BI460" s="20"/>
      <c r="BJ460" s="24">
        <f ca="1">IFERROR(__xludf.DUMMYFUNCTION("""COMPUTED_VALUE"""),0)</f>
        <v>0</v>
      </c>
      <c r="BK460" s="20"/>
      <c r="BL460" s="24">
        <f ca="1">IFERROR(__xludf.DUMMYFUNCTION("""COMPUTED_VALUE"""),0)</f>
        <v>0</v>
      </c>
      <c r="BM460" s="24">
        <f ca="1">IFERROR(__xludf.DUMMYFUNCTION("""COMPUTED_VALUE"""),0)</f>
        <v>0</v>
      </c>
      <c r="BN460" s="24">
        <f ca="1">IFERROR(__xludf.DUMMYFUNCTION("""COMPUTED_VALUE"""),0)</f>
        <v>0</v>
      </c>
      <c r="BO460" s="20"/>
      <c r="BP460" s="24">
        <f ca="1">IFERROR(__xludf.DUMMYFUNCTION("""COMPUTED_VALUE"""),0)</f>
        <v>0</v>
      </c>
      <c r="BQ460" s="20"/>
      <c r="BR460" s="24">
        <f ca="1">IFERROR(__xludf.DUMMYFUNCTION("""COMPUTED_VALUE"""),0)</f>
        <v>0</v>
      </c>
      <c r="BS460" s="24">
        <f ca="1">IFERROR(__xludf.DUMMYFUNCTION("""COMPUTED_VALUE"""),0)</f>
        <v>0</v>
      </c>
      <c r="BT460" s="24">
        <f ca="1">IFERROR(__xludf.DUMMYFUNCTION("""COMPUTED_VALUE"""),0)</f>
        <v>0</v>
      </c>
      <c r="BU460" s="20"/>
      <c r="BV460" s="24">
        <f ca="1">IFERROR(__xludf.DUMMYFUNCTION("""COMPUTED_VALUE"""),0)</f>
        <v>0</v>
      </c>
      <c r="BW460" s="20"/>
      <c r="BX460" s="20"/>
      <c r="BY460" s="20"/>
      <c r="BZ460" s="20"/>
      <c r="CA460" s="20"/>
      <c r="CB460" s="20"/>
      <c r="CC460" s="20"/>
      <c r="CD460" s="20"/>
      <c r="CE460" s="20"/>
      <c r="CF460" s="20"/>
      <c r="CG460" s="20"/>
      <c r="CH460" s="20"/>
      <c r="CI460" s="20"/>
      <c r="CJ460" s="20"/>
      <c r="CK460" s="33">
        <f ca="1">IFERROR(__xludf.DUMMYFUNCTION("""COMPUTED_VALUE"""),43230)</f>
        <v>43230</v>
      </c>
      <c r="CL460" s="20" t="str">
        <f ca="1">IFERROR(__xludf.DUMMYFUNCTION("""COMPUTED_VALUE"""),"№ Ц-6-0263-18")</f>
        <v>№ Ц-6-0263-18</v>
      </c>
      <c r="CM460" s="25">
        <f ca="1">IFERROR(__xludf.DUMMYFUNCTION("""COMPUTED_VALUE"""),43752)</f>
        <v>43752</v>
      </c>
      <c r="CN460" s="20" t="str">
        <f ca="1">IFERROR(__xludf.DUMMYFUNCTION("""COMPUTED_VALUE"""),"0148200005419000536")</f>
        <v>0148200005419000536</v>
      </c>
      <c r="CO460" s="25">
        <f ca="1">IFERROR(__xludf.DUMMYFUNCTION("""COMPUTED_VALUE"""),43781)</f>
        <v>43781</v>
      </c>
      <c r="CP460" s="20" t="str">
        <f ca="1">IFERROR(__xludf.DUMMYFUNCTION("""COMPUTED_VALUE"""),"0148200005419000536")</f>
        <v>0148200005419000536</v>
      </c>
      <c r="CQ460" s="24">
        <f ca="1">IFERROR(__xludf.DUMMYFUNCTION("""COMPUTED_VALUE"""),125693037.23)</f>
        <v>125693037.23</v>
      </c>
      <c r="CR460" s="20" t="str">
        <f ca="1">IFERROR(__xludf.DUMMYFUNCTION("""COMPUTED_VALUE"""),"ООО ""СРС""")</f>
        <v>ООО "СРС"</v>
      </c>
      <c r="CS460" s="27" t="str">
        <f ca="1">IFERROR(__xludf.DUMMYFUNCTION("""COMPUTED_VALUE"""),"https://zakupki.gov.ru/epz/contract/contractCard/common-info.html?reestrNumber=3505000215419000329&amp;backUrl=c4527f9e-a71a-4214-9d5f-fc549ec5dcaf")</f>
        <v>https://zakupki.gov.ru/epz/contract/contractCard/common-info.html?reestrNumber=3505000215419000329&amp;backUrl=c4527f9e-a71a-4214-9d5f-fc549ec5dcaf</v>
      </c>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row>
    <row r="461" spans="1:123" ht="64.5" hidden="1" customHeight="1" x14ac:dyDescent="0.2">
      <c r="A461" s="19"/>
      <c r="B461" s="20" t="str">
        <f ca="1">IFERROR(__xludf.DUMMYFUNCTION("""COMPUTED_VALUE"""),"г.о. Электросталь ")</f>
        <v xml:space="preserve">г.о. Электросталь </v>
      </c>
      <c r="C46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1" s="24" t="str">
        <f ca="1">IFERROR(__xludf.DUMMYFUNCTION("""COMPUTED_VALUE"""),"МинЖКХ ")</f>
        <v xml:space="preserve">МинЖКХ </v>
      </c>
      <c r="E461" s="20" t="str">
        <f ca="1">IFERROR(__xludf.DUMMYFUNCTION("""COMPUTED_VALUE"""),"Капитальный ремонт теплообменников и насосного оборудования на ЦТП сельское поселение Степановское, село
Всеволодово, военный городок Ногинск-5
")</f>
        <v xml:space="preserve">Капитальный ремонт теплообменников и насосного оборудования на ЦТП сельское поселение Степановское, село
Всеволодово, военный городок Ногинск-5
</v>
      </c>
      <c r="F461" s="32" t="str">
        <f ca="1">IFERROR(__xludf.DUMMYFUNCTION("""COMPUTED_VALUE"""),"Сети")</f>
        <v>Сети</v>
      </c>
      <c r="G461" s="20">
        <f ca="1">IFERROR(__xludf.DUMMYFUNCTION("""COMPUTED_VALUE"""),2022)</f>
        <v>2022</v>
      </c>
      <c r="H461" s="20"/>
      <c r="I461" s="20">
        <f ca="1">IFERROR(__xludf.DUMMYFUNCTION("""COMPUTED_VALUE"""),0)</f>
        <v>0</v>
      </c>
      <c r="J461" s="20" t="str">
        <f ca="1">IFERROR(__xludf.DUMMYFUNCTION("""COMPUTED_VALUE"""),"Лимиты заблокированы МЭФ по причине Covid-19. 
 Финансирование перенесено на 2022 год
До 25.11.2020 направят письмо на увеличние бюджета лимитов на реализацию мероприятия.")</f>
        <v>Лимиты заблокированы МЭФ по причине Covid-19. 
 Финансирование перенесено на 2022 год
До 25.11.2020 направят письмо на увеличние бюджета лимитов на реализацию мероприятия.</v>
      </c>
      <c r="K461" s="20">
        <f ca="1">IFERROR(__xludf.DUMMYFUNCTION("""COMPUTED_VALUE"""),3133)</f>
        <v>3133</v>
      </c>
      <c r="L461" s="20">
        <f ca="1">IFERROR(__xludf.DUMMYFUNCTION("""COMPUTED_VALUE"""),3133)</f>
        <v>3133</v>
      </c>
      <c r="M461" s="20"/>
      <c r="N461" s="24">
        <f ca="1">IFERROR(__xludf.DUMMYFUNCTION("""COMPUTED_VALUE"""),0)</f>
        <v>0</v>
      </c>
      <c r="O461" s="20"/>
      <c r="P461" s="24">
        <f ca="1">IFERROR(__xludf.DUMMYFUNCTION("""COMPUTED_VALUE"""),0)</f>
        <v>0</v>
      </c>
      <c r="Q461" s="20"/>
      <c r="R461" s="20"/>
      <c r="S461" s="20"/>
      <c r="T461" s="20"/>
      <c r="U461" s="24">
        <f ca="1">IFERROR(__xludf.DUMMYFUNCTION("""COMPUTED_VALUE"""),0)</f>
        <v>0</v>
      </c>
      <c r="V461" s="24">
        <f ca="1">IFERROR(__xludf.DUMMYFUNCTION("""COMPUTED_VALUE"""),0)</f>
        <v>0</v>
      </c>
      <c r="W461" s="24">
        <f ca="1">IFERROR(__xludf.DUMMYFUNCTION("""COMPUTED_VALUE"""),0)</f>
        <v>0</v>
      </c>
      <c r="X461" s="24">
        <f ca="1">IFERROR(__xludf.DUMMYFUNCTION("""COMPUTED_VALUE"""),0)</f>
        <v>0</v>
      </c>
      <c r="Y461" s="24">
        <f ca="1">IFERROR(__xludf.DUMMYFUNCTION("""COMPUTED_VALUE"""),0)</f>
        <v>0</v>
      </c>
      <c r="Z461" s="24">
        <f ca="1">IFERROR(__xludf.DUMMYFUNCTION("""COMPUTED_VALUE"""),0)</f>
        <v>0</v>
      </c>
      <c r="AA461" s="20"/>
      <c r="AB461" s="20"/>
      <c r="AC461" s="20"/>
      <c r="AD461" s="20"/>
      <c r="AE461" s="20"/>
      <c r="AF461" s="24">
        <f ca="1">IFERROR(__xludf.DUMMYFUNCTION("""COMPUTED_VALUE"""),10898.03)</f>
        <v>10898.03</v>
      </c>
      <c r="AG461" s="24">
        <f ca="1">IFERROR(__xludf.DUMMYFUNCTION("""COMPUTED_VALUE"""),0)</f>
        <v>0</v>
      </c>
      <c r="AH461" s="24">
        <f ca="1">IFERROR(__xludf.DUMMYFUNCTION("""COMPUTED_VALUE"""),10353)</f>
        <v>10353</v>
      </c>
      <c r="AI461" s="24">
        <f ca="1">IFERROR(__xludf.DUMMYFUNCTION("""COMPUTED_VALUE"""),0)</f>
        <v>0</v>
      </c>
      <c r="AJ461" s="24">
        <f ca="1">IFERROR(__xludf.DUMMYFUNCTION("""COMPUTED_VALUE"""),545.03)</f>
        <v>545.03</v>
      </c>
      <c r="AK461" s="24">
        <f ca="1">IFERROR(__xludf.DUMMYFUNCTION("""COMPUTED_VALUE"""),0)</f>
        <v>0</v>
      </c>
      <c r="AL461" s="24">
        <f ca="1">IFERROR(__xludf.DUMMYFUNCTION("""COMPUTED_VALUE"""),0)</f>
        <v>0</v>
      </c>
      <c r="AM461" s="20"/>
      <c r="AN461" s="24">
        <f ca="1">IFERROR(__xludf.DUMMYFUNCTION("""COMPUTED_VALUE"""),0)</f>
        <v>0</v>
      </c>
      <c r="AO461" s="24">
        <f ca="1">IFERROR(__xludf.DUMMYFUNCTION("""COMPUTED_VALUE"""),0)</f>
        <v>0</v>
      </c>
      <c r="AP461" s="24">
        <f ca="1">IFERROR(__xludf.DUMMYFUNCTION("""COMPUTED_VALUE"""),0)</f>
        <v>0</v>
      </c>
      <c r="AQ461" s="20"/>
      <c r="AR461" s="24">
        <f ca="1">IFERROR(__xludf.DUMMYFUNCTION("""COMPUTED_VALUE"""),0)</f>
        <v>0</v>
      </c>
      <c r="AS461" s="20"/>
      <c r="AT461" s="24">
        <f ca="1">IFERROR(__xludf.DUMMYFUNCTION("""COMPUTED_VALUE"""),0)</f>
        <v>0</v>
      </c>
      <c r="AU461" s="24">
        <f ca="1">IFERROR(__xludf.DUMMYFUNCTION("""COMPUTED_VALUE"""),0)</f>
        <v>0</v>
      </c>
      <c r="AV461" s="24">
        <f ca="1">IFERROR(__xludf.DUMMYFUNCTION("""COMPUTED_VALUE"""),0)</f>
        <v>0</v>
      </c>
      <c r="AW461" s="20"/>
      <c r="AX461" s="24">
        <f ca="1">IFERROR(__xludf.DUMMYFUNCTION("""COMPUTED_VALUE"""),0)</f>
        <v>0</v>
      </c>
      <c r="AY461" s="20"/>
      <c r="AZ461" s="24">
        <f ca="1">IFERROR(__xludf.DUMMYFUNCTION("""COMPUTED_VALUE"""),0)</f>
        <v>0</v>
      </c>
      <c r="BA461" s="24">
        <f ca="1">IFERROR(__xludf.DUMMYFUNCTION("""COMPUTED_VALUE"""),0)</f>
        <v>0</v>
      </c>
      <c r="BB461" s="24">
        <f ca="1">IFERROR(__xludf.DUMMYFUNCTION("""COMPUTED_VALUE"""),0)</f>
        <v>0</v>
      </c>
      <c r="BC461" s="20"/>
      <c r="BD461" s="24">
        <f ca="1">IFERROR(__xludf.DUMMYFUNCTION("""COMPUTED_VALUE"""),0)</f>
        <v>0</v>
      </c>
      <c r="BE461" s="20"/>
      <c r="BF461" s="24">
        <f ca="1">IFERROR(__xludf.DUMMYFUNCTION("""COMPUTED_VALUE"""),0)</f>
        <v>0</v>
      </c>
      <c r="BG461" s="24">
        <f ca="1">IFERROR(__xludf.DUMMYFUNCTION("""COMPUTED_VALUE"""),0)</f>
        <v>0</v>
      </c>
      <c r="BH461" s="24">
        <f ca="1">IFERROR(__xludf.DUMMYFUNCTION("""COMPUTED_VALUE"""),0)</f>
        <v>0</v>
      </c>
      <c r="BI461" s="20"/>
      <c r="BJ461" s="24">
        <f ca="1">IFERROR(__xludf.DUMMYFUNCTION("""COMPUTED_VALUE"""),10898.03)</f>
        <v>10898.03</v>
      </c>
      <c r="BK461" s="20"/>
      <c r="BL461" s="24">
        <f ca="1">IFERROR(__xludf.DUMMYFUNCTION("""COMPUTED_VALUE"""),10353)</f>
        <v>10353</v>
      </c>
      <c r="BM461" s="24">
        <f ca="1">IFERROR(__xludf.DUMMYFUNCTION("""COMPUTED_VALUE"""),0)</f>
        <v>0</v>
      </c>
      <c r="BN461" s="24">
        <f ca="1">IFERROR(__xludf.DUMMYFUNCTION("""COMPUTED_VALUE"""),545.03)</f>
        <v>545.03</v>
      </c>
      <c r="BO461" s="20"/>
      <c r="BP461" s="24">
        <f ca="1">IFERROR(__xludf.DUMMYFUNCTION("""COMPUTED_VALUE"""),0)</f>
        <v>0</v>
      </c>
      <c r="BQ461" s="20"/>
      <c r="BR461" s="24">
        <f ca="1">IFERROR(__xludf.DUMMYFUNCTION("""COMPUTED_VALUE"""),0)</f>
        <v>0</v>
      </c>
      <c r="BS461" s="24">
        <f ca="1">IFERROR(__xludf.DUMMYFUNCTION("""COMPUTED_VALUE"""),0)</f>
        <v>0</v>
      </c>
      <c r="BT461" s="24">
        <f ca="1">IFERROR(__xludf.DUMMYFUNCTION("""COMPUTED_VALUE"""),0)</f>
        <v>0</v>
      </c>
      <c r="BU461" s="20"/>
      <c r="BV461" s="24">
        <f ca="1">IFERROR(__xludf.DUMMYFUNCTION("""COMPUTED_VALUE"""),0)</f>
        <v>0</v>
      </c>
      <c r="BW461" s="20"/>
      <c r="BX461" s="20"/>
      <c r="BY461" s="20"/>
      <c r="BZ461" s="20"/>
      <c r="CA461" s="20"/>
      <c r="CB461" s="20"/>
      <c r="CC461" s="20"/>
      <c r="CD461" s="20"/>
      <c r="CE461" s="20"/>
      <c r="CF461" s="20"/>
      <c r="CG461" s="20"/>
      <c r="CH461" s="20"/>
      <c r="CI461" s="20"/>
      <c r="CJ461" s="20"/>
      <c r="CK461" s="20"/>
      <c r="CL461" s="20"/>
      <c r="CM461" s="20"/>
      <c r="CN461" s="20"/>
      <c r="CO461" s="20"/>
      <c r="CP461" s="20"/>
      <c r="CQ461" s="20"/>
      <c r="CR461" s="20"/>
      <c r="CS461" s="20"/>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row>
    <row r="462" spans="1:123" ht="64.5" hidden="1" customHeight="1" x14ac:dyDescent="0.2">
      <c r="A462" s="19"/>
      <c r="B462" s="20" t="str">
        <f ca="1">IFERROR(__xludf.DUMMYFUNCTION("""COMPUTED_VALUE""")," г.о. Электросталь")</f>
        <v xml:space="preserve"> г.о. Электросталь</v>
      </c>
      <c r="C46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2" s="24" t="str">
        <f ca="1">IFERROR(__xludf.DUMMYFUNCTION("""COMPUTED_VALUE"""),"Минкульт")</f>
        <v>Минкульт</v>
      </c>
      <c r="E462" s="20" t="str">
        <f ca="1">IFERROR(__xludf.DUMMYFUNCTION("""COMPUTED_VALUE"""),"Капитальный ремонт и техническое переоснащение здания Дома культуры «Всеволодово» ф-л МБУК «СДК «Елизаветино» д. Всеволодово, д. 90, военный городок Ногинск-5")</f>
        <v>Капитальный ремонт и техническое переоснащение здания Дома культуры «Всеволодово» ф-л МБУК «СДК «Елизаветино» д. Всеволодово, д. 90, военный городок Ногинск-5</v>
      </c>
      <c r="F462" s="32"/>
      <c r="G462" s="20" t="str">
        <f ca="1">IFERROR(__xludf.DUMMYFUNCTION("""COMPUTED_VALUE"""),"2018-2020")</f>
        <v>2018-2020</v>
      </c>
      <c r="H462" s="20"/>
      <c r="I462" s="20"/>
      <c r="J462" s="20"/>
      <c r="K462" s="20"/>
      <c r="L462" s="20"/>
      <c r="M462" s="20"/>
      <c r="N462" s="20">
        <f ca="1">IFERROR(__xludf.DUMMYFUNCTION("""COMPUTED_VALUE"""),0)</f>
        <v>0</v>
      </c>
      <c r="O462" s="20"/>
      <c r="P462" s="20"/>
      <c r="Q462" s="20"/>
      <c r="R462" s="20"/>
      <c r="S462" s="20"/>
      <c r="T462" s="20"/>
      <c r="U462" s="24">
        <f ca="1">IFERROR(__xludf.DUMMYFUNCTION("""COMPUTED_VALUE"""),45452.93)</f>
        <v>45452.93</v>
      </c>
      <c r="V462" s="24">
        <f ca="1">IFERROR(__xludf.DUMMYFUNCTION("""COMPUTED_VALUE"""),0)</f>
        <v>0</v>
      </c>
      <c r="W462" s="24">
        <f ca="1">IFERROR(__xludf.DUMMYFUNCTION("""COMPUTED_VALUE"""),43181)</f>
        <v>43181</v>
      </c>
      <c r="X462" s="24">
        <f ca="1">IFERROR(__xludf.DUMMYFUNCTION("""COMPUTED_VALUE"""),0)</f>
        <v>0</v>
      </c>
      <c r="Y462" s="24">
        <f ca="1">IFERROR(__xludf.DUMMYFUNCTION("""COMPUTED_VALUE"""),2271.93)</f>
        <v>2271.9299999999998</v>
      </c>
      <c r="Z462" s="24">
        <f ca="1">IFERROR(__xludf.DUMMYFUNCTION("""COMPUTED_VALUE"""),0)</f>
        <v>0</v>
      </c>
      <c r="AA462" s="20"/>
      <c r="AB462" s="20"/>
      <c r="AC462" s="20"/>
      <c r="AD462" s="20"/>
      <c r="AE462" s="20"/>
      <c r="AF462" s="24">
        <f ca="1">IFERROR(__xludf.DUMMYFUNCTION("""COMPUTED_VALUE"""),105610.319999999)</f>
        <v>105610.319999999</v>
      </c>
      <c r="AG462" s="24">
        <f ca="1">IFERROR(__xludf.DUMMYFUNCTION("""COMPUTED_VALUE"""),0)</f>
        <v>0</v>
      </c>
      <c r="AH462" s="24">
        <f ca="1">IFERROR(__xludf.DUMMYFUNCTION("""COMPUTED_VALUE"""),99864.93)</f>
        <v>99864.93</v>
      </c>
      <c r="AI462" s="24">
        <f ca="1">IFERROR(__xludf.DUMMYFUNCTION("""COMPUTED_VALUE"""),0)</f>
        <v>0</v>
      </c>
      <c r="AJ462" s="24">
        <f ca="1">IFERROR(__xludf.DUMMYFUNCTION("""COMPUTED_VALUE"""),5745.38999999999)</f>
        <v>5745.3899999999903</v>
      </c>
      <c r="AK462" s="24">
        <f ca="1">IFERROR(__xludf.DUMMYFUNCTION("""COMPUTED_VALUE"""),0)</f>
        <v>0</v>
      </c>
      <c r="AL462" s="24">
        <f ca="1">IFERROR(__xludf.DUMMYFUNCTION("""COMPUTED_VALUE"""),490.1)</f>
        <v>490.1</v>
      </c>
      <c r="AM462" s="20"/>
      <c r="AN462" s="24">
        <f ca="1">IFERROR(__xludf.DUMMYFUNCTION("""COMPUTED_VALUE"""),0)</f>
        <v>0</v>
      </c>
      <c r="AO462" s="24">
        <f ca="1">IFERROR(__xludf.DUMMYFUNCTION("""COMPUTED_VALUE"""),0)</f>
        <v>0</v>
      </c>
      <c r="AP462" s="24">
        <f ca="1">IFERROR(__xludf.DUMMYFUNCTION("""COMPUTED_VALUE"""),490.1)</f>
        <v>490.1</v>
      </c>
      <c r="AQ462" s="20"/>
      <c r="AR462" s="24">
        <f ca="1">IFERROR(__xludf.DUMMYFUNCTION("""COMPUTED_VALUE"""),59667.29)</f>
        <v>59667.29</v>
      </c>
      <c r="AS462" s="20"/>
      <c r="AT462" s="24">
        <f ca="1">IFERROR(__xludf.DUMMYFUNCTION("""COMPUTED_VALUE"""),56683.93)</f>
        <v>56683.93</v>
      </c>
      <c r="AU462" s="24">
        <f ca="1">IFERROR(__xludf.DUMMYFUNCTION("""COMPUTED_VALUE"""),0)</f>
        <v>0</v>
      </c>
      <c r="AV462" s="24">
        <f ca="1">IFERROR(__xludf.DUMMYFUNCTION("""COMPUTED_VALUE"""),2983.36)</f>
        <v>2983.36</v>
      </c>
      <c r="AW462" s="20"/>
      <c r="AX462" s="24">
        <f ca="1">IFERROR(__xludf.DUMMYFUNCTION("""COMPUTED_VALUE"""),45452.93)</f>
        <v>45452.93</v>
      </c>
      <c r="AY462" s="20"/>
      <c r="AZ462" s="24">
        <f ca="1">IFERROR(__xludf.DUMMYFUNCTION("""COMPUTED_VALUE"""),43181)</f>
        <v>43181</v>
      </c>
      <c r="BA462" s="24">
        <f ca="1">IFERROR(__xludf.DUMMYFUNCTION("""COMPUTED_VALUE"""),0)</f>
        <v>0</v>
      </c>
      <c r="BB462" s="24">
        <f ca="1">IFERROR(__xludf.DUMMYFUNCTION("""COMPUTED_VALUE"""),2271.93)</f>
        <v>2271.9299999999998</v>
      </c>
      <c r="BC462" s="20"/>
      <c r="BD462" s="24">
        <f ca="1">IFERROR(__xludf.DUMMYFUNCTION("""COMPUTED_VALUE"""),0)</f>
        <v>0</v>
      </c>
      <c r="BE462" s="20"/>
      <c r="BF462" s="24">
        <f ca="1">IFERROR(__xludf.DUMMYFUNCTION("""COMPUTED_VALUE"""),0)</f>
        <v>0</v>
      </c>
      <c r="BG462" s="24">
        <f ca="1">IFERROR(__xludf.DUMMYFUNCTION("""COMPUTED_VALUE"""),0)</f>
        <v>0</v>
      </c>
      <c r="BH462" s="24">
        <f ca="1">IFERROR(__xludf.DUMMYFUNCTION("""COMPUTED_VALUE"""),0)</f>
        <v>0</v>
      </c>
      <c r="BI462" s="20"/>
      <c r="BJ462" s="24">
        <f ca="1">IFERROR(__xludf.DUMMYFUNCTION("""COMPUTED_VALUE"""),0)</f>
        <v>0</v>
      </c>
      <c r="BK462" s="20"/>
      <c r="BL462" s="24">
        <f ca="1">IFERROR(__xludf.DUMMYFUNCTION("""COMPUTED_VALUE"""),0)</f>
        <v>0</v>
      </c>
      <c r="BM462" s="24">
        <f ca="1">IFERROR(__xludf.DUMMYFUNCTION("""COMPUTED_VALUE"""),0)</f>
        <v>0</v>
      </c>
      <c r="BN462" s="24">
        <f ca="1">IFERROR(__xludf.DUMMYFUNCTION("""COMPUTED_VALUE"""),0)</f>
        <v>0</v>
      </c>
      <c r="BO462" s="20"/>
      <c r="BP462" s="24">
        <f ca="1">IFERROR(__xludf.DUMMYFUNCTION("""COMPUTED_VALUE"""),0)</f>
        <v>0</v>
      </c>
      <c r="BQ462" s="20"/>
      <c r="BR462" s="24">
        <f ca="1">IFERROR(__xludf.DUMMYFUNCTION("""COMPUTED_VALUE"""),0)</f>
        <v>0</v>
      </c>
      <c r="BS462" s="24">
        <f ca="1">IFERROR(__xludf.DUMMYFUNCTION("""COMPUTED_VALUE"""),0)</f>
        <v>0</v>
      </c>
      <c r="BT462" s="24">
        <f ca="1">IFERROR(__xludf.DUMMYFUNCTION("""COMPUTED_VALUE"""),0)</f>
        <v>0</v>
      </c>
      <c r="BU462" s="20"/>
      <c r="BV462" s="24">
        <f ca="1">IFERROR(__xludf.DUMMYFUNCTION("""COMPUTED_VALUE"""),0)</f>
        <v>0</v>
      </c>
      <c r="BW462" s="20"/>
      <c r="BX462" s="20"/>
      <c r="BY462" s="20"/>
      <c r="BZ462" s="20"/>
      <c r="CA462" s="20"/>
      <c r="CB462" s="20"/>
      <c r="CC462" s="20"/>
      <c r="CD462" s="20"/>
      <c r="CE462" s="20"/>
      <c r="CF462" s="20"/>
      <c r="CG462" s="20"/>
      <c r="CH462" s="20"/>
      <c r="CI462" s="20"/>
      <c r="CJ462" s="20"/>
      <c r="CK462" s="20"/>
      <c r="CL462" s="20"/>
      <c r="CM462" s="20"/>
      <c r="CN462" s="20"/>
      <c r="CO462" s="20"/>
      <c r="CP462" s="20"/>
      <c r="CQ462" s="20"/>
      <c r="CR462" s="20"/>
      <c r="CS462" s="20"/>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row>
    <row r="463" spans="1:123" ht="64.5" customHeight="1" x14ac:dyDescent="0.2">
      <c r="A463" s="19"/>
      <c r="B463" s="20" t="str">
        <f ca="1">IFERROR(__xludf.DUMMYFUNCTION("""COMPUTED_VALUE"""),"г.о. Электросталь ")</f>
        <v xml:space="preserve">г.о. Электросталь </v>
      </c>
      <c r="C463"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63" s="24" t="str">
        <f ca="1">IFERROR(__xludf.DUMMYFUNCTION("""COMPUTED_VALUE"""),"МинЖКХ ")</f>
        <v xml:space="preserve">МинЖКХ </v>
      </c>
      <c r="E463" s="20" t="str">
        <f ca="1">IFERROR(__xludf.DUMMYFUNCTION("""COMPUTED_VALUE"""),"Реконструкция очистных сооружений, в/г Ногинск-5, д. Всеволодово, Электросталь г.о. ")</f>
        <v xml:space="preserve">Реконструкция очистных сооружений, в/г Ногинск-5, д. Всеволодово, Электросталь г.о. </v>
      </c>
      <c r="F463" s="40" t="str">
        <f ca="1">IFERROR(__xludf.DUMMYFUNCTION("""COMPUTED_VALUE"""),"ОС")</f>
        <v>ОС</v>
      </c>
      <c r="G463" s="41" t="str">
        <f ca="1">IFERROR(__xludf.DUMMYFUNCTION("""COMPUTED_VALUE"""),"2019-2022")</f>
        <v>2019-2022</v>
      </c>
      <c r="H463" s="24" t="str">
        <f ca="1">IFERROR(__xludf.DUMMYFUNCTION("""COMPUTED_VALUE"""),"ПИР")</f>
        <v>ПИР</v>
      </c>
      <c r="I463" s="20">
        <f ca="1">IFERROR(__xludf.DUMMYFUNCTION("""COMPUTED_VALUE"""),100)</f>
        <v>100</v>
      </c>
      <c r="J463" s="20" t="str">
        <f ca="1">IFERROR(__xludf.DUMMYFUNCTION("""COMPUTED_VALUE"""),"Положительное заключение МОГЭ от 23.12.2020
 Дата ввода объекта 2022 год
24.12.2020 направлена заявка на сумму 17 584 тыс руб
(Ожидается выход из МОГЭ с потенциальным увеличением бюджета на реализацию мероприятия)")</f>
        <v>Положительное заключение МОГЭ от 23.12.2020
 Дата ввода объекта 2022 год
24.12.2020 направлена заявка на сумму 17 584 тыс руб
(Ожидается выход из МОГЭ с потенциальным увеличением бюджета на реализацию мероприятия)</v>
      </c>
      <c r="K463" s="20">
        <f ca="1">IFERROR(__xludf.DUMMYFUNCTION("""COMPUTED_VALUE"""),3133)</f>
        <v>3133</v>
      </c>
      <c r="L463" s="20">
        <f ca="1">IFERROR(__xludf.DUMMYFUNCTION("""COMPUTED_VALUE"""),3133)</f>
        <v>3133</v>
      </c>
      <c r="M463" s="20"/>
      <c r="N463" s="24">
        <f ca="1">IFERROR(__xludf.DUMMYFUNCTION("""COMPUTED_VALUE"""),17584)</f>
        <v>17584</v>
      </c>
      <c r="O463" s="20"/>
      <c r="P463" s="24">
        <f ca="1">IFERROR(__xludf.DUMMYFUNCTION("""COMPUTED_VALUE"""),0)</f>
        <v>0</v>
      </c>
      <c r="Q463" s="24">
        <f ca="1">IFERROR(__xludf.DUMMYFUNCTION("""COMPUTED_VALUE"""),17584)</f>
        <v>17584</v>
      </c>
      <c r="R463" s="20"/>
      <c r="S463" s="20"/>
      <c r="T463" s="20"/>
      <c r="U463" s="24">
        <f ca="1">IFERROR(__xludf.DUMMYFUNCTION("""COMPUTED_VALUE"""),925.470000000001)</f>
        <v>925.47000000000105</v>
      </c>
      <c r="V463" s="24">
        <f ca="1">IFERROR(__xludf.DUMMYFUNCTION("""COMPUTED_VALUE"""),0)</f>
        <v>0</v>
      </c>
      <c r="W463" s="24">
        <f ca="1">IFERROR(__xludf.DUMMYFUNCTION("""COMPUTED_VALUE"""),0)</f>
        <v>0</v>
      </c>
      <c r="X463" s="24">
        <f ca="1">IFERROR(__xludf.DUMMYFUNCTION("""COMPUTED_VALUE"""),0)</f>
        <v>0</v>
      </c>
      <c r="Y463" s="24">
        <f ca="1">IFERROR(__xludf.DUMMYFUNCTION("""COMPUTED_VALUE"""),925.47)</f>
        <v>925.47</v>
      </c>
      <c r="Z463" s="24">
        <f ca="1">IFERROR(__xludf.DUMMYFUNCTION("""COMPUTED_VALUE"""),0)</f>
        <v>0</v>
      </c>
      <c r="AA463" s="20"/>
      <c r="AB463" s="20"/>
      <c r="AC463" s="20"/>
      <c r="AD463" s="20"/>
      <c r="AE463" s="20"/>
      <c r="AF463" s="24">
        <f ca="1">IFERROR(__xludf.DUMMYFUNCTION("""COMPUTED_VALUE"""),220974.18)</f>
        <v>220974.18</v>
      </c>
      <c r="AG463" s="24">
        <f ca="1">IFERROR(__xludf.DUMMYFUNCTION("""COMPUTED_VALUE"""),0)</f>
        <v>0</v>
      </c>
      <c r="AH463" s="24">
        <f ca="1">IFERROR(__xludf.DUMMYFUNCTION("""COMPUTED_VALUE"""),191416)</f>
        <v>191416</v>
      </c>
      <c r="AI463" s="24">
        <f ca="1">IFERROR(__xludf.DUMMYFUNCTION("""COMPUTED_VALUE"""),17584)</f>
        <v>17584</v>
      </c>
      <c r="AJ463" s="24">
        <f ca="1">IFERROR(__xludf.DUMMYFUNCTION("""COMPUTED_VALUE"""),11974.18)</f>
        <v>11974.18</v>
      </c>
      <c r="AK463" s="24">
        <f ca="1">IFERROR(__xludf.DUMMYFUNCTION("""COMPUTED_VALUE"""),0)</f>
        <v>0</v>
      </c>
      <c r="AL463" s="24">
        <f ca="1">IFERROR(__xludf.DUMMYFUNCTION("""COMPUTED_VALUE"""),0)</f>
        <v>0</v>
      </c>
      <c r="AM463" s="20"/>
      <c r="AN463" s="24">
        <f ca="1">IFERROR(__xludf.DUMMYFUNCTION("""COMPUTED_VALUE"""),0)</f>
        <v>0</v>
      </c>
      <c r="AO463" s="24">
        <f ca="1">IFERROR(__xludf.DUMMYFUNCTION("""COMPUTED_VALUE"""),0)</f>
        <v>0</v>
      </c>
      <c r="AP463" s="24">
        <f ca="1">IFERROR(__xludf.DUMMYFUNCTION("""COMPUTED_VALUE"""),0)</f>
        <v>0</v>
      </c>
      <c r="AQ463" s="20"/>
      <c r="AR463" s="24">
        <f ca="1">IFERROR(__xludf.DUMMYFUNCTION("""COMPUTED_VALUE"""),974.18)</f>
        <v>974.18</v>
      </c>
      <c r="AS463" s="20"/>
      <c r="AT463" s="24">
        <f ca="1">IFERROR(__xludf.DUMMYFUNCTION("""COMPUTED_VALUE"""),0)</f>
        <v>0</v>
      </c>
      <c r="AU463" s="24">
        <f ca="1">IFERROR(__xludf.DUMMYFUNCTION("""COMPUTED_VALUE"""),0)</f>
        <v>0</v>
      </c>
      <c r="AV463" s="24">
        <f ca="1">IFERROR(__xludf.DUMMYFUNCTION("""COMPUTED_VALUE"""),974.18)</f>
        <v>974.18</v>
      </c>
      <c r="AW463" s="20"/>
      <c r="AX463" s="24">
        <f ca="1">IFERROR(__xludf.DUMMYFUNCTION("""COMPUTED_VALUE"""),18509.47)</f>
        <v>18509.47</v>
      </c>
      <c r="AY463" s="20"/>
      <c r="AZ463" s="24">
        <f ca="1">IFERROR(__xludf.DUMMYFUNCTION("""COMPUTED_VALUE"""),0)</f>
        <v>0</v>
      </c>
      <c r="BA463" s="24">
        <f ca="1">IFERROR(__xludf.DUMMYFUNCTION("""COMPUTED_VALUE"""),17584)</f>
        <v>17584</v>
      </c>
      <c r="BB463" s="24">
        <f ca="1">IFERROR(__xludf.DUMMYFUNCTION("""COMPUTED_VALUE"""),925.47)</f>
        <v>925.47</v>
      </c>
      <c r="BC463" s="20"/>
      <c r="BD463" s="24">
        <f ca="1">IFERROR(__xludf.DUMMYFUNCTION("""COMPUTED_VALUE"""),51490.53)</f>
        <v>51490.53</v>
      </c>
      <c r="BE463" s="20"/>
      <c r="BF463" s="24">
        <f ca="1">IFERROR(__xludf.DUMMYFUNCTION("""COMPUTED_VALUE"""),48916)</f>
        <v>48916</v>
      </c>
      <c r="BG463" s="24">
        <f ca="1">IFERROR(__xludf.DUMMYFUNCTION("""COMPUTED_VALUE"""),0)</f>
        <v>0</v>
      </c>
      <c r="BH463" s="24">
        <f ca="1">IFERROR(__xludf.DUMMYFUNCTION("""COMPUTED_VALUE"""),2574.52999999999)</f>
        <v>2574.5299999999902</v>
      </c>
      <c r="BI463" s="20"/>
      <c r="BJ463" s="24">
        <f ca="1">IFERROR(__xludf.DUMMYFUNCTION("""COMPUTED_VALUE"""),150000)</f>
        <v>150000</v>
      </c>
      <c r="BK463" s="20"/>
      <c r="BL463" s="24">
        <f ca="1">IFERROR(__xludf.DUMMYFUNCTION("""COMPUTED_VALUE"""),142500)</f>
        <v>142500</v>
      </c>
      <c r="BM463" s="24">
        <f ca="1">IFERROR(__xludf.DUMMYFUNCTION("""COMPUTED_VALUE"""),0)</f>
        <v>0</v>
      </c>
      <c r="BN463" s="24">
        <f ca="1">IFERROR(__xludf.DUMMYFUNCTION("""COMPUTED_VALUE"""),7500)</f>
        <v>7500</v>
      </c>
      <c r="BO463" s="20"/>
      <c r="BP463" s="24">
        <f ca="1">IFERROR(__xludf.DUMMYFUNCTION("""COMPUTED_VALUE"""),0)</f>
        <v>0</v>
      </c>
      <c r="BQ463" s="20"/>
      <c r="BR463" s="24">
        <f ca="1">IFERROR(__xludf.DUMMYFUNCTION("""COMPUTED_VALUE"""),0)</f>
        <v>0</v>
      </c>
      <c r="BS463" s="24">
        <f ca="1">IFERROR(__xludf.DUMMYFUNCTION("""COMPUTED_VALUE"""),0)</f>
        <v>0</v>
      </c>
      <c r="BT463" s="24">
        <f ca="1">IFERROR(__xludf.DUMMYFUNCTION("""COMPUTED_VALUE"""),0)</f>
        <v>0</v>
      </c>
      <c r="BU463" s="20"/>
      <c r="BV463" s="24">
        <f ca="1">IFERROR(__xludf.DUMMYFUNCTION("""COMPUTED_VALUE"""),0)</f>
        <v>0</v>
      </c>
      <c r="BW463" s="20"/>
      <c r="BX463" s="20"/>
      <c r="BY463" s="20"/>
      <c r="BZ463" s="20"/>
      <c r="CA463" s="20"/>
      <c r="CB463" s="26" t="str">
        <f ca="1">IFERROR(__xludf.DUMMYFUNCTION("""COMPUTED_VALUE"""),"заключен")</f>
        <v>заключен</v>
      </c>
      <c r="CC463" s="26">
        <f ca="1">IFERROR(__xludf.DUMMYFUNCTION("""COMPUTED_VALUE"""),43707)</f>
        <v>43707</v>
      </c>
      <c r="CD463" s="20" t="str">
        <f ca="1">IFERROR(__xludf.DUMMYFUNCTION("""COMPUTED_VALUE"""),"0848600005319000258")</f>
        <v>0848600005319000258</v>
      </c>
      <c r="CE463" s="25">
        <f ca="1">IFERROR(__xludf.DUMMYFUNCTION("""COMPUTED_VALUE"""),43794)</f>
        <v>43794</v>
      </c>
      <c r="CF463" s="20" t="str">
        <f ca="1">IFERROR(__xludf.DUMMYFUNCTION("""COMPUTED_VALUE"""),"071/2019")</f>
        <v>071/2019</v>
      </c>
      <c r="CG463" s="20" t="str">
        <f ca="1">IFERROR(__xludf.DUMMYFUNCTION("""COMPUTED_VALUE"""),"19 483 662,00")</f>
        <v>19 483 662,00</v>
      </c>
      <c r="CH463" s="20" t="str">
        <f ca="1">IFERROR(__xludf.DUMMYFUNCTION("""COMPUTED_VALUE"""),"ООО ""Регион-Инвест""")</f>
        <v>ООО "Регион-Инвест"</v>
      </c>
      <c r="CI463" s="27" t="str">
        <f ca="1">IFERROR(__xludf.DUMMYFUNCTION("""COMPUTED_VALUE"""),"https://zakupki.gov.ru/epz/contract/contractCard/common-info.html?reestrNumber=3505305293219000029&amp;backUrl=279a23a4-2028-4d95-a9dd-93636aa98a0f")</f>
        <v>https://zakupki.gov.ru/epz/contract/contractCard/common-info.html?reestrNumber=3505305293219000029&amp;backUrl=279a23a4-2028-4d95-a9dd-93636aa98a0f</v>
      </c>
      <c r="CJ463" s="20"/>
      <c r="CK463" s="33">
        <f ca="1">IFERROR(__xludf.DUMMYFUNCTION("""COMPUTED_VALUE"""),44150)</f>
        <v>44150</v>
      </c>
      <c r="CL463" s="20" t="str">
        <f ca="1">IFERROR(__xludf.DUMMYFUNCTION("""COMPUTED_VALUE"""),"—")</f>
        <v>—</v>
      </c>
      <c r="CM463" s="20"/>
      <c r="CN463" s="20"/>
      <c r="CO463" s="20"/>
      <c r="CP463" s="20"/>
      <c r="CQ463" s="20"/>
      <c r="CR463" s="20"/>
      <c r="CS463" s="20"/>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row>
    <row r="464" spans="1:123" ht="64.5" hidden="1" customHeight="1" x14ac:dyDescent="0.2">
      <c r="A464" s="19"/>
      <c r="B464" s="20" t="str">
        <f ca="1">IFERROR(__xludf.DUMMYFUNCTION("""COMPUTED_VALUE"""),"г.о. Электросталь ")</f>
        <v xml:space="preserve">г.о. Электросталь </v>
      </c>
      <c r="C46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4" s="24" t="str">
        <f ca="1">IFERROR(__xludf.DUMMYFUNCTION("""COMPUTED_VALUE"""),"МинЖКХ ")</f>
        <v xml:space="preserve">МинЖКХ </v>
      </c>
      <c r="E464" s="20" t="str">
        <f ca="1">IFERROR(__xludf.DUMMYFUNCTION("""COMPUTED_VALUE"""),"Капитальный ремонт напорного коллектора сельское поселение Степановское, село Всеволодово военный городок Ногинск-5")</f>
        <v>Капитальный ремонт напорного коллектора сельское поселение Степановское, село Всеволодово военный городок Ногинск-5</v>
      </c>
      <c r="F464" s="32" t="str">
        <f ca="1">IFERROR(__xludf.DUMMYFUNCTION("""COMPUTED_VALUE"""),"КНК")</f>
        <v>КНК</v>
      </c>
      <c r="G464" s="20">
        <f ca="1">IFERROR(__xludf.DUMMYFUNCTION("""COMPUTED_VALUE"""),2019)</f>
        <v>2019</v>
      </c>
      <c r="H464" s="20"/>
      <c r="I464" s="20"/>
      <c r="J464" s="20"/>
      <c r="K464" s="20"/>
      <c r="L464" s="20"/>
      <c r="M464" s="20"/>
      <c r="N464" s="20">
        <f ca="1">IFERROR(__xludf.DUMMYFUNCTION("""COMPUTED_VALUE"""),0)</f>
        <v>0</v>
      </c>
      <c r="O464" s="20"/>
      <c r="P464" s="20"/>
      <c r="Q464" s="20"/>
      <c r="R464" s="20"/>
      <c r="S464" s="20"/>
      <c r="T464" s="20"/>
      <c r="U464" s="24">
        <f ca="1">IFERROR(__xludf.DUMMYFUNCTION("""COMPUTED_VALUE"""),0)</f>
        <v>0</v>
      </c>
      <c r="V464" s="24">
        <f ca="1">IFERROR(__xludf.DUMMYFUNCTION("""COMPUTED_VALUE"""),0)</f>
        <v>0</v>
      </c>
      <c r="W464" s="24">
        <f ca="1">IFERROR(__xludf.DUMMYFUNCTION("""COMPUTED_VALUE"""),0)</f>
        <v>0</v>
      </c>
      <c r="X464" s="24">
        <f ca="1">IFERROR(__xludf.DUMMYFUNCTION("""COMPUTED_VALUE"""),0)</f>
        <v>0</v>
      </c>
      <c r="Y464" s="24">
        <f ca="1">IFERROR(__xludf.DUMMYFUNCTION("""COMPUTED_VALUE"""),0)</f>
        <v>0</v>
      </c>
      <c r="Z464" s="24">
        <f ca="1">IFERROR(__xludf.DUMMYFUNCTION("""COMPUTED_VALUE"""),0)</f>
        <v>0</v>
      </c>
      <c r="AA464" s="20"/>
      <c r="AB464" s="20"/>
      <c r="AC464" s="20"/>
      <c r="AD464" s="20"/>
      <c r="AE464" s="20"/>
      <c r="AF464" s="24">
        <f ca="1">IFERROR(__xludf.DUMMYFUNCTION("""COMPUTED_VALUE"""),89394.9)</f>
        <v>89394.9</v>
      </c>
      <c r="AG464" s="24">
        <f ca="1">IFERROR(__xludf.DUMMYFUNCTION("""COMPUTED_VALUE"""),0)</f>
        <v>0</v>
      </c>
      <c r="AH464" s="24">
        <f ca="1">IFERROR(__xludf.DUMMYFUNCTION("""COMPUTED_VALUE"""),84925.15)</f>
        <v>84925.15</v>
      </c>
      <c r="AI464" s="24">
        <f ca="1">IFERROR(__xludf.DUMMYFUNCTION("""COMPUTED_VALUE"""),0)</f>
        <v>0</v>
      </c>
      <c r="AJ464" s="24">
        <f ca="1">IFERROR(__xludf.DUMMYFUNCTION("""COMPUTED_VALUE"""),4469.75)</f>
        <v>4469.75</v>
      </c>
      <c r="AK464" s="24">
        <f ca="1">IFERROR(__xludf.DUMMYFUNCTION("""COMPUTED_VALUE"""),0)</f>
        <v>0</v>
      </c>
      <c r="AL464" s="24">
        <f ca="1">IFERROR(__xludf.DUMMYFUNCTION("""COMPUTED_VALUE"""),0)</f>
        <v>0</v>
      </c>
      <c r="AM464" s="20"/>
      <c r="AN464" s="24">
        <f ca="1">IFERROR(__xludf.DUMMYFUNCTION("""COMPUTED_VALUE"""),0)</f>
        <v>0</v>
      </c>
      <c r="AO464" s="24">
        <f ca="1">IFERROR(__xludf.DUMMYFUNCTION("""COMPUTED_VALUE"""),0)</f>
        <v>0</v>
      </c>
      <c r="AP464" s="24">
        <f ca="1">IFERROR(__xludf.DUMMYFUNCTION("""COMPUTED_VALUE"""),0)</f>
        <v>0</v>
      </c>
      <c r="AQ464" s="20"/>
      <c r="AR464" s="24">
        <f ca="1">IFERROR(__xludf.DUMMYFUNCTION("""COMPUTED_VALUE"""),89394.9)</f>
        <v>89394.9</v>
      </c>
      <c r="AS464" s="20"/>
      <c r="AT464" s="24">
        <f ca="1">IFERROR(__xludf.DUMMYFUNCTION("""COMPUTED_VALUE"""),84925.15)</f>
        <v>84925.15</v>
      </c>
      <c r="AU464" s="24">
        <f ca="1">IFERROR(__xludf.DUMMYFUNCTION("""COMPUTED_VALUE"""),0)</f>
        <v>0</v>
      </c>
      <c r="AV464" s="24">
        <f ca="1">IFERROR(__xludf.DUMMYFUNCTION("""COMPUTED_VALUE"""),4469.75)</f>
        <v>4469.75</v>
      </c>
      <c r="AW464" s="20"/>
      <c r="AX464" s="24">
        <f ca="1">IFERROR(__xludf.DUMMYFUNCTION("""COMPUTED_VALUE"""),0)</f>
        <v>0</v>
      </c>
      <c r="AY464" s="20"/>
      <c r="AZ464" s="24">
        <f ca="1">IFERROR(__xludf.DUMMYFUNCTION("""COMPUTED_VALUE"""),0)</f>
        <v>0</v>
      </c>
      <c r="BA464" s="24">
        <f ca="1">IFERROR(__xludf.DUMMYFUNCTION("""COMPUTED_VALUE"""),0)</f>
        <v>0</v>
      </c>
      <c r="BB464" s="24">
        <f ca="1">IFERROR(__xludf.DUMMYFUNCTION("""COMPUTED_VALUE"""),0)</f>
        <v>0</v>
      </c>
      <c r="BC464" s="20"/>
      <c r="BD464" s="24">
        <f ca="1">IFERROR(__xludf.DUMMYFUNCTION("""COMPUTED_VALUE"""),0)</f>
        <v>0</v>
      </c>
      <c r="BE464" s="20"/>
      <c r="BF464" s="24">
        <f ca="1">IFERROR(__xludf.DUMMYFUNCTION("""COMPUTED_VALUE"""),0)</f>
        <v>0</v>
      </c>
      <c r="BG464" s="24">
        <f ca="1">IFERROR(__xludf.DUMMYFUNCTION("""COMPUTED_VALUE"""),0)</f>
        <v>0</v>
      </c>
      <c r="BH464" s="24">
        <f ca="1">IFERROR(__xludf.DUMMYFUNCTION("""COMPUTED_VALUE"""),0)</f>
        <v>0</v>
      </c>
      <c r="BI464" s="20"/>
      <c r="BJ464" s="24">
        <f ca="1">IFERROR(__xludf.DUMMYFUNCTION("""COMPUTED_VALUE"""),0)</f>
        <v>0</v>
      </c>
      <c r="BK464" s="20"/>
      <c r="BL464" s="24">
        <f ca="1">IFERROR(__xludf.DUMMYFUNCTION("""COMPUTED_VALUE"""),0)</f>
        <v>0</v>
      </c>
      <c r="BM464" s="24">
        <f ca="1">IFERROR(__xludf.DUMMYFUNCTION("""COMPUTED_VALUE"""),0)</f>
        <v>0</v>
      </c>
      <c r="BN464" s="24">
        <f ca="1">IFERROR(__xludf.DUMMYFUNCTION("""COMPUTED_VALUE"""),0)</f>
        <v>0</v>
      </c>
      <c r="BO464" s="20"/>
      <c r="BP464" s="24">
        <f ca="1">IFERROR(__xludf.DUMMYFUNCTION("""COMPUTED_VALUE"""),0)</f>
        <v>0</v>
      </c>
      <c r="BQ464" s="20"/>
      <c r="BR464" s="24">
        <f ca="1">IFERROR(__xludf.DUMMYFUNCTION("""COMPUTED_VALUE"""),0)</f>
        <v>0</v>
      </c>
      <c r="BS464" s="24">
        <f ca="1">IFERROR(__xludf.DUMMYFUNCTION("""COMPUTED_VALUE"""),0)</f>
        <v>0</v>
      </c>
      <c r="BT464" s="24">
        <f ca="1">IFERROR(__xludf.DUMMYFUNCTION("""COMPUTED_VALUE"""),0)</f>
        <v>0</v>
      </c>
      <c r="BU464" s="20"/>
      <c r="BV464" s="24">
        <f ca="1">IFERROR(__xludf.DUMMYFUNCTION("""COMPUTED_VALUE"""),0)</f>
        <v>0</v>
      </c>
      <c r="BW464" s="20"/>
      <c r="BX464" s="20"/>
      <c r="BY464" s="20"/>
      <c r="BZ464" s="20"/>
      <c r="CA464" s="20"/>
      <c r="CB464" s="20"/>
      <c r="CC464" s="20"/>
      <c r="CD464" s="20"/>
      <c r="CE464" s="20"/>
      <c r="CF464" s="20"/>
      <c r="CG464" s="20"/>
      <c r="CH464" s="20"/>
      <c r="CI464" s="20"/>
      <c r="CJ464" s="20"/>
      <c r="CK464" s="20"/>
      <c r="CL464" s="20"/>
      <c r="CM464" s="20"/>
      <c r="CN464" s="20"/>
      <c r="CO464" s="20"/>
      <c r="CP464" s="20"/>
      <c r="CQ464" s="20"/>
      <c r="CR464" s="20"/>
      <c r="CS464" s="20"/>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row>
    <row r="465" spans="1:123" ht="64.5" hidden="1" customHeight="1" x14ac:dyDescent="0.2">
      <c r="A465" s="19"/>
      <c r="B465" s="20" t="str">
        <f ca="1">IFERROR(__xludf.DUMMYFUNCTION("""COMPUTED_VALUE"""),"г.о. Электросталь ")</f>
        <v xml:space="preserve">г.о. Электросталь </v>
      </c>
      <c r="C465"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5" s="24" t="str">
        <f ca="1">IFERROR(__xludf.DUMMYFUNCTION("""COMPUTED_VALUE"""),"МинЖКХ ")</f>
        <v xml:space="preserve">МинЖКХ </v>
      </c>
      <c r="E465" s="20" t="str">
        <f ca="1">IFERROR(__xludf.DUMMYFUNCTION("""COMPUTED_VALUE"""),"Капитальный ремонт котельной (2-й этап)  по адресу: Московская область, г.о. Электросталь, военный городок Ногинск-5")</f>
        <v>Капитальный ремонт котельной (2-й этап)  по адресу: Московская область, г.о. Электросталь, военный городок Ногинск-5</v>
      </c>
      <c r="F465" s="42" t="str">
        <f ca="1">IFERROR(__xludf.DUMMYFUNCTION("""COMPUTED_VALUE"""),"Котельная")</f>
        <v>Котельная</v>
      </c>
      <c r="G465" s="20">
        <f ca="1">IFERROR(__xludf.DUMMYFUNCTION("""COMPUTED_VALUE"""),2022)</f>
        <v>2022</v>
      </c>
      <c r="H465" s="20"/>
      <c r="I465" s="20">
        <f ca="1">IFERROR(__xludf.DUMMYFUNCTION("""COMPUTED_VALUE"""),0)</f>
        <v>0</v>
      </c>
      <c r="J465" s="20" t="str">
        <f ca="1">IFERROR(__xludf.DUMMYFUNCTION("""COMPUTED_VALUE"""),"Лимиты заблокированы МЭФ по причине Covid-19. 
 Финансирование перенесено на 2022 год
До 25.11.2020 направят письмо на увеличние бюджета лимитов на реализацию мероприятия.")</f>
        <v>Лимиты заблокированы МЭФ по причине Covid-19. 
 Финансирование перенесено на 2022 год
До 25.11.2020 направят письмо на увеличние бюджета лимитов на реализацию мероприятия.</v>
      </c>
      <c r="K465" s="20">
        <f ca="1">IFERROR(__xludf.DUMMYFUNCTION("""COMPUTED_VALUE"""),3133)</f>
        <v>3133</v>
      </c>
      <c r="L465" s="20">
        <f ca="1">IFERROR(__xludf.DUMMYFUNCTION("""COMPUTED_VALUE"""),3133)</f>
        <v>3133</v>
      </c>
      <c r="M465" s="20"/>
      <c r="N465" s="24">
        <f ca="1">IFERROR(__xludf.DUMMYFUNCTION("""COMPUTED_VALUE"""),0)</f>
        <v>0</v>
      </c>
      <c r="O465" s="20"/>
      <c r="P465" s="24">
        <f ca="1">IFERROR(__xludf.DUMMYFUNCTION("""COMPUTED_VALUE"""),0)</f>
        <v>0</v>
      </c>
      <c r="Q465" s="20"/>
      <c r="R465" s="20"/>
      <c r="S465" s="20"/>
      <c r="T465" s="20"/>
      <c r="U465" s="24">
        <f ca="1">IFERROR(__xludf.DUMMYFUNCTION("""COMPUTED_VALUE"""),0)</f>
        <v>0</v>
      </c>
      <c r="V465" s="24">
        <f ca="1">IFERROR(__xludf.DUMMYFUNCTION("""COMPUTED_VALUE"""),0)</f>
        <v>0</v>
      </c>
      <c r="W465" s="24">
        <f ca="1">IFERROR(__xludf.DUMMYFUNCTION("""COMPUTED_VALUE"""),0)</f>
        <v>0</v>
      </c>
      <c r="X465" s="24">
        <f ca="1">IFERROR(__xludf.DUMMYFUNCTION("""COMPUTED_VALUE"""),0)</f>
        <v>0</v>
      </c>
      <c r="Y465" s="24">
        <f ca="1">IFERROR(__xludf.DUMMYFUNCTION("""COMPUTED_VALUE"""),0)</f>
        <v>0</v>
      </c>
      <c r="Z465" s="24">
        <f ca="1">IFERROR(__xludf.DUMMYFUNCTION("""COMPUTED_VALUE"""),0)</f>
        <v>0</v>
      </c>
      <c r="AA465" s="20"/>
      <c r="AB465" s="20"/>
      <c r="AC465" s="20"/>
      <c r="AD465" s="20"/>
      <c r="AE465" s="20"/>
      <c r="AF465" s="24">
        <f ca="1">IFERROR(__xludf.DUMMYFUNCTION("""COMPUTED_VALUE"""),17377.74)</f>
        <v>17377.740000000002</v>
      </c>
      <c r="AG465" s="24">
        <f ca="1">IFERROR(__xludf.DUMMYFUNCTION("""COMPUTED_VALUE"""),0)</f>
        <v>0</v>
      </c>
      <c r="AH465" s="24">
        <f ca="1">IFERROR(__xludf.DUMMYFUNCTION("""COMPUTED_VALUE"""),16509)</f>
        <v>16509</v>
      </c>
      <c r="AI465" s="24">
        <f ca="1">IFERROR(__xludf.DUMMYFUNCTION("""COMPUTED_VALUE"""),0)</f>
        <v>0</v>
      </c>
      <c r="AJ465" s="24">
        <f ca="1">IFERROR(__xludf.DUMMYFUNCTION("""COMPUTED_VALUE"""),868.74)</f>
        <v>868.74</v>
      </c>
      <c r="AK465" s="24">
        <f ca="1">IFERROR(__xludf.DUMMYFUNCTION("""COMPUTED_VALUE"""),0)</f>
        <v>0</v>
      </c>
      <c r="AL465" s="24">
        <f ca="1">IFERROR(__xludf.DUMMYFUNCTION("""COMPUTED_VALUE"""),0)</f>
        <v>0</v>
      </c>
      <c r="AM465" s="20"/>
      <c r="AN465" s="24">
        <f ca="1">IFERROR(__xludf.DUMMYFUNCTION("""COMPUTED_VALUE"""),0)</f>
        <v>0</v>
      </c>
      <c r="AO465" s="24">
        <f ca="1">IFERROR(__xludf.DUMMYFUNCTION("""COMPUTED_VALUE"""),0)</f>
        <v>0</v>
      </c>
      <c r="AP465" s="24">
        <f ca="1">IFERROR(__xludf.DUMMYFUNCTION("""COMPUTED_VALUE"""),0)</f>
        <v>0</v>
      </c>
      <c r="AQ465" s="20"/>
      <c r="AR465" s="24">
        <f ca="1">IFERROR(__xludf.DUMMYFUNCTION("""COMPUTED_VALUE"""),0)</f>
        <v>0</v>
      </c>
      <c r="AS465" s="20"/>
      <c r="AT465" s="24">
        <f ca="1">IFERROR(__xludf.DUMMYFUNCTION("""COMPUTED_VALUE"""),0)</f>
        <v>0</v>
      </c>
      <c r="AU465" s="24">
        <f ca="1">IFERROR(__xludf.DUMMYFUNCTION("""COMPUTED_VALUE"""),0)</f>
        <v>0</v>
      </c>
      <c r="AV465" s="24">
        <f ca="1">IFERROR(__xludf.DUMMYFUNCTION("""COMPUTED_VALUE"""),0)</f>
        <v>0</v>
      </c>
      <c r="AW465" s="20"/>
      <c r="AX465" s="24">
        <f ca="1">IFERROR(__xludf.DUMMYFUNCTION("""COMPUTED_VALUE"""),0)</f>
        <v>0</v>
      </c>
      <c r="AY465" s="20"/>
      <c r="AZ465" s="24">
        <f ca="1">IFERROR(__xludf.DUMMYFUNCTION("""COMPUTED_VALUE"""),0)</f>
        <v>0</v>
      </c>
      <c r="BA465" s="24">
        <f ca="1">IFERROR(__xludf.DUMMYFUNCTION("""COMPUTED_VALUE"""),0)</f>
        <v>0</v>
      </c>
      <c r="BB465" s="24">
        <f ca="1">IFERROR(__xludf.DUMMYFUNCTION("""COMPUTED_VALUE"""),0)</f>
        <v>0</v>
      </c>
      <c r="BC465" s="20"/>
      <c r="BD465" s="24">
        <f ca="1">IFERROR(__xludf.DUMMYFUNCTION("""COMPUTED_VALUE"""),0)</f>
        <v>0</v>
      </c>
      <c r="BE465" s="20"/>
      <c r="BF465" s="24">
        <f ca="1">IFERROR(__xludf.DUMMYFUNCTION("""COMPUTED_VALUE"""),0)</f>
        <v>0</v>
      </c>
      <c r="BG465" s="24">
        <f ca="1">IFERROR(__xludf.DUMMYFUNCTION("""COMPUTED_VALUE"""),0)</f>
        <v>0</v>
      </c>
      <c r="BH465" s="24">
        <f ca="1">IFERROR(__xludf.DUMMYFUNCTION("""COMPUTED_VALUE"""),0)</f>
        <v>0</v>
      </c>
      <c r="BI465" s="20"/>
      <c r="BJ465" s="24">
        <f ca="1">IFERROR(__xludf.DUMMYFUNCTION("""COMPUTED_VALUE"""),17377.74)</f>
        <v>17377.740000000002</v>
      </c>
      <c r="BK465" s="20"/>
      <c r="BL465" s="24">
        <f ca="1">IFERROR(__xludf.DUMMYFUNCTION("""COMPUTED_VALUE"""),16509)</f>
        <v>16509</v>
      </c>
      <c r="BM465" s="24">
        <f ca="1">IFERROR(__xludf.DUMMYFUNCTION("""COMPUTED_VALUE"""),0)</f>
        <v>0</v>
      </c>
      <c r="BN465" s="24">
        <f ca="1">IFERROR(__xludf.DUMMYFUNCTION("""COMPUTED_VALUE"""),868.74)</f>
        <v>868.74</v>
      </c>
      <c r="BO465" s="20"/>
      <c r="BP465" s="24">
        <f ca="1">IFERROR(__xludf.DUMMYFUNCTION("""COMPUTED_VALUE"""),0)</f>
        <v>0</v>
      </c>
      <c r="BQ465" s="20"/>
      <c r="BR465" s="24">
        <f ca="1">IFERROR(__xludf.DUMMYFUNCTION("""COMPUTED_VALUE"""),0)</f>
        <v>0</v>
      </c>
      <c r="BS465" s="24">
        <f ca="1">IFERROR(__xludf.DUMMYFUNCTION("""COMPUTED_VALUE"""),0)</f>
        <v>0</v>
      </c>
      <c r="BT465" s="24">
        <f ca="1">IFERROR(__xludf.DUMMYFUNCTION("""COMPUTED_VALUE"""),0)</f>
        <v>0</v>
      </c>
      <c r="BU465" s="20"/>
      <c r="BV465" s="24">
        <f ca="1">IFERROR(__xludf.DUMMYFUNCTION("""COMPUTED_VALUE"""),0)</f>
        <v>0</v>
      </c>
      <c r="BW465" s="20"/>
      <c r="BX465" s="20"/>
      <c r="BY465" s="20"/>
      <c r="BZ465" s="20"/>
      <c r="CA465" s="43"/>
      <c r="CB465" s="43"/>
      <c r="CC465" s="43"/>
      <c r="CD465" s="43"/>
      <c r="CE465" s="43"/>
      <c r="CF465" s="43"/>
      <c r="CG465" s="43"/>
      <c r="CH465" s="43"/>
      <c r="CI465" s="43"/>
      <c r="CJ465" s="43"/>
      <c r="CK465" s="43"/>
      <c r="CL465" s="43"/>
      <c r="CM465" s="43"/>
      <c r="CN465" s="43"/>
      <c r="CO465" s="43"/>
      <c r="CP465" s="43"/>
      <c r="CQ465" s="43"/>
      <c r="CR465" s="43"/>
      <c r="CS465" s="43"/>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row>
    <row r="466" spans="1:123" ht="66.75" customHeight="1" x14ac:dyDescent="0.2">
      <c r="A466" s="44"/>
      <c r="B466" s="20" t="str">
        <f ca="1">IFERROR(__xludf.DUMMYFUNCTION("IMPORTRANGE(""https://docs.google.com/spreadsheets/d/1ZpB0joDVH_P6wgS1qdxv2Cg30eSt21FXcCJZMPEFRM4/edit#gid=296283338&amp;range=B5:CS16"", ""'Экология (ЗТО)'!B5:CS16"")"),"(ЗТО) г.о. Воскресенск")</f>
        <v>(ЗТО) г.о. Воскресенск</v>
      </c>
      <c r="C466"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66" s="20"/>
      <c r="E466" s="20" t="str">
        <f ca="1">IFERROR(__xludf.DUMMYFUNCTION("""COMPUTED_VALUE"""),"Строительство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f>
        <v>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v>
      </c>
      <c r="F466" s="20" t="str">
        <f ca="1">IFERROR(__xludf.DUMMYFUNCTION("""COMPUTED_VALUE"""),"ВЗУ")</f>
        <v>ВЗУ</v>
      </c>
      <c r="G466" s="20" t="str">
        <f ca="1">IFERROR(__xludf.DUMMYFUNCTION("""COMPUTED_VALUE"""),"2020-2021")</f>
        <v>2020-2021</v>
      </c>
      <c r="H466" s="20" t="str">
        <f ca="1">IFERROR(__xludf.DUMMYFUNCTION("""COMPUTED_VALUE"""),"СМР")</f>
        <v>СМР</v>
      </c>
      <c r="I466" s="20"/>
      <c r="J466" s="20"/>
      <c r="K466" s="20"/>
      <c r="L466" s="20"/>
      <c r="M466" s="20"/>
      <c r="N466" s="20"/>
      <c r="O466" s="24">
        <f ca="1">IFERROR(__xludf.DUMMYFUNCTION("""COMPUTED_VALUE"""),0)</f>
        <v>0</v>
      </c>
      <c r="P466" s="24">
        <f ca="1">IFERROR(__xludf.DUMMYFUNCTION("""COMPUTED_VALUE"""),0)</f>
        <v>0</v>
      </c>
      <c r="Q466" s="24">
        <f ca="1">IFERROR(__xludf.DUMMYFUNCTION("""COMPUTED_VALUE"""),0)</f>
        <v>0</v>
      </c>
      <c r="R466" s="20"/>
      <c r="S466" s="20"/>
      <c r="T466" s="20"/>
      <c r="U466" s="20"/>
      <c r="V466" s="20"/>
      <c r="W466" s="20"/>
      <c r="X466" s="20"/>
      <c r="Y466" s="20"/>
      <c r="Z466" s="20"/>
      <c r="AA466" s="20"/>
      <c r="AB466" s="20"/>
      <c r="AC466" s="20"/>
      <c r="AD466" s="20"/>
      <c r="AE466" s="20"/>
      <c r="AF466" s="24">
        <f ca="1">IFERROR(__xludf.DUMMYFUNCTION("""COMPUTED_VALUE"""),36696.19)</f>
        <v>36696.19</v>
      </c>
      <c r="AG466" s="24">
        <f ca="1">IFERROR(__xludf.DUMMYFUNCTION("""COMPUTED_VALUE"""),0)</f>
        <v>0</v>
      </c>
      <c r="AH466" s="24">
        <f ca="1">IFERROR(__xludf.DUMMYFUNCTION("""COMPUTED_VALUE"""),0)</f>
        <v>0</v>
      </c>
      <c r="AI466" s="24">
        <f ca="1">IFERROR(__xludf.DUMMYFUNCTION("""COMPUTED_VALUE"""),34861.85)</f>
        <v>34861.85</v>
      </c>
      <c r="AJ466" s="24">
        <f ca="1">IFERROR(__xludf.DUMMYFUNCTION("""COMPUTED_VALUE"""),1834.34)</f>
        <v>1834.34</v>
      </c>
      <c r="AK466" s="24">
        <f ca="1">IFERROR(__xludf.DUMMYFUNCTION("""COMPUTED_VALUE"""),0)</f>
        <v>0</v>
      </c>
      <c r="AL466" s="24">
        <f ca="1">IFERROR(__xludf.DUMMYFUNCTION("""COMPUTED_VALUE"""),0)</f>
        <v>0</v>
      </c>
      <c r="AM466" s="20"/>
      <c r="AN466" s="20"/>
      <c r="AO466" s="20"/>
      <c r="AP466" s="20"/>
      <c r="AQ466" s="20"/>
      <c r="AR466" s="24">
        <f ca="1">IFERROR(__xludf.DUMMYFUNCTION("""COMPUTED_VALUE"""),0)</f>
        <v>0</v>
      </c>
      <c r="AS466" s="20"/>
      <c r="AT466" s="20"/>
      <c r="AU466" s="20"/>
      <c r="AV466" s="20"/>
      <c r="AW466" s="20"/>
      <c r="AX466" s="24">
        <f ca="1">IFERROR(__xludf.DUMMYFUNCTION("""COMPUTED_VALUE"""),11813.79)</f>
        <v>11813.79</v>
      </c>
      <c r="AY466" s="24">
        <f ca="1">IFERROR(__xludf.DUMMYFUNCTION("""COMPUTED_VALUE"""),0)</f>
        <v>0</v>
      </c>
      <c r="AZ466" s="24">
        <f ca="1">IFERROR(__xludf.DUMMYFUNCTION("""COMPUTED_VALUE"""),0)</f>
        <v>0</v>
      </c>
      <c r="BA466" s="24">
        <f ca="1">IFERROR(__xludf.DUMMYFUNCTION("""COMPUTED_VALUE"""),11223.35)</f>
        <v>11223.35</v>
      </c>
      <c r="BB466" s="24">
        <f ca="1">IFERROR(__xludf.DUMMYFUNCTION("""COMPUTED_VALUE"""),590.44)</f>
        <v>590.44000000000005</v>
      </c>
      <c r="BC466" s="24">
        <f ca="1">IFERROR(__xludf.DUMMYFUNCTION("""COMPUTED_VALUE"""),0)</f>
        <v>0</v>
      </c>
      <c r="BD466" s="24">
        <f ca="1">IFERROR(__xludf.DUMMYFUNCTION("""COMPUTED_VALUE"""),24882.4)</f>
        <v>24882.400000000001</v>
      </c>
      <c r="BE466" s="24">
        <f ca="1">IFERROR(__xludf.DUMMYFUNCTION("""COMPUTED_VALUE"""),0)</f>
        <v>0</v>
      </c>
      <c r="BF466" s="24">
        <f ca="1">IFERROR(__xludf.DUMMYFUNCTION("""COMPUTED_VALUE"""),0)</f>
        <v>0</v>
      </c>
      <c r="BG466" s="24">
        <f ca="1">IFERROR(__xludf.DUMMYFUNCTION("""COMPUTED_VALUE"""),23638.5)</f>
        <v>23638.5</v>
      </c>
      <c r="BH466" s="24">
        <f ca="1">IFERROR(__xludf.DUMMYFUNCTION("""COMPUTED_VALUE"""),1243.9)</f>
        <v>1243.9000000000001</v>
      </c>
      <c r="BI466" s="24">
        <f ca="1">IFERROR(__xludf.DUMMYFUNCTION("""COMPUTED_VALUE"""),0)</f>
        <v>0</v>
      </c>
      <c r="BJ466" s="24">
        <f ca="1">IFERROR(__xludf.DUMMYFUNCTION("""COMPUTED_VALUE"""),0)</f>
        <v>0</v>
      </c>
      <c r="BK466" s="20"/>
      <c r="BL466" s="20"/>
      <c r="BM466" s="20"/>
      <c r="BN466" s="20"/>
      <c r="BO466" s="20"/>
      <c r="BP466" s="24">
        <f ca="1">IFERROR(__xludf.DUMMYFUNCTION("""COMPUTED_VALUE"""),0)</f>
        <v>0</v>
      </c>
      <c r="BQ466" s="20"/>
      <c r="BR466" s="20"/>
      <c r="BS466" s="20"/>
      <c r="BT466" s="20"/>
      <c r="BU466" s="20"/>
      <c r="BV466" s="24">
        <f ca="1">IFERROR(__xludf.DUMMYFUNCTION("""COMPUTED_VALUE"""),0)</f>
        <v>0</v>
      </c>
      <c r="BW466" s="20"/>
      <c r="BX466" s="20"/>
      <c r="BY466" s="20"/>
      <c r="BZ466" s="20"/>
      <c r="CA466" s="20"/>
      <c r="CB466" s="20"/>
      <c r="CC466" s="20"/>
      <c r="CD466" s="20"/>
      <c r="CE466" s="20"/>
      <c r="CF466" s="20"/>
      <c r="CG466" s="20"/>
      <c r="CH466" s="20"/>
      <c r="CI466" s="20"/>
      <c r="CJ466" s="20"/>
      <c r="CK466" s="20"/>
      <c r="CL466" s="20"/>
      <c r="CM466" s="20"/>
      <c r="CN466" s="20"/>
      <c r="CO466" s="20"/>
      <c r="CP466" s="20"/>
      <c r="CQ466" s="20"/>
      <c r="CR466" s="20"/>
      <c r="CS466" s="20"/>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row>
    <row r="467" spans="1:123" ht="64.5" customHeight="1" x14ac:dyDescent="0.2">
      <c r="A467" s="44"/>
      <c r="B467" s="20" t="str">
        <f ca="1">IFERROR(__xludf.DUMMYFUNCTION("""COMPUTED_VALUE"""),"(ЗТО) г.о. Воскресенск")</f>
        <v>(ЗТО) г.о. Воскресенск</v>
      </c>
      <c r="C467"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67" s="20"/>
      <c r="E467" s="20" t="str">
        <f ca="1">IFERROR(__xludf.DUMMYFUNCTION("""COMPUTED_VALUE"""),"Строительство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f>
        <v>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v>
      </c>
      <c r="F467" s="20" t="str">
        <f ca="1">IFERROR(__xludf.DUMMYFUNCTION("""COMPUTED_VALUE"""),"ВЗУ")</f>
        <v>ВЗУ</v>
      </c>
      <c r="G467" s="20" t="str">
        <f ca="1">IFERROR(__xludf.DUMMYFUNCTION("""COMPUTED_VALUE"""),"2020-2021")</f>
        <v>2020-2021</v>
      </c>
      <c r="H467" s="20" t="str">
        <f ca="1">IFERROR(__xludf.DUMMYFUNCTION("""COMPUTED_VALUE"""),"СМР")</f>
        <v>СМР</v>
      </c>
      <c r="I467" s="20"/>
      <c r="J467" s="20"/>
      <c r="K467" s="20"/>
      <c r="L467" s="20"/>
      <c r="M467" s="20"/>
      <c r="N467" s="20"/>
      <c r="O467" s="24">
        <f ca="1">IFERROR(__xludf.DUMMYFUNCTION("""COMPUTED_VALUE"""),0)</f>
        <v>0</v>
      </c>
      <c r="P467" s="24">
        <f ca="1">IFERROR(__xludf.DUMMYFUNCTION("""COMPUTED_VALUE"""),0)</f>
        <v>0</v>
      </c>
      <c r="Q467" s="24">
        <f ca="1">IFERROR(__xludf.DUMMYFUNCTION("""COMPUTED_VALUE"""),0)</f>
        <v>0</v>
      </c>
      <c r="R467" s="20"/>
      <c r="S467" s="20"/>
      <c r="T467" s="20"/>
      <c r="U467" s="20"/>
      <c r="V467" s="20"/>
      <c r="W467" s="20"/>
      <c r="X467" s="20"/>
      <c r="Y467" s="20"/>
      <c r="Z467" s="20"/>
      <c r="AA467" s="20"/>
      <c r="AB467" s="20"/>
      <c r="AC467" s="20"/>
      <c r="AD467" s="20"/>
      <c r="AE467" s="20"/>
      <c r="AF467" s="24">
        <f ca="1">IFERROR(__xludf.DUMMYFUNCTION("""COMPUTED_VALUE"""),19145.8999999999)</f>
        <v>19145.8999999999</v>
      </c>
      <c r="AG467" s="24">
        <f ca="1">IFERROR(__xludf.DUMMYFUNCTION("""COMPUTED_VALUE"""),0)</f>
        <v>0</v>
      </c>
      <c r="AH467" s="24">
        <f ca="1">IFERROR(__xludf.DUMMYFUNCTION("""COMPUTED_VALUE"""),0)</f>
        <v>0</v>
      </c>
      <c r="AI467" s="24">
        <f ca="1">IFERROR(__xludf.DUMMYFUNCTION("""COMPUTED_VALUE"""),18188.35)</f>
        <v>18188.349999999999</v>
      </c>
      <c r="AJ467" s="24">
        <f ca="1">IFERROR(__xludf.DUMMYFUNCTION("""COMPUTED_VALUE"""),957.55)</f>
        <v>957.55</v>
      </c>
      <c r="AK467" s="24">
        <f ca="1">IFERROR(__xludf.DUMMYFUNCTION("""COMPUTED_VALUE"""),0)</f>
        <v>0</v>
      </c>
      <c r="AL467" s="24">
        <f ca="1">IFERROR(__xludf.DUMMYFUNCTION("""COMPUTED_VALUE"""),0)</f>
        <v>0</v>
      </c>
      <c r="AM467" s="20"/>
      <c r="AN467" s="20"/>
      <c r="AO467" s="20"/>
      <c r="AP467" s="20"/>
      <c r="AQ467" s="20"/>
      <c r="AR467" s="24">
        <f ca="1">IFERROR(__xludf.DUMMYFUNCTION("""COMPUTED_VALUE"""),0)</f>
        <v>0</v>
      </c>
      <c r="AS467" s="20"/>
      <c r="AT467" s="20"/>
      <c r="AU467" s="20"/>
      <c r="AV467" s="20"/>
      <c r="AW467" s="20"/>
      <c r="AX467" s="24">
        <f ca="1">IFERROR(__xludf.DUMMYFUNCTION("""COMPUTED_VALUE"""),13588.37)</f>
        <v>13588.37</v>
      </c>
      <c r="AY467" s="24">
        <f ca="1">IFERROR(__xludf.DUMMYFUNCTION("""COMPUTED_VALUE"""),0)</f>
        <v>0</v>
      </c>
      <c r="AZ467" s="24">
        <f ca="1">IFERROR(__xludf.DUMMYFUNCTION("""COMPUTED_VALUE"""),0)</f>
        <v>0</v>
      </c>
      <c r="BA467" s="24">
        <f ca="1">IFERROR(__xludf.DUMMYFUNCTION("""COMPUTED_VALUE"""),12908.95)</f>
        <v>12908.95</v>
      </c>
      <c r="BB467" s="24">
        <f ca="1">IFERROR(__xludf.DUMMYFUNCTION("""COMPUTED_VALUE"""),679.42)</f>
        <v>679.42</v>
      </c>
      <c r="BC467" s="24">
        <f ca="1">IFERROR(__xludf.DUMMYFUNCTION("""COMPUTED_VALUE"""),0)</f>
        <v>0</v>
      </c>
      <c r="BD467" s="24">
        <f ca="1">IFERROR(__xludf.DUMMYFUNCTION("""COMPUTED_VALUE"""),5557.53)</f>
        <v>5557.53</v>
      </c>
      <c r="BE467" s="24">
        <f ca="1">IFERROR(__xludf.DUMMYFUNCTION("""COMPUTED_VALUE"""),0)</f>
        <v>0</v>
      </c>
      <c r="BF467" s="24">
        <f ca="1">IFERROR(__xludf.DUMMYFUNCTION("""COMPUTED_VALUE"""),0)</f>
        <v>0</v>
      </c>
      <c r="BG467" s="24">
        <f ca="1">IFERROR(__xludf.DUMMYFUNCTION("""COMPUTED_VALUE"""),5279.4)</f>
        <v>5279.4</v>
      </c>
      <c r="BH467" s="24">
        <f ca="1">IFERROR(__xludf.DUMMYFUNCTION("""COMPUTED_VALUE"""),278.13)</f>
        <v>278.13</v>
      </c>
      <c r="BI467" s="24">
        <f ca="1">IFERROR(__xludf.DUMMYFUNCTION("""COMPUTED_VALUE"""),0)</f>
        <v>0</v>
      </c>
      <c r="BJ467" s="24">
        <f ca="1">IFERROR(__xludf.DUMMYFUNCTION("""COMPUTED_VALUE"""),0)</f>
        <v>0</v>
      </c>
      <c r="BK467" s="20"/>
      <c r="BL467" s="20"/>
      <c r="BM467" s="20"/>
      <c r="BN467" s="20"/>
      <c r="BO467" s="20"/>
      <c r="BP467" s="24">
        <f ca="1">IFERROR(__xludf.DUMMYFUNCTION("""COMPUTED_VALUE"""),0)</f>
        <v>0</v>
      </c>
      <c r="BQ467" s="20"/>
      <c r="BR467" s="20"/>
      <c r="BS467" s="20"/>
      <c r="BT467" s="20"/>
      <c r="BU467" s="20"/>
      <c r="BV467" s="24">
        <f ca="1">IFERROR(__xludf.DUMMYFUNCTION("""COMPUTED_VALUE"""),0)</f>
        <v>0</v>
      </c>
      <c r="BW467" s="20"/>
      <c r="BX467" s="20"/>
      <c r="BY467" s="20"/>
      <c r="BZ467" s="20"/>
      <c r="CA467" s="20"/>
      <c r="CB467" s="20"/>
      <c r="CC467" s="20"/>
      <c r="CD467" s="20"/>
      <c r="CE467" s="20"/>
      <c r="CF467" s="20"/>
      <c r="CG467" s="20"/>
      <c r="CH467" s="20"/>
      <c r="CI467" s="20"/>
      <c r="CJ467" s="20"/>
      <c r="CK467" s="20"/>
      <c r="CL467" s="20"/>
      <c r="CM467" s="20"/>
      <c r="CN467" s="20"/>
      <c r="CO467" s="20"/>
      <c r="CP467" s="20"/>
      <c r="CQ467" s="20"/>
      <c r="CR467" s="20"/>
      <c r="CS467" s="20"/>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row>
    <row r="468" spans="1:123" ht="64.5" customHeight="1" x14ac:dyDescent="0.2">
      <c r="A468" s="44"/>
      <c r="B468" s="20" t="str">
        <f ca="1">IFERROR(__xludf.DUMMYFUNCTION("""COMPUTED_VALUE"""),"(ЗТО) г.о. Воскресенск")</f>
        <v>(ЗТО) г.о. Воскресенск</v>
      </c>
      <c r="C468"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68" s="20"/>
      <c r="E468" s="20" t="str">
        <f ca="1">IFERROR(__xludf.DUMMYFUNCTION("""COMPUTED_VALUE"""),"Строительство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f>
        <v>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v>
      </c>
      <c r="F468" s="20" t="str">
        <f ca="1">IFERROR(__xludf.DUMMYFUNCTION("""COMPUTED_VALUE"""),"КНС")</f>
        <v>КНС</v>
      </c>
      <c r="G468" s="20" t="str">
        <f ca="1">IFERROR(__xludf.DUMMYFUNCTION("""COMPUTED_VALUE"""),"2020-2021")</f>
        <v>2020-2021</v>
      </c>
      <c r="H468" s="20" t="str">
        <f ca="1">IFERROR(__xludf.DUMMYFUNCTION("""COMPUTED_VALUE"""),"СМР")</f>
        <v>СМР</v>
      </c>
      <c r="I468" s="20"/>
      <c r="J468" s="20"/>
      <c r="K468" s="20"/>
      <c r="L468" s="20"/>
      <c r="M468" s="20"/>
      <c r="N468" s="20"/>
      <c r="O468" s="24">
        <f ca="1">IFERROR(__xludf.DUMMYFUNCTION("""COMPUTED_VALUE"""),0)</f>
        <v>0</v>
      </c>
      <c r="P468" s="24">
        <f ca="1">IFERROR(__xludf.DUMMYFUNCTION("""COMPUTED_VALUE"""),0)</f>
        <v>0</v>
      </c>
      <c r="Q468" s="24">
        <f ca="1">IFERROR(__xludf.DUMMYFUNCTION("""COMPUTED_VALUE"""),2374.78)</f>
        <v>2374.7800000000002</v>
      </c>
      <c r="R468" s="20"/>
      <c r="S468" s="20"/>
      <c r="T468" s="20"/>
      <c r="U468" s="20"/>
      <c r="V468" s="20"/>
      <c r="W468" s="20"/>
      <c r="X468" s="20"/>
      <c r="Y468" s="20"/>
      <c r="Z468" s="20"/>
      <c r="AA468" s="20"/>
      <c r="AB468" s="20"/>
      <c r="AC468" s="20"/>
      <c r="AD468" s="20"/>
      <c r="AE468" s="20"/>
      <c r="AF468" s="24">
        <f ca="1">IFERROR(__xludf.DUMMYFUNCTION("""COMPUTED_VALUE"""),5265)</f>
        <v>5265</v>
      </c>
      <c r="AG468" s="24">
        <f ca="1">IFERROR(__xludf.DUMMYFUNCTION("""COMPUTED_VALUE"""),0)</f>
        <v>0</v>
      </c>
      <c r="AH468" s="24">
        <f ca="1">IFERROR(__xludf.DUMMYFUNCTION("""COMPUTED_VALUE"""),0)</f>
        <v>0</v>
      </c>
      <c r="AI468" s="24">
        <f ca="1">IFERROR(__xludf.DUMMYFUNCTION("""COMPUTED_VALUE"""),5001)</f>
        <v>5001</v>
      </c>
      <c r="AJ468" s="24">
        <f ca="1">IFERROR(__xludf.DUMMYFUNCTION("""COMPUTED_VALUE"""),264)</f>
        <v>264</v>
      </c>
      <c r="AK468" s="24">
        <f ca="1">IFERROR(__xludf.DUMMYFUNCTION("""COMPUTED_VALUE"""),0)</f>
        <v>0</v>
      </c>
      <c r="AL468" s="24">
        <f ca="1">IFERROR(__xludf.DUMMYFUNCTION("""COMPUTED_VALUE"""),0)</f>
        <v>0</v>
      </c>
      <c r="AM468" s="20"/>
      <c r="AN468" s="20"/>
      <c r="AO468" s="20"/>
      <c r="AP468" s="20"/>
      <c r="AQ468" s="20"/>
      <c r="AR468" s="24">
        <f ca="1">IFERROR(__xludf.DUMMYFUNCTION("""COMPUTED_VALUE"""),0)</f>
        <v>0</v>
      </c>
      <c r="AS468" s="20"/>
      <c r="AT468" s="20"/>
      <c r="AU468" s="20"/>
      <c r="AV468" s="20"/>
      <c r="AW468" s="20"/>
      <c r="AX468" s="24">
        <f ca="1">IFERROR(__xludf.DUMMYFUNCTION("""COMPUTED_VALUE"""),4053)</f>
        <v>4053</v>
      </c>
      <c r="AY468" s="24">
        <f ca="1">IFERROR(__xludf.DUMMYFUNCTION("""COMPUTED_VALUE"""),0)</f>
        <v>0</v>
      </c>
      <c r="AZ468" s="24">
        <f ca="1">IFERROR(__xludf.DUMMYFUNCTION("""COMPUTED_VALUE"""),0)</f>
        <v>0</v>
      </c>
      <c r="BA468" s="24">
        <f ca="1">IFERROR(__xludf.DUMMYFUNCTION("""COMPUTED_VALUE"""),3850)</f>
        <v>3850</v>
      </c>
      <c r="BB468" s="24">
        <f ca="1">IFERROR(__xludf.DUMMYFUNCTION("""COMPUTED_VALUE"""),203)</f>
        <v>203</v>
      </c>
      <c r="BC468" s="24">
        <f ca="1">IFERROR(__xludf.DUMMYFUNCTION("""COMPUTED_VALUE"""),0)</f>
        <v>0</v>
      </c>
      <c r="BD468" s="24">
        <f ca="1">IFERROR(__xludf.DUMMYFUNCTION("""COMPUTED_VALUE"""),1212)</f>
        <v>1212</v>
      </c>
      <c r="BE468" s="24">
        <f ca="1">IFERROR(__xludf.DUMMYFUNCTION("""COMPUTED_VALUE"""),0)</f>
        <v>0</v>
      </c>
      <c r="BF468" s="24">
        <f ca="1">IFERROR(__xludf.DUMMYFUNCTION("""COMPUTED_VALUE"""),0)</f>
        <v>0</v>
      </c>
      <c r="BG468" s="24">
        <f ca="1">IFERROR(__xludf.DUMMYFUNCTION("""COMPUTED_VALUE"""),1151)</f>
        <v>1151</v>
      </c>
      <c r="BH468" s="24">
        <f ca="1">IFERROR(__xludf.DUMMYFUNCTION("""COMPUTED_VALUE"""),61)</f>
        <v>61</v>
      </c>
      <c r="BI468" s="24">
        <f ca="1">IFERROR(__xludf.DUMMYFUNCTION("""COMPUTED_VALUE"""),0)</f>
        <v>0</v>
      </c>
      <c r="BJ468" s="24">
        <f ca="1">IFERROR(__xludf.DUMMYFUNCTION("""COMPUTED_VALUE"""),0)</f>
        <v>0</v>
      </c>
      <c r="BK468" s="20"/>
      <c r="BL468" s="20"/>
      <c r="BM468" s="20"/>
      <c r="BN468" s="20"/>
      <c r="BO468" s="20"/>
      <c r="BP468" s="24">
        <f ca="1">IFERROR(__xludf.DUMMYFUNCTION("""COMPUTED_VALUE"""),0)</f>
        <v>0</v>
      </c>
      <c r="BQ468" s="20"/>
      <c r="BR468" s="20"/>
      <c r="BS468" s="20"/>
      <c r="BT468" s="20"/>
      <c r="BU468" s="20"/>
      <c r="BV468" s="24">
        <f ca="1">IFERROR(__xludf.DUMMYFUNCTION("""COMPUTED_VALUE"""),0)</f>
        <v>0</v>
      </c>
      <c r="BW468" s="20"/>
      <c r="BX468" s="20"/>
      <c r="BY468" s="20"/>
      <c r="BZ468" s="20"/>
      <c r="CA468" s="20"/>
      <c r="CB468" s="20"/>
      <c r="CC468" s="20"/>
      <c r="CD468" s="20"/>
      <c r="CE468" s="20"/>
      <c r="CF468" s="20"/>
      <c r="CG468" s="20"/>
      <c r="CH468" s="20"/>
      <c r="CI468" s="20"/>
      <c r="CJ468" s="20"/>
      <c r="CK468" s="20"/>
      <c r="CL468" s="20"/>
      <c r="CM468" s="20"/>
      <c r="CN468" s="20"/>
      <c r="CO468" s="20"/>
      <c r="CP468" s="20"/>
      <c r="CQ468" s="20"/>
      <c r="CR468" s="20"/>
      <c r="CS468" s="20"/>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row>
    <row r="469" spans="1:123" ht="64.5" customHeight="1" x14ac:dyDescent="0.2">
      <c r="A469" s="44"/>
      <c r="B469" s="20" t="str">
        <f ca="1">IFERROR(__xludf.DUMMYFUNCTION("""COMPUTED_VALUE"""),"(ЗТО) г.о. Наро-Фоминск")</f>
        <v>(ЗТО) г.о. Наро-Фоминск</v>
      </c>
      <c r="C469"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69" s="20"/>
      <c r="E469" s="20" t="str">
        <f ca="1">IFERROR(__xludf.DUMMYFUNCTION("""COMPUTED_VALUE"""),"Строительство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п"&amp;"рисоединение к сетям электроснабжения)")</f>
        <v>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присоединение к сетям электроснабжения)</v>
      </c>
      <c r="F469" s="20" t="str">
        <f ca="1">IFERROR(__xludf.DUMMYFUNCTION("""COMPUTED_VALUE"""),"ВЗУ")</f>
        <v>ВЗУ</v>
      </c>
      <c r="G469" s="20" t="str">
        <f ca="1">IFERROR(__xludf.DUMMYFUNCTION("""COMPUTED_VALUE"""),"2020-2021")</f>
        <v>2020-2021</v>
      </c>
      <c r="H469" s="20" t="str">
        <f ca="1">IFERROR(__xludf.DUMMYFUNCTION("""COMPUTED_VALUE"""),"СМР")</f>
        <v>СМР</v>
      </c>
      <c r="I469" s="20"/>
      <c r="J469" s="20"/>
      <c r="K469" s="20"/>
      <c r="L469" s="20"/>
      <c r="M469" s="20"/>
      <c r="N469" s="20"/>
      <c r="O469" s="24">
        <f ca="1">IFERROR(__xludf.DUMMYFUNCTION("""COMPUTED_VALUE"""),0)</f>
        <v>0</v>
      </c>
      <c r="P469" s="24">
        <f ca="1">IFERROR(__xludf.DUMMYFUNCTION("""COMPUTED_VALUE"""),0)</f>
        <v>0</v>
      </c>
      <c r="Q469" s="24">
        <f ca="1">IFERROR(__xludf.DUMMYFUNCTION("""COMPUTED_VALUE"""),2931.75)</f>
        <v>2931.75</v>
      </c>
      <c r="R469" s="20"/>
      <c r="S469" s="20"/>
      <c r="T469" s="20"/>
      <c r="U469" s="20"/>
      <c r="V469" s="20"/>
      <c r="W469" s="20"/>
      <c r="X469" s="20"/>
      <c r="Y469" s="20"/>
      <c r="Z469" s="20"/>
      <c r="AA469" s="20"/>
      <c r="AB469" s="20"/>
      <c r="AC469" s="20"/>
      <c r="AD469" s="20"/>
      <c r="AE469" s="20"/>
      <c r="AF469" s="24">
        <f ca="1">IFERROR(__xludf.DUMMYFUNCTION("""COMPUTED_VALUE"""),115568.209999999)</f>
        <v>115568.209999999</v>
      </c>
      <c r="AG469" s="24">
        <f ca="1">IFERROR(__xludf.DUMMYFUNCTION("""COMPUTED_VALUE"""),0)</f>
        <v>0</v>
      </c>
      <c r="AH469" s="24">
        <f ca="1">IFERROR(__xludf.DUMMYFUNCTION("""COMPUTED_VALUE"""),0)</f>
        <v>0</v>
      </c>
      <c r="AI469" s="24">
        <f ca="1">IFERROR(__xludf.DUMMYFUNCTION("""COMPUTED_VALUE"""),88093.5)</f>
        <v>88093.5</v>
      </c>
      <c r="AJ469" s="24">
        <f ca="1">IFERROR(__xludf.DUMMYFUNCTION("""COMPUTED_VALUE"""),27474.71)</f>
        <v>27474.71</v>
      </c>
      <c r="AK469" s="24">
        <f ca="1">IFERROR(__xludf.DUMMYFUNCTION("""COMPUTED_VALUE"""),0)</f>
        <v>0</v>
      </c>
      <c r="AL469" s="24">
        <f ca="1">IFERROR(__xludf.DUMMYFUNCTION("""COMPUTED_VALUE"""),0)</f>
        <v>0</v>
      </c>
      <c r="AM469" s="20"/>
      <c r="AN469" s="20"/>
      <c r="AO469" s="20"/>
      <c r="AP469" s="20"/>
      <c r="AQ469" s="20"/>
      <c r="AR469" s="24">
        <f ca="1">IFERROR(__xludf.DUMMYFUNCTION("""COMPUTED_VALUE"""),0)</f>
        <v>0</v>
      </c>
      <c r="AS469" s="20"/>
      <c r="AT469" s="20"/>
      <c r="AU469" s="20"/>
      <c r="AV469" s="20"/>
      <c r="AW469" s="20"/>
      <c r="AX469" s="24">
        <f ca="1">IFERROR(__xludf.DUMMYFUNCTION("""COMPUTED_VALUE"""),56184.21)</f>
        <v>56184.21</v>
      </c>
      <c r="AY469" s="24">
        <f ca="1">IFERROR(__xludf.DUMMYFUNCTION("""COMPUTED_VALUE"""),0)</f>
        <v>0</v>
      </c>
      <c r="AZ469" s="24">
        <f ca="1">IFERROR(__xludf.DUMMYFUNCTION("""COMPUTED_VALUE"""),0)</f>
        <v>0</v>
      </c>
      <c r="BA469" s="24">
        <f ca="1">IFERROR(__xludf.DUMMYFUNCTION("""COMPUTED_VALUE"""),42784)</f>
        <v>42784</v>
      </c>
      <c r="BB469" s="24">
        <f ca="1">IFERROR(__xludf.DUMMYFUNCTION("""COMPUTED_VALUE"""),13400.21)</f>
        <v>13400.21</v>
      </c>
      <c r="BC469" s="24">
        <f ca="1">IFERROR(__xludf.DUMMYFUNCTION("""COMPUTED_VALUE"""),0)</f>
        <v>0</v>
      </c>
      <c r="BD469" s="24">
        <f ca="1">IFERROR(__xludf.DUMMYFUNCTION("""COMPUTED_VALUE"""),59384)</f>
        <v>59384</v>
      </c>
      <c r="BE469" s="24">
        <f ca="1">IFERROR(__xludf.DUMMYFUNCTION("""COMPUTED_VALUE"""),0)</f>
        <v>0</v>
      </c>
      <c r="BF469" s="24">
        <f ca="1">IFERROR(__xludf.DUMMYFUNCTION("""COMPUTED_VALUE"""),0)</f>
        <v>0</v>
      </c>
      <c r="BG469" s="24">
        <f ca="1">IFERROR(__xludf.DUMMYFUNCTION("""COMPUTED_VALUE"""),45309.5)</f>
        <v>45309.5</v>
      </c>
      <c r="BH469" s="24">
        <f ca="1">IFERROR(__xludf.DUMMYFUNCTION("""COMPUTED_VALUE"""),14074.5)</f>
        <v>14074.5</v>
      </c>
      <c r="BI469" s="24">
        <f ca="1">IFERROR(__xludf.DUMMYFUNCTION("""COMPUTED_VALUE"""),0)</f>
        <v>0</v>
      </c>
      <c r="BJ469" s="24">
        <f ca="1">IFERROR(__xludf.DUMMYFUNCTION("""COMPUTED_VALUE"""),0)</f>
        <v>0</v>
      </c>
      <c r="BK469" s="20"/>
      <c r="BL469" s="20"/>
      <c r="BM469" s="20"/>
      <c r="BN469" s="20"/>
      <c r="BO469" s="20"/>
      <c r="BP469" s="24">
        <f ca="1">IFERROR(__xludf.DUMMYFUNCTION("""COMPUTED_VALUE"""),0)</f>
        <v>0</v>
      </c>
      <c r="BQ469" s="20"/>
      <c r="BR469" s="20"/>
      <c r="BS469" s="20"/>
      <c r="BT469" s="20"/>
      <c r="BU469" s="20"/>
      <c r="BV469" s="24">
        <f ca="1">IFERROR(__xludf.DUMMYFUNCTION("""COMPUTED_VALUE"""),0)</f>
        <v>0</v>
      </c>
      <c r="BW469" s="20"/>
      <c r="BX469" s="20"/>
      <c r="BY469" s="20"/>
      <c r="BZ469" s="20"/>
      <c r="CA469" s="20"/>
      <c r="CB469" s="20"/>
      <c r="CC469" s="20"/>
      <c r="CD469" s="20"/>
      <c r="CE469" s="20"/>
      <c r="CF469" s="20"/>
      <c r="CG469" s="20"/>
      <c r="CH469" s="20"/>
      <c r="CI469" s="20"/>
      <c r="CJ469" s="20"/>
      <c r="CK469" s="20"/>
      <c r="CL469" s="20"/>
      <c r="CM469" s="20"/>
      <c r="CN469" s="20"/>
      <c r="CO469" s="20"/>
      <c r="CP469" s="20"/>
      <c r="CQ469" s="20"/>
      <c r="CR469" s="20"/>
      <c r="CS469" s="20"/>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row>
    <row r="470" spans="1:123" ht="64.5" customHeight="1" x14ac:dyDescent="0.2">
      <c r="A470" s="44"/>
      <c r="B470" s="20" t="str">
        <f ca="1">IFERROR(__xludf.DUMMYFUNCTION("""COMPUTED_VALUE"""),"(ЗТО) г.о. Наро-Фоминск")</f>
        <v>(ЗТО) г.о. Наро-Фоминск</v>
      </c>
      <c r="C470"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0" s="20"/>
      <c r="E470" s="20" t="str">
        <f ca="1">IFERROR(__xludf.DUMMYFUNCTION("""COMPUTED_VALUE"""),"Строительство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3800000"&amp;",00 руб., из них средства бюджета города Москвы – 2899370,00 руб. средства бюджета Московской области, средства бюджета муниципального образования - 900630,00 руб.)")</f>
        <v>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3800000,00 руб., из них средства бюджета города Москвы – 2899370,00 руб. средства бюджета Московской области, средства бюджета муниципального образования - 900630,00 руб.)</v>
      </c>
      <c r="F470" s="20" t="str">
        <f ca="1">IFERROR(__xludf.DUMMYFUNCTION("""COMPUTED_VALUE"""),"КНК")</f>
        <v>КНК</v>
      </c>
      <c r="G470" s="20" t="str">
        <f ca="1">IFERROR(__xludf.DUMMYFUNCTION("""COMPUTED_VALUE"""),"2020-2021")</f>
        <v>2020-2021</v>
      </c>
      <c r="H470" s="20" t="str">
        <f ca="1">IFERROR(__xludf.DUMMYFUNCTION("""COMPUTED_VALUE"""),"СМР")</f>
        <v>СМР</v>
      </c>
      <c r="I470" s="20"/>
      <c r="J470" s="20"/>
      <c r="K470" s="20"/>
      <c r="L470" s="20"/>
      <c r="M470" s="20"/>
      <c r="N470" s="20"/>
      <c r="O470" s="24">
        <f ca="1">IFERROR(__xludf.DUMMYFUNCTION("""COMPUTED_VALUE"""),0)</f>
        <v>0</v>
      </c>
      <c r="P470" s="24">
        <f ca="1">IFERROR(__xludf.DUMMYFUNCTION("""COMPUTED_VALUE"""),0)</f>
        <v>0</v>
      </c>
      <c r="Q470" s="24">
        <f ca="1">IFERROR(__xludf.DUMMYFUNCTION("""COMPUTED_VALUE"""),2899.37)</f>
        <v>2899.37</v>
      </c>
      <c r="R470" s="20"/>
      <c r="S470" s="20"/>
      <c r="T470" s="20"/>
      <c r="U470" s="20"/>
      <c r="V470" s="20"/>
      <c r="W470" s="20"/>
      <c r="X470" s="20"/>
      <c r="Y470" s="20"/>
      <c r="Z470" s="20"/>
      <c r="AA470" s="20"/>
      <c r="AB470" s="20"/>
      <c r="AC470" s="20"/>
      <c r="AD470" s="20"/>
      <c r="AE470" s="20"/>
      <c r="AF470" s="24">
        <f ca="1">IFERROR(__xludf.DUMMYFUNCTION("""COMPUTED_VALUE"""),14904.51)</f>
        <v>14904.51</v>
      </c>
      <c r="AG470" s="24">
        <f ca="1">IFERROR(__xludf.DUMMYFUNCTION("""COMPUTED_VALUE"""),0)</f>
        <v>0</v>
      </c>
      <c r="AH470" s="24">
        <f ca="1">IFERROR(__xludf.DUMMYFUNCTION("""COMPUTED_VALUE"""),0)</f>
        <v>0</v>
      </c>
      <c r="AI470" s="24">
        <f ca="1">IFERROR(__xludf.DUMMYFUNCTION("""COMPUTED_VALUE"""),11371.9)</f>
        <v>11371.9</v>
      </c>
      <c r="AJ470" s="24">
        <f ca="1">IFERROR(__xludf.DUMMYFUNCTION("""COMPUTED_VALUE"""),3532.61)</f>
        <v>3532.61</v>
      </c>
      <c r="AK470" s="24">
        <f ca="1">IFERROR(__xludf.DUMMYFUNCTION("""COMPUTED_VALUE"""),0)</f>
        <v>0</v>
      </c>
      <c r="AL470" s="24">
        <f ca="1">IFERROR(__xludf.DUMMYFUNCTION("""COMPUTED_VALUE"""),0)</f>
        <v>0</v>
      </c>
      <c r="AM470" s="20"/>
      <c r="AN470" s="20"/>
      <c r="AO470" s="20"/>
      <c r="AP470" s="20"/>
      <c r="AQ470" s="20"/>
      <c r="AR470" s="24">
        <f ca="1">IFERROR(__xludf.DUMMYFUNCTION("""COMPUTED_VALUE"""),0)</f>
        <v>0</v>
      </c>
      <c r="AS470" s="20"/>
      <c r="AT470" s="20"/>
      <c r="AU470" s="20"/>
      <c r="AV470" s="20"/>
      <c r="AW470" s="20"/>
      <c r="AX470" s="24">
        <f ca="1">IFERROR(__xludf.DUMMYFUNCTION("""COMPUTED_VALUE"""),11034.5099999999)</f>
        <v>11034.5099999999</v>
      </c>
      <c r="AY470" s="24">
        <f ca="1">IFERROR(__xludf.DUMMYFUNCTION("""COMPUTED_VALUE"""),0)</f>
        <v>0</v>
      </c>
      <c r="AZ470" s="24">
        <f ca="1">IFERROR(__xludf.DUMMYFUNCTION("""COMPUTED_VALUE"""),0)</f>
        <v>0</v>
      </c>
      <c r="BA470" s="24">
        <f ca="1">IFERROR(__xludf.DUMMYFUNCTION("""COMPUTED_VALUE"""),8419.3)</f>
        <v>8419.2999999999993</v>
      </c>
      <c r="BB470" s="24">
        <f ca="1">IFERROR(__xludf.DUMMYFUNCTION("""COMPUTED_VALUE"""),2615.21)</f>
        <v>2615.21</v>
      </c>
      <c r="BC470" s="24">
        <f ca="1">IFERROR(__xludf.DUMMYFUNCTION("""COMPUTED_VALUE"""),0)</f>
        <v>0</v>
      </c>
      <c r="BD470" s="24">
        <f ca="1">IFERROR(__xludf.DUMMYFUNCTION("""COMPUTED_VALUE"""),3870)</f>
        <v>3870</v>
      </c>
      <c r="BE470" s="24">
        <f ca="1">IFERROR(__xludf.DUMMYFUNCTION("""COMPUTED_VALUE"""),0)</f>
        <v>0</v>
      </c>
      <c r="BF470" s="24">
        <f ca="1">IFERROR(__xludf.DUMMYFUNCTION("""COMPUTED_VALUE"""),0)</f>
        <v>0</v>
      </c>
      <c r="BG470" s="24">
        <f ca="1">IFERROR(__xludf.DUMMYFUNCTION("""COMPUTED_VALUE"""),2952.6)</f>
        <v>2952.6</v>
      </c>
      <c r="BH470" s="24">
        <f ca="1">IFERROR(__xludf.DUMMYFUNCTION("""COMPUTED_VALUE"""),917.4)</f>
        <v>917.4</v>
      </c>
      <c r="BI470" s="24">
        <f ca="1">IFERROR(__xludf.DUMMYFUNCTION("""COMPUTED_VALUE"""),0)</f>
        <v>0</v>
      </c>
      <c r="BJ470" s="24">
        <f ca="1">IFERROR(__xludf.DUMMYFUNCTION("""COMPUTED_VALUE"""),0)</f>
        <v>0</v>
      </c>
      <c r="BK470" s="20"/>
      <c r="BL470" s="20"/>
      <c r="BM470" s="20"/>
      <c r="BN470" s="20"/>
      <c r="BO470" s="20"/>
      <c r="BP470" s="24">
        <f ca="1">IFERROR(__xludf.DUMMYFUNCTION("""COMPUTED_VALUE"""),0)</f>
        <v>0</v>
      </c>
      <c r="BQ470" s="20"/>
      <c r="BR470" s="20"/>
      <c r="BS470" s="20"/>
      <c r="BT470" s="20"/>
      <c r="BU470" s="20"/>
      <c r="BV470" s="24">
        <f ca="1">IFERROR(__xludf.DUMMYFUNCTION("""COMPUTED_VALUE"""),0)</f>
        <v>0</v>
      </c>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row>
    <row r="471" spans="1:123" ht="64.5" customHeight="1" x14ac:dyDescent="0.2">
      <c r="A471" s="44"/>
      <c r="B471" s="20" t="str">
        <f ca="1">IFERROR(__xludf.DUMMYFUNCTION("""COMPUTED_VALUE"""),"(ЗТО) г.о. Наро-Фоминск")</f>
        <v>(ЗТО) г.о. Наро-Фоминск</v>
      </c>
      <c r="C471"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1" s="20"/>
      <c r="E471" s="20" t="str">
        <f ca="1">IFERROR(__xludf.DUMMYFUNCTION("""COMPUTED_VALUE"""),"Строительство канализационной насосной станции для подачи очищенных сточных вод от ЗТО в напорный коллектор, д. Могутово, Наро-Фоминского г.о.")</f>
        <v>Строительство канализационной насосной станции для подачи очищенных сточных вод от ЗТО в напорный коллектор, д. Могутово, Наро-Фоминского г.о.</v>
      </c>
      <c r="F471" s="20" t="str">
        <f ca="1">IFERROR(__xludf.DUMMYFUNCTION("""COMPUTED_VALUE"""),"КНС")</f>
        <v>КНС</v>
      </c>
      <c r="G471" s="20">
        <f ca="1">IFERROR(__xludf.DUMMYFUNCTION("""COMPUTED_VALUE"""),2020)</f>
        <v>2020</v>
      </c>
      <c r="H471" s="20" t="str">
        <f ca="1">IFERROR(__xludf.DUMMYFUNCTION("""COMPUTED_VALUE"""),"СМР")</f>
        <v>СМР</v>
      </c>
      <c r="I471" s="20"/>
      <c r="J471" s="20"/>
      <c r="K471" s="20"/>
      <c r="L471" s="20"/>
      <c r="M471" s="20"/>
      <c r="N471" s="20"/>
      <c r="O471" s="24">
        <f ca="1">IFERROR(__xludf.DUMMYFUNCTION("""COMPUTED_VALUE"""),0)</f>
        <v>0</v>
      </c>
      <c r="P471" s="24">
        <f ca="1">IFERROR(__xludf.DUMMYFUNCTION("""COMPUTED_VALUE"""),0)</f>
        <v>0</v>
      </c>
      <c r="Q471" s="24">
        <f ca="1">IFERROR(__xludf.DUMMYFUNCTION("""COMPUTED_VALUE"""),0)</f>
        <v>0</v>
      </c>
      <c r="R471" s="20"/>
      <c r="S471" s="20"/>
      <c r="T471" s="20"/>
      <c r="U471" s="20"/>
      <c r="V471" s="20"/>
      <c r="W471" s="20"/>
      <c r="X471" s="20"/>
      <c r="Y471" s="20"/>
      <c r="Z471" s="20"/>
      <c r="AA471" s="20"/>
      <c r="AB471" s="20"/>
      <c r="AC471" s="20"/>
      <c r="AD471" s="20"/>
      <c r="AE471" s="20"/>
      <c r="AF471" s="24">
        <f ca="1">IFERROR(__xludf.DUMMYFUNCTION("""COMPUTED_VALUE"""),10670.25)</f>
        <v>10670.25</v>
      </c>
      <c r="AG471" s="24">
        <f ca="1">IFERROR(__xludf.DUMMYFUNCTION("""COMPUTED_VALUE"""),0)</f>
        <v>0</v>
      </c>
      <c r="AH471" s="24">
        <f ca="1">IFERROR(__xludf.DUMMYFUNCTION("""COMPUTED_VALUE"""),0)</f>
        <v>0</v>
      </c>
      <c r="AI471" s="24">
        <f ca="1">IFERROR(__xludf.DUMMYFUNCTION("""COMPUTED_VALUE"""),8141.4)</f>
        <v>8141.4</v>
      </c>
      <c r="AJ471" s="24">
        <f ca="1">IFERROR(__xludf.DUMMYFUNCTION("""COMPUTED_VALUE"""),2528.85)</f>
        <v>2528.85</v>
      </c>
      <c r="AK471" s="24">
        <f ca="1">IFERROR(__xludf.DUMMYFUNCTION("""COMPUTED_VALUE"""),0)</f>
        <v>0</v>
      </c>
      <c r="AL471" s="24">
        <f ca="1">IFERROR(__xludf.DUMMYFUNCTION("""COMPUTED_VALUE"""),0)</f>
        <v>0</v>
      </c>
      <c r="AM471" s="20"/>
      <c r="AN471" s="20"/>
      <c r="AO471" s="20"/>
      <c r="AP471" s="20"/>
      <c r="AQ471" s="20"/>
      <c r="AR471" s="24">
        <f ca="1">IFERROR(__xludf.DUMMYFUNCTION("""COMPUTED_VALUE"""),0)</f>
        <v>0</v>
      </c>
      <c r="AS471" s="20"/>
      <c r="AT471" s="20"/>
      <c r="AU471" s="20"/>
      <c r="AV471" s="20"/>
      <c r="AW471" s="20"/>
      <c r="AX471" s="24">
        <f ca="1">IFERROR(__xludf.DUMMYFUNCTION("""COMPUTED_VALUE"""),10670.25)</f>
        <v>10670.25</v>
      </c>
      <c r="AY471" s="24">
        <f ca="1">IFERROR(__xludf.DUMMYFUNCTION("""COMPUTED_VALUE"""),0)</f>
        <v>0</v>
      </c>
      <c r="AZ471" s="24">
        <f ca="1">IFERROR(__xludf.DUMMYFUNCTION("""COMPUTED_VALUE"""),0)</f>
        <v>0</v>
      </c>
      <c r="BA471" s="24">
        <f ca="1">IFERROR(__xludf.DUMMYFUNCTION("""COMPUTED_VALUE"""),8141.4)</f>
        <v>8141.4</v>
      </c>
      <c r="BB471" s="24">
        <f ca="1">IFERROR(__xludf.DUMMYFUNCTION("""COMPUTED_VALUE"""),2528.85)</f>
        <v>2528.85</v>
      </c>
      <c r="BC471" s="24">
        <f ca="1">IFERROR(__xludf.DUMMYFUNCTION("""COMPUTED_VALUE"""),0)</f>
        <v>0</v>
      </c>
      <c r="BD471" s="24">
        <f ca="1">IFERROR(__xludf.DUMMYFUNCTION("""COMPUTED_VALUE"""),0)</f>
        <v>0</v>
      </c>
      <c r="BE471" s="24">
        <f ca="1">IFERROR(__xludf.DUMMYFUNCTION("""COMPUTED_VALUE"""),0)</f>
        <v>0</v>
      </c>
      <c r="BF471" s="24">
        <f ca="1">IFERROR(__xludf.DUMMYFUNCTION("""COMPUTED_VALUE"""),0)</f>
        <v>0</v>
      </c>
      <c r="BG471" s="24">
        <f ca="1">IFERROR(__xludf.DUMMYFUNCTION("""COMPUTED_VALUE"""),0)</f>
        <v>0</v>
      </c>
      <c r="BH471" s="24">
        <f ca="1">IFERROR(__xludf.DUMMYFUNCTION("""COMPUTED_VALUE"""),0)</f>
        <v>0</v>
      </c>
      <c r="BI471" s="24">
        <f ca="1">IFERROR(__xludf.DUMMYFUNCTION("""COMPUTED_VALUE"""),0)</f>
        <v>0</v>
      </c>
      <c r="BJ471" s="24">
        <f ca="1">IFERROR(__xludf.DUMMYFUNCTION("""COMPUTED_VALUE"""),0)</f>
        <v>0</v>
      </c>
      <c r="BK471" s="20"/>
      <c r="BL471" s="20"/>
      <c r="BM471" s="20"/>
      <c r="BN471" s="20"/>
      <c r="BO471" s="20"/>
      <c r="BP471" s="24">
        <f ca="1">IFERROR(__xludf.DUMMYFUNCTION("""COMPUTED_VALUE"""),0)</f>
        <v>0</v>
      </c>
      <c r="BQ471" s="20"/>
      <c r="BR471" s="20"/>
      <c r="BS471" s="20"/>
      <c r="BT471" s="20"/>
      <c r="BU471" s="20"/>
      <c r="BV471" s="24">
        <f ca="1">IFERROR(__xludf.DUMMYFUNCTION("""COMPUTED_VALUE"""),0)</f>
        <v>0</v>
      </c>
      <c r="BW471" s="20"/>
      <c r="BX471" s="20"/>
      <c r="BY471" s="20"/>
      <c r="BZ471" s="20"/>
      <c r="CA471" s="20"/>
      <c r="CB471" s="20"/>
      <c r="CC471" s="20"/>
      <c r="CD471" s="20"/>
      <c r="CE471" s="20"/>
      <c r="CF471" s="20"/>
      <c r="CG471" s="20"/>
      <c r="CH471" s="20"/>
      <c r="CI471" s="20"/>
      <c r="CJ471" s="20"/>
      <c r="CK471" s="20"/>
      <c r="CL471" s="20"/>
      <c r="CM471" s="20"/>
      <c r="CN471" s="20"/>
      <c r="CO471" s="20"/>
      <c r="CP471" s="20"/>
      <c r="CQ471" s="20"/>
      <c r="CR471" s="20"/>
      <c r="CS471" s="20"/>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row>
    <row r="472" spans="1:123" ht="64.5" customHeight="1" x14ac:dyDescent="0.2">
      <c r="A472" s="44"/>
      <c r="B472" s="20" t="str">
        <f ca="1">IFERROR(__xludf.DUMMYFUNCTION("""COMPUTED_VALUE"""),"(ЗТО) г.о. Богородский")</f>
        <v>(ЗТО) г.о. Богородский</v>
      </c>
      <c r="C472"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2" s="20"/>
      <c r="E472" s="20" t="str">
        <f ca="1">IFERROR(__xludf.DUMMYFUNCTION("""COMPUTED_VALUE"""),"Строительство ВЗУ  с сетями водоснабжения Ду 160 для технических нужд ЗТО, д. Тимохово, Богородский г.о. (в том числе ПИР) *")</f>
        <v>Строительство ВЗУ  с сетями водоснабжения Ду 160 для технических нужд ЗТО, д. Тимохово, Богородский г.о. (в том числе ПИР) *</v>
      </c>
      <c r="F472" s="20" t="str">
        <f ca="1">IFERROR(__xludf.DUMMYFUNCTION("""COMPUTED_VALUE"""),"ВЗУ")</f>
        <v>ВЗУ</v>
      </c>
      <c r="G472" s="20" t="str">
        <f ca="1">IFERROR(__xludf.DUMMYFUNCTION("""COMPUTED_VALUE"""),"2020-2021")</f>
        <v>2020-2021</v>
      </c>
      <c r="H472" s="20" t="str">
        <f ca="1">IFERROR(__xludf.DUMMYFUNCTION("""COMPUTED_VALUE"""),"СМР")</f>
        <v>СМР</v>
      </c>
      <c r="I472" s="20"/>
      <c r="J472" s="20"/>
      <c r="K472" s="20"/>
      <c r="L472" s="20"/>
      <c r="M472" s="20"/>
      <c r="N472" s="20"/>
      <c r="O472" s="24">
        <f ca="1">IFERROR(__xludf.DUMMYFUNCTION("""COMPUTED_VALUE"""),0)</f>
        <v>0</v>
      </c>
      <c r="P472" s="24">
        <f ca="1">IFERROR(__xludf.DUMMYFUNCTION("""COMPUTED_VALUE"""),0)</f>
        <v>0</v>
      </c>
      <c r="Q472" s="24">
        <f ca="1">IFERROR(__xludf.DUMMYFUNCTION("""COMPUTED_VALUE"""),0)</f>
        <v>0</v>
      </c>
      <c r="R472" s="20"/>
      <c r="S472" s="20"/>
      <c r="T472" s="20"/>
      <c r="U472" s="20"/>
      <c r="V472" s="20"/>
      <c r="W472" s="20"/>
      <c r="X472" s="20"/>
      <c r="Y472" s="20"/>
      <c r="Z472" s="20"/>
      <c r="AA472" s="20"/>
      <c r="AB472" s="20"/>
      <c r="AC472" s="20"/>
      <c r="AD472" s="20"/>
      <c r="AE472" s="20"/>
      <c r="AF472" s="24">
        <f ca="1">IFERROR(__xludf.DUMMYFUNCTION("""COMPUTED_VALUE"""),19704.67)</f>
        <v>19704.669999999998</v>
      </c>
      <c r="AG472" s="24">
        <f ca="1">IFERROR(__xludf.DUMMYFUNCTION("""COMPUTED_VALUE"""),0)</f>
        <v>0</v>
      </c>
      <c r="AH472" s="24">
        <f ca="1">IFERROR(__xludf.DUMMYFUNCTION("""COMPUTED_VALUE"""),0)</f>
        <v>0</v>
      </c>
      <c r="AI472" s="24">
        <f ca="1">IFERROR(__xludf.DUMMYFUNCTION("""COMPUTED_VALUE"""),14803)</f>
        <v>14803</v>
      </c>
      <c r="AJ472" s="24">
        <f ca="1">IFERROR(__xludf.DUMMYFUNCTION("""COMPUTED_VALUE"""),4901.67)</f>
        <v>4901.67</v>
      </c>
      <c r="AK472" s="24">
        <f ca="1">IFERROR(__xludf.DUMMYFUNCTION("""COMPUTED_VALUE"""),0)</f>
        <v>0</v>
      </c>
      <c r="AL472" s="24">
        <f ca="1">IFERROR(__xludf.DUMMYFUNCTION("""COMPUTED_VALUE"""),0)</f>
        <v>0</v>
      </c>
      <c r="AM472" s="20"/>
      <c r="AN472" s="20"/>
      <c r="AO472" s="20"/>
      <c r="AP472" s="20"/>
      <c r="AQ472" s="20"/>
      <c r="AR472" s="24">
        <f ca="1">IFERROR(__xludf.DUMMYFUNCTION("""COMPUTED_VALUE"""),0)</f>
        <v>0</v>
      </c>
      <c r="AS472" s="20"/>
      <c r="AT472" s="20"/>
      <c r="AU472" s="20"/>
      <c r="AV472" s="20"/>
      <c r="AW472" s="20"/>
      <c r="AX472" s="24">
        <f ca="1">IFERROR(__xludf.DUMMYFUNCTION("""COMPUTED_VALUE"""),7286.67)</f>
        <v>7286.67</v>
      </c>
      <c r="AY472" s="24">
        <f ca="1">IFERROR(__xludf.DUMMYFUNCTION("""COMPUTED_VALUE"""),0)</f>
        <v>0</v>
      </c>
      <c r="AZ472" s="24">
        <f ca="1">IFERROR(__xludf.DUMMYFUNCTION("""COMPUTED_VALUE"""),0)</f>
        <v>0</v>
      </c>
      <c r="BA472" s="24">
        <f ca="1">IFERROR(__xludf.DUMMYFUNCTION("""COMPUTED_VALUE"""),5465)</f>
        <v>5465</v>
      </c>
      <c r="BB472" s="24">
        <f ca="1">IFERROR(__xludf.DUMMYFUNCTION("""COMPUTED_VALUE"""),1821.67)</f>
        <v>1821.67</v>
      </c>
      <c r="BC472" s="24">
        <f ca="1">IFERROR(__xludf.DUMMYFUNCTION("""COMPUTED_VALUE"""),0)</f>
        <v>0</v>
      </c>
      <c r="BD472" s="24">
        <f ca="1">IFERROR(__xludf.DUMMYFUNCTION("""COMPUTED_VALUE"""),12418)</f>
        <v>12418</v>
      </c>
      <c r="BE472" s="24">
        <f ca="1">IFERROR(__xludf.DUMMYFUNCTION("""COMPUTED_VALUE"""),0)</f>
        <v>0</v>
      </c>
      <c r="BF472" s="24">
        <f ca="1">IFERROR(__xludf.DUMMYFUNCTION("""COMPUTED_VALUE"""),0)</f>
        <v>0</v>
      </c>
      <c r="BG472" s="24">
        <f ca="1">IFERROR(__xludf.DUMMYFUNCTION("""COMPUTED_VALUE"""),9338)</f>
        <v>9338</v>
      </c>
      <c r="BH472" s="24">
        <f ca="1">IFERROR(__xludf.DUMMYFUNCTION("""COMPUTED_VALUE"""),3080)</f>
        <v>3080</v>
      </c>
      <c r="BI472" s="24">
        <f ca="1">IFERROR(__xludf.DUMMYFUNCTION("""COMPUTED_VALUE"""),0)</f>
        <v>0</v>
      </c>
      <c r="BJ472" s="24">
        <f ca="1">IFERROR(__xludf.DUMMYFUNCTION("""COMPUTED_VALUE"""),0)</f>
        <v>0</v>
      </c>
      <c r="BK472" s="20"/>
      <c r="BL472" s="20"/>
      <c r="BM472" s="20"/>
      <c r="BN472" s="20"/>
      <c r="BO472" s="20"/>
      <c r="BP472" s="24">
        <f ca="1">IFERROR(__xludf.DUMMYFUNCTION("""COMPUTED_VALUE"""),0)</f>
        <v>0</v>
      </c>
      <c r="BQ472" s="20"/>
      <c r="BR472" s="20"/>
      <c r="BS472" s="20"/>
      <c r="BT472" s="20"/>
      <c r="BU472" s="20"/>
      <c r="BV472" s="24">
        <f ca="1">IFERROR(__xludf.DUMMYFUNCTION("""COMPUTED_VALUE"""),0)</f>
        <v>0</v>
      </c>
      <c r="BW472" s="20"/>
      <c r="BX472" s="20"/>
      <c r="BY472" s="20"/>
      <c r="BZ472" s="20"/>
      <c r="CA472" s="20"/>
      <c r="CB472" s="20"/>
      <c r="CC472" s="20"/>
      <c r="CD472" s="20"/>
      <c r="CE472" s="20"/>
      <c r="CF472" s="20"/>
      <c r="CG472" s="20"/>
      <c r="CH472" s="20"/>
      <c r="CI472" s="20"/>
      <c r="CJ472" s="20"/>
      <c r="CK472" s="20"/>
      <c r="CL472" s="20"/>
      <c r="CM472" s="20"/>
      <c r="CN472" s="20"/>
      <c r="CO472" s="20"/>
      <c r="CP472" s="20"/>
      <c r="CQ472" s="20"/>
      <c r="CR472" s="20"/>
      <c r="CS472" s="20"/>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row>
    <row r="473" spans="1:123" ht="64.5" customHeight="1" x14ac:dyDescent="0.2">
      <c r="A473" s="44"/>
      <c r="B473" s="20" t="str">
        <f ca="1">IFERROR(__xludf.DUMMYFUNCTION("""COMPUTED_VALUE"""),"(ЗТО) г.о. Богородский")</f>
        <v>(ЗТО) г.о. Богородский</v>
      </c>
      <c r="C473"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3" s="20"/>
      <c r="E473" s="20" t="str">
        <f ca="1">IFERROR(__xludf.DUMMYFUNCTION("""COMPUTED_VALUE"""),"Строительство сетей  водоснабжения Ду 80 для хозяйственно-бытовых нужд ЗТО,д.Тимохово, Богородский г.о. (в том числе ПИР)*")</f>
        <v>Строительство сетей  водоснабжения Ду 80 для хозяйственно-бытовых нужд ЗТО,д.Тимохово, Богородский г.о. (в том числе ПИР)*</v>
      </c>
      <c r="F473" s="20" t="str">
        <f ca="1">IFERROR(__xludf.DUMMYFUNCTION("""COMPUTED_VALUE"""),"Сети")</f>
        <v>Сети</v>
      </c>
      <c r="G473" s="20" t="str">
        <f ca="1">IFERROR(__xludf.DUMMYFUNCTION("""COMPUTED_VALUE"""),"2020-2021")</f>
        <v>2020-2021</v>
      </c>
      <c r="H473" s="20" t="str">
        <f ca="1">IFERROR(__xludf.DUMMYFUNCTION("""COMPUTED_VALUE"""),"СМР")</f>
        <v>СМР</v>
      </c>
      <c r="I473" s="20"/>
      <c r="J473" s="20"/>
      <c r="K473" s="20"/>
      <c r="L473" s="20"/>
      <c r="M473" s="20"/>
      <c r="N473" s="20"/>
      <c r="O473" s="24">
        <f ca="1">IFERROR(__xludf.DUMMYFUNCTION("""COMPUTED_VALUE"""),0)</f>
        <v>0</v>
      </c>
      <c r="P473" s="24">
        <f ca="1">IFERROR(__xludf.DUMMYFUNCTION("""COMPUTED_VALUE"""),0)</f>
        <v>0</v>
      </c>
      <c r="Q473" s="24">
        <f ca="1">IFERROR(__xludf.DUMMYFUNCTION("""COMPUTED_VALUE"""),0)</f>
        <v>0</v>
      </c>
      <c r="R473" s="20"/>
      <c r="S473" s="20"/>
      <c r="T473" s="20"/>
      <c r="U473" s="20"/>
      <c r="V473" s="20"/>
      <c r="W473" s="20"/>
      <c r="X473" s="20"/>
      <c r="Y473" s="20"/>
      <c r="Z473" s="20"/>
      <c r="AA473" s="20"/>
      <c r="AB473" s="20"/>
      <c r="AC473" s="20"/>
      <c r="AD473" s="20"/>
      <c r="AE473" s="20"/>
      <c r="AF473" s="24">
        <f ca="1">IFERROR(__xludf.DUMMYFUNCTION("""COMPUTED_VALUE"""),18610.33)</f>
        <v>18610.330000000002</v>
      </c>
      <c r="AG473" s="24">
        <f ca="1">IFERROR(__xludf.DUMMYFUNCTION("""COMPUTED_VALUE"""),0)</f>
        <v>0</v>
      </c>
      <c r="AH473" s="24">
        <f ca="1">IFERROR(__xludf.DUMMYFUNCTION("""COMPUTED_VALUE"""),0)</f>
        <v>0</v>
      </c>
      <c r="AI473" s="24">
        <f ca="1">IFERROR(__xludf.DUMMYFUNCTION("""COMPUTED_VALUE"""),13984)</f>
        <v>13984</v>
      </c>
      <c r="AJ473" s="24">
        <f ca="1">IFERROR(__xludf.DUMMYFUNCTION("""COMPUTED_VALUE"""),4626.33)</f>
        <v>4626.33</v>
      </c>
      <c r="AK473" s="24">
        <f ca="1">IFERROR(__xludf.DUMMYFUNCTION("""COMPUTED_VALUE"""),0)</f>
        <v>0</v>
      </c>
      <c r="AL473" s="24">
        <f ca="1">IFERROR(__xludf.DUMMYFUNCTION("""COMPUTED_VALUE"""),0)</f>
        <v>0</v>
      </c>
      <c r="AM473" s="20"/>
      <c r="AN473" s="20"/>
      <c r="AO473" s="20"/>
      <c r="AP473" s="20"/>
      <c r="AQ473" s="20"/>
      <c r="AR473" s="24">
        <f ca="1">IFERROR(__xludf.DUMMYFUNCTION("""COMPUTED_VALUE"""),0)</f>
        <v>0</v>
      </c>
      <c r="AS473" s="20"/>
      <c r="AT473" s="20"/>
      <c r="AU473" s="20"/>
      <c r="AV473" s="20"/>
      <c r="AW473" s="20"/>
      <c r="AX473" s="24">
        <f ca="1">IFERROR(__xludf.DUMMYFUNCTION("""COMPUTED_VALUE"""),4801.33)</f>
        <v>4801.33</v>
      </c>
      <c r="AY473" s="24">
        <f ca="1">IFERROR(__xludf.DUMMYFUNCTION("""COMPUTED_VALUE"""),0)</f>
        <v>0</v>
      </c>
      <c r="AZ473" s="24">
        <f ca="1">IFERROR(__xludf.DUMMYFUNCTION("""COMPUTED_VALUE"""),0)</f>
        <v>0</v>
      </c>
      <c r="BA473" s="24">
        <f ca="1">IFERROR(__xludf.DUMMYFUNCTION("""COMPUTED_VALUE"""),3601)</f>
        <v>3601</v>
      </c>
      <c r="BB473" s="24">
        <f ca="1">IFERROR(__xludf.DUMMYFUNCTION("""COMPUTED_VALUE"""),1200.33)</f>
        <v>1200.33</v>
      </c>
      <c r="BC473" s="24">
        <f ca="1">IFERROR(__xludf.DUMMYFUNCTION("""COMPUTED_VALUE"""),0)</f>
        <v>0</v>
      </c>
      <c r="BD473" s="24">
        <f ca="1">IFERROR(__xludf.DUMMYFUNCTION("""COMPUTED_VALUE"""),13809)</f>
        <v>13809</v>
      </c>
      <c r="BE473" s="24">
        <f ca="1">IFERROR(__xludf.DUMMYFUNCTION("""COMPUTED_VALUE"""),0)</f>
        <v>0</v>
      </c>
      <c r="BF473" s="24">
        <f ca="1">IFERROR(__xludf.DUMMYFUNCTION("""COMPUTED_VALUE"""),0)</f>
        <v>0</v>
      </c>
      <c r="BG473" s="24">
        <f ca="1">IFERROR(__xludf.DUMMYFUNCTION("""COMPUTED_VALUE"""),10383)</f>
        <v>10383</v>
      </c>
      <c r="BH473" s="24">
        <f ca="1">IFERROR(__xludf.DUMMYFUNCTION("""COMPUTED_VALUE"""),3426)</f>
        <v>3426</v>
      </c>
      <c r="BI473" s="24">
        <f ca="1">IFERROR(__xludf.DUMMYFUNCTION("""COMPUTED_VALUE"""),0)</f>
        <v>0</v>
      </c>
      <c r="BJ473" s="24">
        <f ca="1">IFERROR(__xludf.DUMMYFUNCTION("""COMPUTED_VALUE"""),0)</f>
        <v>0</v>
      </c>
      <c r="BK473" s="20"/>
      <c r="BL473" s="20"/>
      <c r="BM473" s="20"/>
      <c r="BN473" s="20"/>
      <c r="BO473" s="20"/>
      <c r="BP473" s="24">
        <f ca="1">IFERROR(__xludf.DUMMYFUNCTION("""COMPUTED_VALUE"""),0)</f>
        <v>0</v>
      </c>
      <c r="BQ473" s="20"/>
      <c r="BR473" s="20"/>
      <c r="BS473" s="20"/>
      <c r="BT473" s="20"/>
      <c r="BU473" s="20"/>
      <c r="BV473" s="24">
        <f ca="1">IFERROR(__xludf.DUMMYFUNCTION("""COMPUTED_VALUE"""),0)</f>
        <v>0</v>
      </c>
      <c r="BW473" s="20"/>
      <c r="BX473" s="20"/>
      <c r="BY473" s="20"/>
      <c r="BZ473" s="20"/>
      <c r="CA473" s="20"/>
      <c r="CB473" s="20"/>
      <c r="CC473" s="20"/>
      <c r="CD473" s="20"/>
      <c r="CE473" s="20"/>
      <c r="CF473" s="20"/>
      <c r="CG473" s="20"/>
      <c r="CH473" s="20"/>
      <c r="CI473" s="20"/>
      <c r="CJ473" s="20"/>
      <c r="CK473" s="20"/>
      <c r="CL473" s="20"/>
      <c r="CM473" s="20"/>
      <c r="CN473" s="20"/>
      <c r="CO473" s="20"/>
      <c r="CP473" s="20"/>
      <c r="CQ473" s="20"/>
      <c r="CR473" s="20"/>
      <c r="CS473" s="20"/>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row>
    <row r="474" spans="1:123" ht="64.5" customHeight="1" x14ac:dyDescent="0.2">
      <c r="A474" s="44"/>
      <c r="B474" s="20" t="str">
        <f ca="1">IFERROR(__xludf.DUMMYFUNCTION("""COMPUTED_VALUE"""),"(ЗТО) г.о. Богородский")</f>
        <v>(ЗТО) г.о. Богородский</v>
      </c>
      <c r="C474"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4" s="20"/>
      <c r="E474" s="20" t="str">
        <f ca="1">IFERROR(__xludf.DUMMYFUNCTION("""COMPUTED_VALUE"""),"Строительство напорного коллектора Ду200 от ЗТО  до точки сброса в водный объект, д. Тимохово, Богородский г.о. (в том числе ПИР)*")</f>
        <v>Строительство напорного коллектора Ду200 от ЗТО  до точки сброса в водный объект, д. Тимохово, Богородский г.о. (в том числе ПИР)*</v>
      </c>
      <c r="F474" s="20" t="str">
        <f ca="1">IFERROR(__xludf.DUMMYFUNCTION("""COMPUTED_VALUE"""),"КНК")</f>
        <v>КНК</v>
      </c>
      <c r="G474" s="20" t="str">
        <f ca="1">IFERROR(__xludf.DUMMYFUNCTION("""COMPUTED_VALUE"""),"2020-2021")</f>
        <v>2020-2021</v>
      </c>
      <c r="H474" s="20" t="str">
        <f ca="1">IFERROR(__xludf.DUMMYFUNCTION("""COMPUTED_VALUE"""),"СМР")</f>
        <v>СМР</v>
      </c>
      <c r="I474" s="20"/>
      <c r="J474" s="20"/>
      <c r="K474" s="20"/>
      <c r="L474" s="20"/>
      <c r="M474" s="20"/>
      <c r="N474" s="20"/>
      <c r="O474" s="24">
        <f ca="1">IFERROR(__xludf.DUMMYFUNCTION("""COMPUTED_VALUE"""),0)</f>
        <v>0</v>
      </c>
      <c r="P474" s="24">
        <f ca="1">IFERROR(__xludf.DUMMYFUNCTION("""COMPUTED_VALUE"""),0)</f>
        <v>0</v>
      </c>
      <c r="Q474" s="24">
        <f ca="1">IFERROR(__xludf.DUMMYFUNCTION("""COMPUTED_VALUE"""),0)</f>
        <v>0</v>
      </c>
      <c r="R474" s="20"/>
      <c r="S474" s="20"/>
      <c r="T474" s="20"/>
      <c r="U474" s="20"/>
      <c r="V474" s="20"/>
      <c r="W474" s="20"/>
      <c r="X474" s="20"/>
      <c r="Y474" s="20"/>
      <c r="Z474" s="20"/>
      <c r="AA474" s="20"/>
      <c r="AB474" s="20"/>
      <c r="AC474" s="20"/>
      <c r="AD474" s="20"/>
      <c r="AE474" s="20"/>
      <c r="AF474" s="24">
        <f ca="1">IFERROR(__xludf.DUMMYFUNCTION("""COMPUTED_VALUE"""),1793.33)</f>
        <v>1793.33</v>
      </c>
      <c r="AG474" s="24">
        <f ca="1">IFERROR(__xludf.DUMMYFUNCTION("""COMPUTED_VALUE"""),0)</f>
        <v>0</v>
      </c>
      <c r="AH474" s="24">
        <f ca="1">IFERROR(__xludf.DUMMYFUNCTION("""COMPUTED_VALUE"""),0)</f>
        <v>0</v>
      </c>
      <c r="AI474" s="24">
        <f ca="1">IFERROR(__xludf.DUMMYFUNCTION("""COMPUTED_VALUE"""),1349)</f>
        <v>1349</v>
      </c>
      <c r="AJ474" s="24">
        <f ca="1">IFERROR(__xludf.DUMMYFUNCTION("""COMPUTED_VALUE"""),444.33)</f>
        <v>444.33</v>
      </c>
      <c r="AK474" s="24">
        <f ca="1">IFERROR(__xludf.DUMMYFUNCTION("""COMPUTED_VALUE"""),0)</f>
        <v>0</v>
      </c>
      <c r="AL474" s="24">
        <f ca="1">IFERROR(__xludf.DUMMYFUNCTION("""COMPUTED_VALUE"""),0)</f>
        <v>0</v>
      </c>
      <c r="AM474" s="20"/>
      <c r="AN474" s="20"/>
      <c r="AO474" s="20"/>
      <c r="AP474" s="20"/>
      <c r="AQ474" s="20"/>
      <c r="AR474" s="24">
        <f ca="1">IFERROR(__xludf.DUMMYFUNCTION("""COMPUTED_VALUE"""),0)</f>
        <v>0</v>
      </c>
      <c r="AS474" s="20"/>
      <c r="AT474" s="20"/>
      <c r="AU474" s="20"/>
      <c r="AV474" s="20"/>
      <c r="AW474" s="20"/>
      <c r="AX474" s="24">
        <f ca="1">IFERROR(__xludf.DUMMYFUNCTION("""COMPUTED_VALUE"""),461.33)</f>
        <v>461.33</v>
      </c>
      <c r="AY474" s="24">
        <f ca="1">IFERROR(__xludf.DUMMYFUNCTION("""COMPUTED_VALUE"""),0)</f>
        <v>0</v>
      </c>
      <c r="AZ474" s="24">
        <f ca="1">IFERROR(__xludf.DUMMYFUNCTION("""COMPUTED_VALUE"""),0)</f>
        <v>0</v>
      </c>
      <c r="BA474" s="24">
        <f ca="1">IFERROR(__xludf.DUMMYFUNCTION("""COMPUTED_VALUE"""),346)</f>
        <v>346</v>
      </c>
      <c r="BB474" s="24">
        <f ca="1">IFERROR(__xludf.DUMMYFUNCTION("""COMPUTED_VALUE"""),115.33)</f>
        <v>115.33</v>
      </c>
      <c r="BC474" s="24">
        <f ca="1">IFERROR(__xludf.DUMMYFUNCTION("""COMPUTED_VALUE"""),0)</f>
        <v>0</v>
      </c>
      <c r="BD474" s="24">
        <f ca="1">IFERROR(__xludf.DUMMYFUNCTION("""COMPUTED_VALUE"""),1332)</f>
        <v>1332</v>
      </c>
      <c r="BE474" s="24">
        <f ca="1">IFERROR(__xludf.DUMMYFUNCTION("""COMPUTED_VALUE"""),0)</f>
        <v>0</v>
      </c>
      <c r="BF474" s="24">
        <f ca="1">IFERROR(__xludf.DUMMYFUNCTION("""COMPUTED_VALUE"""),0)</f>
        <v>0</v>
      </c>
      <c r="BG474" s="24">
        <f ca="1">IFERROR(__xludf.DUMMYFUNCTION("""COMPUTED_VALUE"""),1003)</f>
        <v>1003</v>
      </c>
      <c r="BH474" s="24">
        <f ca="1">IFERROR(__xludf.DUMMYFUNCTION("""COMPUTED_VALUE"""),329)</f>
        <v>329</v>
      </c>
      <c r="BI474" s="24">
        <f ca="1">IFERROR(__xludf.DUMMYFUNCTION("""COMPUTED_VALUE"""),0)</f>
        <v>0</v>
      </c>
      <c r="BJ474" s="24">
        <f ca="1">IFERROR(__xludf.DUMMYFUNCTION("""COMPUTED_VALUE"""),0)</f>
        <v>0</v>
      </c>
      <c r="BK474" s="20"/>
      <c r="BL474" s="20"/>
      <c r="BM474" s="20"/>
      <c r="BN474" s="20"/>
      <c r="BO474" s="20"/>
      <c r="BP474" s="24">
        <f ca="1">IFERROR(__xludf.DUMMYFUNCTION("""COMPUTED_VALUE"""),0)</f>
        <v>0</v>
      </c>
      <c r="BQ474" s="20"/>
      <c r="BR474" s="20"/>
      <c r="BS474" s="20"/>
      <c r="BT474" s="20"/>
      <c r="BU474" s="20"/>
      <c r="BV474" s="24">
        <f ca="1">IFERROR(__xludf.DUMMYFUNCTION("""COMPUTED_VALUE"""),0)</f>
        <v>0</v>
      </c>
      <c r="BW474" s="20"/>
      <c r="BX474" s="20"/>
      <c r="BY474" s="20"/>
      <c r="BZ474" s="20"/>
      <c r="CA474" s="20"/>
      <c r="CB474" s="20"/>
      <c r="CC474" s="20"/>
      <c r="CD474" s="20"/>
      <c r="CE474" s="20"/>
      <c r="CF474" s="20"/>
      <c r="CG474" s="20"/>
      <c r="CH474" s="20"/>
      <c r="CI474" s="20"/>
      <c r="CJ474" s="20"/>
      <c r="CK474" s="20"/>
      <c r="CL474" s="20"/>
      <c r="CM474" s="20"/>
      <c r="CN474" s="20"/>
      <c r="CO474" s="20"/>
      <c r="CP474" s="20"/>
      <c r="CQ474" s="20"/>
      <c r="CR474" s="20"/>
      <c r="CS474" s="20"/>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row>
    <row r="475" spans="1:123" ht="64.5" customHeight="1" x14ac:dyDescent="0.2">
      <c r="A475" s="44"/>
      <c r="B475" s="20" t="str">
        <f ca="1">IFERROR(__xludf.DUMMYFUNCTION("""COMPUTED_VALUE"""),"(ЗТО) г.о. Солнечногорск")</f>
        <v>(ЗТО) г.о. Солнечногорск</v>
      </c>
      <c r="C475"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5" s="20"/>
      <c r="E475" s="20" t="str">
        <f ca="1">IFERROR(__xludf.DUMMYFUNCTION("""COMPUTED_VALUE"""),"Строительство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f>
        <v xml:space="preserv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v>
      </c>
      <c r="F475" s="20" t="str">
        <f ca="1">IFERROR(__xludf.DUMMYFUNCTION("""COMPUTED_VALUE"""),"ВЗУ")</f>
        <v>ВЗУ</v>
      </c>
      <c r="G475" s="20" t="str">
        <f ca="1">IFERROR(__xludf.DUMMYFUNCTION("""COMPUTED_VALUE"""),"2020-2021")</f>
        <v>2020-2021</v>
      </c>
      <c r="H475" s="20" t="str">
        <f ca="1">IFERROR(__xludf.DUMMYFUNCTION("""COMPUTED_VALUE"""),"СМР")</f>
        <v>СМР</v>
      </c>
      <c r="I475" s="20"/>
      <c r="J475" s="20"/>
      <c r="K475" s="20"/>
      <c r="L475" s="20"/>
      <c r="M475" s="20"/>
      <c r="N475" s="20"/>
      <c r="O475" s="24">
        <f ca="1">IFERROR(__xludf.DUMMYFUNCTION("""COMPUTED_VALUE"""),0)</f>
        <v>0</v>
      </c>
      <c r="P475" s="24">
        <f ca="1">IFERROR(__xludf.DUMMYFUNCTION("""COMPUTED_VALUE"""),0)</f>
        <v>0</v>
      </c>
      <c r="Q475" s="24">
        <f ca="1">IFERROR(__xludf.DUMMYFUNCTION("""COMPUTED_VALUE"""),0)</f>
        <v>0</v>
      </c>
      <c r="R475" s="20"/>
      <c r="S475" s="20"/>
      <c r="T475" s="20"/>
      <c r="U475" s="20"/>
      <c r="V475" s="20"/>
      <c r="W475" s="20"/>
      <c r="X475" s="20"/>
      <c r="Y475" s="20"/>
      <c r="Z475" s="20"/>
      <c r="AA475" s="20"/>
      <c r="AB475" s="20"/>
      <c r="AC475" s="20"/>
      <c r="AD475" s="20"/>
      <c r="AE475" s="20"/>
      <c r="AF475" s="24">
        <f ca="1">IFERROR(__xludf.DUMMYFUNCTION("""COMPUTED_VALUE"""),39201.36)</f>
        <v>39201.360000000001</v>
      </c>
      <c r="AG475" s="24">
        <f ca="1">IFERROR(__xludf.DUMMYFUNCTION("""COMPUTED_VALUE"""),0)</f>
        <v>0</v>
      </c>
      <c r="AH475" s="24">
        <f ca="1">IFERROR(__xludf.DUMMYFUNCTION("""COMPUTED_VALUE"""),0)</f>
        <v>0</v>
      </c>
      <c r="AI475" s="24">
        <f ca="1">IFERROR(__xludf.DUMMYFUNCTION("""COMPUTED_VALUE"""),24470.5)</f>
        <v>24470.5</v>
      </c>
      <c r="AJ475" s="24">
        <f ca="1">IFERROR(__xludf.DUMMYFUNCTION("""COMPUTED_VALUE"""),14730.86)</f>
        <v>14730.86</v>
      </c>
      <c r="AK475" s="24">
        <f ca="1">IFERROR(__xludf.DUMMYFUNCTION("""COMPUTED_VALUE"""),0)</f>
        <v>0</v>
      </c>
      <c r="AL475" s="24">
        <f ca="1">IFERROR(__xludf.DUMMYFUNCTION("""COMPUTED_VALUE"""),0)</f>
        <v>0</v>
      </c>
      <c r="AM475" s="20"/>
      <c r="AN475" s="20"/>
      <c r="AO475" s="20"/>
      <c r="AP475" s="20"/>
      <c r="AQ475" s="20"/>
      <c r="AR475" s="24">
        <f ca="1">IFERROR(__xludf.DUMMYFUNCTION("""COMPUTED_VALUE"""),0)</f>
        <v>0</v>
      </c>
      <c r="AS475" s="20"/>
      <c r="AT475" s="20"/>
      <c r="AU475" s="20"/>
      <c r="AV475" s="20"/>
      <c r="AW475" s="20"/>
      <c r="AX475" s="24">
        <f ca="1">IFERROR(__xludf.DUMMYFUNCTION("""COMPUTED_VALUE"""),22300.36)</f>
        <v>22300.36</v>
      </c>
      <c r="AY475" s="24">
        <f ca="1">IFERROR(__xludf.DUMMYFUNCTION("""COMPUTED_VALUE"""),0)</f>
        <v>0</v>
      </c>
      <c r="AZ475" s="24">
        <f ca="1">IFERROR(__xludf.DUMMYFUNCTION("""COMPUTED_VALUE"""),0)</f>
        <v>0</v>
      </c>
      <c r="BA475" s="24">
        <f ca="1">IFERROR(__xludf.DUMMYFUNCTION("""COMPUTED_VALUE"""),12082.5)</f>
        <v>12082.5</v>
      </c>
      <c r="BB475" s="24">
        <f ca="1">IFERROR(__xludf.DUMMYFUNCTION("""COMPUTED_VALUE"""),10217.86)</f>
        <v>10217.86</v>
      </c>
      <c r="BC475" s="24">
        <f ca="1">IFERROR(__xludf.DUMMYFUNCTION("""COMPUTED_VALUE"""),0)</f>
        <v>0</v>
      </c>
      <c r="BD475" s="24">
        <f ca="1">IFERROR(__xludf.DUMMYFUNCTION("""COMPUTED_VALUE"""),16901)</f>
        <v>16901</v>
      </c>
      <c r="BE475" s="24">
        <f ca="1">IFERROR(__xludf.DUMMYFUNCTION("""COMPUTED_VALUE"""),0)</f>
        <v>0</v>
      </c>
      <c r="BF475" s="24">
        <f ca="1">IFERROR(__xludf.DUMMYFUNCTION("""COMPUTED_VALUE"""),0)</f>
        <v>0</v>
      </c>
      <c r="BG475" s="24">
        <f ca="1">IFERROR(__xludf.DUMMYFUNCTION("""COMPUTED_VALUE"""),12388)</f>
        <v>12388</v>
      </c>
      <c r="BH475" s="24">
        <f ca="1">IFERROR(__xludf.DUMMYFUNCTION("""COMPUTED_VALUE"""),4513)</f>
        <v>4513</v>
      </c>
      <c r="BI475" s="24">
        <f ca="1">IFERROR(__xludf.DUMMYFUNCTION("""COMPUTED_VALUE"""),0)</f>
        <v>0</v>
      </c>
      <c r="BJ475" s="24">
        <f ca="1">IFERROR(__xludf.DUMMYFUNCTION("""COMPUTED_VALUE"""),0)</f>
        <v>0</v>
      </c>
      <c r="BK475" s="20"/>
      <c r="BL475" s="20"/>
      <c r="BM475" s="20"/>
      <c r="BN475" s="20"/>
      <c r="BO475" s="20"/>
      <c r="BP475" s="24">
        <f ca="1">IFERROR(__xludf.DUMMYFUNCTION("""COMPUTED_VALUE"""),0)</f>
        <v>0</v>
      </c>
      <c r="BQ475" s="20"/>
      <c r="BR475" s="20"/>
      <c r="BS475" s="20"/>
      <c r="BT475" s="20"/>
      <c r="BU475" s="20"/>
      <c r="BV475" s="24">
        <f ca="1">IFERROR(__xludf.DUMMYFUNCTION("""COMPUTED_VALUE"""),0)</f>
        <v>0</v>
      </c>
      <c r="BW475" s="20"/>
      <c r="BX475" s="20"/>
      <c r="BY475" s="20"/>
      <c r="BZ475" s="20"/>
      <c r="CA475" s="20"/>
      <c r="CB475" s="20"/>
      <c r="CC475" s="20"/>
      <c r="CD475" s="20"/>
      <c r="CE475" s="20"/>
      <c r="CF475" s="20"/>
      <c r="CG475" s="20"/>
      <c r="CH475" s="20"/>
      <c r="CI475" s="20"/>
      <c r="CJ475" s="20"/>
      <c r="CK475" s="20"/>
      <c r="CL475" s="20"/>
      <c r="CM475" s="20"/>
      <c r="CN475" s="20"/>
      <c r="CO475" s="20"/>
      <c r="CP475" s="20"/>
      <c r="CQ475" s="20"/>
      <c r="CR475" s="20"/>
      <c r="CS475" s="20"/>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row>
    <row r="476" spans="1:123" ht="64.5" customHeight="1" x14ac:dyDescent="0.2">
      <c r="A476" s="44"/>
      <c r="B476" s="20" t="str">
        <f ca="1">IFERROR(__xludf.DUMMYFUNCTION("""COMPUTED_VALUE"""),"(ЗТО) г.о. Солнечногорск")</f>
        <v>(ЗТО) г.о. Солнечногорск</v>
      </c>
      <c r="C476"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6" s="20"/>
      <c r="E476" s="20" t="str">
        <f ca="1">IFERROR(__xludf.DUMMYFUNCTION("""COMPUTED_VALUE"""),"Строительство КНС и напорного коллектора Ду 2х 110 до точки подключения в районе п. Санаторий МО, г.о. Солнечногорск (в том числе ПИР)")</f>
        <v>Строительство КНС и напорного коллектора Ду 2х 110 до точки подключения в районе п. Санаторий МО, г.о. Солнечногорск (в том числе ПИР)</v>
      </c>
      <c r="F476" s="20" t="str">
        <f ca="1">IFERROR(__xludf.DUMMYFUNCTION("""COMPUTED_VALUE"""),"КНК")</f>
        <v>КНК</v>
      </c>
      <c r="G476" s="20" t="str">
        <f ca="1">IFERROR(__xludf.DUMMYFUNCTION("""COMPUTED_VALUE"""),"2020-2021")</f>
        <v>2020-2021</v>
      </c>
      <c r="H476" s="20" t="str">
        <f ca="1">IFERROR(__xludf.DUMMYFUNCTION("""COMPUTED_VALUE"""),"СМР")</f>
        <v>СМР</v>
      </c>
      <c r="I476" s="20"/>
      <c r="J476" s="20"/>
      <c r="K476" s="20"/>
      <c r="L476" s="20"/>
      <c r="M476" s="20"/>
      <c r="N476" s="20"/>
      <c r="O476" s="24">
        <f ca="1">IFERROR(__xludf.DUMMYFUNCTION("""COMPUTED_VALUE"""),0)</f>
        <v>0</v>
      </c>
      <c r="P476" s="24">
        <f ca="1">IFERROR(__xludf.DUMMYFUNCTION("""COMPUTED_VALUE"""),0)</f>
        <v>0</v>
      </c>
      <c r="Q476" s="24">
        <f ca="1">IFERROR(__xludf.DUMMYFUNCTION("""COMPUTED_VALUE"""),0)</f>
        <v>0</v>
      </c>
      <c r="R476" s="20"/>
      <c r="S476" s="20"/>
      <c r="T476" s="20"/>
      <c r="U476" s="20"/>
      <c r="V476" s="20"/>
      <c r="W476" s="20"/>
      <c r="X476" s="20"/>
      <c r="Y476" s="20"/>
      <c r="Z476" s="20"/>
      <c r="AA476" s="20"/>
      <c r="AB476" s="20"/>
      <c r="AC476" s="20"/>
      <c r="AD476" s="20"/>
      <c r="AE476" s="20"/>
      <c r="AF476" s="24">
        <f ca="1">IFERROR(__xludf.DUMMYFUNCTION("""COMPUTED_VALUE"""),7236.27)</f>
        <v>7236.27</v>
      </c>
      <c r="AG476" s="24">
        <f ca="1">IFERROR(__xludf.DUMMYFUNCTION("""COMPUTED_VALUE"""),0)</f>
        <v>0</v>
      </c>
      <c r="AH476" s="24">
        <f ca="1">IFERROR(__xludf.DUMMYFUNCTION("""COMPUTED_VALUE"""),0)</f>
        <v>0</v>
      </c>
      <c r="AI476" s="24">
        <f ca="1">IFERROR(__xludf.DUMMYFUNCTION("""COMPUTED_VALUE"""),4096)</f>
        <v>4096</v>
      </c>
      <c r="AJ476" s="24">
        <f ca="1">IFERROR(__xludf.DUMMYFUNCTION("""COMPUTED_VALUE"""),3140.27)</f>
        <v>3140.27</v>
      </c>
      <c r="AK476" s="24">
        <f ca="1">IFERROR(__xludf.DUMMYFUNCTION("""COMPUTED_VALUE"""),0)</f>
        <v>0</v>
      </c>
      <c r="AL476" s="24">
        <f ca="1">IFERROR(__xludf.DUMMYFUNCTION("""COMPUTED_VALUE"""),0)</f>
        <v>0</v>
      </c>
      <c r="AM476" s="20"/>
      <c r="AN476" s="20"/>
      <c r="AO476" s="20"/>
      <c r="AP476" s="20"/>
      <c r="AQ476" s="20"/>
      <c r="AR476" s="24">
        <f ca="1">IFERROR(__xludf.DUMMYFUNCTION("""COMPUTED_VALUE"""),0)</f>
        <v>0</v>
      </c>
      <c r="AS476" s="20"/>
      <c r="AT476" s="20"/>
      <c r="AU476" s="20"/>
      <c r="AV476" s="20"/>
      <c r="AW476" s="20"/>
      <c r="AX476" s="24">
        <f ca="1">IFERROR(__xludf.DUMMYFUNCTION("""COMPUTED_VALUE"""),4042.27)</f>
        <v>4042.27</v>
      </c>
      <c r="AY476" s="24">
        <f ca="1">IFERROR(__xludf.DUMMYFUNCTION("""COMPUTED_VALUE"""),0)</f>
        <v>0</v>
      </c>
      <c r="AZ476" s="24">
        <f ca="1">IFERROR(__xludf.DUMMYFUNCTION("""COMPUTED_VALUE"""),0)</f>
        <v>0</v>
      </c>
      <c r="BA476" s="24">
        <f ca="1">IFERROR(__xludf.DUMMYFUNCTION("""COMPUTED_VALUE"""),1755)</f>
        <v>1755</v>
      </c>
      <c r="BB476" s="24">
        <f ca="1">IFERROR(__xludf.DUMMYFUNCTION("""COMPUTED_VALUE"""),2287.27)</f>
        <v>2287.27</v>
      </c>
      <c r="BC476" s="24">
        <f ca="1">IFERROR(__xludf.DUMMYFUNCTION("""COMPUTED_VALUE"""),0)</f>
        <v>0</v>
      </c>
      <c r="BD476" s="24">
        <f ca="1">IFERROR(__xludf.DUMMYFUNCTION("""COMPUTED_VALUE"""),3194)</f>
        <v>3194</v>
      </c>
      <c r="BE476" s="24">
        <f ca="1">IFERROR(__xludf.DUMMYFUNCTION("""COMPUTED_VALUE"""),0)</f>
        <v>0</v>
      </c>
      <c r="BF476" s="24">
        <f ca="1">IFERROR(__xludf.DUMMYFUNCTION("""COMPUTED_VALUE"""),0)</f>
        <v>0</v>
      </c>
      <c r="BG476" s="24">
        <f ca="1">IFERROR(__xludf.DUMMYFUNCTION("""COMPUTED_VALUE"""),2341)</f>
        <v>2341</v>
      </c>
      <c r="BH476" s="24">
        <f ca="1">IFERROR(__xludf.DUMMYFUNCTION("""COMPUTED_VALUE"""),853)</f>
        <v>853</v>
      </c>
      <c r="BI476" s="24">
        <f ca="1">IFERROR(__xludf.DUMMYFUNCTION("""COMPUTED_VALUE"""),0)</f>
        <v>0</v>
      </c>
      <c r="BJ476" s="24">
        <f ca="1">IFERROR(__xludf.DUMMYFUNCTION("""COMPUTED_VALUE"""),0)</f>
        <v>0</v>
      </c>
      <c r="BK476" s="20"/>
      <c r="BL476" s="20"/>
      <c r="BM476" s="20"/>
      <c r="BN476" s="20"/>
      <c r="BO476" s="20"/>
      <c r="BP476" s="24">
        <f ca="1">IFERROR(__xludf.DUMMYFUNCTION("""COMPUTED_VALUE"""),0)</f>
        <v>0</v>
      </c>
      <c r="BQ476" s="20"/>
      <c r="BR476" s="20"/>
      <c r="BS476" s="20"/>
      <c r="BT476" s="20"/>
      <c r="BU476" s="20"/>
      <c r="BV476" s="24">
        <f ca="1">IFERROR(__xludf.DUMMYFUNCTION("""COMPUTED_VALUE"""),0)</f>
        <v>0</v>
      </c>
      <c r="BW476" s="20"/>
      <c r="BX476" s="20"/>
      <c r="BY476" s="20"/>
      <c r="BZ476" s="20"/>
      <c r="CA476" s="20"/>
      <c r="CB476" s="20"/>
      <c r="CC476" s="20"/>
      <c r="CD476" s="20"/>
      <c r="CE476" s="20"/>
      <c r="CF476" s="20"/>
      <c r="CG476" s="20"/>
      <c r="CH476" s="20"/>
      <c r="CI476" s="20"/>
      <c r="CJ476" s="20"/>
      <c r="CK476" s="20"/>
      <c r="CL476" s="20"/>
      <c r="CM476" s="20"/>
      <c r="CN476" s="20"/>
      <c r="CO476" s="20"/>
      <c r="CP476" s="20"/>
      <c r="CQ476" s="20"/>
      <c r="CR476" s="20"/>
      <c r="CS476" s="20"/>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row>
    <row r="477" spans="1:123" ht="64.5" customHeight="1" x14ac:dyDescent="0.2">
      <c r="A477" s="44"/>
      <c r="B477" s="20" t="str">
        <f ca="1">IFERROR(__xludf.DUMMYFUNCTION("""COMPUTED_VALUE"""),"(ЗТО) г.о. Солнечногорск")</f>
        <v>(ЗТО) г.о. Солнечногорск</v>
      </c>
      <c r="C477"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7" s="20"/>
      <c r="E477" s="20" t="str">
        <f ca="1">IFERROR(__xludf.DUMMYFUNCTION("""COMPUTED_VALUE"""),"Строительство ВЗУ с сетями водоснабжения Ду 160 для технических нужд ЗТО,  д. Хметьево, г.п. Солнечногорск  (в том числе ПИР)")</f>
        <v>Строительство ВЗУ с сетями водоснабжения Ду 160 для технических нужд ЗТО,  д. Хметьево, г.п. Солнечногорск  (в том числе ПИР)</v>
      </c>
      <c r="F477" s="20" t="str">
        <f ca="1">IFERROR(__xludf.DUMMYFUNCTION("""COMPUTED_VALUE"""),"ВЗУ")</f>
        <v>ВЗУ</v>
      </c>
      <c r="G477" s="20" t="str">
        <f ca="1">IFERROR(__xludf.DUMMYFUNCTION("""COMPUTED_VALUE"""),"2020-2021")</f>
        <v>2020-2021</v>
      </c>
      <c r="H477" s="20" t="str">
        <f ca="1">IFERROR(__xludf.DUMMYFUNCTION("""COMPUTED_VALUE"""),"СМР")</f>
        <v>СМР</v>
      </c>
      <c r="I477" s="20"/>
      <c r="J477" s="20"/>
      <c r="K477" s="20"/>
      <c r="L477" s="20"/>
      <c r="M477" s="20"/>
      <c r="N477" s="20"/>
      <c r="O477" s="24">
        <f ca="1">IFERROR(__xludf.DUMMYFUNCTION("""COMPUTED_VALUE"""),0)</f>
        <v>0</v>
      </c>
      <c r="P477" s="24">
        <f ca="1">IFERROR(__xludf.DUMMYFUNCTION("""COMPUTED_VALUE"""),0)</f>
        <v>0</v>
      </c>
      <c r="Q477" s="24">
        <f ca="1">IFERROR(__xludf.DUMMYFUNCTION("""COMPUTED_VALUE"""),0)</f>
        <v>0</v>
      </c>
      <c r="R477" s="20"/>
      <c r="S477" s="20"/>
      <c r="T477" s="20"/>
      <c r="U477" s="20"/>
      <c r="V477" s="20"/>
      <c r="W477" s="20"/>
      <c r="X477" s="20"/>
      <c r="Y477" s="20"/>
      <c r="Z477" s="20"/>
      <c r="AA477" s="20"/>
      <c r="AB477" s="20"/>
      <c r="AC477" s="20"/>
      <c r="AD477" s="20"/>
      <c r="AE477" s="20"/>
      <c r="AF477" s="24">
        <f ca="1">IFERROR(__xludf.DUMMYFUNCTION("""COMPUTED_VALUE"""),19022.08)</f>
        <v>19022.080000000002</v>
      </c>
      <c r="AG477" s="24">
        <f ca="1">IFERROR(__xludf.DUMMYFUNCTION("""COMPUTED_VALUE"""),0)</f>
        <v>0</v>
      </c>
      <c r="AH477" s="24">
        <f ca="1">IFERROR(__xludf.DUMMYFUNCTION("""COMPUTED_VALUE"""),0)</f>
        <v>0</v>
      </c>
      <c r="AI477" s="24">
        <f ca="1">IFERROR(__xludf.DUMMYFUNCTION("""COMPUTED_VALUE"""),11542.5)</f>
        <v>11542.5</v>
      </c>
      <c r="AJ477" s="24">
        <f ca="1">IFERROR(__xludf.DUMMYFUNCTION("""COMPUTED_VALUE"""),7479.58)</f>
        <v>7479.58</v>
      </c>
      <c r="AK477" s="24">
        <f ca="1">IFERROR(__xludf.DUMMYFUNCTION("""COMPUTED_VALUE"""),0)</f>
        <v>0</v>
      </c>
      <c r="AL477" s="24">
        <f ca="1">IFERROR(__xludf.DUMMYFUNCTION("""COMPUTED_VALUE"""),0)</f>
        <v>0</v>
      </c>
      <c r="AM477" s="20"/>
      <c r="AN477" s="20"/>
      <c r="AO477" s="20"/>
      <c r="AP477" s="20"/>
      <c r="AQ477" s="20"/>
      <c r="AR477" s="24">
        <f ca="1">IFERROR(__xludf.DUMMYFUNCTION("""COMPUTED_VALUE"""),0)</f>
        <v>0</v>
      </c>
      <c r="AS477" s="20"/>
      <c r="AT477" s="20"/>
      <c r="AU477" s="20"/>
      <c r="AV477" s="20"/>
      <c r="AW477" s="20"/>
      <c r="AX477" s="24">
        <f ca="1">IFERROR(__xludf.DUMMYFUNCTION("""COMPUTED_VALUE"""),10950.08)</f>
        <v>10950.08</v>
      </c>
      <c r="AY477" s="24">
        <f ca="1">IFERROR(__xludf.DUMMYFUNCTION("""COMPUTED_VALUE"""),0)</f>
        <v>0</v>
      </c>
      <c r="AZ477" s="24">
        <f ca="1">IFERROR(__xludf.DUMMYFUNCTION("""COMPUTED_VALUE"""),0)</f>
        <v>0</v>
      </c>
      <c r="BA477" s="24">
        <f ca="1">IFERROR(__xludf.DUMMYFUNCTION("""COMPUTED_VALUE"""),5625.5)</f>
        <v>5625.5</v>
      </c>
      <c r="BB477" s="24">
        <f ca="1">IFERROR(__xludf.DUMMYFUNCTION("""COMPUTED_VALUE"""),5324.58)</f>
        <v>5324.58</v>
      </c>
      <c r="BC477" s="24">
        <f ca="1">IFERROR(__xludf.DUMMYFUNCTION("""COMPUTED_VALUE"""),0)</f>
        <v>0</v>
      </c>
      <c r="BD477" s="24">
        <f ca="1">IFERROR(__xludf.DUMMYFUNCTION("""COMPUTED_VALUE"""),8072)</f>
        <v>8072</v>
      </c>
      <c r="BE477" s="24">
        <f ca="1">IFERROR(__xludf.DUMMYFUNCTION("""COMPUTED_VALUE"""),0)</f>
        <v>0</v>
      </c>
      <c r="BF477" s="24">
        <f ca="1">IFERROR(__xludf.DUMMYFUNCTION("""COMPUTED_VALUE"""),0)</f>
        <v>0</v>
      </c>
      <c r="BG477" s="24">
        <f ca="1">IFERROR(__xludf.DUMMYFUNCTION("""COMPUTED_VALUE"""),5917)</f>
        <v>5917</v>
      </c>
      <c r="BH477" s="24">
        <f ca="1">IFERROR(__xludf.DUMMYFUNCTION("""COMPUTED_VALUE"""),2155)</f>
        <v>2155</v>
      </c>
      <c r="BI477" s="24">
        <f ca="1">IFERROR(__xludf.DUMMYFUNCTION("""COMPUTED_VALUE"""),0)</f>
        <v>0</v>
      </c>
      <c r="BJ477" s="24">
        <f ca="1">IFERROR(__xludf.DUMMYFUNCTION("""COMPUTED_VALUE"""),0)</f>
        <v>0</v>
      </c>
      <c r="BK477" s="20"/>
      <c r="BL477" s="20"/>
      <c r="BM477" s="20"/>
      <c r="BN477" s="20"/>
      <c r="BO477" s="20"/>
      <c r="BP477" s="24">
        <f ca="1">IFERROR(__xludf.DUMMYFUNCTION("""COMPUTED_VALUE"""),0)</f>
        <v>0</v>
      </c>
      <c r="BQ477" s="20"/>
      <c r="BR477" s="20"/>
      <c r="BS477" s="20"/>
      <c r="BT477" s="20"/>
      <c r="BU477" s="20"/>
      <c r="BV477" s="24">
        <f ca="1">IFERROR(__xludf.DUMMYFUNCTION("""COMPUTED_VALUE"""),0)</f>
        <v>0</v>
      </c>
      <c r="BW477" s="20"/>
      <c r="BX477" s="20"/>
      <c r="BY477" s="20"/>
      <c r="BZ477" s="20"/>
      <c r="CA477" s="20"/>
      <c r="CB477" s="20"/>
      <c r="CC477" s="20"/>
      <c r="CD477" s="20"/>
      <c r="CE477" s="20"/>
      <c r="CF477" s="20"/>
      <c r="CG477" s="20"/>
      <c r="CH477" s="20"/>
      <c r="CI477" s="20"/>
      <c r="CJ477" s="20"/>
      <c r="CK477" s="20"/>
      <c r="CL477" s="20"/>
      <c r="CM477" s="20"/>
      <c r="CN477" s="20"/>
      <c r="CO477" s="20"/>
      <c r="CP477" s="20"/>
      <c r="CQ477" s="20"/>
      <c r="CR477" s="20"/>
      <c r="CS477" s="20"/>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row>
    <row r="478" spans="1:123" ht="64.5" customHeight="1" x14ac:dyDescent="0.2">
      <c r="A478" s="44"/>
      <c r="B478" s="20" t="str">
        <f ca="1">IFERROR(__xludf.DUMMYFUNCTION("IMPORTRANGE(""https://docs.google.com/spreadsheets/d/1ZpB0joDVH_P6wgS1qdxv2Cg30eSt21FXcCJZMPEFRM4/edit#gid=1923224600&amp;range=B5:CS7"", ""'Предпринимательство'!B5:CS7"")"),"г.о. Дубна")</f>
        <v>г.о. Дубна</v>
      </c>
      <c r="C478" s="20" t="str">
        <f ca="1">IFERROR(__xludf.DUMMYFUNCTION("""COMPUTED_VALUE"""),"Капитальные вложения в объекты инфраструктуры особой экономической зоны технико-внедренческого типа на территории городского округа Дубна")</f>
        <v>Капитальные вложения в объекты инфраструктуры особой экономической зоны технико-внедренческого типа на территории городского округа Дубна</v>
      </c>
      <c r="D478" s="20"/>
      <c r="E478" s="20" t="str">
        <f ca="1">IFERROR(__xludf.DUMMYFUNCTION("""COMPUTED_VALUE"""),"Реконструкция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f>
        <v>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v>
      </c>
      <c r="F478" s="20" t="str">
        <f ca="1">IFERROR(__xludf.DUMMYFUNCTION("""COMPUTED_VALUE"""),"ОС")</f>
        <v>ОС</v>
      </c>
      <c r="G478" s="20">
        <f ca="1">IFERROR(__xludf.DUMMYFUNCTION("""COMPUTED_VALUE"""),2020)</f>
        <v>2020</v>
      </c>
      <c r="H478" s="20" t="str">
        <f ca="1">IFERROR(__xludf.DUMMYFUNCTION("""COMPUTED_VALUE"""),"ПИР")</f>
        <v>ПИР</v>
      </c>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4">
        <f ca="1">IFERROR(__xludf.DUMMYFUNCTION("""COMPUTED_VALUE"""),28538.7)</f>
        <v>28538.7</v>
      </c>
      <c r="AG478" s="24">
        <f ca="1">IFERROR(__xludf.DUMMYFUNCTION("""COMPUTED_VALUE"""),0)</f>
        <v>0</v>
      </c>
      <c r="AH478" s="24">
        <f ca="1">IFERROR(__xludf.DUMMYFUNCTION("""COMPUTED_VALUE"""),28253.31)</f>
        <v>28253.31</v>
      </c>
      <c r="AI478" s="24">
        <f ca="1">IFERROR(__xludf.DUMMYFUNCTION("""COMPUTED_VALUE"""),0)</f>
        <v>0</v>
      </c>
      <c r="AJ478" s="24">
        <f ca="1">IFERROR(__xludf.DUMMYFUNCTION("""COMPUTED_VALUE"""),285.39)</f>
        <v>285.39</v>
      </c>
      <c r="AK478" s="24">
        <f ca="1">IFERROR(__xludf.DUMMYFUNCTION("""COMPUTED_VALUE"""),0)</f>
        <v>0</v>
      </c>
      <c r="AL478" s="24">
        <f ca="1">IFERROR(__xludf.DUMMYFUNCTION("""COMPUTED_VALUE"""),0)</f>
        <v>0</v>
      </c>
      <c r="AM478" s="20"/>
      <c r="AN478" s="20"/>
      <c r="AO478" s="20"/>
      <c r="AP478" s="20"/>
      <c r="AQ478" s="20"/>
      <c r="AR478" s="24">
        <f ca="1">IFERROR(__xludf.DUMMYFUNCTION("""COMPUTED_VALUE"""),0)</f>
        <v>0</v>
      </c>
      <c r="AS478" s="24">
        <f ca="1">IFERROR(__xludf.DUMMYFUNCTION("""COMPUTED_VALUE"""),0)</f>
        <v>0</v>
      </c>
      <c r="AT478" s="24">
        <f ca="1">IFERROR(__xludf.DUMMYFUNCTION("""COMPUTED_VALUE"""),0)</f>
        <v>0</v>
      </c>
      <c r="AU478" s="24">
        <f ca="1">IFERROR(__xludf.DUMMYFUNCTION("""COMPUTED_VALUE"""),0)</f>
        <v>0</v>
      </c>
      <c r="AV478" s="24">
        <f ca="1">IFERROR(__xludf.DUMMYFUNCTION("""COMPUTED_VALUE"""),0)</f>
        <v>0</v>
      </c>
      <c r="AW478" s="24">
        <f ca="1">IFERROR(__xludf.DUMMYFUNCTION("""COMPUTED_VALUE"""),0)</f>
        <v>0</v>
      </c>
      <c r="AX478" s="24">
        <f ca="1">IFERROR(__xludf.DUMMYFUNCTION("""COMPUTED_VALUE"""),0)</f>
        <v>0</v>
      </c>
      <c r="AY478" s="24">
        <f ca="1">IFERROR(__xludf.DUMMYFUNCTION("""COMPUTED_VALUE"""),0)</f>
        <v>0</v>
      </c>
      <c r="AZ478" s="24">
        <f ca="1">IFERROR(__xludf.DUMMYFUNCTION("""COMPUTED_VALUE"""),0)</f>
        <v>0</v>
      </c>
      <c r="BA478" s="24">
        <f ca="1">IFERROR(__xludf.DUMMYFUNCTION("""COMPUTED_VALUE"""),0)</f>
        <v>0</v>
      </c>
      <c r="BB478" s="24">
        <f ca="1">IFERROR(__xludf.DUMMYFUNCTION("""COMPUTED_VALUE"""),0)</f>
        <v>0</v>
      </c>
      <c r="BC478" s="24">
        <f ca="1">IFERROR(__xludf.DUMMYFUNCTION("""COMPUTED_VALUE"""),0)</f>
        <v>0</v>
      </c>
      <c r="BD478" s="24">
        <f ca="1">IFERROR(__xludf.DUMMYFUNCTION("""COMPUTED_VALUE"""),28538.7)</f>
        <v>28538.7</v>
      </c>
      <c r="BE478" s="24">
        <f ca="1">IFERROR(__xludf.DUMMYFUNCTION("""COMPUTED_VALUE"""),0)</f>
        <v>0</v>
      </c>
      <c r="BF478" s="24">
        <f ca="1">IFERROR(__xludf.DUMMYFUNCTION("""COMPUTED_VALUE"""),28253.31)</f>
        <v>28253.31</v>
      </c>
      <c r="BG478" s="24">
        <f ca="1">IFERROR(__xludf.DUMMYFUNCTION("""COMPUTED_VALUE"""),0)</f>
        <v>0</v>
      </c>
      <c r="BH478" s="24">
        <f ca="1">IFERROR(__xludf.DUMMYFUNCTION("""COMPUTED_VALUE"""),285.39)</f>
        <v>285.39</v>
      </c>
      <c r="BI478" s="24">
        <f ca="1">IFERROR(__xludf.DUMMYFUNCTION("""COMPUTED_VALUE"""),0)</f>
        <v>0</v>
      </c>
      <c r="BJ478" s="24">
        <f ca="1">IFERROR(__xludf.DUMMYFUNCTION("""COMPUTED_VALUE"""),0)</f>
        <v>0</v>
      </c>
      <c r="BK478" s="20"/>
      <c r="BL478" s="20"/>
      <c r="BM478" s="20"/>
      <c r="BN478" s="20"/>
      <c r="BO478" s="20"/>
      <c r="BP478" s="24">
        <f ca="1">IFERROR(__xludf.DUMMYFUNCTION("""COMPUTED_VALUE"""),0)</f>
        <v>0</v>
      </c>
      <c r="BQ478" s="20"/>
      <c r="BR478" s="20"/>
      <c r="BS478" s="20"/>
      <c r="BT478" s="20"/>
      <c r="BU478" s="20"/>
      <c r="BV478" s="24">
        <f ca="1">IFERROR(__xludf.DUMMYFUNCTION("""COMPUTED_VALUE"""),0)</f>
        <v>0</v>
      </c>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row>
    <row r="479" spans="1:123" ht="64.5" customHeight="1" x14ac:dyDescent="0.2">
      <c r="A479" s="44"/>
      <c r="B479" s="20" t="str">
        <f ca="1">IFERROR(__xludf.DUMMYFUNCTION("""COMPUTED_VALUE"""),"г.о. Дубна")</f>
        <v>г.о. Дубна</v>
      </c>
      <c r="C479" s="20" t="str">
        <f ca="1">IFERROR(__xludf.DUMMYFUNCTION("""COMPUTED_VALUE"""),"Капитальные вложения в объекты инфраструктуры особой экономической зоны технико-внедренческого типа на территории городского округа Дубна")</f>
        <v>Капитальные вложения в объекты инфраструктуры особой экономической зоны технико-внедренческого типа на территории городского округа Дубна</v>
      </c>
      <c r="D479" s="20"/>
      <c r="E479" s="20" t="str">
        <f ca="1">IFERROR(__xludf.DUMMYFUNCTION("""COMPUTED_VALUE"""),"Проектирование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f>
        <v>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v>
      </c>
      <c r="F479" s="20" t="str">
        <f ca="1">IFERROR(__xludf.DUMMYFUNCTION("""COMPUTED_VALUE"""),"Сети")</f>
        <v>Сети</v>
      </c>
      <c r="G479" s="20" t="str">
        <f ca="1">IFERROR(__xludf.DUMMYFUNCTION("""COMPUTED_VALUE"""),"2019-2020")</f>
        <v>2019-2020</v>
      </c>
      <c r="H479" s="20" t="str">
        <f ca="1">IFERROR(__xludf.DUMMYFUNCTION("""COMPUTED_VALUE"""),"СМР")</f>
        <v>СМР</v>
      </c>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4">
        <f ca="1">IFERROR(__xludf.DUMMYFUNCTION("""COMPUTED_VALUE"""),30573.21)</f>
        <v>30573.21</v>
      </c>
      <c r="AG479" s="24">
        <f ca="1">IFERROR(__xludf.DUMMYFUNCTION("""COMPUTED_VALUE"""),0)</f>
        <v>0</v>
      </c>
      <c r="AH479" s="24">
        <f ca="1">IFERROR(__xludf.DUMMYFUNCTION("""COMPUTED_VALUE"""),30267.48)</f>
        <v>30267.48</v>
      </c>
      <c r="AI479" s="24">
        <f ca="1">IFERROR(__xludf.DUMMYFUNCTION("""COMPUTED_VALUE"""),0)</f>
        <v>0</v>
      </c>
      <c r="AJ479" s="24">
        <f ca="1">IFERROR(__xludf.DUMMYFUNCTION("""COMPUTED_VALUE"""),305.729999999999)</f>
        <v>305.729999999999</v>
      </c>
      <c r="AK479" s="24">
        <f ca="1">IFERROR(__xludf.DUMMYFUNCTION("""COMPUTED_VALUE"""),0)</f>
        <v>0</v>
      </c>
      <c r="AL479" s="24">
        <f ca="1">IFERROR(__xludf.DUMMYFUNCTION("""COMPUTED_VALUE"""),0)</f>
        <v>0</v>
      </c>
      <c r="AM479" s="20"/>
      <c r="AN479" s="20"/>
      <c r="AO479" s="20"/>
      <c r="AP479" s="20"/>
      <c r="AQ479" s="20"/>
      <c r="AR479" s="24">
        <f ca="1">IFERROR(__xludf.DUMMYFUNCTION("""COMPUTED_VALUE"""),27496.3)</f>
        <v>27496.3</v>
      </c>
      <c r="AS479" s="24">
        <f ca="1">IFERROR(__xludf.DUMMYFUNCTION("""COMPUTED_VALUE"""),0)</f>
        <v>0</v>
      </c>
      <c r="AT479" s="24">
        <f ca="1">IFERROR(__xludf.DUMMYFUNCTION("""COMPUTED_VALUE"""),27221.34)</f>
        <v>27221.34</v>
      </c>
      <c r="AU479" s="24">
        <f ca="1">IFERROR(__xludf.DUMMYFUNCTION("""COMPUTED_VALUE"""),0)</f>
        <v>0</v>
      </c>
      <c r="AV479" s="24">
        <f ca="1">IFERROR(__xludf.DUMMYFUNCTION("""COMPUTED_VALUE"""),274.96)</f>
        <v>274.95999999999998</v>
      </c>
      <c r="AW479" s="24">
        <f ca="1">IFERROR(__xludf.DUMMYFUNCTION("""COMPUTED_VALUE"""),0)</f>
        <v>0</v>
      </c>
      <c r="AX479" s="24">
        <f ca="1">IFERROR(__xludf.DUMMYFUNCTION("""COMPUTED_VALUE"""),3076.91)</f>
        <v>3076.91</v>
      </c>
      <c r="AY479" s="24">
        <f ca="1">IFERROR(__xludf.DUMMYFUNCTION("""COMPUTED_VALUE"""),0)</f>
        <v>0</v>
      </c>
      <c r="AZ479" s="24">
        <f ca="1">IFERROR(__xludf.DUMMYFUNCTION("""COMPUTED_VALUE"""),3046.14)</f>
        <v>3046.14</v>
      </c>
      <c r="BA479" s="24">
        <f ca="1">IFERROR(__xludf.DUMMYFUNCTION("""COMPUTED_VALUE"""),0)</f>
        <v>0</v>
      </c>
      <c r="BB479" s="24">
        <f ca="1">IFERROR(__xludf.DUMMYFUNCTION("""COMPUTED_VALUE"""),30.77)</f>
        <v>30.77</v>
      </c>
      <c r="BC479" s="24">
        <f ca="1">IFERROR(__xludf.DUMMYFUNCTION("""COMPUTED_VALUE"""),0)</f>
        <v>0</v>
      </c>
      <c r="BD479" s="24">
        <f ca="1">IFERROR(__xludf.DUMMYFUNCTION("""COMPUTED_VALUE"""),0)</f>
        <v>0</v>
      </c>
      <c r="BE479" s="20"/>
      <c r="BF479" s="20"/>
      <c r="BG479" s="20"/>
      <c r="BH479" s="20"/>
      <c r="BI479" s="20"/>
      <c r="BJ479" s="24">
        <f ca="1">IFERROR(__xludf.DUMMYFUNCTION("""COMPUTED_VALUE"""),0)</f>
        <v>0</v>
      </c>
      <c r="BK479" s="20"/>
      <c r="BL479" s="20"/>
      <c r="BM479" s="20"/>
      <c r="BN479" s="20"/>
      <c r="BO479" s="20"/>
      <c r="BP479" s="24">
        <f ca="1">IFERROR(__xludf.DUMMYFUNCTION("""COMPUTED_VALUE"""),0)</f>
        <v>0</v>
      </c>
      <c r="BQ479" s="20"/>
      <c r="BR479" s="20"/>
      <c r="BS479" s="20"/>
      <c r="BT479" s="20"/>
      <c r="BU479" s="20"/>
      <c r="BV479" s="24">
        <f ca="1">IFERROR(__xludf.DUMMYFUNCTION("""COMPUTED_VALUE"""),0)</f>
        <v>0</v>
      </c>
      <c r="BW479" s="20"/>
      <c r="BX479" s="20"/>
      <c r="BY479" s="20"/>
      <c r="BZ479" s="20"/>
      <c r="CA479" s="20"/>
      <c r="CB479" s="20"/>
      <c r="CC479" s="20"/>
      <c r="CD479" s="20"/>
      <c r="CE479" s="20"/>
      <c r="CF479" s="20"/>
      <c r="CG479" s="20"/>
      <c r="CH479" s="20"/>
      <c r="CI479" s="20"/>
      <c r="CJ479" s="20"/>
      <c r="CK479" s="20"/>
      <c r="CL479" s="20"/>
      <c r="CM479" s="20"/>
      <c r="CN479" s="20"/>
      <c r="CO479" s="20"/>
      <c r="CP479" s="20"/>
      <c r="CQ479" s="20"/>
      <c r="CR479" s="20"/>
      <c r="CS479" s="20"/>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row>
    <row r="480" spans="1:123" ht="64.5" customHeight="1" x14ac:dyDescent="0.2">
      <c r="A480" s="44"/>
      <c r="B480" s="20" t="str">
        <f ca="1">IFERROR(__xludf.DUMMYFUNCTION("""COMPUTED_VALUE"""),"г.о. Дубна")</f>
        <v>г.о. Дубна</v>
      </c>
      <c r="C480" s="20" t="str">
        <f ca="1">IFERROR(__xludf.DUMMYFUNCTION("""COMPUTED_VALUE"""),"Капитальные вложения в объекты инфраструктуры особой экономической зоны технико-внедренческого типа на территории городского округа Дубна")</f>
        <v>Капитальные вложения в объекты инфраструктуры особой экономической зоны технико-внедренческого типа на территории городского округа Дубна</v>
      </c>
      <c r="D480" s="20"/>
      <c r="E480" s="20" t="str">
        <f ca="1">IFERROR(__xludf.DUMMYFUNCTION("""COMPUTED_VALUE"""),"""Проектирование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f>
        <v>"Проектирование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v>
      </c>
      <c r="F480" s="20" t="str">
        <f ca="1">IFERROR(__xludf.DUMMYFUNCTION("""COMPUTED_VALUE"""),"Сети")</f>
        <v>Сети</v>
      </c>
      <c r="G480" s="20" t="str">
        <f ca="1">IFERROR(__xludf.DUMMYFUNCTION("""COMPUTED_VALUE"""),"2019-2020")</f>
        <v>2019-2020</v>
      </c>
      <c r="H480" s="20" t="str">
        <f ca="1">IFERROR(__xludf.DUMMYFUNCTION("""COMPUTED_VALUE"""),"СМР")</f>
        <v>СМР</v>
      </c>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4">
        <f ca="1">IFERROR(__xludf.DUMMYFUNCTION("""COMPUTED_VALUE"""),86274.57)</f>
        <v>86274.57</v>
      </c>
      <c r="AG480" s="24">
        <f ca="1">IFERROR(__xludf.DUMMYFUNCTION("""COMPUTED_VALUE"""),0)</f>
        <v>0</v>
      </c>
      <c r="AH480" s="24">
        <f ca="1">IFERROR(__xludf.DUMMYFUNCTION("""COMPUTED_VALUE"""),85411.83)</f>
        <v>85411.83</v>
      </c>
      <c r="AI480" s="24">
        <f ca="1">IFERROR(__xludf.DUMMYFUNCTION("""COMPUTED_VALUE"""),0)</f>
        <v>0</v>
      </c>
      <c r="AJ480" s="24">
        <f ca="1">IFERROR(__xludf.DUMMYFUNCTION("""COMPUTED_VALUE"""),862.74)</f>
        <v>862.74</v>
      </c>
      <c r="AK480" s="24">
        <f ca="1">IFERROR(__xludf.DUMMYFUNCTION("""COMPUTED_VALUE"""),0)</f>
        <v>0</v>
      </c>
      <c r="AL480" s="24">
        <f ca="1">IFERROR(__xludf.DUMMYFUNCTION("""COMPUTED_VALUE"""),0)</f>
        <v>0</v>
      </c>
      <c r="AM480" s="20"/>
      <c r="AN480" s="20"/>
      <c r="AO480" s="20"/>
      <c r="AP480" s="20"/>
      <c r="AQ480" s="20"/>
      <c r="AR480" s="24">
        <f ca="1">IFERROR(__xludf.DUMMYFUNCTION("""COMPUTED_VALUE"""),60635.11)</f>
        <v>60635.11</v>
      </c>
      <c r="AS480" s="24">
        <f ca="1">IFERROR(__xludf.DUMMYFUNCTION("""COMPUTED_VALUE"""),0)</f>
        <v>0</v>
      </c>
      <c r="AT480" s="24">
        <f ca="1">IFERROR(__xludf.DUMMYFUNCTION("""COMPUTED_VALUE"""),60028.76)</f>
        <v>60028.76</v>
      </c>
      <c r="AU480" s="24">
        <f ca="1">IFERROR(__xludf.DUMMYFUNCTION("""COMPUTED_VALUE"""),0)</f>
        <v>0</v>
      </c>
      <c r="AV480" s="24">
        <f ca="1">IFERROR(__xludf.DUMMYFUNCTION("""COMPUTED_VALUE"""),606.35)</f>
        <v>606.35</v>
      </c>
      <c r="AW480" s="24">
        <f ca="1">IFERROR(__xludf.DUMMYFUNCTION("""COMPUTED_VALUE"""),0)</f>
        <v>0</v>
      </c>
      <c r="AX480" s="24">
        <f ca="1">IFERROR(__xludf.DUMMYFUNCTION("""COMPUTED_VALUE"""),25639.46)</f>
        <v>25639.46</v>
      </c>
      <c r="AY480" s="24">
        <f ca="1">IFERROR(__xludf.DUMMYFUNCTION("""COMPUTED_VALUE"""),0)</f>
        <v>0</v>
      </c>
      <c r="AZ480" s="24">
        <f ca="1">IFERROR(__xludf.DUMMYFUNCTION("""COMPUTED_VALUE"""),25383.07)</f>
        <v>25383.07</v>
      </c>
      <c r="BA480" s="24">
        <f ca="1">IFERROR(__xludf.DUMMYFUNCTION("""COMPUTED_VALUE"""),0)</f>
        <v>0</v>
      </c>
      <c r="BB480" s="24">
        <f ca="1">IFERROR(__xludf.DUMMYFUNCTION("""COMPUTED_VALUE"""),256.39)</f>
        <v>256.39</v>
      </c>
      <c r="BC480" s="24">
        <f ca="1">IFERROR(__xludf.DUMMYFUNCTION("""COMPUTED_VALUE"""),0)</f>
        <v>0</v>
      </c>
      <c r="BD480" s="24">
        <f ca="1">IFERROR(__xludf.DUMMYFUNCTION("""COMPUTED_VALUE"""),0)</f>
        <v>0</v>
      </c>
      <c r="BE480" s="20"/>
      <c r="BF480" s="20"/>
      <c r="BG480" s="20"/>
      <c r="BH480" s="20"/>
      <c r="BI480" s="20"/>
      <c r="BJ480" s="24">
        <f ca="1">IFERROR(__xludf.DUMMYFUNCTION("""COMPUTED_VALUE"""),0)</f>
        <v>0</v>
      </c>
      <c r="BK480" s="20"/>
      <c r="BL480" s="20"/>
      <c r="BM480" s="20"/>
      <c r="BN480" s="20"/>
      <c r="BO480" s="20"/>
      <c r="BP480" s="24">
        <f ca="1">IFERROR(__xludf.DUMMYFUNCTION("""COMPUTED_VALUE"""),0)</f>
        <v>0</v>
      </c>
      <c r="BQ480" s="20"/>
      <c r="BR480" s="20"/>
      <c r="BS480" s="20"/>
      <c r="BT480" s="20"/>
      <c r="BU480" s="20"/>
      <c r="BV480" s="24">
        <f ca="1">IFERROR(__xludf.DUMMYFUNCTION("""COMPUTED_VALUE"""),0)</f>
        <v>0</v>
      </c>
      <c r="BW480" s="20"/>
      <c r="BX480" s="20"/>
      <c r="BY480" s="20"/>
      <c r="BZ480" s="20"/>
      <c r="CA480" s="20"/>
      <c r="CB480" s="20"/>
      <c r="CC480" s="20"/>
      <c r="CD480" s="20"/>
      <c r="CE480" s="20"/>
      <c r="CF480" s="20"/>
      <c r="CG480" s="20"/>
      <c r="CH480" s="20"/>
      <c r="CI480" s="20"/>
      <c r="CJ480" s="20"/>
      <c r="CK480" s="20"/>
      <c r="CL480" s="20"/>
      <c r="CM480" s="20"/>
      <c r="CN480" s="20"/>
      <c r="CO480" s="20"/>
      <c r="CP480" s="20"/>
      <c r="CQ480" s="20"/>
      <c r="CR480" s="20"/>
      <c r="CS480" s="20"/>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row>
    <row r="481" spans="1:123" ht="64.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row>
    <row r="482" spans="1:123" ht="64.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row>
    <row r="483" spans="1:123" ht="64.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row>
    <row r="484" spans="1:123" ht="64.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row>
    <row r="485" spans="1:123" ht="64.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row>
    <row r="486" spans="1:123" ht="64.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row>
    <row r="487" spans="1:123" ht="64.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row>
    <row r="488" spans="1:123" ht="64.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row>
    <row r="489" spans="1:123" ht="64.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row>
    <row r="490" spans="1:123" ht="64.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row>
    <row r="491" spans="1:123" ht="64.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row>
    <row r="492" spans="1:123" ht="64.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row>
    <row r="493" spans="1:123" ht="64.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row>
    <row r="494" spans="1:123" ht="64.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row>
    <row r="495" spans="1:123" ht="64.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row>
    <row r="496" spans="1:123" ht="64.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row>
    <row r="497" spans="1:123" ht="64.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row>
    <row r="498" spans="1:123" ht="64.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row>
    <row r="499" spans="1:123" ht="64.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row>
    <row r="500" spans="1:123" ht="64.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row>
    <row r="501" spans="1:123" ht="64.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row>
    <row r="502" spans="1:123" ht="64.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row>
    <row r="503" spans="1:123" ht="64.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row>
    <row r="504" spans="1:123" ht="64.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row>
    <row r="505" spans="1:123" ht="64.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row>
    <row r="506" spans="1:123" ht="64.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row>
    <row r="507" spans="1:123" ht="64.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row>
    <row r="508" spans="1:123" ht="64.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row>
    <row r="509" spans="1:123" ht="64.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row>
    <row r="510" spans="1:123" ht="64.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row>
    <row r="511" spans="1:123" ht="64.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row>
    <row r="512" spans="1:123" ht="64.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row>
    <row r="513" spans="1:123" ht="64.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row>
    <row r="514" spans="1:123" ht="64.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row>
    <row r="515" spans="1:123" ht="64.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row>
    <row r="516" spans="1:123" ht="64.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row>
    <row r="517" spans="1:123" ht="64.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row>
    <row r="518" spans="1:123" ht="64.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row>
    <row r="519" spans="1:123" ht="64.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row>
    <row r="520" spans="1:123" ht="64.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row>
    <row r="521" spans="1:123" ht="64.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row>
    <row r="522" spans="1:123" ht="64.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row>
    <row r="523" spans="1:123" ht="64.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row>
    <row r="524" spans="1:123" ht="64.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row>
    <row r="525" spans="1:123" ht="64.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row>
    <row r="526" spans="1:123" ht="64.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row>
    <row r="527" spans="1:123" ht="64.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row>
    <row r="528" spans="1:123" ht="64.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row>
    <row r="529" spans="1:123" ht="64.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row>
    <row r="530" spans="1:123" ht="64.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row>
    <row r="531" spans="1:123" ht="64.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row>
    <row r="532" spans="1:123" ht="64.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row>
    <row r="533" spans="1:123" ht="64.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row>
    <row r="534" spans="1:123" ht="64.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row>
    <row r="535" spans="1:123" ht="64.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row>
    <row r="536" spans="1:123" ht="64.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row>
    <row r="537" spans="1:123" ht="64.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row>
    <row r="538" spans="1:123" ht="64.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row>
    <row r="539" spans="1:123" ht="64.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row>
    <row r="540" spans="1:123" ht="64.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row>
    <row r="541" spans="1:123" ht="64.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row>
    <row r="542" spans="1:123" ht="64.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row>
    <row r="543" spans="1:123" ht="64.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row>
    <row r="544" spans="1:123" ht="64.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row>
    <row r="545" spans="1:123" ht="64.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row>
    <row r="546" spans="1:123" ht="64.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row>
    <row r="547" spans="1:123" ht="64.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row>
    <row r="548" spans="1:123" ht="64.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row>
    <row r="549" spans="1:123" ht="64.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row>
    <row r="550" spans="1:123" ht="64.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row>
    <row r="551" spans="1:123" ht="64.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row>
    <row r="552" spans="1:123" ht="64.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row>
    <row r="553" spans="1:123" ht="64.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row>
    <row r="554" spans="1:123" ht="64.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row>
    <row r="555" spans="1:123" ht="64.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row>
    <row r="556" spans="1:123" ht="64.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row>
    <row r="557" spans="1:123" ht="64.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row>
    <row r="558" spans="1:123" ht="64.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row>
    <row r="559" spans="1:123" ht="64.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row>
    <row r="560" spans="1:123" ht="64.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row>
    <row r="561" spans="1:123" ht="64.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row>
    <row r="562" spans="1:123" ht="64.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row>
    <row r="563" spans="1:123" ht="64.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row>
    <row r="564" spans="1:123" ht="64.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row>
    <row r="565" spans="1:123" ht="64.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row>
    <row r="566" spans="1:123" ht="64.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row>
    <row r="567" spans="1:123" ht="64.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row>
    <row r="568" spans="1:123" ht="64.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row>
    <row r="569" spans="1:123" ht="64.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row>
    <row r="570" spans="1:123" ht="64.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row>
    <row r="571" spans="1:123" ht="64.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row>
    <row r="572" spans="1:123" ht="64.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row>
    <row r="573" spans="1:123" ht="64.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row>
    <row r="574" spans="1:123" ht="64.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row>
    <row r="575" spans="1:123" ht="64.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row>
    <row r="576" spans="1:123" ht="64.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row>
    <row r="577" spans="1:123" ht="64.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row>
    <row r="578" spans="1:123" ht="64.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row>
    <row r="579" spans="1:123" ht="64.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row>
    <row r="580" spans="1:123" ht="64.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row>
    <row r="581" spans="1:123" ht="64.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row>
    <row r="582" spans="1:123" ht="64.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row>
    <row r="583" spans="1:123" ht="64.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row>
    <row r="584" spans="1:123" ht="64.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row>
    <row r="585" spans="1:123" ht="64.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row>
    <row r="586" spans="1:123" ht="64.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row>
    <row r="587" spans="1:123" ht="64.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row>
    <row r="588" spans="1:123" ht="64.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row>
    <row r="589" spans="1:123" ht="64.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row>
    <row r="590" spans="1:123" ht="64.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row>
    <row r="591" spans="1:123" ht="64.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row>
    <row r="592" spans="1:123" ht="64.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row>
    <row r="593" spans="1:123" ht="64.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row>
    <row r="594" spans="1:123" ht="64.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row>
    <row r="595" spans="1:123" ht="64.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row>
    <row r="596" spans="1:123" ht="64.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row>
    <row r="597" spans="1:123" ht="64.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row>
    <row r="598" spans="1:123" ht="64.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row>
    <row r="599" spans="1:123" ht="64.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row>
    <row r="600" spans="1:123" ht="64.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row>
    <row r="601" spans="1:123" ht="64.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row>
    <row r="602" spans="1:123" ht="64.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row>
    <row r="603" spans="1:123" ht="64.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row>
    <row r="604" spans="1:123" ht="64.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row>
    <row r="605" spans="1:123" ht="64.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row>
    <row r="606" spans="1:123" ht="64.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row>
    <row r="607" spans="1:123" ht="64.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row>
    <row r="608" spans="1:123" ht="64.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row>
    <row r="609" spans="1:123" ht="64.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row>
    <row r="610" spans="1:123" ht="64.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row>
    <row r="611" spans="1:123" ht="64.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row>
    <row r="612" spans="1:123" ht="64.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row>
    <row r="613" spans="1:123" ht="64.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row>
    <row r="614" spans="1:123" ht="64.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row>
    <row r="615" spans="1:123" ht="64.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row>
    <row r="616" spans="1:123" ht="64.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row>
    <row r="617" spans="1:123" ht="64.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row>
    <row r="618" spans="1:123" ht="64.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row>
    <row r="619" spans="1:123" ht="64.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row>
    <row r="620" spans="1:123" ht="64.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row>
    <row r="621" spans="1:123" ht="64.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row>
    <row r="622" spans="1:123" ht="64.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row>
    <row r="623" spans="1:123" ht="64.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row>
    <row r="624" spans="1:123" ht="64.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row>
    <row r="625" spans="1:123" ht="64.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row>
    <row r="626" spans="1:123" ht="64.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row>
    <row r="627" spans="1:123" ht="64.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row>
    <row r="628" spans="1:123" ht="64.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row>
    <row r="629" spans="1:123" ht="64.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row>
    <row r="630" spans="1:123" ht="64.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row>
    <row r="631" spans="1:123" ht="64.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row>
    <row r="632" spans="1:123" ht="64.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row>
    <row r="633" spans="1:123" ht="64.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row>
    <row r="634" spans="1:123" ht="64.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row>
    <row r="635" spans="1:123" ht="64.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row>
    <row r="636" spans="1:123" ht="64.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row>
    <row r="637" spans="1:123" ht="64.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row>
    <row r="638" spans="1:123" ht="64.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row>
    <row r="639" spans="1:123" ht="64.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row>
    <row r="640" spans="1:123" ht="64.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row>
    <row r="641" spans="1:123" ht="64.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row>
    <row r="642" spans="1:123" ht="64.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row>
    <row r="643" spans="1:123" ht="64.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row>
    <row r="644" spans="1:123" ht="64.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row>
    <row r="645" spans="1:123" ht="64.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row>
    <row r="646" spans="1:123" ht="64.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row>
    <row r="647" spans="1:123" ht="64.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row>
    <row r="648" spans="1:123" ht="64.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row>
    <row r="649" spans="1:123" ht="64.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row>
    <row r="650" spans="1:123" ht="64.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row>
    <row r="651" spans="1:123" ht="64.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row>
    <row r="652" spans="1:123" ht="64.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row>
    <row r="653" spans="1:123" ht="64.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row>
    <row r="654" spans="1:123" ht="64.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row>
    <row r="655" spans="1:123" ht="64.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row>
    <row r="656" spans="1:123" ht="64.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row>
    <row r="657" spans="1:123" ht="64.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row>
    <row r="658" spans="1:123" ht="64.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row>
    <row r="659" spans="1:123" ht="64.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row>
    <row r="660" spans="1:123" ht="64.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row>
    <row r="661" spans="1:123" ht="64.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row>
    <row r="662" spans="1:123" ht="64.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row>
    <row r="663" spans="1:123" ht="64.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row>
    <row r="664" spans="1:123" ht="64.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row>
    <row r="665" spans="1:123" ht="64.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row>
    <row r="666" spans="1:123" ht="64.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row>
    <row r="667" spans="1:123" ht="64.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row>
    <row r="668" spans="1:123" ht="64.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row>
    <row r="669" spans="1:123" ht="64.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row>
    <row r="670" spans="1:123" ht="64.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row>
    <row r="671" spans="1:123" ht="64.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row>
    <row r="672" spans="1:123" ht="64.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row>
    <row r="673" spans="1:123" ht="64.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row>
    <row r="674" spans="1:123" ht="64.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row>
    <row r="675" spans="1:123" ht="64.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row>
    <row r="676" spans="1:123" ht="64.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row>
    <row r="677" spans="1:123" ht="64.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row>
    <row r="678" spans="1:123" ht="64.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row>
    <row r="679" spans="1:123" ht="64.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row>
    <row r="680" spans="1:123" ht="64.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row>
    <row r="681" spans="1:123" ht="64.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row>
    <row r="682" spans="1:123" ht="64.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row>
    <row r="683" spans="1:123" ht="64.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row>
    <row r="684" spans="1:123" ht="64.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row>
    <row r="685" spans="1:123" ht="64.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row>
    <row r="686" spans="1:123" ht="64.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row>
    <row r="687" spans="1:123" ht="64.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row>
    <row r="688" spans="1:123" ht="64.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row>
    <row r="689" spans="1:123" ht="64.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row>
    <row r="690" spans="1:123" ht="64.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row>
    <row r="691" spans="1:123" ht="64.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row>
    <row r="692" spans="1:123" ht="64.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row>
    <row r="693" spans="1:123" ht="64.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row>
    <row r="694" spans="1:123" ht="64.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row>
    <row r="695" spans="1:123" ht="64.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row>
    <row r="696" spans="1:123" ht="64.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row>
    <row r="697" spans="1:123" ht="64.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row>
    <row r="698" spans="1:123" ht="64.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row>
    <row r="699" spans="1:123" ht="64.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row>
    <row r="700" spans="1:123" ht="64.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row>
    <row r="701" spans="1:123" ht="64.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row>
    <row r="702" spans="1:123" ht="64.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row>
    <row r="703" spans="1:123" ht="64.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row>
    <row r="704" spans="1:123" ht="64.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row>
    <row r="705" spans="1:123" ht="64.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row>
    <row r="706" spans="1:123" ht="64.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row>
    <row r="707" spans="1:123" ht="64.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row>
    <row r="708" spans="1:123" ht="64.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row>
    <row r="709" spans="1:123" ht="64.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row>
    <row r="710" spans="1:123" ht="64.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row>
    <row r="711" spans="1:123" ht="64.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row>
    <row r="712" spans="1:123" ht="64.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row>
    <row r="713" spans="1:123" ht="64.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row>
    <row r="714" spans="1:123" ht="64.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row>
    <row r="715" spans="1:123" ht="64.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row>
    <row r="716" spans="1:123" ht="64.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row>
    <row r="717" spans="1:123" ht="64.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row>
    <row r="718" spans="1:123" ht="64.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row>
    <row r="719" spans="1:123" ht="64.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row>
    <row r="720" spans="1:123" ht="64.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row>
    <row r="721" spans="1:123" ht="64.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row>
    <row r="722" spans="1:123" ht="64.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row>
    <row r="723" spans="1:123" ht="64.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row>
    <row r="724" spans="1:123" ht="64.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row>
    <row r="725" spans="1:123" ht="64.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row>
    <row r="726" spans="1:123" ht="64.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row>
    <row r="727" spans="1:123" ht="64.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row>
    <row r="728" spans="1:123" ht="64.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row>
    <row r="729" spans="1:123" ht="64.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row>
    <row r="730" spans="1:123" ht="64.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row>
    <row r="731" spans="1:123" ht="64.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row>
    <row r="732" spans="1:123" ht="64.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row>
    <row r="733" spans="1:123" ht="64.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row>
    <row r="734" spans="1:123" ht="64.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row>
    <row r="735" spans="1:123" ht="64.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row>
    <row r="736" spans="1:123" ht="64.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row>
    <row r="737" spans="1:123" ht="64.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row>
    <row r="738" spans="1:123" ht="64.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row>
    <row r="739" spans="1:123" ht="64.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row>
    <row r="740" spans="1:123" ht="64.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row>
    <row r="741" spans="1:123" ht="64.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row>
    <row r="742" spans="1:123" ht="64.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row>
    <row r="743" spans="1:123" ht="64.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row>
    <row r="744" spans="1:123" ht="64.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row>
    <row r="745" spans="1:123" ht="64.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row>
    <row r="746" spans="1:123" ht="64.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row>
    <row r="747" spans="1:123" ht="64.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row>
    <row r="748" spans="1:123" ht="64.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row>
    <row r="749" spans="1:123" ht="64.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row>
    <row r="750" spans="1:123" ht="64.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row>
    <row r="751" spans="1:123" ht="64.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row>
    <row r="752" spans="1:123" ht="64.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row>
    <row r="753" spans="1:123" ht="64.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row>
    <row r="754" spans="1:123" ht="64.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row>
    <row r="755" spans="1:123" ht="64.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row>
    <row r="756" spans="1:123" ht="64.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row>
    <row r="757" spans="1:123" ht="64.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row>
    <row r="758" spans="1:123" ht="64.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row>
    <row r="759" spans="1:123" ht="64.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row>
    <row r="760" spans="1:123" ht="64.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row>
    <row r="761" spans="1:123" ht="64.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row>
    <row r="762" spans="1:123" ht="64.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row>
    <row r="763" spans="1:123" ht="64.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row>
    <row r="764" spans="1:123" ht="64.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row>
    <row r="765" spans="1:123" ht="64.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row>
    <row r="766" spans="1:123" ht="64.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row>
    <row r="767" spans="1:123" ht="64.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row>
    <row r="768" spans="1:123" ht="64.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row>
    <row r="769" spans="1:123" ht="64.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row>
    <row r="770" spans="1:123" ht="64.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row>
    <row r="771" spans="1:123" ht="64.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row>
    <row r="772" spans="1:123" ht="64.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row>
    <row r="773" spans="1:123" ht="64.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row>
    <row r="774" spans="1:123" ht="64.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row>
    <row r="775" spans="1:123" ht="64.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row>
    <row r="776" spans="1:123" ht="64.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row>
    <row r="777" spans="1:123" ht="64.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row>
    <row r="778" spans="1:123" ht="64.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row>
    <row r="779" spans="1:123" ht="64.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row>
    <row r="780" spans="1:123" ht="64.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row>
    <row r="781" spans="1:123" ht="64.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row>
    <row r="782" spans="1:123" ht="64.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row>
    <row r="783" spans="1:123" ht="64.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row>
    <row r="784" spans="1:123" ht="64.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row>
    <row r="785" spans="1:123" ht="64.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row>
    <row r="786" spans="1:123" ht="64.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row>
    <row r="787" spans="1:123" ht="64.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row>
    <row r="788" spans="1:123" ht="64.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row>
    <row r="789" spans="1:123" ht="64.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row>
    <row r="790" spans="1:123" ht="64.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row>
    <row r="791" spans="1:123" ht="64.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row>
    <row r="792" spans="1:123" ht="64.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row>
    <row r="793" spans="1:123" ht="64.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row>
    <row r="794" spans="1:123" ht="64.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row>
    <row r="795" spans="1:123" ht="64.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row>
    <row r="796" spans="1:123" ht="64.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row>
    <row r="797" spans="1:123" ht="64.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row>
    <row r="798" spans="1:123" ht="64.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row>
    <row r="799" spans="1:123" ht="64.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row>
    <row r="800" spans="1:123" ht="64.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row>
    <row r="801" spans="1:123" ht="64.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row>
    <row r="802" spans="1:123" ht="64.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row>
    <row r="803" spans="1:123" ht="64.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row>
    <row r="804" spans="1:123" ht="64.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row>
    <row r="805" spans="1:123" ht="64.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row>
    <row r="806" spans="1:123" ht="64.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row>
    <row r="807" spans="1:123" ht="64.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row>
    <row r="808" spans="1:123" ht="64.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row>
    <row r="809" spans="1:123" ht="64.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row>
    <row r="810" spans="1:123" ht="64.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row>
    <row r="811" spans="1:123" ht="64.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row>
    <row r="812" spans="1:123" ht="64.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row>
    <row r="813" spans="1:123" ht="64.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row>
    <row r="814" spans="1:123" ht="64.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row>
    <row r="815" spans="1:123" ht="64.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row>
    <row r="816" spans="1:123" ht="64.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row>
    <row r="817" spans="1:123" ht="64.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row>
    <row r="818" spans="1:123" ht="64.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row>
    <row r="819" spans="1:123" ht="64.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row>
    <row r="820" spans="1:123" ht="64.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row>
    <row r="821" spans="1:123" ht="64.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row>
    <row r="822" spans="1:123" ht="64.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row>
    <row r="823" spans="1:123" ht="64.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row>
    <row r="824" spans="1:123" ht="64.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row>
    <row r="825" spans="1:123" ht="64.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row>
    <row r="826" spans="1:123" ht="64.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row>
    <row r="827" spans="1:123" ht="64.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row>
    <row r="828" spans="1:123" ht="64.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row>
    <row r="829" spans="1:123" ht="64.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row>
    <row r="830" spans="1:123" ht="64.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row>
    <row r="831" spans="1:123" ht="64.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row>
    <row r="832" spans="1:123" ht="64.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row>
    <row r="833" spans="1:123" ht="64.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row>
    <row r="834" spans="1:123" ht="64.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row>
    <row r="835" spans="1:123" ht="64.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row>
    <row r="836" spans="1:123" ht="64.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row>
    <row r="837" spans="1:123" ht="64.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row>
    <row r="838" spans="1:123" ht="64.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row>
    <row r="839" spans="1:123" ht="64.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row>
    <row r="840" spans="1:123" ht="64.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row>
    <row r="841" spans="1:123" ht="64.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row>
    <row r="842" spans="1:123" ht="64.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row>
    <row r="843" spans="1:123" ht="64.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row>
    <row r="844" spans="1:123" ht="64.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row>
    <row r="845" spans="1:123" ht="64.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row>
    <row r="846" spans="1:123" ht="64.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row>
    <row r="847" spans="1:123" ht="64.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row>
    <row r="848" spans="1:123" ht="64.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row>
    <row r="849" spans="1:123" ht="64.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row>
    <row r="850" spans="1:123" ht="64.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row>
    <row r="851" spans="1:123" ht="64.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row>
    <row r="852" spans="1:123" ht="64.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row>
    <row r="853" spans="1:123" ht="64.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row>
    <row r="854" spans="1:123" ht="64.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row>
    <row r="855" spans="1:123" ht="64.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row>
    <row r="856" spans="1:123" ht="64.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row>
    <row r="857" spans="1:123" ht="64.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row>
    <row r="858" spans="1:123" ht="64.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row>
    <row r="859" spans="1:123" ht="64.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row>
    <row r="860" spans="1:123" ht="64.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row>
    <row r="861" spans="1:123" ht="64.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row>
    <row r="862" spans="1:123" ht="64.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row>
    <row r="863" spans="1:123" ht="64.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row>
    <row r="864" spans="1:123" ht="64.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row>
    <row r="865" spans="1:123" ht="64.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row>
    <row r="866" spans="1:123" ht="64.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row>
    <row r="867" spans="1:123" ht="64.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row>
    <row r="868" spans="1:123" ht="64.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row>
    <row r="869" spans="1:123" ht="64.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row>
    <row r="870" spans="1:123" ht="64.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row>
    <row r="871" spans="1:123" ht="64.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row>
    <row r="872" spans="1:123" ht="64.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row>
    <row r="873" spans="1:123" ht="64.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row>
    <row r="874" spans="1:123" ht="64.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row>
    <row r="875" spans="1:123" ht="64.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row>
    <row r="876" spans="1:123" ht="64.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row>
    <row r="877" spans="1:123" ht="64.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row>
    <row r="878" spans="1:123" ht="64.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row>
    <row r="879" spans="1:123" ht="64.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row>
    <row r="880" spans="1:123" ht="64.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row>
    <row r="881" spans="1:123" ht="64.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row>
    <row r="882" spans="1:123" ht="64.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row>
    <row r="883" spans="1:123" ht="64.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row>
    <row r="884" spans="1:123" ht="64.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row>
    <row r="885" spans="1:123" ht="64.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row>
    <row r="886" spans="1:123" ht="64.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row>
    <row r="887" spans="1:123" ht="64.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row>
    <row r="888" spans="1:123" ht="64.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row>
    <row r="889" spans="1:123" ht="64.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row>
    <row r="890" spans="1:123" ht="64.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row>
    <row r="891" spans="1:123" ht="64.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row>
    <row r="892" spans="1:123" ht="64.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row>
    <row r="893" spans="1:123" ht="64.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row>
    <row r="894" spans="1:123" ht="64.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row>
    <row r="895" spans="1:123" ht="64.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row>
    <row r="896" spans="1:123" ht="64.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row>
    <row r="897" spans="1:123" ht="64.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row>
    <row r="898" spans="1:123" ht="64.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row>
    <row r="899" spans="1:123" ht="64.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row>
    <row r="900" spans="1:123" ht="64.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row>
    <row r="901" spans="1:123" ht="64.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row>
    <row r="902" spans="1:123" ht="64.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row>
    <row r="903" spans="1:123" ht="64.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row>
    <row r="904" spans="1:123" ht="64.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row>
    <row r="905" spans="1:123" ht="64.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row>
    <row r="906" spans="1:123" ht="64.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row>
    <row r="907" spans="1:123" ht="64.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row>
    <row r="908" spans="1:123" ht="64.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row>
    <row r="909" spans="1:123" ht="64.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row>
    <row r="910" spans="1:123" ht="64.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row>
    <row r="911" spans="1:123" ht="64.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row>
    <row r="912" spans="1:123" ht="64.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row>
    <row r="913" spans="1:123" ht="64.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row>
    <row r="914" spans="1:123" ht="64.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row>
    <row r="915" spans="1:123" ht="64.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row>
    <row r="916" spans="1:123" ht="64.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row>
    <row r="917" spans="1:123" ht="64.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row>
    <row r="918" spans="1:123" ht="64.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row>
    <row r="919" spans="1:123" ht="64.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row>
    <row r="920" spans="1:123" ht="64.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row>
    <row r="921" spans="1:123" ht="64.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row>
    <row r="922" spans="1:123" ht="64.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row>
    <row r="923" spans="1:123" ht="64.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row>
    <row r="924" spans="1:123" ht="64.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row>
    <row r="925" spans="1:123" ht="64.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row>
    <row r="926" spans="1:123" ht="64.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row>
    <row r="927" spans="1:123" ht="64.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row>
    <row r="928" spans="1:123" ht="64.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row>
    <row r="929" spans="1:123" ht="64.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row>
    <row r="930" spans="1:123" ht="64.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row>
    <row r="931" spans="1:123" ht="64.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row>
    <row r="932" spans="1:123" ht="64.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row>
    <row r="933" spans="1:123" ht="64.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row>
    <row r="934" spans="1:123" ht="64.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row>
    <row r="935" spans="1:123" ht="64.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row>
    <row r="936" spans="1:123" ht="64.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row>
    <row r="937" spans="1:123" ht="64.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row>
    <row r="938" spans="1:123" ht="64.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row>
    <row r="939" spans="1:123" ht="64.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row>
    <row r="940" spans="1:123" ht="64.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row>
    <row r="941" spans="1:123" ht="64.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row>
    <row r="942" spans="1:123" ht="64.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row>
    <row r="943" spans="1:123" ht="64.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row>
    <row r="944" spans="1:123" ht="64.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row>
    <row r="945" spans="1:123" ht="64.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row>
    <row r="946" spans="1:123" ht="64.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row>
    <row r="947" spans="1:123" ht="64.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row>
    <row r="948" spans="1:123" ht="64.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row>
    <row r="949" spans="1:123" ht="64.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row>
    <row r="950" spans="1:123" ht="64.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row>
    <row r="951" spans="1:123" ht="64.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row>
    <row r="952" spans="1:123" ht="64.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row>
    <row r="953" spans="1:123" ht="64.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row>
    <row r="954" spans="1:123" ht="64.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row>
    <row r="955" spans="1:123" ht="64.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row>
    <row r="956" spans="1:123" ht="64.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row>
    <row r="957" spans="1:123" ht="64.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row>
    <row r="958" spans="1:123" ht="64.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row>
    <row r="959" spans="1:123" ht="64.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row>
    <row r="960" spans="1:123" ht="64.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row>
    <row r="961" spans="1:123" ht="64.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row>
    <row r="962" spans="1:123" ht="64.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row>
    <row r="963" spans="1:123" ht="64.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row>
    <row r="964" spans="1:123" ht="64.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row>
    <row r="965" spans="1:123" ht="64.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row>
    <row r="966" spans="1:123" ht="64.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row>
    <row r="967" spans="1:123" ht="64.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row>
    <row r="968" spans="1:123" ht="64.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row>
    <row r="969" spans="1:123" ht="64.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row>
    <row r="970" spans="1:123" ht="64.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row>
    <row r="971" spans="1:123" ht="64.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row>
    <row r="972" spans="1:123" ht="64.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row>
    <row r="973" spans="1:123" ht="64.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row>
    <row r="974" spans="1:123" ht="64.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row>
    <row r="975" spans="1:123" ht="64.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row>
    <row r="976" spans="1:123" ht="64.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row>
    <row r="977" spans="1:123" ht="64.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row>
    <row r="978" spans="1:123" ht="64.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row>
    <row r="979" spans="1:123" ht="64.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row>
    <row r="980" spans="1:123" ht="64.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row>
    <row r="981" spans="1:123" ht="64.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row>
    <row r="982" spans="1:123" ht="64.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row>
    <row r="983" spans="1:123" ht="64.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row>
    <row r="984" spans="1:123" ht="64.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row>
    <row r="985" spans="1:123" ht="64.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row>
    <row r="986" spans="1:123" ht="64.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row>
    <row r="987" spans="1:123" ht="64.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row>
    <row r="988" spans="1:123" ht="64.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row>
    <row r="989" spans="1:123" ht="64.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row>
    <row r="990" spans="1:123" ht="64.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row>
    <row r="991" spans="1:123" ht="64.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row>
    <row r="992" spans="1:123" ht="64.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row>
    <row r="993" spans="1:123" ht="64.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row>
    <row r="994" spans="1:123" ht="64.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row>
    <row r="995" spans="1:123" ht="64.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row>
    <row r="996" spans="1:123" ht="64.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row>
    <row r="997" spans="1:123" ht="64.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row>
    <row r="998" spans="1:123" ht="64.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row>
  </sheetData>
  <autoFilter ref="A4:CS466" xr:uid="{00000000-0009-0000-0000-000001000000}">
    <filterColumn colId="3">
      <filters blank="1">
        <filter val="МинЖКХ"/>
        <filter val="МинЖКХ &quot;ТОП 5 (1 этап)&quot;"/>
        <filter val="МинЖКХ &quot;ТОП 5 (2 этап)&quot;"/>
        <filter val="Минстрой"/>
      </filters>
    </filterColumn>
    <filterColumn colId="49">
      <filters>
        <filter val="0.00"/>
        <filter val="1,500.00"/>
        <filter val="1,557.40"/>
        <filter val="1,572.39"/>
        <filter val="1,586.49"/>
        <filter val="1,600.00"/>
        <filter val="1,606.64"/>
        <filter val="1,640.00"/>
        <filter val="1,650.00"/>
        <filter val="1,665.94"/>
        <filter val="1,734.14"/>
        <filter val="1,773.49"/>
        <filter val="1,850.00"/>
        <filter val="1,900.00"/>
        <filter val="1,972.87"/>
        <filter val="1,985.81"/>
        <filter val="10,092.09"/>
        <filter val="10,226.45"/>
        <filter val="10,619.58"/>
        <filter val="10,739.99"/>
        <filter val="106,486.33"/>
        <filter val="106,805.80"/>
        <filter val="11,508.00"/>
        <filter val="11,775.31"/>
        <filter val="11,813.79"/>
        <filter val="12,228.30"/>
        <filter val="12,850.00"/>
        <filter val="121,550.43"/>
        <filter val="129,204.80"/>
        <filter val="129,720.72"/>
        <filter val="14,150.90"/>
        <filter val="14,163.30"/>
        <filter val="14,648.48"/>
        <filter val="140,263.00"/>
        <filter val="149,293.74"/>
        <filter val="149,508.00"/>
        <filter val="15,000.00"/>
        <filter val="150,468.41"/>
        <filter val="150,960.00"/>
        <filter val="158.05"/>
        <filter val="16,063.30"/>
        <filter val="16,102.83"/>
        <filter val="16,116.45"/>
        <filter val="16,430.08"/>
        <filter val="160,854.00"/>
        <filter val="17,955.00"/>
        <filter val="17,992.28"/>
        <filter val="175,229.80"/>
        <filter val="18,265.64"/>
        <filter val="18,382.66"/>
        <filter val="18,509.47"/>
        <filter val="182.50"/>
        <filter val="2,047.50"/>
        <filter val="2,127.60"/>
        <filter val="2,269.47"/>
        <filter val="2,326.03"/>
        <filter val="2,338.91"/>
        <filter val="2,448.53"/>
        <filter val="2,489.25"/>
        <filter val="2,500.00"/>
        <filter val="2,578.68"/>
        <filter val="2,599.78"/>
        <filter val="2,605.03"/>
        <filter val="2,697.78"/>
        <filter val="2,703.37"/>
        <filter val="2,715.33"/>
        <filter val="2,715.36"/>
        <filter val="2,748.64"/>
        <filter val="2,748.67"/>
        <filter val="2,782.00"/>
        <filter val="2,851.40"/>
        <filter val="203,043.52"/>
        <filter val="21,213.33"/>
        <filter val="21,260.00"/>
        <filter val="214.65"/>
        <filter val="22,732.00"/>
        <filter val="22,985.29"/>
        <filter val="221,183.74"/>
        <filter val="227,831.00"/>
        <filter val="23,054.18"/>
        <filter val="23,141.28"/>
        <filter val="23,950.50"/>
        <filter val="230,000.00"/>
        <filter val="232,000.00"/>
        <filter val="25,235.75"/>
        <filter val="26,241.19"/>
        <filter val="26,885.00"/>
        <filter val="27,033.43"/>
        <filter val="29,696.16"/>
        <filter val="3,000.00"/>
        <filter val="3,125.26"/>
        <filter val="3,234,474.67"/>
        <filter val="3,678.95"/>
        <filter val="3,701.02"/>
        <filter val="3,771.76"/>
        <filter val="3,950.00"/>
        <filter val="3,962.00"/>
        <filter val="3,988.00"/>
        <filter val="30,025.00"/>
        <filter val="30,066.28"/>
        <filter val="30,706.97"/>
        <filter val="306,045.32"/>
        <filter val="31,047.66"/>
        <filter val="31,581.88"/>
        <filter val="34,000.00"/>
        <filter val="34,079.09"/>
        <filter val="34,403.00"/>
        <filter val="341,833.68"/>
        <filter val="37,506.51"/>
        <filter val="37,587.00"/>
        <filter val="373,104.77"/>
        <filter val="375,404.04"/>
        <filter val="38,713.88"/>
        <filter val="4,000.00"/>
        <filter val="4,042.71"/>
        <filter val="4,510.00"/>
        <filter val="4,600.00"/>
        <filter val="4,621.03"/>
        <filter val="4,635.50"/>
        <filter val="4,650.00"/>
        <filter val="4,673.78"/>
        <filter val="4,790.00"/>
        <filter val="4,918.85"/>
        <filter val="40,641.48"/>
        <filter val="43,313.36"/>
        <filter val="45,452.93"/>
        <filter val="47,300.37"/>
        <filter val="48,335.25"/>
        <filter val="48,409.47"/>
        <filter val="48,795.91"/>
        <filter val="480.00"/>
        <filter val="487,977.08"/>
        <filter val="5,128.52"/>
        <filter val="5,800.00"/>
        <filter val="50.10"/>
        <filter val="500.00"/>
        <filter val="51,271.00"/>
        <filter val="51,685.04"/>
        <filter val="53,260.92"/>
        <filter val="53,524.00"/>
        <filter val="53,937.98"/>
        <filter val="55,556.00"/>
        <filter val="56,534.59"/>
        <filter val="6,900.00"/>
        <filter val="60,019.43"/>
        <filter val="61.36"/>
        <filter val="62,635.59"/>
        <filter val="62,851.58"/>
        <filter val="63,528.07"/>
        <filter val="63,685.00"/>
        <filter val="658.32"/>
        <filter val="665.20"/>
        <filter val="68,180.50"/>
        <filter val="68,897.51"/>
        <filter val="7,097.80"/>
        <filter val="7,211.71"/>
        <filter val="7,450.50"/>
        <filter val="7,568.40"/>
        <filter val="7,752.61"/>
        <filter val="7,850.83"/>
        <filter val="7,943.00"/>
        <filter val="7,981.37"/>
        <filter val="70,338.36"/>
        <filter val="70,951.60"/>
        <filter val="742.19"/>
        <filter val="770,285.91"/>
        <filter val="793.25"/>
        <filter val="8,049.41"/>
        <filter val="8,413.70"/>
        <filter val="80,826.67"/>
        <filter val="804.60"/>
        <filter val="82,271.37"/>
        <filter val="869,636.90"/>
        <filter val="89,349.60"/>
        <filter val="9,327.47"/>
        <filter val="9,700.00"/>
        <filter val="9,719.34"/>
        <filter val="90,740.19"/>
        <filter val="91,754.81"/>
        <filter val="95,994.95"/>
        <filter val="98,865.15"/>
        <filter val="98,978.23"/>
      </filters>
    </filterColumn>
  </autoFilter>
  <mergeCells count="34">
    <mergeCell ref="CC1:CI1"/>
    <mergeCell ref="CJ1:CL1"/>
    <mergeCell ref="CM1:CS1"/>
    <mergeCell ref="CB3:CS3"/>
    <mergeCell ref="AL1:AQ1"/>
    <mergeCell ref="AR1:AW1"/>
    <mergeCell ref="AX1:BC1"/>
    <mergeCell ref="BD1:BI1"/>
    <mergeCell ref="BJ1:BO1"/>
    <mergeCell ref="BP1:BU1"/>
    <mergeCell ref="CB1:CB2"/>
    <mergeCell ref="AA1:AA2"/>
    <mergeCell ref="AB1:AB2"/>
    <mergeCell ref="AC1:AE1"/>
    <mergeCell ref="AF1:AK1"/>
    <mergeCell ref="BV1:CA1"/>
    <mergeCell ref="N1:N2"/>
    <mergeCell ref="O1:S1"/>
    <mergeCell ref="T1:T2"/>
    <mergeCell ref="U1:U2"/>
    <mergeCell ref="V1:Z1"/>
    <mergeCell ref="F1:F2"/>
    <mergeCell ref="G1:G2"/>
    <mergeCell ref="A3:M3"/>
    <mergeCell ref="H1:H2"/>
    <mergeCell ref="I1:I2"/>
    <mergeCell ref="J1:J2"/>
    <mergeCell ref="K1:L1"/>
    <mergeCell ref="M1:M2"/>
    <mergeCell ref="A1:A2"/>
    <mergeCell ref="B1:B2"/>
    <mergeCell ref="C1:C2"/>
    <mergeCell ref="D1:D2"/>
    <mergeCell ref="E1:E2"/>
  </mergeCells>
  <hyperlinks>
    <hyperlink ref="CS5" r:id="rId1" display="https://zakupki.gov.ru/epz/contract/search/results.html?searchString=&amp;orderNumber=0148200005420000190&amp;openMode=USE_DEFAULT_PARAMS&amp;fz44=on&amp;priceFrom=0&amp;priceTo=200000000000&amp;contractStageList=0%2C1%2C2%2C3&amp;budgetaryFunds=on&amp;extraBudgetaryFunds=on" xr:uid="{00000000-0004-0000-0100-000000000000}"/>
    <hyperlink ref="CS6" r:id="rId2" display="https://zakupki.gov.ru/epz/contract/contractCard/common-info.html?reestrNumber=3505200212820000041" xr:uid="{00000000-0004-0000-0100-000001000000}"/>
    <hyperlink ref="CS7" r:id="rId3" display="https://zakupki.gov.ru/epz/order/notice/rpec/common-info.html?regNumber=08486000068200000020001" xr:uid="{00000000-0004-0000-0100-000002000000}"/>
    <hyperlink ref="CS15" r:id="rId4" display="https://zakupki.gov.ru/epz/contract/contractCard/payment-info-and-target-of-order.html?reestrNumber=3502703675820000109&amp;backUrl=c2d578b2-ec3e-4f5a-8ae1-92b3c956fc5c" xr:uid="{00000000-0004-0000-0100-000003000000}"/>
    <hyperlink ref="CS16" r:id="rId5" display="https://zakupki.gov.ru/epz/contract/contractCard/common-info.html?reestrNumber=3503200422220000150&amp;backUrl=ad9f27c5-c06a-4904-a7f4-6230b383c638" xr:uid="{00000000-0004-0000-0100-000004000000}"/>
    <hyperlink ref="CS30" r:id="rId6" display="https://zakupki.gov.ru/epz/contract/contractCard/common-info.html?reestrNumber=3504805359220000007&amp;backUrl=1a150117-ef74-4efb-bed6-a999c2b3c581" xr:uid="{00000000-0004-0000-0100-000005000000}"/>
    <hyperlink ref="CS74" r:id="rId7" display="https://zakupki.gov.ru/epz/contract/contractCard/common-info.html?reestrNumber=3500313323020000003&amp;backUrl=b0c37ff8-087c-4a9b-9cc0-569e05fc242f" xr:uid="{00000000-0004-0000-0100-000006000000}"/>
    <hyperlink ref="CS76" r:id="rId8" display="https://zakupki.gov.ru/epz/contract/contractCard/common-info.html?reestrNumber=3500313323020000031" xr:uid="{00000000-0004-0000-0100-000007000000}"/>
    <hyperlink ref="CS82" r:id="rId9" display="https://zakupki.gov.ru/epz/contract/contractCard/document-info.html?reestrNumber=3502702397420000061" xr:uid="{00000000-0004-0000-0100-000008000000}"/>
    <hyperlink ref="CS84" r:id="rId10" display="https://zakupki.gov.ru/epz/contract/contractCard/document-info.html?reestrNumber=3502702397420000064" xr:uid="{00000000-0004-0000-0100-000009000000}"/>
    <hyperlink ref="CI90" r:id="rId11" display="https://zakupki.gov.ru/epz/contract/contractCard/common-info.html?reestrNumber=2503406517120000004&amp;backUrl=6055b7be-0af4-466b-84f5-9198f45eb93b" xr:uid="{00000000-0004-0000-0100-00000A000000}"/>
    <hyperlink ref="CS109" r:id="rId12" display="https://zakupki.gov.ru/epz/contract/contractCard/common-info.html?reestrNumber=3500400389019000065&amp;backUrl=a5d1d95a-b789-442f-ad04-448142ee8b45" xr:uid="{00000000-0004-0000-0100-00000B000000}"/>
    <hyperlink ref="CS110" r:id="rId13" display="https://zakupki.gov.ru/epz/contract/contractCard/common-info.html?reestrNumber=3507272297420000060&amp;backUrl=cec6ef65-c734-4a1e-b446-9db4b150f345" xr:uid="{00000000-0004-0000-0100-00000C000000}"/>
    <hyperlink ref="CS111" r:id="rId14" display="https://zakupki.gov.ru/epz/contract/contractCard/common-info.html?reestrNumber=3502800396320000031&amp;backUrl=6e133243-3c55-4050-a0a6-733aed174db5" xr:uid="{00000000-0004-0000-0100-00000D000000}"/>
    <hyperlink ref="CS112" r:id="rId15" display="https://zakupki.gov.ru/epz/contract/contractCard/common-info.html?reestrNumber=3500505657420000016&amp;backUrl=785cd4b9-a016-491a-91db-9d55bcf9721f" xr:uid="{00000000-0004-0000-0100-00000E000000}"/>
    <hyperlink ref="CI117" r:id="rId16" display="https://zakupki.gov.ru/epz/contract/contractCard/common-info.html?reestrNumber=3505200212820000037&amp;backUrl=6a6c93ac-4711-4538-bcb5-353b08a1ab2e" xr:uid="{00000000-0004-0000-0100-00000F000000}"/>
    <hyperlink ref="CI118" r:id="rId17" display="https://zakupki.gov.ru/epz/contract/contractCard/common-info.html?reestrNumber=3505200212820000041&amp;backUrl=1ea4d53e-11b5-4198-a12a-960e006f535e" xr:uid="{00000000-0004-0000-0100-000010000000}"/>
    <hyperlink ref="CS119" r:id="rId18" display="https://zakupki.gov.ru/epz/contract/contractCard/common-info.html?reestrNumber=3504015306619000041&amp;backUrl=fddf9ec1-e2b3-4818-9dc5-49b0a829a976" xr:uid="{00000000-0004-0000-0100-000011000000}"/>
    <hyperlink ref="CS120" r:id="rId19" display="https://zakupki.gov.ru/epz/contract/contractCard/common-info.html?reestrNumber=3501301962519000125&amp;backUrl=453d6101-7fd8-4280-a3f7-c173f563f7d6" xr:uid="{00000000-0004-0000-0100-000012000000}"/>
    <hyperlink ref="CS121" r:id="rId20" display="https://zakupki.gov.ru/epz/contract/contractCard/common-info.html?reestrNumber=3500710214519000111&amp;backUrl=e9c794b8-e29a-4ca7-8548-bcf2ee8d294f" xr:uid="{00000000-0004-0000-0100-000013000000}"/>
    <hyperlink ref="CI128" r:id="rId21" display="https://zakupki.gov.ru/epz/contract/contractCard/common-info.html?reestrNumber=3502702397419000064&amp;backUrl=33e888a2-78fd-4fa0-b740-9bae2c7dbbbd" xr:uid="{00000000-0004-0000-0100-000014000000}"/>
    <hyperlink ref="CI215" r:id="rId22" display="https://zakupki.gov.ru/epz/contract/contractCard/common-info.html?reestrNumber=2502413966719000005&amp;backUrl=f5c9b410-aca6-45c3-9bce-09883b720338" xr:uid="{00000000-0004-0000-0100-000015000000}"/>
    <hyperlink ref="CS216" r:id="rId23" display="https://zakupki.gov.ru/epz/contract/contractCard/common-info.html?reestrNumber=2502413966719000008&amp;backUrl=f4bb9055-0be4-4b85-8756-61e439ed81cd" xr:uid="{00000000-0004-0000-0100-000016000000}"/>
    <hyperlink ref="CS217" r:id="rId24" display="https://zakupki.gov.ru/epz/contract/contractCard/common-info.html?reestrNumber=2502413966720000001&amp;backUrl=4fde3531-56b7-42d3-bb0e-bcb844c2011f" xr:uid="{00000000-0004-0000-0100-000017000000}"/>
    <hyperlink ref="CS218" r:id="rId25" display="https://zakupki.gov.ru/epz/contract/contractCard/common-info.html?reestrNumber=2502413966720000002&amp;backUrl=3a746daf-428b-421f-bf6e-ab578427b32e" xr:uid="{00000000-0004-0000-0100-000018000000}"/>
    <hyperlink ref="CS220" r:id="rId26" display="https://zakupki.gov.ru/epz/contract/contractCard/common-info.html?reestrNumber=3502611720320000054" xr:uid="{00000000-0004-0000-0100-000019000000}"/>
    <hyperlink ref="CS221" r:id="rId27" display="https://zakupki.gov.ru/epz/contract/contractCard/common-info.html?reestrNumber=3503615528619000048&amp;backUrl=642ceed7-c226-4ce4-87aa-51b97a4a4007" xr:uid="{00000000-0004-0000-0100-00001A000000}"/>
    <hyperlink ref="CS222" r:id="rId28" display="https://zakupki.gov.ru/epz/contract/contractCard/common-info.html?reestrNumber=3503615528619000054&amp;backUrl=480ac382-1635-409a-a3e4-0df246e810c5" xr:uid="{00000000-0004-0000-0100-00001B000000}"/>
    <hyperlink ref="CS223" r:id="rId29" display="https://zakupki.gov.ru/epz/contract/contractCard/common-info.html?reestrNumber=3504900333020000104&amp;backUrl=5909e958-e70f-4813-9e9e-6688e94578d7" xr:uid="{00000000-0004-0000-0100-00001C000000}"/>
    <hyperlink ref="CS224" r:id="rId30" display="https://zakupki.gov.ru/epz/contract/contractCard/common-info.html?reestrNumber=2503406517120000003&amp;backUrl=e9f17223-8b70-4be1-b0bc-633733b6edbd" xr:uid="{00000000-0004-0000-0100-00001D000000}"/>
    <hyperlink ref="CI227" r:id="rId31" display="https://zakupki.gov.ru/epz/contract/contractCard/common-info.html?reestrNumber=3502205470719000053&amp;backUrl=38342cc5-e647-40ef-aa77-f3f8f6914c85" xr:uid="{00000000-0004-0000-0100-00001E000000}"/>
    <hyperlink ref="CS229" r:id="rId32" display="https://zakupki.gov.ru/epz/contract/contractCard/common-info.html?reestrNumber=3503200422220000120&amp;backUrl=0a85df83-97d7-41b0-ad75-6d390cc53581" xr:uid="{00000000-0004-0000-0100-00001F000000}"/>
    <hyperlink ref="CS230" r:id="rId33" display="https://zakupki.gov.ru/epz/contract/contractCard/common-info.html?reestrNumber=3502205470719000127&amp;backUrl=30e1246d-b60f-4d72-a749-a0f94d538c0c" xr:uid="{00000000-0004-0000-0100-000020000000}"/>
    <hyperlink ref="CI234" r:id="rId34" display="https://zakupki.gov.ru/epz/contract/contractCard/common-info.html?reestrNumber=3504305548319000004&amp;backUrl=d3e0df58-35fe-4498-a8fb-cb5985b74179" xr:uid="{00000000-0004-0000-0100-000021000000}"/>
    <hyperlink ref="CI235" r:id="rId35" display="https://zakupki.gov.ru/epz/contract/contractCard/common-info.html?reestrNumber=3503500627419000074&amp;backUrl=d31ec1f5-a74c-457e-b1f3-d0d377769fe5" xr:uid="{00000000-0004-0000-0100-000022000000}"/>
    <hyperlink ref="CI236" r:id="rId36" display="https://zakupki.gov.ru/epz/contract/contractCard/common-info.html?reestrNumber=3504405139319000029&amp;backUrl=97781ce2-4f5a-4f97-ad5e-d2e56cb7139f" xr:uid="{00000000-0004-0000-0100-000023000000}"/>
    <hyperlink ref="CI237" r:id="rId37" display="https://zakupki.gov.ru/epz/contract/contractCard/common-info.html?reestrNumber=3503003185519000027&amp;backUrl=676266ef-31b3-4a38-a770-e3a6197244a4" xr:uid="{00000000-0004-0000-0100-000024000000}"/>
    <hyperlink ref="CI238" r:id="rId38" display="https://zakupki.gov.ru/epz/contract/contractCard/common-info.html?reestrNumber=3504202239719000102&amp;backUrl=e2620fc5-a3f3-4f94-9415-f21d9f99c0fb" xr:uid="{00000000-0004-0000-0100-000025000000}"/>
    <hyperlink ref="CI239" r:id="rId39" display="https://zakupki.gov.ru/epz/contract/contractCard/common-info.html?reestrNumber=3500710214519000029&amp;backUrl=d0a303d8-6c58-49ff-a40e-7775ce4f6aee" xr:uid="{00000000-0004-0000-0100-000026000000}"/>
    <hyperlink ref="CI240" r:id="rId40" display="https://zakupki.gov.ru/epz/contract/contractCard/common-info.html?reestrNumber=3501900890119000022&amp;backUrl=6f1c4103-caa7-4ac3-b3d4-95c8a0bee8b3" xr:uid="{00000000-0004-0000-0100-000027000000}"/>
    <hyperlink ref="CI241" r:id="rId41" display="https://zakupki.gov.ru/epz/contract/contractCard/common-info.html?reestrNumber=3504900333019000147&amp;backUrl=bc47a9b1-d95e-4949-b76f-b9a34a70ddea" xr:uid="{00000000-0004-0000-0100-000028000000}"/>
    <hyperlink ref="CS242" r:id="rId42" display="https://zakupki.gov.ru/epz/contract/contractCard/common-info.html?reestrNumber=3501701576620000143&amp;backUrl=38bd1910-caa9-487a-88a7-65cfd43f77f1" xr:uid="{00000000-0004-0000-0100-000029000000}"/>
    <hyperlink ref="CS243" r:id="rId43" display="https://zakupki.gov.ru/epz/contract/contractCard/common-info.html?reestrNumber=3502916894320000040&amp;backUrl=6ef416ae-c495-4bc8-add5-d6d1fe2c3d2c" xr:uid="{00000000-0004-0000-0100-00002A000000}"/>
    <hyperlink ref="CS247" r:id="rId44" display="https://zakupki.gov.ru/epz/contract/contractCard/common-info.html?reestrNumber=2502413966719000001&amp;backUrl=e1a2a103-4d28-449f-837b-015391830430" xr:uid="{00000000-0004-0000-0100-00002B000000}"/>
    <hyperlink ref="CS249" r:id="rId45" display="https://zakupki.gov.ru/epz/contract/contractCard/document-info.html?reestrNumber=3500505657420000022" xr:uid="{00000000-0004-0000-0100-00002C000000}"/>
    <hyperlink ref="CS253" r:id="rId46" display="https://zakupki.gov.ru/epz/contract/contractCard/common-info.html?reestrNumber=3505000215419000278&amp;backUrl=1eb41833-297f-4274-8436-069f3d26e4c7" xr:uid="{00000000-0004-0000-0100-00002D000000}"/>
    <hyperlink ref="CI254" r:id="rId47" display="https://zakupki.gov.ru/epz/contract/contractCard/common-info.html?reestrNumber=3505000215419000233&amp;backUrl=2479bc82-6253-474d-9d2a-3de571f245bb" xr:uid="{00000000-0004-0000-0100-00002E000000}"/>
    <hyperlink ref="CS255" r:id="rId48" display="https://zakupki.gov.ru/epz/contract/contractCard/common-info.html?reestrNumber=3502400207718000297&amp;backUrl=4581b73d-f4cb-469c-ae29-7e911694c36a" xr:uid="{00000000-0004-0000-0100-00002F000000}"/>
    <hyperlink ref="CI259" r:id="rId49" display="https://zakupki.gov.ru/epz/contract/search/results.html?searchString=&amp;orderNumber=0848300051719000592&amp;openMode=USE_DEFAULT_PARAMS&amp;fz44=on&amp;priceFrom=0&amp;priceTo=200000000000&amp;contractStageList=0%2C1%2C2%2C3&amp;budgetaryFunds=on&amp;extraBudgetaryFunds=on" xr:uid="{00000000-0004-0000-0100-000030000000}"/>
    <hyperlink ref="CS263" r:id="rId50" display="https://zakupki.gov.ru/epz/contract/contractCard/common-info.html?reestrNumber=3504301469519000157&amp;backUrl=4a22b059-ddba-45d3-a731-f4cea70792c4" xr:uid="{00000000-0004-0000-0100-000031000000}"/>
    <hyperlink ref="CS264" r:id="rId51" display="https://zakupki.gov.ru/epz/contract/contractCard/common-info.html?reestrNumber=3505000215419000210&amp;backUrl=e0d7e0d0-29c2-4e18-9067-5e3a21c93ce1" xr:uid="{00000000-0004-0000-0100-000032000000}"/>
    <hyperlink ref="CS265" r:id="rId52" display="https://zakupki.gov.ru/epz/contract/contractCard/common-info.html?reestrNumber=3500110667219000268&amp;backUrl=166f8b93-71fb-45ba-afcd-14495e1c7132" xr:uid="{00000000-0004-0000-0100-000033000000}"/>
    <hyperlink ref="CS266" r:id="rId53" display="https://zakupki.gov.ru/epz/contract/contractCard/common-info.html?reestrNumber=3505000215419000186&amp;backUrl=4ada7410-9a86-417d-98a6-86d8770d8c72" xr:uid="{00000000-0004-0000-0100-000034000000}"/>
    <hyperlink ref="CS270" r:id="rId54" display="https://zakupki.gov.ru/epz/contract/contractCard/common-info.html?reestrNumber=3503408266720000045&amp;backUrl=60754490-0a76-40a6-8ec8-523920815337" xr:uid="{00000000-0004-0000-0100-000035000000}"/>
    <hyperlink ref="CI285" r:id="rId55" display="https://zakupki.gov.ru/epz/contract/contractCard/common-info.html?reestrNumber=3500400389019000081&amp;backUrl=5a463841-8dc6-46e8-88f8-4314e028b5f6" xr:uid="{00000000-0004-0000-0100-000036000000}"/>
    <hyperlink ref="CI287" r:id="rId56" display="https://zakupki.gov.ru/epz/contract/contractCard/common-info.html?reestrNumber=3501102549320000033&amp;backUrl=dea90917-64d3-4ba4-b5b3-28c55c106e72" xr:uid="{00000000-0004-0000-0100-000037000000}"/>
    <hyperlink ref="CN288" r:id="rId57" display="https://zakupki.gov.ru/epz/order/notice/view/common-info.html?regNumber=0848300069519000443" xr:uid="{00000000-0004-0000-0100-000038000000}"/>
    <hyperlink ref="CS288" r:id="rId58" display="https://zakupki.gov.ru/epz/contract/contractCard/common-info.html?reestrNumber=3501400314519000073&amp;backUrl=c51a1be5-5aeb-4b65-8557-7db8ab7fa78c" xr:uid="{00000000-0004-0000-0100-000039000000}"/>
    <hyperlink ref="CN289" r:id="rId59" display="https://zakupki.gov.ru/epz/order/notice/view/common-info.html?regNumber=0848300069519000443" xr:uid="{00000000-0004-0000-0100-00003A000000}"/>
    <hyperlink ref="CS289" r:id="rId60" display="https://zakupki.gov.ru/epz/contract/contractCard/common-info.html?reestrNumber=3501400314519000073&amp;backUrl=c51a1be5-5aeb-4b65-8557-7db8ab7fa78c" xr:uid="{00000000-0004-0000-0100-00003B000000}"/>
    <hyperlink ref="CI316" r:id="rId61" display="https://zakupki.gov.ru/epz/contract/contractCard/common-info.html?reestrNumber=3507272297420000053&amp;backUrl=5dd64fef-f458-4b30-808e-2a85b2bb3a65" xr:uid="{00000000-0004-0000-0100-00003C000000}"/>
    <hyperlink ref="CS317" r:id="rId62" display="https://zakupki.gov.ru/223/purchase/public/purchase/info/contractInfo.html?noticeInfoId=11698279" xr:uid="{00000000-0004-0000-0100-00003D000000}"/>
    <hyperlink ref="CS319" r:id="rId63" display="https://zakupki.gov.ru/epz/contract/contractCard/common-info.html?reestrNumber=3503200422220000169&amp;backUrl=c54e7e55-709a-4c28-86e6-ecfca358ffaa" xr:uid="{00000000-0004-0000-0100-00003E000000}"/>
    <hyperlink ref="CS320" r:id="rId64" display="https://zakupki.gov.ru/epz/contract/contractCard/common-info.html?reestrNumber=3503300233020000028&amp;backUrl=5eb2eef2-2279-41f2-b687-253a9e3ce2ba" xr:uid="{00000000-0004-0000-0100-00003F000000}"/>
    <hyperlink ref="CS321" r:id="rId65" display="https://zakupki.gov.ru/epz/contract/contractCard/common-info.html?reestrNumber=3503900368319000071&amp;backUrl=eff1c657-f871-4941-9c8b-f98ec2dd4418" xr:uid="{00000000-0004-0000-0100-000040000000}"/>
    <hyperlink ref="CS322" r:id="rId66" display="https://zakupki.gov.ru/epz/contract/contractCard/common-info.html?reestrNumber=3504015306619000015&amp;backUrl=347c8773-fe58-42b3-b4d0-d1b5f159733b" xr:uid="{00000000-0004-0000-0100-000041000000}"/>
    <hyperlink ref="CI323" r:id="rId67" display="https://zakupki.gov.ru/epz/contract/contractCard/common-info.html?reestrNumber=3504015306618000007&amp;backUrl=f4e0b326-d3eb-46ee-8e63-5c7714120cb0" xr:uid="{00000000-0004-0000-0100-000042000000}"/>
    <hyperlink ref="CS327" r:id="rId68" display="https://zakupki.gov.ru/epz/contract/contractCard/common-info.html?reestrNumber=3507500328719000191" xr:uid="{00000000-0004-0000-0100-000043000000}"/>
    <hyperlink ref="CS328" r:id="rId69" display="https://zakupki.gov.ru/epz/contract/contractCard/common-info.html?reestrNumber=3507500328719000191" xr:uid="{00000000-0004-0000-0100-000044000000}"/>
    <hyperlink ref="CS333" r:id="rId70" display="https://zakupki.gov.ru/epz/contract/contractCard/common-info.html?reestrNumber=3504202239719000252&amp;backUrl=250cdae6-0c05-4b5a-b127-60c58bc8b761" xr:uid="{00000000-0004-0000-0100-000045000000}"/>
    <hyperlink ref="CS334" r:id="rId71" display="https://zakupki.gov.ru/epz/contract/contractCard/common-info.html?reestrNumber=3504210787619000051&amp;backUrl=c67375d9-0b28-45c1-acb8-ca7db0a385bf" xr:uid="{00000000-0004-0000-0100-000046000000}"/>
    <hyperlink ref="CS335" r:id="rId72" display="https://zakupki.gov.ru/epz/contract/contractCard/common-info.html?reestrNumber=3504210787619000050&amp;backUrl=801e6e9c-1636-4935-b6ca-74dd3d3aec3a" xr:uid="{00000000-0004-0000-0100-000047000000}"/>
    <hyperlink ref="CS336" r:id="rId73" display="https://zakupki.gov.ru/epz/contract/contractCard/common-info.html?reestrNumber=3507600024020000075&amp;backUrl=6d4d1cd6-4c61-4a08-9d64-a78f42881ff3" xr:uid="{00000000-0004-0000-0100-000048000000}"/>
    <hyperlink ref="CS337" r:id="rId74" display="https://zakupki.gov.ru/epz/contract/contractCard/common-info.html?reestrNumber=3507600024020000100&amp;backUrl=b98fddca-6b40-408c-bf66-5adc1e4e56e0" xr:uid="{00000000-0004-0000-0100-000049000000}"/>
    <hyperlink ref="CS338" r:id="rId75" display="https://zakupki.gov.ru/epz/contract/contractCard/common-info.html?reestrNumber=3507600024020000100&amp;backUrl=b98fddca-6b40-408c-bf66-5adc1e4e56e0" xr:uid="{00000000-0004-0000-0100-00004A000000}"/>
    <hyperlink ref="CS339" r:id="rId76" display="https://zakupki.gov.ru/epz/contract/contractCard/common-info.html?reestrNumber=3507600024020000100&amp;backUrl=b98fddca-6b40-408c-bf66-5adc1e4e56e0" xr:uid="{00000000-0004-0000-0100-00004B000000}"/>
    <hyperlink ref="CS340" r:id="rId77" display="https://zakupki.gov.ru/epz/contract/contractCard/common-info.html?reestrNumber=3507600024020000100&amp;backUrl=b98fddca-6b40-408c-bf66-5adc1e4e56e0" xr:uid="{00000000-0004-0000-0100-00004C000000}"/>
    <hyperlink ref="CS341" r:id="rId78" display="https://zakupki.gov.ru/epz/contract/contractCard/common-info.html?reestrNumber=3507600024020000100&amp;backUrl=b98fddca-6b40-408c-bf66-5adc1e4e56e0" xr:uid="{00000000-0004-0000-0100-00004D000000}"/>
    <hyperlink ref="CS342" r:id="rId79" display="https://zakupki.gov.ru/epz/contract/contractCard/common-info.html?reestrNumber=3507600024020000100&amp;backUrl=b98fddca-6b40-408c-bf66-5adc1e4e56e0" xr:uid="{00000000-0004-0000-0100-00004E000000}"/>
    <hyperlink ref="CS343" r:id="rId80" display="https://zakupki.gov.ru/epz/contract/contractCard/common-info.html?reestrNumber=3507600024020000100&amp;backUrl=b98fddca-6b40-408c-bf66-5adc1e4e56e0" xr:uid="{00000000-0004-0000-0100-00004F000000}"/>
    <hyperlink ref="CS385" r:id="rId81" display="https://zakupki.gov.ru/epz/contract/contractCard/common-info.html?reestrNumber=3507800172119000203&amp;backUrl=3bd1e099-cec9-40a7-adfa-f15670766097" xr:uid="{00000000-0004-0000-0100-000050000000}"/>
    <hyperlink ref="CS389" r:id="rId82" display="https://zakupki.gov.ru/epz/contract/contractCard/common-info.html?reestrNumber=1503100780920000001&amp;backUrl=415a644a-ab07-457a-8c35-c1d9fc46ecde" xr:uid="{00000000-0004-0000-0100-000051000000}"/>
    <hyperlink ref="CS390" r:id="rId83" display="https://zakupki.gov.ru/epz/contract/contractCard/common-info.html?reestrNumber=3504900333020000062&amp;backUrl=76180298-e6d2-4976-8266-e0d0b9eaaf5a" xr:uid="{00000000-0004-0000-0100-000052000000}"/>
    <hyperlink ref="CS391" r:id="rId84" display="https://zakupki.gov.ru/epz/contract/contractCard/common-info.html?reestrNumber=3504900333020000062&amp;backUrl=76180298-e6d2-4976-8266-e0d0b9eaaf5a" xr:uid="{00000000-0004-0000-0100-000053000000}"/>
    <hyperlink ref="CI392" r:id="rId85" display="https://zakupki.gov.ru/epz/contract/contractCard/common-info.html?reestrNumber=3504900333020000062&amp;backUrl=76180298-e6d2-4976-8266-e0d0b9eaaf5a" xr:uid="{00000000-0004-0000-0100-000054000000}"/>
    <hyperlink ref="CS393" r:id="rId86" display="https://zakupki.gov.ru/epz/contract/contractCard/common-info.html?reestrNumber=3504900333020000062&amp;backUrl=76180298-e6d2-4976-8266-e0d0b9eaaf5a" xr:uid="{00000000-0004-0000-0100-000055000000}"/>
    <hyperlink ref="CI394" r:id="rId87" display="https://zakupki.gov.ru/epz/contract/contractCard/common-info.html?reestrNumber=3504900333020000062&amp;backUrl=76180298-e6d2-4976-8266-e0d0b9eaaf5a" xr:uid="{00000000-0004-0000-0100-000056000000}"/>
    <hyperlink ref="CS395" r:id="rId88" display="https://zakupki.gov.ru/epz/contract/contractCard/common-info.html?reestrNumber=3504900333020000062&amp;backUrl=76180298-e6d2-4976-8266-e0d0b9eaaf5a" xr:uid="{00000000-0004-0000-0100-000057000000}"/>
    <hyperlink ref="CS396" r:id="rId89" display="https://zakupki.gov.ru/epz/contract/contractCard/common-info.html?reestrNumber=3504900333020000062&amp;backUrl=76180298-e6d2-4976-8266-e0d0b9eaaf5a" xr:uid="{00000000-0004-0000-0100-000058000000}"/>
    <hyperlink ref="CI397" r:id="rId90" display="https://zakupki.gov.ru/epz/contract/contractCard/common-info.html?reestrNumber=3504900333020000062&amp;backUrl=76180298-e6d2-4976-8266-e0d0b9eaaf5a" xr:uid="{00000000-0004-0000-0100-000059000000}"/>
    <hyperlink ref="CS398" r:id="rId91" display="https://zakupki.gov.ru/epz/contract/contractCard/common-info.html?reestrNumber=3504900333020000062&amp;backUrl=76180298-e6d2-4976-8266-e0d0b9eaaf5a" xr:uid="{00000000-0004-0000-0100-00005A000000}"/>
    <hyperlink ref="CS399" r:id="rId92" display="https://zakupki.gov.ru/epz/contract/contractCard/common-info.html?reestrNumber=3504900333020000062&amp;backUrl=76180298-e6d2-4976-8266-e0d0b9eaaf5a" xr:uid="{00000000-0004-0000-0100-00005B000000}"/>
    <hyperlink ref="CS400" r:id="rId93" display="https://zakupki.gov.ru/epz/contract/contractCard/common-info.html?reestrNumber=3503408266720000046&amp;backUrl=343a9dd8-e31e-4bdc-a203-e4835032fc06" xr:uid="{00000000-0004-0000-0100-00005C000000}"/>
    <hyperlink ref="CS402" r:id="rId94" display="https://zakupki.gov.ru/epz/contract/contractCard/common-info.html?reestrNumber=2503107028619000073&amp;backUrl=b87268c3-b73f-4ac4-ae9f-c7a848f670ff" xr:uid="{00000000-0004-0000-0100-00005D000000}"/>
    <hyperlink ref="CS408" r:id="rId95" display="https://zakupki.gov.ru/epz/contract/contractCard/common-info.html?reestrNumber=2503107028619000081&amp;backUrl=5cad5904-c7d1-445d-8607-3f7135829b07" xr:uid="{00000000-0004-0000-0100-00005E000000}"/>
    <hyperlink ref="CS411" r:id="rId96" display="https://zakupki.gov.ru/epz/contract/contractCard/common-info.html?reestrNumber=2503107028619000084&amp;backUrl=188c818a-4f36-4ad7-ad8b-b8c18e927734" xr:uid="{00000000-0004-0000-0100-00005F000000}"/>
    <hyperlink ref="CS414" r:id="rId97" display="https://zakupki.gov.ru/epz/contract/contractCard/common-info.html?reestrNumber=2503107028619000074&amp;backUrl=a007b7ec-8601-42ac-b990-557bf8faafc4" xr:uid="{00000000-0004-0000-0100-000060000000}"/>
    <hyperlink ref="CS422" r:id="rId98" display="https://zakupki.gov.ru/epz/contract/contractCard/document-info.html?reestrNumber=3500110667219000142" xr:uid="{00000000-0004-0000-0100-000061000000}"/>
    <hyperlink ref="CS423" r:id="rId99" display="https://zakupki.gov.ru/epz/contract/contractCard/document-info.html?reestrNumber=3500110667219000161" xr:uid="{00000000-0004-0000-0100-000062000000}"/>
    <hyperlink ref="CI425" r:id="rId100" display="https://zakupki.gov.ru/epz/contract/contractCard/document-info.html?reestrNumber=3500110667218000122" xr:uid="{00000000-0004-0000-0100-000063000000}"/>
    <hyperlink ref="CI426" r:id="rId101" display="https://zakupki.gov.ru/epz/contract/contractCard/document-info.html?reestrNumber=3503107821417000066" xr:uid="{00000000-0004-0000-0100-000064000000}"/>
    <hyperlink ref="CS426" r:id="rId102" display="https://zakupki.gov.ru/epz/contract/contractCard/document-info.html?reestrNumber=3503107821419000029" xr:uid="{00000000-0004-0000-0100-000065000000}"/>
    <hyperlink ref="CS429" r:id="rId103" display="https://zakupki.gov.ru/epz/contract/contractCard/common-info.html?reestrNumber=3505305293219000018&amp;backUrl=53488c45-ebfd-4524-af8b-a355d378776f" xr:uid="{00000000-0004-0000-0100-000066000000}"/>
    <hyperlink ref="CI437" r:id="rId104" display="https://zakupki.gov.ru/epz/contract/search/results.html?searchString=&amp;orderNumber=0848600002718000552&amp;openMode=USE_DEFAULT_PARAMS&amp;fz44=on&amp;priceFrom=0&amp;priceTo=200000000000&amp;contractStageList=0%2C1%2C2%2C3&amp;budgetaryFunds=on&amp;extraBudgetaryFunds=on" xr:uid="{00000000-0004-0000-0100-000067000000}"/>
    <hyperlink ref="CS437" r:id="rId105" display="https://zakupki.gov.ru/epz/contract/search/results.html?searchString=&amp;orderNumber=0148200005419000257&amp;openMode=USE_DEFAULT_PARAMS&amp;fz44=on&amp;priceFrom=0&amp;priceTo=200000000000&amp;contractStageList=0%2C1%2C2%2C3&amp;budgetaryFunds=on&amp;extraBudgetaryFunds=on" xr:uid="{00000000-0004-0000-0100-000068000000}"/>
    <hyperlink ref="CS438" r:id="rId106" display="https://zakupki.gov.ru/epz/contract/contractCard/common-info.html?reestrNumber=3505008153319000044&amp;backUrl=d3674d40-120f-4a3f-b5e6-f95240f10534" xr:uid="{00000000-0004-0000-0100-000069000000}"/>
    <hyperlink ref="CI441" r:id="rId107" display="https://zakupki.gov.ru/epz/contract/contractCard/common-info.html?reestrNumber=3502205470719000037" xr:uid="{00000000-0004-0000-0100-00006A000000}"/>
    <hyperlink ref="M447" r:id="rId108" display="https://drive.google.com/drive/folders/17oRbTRK7o2kb9erkQxxvOOq4dqZ-KsxI?usp=sharing" xr:uid="{00000000-0004-0000-0100-00006B000000}"/>
    <hyperlink ref="CS447" r:id="rId109" display="https://zakupki.gov.ru/epz/contract/contractCard/document-info.html?reestrNumber=3504506235920000123" xr:uid="{00000000-0004-0000-0100-00006C000000}"/>
    <hyperlink ref="CI450" r:id="rId110" display="https://zakupki.gov.ru/epz/contract/contractCard/common-info.html?reestrNumber=3503102976019000101&amp;backUrl=dd9b8ff1-86d9-4be6-8e41-5596f19d8404" xr:uid="{00000000-0004-0000-0100-00006D000000}"/>
    <hyperlink ref="M453" r:id="rId111" display="https://drive.google.com/drive/folders/1c614LYlV-DyKK8fYuzo9TOyjm5_GcfPa?usp=sharing" xr:uid="{00000000-0004-0000-0100-00006E000000}"/>
    <hyperlink ref="CI453" r:id="rId112" display="https://zakupki.gov.ru/epz/contract/contractCard/document-info.html?reestrNumber=3504805359217000053" xr:uid="{00000000-0004-0000-0100-00006F000000}"/>
    <hyperlink ref="CS453" r:id="rId113" display="https://zakupki.gov.ru/epz/contract/search/results.html?searchString=&amp;orderNumber=0148200005420000262&amp;openMode=USE_DEFAULT_PARAMS&amp;fz44=on&amp;priceFrom=0&amp;priceTo=200000000000&amp;contractStageList=0%2C1%2C2%2C3&amp;budgetaryFunds=on&amp;extraBudgetaryFunds=on" xr:uid="{00000000-0004-0000-0100-000070000000}"/>
    <hyperlink ref="M454" r:id="rId114" display="https://drive.google.com/drive/folders/1CD6P0gNQl0u0Fvx95N33zFIHzjAiGPSp?usp=sharing" xr:uid="{00000000-0004-0000-0100-000071000000}"/>
    <hyperlink ref="CI454" r:id="rId115" display="https://zakupki.gov.ru/epz/contract/contractCard/document-info.html?reestrNumber=3504805359217000067" xr:uid="{00000000-0004-0000-0100-000072000000}"/>
    <hyperlink ref="CS454" r:id="rId116" display="https://zakupki.gov.ru/epz/contract/search/results.html?searchString=&amp;orderNumber=0148200005420000149&amp;openMode=USE_DEFAULT_PARAMS&amp;fz44=on&amp;priceFrom=0&amp;priceTo=200000000000&amp;contractStageList=0%2C1%2C2%2C3&amp;budgetaryFunds=on&amp;extraBudgetaryFunds=on" xr:uid="{00000000-0004-0000-0100-000073000000}"/>
    <hyperlink ref="M456" r:id="rId117" display="https://drive.google.com/drive/folders/1BKhtX24QMmvAokCE7UM1jBbROzdlDhk-?usp=sharing" xr:uid="{00000000-0004-0000-0100-000074000000}"/>
    <hyperlink ref="CI456" r:id="rId118" display="https://zakupki.gov.ru/epz/contract/search/results.html?searchString=&amp;orderNumber=0848300016517000360&amp;openMode=USE_DEFAULT_PARAMS&amp;fz44=on&amp;priceFrom=0&amp;priceTo=200000000000&amp;contractStageList=0%2C1%2C2%2C3&amp;budgetaryFunds=on&amp;extraBudgetaryFunds=on" xr:uid="{00000000-0004-0000-0100-000075000000}"/>
    <hyperlink ref="CS456" r:id="rId119" display="https://zakupki.gov.ru/epz/contract/search/results.html?searchString=&amp;orderNumber=0148200005419000619&amp;openMode=USE_DEFAULT_PARAMS&amp;fz44=on&amp;priceFrom=0&amp;priceTo=200000000000&amp;contractStageList=0%2C1%2C2%2C3&amp;budgetaryFunds=on&amp;extraBudgetaryFunds=on" xr:uid="{00000000-0004-0000-0100-000076000000}"/>
    <hyperlink ref="CS460" r:id="rId120" display="https://zakupki.gov.ru/epz/contract/contractCard/common-info.html?reestrNumber=3505000215419000329&amp;backUrl=c4527f9e-a71a-4214-9d5f-fc549ec5dcaf" xr:uid="{00000000-0004-0000-0100-000077000000}"/>
    <hyperlink ref="CI463" r:id="rId121" display="https://zakupki.gov.ru/epz/contract/contractCard/common-info.html?reestrNumber=3505305293219000029&amp;backUrl=279a23a4-2028-4d95-a9dd-93636aa98a0f" xr:uid="{00000000-0004-0000-0100-000078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outlinePr summaryBelow="0" summaryRight="0"/>
  </sheetPr>
  <dimension ref="A1:AT999"/>
  <sheetViews>
    <sheetView workbookViewId="0">
      <pane ySplit="5" topLeftCell="A6" activePane="bottomLeft" state="frozen"/>
      <selection pane="bottomLeft" activeCell="B7" sqref="B7"/>
    </sheetView>
  </sheetViews>
  <sheetFormatPr defaultColWidth="12.625" defaultRowHeight="15" customHeight="1" outlineLevelCol="1" x14ac:dyDescent="0.2"/>
  <cols>
    <col min="1" max="1" width="28.5" customWidth="1"/>
    <col min="2" max="2" width="13.75" customWidth="1"/>
    <col min="3" max="3" width="26.25" customWidth="1"/>
    <col min="4" max="4" width="17.75" customWidth="1" outlineLevel="1"/>
    <col min="5" max="5" width="25.875" customWidth="1"/>
    <col min="6" max="6" width="11.75" customWidth="1" outlineLevel="1"/>
    <col min="7" max="7" width="18.125" customWidth="1"/>
    <col min="8" max="8" width="12.625" outlineLevel="1"/>
    <col min="10" max="10" width="12.625" outlineLevel="1"/>
    <col min="12" max="12" width="16.25" customWidth="1"/>
    <col min="16" max="17" width="16" customWidth="1"/>
    <col min="18" max="18" width="13.875" customWidth="1"/>
    <col min="19" max="19" width="16.875" customWidth="1"/>
    <col min="20" max="20" width="14.875" customWidth="1"/>
    <col min="25" max="46" width="12.625" outlineLevel="1"/>
  </cols>
  <sheetData>
    <row r="1" spans="1:46" ht="23.25" customHeight="1" x14ac:dyDescent="0.2">
      <c r="A1" s="147" t="s">
        <v>512</v>
      </c>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4"/>
    </row>
    <row r="2" spans="1:46" ht="14.25" x14ac:dyDescent="0.2">
      <c r="A2" s="146" t="s">
        <v>513</v>
      </c>
      <c r="B2" s="146" t="s">
        <v>0</v>
      </c>
      <c r="C2" s="146" t="s">
        <v>514</v>
      </c>
      <c r="D2" s="146" t="s">
        <v>3</v>
      </c>
      <c r="E2" s="146" t="s">
        <v>515</v>
      </c>
      <c r="F2" s="146" t="s">
        <v>7</v>
      </c>
      <c r="G2" s="146" t="s">
        <v>516</v>
      </c>
      <c r="H2" s="146" t="s">
        <v>517</v>
      </c>
      <c r="I2" s="146" t="s">
        <v>17</v>
      </c>
      <c r="J2" s="146" t="s">
        <v>18</v>
      </c>
      <c r="K2" s="146" t="s">
        <v>518</v>
      </c>
      <c r="L2" s="146" t="s">
        <v>519</v>
      </c>
      <c r="M2" s="146" t="s">
        <v>520</v>
      </c>
      <c r="N2" s="146" t="s">
        <v>521</v>
      </c>
      <c r="O2" s="146" t="s">
        <v>522</v>
      </c>
      <c r="P2" s="146" t="s">
        <v>523</v>
      </c>
      <c r="Q2" s="146" t="s">
        <v>524</v>
      </c>
      <c r="R2" s="146" t="s">
        <v>525</v>
      </c>
      <c r="S2" s="146" t="s">
        <v>526</v>
      </c>
      <c r="T2" s="146" t="s">
        <v>15</v>
      </c>
      <c r="U2" s="146" t="s">
        <v>527</v>
      </c>
      <c r="V2" s="146" t="s">
        <v>520</v>
      </c>
      <c r="W2" s="146" t="s">
        <v>521</v>
      </c>
      <c r="X2" s="146" t="s">
        <v>522</v>
      </c>
      <c r="Y2" s="146" t="s">
        <v>528</v>
      </c>
      <c r="Z2" s="146" t="s">
        <v>529</v>
      </c>
      <c r="AA2" s="146" t="s">
        <v>27</v>
      </c>
      <c r="AB2" s="146" t="s">
        <v>28</v>
      </c>
      <c r="AC2" s="146" t="s">
        <v>29</v>
      </c>
      <c r="AD2" s="146" t="s">
        <v>530</v>
      </c>
      <c r="AE2" s="147" t="s">
        <v>531</v>
      </c>
      <c r="AF2" s="143"/>
      <c r="AG2" s="143"/>
      <c r="AH2" s="144"/>
      <c r="AI2" s="147" t="s">
        <v>532</v>
      </c>
      <c r="AJ2" s="143"/>
      <c r="AK2" s="143"/>
      <c r="AL2" s="144"/>
      <c r="AM2" s="147" t="s">
        <v>533</v>
      </c>
      <c r="AN2" s="143"/>
      <c r="AO2" s="143"/>
      <c r="AP2" s="144"/>
      <c r="AQ2" s="147" t="s">
        <v>534</v>
      </c>
      <c r="AR2" s="143"/>
      <c r="AS2" s="143"/>
      <c r="AT2" s="144"/>
    </row>
    <row r="3" spans="1:46" ht="57.75" customHeight="1" x14ac:dyDescent="0.2">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87" t="s">
        <v>535</v>
      </c>
      <c r="AF3" s="87" t="s">
        <v>536</v>
      </c>
      <c r="AG3" s="87" t="s">
        <v>521</v>
      </c>
      <c r="AH3" s="87" t="s">
        <v>522</v>
      </c>
      <c r="AI3" s="87" t="s">
        <v>535</v>
      </c>
      <c r="AJ3" s="87" t="s">
        <v>536</v>
      </c>
      <c r="AK3" s="87" t="s">
        <v>521</v>
      </c>
      <c r="AL3" s="87" t="s">
        <v>522</v>
      </c>
      <c r="AM3" s="87" t="s">
        <v>535</v>
      </c>
      <c r="AN3" s="87" t="s">
        <v>536</v>
      </c>
      <c r="AO3" s="87" t="s">
        <v>521</v>
      </c>
      <c r="AP3" s="87" t="s">
        <v>522</v>
      </c>
      <c r="AQ3" s="87" t="s">
        <v>535</v>
      </c>
      <c r="AR3" s="87" t="s">
        <v>536</v>
      </c>
      <c r="AS3" s="87" t="s">
        <v>521</v>
      </c>
      <c r="AT3" s="87" t="s">
        <v>522</v>
      </c>
    </row>
    <row r="4" spans="1:46" ht="12.75" customHeight="1" x14ac:dyDescent="0.2">
      <c r="A4" s="88"/>
      <c r="B4" s="88"/>
      <c r="C4" s="88"/>
      <c r="D4" s="88"/>
      <c r="E4" s="88"/>
      <c r="F4" s="88"/>
      <c r="G4" s="88"/>
      <c r="H4" s="88"/>
      <c r="I4" s="88"/>
      <c r="J4" s="88"/>
      <c r="K4" s="88"/>
      <c r="L4" s="88"/>
      <c r="M4" s="88"/>
      <c r="N4" s="88"/>
      <c r="O4" s="88"/>
      <c r="P4" s="89">
        <f ca="1">SUM(P6:P552)</f>
        <v>12021139.160000006</v>
      </c>
      <c r="Q4" s="88"/>
      <c r="R4" s="88"/>
      <c r="S4" s="88"/>
      <c r="T4" s="88"/>
      <c r="U4" s="89">
        <f t="shared" ref="U4:AC4" ca="1" si="0">SUM(U6:U481)</f>
        <v>1135202.4699999993</v>
      </c>
      <c r="V4" s="89">
        <f t="shared" ca="1" si="0"/>
        <v>90173.400000000081</v>
      </c>
      <c r="W4" s="89">
        <f t="shared" ca="1" si="0"/>
        <v>531785.36999999976</v>
      </c>
      <c r="X4" s="89">
        <f t="shared" ca="1" si="0"/>
        <v>884278.32990999985</v>
      </c>
      <c r="Y4" s="89">
        <f t="shared" ca="1" si="0"/>
        <v>1757161.2399999988</v>
      </c>
      <c r="Z4" s="89">
        <f t="shared" ca="1" si="0"/>
        <v>10119346.709999999</v>
      </c>
      <c r="AA4" s="89">
        <f t="shared" ca="1" si="0"/>
        <v>4287987.09</v>
      </c>
      <c r="AB4" s="89">
        <f t="shared" ca="1" si="0"/>
        <v>2981539.85</v>
      </c>
      <c r="AC4" s="89">
        <f t="shared" ca="1" si="0"/>
        <v>2858025.67</v>
      </c>
      <c r="AD4" s="90"/>
      <c r="AE4" s="90"/>
      <c r="AF4" s="90"/>
      <c r="AG4" s="90"/>
      <c r="AH4" s="90"/>
      <c r="AI4" s="90"/>
      <c r="AJ4" s="90"/>
      <c r="AK4" s="90"/>
      <c r="AL4" s="90"/>
      <c r="AM4" s="90"/>
      <c r="AN4" s="90"/>
      <c r="AO4" s="90"/>
      <c r="AP4" s="90"/>
      <c r="AQ4" s="90"/>
      <c r="AR4" s="90"/>
      <c r="AS4" s="90"/>
      <c r="AT4" s="90"/>
    </row>
    <row r="5" spans="1:46" ht="12.75" customHeight="1" x14ac:dyDescent="0.2">
      <c r="A5" s="91">
        <v>1</v>
      </c>
      <c r="B5" s="91">
        <v>2</v>
      </c>
      <c r="C5" s="91">
        <v>3</v>
      </c>
      <c r="D5" s="91">
        <v>4</v>
      </c>
      <c r="E5" s="91">
        <v>5</v>
      </c>
      <c r="F5" s="91">
        <v>6</v>
      </c>
      <c r="G5" s="91">
        <v>7</v>
      </c>
      <c r="H5" s="91">
        <v>8</v>
      </c>
      <c r="I5" s="91">
        <v>9</v>
      </c>
      <c r="J5" s="91">
        <v>10</v>
      </c>
      <c r="K5" s="91">
        <v>11</v>
      </c>
      <c r="L5" s="91">
        <v>12</v>
      </c>
      <c r="M5" s="91">
        <v>13</v>
      </c>
      <c r="N5" s="91">
        <v>14</v>
      </c>
      <c r="O5" s="91">
        <v>15</v>
      </c>
      <c r="P5" s="91"/>
      <c r="Q5" s="91">
        <v>16</v>
      </c>
      <c r="R5" s="91">
        <v>17</v>
      </c>
      <c r="S5" s="91">
        <v>18</v>
      </c>
      <c r="T5" s="91">
        <v>19</v>
      </c>
      <c r="U5" s="91">
        <v>20</v>
      </c>
      <c r="V5" s="91">
        <v>21</v>
      </c>
      <c r="W5" s="91">
        <v>22</v>
      </c>
      <c r="X5" s="91">
        <v>23</v>
      </c>
      <c r="Y5" s="92"/>
      <c r="Z5" s="92"/>
      <c r="AA5" s="92"/>
      <c r="AB5" s="92"/>
      <c r="AC5" s="92"/>
      <c r="AD5" s="92"/>
      <c r="AE5" s="92">
        <v>24</v>
      </c>
      <c r="AF5" s="92">
        <v>25</v>
      </c>
      <c r="AG5" s="92">
        <v>26</v>
      </c>
      <c r="AH5" s="92">
        <v>27</v>
      </c>
      <c r="AI5" s="92">
        <v>28</v>
      </c>
      <c r="AJ5" s="92">
        <v>29</v>
      </c>
      <c r="AK5" s="92">
        <v>30</v>
      </c>
      <c r="AL5" s="92">
        <v>31</v>
      </c>
      <c r="AM5" s="92">
        <v>32</v>
      </c>
      <c r="AN5" s="92">
        <v>33</v>
      </c>
      <c r="AO5" s="92">
        <v>34</v>
      </c>
      <c r="AP5" s="92">
        <v>35</v>
      </c>
      <c r="AQ5" s="92">
        <v>36</v>
      </c>
      <c r="AR5" s="92">
        <v>37</v>
      </c>
      <c r="AS5" s="92">
        <v>38</v>
      </c>
      <c r="AT5" s="92">
        <v>40</v>
      </c>
    </row>
    <row r="6" spans="1:46" ht="84" x14ac:dyDescent="0.2">
      <c r="A6" s="20" t="str">
        <f ca="1">IFERROR(__xludf.DUMMYFUNCTION("IMPORTRANGE(""https://docs.google.com/spreadsheets/d/1ZpB0joDVH_P6wgS1qdxv2Cg30eSt21FXcCJZMPEFRM4/edit#gid=125194777&amp;range=T5:T480"", ""'ГП'!T5:T480"")"),"Требуется корректировка проекта в части замены технологического оборудования. Протокол ислледования качетсва воды для согласования ТТХ аналогичного оборудования отсутствует.
 Получение РС до 10.12.2020")</f>
        <v>Требуется корректировка проекта в части замены технологического оборудования. Протокол ислледования качетсва воды для согласования ТТХ аналогичного оборудования отсутствует.
 Получение РС до 10.12.2020</v>
      </c>
      <c r="B6" s="93"/>
      <c r="C6" s="20" t="str">
        <f ca="1">IFERROR(__xludf.DUMMYFUNCTION("IMPORTRANGE(""https://docs.google.com/spreadsheets/d/1ZpB0joDVH_P6wgS1qdxv2Cg30eSt21FXcCJZMPEFRM4/edit#gid=125194777&amp;range=C5:C480"", ""'ГП'!C5:C480"")"),"Мероприятие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 s="20" t="str">
        <f ca="1">IFERROR(__xludf.DUMMYFUNCTION("IMPORTRANGE(""https://docs.google.com/spreadsheets/d/1ZpB0joDVH_P6wgS1qdxv2Cg30eSt21FXcCJZMPEFRM4/edit#gid=125194777&amp;range=D5:E480"", ""'ГП'!D5:E480"")"),"МинЖКХ")</f>
        <v>МинЖКХ</v>
      </c>
      <c r="E6" s="20" t="str">
        <f ca="1">IFERROR(__xludf.DUMMYFUNCTION("""COMPUTED_VALUE"""),"Реконструкция ВЗУ №4 с установкой станции водоподготовки , г. Фрязино,  Окружной проезд, дом 2, стр. 1                                     ")</f>
        <v xml:space="preserve">Реконструкция ВЗУ №4 с установкой станции водоподготовки , г. Фрязино,  Окружной проезд, дом 2, стр. 1                                     </v>
      </c>
      <c r="F6" s="20" t="str">
        <f ca="1">IFERROR(__xludf.DUMMYFUNCTION("IMPORTRANGE(""https://docs.google.com/spreadsheets/d/1ZpB0joDVH_P6wgS1qdxv2Cg30eSt21FXcCJZMPEFRM4/edit#gid=125194777&amp;range=H5:H480"", ""'ГП'!H5:H480"")"),"СМР")</f>
        <v>СМР</v>
      </c>
      <c r="G6" s="20" t="str">
        <f ca="1">IFERROR(__xludf.DUMMYFUNCTION("IMPORTRANGE(""https://docs.google.com/spreadsheets/d/1ZpB0joDVH_P6wgS1qdxv2Cg30eSt21FXcCJZMPEFRM4/edit#gid=125194777&amp;range=B5:B480"", ""'ГП'!B5:B480"")"),"г.о. Фрязино")</f>
        <v>г.о. Фрязино</v>
      </c>
      <c r="H6" s="20" t="str">
        <f ca="1">IFERROR(__xludf.DUMMYFUNCTION("IMPORTRANGE(""https://docs.google.com/spreadsheets/d/1ZpB0joDVH_P6wgS1qdxv2Cg30eSt21FXcCJZMPEFRM4/edit#gid=125194777&amp;range=G5:G480"", ""'ГП'!G5:G480"")"),"2020-2021")</f>
        <v>2020-2021</v>
      </c>
      <c r="I6" s="20" t="str">
        <f ca="1">IFERROR(__xludf.DUMMYFUNCTION("IMPORTRANGE(""https://docs.google.com/spreadsheets/d/1ZpB0joDVH_P6wgS1qdxv2Cg30eSt21FXcCJZMPEFRM4/edit#gid=125194777&amp;range=AA5:AB480"", ""'ГП'!AA5:AB480"")"),"10 1 G552430
")</f>
        <v xml:space="preserve">10 1 G552430
</v>
      </c>
      <c r="J6" s="20">
        <f ca="1">IFERROR(__xludf.DUMMYFUNCTION("""COMPUTED_VALUE"""),522)</f>
        <v>522</v>
      </c>
      <c r="K6" s="24">
        <f t="shared" ref="K6:K481" ca="1" si="1">SUM(L6,M6,N6,O6)</f>
        <v>149293.74</v>
      </c>
      <c r="L6" s="24">
        <f ca="1">IFERROR(__xludf.DUMMYFUNCTION("IMPORTRANGE(""https://docs.google.com/spreadsheets/d/1ZpB0joDVH_P6wgS1qdxv2Cg30eSt21FXcCJZMPEFRM4/edit#gid=125194777&amp;range=AZ5:AZ480"", ""'ГП'!AZ5:AZ480"")"),36950.2)</f>
        <v>36950.199999999997</v>
      </c>
      <c r="M6" s="24">
        <f ca="1">IFERROR(__xludf.DUMMYFUNCTION("IMPORTRANGE(""https://docs.google.com/spreadsheets/d/1ZpB0joDVH_P6wgS1qdxv2Cg30eSt21FXcCJZMPEFRM4/edit#gid=125194777&amp;range=AY5:AY480"", ""'ГП'!AY5:AY480"")"),110850.6)</f>
        <v>110850.6</v>
      </c>
      <c r="N6" s="20" t="str">
        <f ca="1">IFERROR(__xludf.DUMMYFUNCTION("IMPORTRANGE(""https://docs.google.com/spreadsheets/d/1ZpB0joDVH_P6wgS1qdxv2Cg30eSt21FXcCJZMPEFRM4/edit#gid=125194777&amp;range=BA5:BA480"", ""'ГП'!BA5:BA480"")"),"")</f>
        <v/>
      </c>
      <c r="O6" s="24">
        <f ca="1">IFERROR(__xludf.DUMMYFUNCTION("IMPORTRANGE(""https://docs.google.com/spreadsheets/d/1ZpB0joDVH_P6wgS1qdxv2Cg30eSt21FXcCJZMPEFRM4/edit#gid=1333739531&amp;range=BB5:BB480"", ""'ГП (10)'!BB5:BB480"")"),1492.94)</f>
        <v>1492.94</v>
      </c>
      <c r="P6" s="24">
        <f t="shared" ref="P6:P481" ca="1" si="2">SUM(L6,M6,N6)</f>
        <v>147800.79999999999</v>
      </c>
      <c r="Q6" s="23">
        <f ca="1">IFERROR(__xludf.DUMMYFUNCTION("IMPORTRANGE(""https://docs.google.com/spreadsheets/d/1ZpB0joDVH_P6wgS1qdxv2Cg30eSt21FXcCJZMPEFRM4/edit#gid=125194777&amp;range=I5:I480"", ""'ГП'!I5:I480"")"),0.11)</f>
        <v>0.11</v>
      </c>
      <c r="R6" s="20"/>
      <c r="S6" s="24">
        <f ca="1">IFERROR(__xludf.DUMMYFUNCTION("IMPORTRANGE(""https://docs.google.com/spreadsheets/d/1ZpB0joDVH_P6wgS1qdxv2Cg30eSt21FXcCJZMPEFRM4/edit#gid=125194777&amp;range=N5:N480"", ""'ГП'!N5:N480"")"),114329.62)</f>
        <v>114329.62</v>
      </c>
      <c r="T6" s="24">
        <f ca="1">IFERROR(__xludf.DUMMYFUNCTION("IMPORTRANGE(""https://docs.google.com/spreadsheets/d/1ZpB0joDVH_P6wgS1qdxv2Cg30eSt21FXcCJZMPEFRM4/edit#gid=125194777&amp;range=U5:U480"", ""'ГП'!U5:U480"")"),34964.1199999999)</f>
        <v>34964.119999999901</v>
      </c>
      <c r="U6" s="24">
        <f ca="1">IFERROR(__xludf.DUMMYFUNCTION("IMPORTRANGE(""https://docs.google.com/spreadsheets/d/1ZpB0joDVH_P6wgS1qdxv2Cg30eSt21FXcCJZMPEFRM4/edit#gid=125194777&amp;range=W5:W480"", ""'ГП'!W5:W480"")"),8367.78999999999)</f>
        <v>8367.78999999999</v>
      </c>
      <c r="V6" s="24">
        <f ca="1">IFERROR(__xludf.DUMMYFUNCTION("IMPORTRANGE(""https://docs.google.com/spreadsheets/d/1ZpB0joDVH_P6wgS1qdxv2Cg30eSt21FXcCJZMPEFRM4/edit#gid=125194777&amp;range=V5:V480"", ""'ГП'!V5:V480"")"),25103.39)</f>
        <v>25103.39</v>
      </c>
      <c r="W6" s="24">
        <f ca="1">IFERROR(__xludf.DUMMYFUNCTION("IMPORTRANGE(""https://docs.google.com/spreadsheets/d/1ZpB0joDVH_P6wgS1qdxv2Cg30eSt21FXcCJZMPEFRM4/edit#gid=125194777&amp;range=X5:X480"", ""'ГП'!X5:X480"")"),0)</f>
        <v>0</v>
      </c>
      <c r="X6" s="24">
        <f ca="1">IFERROR(__xludf.DUMMYFUNCTION("IMPORTRANGE(""https://docs.google.com/spreadsheets/d/1ZpB0joDVH_P6wgS1qdxv2Cg30eSt21FXcCJZMPEFRM4/edit#gid=125194777&amp;range=Y5:Y480"", ""'ГП'!Y5:Y480"")"),1492.94)</f>
        <v>1492.94</v>
      </c>
      <c r="Y6" s="24">
        <f t="shared" ref="Y6:Y466" ca="1" si="3">SUM(U6,V6,W6)</f>
        <v>33471.179999999993</v>
      </c>
      <c r="Z6" s="24">
        <f t="shared" ref="Z6:Z466" ca="1" si="4">SUM(AA6,AB6,AC6)</f>
        <v>114329.62000000001</v>
      </c>
      <c r="AA6" s="24">
        <f ca="1">IFERROR(__xludf.DUMMYFUNCTION("IMPORTRANGE(""https://docs.google.com/spreadsheets/d/1ZpB0joDVH_P6wgS1qdxv2Cg30eSt21FXcCJZMPEFRM4/edit#gid=125194777&amp;range=O5:Q480"", ""'ГП'!O5:Q480"")"),85747.21)</f>
        <v>85747.21</v>
      </c>
      <c r="AB6" s="24">
        <f ca="1">IFERROR(__xludf.DUMMYFUNCTION("""COMPUTED_VALUE"""),28582.41)</f>
        <v>28582.41</v>
      </c>
      <c r="AC6" s="20"/>
      <c r="AD6" s="94">
        <f t="shared" ref="AD6:AD466" ca="1" si="5">Z6/P6</f>
        <v>0.77353857353952094</v>
      </c>
      <c r="AE6" s="20"/>
      <c r="AF6" s="20"/>
      <c r="AG6" s="20"/>
      <c r="AH6" s="20"/>
      <c r="AI6" s="20"/>
      <c r="AJ6" s="20"/>
      <c r="AK6" s="20"/>
      <c r="AL6" s="20"/>
      <c r="AM6" s="20"/>
      <c r="AN6" s="20"/>
      <c r="AO6" s="20"/>
      <c r="AP6" s="20"/>
      <c r="AQ6" s="20"/>
      <c r="AR6" s="20"/>
      <c r="AS6" s="20"/>
      <c r="AT6" s="20"/>
    </row>
    <row r="7" spans="1:46" ht="84" x14ac:dyDescent="0.2">
      <c r="A7" s="20" t="str">
        <f ca="1">IFERROR(__xludf.DUMMYFUNCTION("""COMPUTED_VALUE"""),"Прорабатывается вопрос увеличения авансирования под лимиты 2020 года после перераспределения части финансирования с ВЗУ-4.
 Получение РС до 10.12.2020")</f>
        <v>Прорабатывается вопрос увеличения авансирования под лимиты 2020 года после перераспределения части финансирования с ВЗУ-4.
 Получение РС до 10.12.2020</v>
      </c>
      <c r="B7" s="95"/>
      <c r="C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 s="20" t="str">
        <f ca="1">IFERROR(__xludf.DUMMYFUNCTION("""COMPUTED_VALUE"""),"МинЖКХ")</f>
        <v>МинЖКХ</v>
      </c>
      <c r="E7" s="20" t="str">
        <f ca="1">IFERROR(__xludf.DUMMYFUNCTION("""COMPUTED_VALUE"""),"Реконструкция ВЗУ №5 с установкой станции водоподготовки по адресу: Московская область, г. Фрязино, площадь Введенского, д. 1, стр. 1")</f>
        <v>Реконструкция ВЗУ №5 с установкой станции водоподготовки по адресу: Московская область, г. Фрязино, площадь Введенского, д. 1, стр. 1</v>
      </c>
      <c r="F7" s="20" t="str">
        <f ca="1">IFERROR(__xludf.DUMMYFUNCTION("""COMPUTED_VALUE"""),"СМР")</f>
        <v>СМР</v>
      </c>
      <c r="G7" s="20" t="str">
        <f ca="1">IFERROR(__xludf.DUMMYFUNCTION("""COMPUTED_VALUE"""),"г.о. Фрязино")</f>
        <v>г.о. Фрязино</v>
      </c>
      <c r="H7" s="20" t="str">
        <f ca="1">IFERROR(__xludf.DUMMYFUNCTION("""COMPUTED_VALUE"""),"2020-2021")</f>
        <v>2020-2021</v>
      </c>
      <c r="I7" s="20" t="str">
        <f ca="1">IFERROR(__xludf.DUMMYFUNCTION("""COMPUTED_VALUE"""),"10 1 G552430
")</f>
        <v xml:space="preserve">10 1 G552430
</v>
      </c>
      <c r="J7" s="20">
        <f ca="1">IFERROR(__xludf.DUMMYFUNCTION("""COMPUTED_VALUE"""),522)</f>
        <v>522</v>
      </c>
      <c r="K7" s="24">
        <f t="shared" ca="1" si="1"/>
        <v>53260.92</v>
      </c>
      <c r="L7" s="24">
        <f ca="1">IFERROR(__xludf.DUMMYFUNCTION("""COMPUTED_VALUE"""),13182.08)</f>
        <v>13182.08</v>
      </c>
      <c r="M7" s="24">
        <f ca="1">IFERROR(__xludf.DUMMYFUNCTION("""COMPUTED_VALUE"""),39546.2)</f>
        <v>39546.199999999997</v>
      </c>
      <c r="N7" s="20"/>
      <c r="O7" s="24">
        <f ca="1">IFERROR(__xludf.DUMMYFUNCTION("""COMPUTED_VALUE"""),532.64)</f>
        <v>532.64</v>
      </c>
      <c r="P7" s="24">
        <f t="shared" ca="1" si="2"/>
        <v>52728.28</v>
      </c>
      <c r="Q7" s="23">
        <f ca="1">IFERROR(__xludf.DUMMYFUNCTION("""COMPUTED_VALUE"""),0.16)</f>
        <v>0.16</v>
      </c>
      <c r="R7" s="20"/>
      <c r="S7" s="24">
        <f ca="1">IFERROR(__xludf.DUMMYFUNCTION("""COMPUTED_VALUE"""),40614.78)</f>
        <v>40614.78</v>
      </c>
      <c r="T7" s="24">
        <f ca="1">IFERROR(__xludf.DUMMYFUNCTION("""COMPUTED_VALUE"""),12646.14)</f>
        <v>12646.14</v>
      </c>
      <c r="U7" s="24">
        <f ca="1">IFERROR(__xludf.DUMMYFUNCTION("""COMPUTED_VALUE"""),3028.37999999999)</f>
        <v>3028.3799999999901</v>
      </c>
      <c r="V7" s="24">
        <f ca="1">IFERROR(__xludf.DUMMYFUNCTION("""COMPUTED_VALUE"""),9085.11999999999)</f>
        <v>9085.1199999999899</v>
      </c>
      <c r="W7" s="24">
        <f ca="1">IFERROR(__xludf.DUMMYFUNCTION("""COMPUTED_VALUE"""),0)</f>
        <v>0</v>
      </c>
      <c r="X7" s="24">
        <f ca="1">IFERROR(__xludf.DUMMYFUNCTION("""COMPUTED_VALUE"""),532.64)</f>
        <v>532.64</v>
      </c>
      <c r="Y7" s="24">
        <f t="shared" ca="1" si="3"/>
        <v>12113.49999999998</v>
      </c>
      <c r="Z7" s="24">
        <f t="shared" ca="1" si="4"/>
        <v>40614.78</v>
      </c>
      <c r="AA7" s="24">
        <f ca="1">IFERROR(__xludf.DUMMYFUNCTION("""COMPUTED_VALUE"""),30461.08)</f>
        <v>30461.08</v>
      </c>
      <c r="AB7" s="24">
        <f ca="1">IFERROR(__xludf.DUMMYFUNCTION("""COMPUTED_VALUE"""),10153.7)</f>
        <v>10153.700000000001</v>
      </c>
      <c r="AC7" s="20"/>
      <c r="AD7" s="94">
        <f t="shared" ca="1" si="5"/>
        <v>0.77026559561586305</v>
      </c>
      <c r="AE7" s="20"/>
      <c r="AF7" s="20"/>
      <c r="AG7" s="20"/>
      <c r="AH7" s="20"/>
      <c r="AI7" s="20"/>
      <c r="AJ7" s="20"/>
      <c r="AK7" s="20"/>
      <c r="AL7" s="20"/>
      <c r="AM7" s="20"/>
      <c r="AN7" s="20"/>
      <c r="AO7" s="20"/>
      <c r="AP7" s="20"/>
      <c r="AQ7" s="20"/>
      <c r="AR7" s="20"/>
      <c r="AS7" s="20"/>
      <c r="AT7" s="20"/>
    </row>
    <row r="8" spans="1:46" ht="84" hidden="1" x14ac:dyDescent="0.2">
      <c r="A8" s="67"/>
      <c r="B8" s="96"/>
      <c r="C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 s="20" t="str">
        <f ca="1">IFERROR(__xludf.DUMMYFUNCTION("""COMPUTED_VALUE"""),"МинЖКХ")</f>
        <v>МинЖКХ</v>
      </c>
      <c r="E8" s="20"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f>
        <v>Реконструкция ВЗУ Степанщино Воскресенский м.р., с устройством РЧВ 500 м. куб. и установкой станции обезжелезования; бурение доп. артскважин</v>
      </c>
      <c r="F8" s="67" t="str">
        <f ca="1">IFERROR(__xludf.DUMMYFUNCTION("""COMPUTED_VALUE"""),"СМР")</f>
        <v>СМР</v>
      </c>
      <c r="G8" s="67" t="str">
        <f ca="1">IFERROR(__xludf.DUMMYFUNCTION("""COMPUTED_VALUE""")," г.о. Воскресенск")</f>
        <v xml:space="preserve"> г.о. Воскресенск</v>
      </c>
      <c r="H8" s="67" t="str">
        <f ca="1">IFERROR(__xludf.DUMMYFUNCTION("""COMPUTED_VALUE"""),"2022-2023")</f>
        <v>2022-2023</v>
      </c>
      <c r="I8" s="67" t="str">
        <f ca="1">IFERROR(__xludf.DUMMYFUNCTION("""COMPUTED_VALUE"""),"10 1 G552430
")</f>
        <v xml:space="preserve">10 1 G552430
</v>
      </c>
      <c r="J8" s="67">
        <f ca="1">IFERROR(__xludf.DUMMYFUNCTION("""COMPUTED_VALUE"""),522)</f>
        <v>522</v>
      </c>
      <c r="K8" s="97">
        <f t="shared" ca="1" si="1"/>
        <v>0</v>
      </c>
      <c r="L8" s="97">
        <f ca="1">IFERROR(__xludf.DUMMYFUNCTION("""COMPUTED_VALUE"""),0)</f>
        <v>0</v>
      </c>
      <c r="M8" s="97">
        <f ca="1">IFERROR(__xludf.DUMMYFUNCTION("""COMPUTED_VALUE"""),0)</f>
        <v>0</v>
      </c>
      <c r="N8" s="67"/>
      <c r="O8" s="97">
        <f ca="1">IFERROR(__xludf.DUMMYFUNCTION("""COMPUTED_VALUE"""),0)</f>
        <v>0</v>
      </c>
      <c r="P8" s="97">
        <f t="shared" ca="1" si="2"/>
        <v>0</v>
      </c>
      <c r="Q8" s="98">
        <f ca="1">IFERROR(__xludf.DUMMYFUNCTION("""COMPUTED_VALUE"""),0)</f>
        <v>0</v>
      </c>
      <c r="R8" s="67"/>
      <c r="S8" s="97">
        <f ca="1">IFERROR(__xludf.DUMMYFUNCTION("""COMPUTED_VALUE"""),0)</f>
        <v>0</v>
      </c>
      <c r="T8" s="97">
        <f ca="1">IFERROR(__xludf.DUMMYFUNCTION("""COMPUTED_VALUE"""),0)</f>
        <v>0</v>
      </c>
      <c r="U8" s="97">
        <f ca="1">IFERROR(__xludf.DUMMYFUNCTION("""COMPUTED_VALUE"""),0)</f>
        <v>0</v>
      </c>
      <c r="V8" s="97">
        <f ca="1">IFERROR(__xludf.DUMMYFUNCTION("""COMPUTED_VALUE"""),0)</f>
        <v>0</v>
      </c>
      <c r="W8" s="97">
        <f ca="1">IFERROR(__xludf.DUMMYFUNCTION("""COMPUTED_VALUE"""),0)</f>
        <v>0</v>
      </c>
      <c r="X8" s="97">
        <f ca="1">IFERROR(__xludf.DUMMYFUNCTION("""COMPUTED_VALUE"""),0)</f>
        <v>0</v>
      </c>
      <c r="Y8" s="97">
        <f t="shared" ca="1" si="3"/>
        <v>0</v>
      </c>
      <c r="Z8" s="67">
        <f t="shared" si="4"/>
        <v>0</v>
      </c>
      <c r="AA8" s="67"/>
      <c r="AB8" s="67"/>
      <c r="AC8" s="67"/>
      <c r="AD8" s="99" t="e">
        <f t="shared" ca="1" si="5"/>
        <v>#DIV/0!</v>
      </c>
      <c r="AE8" s="67"/>
      <c r="AF8" s="67"/>
      <c r="AG8" s="67"/>
      <c r="AH8" s="67"/>
      <c r="AI8" s="67"/>
      <c r="AJ8" s="67"/>
      <c r="AK8" s="67"/>
      <c r="AL8" s="67"/>
      <c r="AM8" s="67"/>
      <c r="AN8" s="67"/>
      <c r="AO8" s="67"/>
      <c r="AP8" s="67"/>
      <c r="AQ8" s="67"/>
      <c r="AR8" s="67"/>
      <c r="AS8" s="67"/>
      <c r="AT8" s="67"/>
    </row>
    <row r="9" spans="1:46" ht="84" hidden="1" x14ac:dyDescent="0.2">
      <c r="A9" s="67"/>
      <c r="B9" s="96"/>
      <c r="C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9" s="20" t="str">
        <f ca="1">IFERROR(__xludf.DUMMYFUNCTION("""COMPUTED_VALUE"""),"МинЖКХ")</f>
        <v>МинЖКХ</v>
      </c>
      <c r="E9" s="20" t="str">
        <f ca="1">IFERROR(__xludf.DUMMYFUNCTION("""COMPUTED_VALUE"""),"Реконструкция ВЗУ в пгт.Новый, г.о. Егорьевск")</f>
        <v>Реконструкция ВЗУ в пгт.Новый, г.о. Егорьевск</v>
      </c>
      <c r="F9" s="67" t="str">
        <f ca="1">IFERROR(__xludf.DUMMYFUNCTION("""COMPUTED_VALUE"""),"СМР")</f>
        <v>СМР</v>
      </c>
      <c r="G9" s="67" t="str">
        <f ca="1">IFERROR(__xludf.DUMMYFUNCTION("""COMPUTED_VALUE"""),"г.о. Егорьевск ")</f>
        <v xml:space="preserve">г.о. Егорьевск </v>
      </c>
      <c r="H9" s="67">
        <f ca="1">IFERROR(__xludf.DUMMYFUNCTION("""COMPUTED_VALUE"""),2023)</f>
        <v>2023</v>
      </c>
      <c r="I9" s="67" t="str">
        <f ca="1">IFERROR(__xludf.DUMMYFUNCTION("""COMPUTED_VALUE"""),"10 1 G552430
")</f>
        <v xml:space="preserve">10 1 G552430
</v>
      </c>
      <c r="J9" s="67">
        <f ca="1">IFERROR(__xludf.DUMMYFUNCTION("""COMPUTED_VALUE"""),522)</f>
        <v>522</v>
      </c>
      <c r="K9" s="97">
        <f t="shared" ca="1" si="1"/>
        <v>0</v>
      </c>
      <c r="L9" s="97">
        <f ca="1">IFERROR(__xludf.DUMMYFUNCTION("""COMPUTED_VALUE"""),0)</f>
        <v>0</v>
      </c>
      <c r="M9" s="97">
        <f ca="1">IFERROR(__xludf.DUMMYFUNCTION("""COMPUTED_VALUE"""),0)</f>
        <v>0</v>
      </c>
      <c r="N9" s="67"/>
      <c r="O9" s="97">
        <f ca="1">IFERROR(__xludf.DUMMYFUNCTION("""COMPUTED_VALUE"""),0)</f>
        <v>0</v>
      </c>
      <c r="P9" s="97">
        <f t="shared" ca="1" si="2"/>
        <v>0</v>
      </c>
      <c r="Q9" s="98">
        <f ca="1">IFERROR(__xludf.DUMMYFUNCTION("""COMPUTED_VALUE"""),0)</f>
        <v>0</v>
      </c>
      <c r="R9" s="67"/>
      <c r="S9" s="97">
        <f ca="1">IFERROR(__xludf.DUMMYFUNCTION("""COMPUTED_VALUE"""),0)</f>
        <v>0</v>
      </c>
      <c r="T9" s="97">
        <f ca="1">IFERROR(__xludf.DUMMYFUNCTION("""COMPUTED_VALUE"""),0)</f>
        <v>0</v>
      </c>
      <c r="U9" s="97">
        <f ca="1">IFERROR(__xludf.DUMMYFUNCTION("""COMPUTED_VALUE"""),0)</f>
        <v>0</v>
      </c>
      <c r="V9" s="97">
        <f ca="1">IFERROR(__xludf.DUMMYFUNCTION("""COMPUTED_VALUE"""),0)</f>
        <v>0</v>
      </c>
      <c r="W9" s="97">
        <f ca="1">IFERROR(__xludf.DUMMYFUNCTION("""COMPUTED_VALUE"""),0)</f>
        <v>0</v>
      </c>
      <c r="X9" s="97">
        <f ca="1">IFERROR(__xludf.DUMMYFUNCTION("""COMPUTED_VALUE"""),0)</f>
        <v>0</v>
      </c>
      <c r="Y9" s="97">
        <f t="shared" ca="1" si="3"/>
        <v>0</v>
      </c>
      <c r="Z9" s="67">
        <f t="shared" si="4"/>
        <v>0</v>
      </c>
      <c r="AA9" s="67"/>
      <c r="AB9" s="67"/>
      <c r="AC9" s="67"/>
      <c r="AD9" s="99" t="e">
        <f t="shared" ca="1" si="5"/>
        <v>#DIV/0!</v>
      </c>
      <c r="AE9" s="67"/>
      <c r="AF9" s="67"/>
      <c r="AG9" s="67"/>
      <c r="AH9" s="67"/>
      <c r="AI9" s="67"/>
      <c r="AJ9" s="67"/>
      <c r="AK9" s="67"/>
      <c r="AL9" s="67"/>
      <c r="AM9" s="67"/>
      <c r="AN9" s="67"/>
      <c r="AO9" s="67"/>
      <c r="AP9" s="67"/>
      <c r="AQ9" s="67"/>
      <c r="AR9" s="67"/>
      <c r="AS9" s="67"/>
      <c r="AT9" s="67"/>
    </row>
    <row r="10" spans="1:46" ht="84" hidden="1" x14ac:dyDescent="0.2">
      <c r="A10" s="67"/>
      <c r="B10" s="96"/>
      <c r="C1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0" s="20" t="str">
        <f ca="1">IFERROR(__xludf.DUMMYFUNCTION("""COMPUTED_VALUE"""),"МинЖКХ")</f>
        <v>МинЖКХ</v>
      </c>
      <c r="E10" s="20" t="str">
        <f ca="1">IFERROR(__xludf.DUMMYFUNCTION("""COMPUTED_VALUE"""),"Реконструкция ВЗУ Звездочка скважина №2 д Мотяково, д. б/н г.о. Люберцы")</f>
        <v>Реконструкция ВЗУ Звездочка скважина №2 д Мотяково, д. б/н г.о. Люберцы</v>
      </c>
      <c r="F10" s="67" t="str">
        <f ca="1">IFERROR(__xludf.DUMMYFUNCTION("""COMPUTED_VALUE"""),"СМР")</f>
        <v>СМР</v>
      </c>
      <c r="G10" s="67" t="str">
        <f ca="1">IFERROR(__xludf.DUMMYFUNCTION("""COMPUTED_VALUE"""),"г.о. Люберцы")</f>
        <v>г.о. Люберцы</v>
      </c>
      <c r="H10" s="67">
        <f ca="1">IFERROR(__xludf.DUMMYFUNCTION("""COMPUTED_VALUE"""),2021)</f>
        <v>2021</v>
      </c>
      <c r="I10" s="67" t="str">
        <f ca="1">IFERROR(__xludf.DUMMYFUNCTION("""COMPUTED_VALUE"""),"10 1 G552430
")</f>
        <v xml:space="preserve">10 1 G552430
</v>
      </c>
      <c r="J10" s="67">
        <f ca="1">IFERROR(__xludf.DUMMYFUNCTION("""COMPUTED_VALUE"""),522)</f>
        <v>522</v>
      </c>
      <c r="K10" s="97">
        <f t="shared" ca="1" si="1"/>
        <v>0</v>
      </c>
      <c r="L10" s="97">
        <f ca="1">IFERROR(__xludf.DUMMYFUNCTION("""COMPUTED_VALUE"""),0)</f>
        <v>0</v>
      </c>
      <c r="M10" s="97">
        <f ca="1">IFERROR(__xludf.DUMMYFUNCTION("""COMPUTED_VALUE"""),0)</f>
        <v>0</v>
      </c>
      <c r="N10" s="67"/>
      <c r="O10" s="97">
        <f ca="1">IFERROR(__xludf.DUMMYFUNCTION("""COMPUTED_VALUE"""),0)</f>
        <v>0</v>
      </c>
      <c r="P10" s="97">
        <f t="shared" ca="1" si="2"/>
        <v>0</v>
      </c>
      <c r="Q10" s="67"/>
      <c r="R10" s="67"/>
      <c r="S10" s="97">
        <f ca="1">IFERROR(__xludf.DUMMYFUNCTION("""COMPUTED_VALUE"""),0)</f>
        <v>0</v>
      </c>
      <c r="T10" s="97">
        <f ca="1">IFERROR(__xludf.DUMMYFUNCTION("""COMPUTED_VALUE"""),0)</f>
        <v>0</v>
      </c>
      <c r="U10" s="97">
        <f ca="1">IFERROR(__xludf.DUMMYFUNCTION("""COMPUTED_VALUE"""),0)</f>
        <v>0</v>
      </c>
      <c r="V10" s="97">
        <f ca="1">IFERROR(__xludf.DUMMYFUNCTION("""COMPUTED_VALUE"""),0)</f>
        <v>0</v>
      </c>
      <c r="W10" s="97">
        <f ca="1">IFERROR(__xludf.DUMMYFUNCTION("""COMPUTED_VALUE"""),0)</f>
        <v>0</v>
      </c>
      <c r="X10" s="97">
        <f ca="1">IFERROR(__xludf.DUMMYFUNCTION("""COMPUTED_VALUE"""),0)</f>
        <v>0</v>
      </c>
      <c r="Y10" s="97">
        <f t="shared" ca="1" si="3"/>
        <v>0</v>
      </c>
      <c r="Z10" s="67">
        <f t="shared" si="4"/>
        <v>0</v>
      </c>
      <c r="AA10" s="67"/>
      <c r="AB10" s="67"/>
      <c r="AC10" s="67"/>
      <c r="AD10" s="99" t="e">
        <f t="shared" ca="1" si="5"/>
        <v>#DIV/0!</v>
      </c>
      <c r="AE10" s="67"/>
      <c r="AF10" s="67"/>
      <c r="AG10" s="67"/>
      <c r="AH10" s="67"/>
      <c r="AI10" s="67"/>
      <c r="AJ10" s="67"/>
      <c r="AK10" s="67"/>
      <c r="AL10" s="67"/>
      <c r="AM10" s="67"/>
      <c r="AN10" s="67"/>
      <c r="AO10" s="67"/>
      <c r="AP10" s="67"/>
      <c r="AQ10" s="67"/>
      <c r="AR10" s="67"/>
      <c r="AS10" s="67"/>
      <c r="AT10" s="67"/>
    </row>
    <row r="11" spans="1:46" ht="84" hidden="1" x14ac:dyDescent="0.2">
      <c r="A11" s="67"/>
      <c r="B11" s="96"/>
      <c r="C1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1" s="20" t="str">
        <f ca="1">IFERROR(__xludf.DUMMYFUNCTION("""COMPUTED_VALUE"""),"МинЖКХ")</f>
        <v>МинЖКХ</v>
      </c>
      <c r="E11" s="20" t="str">
        <f ca="1">IFERROR(__xludf.DUMMYFUNCTION("""COMPUTED_VALUE"""),"Реконструкция ВЗУ №21 д.п. Красково г.о. Люберцы")</f>
        <v>Реконструкция ВЗУ №21 д.п. Красково г.о. Люберцы</v>
      </c>
      <c r="F11" s="67" t="str">
        <f ca="1">IFERROR(__xludf.DUMMYFUNCTION("""COMPUTED_VALUE"""),"СМР")</f>
        <v>СМР</v>
      </c>
      <c r="G11" s="67" t="str">
        <f ca="1">IFERROR(__xludf.DUMMYFUNCTION("""COMPUTED_VALUE"""),"г.о. Люберцы")</f>
        <v>г.о. Люберцы</v>
      </c>
      <c r="H11" s="67" t="str">
        <f ca="1">IFERROR(__xludf.DUMMYFUNCTION("""COMPUTED_VALUE"""),"2021-2023")</f>
        <v>2021-2023</v>
      </c>
      <c r="I11" s="67" t="str">
        <f ca="1">IFERROR(__xludf.DUMMYFUNCTION("""COMPUTED_VALUE"""),"10 1 G552430
")</f>
        <v xml:space="preserve">10 1 G552430
</v>
      </c>
      <c r="J11" s="67">
        <f ca="1">IFERROR(__xludf.DUMMYFUNCTION("""COMPUTED_VALUE"""),522)</f>
        <v>522</v>
      </c>
      <c r="K11" s="97">
        <f t="shared" ca="1" si="1"/>
        <v>0</v>
      </c>
      <c r="L11" s="97">
        <f ca="1">IFERROR(__xludf.DUMMYFUNCTION("""COMPUTED_VALUE"""),0)</f>
        <v>0</v>
      </c>
      <c r="M11" s="97">
        <f ca="1">IFERROR(__xludf.DUMMYFUNCTION("""COMPUTED_VALUE"""),0)</f>
        <v>0</v>
      </c>
      <c r="N11" s="67"/>
      <c r="O11" s="97">
        <f ca="1">IFERROR(__xludf.DUMMYFUNCTION("""COMPUTED_VALUE"""),0)</f>
        <v>0</v>
      </c>
      <c r="P11" s="97">
        <f t="shared" ca="1" si="2"/>
        <v>0</v>
      </c>
      <c r="Q11" s="67"/>
      <c r="R11" s="67"/>
      <c r="S11" s="97">
        <f ca="1">IFERROR(__xludf.DUMMYFUNCTION("""COMPUTED_VALUE"""),0)</f>
        <v>0</v>
      </c>
      <c r="T11" s="97">
        <f ca="1">IFERROR(__xludf.DUMMYFUNCTION("""COMPUTED_VALUE"""),0)</f>
        <v>0</v>
      </c>
      <c r="U11" s="97">
        <f ca="1">IFERROR(__xludf.DUMMYFUNCTION("""COMPUTED_VALUE"""),0)</f>
        <v>0</v>
      </c>
      <c r="V11" s="97">
        <f ca="1">IFERROR(__xludf.DUMMYFUNCTION("""COMPUTED_VALUE"""),0)</f>
        <v>0</v>
      </c>
      <c r="W11" s="97">
        <f ca="1">IFERROR(__xludf.DUMMYFUNCTION("""COMPUTED_VALUE"""),0)</f>
        <v>0</v>
      </c>
      <c r="X11" s="97">
        <f ca="1">IFERROR(__xludf.DUMMYFUNCTION("""COMPUTED_VALUE"""),0)</f>
        <v>0</v>
      </c>
      <c r="Y11" s="97">
        <f t="shared" ca="1" si="3"/>
        <v>0</v>
      </c>
      <c r="Z11" s="67">
        <f t="shared" si="4"/>
        <v>0</v>
      </c>
      <c r="AA11" s="67"/>
      <c r="AB11" s="67"/>
      <c r="AC11" s="67"/>
      <c r="AD11" s="99" t="e">
        <f t="shared" ca="1" si="5"/>
        <v>#DIV/0!</v>
      </c>
      <c r="AE11" s="67"/>
      <c r="AF11" s="67"/>
      <c r="AG11" s="67"/>
      <c r="AH11" s="67"/>
      <c r="AI11" s="67"/>
      <c r="AJ11" s="67"/>
      <c r="AK11" s="67"/>
      <c r="AL11" s="67"/>
      <c r="AM11" s="67"/>
      <c r="AN11" s="67"/>
      <c r="AO11" s="67"/>
      <c r="AP11" s="67"/>
      <c r="AQ11" s="67"/>
      <c r="AR11" s="67"/>
      <c r="AS11" s="67"/>
      <c r="AT11" s="67"/>
    </row>
    <row r="12" spans="1:46" ht="84" hidden="1" x14ac:dyDescent="0.2">
      <c r="A12" s="67"/>
      <c r="B12" s="96"/>
      <c r="C1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2" s="20" t="str">
        <f ca="1">IFERROR(__xludf.DUMMYFUNCTION("""COMPUTED_VALUE"""),"МинЖКХ")</f>
        <v>МинЖКХ</v>
      </c>
      <c r="E12" s="20" t="str">
        <f ca="1">IFERROR(__xludf.DUMMYFUNCTION("""COMPUTED_VALUE"""),"Реконструкция ВЗУ №11 г.п.Малаховка г.о. Люберцы")</f>
        <v>Реконструкция ВЗУ №11 г.п.Малаховка г.о. Люберцы</v>
      </c>
      <c r="F12" s="67"/>
      <c r="G12" s="67" t="str">
        <f ca="1">IFERROR(__xludf.DUMMYFUNCTION("""COMPUTED_VALUE"""),"г.о. Люберцы")</f>
        <v>г.о. Люберцы</v>
      </c>
      <c r="H12" s="67" t="str">
        <f ca="1">IFERROR(__xludf.DUMMYFUNCTION("""COMPUTED_VALUE"""),"Н/Л")</f>
        <v>Н/Л</v>
      </c>
      <c r="I12" s="67" t="str">
        <f ca="1">IFERROR(__xludf.DUMMYFUNCTION("""COMPUTED_VALUE"""),"10 1 G552430
")</f>
        <v xml:space="preserve">10 1 G552430
</v>
      </c>
      <c r="J12" s="67">
        <f ca="1">IFERROR(__xludf.DUMMYFUNCTION("""COMPUTED_VALUE"""),522)</f>
        <v>522</v>
      </c>
      <c r="K12" s="97">
        <f t="shared" ca="1" si="1"/>
        <v>0</v>
      </c>
      <c r="L12" s="97">
        <f ca="1">IFERROR(__xludf.DUMMYFUNCTION("""COMPUTED_VALUE"""),0)</f>
        <v>0</v>
      </c>
      <c r="M12" s="97">
        <f ca="1">IFERROR(__xludf.DUMMYFUNCTION("""COMPUTED_VALUE"""),0)</f>
        <v>0</v>
      </c>
      <c r="N12" s="67"/>
      <c r="O12" s="97">
        <f ca="1">IFERROR(__xludf.DUMMYFUNCTION("""COMPUTED_VALUE"""),0)</f>
        <v>0</v>
      </c>
      <c r="P12" s="97">
        <f t="shared" ca="1" si="2"/>
        <v>0</v>
      </c>
      <c r="Q12" s="67"/>
      <c r="R12" s="67"/>
      <c r="S12" s="97">
        <f ca="1">IFERROR(__xludf.DUMMYFUNCTION("""COMPUTED_VALUE"""),0)</f>
        <v>0</v>
      </c>
      <c r="T12" s="97">
        <f ca="1">IFERROR(__xludf.DUMMYFUNCTION("""COMPUTED_VALUE"""),0)</f>
        <v>0</v>
      </c>
      <c r="U12" s="97">
        <f ca="1">IFERROR(__xludf.DUMMYFUNCTION("""COMPUTED_VALUE"""),0)</f>
        <v>0</v>
      </c>
      <c r="V12" s="97">
        <f ca="1">IFERROR(__xludf.DUMMYFUNCTION("""COMPUTED_VALUE"""),0)</f>
        <v>0</v>
      </c>
      <c r="W12" s="97">
        <f ca="1">IFERROR(__xludf.DUMMYFUNCTION("""COMPUTED_VALUE"""),0)</f>
        <v>0</v>
      </c>
      <c r="X12" s="97">
        <f ca="1">IFERROR(__xludf.DUMMYFUNCTION("""COMPUTED_VALUE"""),0)</f>
        <v>0</v>
      </c>
      <c r="Y12" s="97">
        <f t="shared" ca="1" si="3"/>
        <v>0</v>
      </c>
      <c r="Z12" s="67">
        <f t="shared" si="4"/>
        <v>0</v>
      </c>
      <c r="AA12" s="67"/>
      <c r="AB12" s="67"/>
      <c r="AC12" s="67"/>
      <c r="AD12" s="99" t="e">
        <f t="shared" ca="1" si="5"/>
        <v>#DIV/0!</v>
      </c>
      <c r="AE12" s="67"/>
      <c r="AF12" s="67"/>
      <c r="AG12" s="67"/>
      <c r="AH12" s="67"/>
      <c r="AI12" s="67"/>
      <c r="AJ12" s="67"/>
      <c r="AK12" s="67"/>
      <c r="AL12" s="67"/>
      <c r="AM12" s="67"/>
      <c r="AN12" s="67"/>
      <c r="AO12" s="67"/>
      <c r="AP12" s="67"/>
      <c r="AQ12" s="67"/>
      <c r="AR12" s="67"/>
      <c r="AS12" s="67"/>
      <c r="AT12" s="67"/>
    </row>
    <row r="13" spans="1:46" ht="84" hidden="1" x14ac:dyDescent="0.2">
      <c r="A13" s="67"/>
      <c r="B13" s="96"/>
      <c r="C1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3" s="20" t="str">
        <f ca="1">IFERROR(__xludf.DUMMYFUNCTION("""COMPUTED_VALUE"""),"МинЖКХ")</f>
        <v>МинЖКХ</v>
      </c>
      <c r="E13" s="20" t="str">
        <f ca="1">IFERROR(__xludf.DUMMYFUNCTION("""COMPUTED_VALUE"""),"Реконструкция ВЗУ №5  г.о. Люберцы")</f>
        <v>Реконструкция ВЗУ №5  г.о. Люберцы</v>
      </c>
      <c r="F13" s="67"/>
      <c r="G13" s="67" t="str">
        <f ca="1">IFERROR(__xludf.DUMMYFUNCTION("""COMPUTED_VALUE"""),"г.о. Люберцы")</f>
        <v>г.о. Люберцы</v>
      </c>
      <c r="H13" s="67" t="str">
        <f ca="1">IFERROR(__xludf.DUMMYFUNCTION("""COMPUTED_VALUE"""),"Н/Л")</f>
        <v>Н/Л</v>
      </c>
      <c r="I13" s="67" t="str">
        <f ca="1">IFERROR(__xludf.DUMMYFUNCTION("""COMPUTED_VALUE"""),"10 1 G552430
")</f>
        <v xml:space="preserve">10 1 G552430
</v>
      </c>
      <c r="J13" s="67">
        <f ca="1">IFERROR(__xludf.DUMMYFUNCTION("""COMPUTED_VALUE"""),522)</f>
        <v>522</v>
      </c>
      <c r="K13" s="97">
        <f t="shared" ca="1" si="1"/>
        <v>0</v>
      </c>
      <c r="L13" s="97">
        <f ca="1">IFERROR(__xludf.DUMMYFUNCTION("""COMPUTED_VALUE"""),0)</f>
        <v>0</v>
      </c>
      <c r="M13" s="97">
        <f ca="1">IFERROR(__xludf.DUMMYFUNCTION("""COMPUTED_VALUE"""),0)</f>
        <v>0</v>
      </c>
      <c r="N13" s="67"/>
      <c r="O13" s="97">
        <f ca="1">IFERROR(__xludf.DUMMYFUNCTION("""COMPUTED_VALUE"""),0)</f>
        <v>0</v>
      </c>
      <c r="P13" s="97">
        <f t="shared" ca="1" si="2"/>
        <v>0</v>
      </c>
      <c r="Q13" s="67"/>
      <c r="R13" s="67"/>
      <c r="S13" s="97">
        <f ca="1">IFERROR(__xludf.DUMMYFUNCTION("""COMPUTED_VALUE"""),0)</f>
        <v>0</v>
      </c>
      <c r="T13" s="97">
        <f ca="1">IFERROR(__xludf.DUMMYFUNCTION("""COMPUTED_VALUE"""),0)</f>
        <v>0</v>
      </c>
      <c r="U13" s="97">
        <f ca="1">IFERROR(__xludf.DUMMYFUNCTION("""COMPUTED_VALUE"""),0)</f>
        <v>0</v>
      </c>
      <c r="V13" s="97">
        <f ca="1">IFERROR(__xludf.DUMMYFUNCTION("""COMPUTED_VALUE"""),0)</f>
        <v>0</v>
      </c>
      <c r="W13" s="97">
        <f ca="1">IFERROR(__xludf.DUMMYFUNCTION("""COMPUTED_VALUE"""),0)</f>
        <v>0</v>
      </c>
      <c r="X13" s="97">
        <f ca="1">IFERROR(__xludf.DUMMYFUNCTION("""COMPUTED_VALUE"""),0)</f>
        <v>0</v>
      </c>
      <c r="Y13" s="97">
        <f t="shared" ca="1" si="3"/>
        <v>0</v>
      </c>
      <c r="Z13" s="67">
        <f t="shared" si="4"/>
        <v>0</v>
      </c>
      <c r="AA13" s="67"/>
      <c r="AB13" s="67"/>
      <c r="AC13" s="67"/>
      <c r="AD13" s="99" t="e">
        <f t="shared" ca="1" si="5"/>
        <v>#DIV/0!</v>
      </c>
      <c r="AE13" s="67"/>
      <c r="AF13" s="67"/>
      <c r="AG13" s="67"/>
      <c r="AH13" s="67"/>
      <c r="AI13" s="67"/>
      <c r="AJ13" s="67"/>
      <c r="AK13" s="67"/>
      <c r="AL13" s="67"/>
      <c r="AM13" s="67"/>
      <c r="AN13" s="67"/>
      <c r="AO13" s="67"/>
      <c r="AP13" s="67"/>
      <c r="AQ13" s="67"/>
      <c r="AR13" s="67"/>
      <c r="AS13" s="67"/>
      <c r="AT13" s="67"/>
    </row>
    <row r="14" spans="1:46" ht="84" hidden="1" x14ac:dyDescent="0.2">
      <c r="A14" s="67"/>
      <c r="B14" s="96"/>
      <c r="C1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4" s="20" t="str">
        <f ca="1">IFERROR(__xludf.DUMMYFUNCTION("""COMPUTED_VALUE"""),"МинЖКХ")</f>
        <v>МинЖКХ</v>
      </c>
      <c r="E14" s="20" t="str">
        <f ca="1">IFERROR(__xludf.DUMMYFUNCTION("""COMPUTED_VALUE"""),"Реконструкция ВЗУ№20-Томилино  г.о. Люберцы")</f>
        <v>Реконструкция ВЗУ№20-Томилино  г.о. Люберцы</v>
      </c>
      <c r="F14" s="67" t="str">
        <f ca="1">IFERROR(__xludf.DUMMYFUNCTION("""COMPUTED_VALUE"""),"СМР")</f>
        <v>СМР</v>
      </c>
      <c r="G14" s="67" t="str">
        <f ca="1">IFERROR(__xludf.DUMMYFUNCTION("""COMPUTED_VALUE"""),"г.о. Люберцы")</f>
        <v>г.о. Люберцы</v>
      </c>
      <c r="H14" s="67">
        <f ca="1">IFERROR(__xludf.DUMMYFUNCTION("""COMPUTED_VALUE"""),2022)</f>
        <v>2022</v>
      </c>
      <c r="I14" s="67" t="str">
        <f ca="1">IFERROR(__xludf.DUMMYFUNCTION("""COMPUTED_VALUE"""),"10 1 G552430
")</f>
        <v xml:space="preserve">10 1 G552430
</v>
      </c>
      <c r="J14" s="67">
        <f ca="1">IFERROR(__xludf.DUMMYFUNCTION("""COMPUTED_VALUE"""),522)</f>
        <v>522</v>
      </c>
      <c r="K14" s="97">
        <f t="shared" ca="1" si="1"/>
        <v>0</v>
      </c>
      <c r="L14" s="97">
        <f ca="1">IFERROR(__xludf.DUMMYFUNCTION("""COMPUTED_VALUE"""),0)</f>
        <v>0</v>
      </c>
      <c r="M14" s="97">
        <f ca="1">IFERROR(__xludf.DUMMYFUNCTION("""COMPUTED_VALUE"""),0)</f>
        <v>0</v>
      </c>
      <c r="N14" s="67"/>
      <c r="O14" s="97">
        <f ca="1">IFERROR(__xludf.DUMMYFUNCTION("""COMPUTED_VALUE"""),0)</f>
        <v>0</v>
      </c>
      <c r="P14" s="97">
        <f t="shared" ca="1" si="2"/>
        <v>0</v>
      </c>
      <c r="Q14" s="67"/>
      <c r="R14" s="67"/>
      <c r="S14" s="97">
        <f ca="1">IFERROR(__xludf.DUMMYFUNCTION("""COMPUTED_VALUE"""),0)</f>
        <v>0</v>
      </c>
      <c r="T14" s="97">
        <f ca="1">IFERROR(__xludf.DUMMYFUNCTION("""COMPUTED_VALUE"""),0)</f>
        <v>0</v>
      </c>
      <c r="U14" s="97">
        <f ca="1">IFERROR(__xludf.DUMMYFUNCTION("""COMPUTED_VALUE"""),0)</f>
        <v>0</v>
      </c>
      <c r="V14" s="97">
        <f ca="1">IFERROR(__xludf.DUMMYFUNCTION("""COMPUTED_VALUE"""),0)</f>
        <v>0</v>
      </c>
      <c r="W14" s="97">
        <f ca="1">IFERROR(__xludf.DUMMYFUNCTION("""COMPUTED_VALUE"""),0)</f>
        <v>0</v>
      </c>
      <c r="X14" s="97">
        <f ca="1">IFERROR(__xludf.DUMMYFUNCTION("""COMPUTED_VALUE"""),0)</f>
        <v>0</v>
      </c>
      <c r="Y14" s="97">
        <f t="shared" ca="1" si="3"/>
        <v>0</v>
      </c>
      <c r="Z14" s="67">
        <f t="shared" si="4"/>
        <v>0</v>
      </c>
      <c r="AA14" s="67"/>
      <c r="AB14" s="67"/>
      <c r="AC14" s="67"/>
      <c r="AD14" s="99" t="e">
        <f t="shared" ca="1" si="5"/>
        <v>#DIV/0!</v>
      </c>
      <c r="AE14" s="67"/>
      <c r="AF14" s="67"/>
      <c r="AG14" s="67"/>
      <c r="AH14" s="67"/>
      <c r="AI14" s="67"/>
      <c r="AJ14" s="67"/>
      <c r="AK14" s="67"/>
      <c r="AL14" s="67"/>
      <c r="AM14" s="67"/>
      <c r="AN14" s="67"/>
      <c r="AO14" s="67"/>
      <c r="AP14" s="67"/>
      <c r="AQ14" s="67"/>
      <c r="AR14" s="67"/>
      <c r="AS14" s="67"/>
      <c r="AT14" s="67"/>
    </row>
    <row r="15" spans="1:46" ht="84" hidden="1" x14ac:dyDescent="0.2">
      <c r="A15" s="67"/>
      <c r="B15" s="100"/>
      <c r="C1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5" s="20" t="str">
        <f ca="1">IFERROR(__xludf.DUMMYFUNCTION("""COMPUTED_VALUE"""),"МинЖКХ")</f>
        <v>МинЖКХ</v>
      </c>
      <c r="E15" s="20" t="str">
        <f ca="1">IFERROR(__xludf.DUMMYFUNCTION("""COMPUTED_VALUE"""),"Реконструкция ВЗУ-Птицефабрика  г.о. Люберцы")</f>
        <v>Реконструкция ВЗУ-Птицефабрика  г.о. Люберцы</v>
      </c>
      <c r="F15" s="67" t="str">
        <f ca="1">IFERROR(__xludf.DUMMYFUNCTION("""COMPUTED_VALUE"""),"СМР")</f>
        <v>СМР</v>
      </c>
      <c r="G15" s="67" t="str">
        <f ca="1">IFERROR(__xludf.DUMMYFUNCTION("""COMPUTED_VALUE"""),"г.о. Люберцы")</f>
        <v>г.о. Люберцы</v>
      </c>
      <c r="H15" s="67">
        <f ca="1">IFERROR(__xludf.DUMMYFUNCTION("""COMPUTED_VALUE"""),2022)</f>
        <v>2022</v>
      </c>
      <c r="I15" s="67" t="str">
        <f ca="1">IFERROR(__xludf.DUMMYFUNCTION("""COMPUTED_VALUE"""),"10 1 G552430
")</f>
        <v xml:space="preserve">10 1 G552430
</v>
      </c>
      <c r="J15" s="67">
        <f ca="1">IFERROR(__xludf.DUMMYFUNCTION("""COMPUTED_VALUE"""),522)</f>
        <v>522</v>
      </c>
      <c r="K15" s="97">
        <f t="shared" ca="1" si="1"/>
        <v>0</v>
      </c>
      <c r="L15" s="97">
        <f ca="1">IFERROR(__xludf.DUMMYFUNCTION("""COMPUTED_VALUE"""),0)</f>
        <v>0</v>
      </c>
      <c r="M15" s="97">
        <f ca="1">IFERROR(__xludf.DUMMYFUNCTION("""COMPUTED_VALUE"""),0)</f>
        <v>0</v>
      </c>
      <c r="N15" s="67"/>
      <c r="O15" s="97">
        <f ca="1">IFERROR(__xludf.DUMMYFUNCTION("""COMPUTED_VALUE"""),0)</f>
        <v>0</v>
      </c>
      <c r="P15" s="97">
        <f t="shared" ca="1" si="2"/>
        <v>0</v>
      </c>
      <c r="Q15" s="67"/>
      <c r="R15" s="67"/>
      <c r="S15" s="97">
        <f ca="1">IFERROR(__xludf.DUMMYFUNCTION("""COMPUTED_VALUE"""),0)</f>
        <v>0</v>
      </c>
      <c r="T15" s="97">
        <f ca="1">IFERROR(__xludf.DUMMYFUNCTION("""COMPUTED_VALUE"""),0)</f>
        <v>0</v>
      </c>
      <c r="U15" s="97">
        <f ca="1">IFERROR(__xludf.DUMMYFUNCTION("""COMPUTED_VALUE"""),0)</f>
        <v>0</v>
      </c>
      <c r="V15" s="97">
        <f ca="1">IFERROR(__xludf.DUMMYFUNCTION("""COMPUTED_VALUE"""),0)</f>
        <v>0</v>
      </c>
      <c r="W15" s="97">
        <f ca="1">IFERROR(__xludf.DUMMYFUNCTION("""COMPUTED_VALUE"""),0)</f>
        <v>0</v>
      </c>
      <c r="X15" s="97">
        <f ca="1">IFERROR(__xludf.DUMMYFUNCTION("""COMPUTED_VALUE"""),0)</f>
        <v>0</v>
      </c>
      <c r="Y15" s="97">
        <f t="shared" ca="1" si="3"/>
        <v>0</v>
      </c>
      <c r="Z15" s="67">
        <f t="shared" si="4"/>
        <v>0</v>
      </c>
      <c r="AA15" s="67"/>
      <c r="AB15" s="67"/>
      <c r="AC15" s="67"/>
      <c r="AD15" s="99" t="e">
        <f t="shared" ca="1" si="5"/>
        <v>#DIV/0!</v>
      </c>
      <c r="AE15" s="67"/>
      <c r="AF15" s="67"/>
      <c r="AG15" s="67"/>
      <c r="AH15" s="67"/>
      <c r="AI15" s="67"/>
      <c r="AJ15" s="67"/>
      <c r="AK15" s="67"/>
      <c r="AL15" s="67"/>
      <c r="AM15" s="67"/>
      <c r="AN15" s="67"/>
      <c r="AO15" s="67"/>
      <c r="AP15" s="67"/>
      <c r="AQ15" s="67"/>
      <c r="AR15" s="67"/>
      <c r="AS15" s="67"/>
      <c r="AT15" s="67"/>
    </row>
    <row r="16" spans="1:46" ht="84" x14ac:dyDescent="0.2">
      <c r="A16" s="20" t="str">
        <f ca="1">IFERROR(__xludf.DUMMYFUNCTION("""COMPUTED_VALUE"""),"Отсутсвует ГПР. Прорабатывается вопрос увеличения аванса до 50% после предоставления увеличенной БГ подрядчиком
Получение РС до 30.11.2020")</f>
        <v>Отсутсвует ГПР. Прорабатывается вопрос увеличения аванса до 50% после предоставления увеличенной БГ подрядчиком
Получение РС до 30.11.2020</v>
      </c>
      <c r="B16" s="93"/>
      <c r="C1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6" s="20" t="str">
        <f ca="1">IFERROR(__xludf.DUMMYFUNCTION("""COMPUTED_VALUE"""),"МинЖКХ")</f>
        <v>МинЖКХ</v>
      </c>
      <c r="E16" s="20" t="str">
        <f ca="1">IFERROR(__xludf.DUMMYFUNCTION("""COMPUTED_VALUE"""),"Строительство ПВНС г. Люберцы по адресу: г. Люберцы, ул. Московская у дома № 1 (в том числе техническое присоединение)")</f>
        <v>Строительство ПВНС г. Люберцы по адресу: г. Люберцы, ул. Московская у дома № 1 (в том числе техническое присоединение)</v>
      </c>
      <c r="F16" s="20" t="str">
        <f ca="1">IFERROR(__xludf.DUMMYFUNCTION("""COMPUTED_VALUE"""),"СМР")</f>
        <v>СМР</v>
      </c>
      <c r="G16" s="20" t="str">
        <f ca="1">IFERROR(__xludf.DUMMYFUNCTION("""COMPUTED_VALUE"""),"г.о. Люберцы")</f>
        <v>г.о. Люберцы</v>
      </c>
      <c r="H16" s="20" t="str">
        <f ca="1">IFERROR(__xludf.DUMMYFUNCTION("""COMPUTED_VALUE"""),"2020-2021")</f>
        <v>2020-2021</v>
      </c>
      <c r="I16" s="20" t="str">
        <f ca="1">IFERROR(__xludf.DUMMYFUNCTION("""COMPUTED_VALUE"""),"10 1 G552430
")</f>
        <v xml:space="preserve">10 1 G552430
</v>
      </c>
      <c r="J16" s="20">
        <f ca="1">IFERROR(__xludf.DUMMYFUNCTION("""COMPUTED_VALUE"""),522)</f>
        <v>522</v>
      </c>
      <c r="K16" s="24">
        <f t="shared" ca="1" si="1"/>
        <v>48795.91</v>
      </c>
      <c r="L16" s="24">
        <f ca="1">IFERROR(__xludf.DUMMYFUNCTION("""COMPUTED_VALUE"""),8527.07)</f>
        <v>8527.07</v>
      </c>
      <c r="M16" s="24">
        <f ca="1">IFERROR(__xludf.DUMMYFUNCTION("""COMPUTED_VALUE"""),25581.2)</f>
        <v>25581.200000000001</v>
      </c>
      <c r="N16" s="20"/>
      <c r="O16" s="24">
        <f ca="1">IFERROR(__xludf.DUMMYFUNCTION("""COMPUTED_VALUE"""),14687.64)</f>
        <v>14687.64</v>
      </c>
      <c r="P16" s="24">
        <f t="shared" ca="1" si="2"/>
        <v>34108.270000000004</v>
      </c>
      <c r="Q16" s="23">
        <f ca="1">IFERROR(__xludf.DUMMYFUNCTION("""COMPUTED_VALUE"""),0.01)</f>
        <v>0.01</v>
      </c>
      <c r="R16" s="20"/>
      <c r="S16" s="24">
        <f ca="1">IFERROR(__xludf.DUMMYFUNCTION("""COMPUTED_VALUE"""),19570.48)</f>
        <v>19570.48</v>
      </c>
      <c r="T16" s="24">
        <f ca="1">IFERROR(__xludf.DUMMYFUNCTION("""COMPUTED_VALUE"""),29225.43)</f>
        <v>29225.43</v>
      </c>
      <c r="U16" s="24">
        <f ca="1">IFERROR(__xludf.DUMMYFUNCTION("""COMPUTED_VALUE"""),3634.45)</f>
        <v>3634.45</v>
      </c>
      <c r="V16" s="24">
        <f ca="1">IFERROR(__xludf.DUMMYFUNCTION("""COMPUTED_VALUE"""),10903.34)</f>
        <v>10903.34</v>
      </c>
      <c r="W16" s="24">
        <f ca="1">IFERROR(__xludf.DUMMYFUNCTION("""COMPUTED_VALUE"""),0)</f>
        <v>0</v>
      </c>
      <c r="X16" s="24">
        <f ca="1">IFERROR(__xludf.DUMMYFUNCTION("""COMPUTED_VALUE"""),14687.64)</f>
        <v>14687.64</v>
      </c>
      <c r="Y16" s="24">
        <f t="shared" ca="1" si="3"/>
        <v>14537.79</v>
      </c>
      <c r="Z16" s="24">
        <f t="shared" ca="1" si="4"/>
        <v>19570.48</v>
      </c>
      <c r="AA16" s="24">
        <f ca="1">IFERROR(__xludf.DUMMYFUNCTION("""COMPUTED_VALUE"""),14677.86)</f>
        <v>14677.86</v>
      </c>
      <c r="AB16" s="24">
        <f ca="1">IFERROR(__xludf.DUMMYFUNCTION("""COMPUTED_VALUE"""),4892.62)</f>
        <v>4892.62</v>
      </c>
      <c r="AC16" s="20"/>
      <c r="AD16" s="94">
        <f t="shared" ca="1" si="5"/>
        <v>0.57377521639180162</v>
      </c>
      <c r="AE16" s="20"/>
      <c r="AF16" s="20"/>
      <c r="AG16" s="20"/>
      <c r="AH16" s="20"/>
      <c r="AI16" s="20"/>
      <c r="AJ16" s="20"/>
      <c r="AK16" s="20"/>
      <c r="AL16" s="20"/>
      <c r="AM16" s="20"/>
      <c r="AN16" s="20"/>
      <c r="AO16" s="20"/>
      <c r="AP16" s="20"/>
      <c r="AQ16" s="20"/>
      <c r="AR16" s="20"/>
      <c r="AS16" s="20"/>
      <c r="AT16" s="20"/>
    </row>
    <row r="17" spans="1:46" ht="84" x14ac:dyDescent="0.2">
      <c r="A17" s="20" t="str">
        <f ca="1">IFERROR(__xludf.DUMMYFUNCTION("""COMPUTED_VALUE"""),"Получение РС до 10.12.2020")</f>
        <v>Получение РС до 10.12.2020</v>
      </c>
      <c r="B17" s="95"/>
      <c r="C1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7" s="20" t="str">
        <f ca="1">IFERROR(__xludf.DUMMYFUNCTION("""COMPUTED_VALUE"""),"МинЖКХ")</f>
        <v>МинЖКХ</v>
      </c>
      <c r="E17" s="20" t="str">
        <f ca="1">IFERROR(__xludf.DUMMYFUNCTION("""COMPUTED_VALUE"""),"Реконструкция ВЗУ-1 г.п. Одинцово Одинцовский г.о.")</f>
        <v>Реконструкция ВЗУ-1 г.п. Одинцово Одинцовский г.о.</v>
      </c>
      <c r="F17" s="20" t="str">
        <f ca="1">IFERROR(__xludf.DUMMYFUNCTION("""COMPUTED_VALUE"""),"СМР")</f>
        <v>СМР</v>
      </c>
      <c r="G17" s="20" t="str">
        <f ca="1">IFERROR(__xludf.DUMMYFUNCTION("""COMPUTED_VALUE"""),"г.о. Одинцово")</f>
        <v>г.о. Одинцово</v>
      </c>
      <c r="H17" s="20" t="str">
        <f ca="1">IFERROR(__xludf.DUMMYFUNCTION("""COMPUTED_VALUE"""),"2020-2021")</f>
        <v>2020-2021</v>
      </c>
      <c r="I17" s="20" t="str">
        <f ca="1">IFERROR(__xludf.DUMMYFUNCTION("""COMPUTED_VALUE"""),"10 1 G552430
")</f>
        <v xml:space="preserve">10 1 G552430
</v>
      </c>
      <c r="J17" s="20">
        <f ca="1">IFERROR(__xludf.DUMMYFUNCTION("""COMPUTED_VALUE"""),522)</f>
        <v>522</v>
      </c>
      <c r="K17" s="24">
        <f t="shared" ca="1" si="1"/>
        <v>232000</v>
      </c>
      <c r="L17" s="24">
        <f ca="1">IFERROR(__xludf.DUMMYFUNCTION("""COMPUTED_VALUE"""),36250)</f>
        <v>36250</v>
      </c>
      <c r="M17" s="24">
        <f ca="1">IFERROR(__xludf.DUMMYFUNCTION("""COMPUTED_VALUE"""),108750)</f>
        <v>108750</v>
      </c>
      <c r="N17" s="20"/>
      <c r="O17" s="24">
        <f ca="1">IFERROR(__xludf.DUMMYFUNCTION("""COMPUTED_VALUE"""),87000)</f>
        <v>87000</v>
      </c>
      <c r="P17" s="24">
        <f t="shared" ca="1" si="2"/>
        <v>145000</v>
      </c>
      <c r="Q17" s="23">
        <f ca="1">IFERROR(__xludf.DUMMYFUNCTION("""COMPUTED_VALUE"""),0.15)</f>
        <v>0.15</v>
      </c>
      <c r="R17" s="20"/>
      <c r="S17" s="24">
        <f ca="1">IFERROR(__xludf.DUMMYFUNCTION("""COMPUTED_VALUE"""),135035.08)</f>
        <v>135035.07999999999</v>
      </c>
      <c r="T17" s="24">
        <f ca="1">IFERROR(__xludf.DUMMYFUNCTION("""COMPUTED_VALUE"""),96964.92)</f>
        <v>96964.92</v>
      </c>
      <c r="U17" s="24">
        <f ca="1">IFERROR(__xludf.DUMMYFUNCTION("""COMPUTED_VALUE"""),2491.23)</f>
        <v>2491.23</v>
      </c>
      <c r="V17" s="24">
        <f ca="1">IFERROR(__xludf.DUMMYFUNCTION("""COMPUTED_VALUE"""),7473.69)</f>
        <v>7473.69</v>
      </c>
      <c r="W17" s="24">
        <f ca="1">IFERROR(__xludf.DUMMYFUNCTION("""COMPUTED_VALUE"""),0)</f>
        <v>0</v>
      </c>
      <c r="X17" s="24">
        <f ca="1">IFERROR(__xludf.DUMMYFUNCTION("""COMPUTED_VALUE"""),87000)</f>
        <v>87000</v>
      </c>
      <c r="Y17" s="24">
        <f t="shared" ca="1" si="3"/>
        <v>9964.92</v>
      </c>
      <c r="Z17" s="24">
        <f t="shared" ca="1" si="4"/>
        <v>135035.07999999999</v>
      </c>
      <c r="AA17" s="24">
        <f ca="1">IFERROR(__xludf.DUMMYFUNCTION("""COMPUTED_VALUE"""),101276.31)</f>
        <v>101276.31</v>
      </c>
      <c r="AB17" s="24">
        <f ca="1">IFERROR(__xludf.DUMMYFUNCTION("""COMPUTED_VALUE"""),33758.77)</f>
        <v>33758.769999999997</v>
      </c>
      <c r="AC17" s="20"/>
      <c r="AD17" s="94">
        <f t="shared" ca="1" si="5"/>
        <v>0.93127641379310333</v>
      </c>
      <c r="AE17" s="20"/>
      <c r="AF17" s="20"/>
      <c r="AG17" s="20"/>
      <c r="AH17" s="20"/>
      <c r="AI17" s="20"/>
      <c r="AJ17" s="20"/>
      <c r="AK17" s="20"/>
      <c r="AL17" s="20"/>
      <c r="AM17" s="20"/>
      <c r="AN17" s="20"/>
      <c r="AO17" s="20"/>
      <c r="AP17" s="20"/>
      <c r="AQ17" s="20"/>
      <c r="AR17" s="20"/>
      <c r="AS17" s="20"/>
      <c r="AT17" s="20"/>
    </row>
    <row r="18" spans="1:46" ht="84" hidden="1" x14ac:dyDescent="0.2">
      <c r="A18" s="67"/>
      <c r="B18" s="96"/>
      <c r="C1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8" s="20" t="str">
        <f ca="1">IFERROR(__xludf.DUMMYFUNCTION("""COMPUTED_VALUE"""),"МинЖКХ")</f>
        <v>МинЖКХ</v>
      </c>
      <c r="E18" s="20" t="str">
        <f ca="1">IFERROR(__xludf.DUMMYFUNCTION("""COMPUTED_VALUE"""),"Реконструкция ВЗУ-8 г.п. Одинцово Одинцовский г.о.")</f>
        <v>Реконструкция ВЗУ-8 г.п. Одинцово Одинцовский г.о.</v>
      </c>
      <c r="F18" s="67" t="str">
        <f ca="1">IFERROR(__xludf.DUMMYFUNCTION("""COMPUTED_VALUE"""),"СМР")</f>
        <v>СМР</v>
      </c>
      <c r="G18" s="67" t="str">
        <f ca="1">IFERROR(__xludf.DUMMYFUNCTION("""COMPUTED_VALUE"""),"г.о. Одинцово")</f>
        <v>г.о. Одинцово</v>
      </c>
      <c r="H18" s="67">
        <f ca="1">IFERROR(__xludf.DUMMYFUNCTION("""COMPUTED_VALUE"""),2024)</f>
        <v>2024</v>
      </c>
      <c r="I18" s="67" t="str">
        <f ca="1">IFERROR(__xludf.DUMMYFUNCTION("""COMPUTED_VALUE"""),"10 1 G552430
")</f>
        <v xml:space="preserve">10 1 G552430
</v>
      </c>
      <c r="J18" s="67">
        <f ca="1">IFERROR(__xludf.DUMMYFUNCTION("""COMPUTED_VALUE"""),522)</f>
        <v>522</v>
      </c>
      <c r="K18" s="97">
        <f t="shared" ca="1" si="1"/>
        <v>0</v>
      </c>
      <c r="L18" s="97">
        <f ca="1">IFERROR(__xludf.DUMMYFUNCTION("""COMPUTED_VALUE"""),0)</f>
        <v>0</v>
      </c>
      <c r="M18" s="97">
        <f ca="1">IFERROR(__xludf.DUMMYFUNCTION("""COMPUTED_VALUE"""),0)</f>
        <v>0</v>
      </c>
      <c r="N18" s="67"/>
      <c r="O18" s="97">
        <f ca="1">IFERROR(__xludf.DUMMYFUNCTION("""COMPUTED_VALUE"""),0)</f>
        <v>0</v>
      </c>
      <c r="P18" s="97">
        <f t="shared" ca="1" si="2"/>
        <v>0</v>
      </c>
      <c r="Q18" s="67"/>
      <c r="R18" s="67"/>
      <c r="S18" s="97">
        <f ca="1">IFERROR(__xludf.DUMMYFUNCTION("""COMPUTED_VALUE"""),0)</f>
        <v>0</v>
      </c>
      <c r="T18" s="97">
        <f ca="1">IFERROR(__xludf.DUMMYFUNCTION("""COMPUTED_VALUE"""),0)</f>
        <v>0</v>
      </c>
      <c r="U18" s="97">
        <f ca="1">IFERROR(__xludf.DUMMYFUNCTION("""COMPUTED_VALUE"""),0)</f>
        <v>0</v>
      </c>
      <c r="V18" s="97">
        <f ca="1">IFERROR(__xludf.DUMMYFUNCTION("""COMPUTED_VALUE"""),0)</f>
        <v>0</v>
      </c>
      <c r="W18" s="97">
        <f ca="1">IFERROR(__xludf.DUMMYFUNCTION("""COMPUTED_VALUE"""),0)</f>
        <v>0</v>
      </c>
      <c r="X18" s="97">
        <f ca="1">IFERROR(__xludf.DUMMYFUNCTION("""COMPUTED_VALUE"""),0)</f>
        <v>0</v>
      </c>
      <c r="Y18" s="97">
        <f t="shared" ca="1" si="3"/>
        <v>0</v>
      </c>
      <c r="Z18" s="67">
        <f t="shared" si="4"/>
        <v>0</v>
      </c>
      <c r="AA18" s="67"/>
      <c r="AB18" s="67"/>
      <c r="AC18" s="67"/>
      <c r="AD18" s="99" t="e">
        <f t="shared" ca="1" si="5"/>
        <v>#DIV/0!</v>
      </c>
      <c r="AE18" s="67"/>
      <c r="AF18" s="67"/>
      <c r="AG18" s="67"/>
      <c r="AH18" s="67"/>
      <c r="AI18" s="67"/>
      <c r="AJ18" s="67"/>
      <c r="AK18" s="67"/>
      <c r="AL18" s="67"/>
      <c r="AM18" s="67"/>
      <c r="AN18" s="67"/>
      <c r="AO18" s="67"/>
      <c r="AP18" s="67"/>
      <c r="AQ18" s="67"/>
      <c r="AR18" s="67"/>
      <c r="AS18" s="67"/>
      <c r="AT18" s="67"/>
    </row>
    <row r="19" spans="1:46" ht="84" hidden="1" x14ac:dyDescent="0.2">
      <c r="A19" s="67"/>
      <c r="B19" s="96"/>
      <c r="C1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9" s="20" t="str">
        <f ca="1">IFERROR(__xludf.DUMMYFUNCTION("""COMPUTED_VALUE"""),"МинЖКХ")</f>
        <v>МинЖКХ</v>
      </c>
      <c r="E19" s="20" t="str">
        <f ca="1">IFERROR(__xludf.DUMMYFUNCTION("""COMPUTED_VALUE"""),"Реконструкция ВЗУ-7 г.п. Одинцово Одинцовский г.о.")</f>
        <v>Реконструкция ВЗУ-7 г.п. Одинцово Одинцовский г.о.</v>
      </c>
      <c r="F19" s="67" t="str">
        <f ca="1">IFERROR(__xludf.DUMMYFUNCTION("""COMPUTED_VALUE"""),"СМР")</f>
        <v>СМР</v>
      </c>
      <c r="G19" s="67" t="str">
        <f ca="1">IFERROR(__xludf.DUMMYFUNCTION("""COMPUTED_VALUE"""),"г.о. Одинцово")</f>
        <v>г.о. Одинцово</v>
      </c>
      <c r="H19" s="67">
        <f ca="1">IFERROR(__xludf.DUMMYFUNCTION("""COMPUTED_VALUE"""),2024)</f>
        <v>2024</v>
      </c>
      <c r="I19" s="67" t="str">
        <f ca="1">IFERROR(__xludf.DUMMYFUNCTION("""COMPUTED_VALUE"""),"10 1 G552430
")</f>
        <v xml:space="preserve">10 1 G552430
</v>
      </c>
      <c r="J19" s="67">
        <f ca="1">IFERROR(__xludf.DUMMYFUNCTION("""COMPUTED_VALUE"""),522)</f>
        <v>522</v>
      </c>
      <c r="K19" s="97">
        <f t="shared" ca="1" si="1"/>
        <v>0</v>
      </c>
      <c r="L19" s="97">
        <f ca="1">IFERROR(__xludf.DUMMYFUNCTION("""COMPUTED_VALUE"""),0)</f>
        <v>0</v>
      </c>
      <c r="M19" s="97">
        <f ca="1">IFERROR(__xludf.DUMMYFUNCTION("""COMPUTED_VALUE"""),0)</f>
        <v>0</v>
      </c>
      <c r="N19" s="67"/>
      <c r="O19" s="97">
        <f ca="1">IFERROR(__xludf.DUMMYFUNCTION("""COMPUTED_VALUE"""),0)</f>
        <v>0</v>
      </c>
      <c r="P19" s="97">
        <f t="shared" ca="1" si="2"/>
        <v>0</v>
      </c>
      <c r="Q19" s="67"/>
      <c r="R19" s="67"/>
      <c r="S19" s="97">
        <f ca="1">IFERROR(__xludf.DUMMYFUNCTION("""COMPUTED_VALUE"""),0)</f>
        <v>0</v>
      </c>
      <c r="T19" s="97">
        <f ca="1">IFERROR(__xludf.DUMMYFUNCTION("""COMPUTED_VALUE"""),0)</f>
        <v>0</v>
      </c>
      <c r="U19" s="97">
        <f ca="1">IFERROR(__xludf.DUMMYFUNCTION("""COMPUTED_VALUE"""),0)</f>
        <v>0</v>
      </c>
      <c r="V19" s="97">
        <f ca="1">IFERROR(__xludf.DUMMYFUNCTION("""COMPUTED_VALUE"""),0)</f>
        <v>0</v>
      </c>
      <c r="W19" s="97">
        <f ca="1">IFERROR(__xludf.DUMMYFUNCTION("""COMPUTED_VALUE"""),0)</f>
        <v>0</v>
      </c>
      <c r="X19" s="97">
        <f ca="1">IFERROR(__xludf.DUMMYFUNCTION("""COMPUTED_VALUE"""),0)</f>
        <v>0</v>
      </c>
      <c r="Y19" s="97">
        <f t="shared" ca="1" si="3"/>
        <v>0</v>
      </c>
      <c r="Z19" s="67">
        <f t="shared" si="4"/>
        <v>0</v>
      </c>
      <c r="AA19" s="67"/>
      <c r="AB19" s="67"/>
      <c r="AC19" s="67"/>
      <c r="AD19" s="99" t="e">
        <f t="shared" ca="1" si="5"/>
        <v>#DIV/0!</v>
      </c>
      <c r="AE19" s="67"/>
      <c r="AF19" s="67"/>
      <c r="AG19" s="67"/>
      <c r="AH19" s="67"/>
      <c r="AI19" s="67"/>
      <c r="AJ19" s="67"/>
      <c r="AK19" s="67"/>
      <c r="AL19" s="67"/>
      <c r="AM19" s="67"/>
      <c r="AN19" s="67"/>
      <c r="AO19" s="67"/>
      <c r="AP19" s="67"/>
      <c r="AQ19" s="67"/>
      <c r="AR19" s="67"/>
      <c r="AS19" s="67"/>
      <c r="AT19" s="67"/>
    </row>
    <row r="20" spans="1:46" ht="84" hidden="1" x14ac:dyDescent="0.2">
      <c r="A20" s="67"/>
      <c r="B20" s="96"/>
      <c r="C2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0" s="20" t="str">
        <f ca="1">IFERROR(__xludf.DUMMYFUNCTION("""COMPUTED_VALUE"""),"МинЖКХ")</f>
        <v>МинЖКХ</v>
      </c>
      <c r="E20" s="20" t="str">
        <f ca="1">IFERROR(__xludf.DUMMYFUNCTION("""COMPUTED_VALUE"""),"Реконструкция ВЗУ-6 г.п. Одинцово Одинцовский г.о.")</f>
        <v>Реконструкция ВЗУ-6 г.п. Одинцово Одинцовский г.о.</v>
      </c>
      <c r="F20" s="67" t="str">
        <f ca="1">IFERROR(__xludf.DUMMYFUNCTION("""COMPUTED_VALUE"""),"СМР")</f>
        <v>СМР</v>
      </c>
      <c r="G20" s="67" t="str">
        <f ca="1">IFERROR(__xludf.DUMMYFUNCTION("""COMPUTED_VALUE"""),"г.о. Одинцово")</f>
        <v>г.о. Одинцово</v>
      </c>
      <c r="H20" s="67">
        <f ca="1">IFERROR(__xludf.DUMMYFUNCTION("""COMPUTED_VALUE"""),2024)</f>
        <v>2024</v>
      </c>
      <c r="I20" s="67" t="str">
        <f ca="1">IFERROR(__xludf.DUMMYFUNCTION("""COMPUTED_VALUE"""),"10 1 G552430
")</f>
        <v xml:space="preserve">10 1 G552430
</v>
      </c>
      <c r="J20" s="67">
        <f ca="1">IFERROR(__xludf.DUMMYFUNCTION("""COMPUTED_VALUE"""),522)</f>
        <v>522</v>
      </c>
      <c r="K20" s="97">
        <f t="shared" ca="1" si="1"/>
        <v>0</v>
      </c>
      <c r="L20" s="97">
        <f ca="1">IFERROR(__xludf.DUMMYFUNCTION("""COMPUTED_VALUE"""),0)</f>
        <v>0</v>
      </c>
      <c r="M20" s="97">
        <f ca="1">IFERROR(__xludf.DUMMYFUNCTION("""COMPUTED_VALUE"""),0)</f>
        <v>0</v>
      </c>
      <c r="N20" s="67"/>
      <c r="O20" s="97">
        <f ca="1">IFERROR(__xludf.DUMMYFUNCTION("""COMPUTED_VALUE"""),0)</f>
        <v>0</v>
      </c>
      <c r="P20" s="97">
        <f t="shared" ca="1" si="2"/>
        <v>0</v>
      </c>
      <c r="Q20" s="67"/>
      <c r="R20" s="67"/>
      <c r="S20" s="97">
        <f ca="1">IFERROR(__xludf.DUMMYFUNCTION("""COMPUTED_VALUE"""),0)</f>
        <v>0</v>
      </c>
      <c r="T20" s="97">
        <f ca="1">IFERROR(__xludf.DUMMYFUNCTION("""COMPUTED_VALUE"""),0)</f>
        <v>0</v>
      </c>
      <c r="U20" s="97">
        <f ca="1">IFERROR(__xludf.DUMMYFUNCTION("""COMPUTED_VALUE"""),0)</f>
        <v>0</v>
      </c>
      <c r="V20" s="97">
        <f ca="1">IFERROR(__xludf.DUMMYFUNCTION("""COMPUTED_VALUE"""),0)</f>
        <v>0</v>
      </c>
      <c r="W20" s="97">
        <f ca="1">IFERROR(__xludf.DUMMYFUNCTION("""COMPUTED_VALUE"""),0)</f>
        <v>0</v>
      </c>
      <c r="X20" s="97">
        <f ca="1">IFERROR(__xludf.DUMMYFUNCTION("""COMPUTED_VALUE"""),0)</f>
        <v>0</v>
      </c>
      <c r="Y20" s="97">
        <f t="shared" ca="1" si="3"/>
        <v>0</v>
      </c>
      <c r="Z20" s="67">
        <f t="shared" si="4"/>
        <v>0</v>
      </c>
      <c r="AA20" s="67"/>
      <c r="AB20" s="67"/>
      <c r="AC20" s="67"/>
      <c r="AD20" s="99" t="e">
        <f t="shared" ca="1" si="5"/>
        <v>#DIV/0!</v>
      </c>
      <c r="AE20" s="67"/>
      <c r="AF20" s="67"/>
      <c r="AG20" s="67"/>
      <c r="AH20" s="67"/>
      <c r="AI20" s="67"/>
      <c r="AJ20" s="67"/>
      <c r="AK20" s="67"/>
      <c r="AL20" s="67"/>
      <c r="AM20" s="67"/>
      <c r="AN20" s="67"/>
      <c r="AO20" s="67"/>
      <c r="AP20" s="67"/>
      <c r="AQ20" s="67"/>
      <c r="AR20" s="67"/>
      <c r="AS20" s="67"/>
      <c r="AT20" s="67"/>
    </row>
    <row r="21" spans="1:46" ht="84" hidden="1" x14ac:dyDescent="0.2">
      <c r="A21" s="67"/>
      <c r="B21" s="96"/>
      <c r="C2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1" s="20" t="str">
        <f ca="1">IFERROR(__xludf.DUMMYFUNCTION("""COMPUTED_VALUE"""),"МинЖКХ")</f>
        <v>МинЖКХ</v>
      </c>
      <c r="E21" s="20" t="str">
        <f ca="1">IFERROR(__xludf.DUMMYFUNCTION("""COMPUTED_VALUE"""),"Реконструкция ВЗУ-10 г.п. Одинцово Одинцовский г.о.")</f>
        <v>Реконструкция ВЗУ-10 г.п. Одинцово Одинцовский г.о.</v>
      </c>
      <c r="F21" s="67" t="str">
        <f ca="1">IFERROR(__xludf.DUMMYFUNCTION("""COMPUTED_VALUE"""),"СМР")</f>
        <v>СМР</v>
      </c>
      <c r="G21" s="67" t="str">
        <f ca="1">IFERROR(__xludf.DUMMYFUNCTION("""COMPUTED_VALUE"""),"г.о. Одинцово")</f>
        <v>г.о. Одинцово</v>
      </c>
      <c r="H21" s="67">
        <f ca="1">IFERROR(__xludf.DUMMYFUNCTION("""COMPUTED_VALUE"""),2024)</f>
        <v>2024</v>
      </c>
      <c r="I21" s="67" t="str">
        <f ca="1">IFERROR(__xludf.DUMMYFUNCTION("""COMPUTED_VALUE"""),"10 1 G552430
")</f>
        <v xml:space="preserve">10 1 G552430
</v>
      </c>
      <c r="J21" s="67">
        <f ca="1">IFERROR(__xludf.DUMMYFUNCTION("""COMPUTED_VALUE"""),522)</f>
        <v>522</v>
      </c>
      <c r="K21" s="97">
        <f t="shared" ca="1" si="1"/>
        <v>0</v>
      </c>
      <c r="L21" s="97">
        <f ca="1">IFERROR(__xludf.DUMMYFUNCTION("""COMPUTED_VALUE"""),0)</f>
        <v>0</v>
      </c>
      <c r="M21" s="97">
        <f ca="1">IFERROR(__xludf.DUMMYFUNCTION("""COMPUTED_VALUE"""),0)</f>
        <v>0</v>
      </c>
      <c r="N21" s="67"/>
      <c r="O21" s="97">
        <f ca="1">IFERROR(__xludf.DUMMYFUNCTION("""COMPUTED_VALUE"""),0)</f>
        <v>0</v>
      </c>
      <c r="P21" s="97">
        <f t="shared" ca="1" si="2"/>
        <v>0</v>
      </c>
      <c r="Q21" s="67"/>
      <c r="R21" s="67"/>
      <c r="S21" s="97">
        <f ca="1">IFERROR(__xludf.DUMMYFUNCTION("""COMPUTED_VALUE"""),0)</f>
        <v>0</v>
      </c>
      <c r="T21" s="97">
        <f ca="1">IFERROR(__xludf.DUMMYFUNCTION("""COMPUTED_VALUE"""),0)</f>
        <v>0</v>
      </c>
      <c r="U21" s="97">
        <f ca="1">IFERROR(__xludf.DUMMYFUNCTION("""COMPUTED_VALUE"""),0)</f>
        <v>0</v>
      </c>
      <c r="V21" s="97">
        <f ca="1">IFERROR(__xludf.DUMMYFUNCTION("""COMPUTED_VALUE"""),0)</f>
        <v>0</v>
      </c>
      <c r="W21" s="97">
        <f ca="1">IFERROR(__xludf.DUMMYFUNCTION("""COMPUTED_VALUE"""),0)</f>
        <v>0</v>
      </c>
      <c r="X21" s="97">
        <f ca="1">IFERROR(__xludf.DUMMYFUNCTION("""COMPUTED_VALUE"""),0)</f>
        <v>0</v>
      </c>
      <c r="Y21" s="97">
        <f t="shared" ca="1" si="3"/>
        <v>0</v>
      </c>
      <c r="Z21" s="67">
        <f t="shared" si="4"/>
        <v>0</v>
      </c>
      <c r="AA21" s="67"/>
      <c r="AB21" s="67"/>
      <c r="AC21" s="67"/>
      <c r="AD21" s="99" t="e">
        <f t="shared" ca="1" si="5"/>
        <v>#DIV/0!</v>
      </c>
      <c r="AE21" s="67"/>
      <c r="AF21" s="67"/>
      <c r="AG21" s="67"/>
      <c r="AH21" s="67"/>
      <c r="AI21" s="67"/>
      <c r="AJ21" s="67"/>
      <c r="AK21" s="67"/>
      <c r="AL21" s="67"/>
      <c r="AM21" s="67"/>
      <c r="AN21" s="67"/>
      <c r="AO21" s="67"/>
      <c r="AP21" s="67"/>
      <c r="AQ21" s="67"/>
      <c r="AR21" s="67"/>
      <c r="AS21" s="67"/>
      <c r="AT21" s="67"/>
    </row>
    <row r="22" spans="1:46" ht="84" hidden="1" x14ac:dyDescent="0.2">
      <c r="A22" s="67"/>
      <c r="B22" s="96"/>
      <c r="C2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2" s="20" t="str">
        <f ca="1">IFERROR(__xludf.DUMMYFUNCTION("""COMPUTED_VALUE"""),"МинЖКХ")</f>
        <v>МинЖКХ</v>
      </c>
      <c r="E22" s="20" t="str">
        <f ca="1">IFERROR(__xludf.DUMMYFUNCTION("""COMPUTED_VALUE"""),"Реконструкция ВЗУ ВНИИССОК г.п. Лесной городок Одинцовский г.о.")</f>
        <v>Реконструкция ВЗУ ВНИИССОК г.п. Лесной городок Одинцовский г.о.</v>
      </c>
      <c r="F22" s="67" t="str">
        <f ca="1">IFERROR(__xludf.DUMMYFUNCTION("""COMPUTED_VALUE"""),"СМР")</f>
        <v>СМР</v>
      </c>
      <c r="G22" s="67" t="str">
        <f ca="1">IFERROR(__xludf.DUMMYFUNCTION("""COMPUTED_VALUE"""),"г.о. Одинцово")</f>
        <v>г.о. Одинцово</v>
      </c>
      <c r="H22" s="67">
        <f ca="1">IFERROR(__xludf.DUMMYFUNCTION("""COMPUTED_VALUE"""),2024)</f>
        <v>2024</v>
      </c>
      <c r="I22" s="67" t="str">
        <f ca="1">IFERROR(__xludf.DUMMYFUNCTION("""COMPUTED_VALUE"""),"10 1 G552430
")</f>
        <v xml:space="preserve">10 1 G552430
</v>
      </c>
      <c r="J22" s="67">
        <f ca="1">IFERROR(__xludf.DUMMYFUNCTION("""COMPUTED_VALUE"""),522)</f>
        <v>522</v>
      </c>
      <c r="K22" s="97">
        <f t="shared" ca="1" si="1"/>
        <v>0</v>
      </c>
      <c r="L22" s="97">
        <f ca="1">IFERROR(__xludf.DUMMYFUNCTION("""COMPUTED_VALUE"""),0)</f>
        <v>0</v>
      </c>
      <c r="M22" s="97">
        <f ca="1">IFERROR(__xludf.DUMMYFUNCTION("""COMPUTED_VALUE"""),0)</f>
        <v>0</v>
      </c>
      <c r="N22" s="67"/>
      <c r="O22" s="97">
        <f ca="1">IFERROR(__xludf.DUMMYFUNCTION("""COMPUTED_VALUE"""),0)</f>
        <v>0</v>
      </c>
      <c r="P22" s="97">
        <f t="shared" ca="1" si="2"/>
        <v>0</v>
      </c>
      <c r="Q22" s="67"/>
      <c r="R22" s="67"/>
      <c r="S22" s="97">
        <f ca="1">IFERROR(__xludf.DUMMYFUNCTION("""COMPUTED_VALUE"""),0)</f>
        <v>0</v>
      </c>
      <c r="T22" s="97">
        <f ca="1">IFERROR(__xludf.DUMMYFUNCTION("""COMPUTED_VALUE"""),0)</f>
        <v>0</v>
      </c>
      <c r="U22" s="97">
        <f ca="1">IFERROR(__xludf.DUMMYFUNCTION("""COMPUTED_VALUE"""),0)</f>
        <v>0</v>
      </c>
      <c r="V22" s="97">
        <f ca="1">IFERROR(__xludf.DUMMYFUNCTION("""COMPUTED_VALUE"""),0)</f>
        <v>0</v>
      </c>
      <c r="W22" s="97">
        <f ca="1">IFERROR(__xludf.DUMMYFUNCTION("""COMPUTED_VALUE"""),0)</f>
        <v>0</v>
      </c>
      <c r="X22" s="97">
        <f ca="1">IFERROR(__xludf.DUMMYFUNCTION("""COMPUTED_VALUE"""),0)</f>
        <v>0</v>
      </c>
      <c r="Y22" s="97">
        <f t="shared" ca="1" si="3"/>
        <v>0</v>
      </c>
      <c r="Z22" s="67">
        <f t="shared" si="4"/>
        <v>0</v>
      </c>
      <c r="AA22" s="67"/>
      <c r="AB22" s="67"/>
      <c r="AC22" s="67"/>
      <c r="AD22" s="99" t="e">
        <f t="shared" ca="1" si="5"/>
        <v>#DIV/0!</v>
      </c>
      <c r="AE22" s="67"/>
      <c r="AF22" s="67"/>
      <c r="AG22" s="67"/>
      <c r="AH22" s="67"/>
      <c r="AI22" s="67"/>
      <c r="AJ22" s="67"/>
      <c r="AK22" s="67"/>
      <c r="AL22" s="67"/>
      <c r="AM22" s="67"/>
      <c r="AN22" s="67"/>
      <c r="AO22" s="67"/>
      <c r="AP22" s="67"/>
      <c r="AQ22" s="67"/>
      <c r="AR22" s="67"/>
      <c r="AS22" s="67"/>
      <c r="AT22" s="67"/>
    </row>
    <row r="23" spans="1:46" ht="84" hidden="1" x14ac:dyDescent="0.2">
      <c r="A23" s="67"/>
      <c r="B23" s="96"/>
      <c r="C2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3" s="20" t="str">
        <f ca="1">IFERROR(__xludf.DUMMYFUNCTION("""COMPUTED_VALUE"""),"МинЖКХ")</f>
        <v>МинЖКХ</v>
      </c>
      <c r="E23" s="20" t="str">
        <f ca="1">IFERROR(__xludf.DUMMYFUNCTION("""COMPUTED_VALUE"""),"Реконструкция ВЗУ 1 г.п. Большие Вяземы Одинцовский г.о.")</f>
        <v>Реконструкция ВЗУ 1 г.п. Большие Вяземы Одинцовский г.о.</v>
      </c>
      <c r="F23" s="67" t="str">
        <f ca="1">IFERROR(__xludf.DUMMYFUNCTION("""COMPUTED_VALUE"""),"СМР")</f>
        <v>СМР</v>
      </c>
      <c r="G23" s="67" t="str">
        <f ca="1">IFERROR(__xludf.DUMMYFUNCTION("""COMPUTED_VALUE"""),"г.о. Одинцово")</f>
        <v>г.о. Одинцово</v>
      </c>
      <c r="H23" s="67">
        <f ca="1">IFERROR(__xludf.DUMMYFUNCTION("""COMPUTED_VALUE"""),2024)</f>
        <v>2024</v>
      </c>
      <c r="I23" s="67" t="str">
        <f ca="1">IFERROR(__xludf.DUMMYFUNCTION("""COMPUTED_VALUE"""),"10 1 G552430
")</f>
        <v xml:space="preserve">10 1 G552430
</v>
      </c>
      <c r="J23" s="67">
        <f ca="1">IFERROR(__xludf.DUMMYFUNCTION("""COMPUTED_VALUE"""),522)</f>
        <v>522</v>
      </c>
      <c r="K23" s="97">
        <f t="shared" ca="1" si="1"/>
        <v>0</v>
      </c>
      <c r="L23" s="97">
        <f ca="1">IFERROR(__xludf.DUMMYFUNCTION("""COMPUTED_VALUE"""),0)</f>
        <v>0</v>
      </c>
      <c r="M23" s="97">
        <f ca="1">IFERROR(__xludf.DUMMYFUNCTION("""COMPUTED_VALUE"""),0)</f>
        <v>0</v>
      </c>
      <c r="N23" s="67"/>
      <c r="O23" s="97">
        <f ca="1">IFERROR(__xludf.DUMMYFUNCTION("""COMPUTED_VALUE"""),0)</f>
        <v>0</v>
      </c>
      <c r="P23" s="97">
        <f t="shared" ca="1" si="2"/>
        <v>0</v>
      </c>
      <c r="Q23" s="67"/>
      <c r="R23" s="67"/>
      <c r="S23" s="97">
        <f ca="1">IFERROR(__xludf.DUMMYFUNCTION("""COMPUTED_VALUE"""),0)</f>
        <v>0</v>
      </c>
      <c r="T23" s="97">
        <f ca="1">IFERROR(__xludf.DUMMYFUNCTION("""COMPUTED_VALUE"""),0)</f>
        <v>0</v>
      </c>
      <c r="U23" s="97">
        <f ca="1">IFERROR(__xludf.DUMMYFUNCTION("""COMPUTED_VALUE"""),0)</f>
        <v>0</v>
      </c>
      <c r="V23" s="97">
        <f ca="1">IFERROR(__xludf.DUMMYFUNCTION("""COMPUTED_VALUE"""),0)</f>
        <v>0</v>
      </c>
      <c r="W23" s="97">
        <f ca="1">IFERROR(__xludf.DUMMYFUNCTION("""COMPUTED_VALUE"""),0)</f>
        <v>0</v>
      </c>
      <c r="X23" s="97">
        <f ca="1">IFERROR(__xludf.DUMMYFUNCTION("""COMPUTED_VALUE"""),0)</f>
        <v>0</v>
      </c>
      <c r="Y23" s="97">
        <f t="shared" ca="1" si="3"/>
        <v>0</v>
      </c>
      <c r="Z23" s="67">
        <f t="shared" si="4"/>
        <v>0</v>
      </c>
      <c r="AA23" s="67"/>
      <c r="AB23" s="67"/>
      <c r="AC23" s="67"/>
      <c r="AD23" s="99" t="e">
        <f t="shared" ca="1" si="5"/>
        <v>#DIV/0!</v>
      </c>
      <c r="AE23" s="67"/>
      <c r="AF23" s="67"/>
      <c r="AG23" s="67"/>
      <c r="AH23" s="67"/>
      <c r="AI23" s="67"/>
      <c r="AJ23" s="67"/>
      <c r="AK23" s="67"/>
      <c r="AL23" s="67"/>
      <c r="AM23" s="67"/>
      <c r="AN23" s="67"/>
      <c r="AO23" s="67"/>
      <c r="AP23" s="67"/>
      <c r="AQ23" s="67"/>
      <c r="AR23" s="67"/>
      <c r="AS23" s="67"/>
      <c r="AT23" s="67"/>
    </row>
    <row r="24" spans="1:46" ht="84" hidden="1" x14ac:dyDescent="0.2">
      <c r="A24" s="67"/>
      <c r="B24" s="96"/>
      <c r="C2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4" s="20" t="str">
        <f ca="1">IFERROR(__xludf.DUMMYFUNCTION("""COMPUTED_VALUE"""),"МинЖКХ")</f>
        <v>МинЖКХ</v>
      </c>
      <c r="E24" s="20" t="str">
        <f ca="1">IFERROR(__xludf.DUMMYFUNCTION("""COMPUTED_VALUE"""),"Реконструкция ВЗУ 2 г.п. Большие Вяземы Одинцовский г.о.")</f>
        <v>Реконструкция ВЗУ 2 г.п. Большие Вяземы Одинцовский г.о.</v>
      </c>
      <c r="F24" s="67" t="str">
        <f ca="1">IFERROR(__xludf.DUMMYFUNCTION("""COMPUTED_VALUE"""),"СМР")</f>
        <v>СМР</v>
      </c>
      <c r="G24" s="67" t="str">
        <f ca="1">IFERROR(__xludf.DUMMYFUNCTION("""COMPUTED_VALUE"""),"г.о. Одинцово")</f>
        <v>г.о. Одинцово</v>
      </c>
      <c r="H24" s="67">
        <f ca="1">IFERROR(__xludf.DUMMYFUNCTION("""COMPUTED_VALUE"""),2024)</f>
        <v>2024</v>
      </c>
      <c r="I24" s="67" t="str">
        <f ca="1">IFERROR(__xludf.DUMMYFUNCTION("""COMPUTED_VALUE"""),"10 1 G552430
")</f>
        <v xml:space="preserve">10 1 G552430
</v>
      </c>
      <c r="J24" s="67">
        <f ca="1">IFERROR(__xludf.DUMMYFUNCTION("""COMPUTED_VALUE"""),522)</f>
        <v>522</v>
      </c>
      <c r="K24" s="97">
        <f t="shared" ca="1" si="1"/>
        <v>0</v>
      </c>
      <c r="L24" s="97">
        <f ca="1">IFERROR(__xludf.DUMMYFUNCTION("""COMPUTED_VALUE"""),0)</f>
        <v>0</v>
      </c>
      <c r="M24" s="97">
        <f ca="1">IFERROR(__xludf.DUMMYFUNCTION("""COMPUTED_VALUE"""),0)</f>
        <v>0</v>
      </c>
      <c r="N24" s="67"/>
      <c r="O24" s="97">
        <f ca="1">IFERROR(__xludf.DUMMYFUNCTION("""COMPUTED_VALUE"""),0)</f>
        <v>0</v>
      </c>
      <c r="P24" s="97">
        <f t="shared" ca="1" si="2"/>
        <v>0</v>
      </c>
      <c r="Q24" s="67"/>
      <c r="R24" s="67"/>
      <c r="S24" s="97">
        <f ca="1">IFERROR(__xludf.DUMMYFUNCTION("""COMPUTED_VALUE"""),0)</f>
        <v>0</v>
      </c>
      <c r="T24" s="97">
        <f ca="1">IFERROR(__xludf.DUMMYFUNCTION("""COMPUTED_VALUE"""),0)</f>
        <v>0</v>
      </c>
      <c r="U24" s="97">
        <f ca="1">IFERROR(__xludf.DUMMYFUNCTION("""COMPUTED_VALUE"""),0)</f>
        <v>0</v>
      </c>
      <c r="V24" s="97">
        <f ca="1">IFERROR(__xludf.DUMMYFUNCTION("""COMPUTED_VALUE"""),0)</f>
        <v>0</v>
      </c>
      <c r="W24" s="97">
        <f ca="1">IFERROR(__xludf.DUMMYFUNCTION("""COMPUTED_VALUE"""),0)</f>
        <v>0</v>
      </c>
      <c r="X24" s="97">
        <f ca="1">IFERROR(__xludf.DUMMYFUNCTION("""COMPUTED_VALUE"""),0)</f>
        <v>0</v>
      </c>
      <c r="Y24" s="97">
        <f t="shared" ca="1" si="3"/>
        <v>0</v>
      </c>
      <c r="Z24" s="67">
        <f t="shared" si="4"/>
        <v>0</v>
      </c>
      <c r="AA24" s="67"/>
      <c r="AB24" s="67"/>
      <c r="AC24" s="67"/>
      <c r="AD24" s="99" t="e">
        <f t="shared" ca="1" si="5"/>
        <v>#DIV/0!</v>
      </c>
      <c r="AE24" s="67"/>
      <c r="AF24" s="67"/>
      <c r="AG24" s="67"/>
      <c r="AH24" s="67"/>
      <c r="AI24" s="67"/>
      <c r="AJ24" s="67"/>
      <c r="AK24" s="67"/>
      <c r="AL24" s="67"/>
      <c r="AM24" s="67"/>
      <c r="AN24" s="67"/>
      <c r="AO24" s="67"/>
      <c r="AP24" s="67"/>
      <c r="AQ24" s="67"/>
      <c r="AR24" s="67"/>
      <c r="AS24" s="67"/>
      <c r="AT24" s="67"/>
    </row>
    <row r="25" spans="1:46" ht="84" hidden="1" x14ac:dyDescent="0.2">
      <c r="A25" s="67"/>
      <c r="B25" s="96"/>
      <c r="C2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5" s="20" t="str">
        <f ca="1">IFERROR(__xludf.DUMMYFUNCTION("""COMPUTED_VALUE"""),"МинЖКХ")</f>
        <v>МинЖКХ</v>
      </c>
      <c r="E25" s="20" t="str">
        <f ca="1">IFERROR(__xludf.DUMMYFUNCTION("""COMPUTED_VALUE"""),"Реконструкция ВЗУ 9 Одинцовский г.о.")</f>
        <v>Реконструкция ВЗУ 9 Одинцовский г.о.</v>
      </c>
      <c r="F25" s="67" t="str">
        <f ca="1">IFERROR(__xludf.DUMMYFUNCTION("""COMPUTED_VALUE"""),"СМР")</f>
        <v>СМР</v>
      </c>
      <c r="G25" s="67" t="str">
        <f ca="1">IFERROR(__xludf.DUMMYFUNCTION("""COMPUTED_VALUE"""),"г.о. Одинцово")</f>
        <v>г.о. Одинцово</v>
      </c>
      <c r="H25" s="67">
        <f ca="1">IFERROR(__xludf.DUMMYFUNCTION("""COMPUTED_VALUE"""),2024)</f>
        <v>2024</v>
      </c>
      <c r="I25" s="67" t="str">
        <f ca="1">IFERROR(__xludf.DUMMYFUNCTION("""COMPUTED_VALUE"""),"10 1 G552430
")</f>
        <v xml:space="preserve">10 1 G552430
</v>
      </c>
      <c r="J25" s="67">
        <f ca="1">IFERROR(__xludf.DUMMYFUNCTION("""COMPUTED_VALUE"""),522)</f>
        <v>522</v>
      </c>
      <c r="K25" s="97">
        <f t="shared" ca="1" si="1"/>
        <v>0</v>
      </c>
      <c r="L25" s="97">
        <f ca="1">IFERROR(__xludf.DUMMYFUNCTION("""COMPUTED_VALUE"""),0)</f>
        <v>0</v>
      </c>
      <c r="M25" s="97">
        <f ca="1">IFERROR(__xludf.DUMMYFUNCTION("""COMPUTED_VALUE"""),0)</f>
        <v>0</v>
      </c>
      <c r="N25" s="67"/>
      <c r="O25" s="97">
        <f ca="1">IFERROR(__xludf.DUMMYFUNCTION("""COMPUTED_VALUE"""),0)</f>
        <v>0</v>
      </c>
      <c r="P25" s="97">
        <f t="shared" ca="1" si="2"/>
        <v>0</v>
      </c>
      <c r="Q25" s="67"/>
      <c r="R25" s="67"/>
      <c r="S25" s="97">
        <f ca="1">IFERROR(__xludf.DUMMYFUNCTION("""COMPUTED_VALUE"""),0)</f>
        <v>0</v>
      </c>
      <c r="T25" s="97">
        <f ca="1">IFERROR(__xludf.DUMMYFUNCTION("""COMPUTED_VALUE"""),0)</f>
        <v>0</v>
      </c>
      <c r="U25" s="97">
        <f ca="1">IFERROR(__xludf.DUMMYFUNCTION("""COMPUTED_VALUE"""),0)</f>
        <v>0</v>
      </c>
      <c r="V25" s="97">
        <f ca="1">IFERROR(__xludf.DUMMYFUNCTION("""COMPUTED_VALUE"""),0)</f>
        <v>0</v>
      </c>
      <c r="W25" s="97">
        <f ca="1">IFERROR(__xludf.DUMMYFUNCTION("""COMPUTED_VALUE"""),0)</f>
        <v>0</v>
      </c>
      <c r="X25" s="97">
        <f ca="1">IFERROR(__xludf.DUMMYFUNCTION("""COMPUTED_VALUE"""),0)</f>
        <v>0</v>
      </c>
      <c r="Y25" s="97">
        <f t="shared" ca="1" si="3"/>
        <v>0</v>
      </c>
      <c r="Z25" s="67">
        <f t="shared" si="4"/>
        <v>0</v>
      </c>
      <c r="AA25" s="67"/>
      <c r="AB25" s="67"/>
      <c r="AC25" s="67"/>
      <c r="AD25" s="99" t="e">
        <f t="shared" ca="1" si="5"/>
        <v>#DIV/0!</v>
      </c>
      <c r="AE25" s="67"/>
      <c r="AF25" s="67"/>
      <c r="AG25" s="67"/>
      <c r="AH25" s="67"/>
      <c r="AI25" s="67"/>
      <c r="AJ25" s="67"/>
      <c r="AK25" s="67"/>
      <c r="AL25" s="67"/>
      <c r="AM25" s="67"/>
      <c r="AN25" s="67"/>
      <c r="AO25" s="67"/>
      <c r="AP25" s="67"/>
      <c r="AQ25" s="67"/>
      <c r="AR25" s="67"/>
      <c r="AS25" s="67"/>
      <c r="AT25" s="67"/>
    </row>
    <row r="26" spans="1:46" ht="84" hidden="1" x14ac:dyDescent="0.2">
      <c r="A26" s="67"/>
      <c r="B26" s="96"/>
      <c r="C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6" s="20" t="str">
        <f ca="1">IFERROR(__xludf.DUMMYFUNCTION("""COMPUTED_VALUE"""),"МинЖКХ")</f>
        <v>МинЖКХ</v>
      </c>
      <c r="E26" s="20" t="str">
        <f ca="1">IFERROR(__xludf.DUMMYFUNCTION("""COMPUTED_VALUE"""),"Реконструкция ВЗУ В.Ромашково Одинцовский г.о.")</f>
        <v>Реконструкция ВЗУ В.Ромашково Одинцовский г.о.</v>
      </c>
      <c r="F26" s="67" t="str">
        <f ca="1">IFERROR(__xludf.DUMMYFUNCTION("""COMPUTED_VALUE"""),"СМР")</f>
        <v>СМР</v>
      </c>
      <c r="G26" s="67" t="str">
        <f ca="1">IFERROR(__xludf.DUMMYFUNCTION("""COMPUTED_VALUE"""),"г.о. Одинцово")</f>
        <v>г.о. Одинцово</v>
      </c>
      <c r="H26" s="67">
        <f ca="1">IFERROR(__xludf.DUMMYFUNCTION("""COMPUTED_VALUE"""),2024)</f>
        <v>2024</v>
      </c>
      <c r="I26" s="67" t="str">
        <f ca="1">IFERROR(__xludf.DUMMYFUNCTION("""COMPUTED_VALUE"""),"10 1 G552430
")</f>
        <v xml:space="preserve">10 1 G552430
</v>
      </c>
      <c r="J26" s="67">
        <f ca="1">IFERROR(__xludf.DUMMYFUNCTION("""COMPUTED_VALUE"""),522)</f>
        <v>522</v>
      </c>
      <c r="K26" s="97">
        <f t="shared" ca="1" si="1"/>
        <v>0</v>
      </c>
      <c r="L26" s="97">
        <f ca="1">IFERROR(__xludf.DUMMYFUNCTION("""COMPUTED_VALUE"""),0)</f>
        <v>0</v>
      </c>
      <c r="M26" s="97">
        <f ca="1">IFERROR(__xludf.DUMMYFUNCTION("""COMPUTED_VALUE"""),0)</f>
        <v>0</v>
      </c>
      <c r="N26" s="67"/>
      <c r="O26" s="97">
        <f ca="1">IFERROR(__xludf.DUMMYFUNCTION("""COMPUTED_VALUE"""),0)</f>
        <v>0</v>
      </c>
      <c r="P26" s="97">
        <f t="shared" ca="1" si="2"/>
        <v>0</v>
      </c>
      <c r="Q26" s="67"/>
      <c r="R26" s="67"/>
      <c r="S26" s="97">
        <f ca="1">IFERROR(__xludf.DUMMYFUNCTION("""COMPUTED_VALUE"""),0)</f>
        <v>0</v>
      </c>
      <c r="T26" s="97">
        <f ca="1">IFERROR(__xludf.DUMMYFUNCTION("""COMPUTED_VALUE"""),0)</f>
        <v>0</v>
      </c>
      <c r="U26" s="97">
        <f ca="1">IFERROR(__xludf.DUMMYFUNCTION("""COMPUTED_VALUE"""),0)</f>
        <v>0</v>
      </c>
      <c r="V26" s="97">
        <f ca="1">IFERROR(__xludf.DUMMYFUNCTION("""COMPUTED_VALUE"""),0)</f>
        <v>0</v>
      </c>
      <c r="W26" s="97">
        <f ca="1">IFERROR(__xludf.DUMMYFUNCTION("""COMPUTED_VALUE"""),0)</f>
        <v>0</v>
      </c>
      <c r="X26" s="97">
        <f ca="1">IFERROR(__xludf.DUMMYFUNCTION("""COMPUTED_VALUE"""),0)</f>
        <v>0</v>
      </c>
      <c r="Y26" s="97">
        <f t="shared" ca="1" si="3"/>
        <v>0</v>
      </c>
      <c r="Z26" s="67">
        <f t="shared" si="4"/>
        <v>0</v>
      </c>
      <c r="AA26" s="67"/>
      <c r="AB26" s="67"/>
      <c r="AC26" s="67"/>
      <c r="AD26" s="99" t="e">
        <f t="shared" ca="1" si="5"/>
        <v>#DIV/0!</v>
      </c>
      <c r="AE26" s="67"/>
      <c r="AF26" s="67"/>
      <c r="AG26" s="67"/>
      <c r="AH26" s="67"/>
      <c r="AI26" s="67"/>
      <c r="AJ26" s="67"/>
      <c r="AK26" s="67"/>
      <c r="AL26" s="67"/>
      <c r="AM26" s="67"/>
      <c r="AN26" s="67"/>
      <c r="AO26" s="67"/>
      <c r="AP26" s="67"/>
      <c r="AQ26" s="67"/>
      <c r="AR26" s="67"/>
      <c r="AS26" s="67"/>
      <c r="AT26" s="67"/>
    </row>
    <row r="27" spans="1:46" ht="84" hidden="1" x14ac:dyDescent="0.2">
      <c r="A27" s="67"/>
      <c r="B27" s="96"/>
      <c r="C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7" s="20" t="str">
        <f ca="1">IFERROR(__xludf.DUMMYFUNCTION("""COMPUTED_VALUE"""),"МинЖКХ")</f>
        <v>МинЖКХ</v>
      </c>
      <c r="E27" s="20" t="str">
        <f ca="1">IFERROR(__xludf.DUMMYFUNCTION("""COMPUTED_VALUE"""),"Реконструкция ВЗУ Н. Ромашково Одинцовский г.о.")</f>
        <v>Реконструкция ВЗУ Н. Ромашково Одинцовский г.о.</v>
      </c>
      <c r="F27" s="67" t="str">
        <f ca="1">IFERROR(__xludf.DUMMYFUNCTION("""COMPUTED_VALUE"""),"СМР")</f>
        <v>СМР</v>
      </c>
      <c r="G27" s="67" t="str">
        <f ca="1">IFERROR(__xludf.DUMMYFUNCTION("""COMPUTED_VALUE"""),"г.о. Одинцово")</f>
        <v>г.о. Одинцово</v>
      </c>
      <c r="H27" s="67">
        <f ca="1">IFERROR(__xludf.DUMMYFUNCTION("""COMPUTED_VALUE"""),2024)</f>
        <v>2024</v>
      </c>
      <c r="I27" s="67" t="str">
        <f ca="1">IFERROR(__xludf.DUMMYFUNCTION("""COMPUTED_VALUE"""),"10 1 G552430
")</f>
        <v xml:space="preserve">10 1 G552430
</v>
      </c>
      <c r="J27" s="67">
        <f ca="1">IFERROR(__xludf.DUMMYFUNCTION("""COMPUTED_VALUE"""),522)</f>
        <v>522</v>
      </c>
      <c r="K27" s="97">
        <f t="shared" ca="1" si="1"/>
        <v>0</v>
      </c>
      <c r="L27" s="97">
        <f ca="1">IFERROR(__xludf.DUMMYFUNCTION("""COMPUTED_VALUE"""),0)</f>
        <v>0</v>
      </c>
      <c r="M27" s="97">
        <f ca="1">IFERROR(__xludf.DUMMYFUNCTION("""COMPUTED_VALUE"""),0)</f>
        <v>0</v>
      </c>
      <c r="N27" s="67"/>
      <c r="O27" s="97">
        <f ca="1">IFERROR(__xludf.DUMMYFUNCTION("""COMPUTED_VALUE"""),0)</f>
        <v>0</v>
      </c>
      <c r="P27" s="97">
        <f t="shared" ca="1" si="2"/>
        <v>0</v>
      </c>
      <c r="Q27" s="67"/>
      <c r="R27" s="67"/>
      <c r="S27" s="97">
        <f ca="1">IFERROR(__xludf.DUMMYFUNCTION("""COMPUTED_VALUE"""),0)</f>
        <v>0</v>
      </c>
      <c r="T27" s="97">
        <f ca="1">IFERROR(__xludf.DUMMYFUNCTION("""COMPUTED_VALUE"""),0)</f>
        <v>0</v>
      </c>
      <c r="U27" s="97">
        <f ca="1">IFERROR(__xludf.DUMMYFUNCTION("""COMPUTED_VALUE"""),0)</f>
        <v>0</v>
      </c>
      <c r="V27" s="97">
        <f ca="1">IFERROR(__xludf.DUMMYFUNCTION("""COMPUTED_VALUE"""),0)</f>
        <v>0</v>
      </c>
      <c r="W27" s="97">
        <f ca="1">IFERROR(__xludf.DUMMYFUNCTION("""COMPUTED_VALUE"""),0)</f>
        <v>0</v>
      </c>
      <c r="X27" s="97">
        <f ca="1">IFERROR(__xludf.DUMMYFUNCTION("""COMPUTED_VALUE"""),0)</f>
        <v>0</v>
      </c>
      <c r="Y27" s="97">
        <f t="shared" ca="1" si="3"/>
        <v>0</v>
      </c>
      <c r="Z27" s="67">
        <f t="shared" si="4"/>
        <v>0</v>
      </c>
      <c r="AA27" s="67"/>
      <c r="AB27" s="67"/>
      <c r="AC27" s="67"/>
      <c r="AD27" s="99" t="e">
        <f t="shared" ca="1" si="5"/>
        <v>#DIV/0!</v>
      </c>
      <c r="AE27" s="67"/>
      <c r="AF27" s="67"/>
      <c r="AG27" s="67"/>
      <c r="AH27" s="67"/>
      <c r="AI27" s="67"/>
      <c r="AJ27" s="67"/>
      <c r="AK27" s="67"/>
      <c r="AL27" s="67"/>
      <c r="AM27" s="67"/>
      <c r="AN27" s="67"/>
      <c r="AO27" s="67"/>
      <c r="AP27" s="67"/>
      <c r="AQ27" s="67"/>
      <c r="AR27" s="67"/>
      <c r="AS27" s="67"/>
      <c r="AT27" s="67"/>
    </row>
    <row r="28" spans="1:46" ht="84" hidden="1" x14ac:dyDescent="0.2">
      <c r="A28" s="67"/>
      <c r="B28" s="96"/>
      <c r="C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8" s="20" t="str">
        <f ca="1">IFERROR(__xludf.DUMMYFUNCTION("""COMPUTED_VALUE"""),"МинЖКХ")</f>
        <v>МинЖКХ</v>
      </c>
      <c r="E28" s="20" t="str">
        <f ca="1">IFERROR(__xludf.DUMMYFUNCTION("""COMPUTED_VALUE"""),"Реконструкция ВЗУ Ликино п. Жаворонковские Одинцовский г.о.")</f>
        <v>Реконструкция ВЗУ Ликино п. Жаворонковские Одинцовский г.о.</v>
      </c>
      <c r="F28" s="67" t="str">
        <f ca="1">IFERROR(__xludf.DUMMYFUNCTION("""COMPUTED_VALUE"""),"СМР")</f>
        <v>СМР</v>
      </c>
      <c r="G28" s="67" t="str">
        <f ca="1">IFERROR(__xludf.DUMMYFUNCTION("""COMPUTED_VALUE"""),"г.о. Одинцово")</f>
        <v>г.о. Одинцово</v>
      </c>
      <c r="H28" s="67">
        <f ca="1">IFERROR(__xludf.DUMMYFUNCTION("""COMPUTED_VALUE"""),2024)</f>
        <v>2024</v>
      </c>
      <c r="I28" s="67" t="str">
        <f ca="1">IFERROR(__xludf.DUMMYFUNCTION("""COMPUTED_VALUE"""),"10 1 G552430
")</f>
        <v xml:space="preserve">10 1 G552430
</v>
      </c>
      <c r="J28" s="67">
        <f ca="1">IFERROR(__xludf.DUMMYFUNCTION("""COMPUTED_VALUE"""),522)</f>
        <v>522</v>
      </c>
      <c r="K28" s="97">
        <f t="shared" ca="1" si="1"/>
        <v>0</v>
      </c>
      <c r="L28" s="97">
        <f ca="1">IFERROR(__xludf.DUMMYFUNCTION("""COMPUTED_VALUE"""),0)</f>
        <v>0</v>
      </c>
      <c r="M28" s="97">
        <f ca="1">IFERROR(__xludf.DUMMYFUNCTION("""COMPUTED_VALUE"""),0)</f>
        <v>0</v>
      </c>
      <c r="N28" s="67"/>
      <c r="O28" s="97">
        <f ca="1">IFERROR(__xludf.DUMMYFUNCTION("""COMPUTED_VALUE"""),0)</f>
        <v>0</v>
      </c>
      <c r="P28" s="97">
        <f t="shared" ca="1" si="2"/>
        <v>0</v>
      </c>
      <c r="Q28" s="67"/>
      <c r="R28" s="67"/>
      <c r="S28" s="97">
        <f ca="1">IFERROR(__xludf.DUMMYFUNCTION("""COMPUTED_VALUE"""),0)</f>
        <v>0</v>
      </c>
      <c r="T28" s="97">
        <f ca="1">IFERROR(__xludf.DUMMYFUNCTION("""COMPUTED_VALUE"""),0)</f>
        <v>0</v>
      </c>
      <c r="U28" s="97">
        <f ca="1">IFERROR(__xludf.DUMMYFUNCTION("""COMPUTED_VALUE"""),0)</f>
        <v>0</v>
      </c>
      <c r="V28" s="97">
        <f ca="1">IFERROR(__xludf.DUMMYFUNCTION("""COMPUTED_VALUE"""),0)</f>
        <v>0</v>
      </c>
      <c r="W28" s="97">
        <f ca="1">IFERROR(__xludf.DUMMYFUNCTION("""COMPUTED_VALUE"""),0)</f>
        <v>0</v>
      </c>
      <c r="X28" s="97">
        <f ca="1">IFERROR(__xludf.DUMMYFUNCTION("""COMPUTED_VALUE"""),0)</f>
        <v>0</v>
      </c>
      <c r="Y28" s="97">
        <f t="shared" ca="1" si="3"/>
        <v>0</v>
      </c>
      <c r="Z28" s="67">
        <f t="shared" si="4"/>
        <v>0</v>
      </c>
      <c r="AA28" s="67"/>
      <c r="AB28" s="67"/>
      <c r="AC28" s="67"/>
      <c r="AD28" s="99" t="e">
        <f t="shared" ca="1" si="5"/>
        <v>#DIV/0!</v>
      </c>
      <c r="AE28" s="67"/>
      <c r="AF28" s="67"/>
      <c r="AG28" s="67"/>
      <c r="AH28" s="67"/>
      <c r="AI28" s="67"/>
      <c r="AJ28" s="67"/>
      <c r="AK28" s="67"/>
      <c r="AL28" s="67"/>
      <c r="AM28" s="67"/>
      <c r="AN28" s="67"/>
      <c r="AO28" s="67"/>
      <c r="AP28" s="67"/>
      <c r="AQ28" s="67"/>
      <c r="AR28" s="67"/>
      <c r="AS28" s="67"/>
      <c r="AT28" s="67"/>
    </row>
    <row r="29" spans="1:46" ht="84" hidden="1" x14ac:dyDescent="0.2">
      <c r="A29" s="67"/>
      <c r="B29" s="96"/>
      <c r="C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9" s="20" t="str">
        <f ca="1">IFERROR(__xludf.DUMMYFUNCTION("""COMPUTED_VALUE"""),"МинЖКХ")</f>
        <v>МинЖКХ</v>
      </c>
      <c r="E29" s="20" t="str">
        <f ca="1">IFERROR(__xludf.DUMMYFUNCTION("""COMPUTED_VALUE"""),"Реконструкция ВЗУ ПМС-4 п. Часцовское Одинцовский г.о.")</f>
        <v>Реконструкция ВЗУ ПМС-4 п. Часцовское Одинцовский г.о.</v>
      </c>
      <c r="F29" s="67" t="str">
        <f ca="1">IFERROR(__xludf.DUMMYFUNCTION("""COMPUTED_VALUE"""),"СМР")</f>
        <v>СМР</v>
      </c>
      <c r="G29" s="67" t="str">
        <f ca="1">IFERROR(__xludf.DUMMYFUNCTION("""COMPUTED_VALUE"""),"г.о. Одинцово")</f>
        <v>г.о. Одинцово</v>
      </c>
      <c r="H29" s="67">
        <f ca="1">IFERROR(__xludf.DUMMYFUNCTION("""COMPUTED_VALUE"""),2024)</f>
        <v>2024</v>
      </c>
      <c r="I29" s="67" t="str">
        <f ca="1">IFERROR(__xludf.DUMMYFUNCTION("""COMPUTED_VALUE"""),"10 1 G552430
")</f>
        <v xml:space="preserve">10 1 G552430
</v>
      </c>
      <c r="J29" s="67">
        <f ca="1">IFERROR(__xludf.DUMMYFUNCTION("""COMPUTED_VALUE"""),522)</f>
        <v>522</v>
      </c>
      <c r="K29" s="97">
        <f t="shared" ca="1" si="1"/>
        <v>0</v>
      </c>
      <c r="L29" s="97">
        <f ca="1">IFERROR(__xludf.DUMMYFUNCTION("""COMPUTED_VALUE"""),0)</f>
        <v>0</v>
      </c>
      <c r="M29" s="97">
        <f ca="1">IFERROR(__xludf.DUMMYFUNCTION("""COMPUTED_VALUE"""),0)</f>
        <v>0</v>
      </c>
      <c r="N29" s="67"/>
      <c r="O29" s="97">
        <f ca="1">IFERROR(__xludf.DUMMYFUNCTION("""COMPUTED_VALUE"""),0)</f>
        <v>0</v>
      </c>
      <c r="P29" s="97">
        <f t="shared" ca="1" si="2"/>
        <v>0</v>
      </c>
      <c r="Q29" s="67"/>
      <c r="R29" s="67"/>
      <c r="S29" s="97">
        <f ca="1">IFERROR(__xludf.DUMMYFUNCTION("""COMPUTED_VALUE"""),0)</f>
        <v>0</v>
      </c>
      <c r="T29" s="97">
        <f ca="1">IFERROR(__xludf.DUMMYFUNCTION("""COMPUTED_VALUE"""),0)</f>
        <v>0</v>
      </c>
      <c r="U29" s="97">
        <f ca="1">IFERROR(__xludf.DUMMYFUNCTION("""COMPUTED_VALUE"""),0)</f>
        <v>0</v>
      </c>
      <c r="V29" s="97">
        <f ca="1">IFERROR(__xludf.DUMMYFUNCTION("""COMPUTED_VALUE"""),0)</f>
        <v>0</v>
      </c>
      <c r="W29" s="97">
        <f ca="1">IFERROR(__xludf.DUMMYFUNCTION("""COMPUTED_VALUE"""),0)</f>
        <v>0</v>
      </c>
      <c r="X29" s="97">
        <f ca="1">IFERROR(__xludf.DUMMYFUNCTION("""COMPUTED_VALUE"""),0)</f>
        <v>0</v>
      </c>
      <c r="Y29" s="97">
        <f t="shared" ca="1" si="3"/>
        <v>0</v>
      </c>
      <c r="Z29" s="67">
        <f t="shared" si="4"/>
        <v>0</v>
      </c>
      <c r="AA29" s="67"/>
      <c r="AB29" s="67"/>
      <c r="AC29" s="67"/>
      <c r="AD29" s="99" t="e">
        <f t="shared" ca="1" si="5"/>
        <v>#DIV/0!</v>
      </c>
      <c r="AE29" s="67"/>
      <c r="AF29" s="67"/>
      <c r="AG29" s="67"/>
      <c r="AH29" s="67"/>
      <c r="AI29" s="67"/>
      <c r="AJ29" s="67"/>
      <c r="AK29" s="67"/>
      <c r="AL29" s="67"/>
      <c r="AM29" s="67"/>
      <c r="AN29" s="67"/>
      <c r="AO29" s="67"/>
      <c r="AP29" s="67"/>
      <c r="AQ29" s="67"/>
      <c r="AR29" s="67"/>
      <c r="AS29" s="67"/>
      <c r="AT29" s="67"/>
    </row>
    <row r="30" spans="1:46" ht="84" hidden="1" x14ac:dyDescent="0.2">
      <c r="A30" s="67"/>
      <c r="B30" s="100"/>
      <c r="C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0" s="20" t="str">
        <f ca="1">IFERROR(__xludf.DUMMYFUNCTION("""COMPUTED_VALUE"""),"МинЖКХ")</f>
        <v>МинЖКХ</v>
      </c>
      <c r="E30" s="20" t="str">
        <f ca="1">IFERROR(__xludf.DUMMYFUNCTION("""COMPUTED_VALUE"""),"Реконструкция ВЗУ Аниково г.Кубинка Одинцовский г.о.")</f>
        <v>Реконструкция ВЗУ Аниково г.Кубинка Одинцовский г.о.</v>
      </c>
      <c r="F30" s="67" t="str">
        <f ca="1">IFERROR(__xludf.DUMMYFUNCTION("""COMPUTED_VALUE"""),"СМР")</f>
        <v>СМР</v>
      </c>
      <c r="G30" s="67" t="str">
        <f ca="1">IFERROR(__xludf.DUMMYFUNCTION("""COMPUTED_VALUE"""),"г.о. Одинцово")</f>
        <v>г.о. Одинцово</v>
      </c>
      <c r="H30" s="67">
        <f ca="1">IFERROR(__xludf.DUMMYFUNCTION("""COMPUTED_VALUE"""),2024)</f>
        <v>2024</v>
      </c>
      <c r="I30" s="67" t="str">
        <f ca="1">IFERROR(__xludf.DUMMYFUNCTION("""COMPUTED_VALUE"""),"10 1 G552430
")</f>
        <v xml:space="preserve">10 1 G552430
</v>
      </c>
      <c r="J30" s="67">
        <f ca="1">IFERROR(__xludf.DUMMYFUNCTION("""COMPUTED_VALUE"""),522)</f>
        <v>522</v>
      </c>
      <c r="K30" s="97">
        <f t="shared" ca="1" si="1"/>
        <v>0</v>
      </c>
      <c r="L30" s="97">
        <f ca="1">IFERROR(__xludf.DUMMYFUNCTION("""COMPUTED_VALUE"""),0)</f>
        <v>0</v>
      </c>
      <c r="M30" s="97">
        <f ca="1">IFERROR(__xludf.DUMMYFUNCTION("""COMPUTED_VALUE"""),0)</f>
        <v>0</v>
      </c>
      <c r="N30" s="67"/>
      <c r="O30" s="97">
        <f ca="1">IFERROR(__xludf.DUMMYFUNCTION("""COMPUTED_VALUE"""),0)</f>
        <v>0</v>
      </c>
      <c r="P30" s="97">
        <f t="shared" ca="1" si="2"/>
        <v>0</v>
      </c>
      <c r="Q30" s="67"/>
      <c r="R30" s="67"/>
      <c r="S30" s="97">
        <f ca="1">IFERROR(__xludf.DUMMYFUNCTION("""COMPUTED_VALUE"""),0)</f>
        <v>0</v>
      </c>
      <c r="T30" s="97">
        <f ca="1">IFERROR(__xludf.DUMMYFUNCTION("""COMPUTED_VALUE"""),0)</f>
        <v>0</v>
      </c>
      <c r="U30" s="97">
        <f ca="1">IFERROR(__xludf.DUMMYFUNCTION("""COMPUTED_VALUE"""),0)</f>
        <v>0</v>
      </c>
      <c r="V30" s="97">
        <f ca="1">IFERROR(__xludf.DUMMYFUNCTION("""COMPUTED_VALUE"""),0)</f>
        <v>0</v>
      </c>
      <c r="W30" s="97">
        <f ca="1">IFERROR(__xludf.DUMMYFUNCTION("""COMPUTED_VALUE"""),0)</f>
        <v>0</v>
      </c>
      <c r="X30" s="97">
        <f ca="1">IFERROR(__xludf.DUMMYFUNCTION("""COMPUTED_VALUE"""),0)</f>
        <v>0</v>
      </c>
      <c r="Y30" s="97">
        <f t="shared" ca="1" si="3"/>
        <v>0</v>
      </c>
      <c r="Z30" s="67">
        <f t="shared" si="4"/>
        <v>0</v>
      </c>
      <c r="AA30" s="67"/>
      <c r="AB30" s="67"/>
      <c r="AC30" s="67"/>
      <c r="AD30" s="99" t="e">
        <f t="shared" ca="1" si="5"/>
        <v>#DIV/0!</v>
      </c>
      <c r="AE30" s="67"/>
      <c r="AF30" s="67"/>
      <c r="AG30" s="67"/>
      <c r="AH30" s="67"/>
      <c r="AI30" s="67"/>
      <c r="AJ30" s="67"/>
      <c r="AK30" s="67"/>
      <c r="AL30" s="67"/>
      <c r="AM30" s="67"/>
      <c r="AN30" s="67"/>
      <c r="AO30" s="67"/>
      <c r="AP30" s="67"/>
      <c r="AQ30" s="67"/>
      <c r="AR30" s="67"/>
      <c r="AS30" s="67"/>
      <c r="AT30" s="67"/>
    </row>
    <row r="31" spans="1:46" ht="84" x14ac:dyDescent="0.2">
      <c r="A31" s="20" t="str">
        <f ca="1">IFERROR(__xludf.DUMMYFUNCTION("""COMPUTED_VALUE"""),"В связи с тем, что проектные решения не позволяют обеспечить должное функционирование объекта требуется корректировка проекта. Получение РС до 10.12.2020")</f>
        <v>В связи с тем, что проектные решения не позволяют обеспечить должное функционирование объекта требуется корректировка проекта. Получение РС до 10.12.2020</v>
      </c>
      <c r="B31" s="95"/>
      <c r="C3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1" s="20" t="str">
        <f ca="1">IFERROR(__xludf.DUMMYFUNCTION("""COMPUTED_VALUE"""),"МинЖКХ")</f>
        <v>МинЖКХ</v>
      </c>
      <c r="E31" s="20" t="str">
        <f ca="1">IFERROR(__xludf.DUMMYFUNCTION("""COMPUTED_VALUE"""),"Строительство станции второго подъема и станции обезжелезивания по адресу: Московская область, Чеховский район, п. Мещерское")</f>
        <v>Строительство станции второго подъема и станции обезжелезивания по адресу: Московская область, Чеховский район, п. Мещерское</v>
      </c>
      <c r="F31" s="20" t="str">
        <f ca="1">IFERROR(__xludf.DUMMYFUNCTION("""COMPUTED_VALUE"""),"СМР")</f>
        <v>СМР</v>
      </c>
      <c r="G31" s="20" t="str">
        <f ca="1">IFERROR(__xludf.DUMMYFUNCTION("""COMPUTED_VALUE"""),"г.о. Чехов")</f>
        <v>г.о. Чехов</v>
      </c>
      <c r="H31" s="20" t="str">
        <f ca="1">IFERROR(__xludf.DUMMYFUNCTION("""COMPUTED_VALUE"""),"2020-2021")</f>
        <v>2020-2021</v>
      </c>
      <c r="I31" s="20" t="str">
        <f ca="1">IFERROR(__xludf.DUMMYFUNCTION("""COMPUTED_VALUE"""),"10 1 G552430
")</f>
        <v xml:space="preserve">10 1 G552430
</v>
      </c>
      <c r="J31" s="20">
        <f ca="1">IFERROR(__xludf.DUMMYFUNCTION("""COMPUTED_VALUE"""),522)</f>
        <v>522</v>
      </c>
      <c r="K31" s="24">
        <f t="shared" ca="1" si="1"/>
        <v>51685.040000000008</v>
      </c>
      <c r="L31" s="24">
        <f ca="1">IFERROR(__xludf.DUMMYFUNCTION("""COMPUTED_VALUE"""),8806.57)</f>
        <v>8806.57</v>
      </c>
      <c r="M31" s="24">
        <f ca="1">IFERROR(__xludf.DUMMYFUNCTION("""COMPUTED_VALUE"""),26419.7)</f>
        <v>26419.7</v>
      </c>
      <c r="N31" s="20"/>
      <c r="O31" s="24">
        <f ca="1">IFERROR(__xludf.DUMMYFUNCTION("""COMPUTED_VALUE"""),16458.77)</f>
        <v>16458.77</v>
      </c>
      <c r="P31" s="24">
        <f t="shared" ca="1" si="2"/>
        <v>35226.270000000004</v>
      </c>
      <c r="Q31" s="23">
        <f ca="1">IFERROR(__xludf.DUMMYFUNCTION("""COMPUTED_VALUE"""),0.06)</f>
        <v>0.06</v>
      </c>
      <c r="R31" s="20"/>
      <c r="S31" s="24">
        <f ca="1">IFERROR(__xludf.DUMMYFUNCTION("""COMPUTED_VALUE"""),26206.39)</f>
        <v>26206.39</v>
      </c>
      <c r="T31" s="24">
        <f ca="1">IFERROR(__xludf.DUMMYFUNCTION("""COMPUTED_VALUE"""),25478.65)</f>
        <v>25478.65</v>
      </c>
      <c r="U31" s="24">
        <f ca="1">IFERROR(__xludf.DUMMYFUNCTION("""COMPUTED_VALUE"""),2254.96999999999)</f>
        <v>2254.9699999999898</v>
      </c>
      <c r="V31" s="24">
        <f ca="1">IFERROR(__xludf.DUMMYFUNCTION("""COMPUTED_VALUE"""),6764.91)</f>
        <v>6764.91</v>
      </c>
      <c r="W31" s="24">
        <f ca="1">IFERROR(__xludf.DUMMYFUNCTION("""COMPUTED_VALUE"""),0)</f>
        <v>0</v>
      </c>
      <c r="X31" s="24">
        <f ca="1">IFERROR(__xludf.DUMMYFUNCTION("""COMPUTED_VALUE"""),16458.77)</f>
        <v>16458.77</v>
      </c>
      <c r="Y31" s="24">
        <f t="shared" ca="1" si="3"/>
        <v>9019.8799999999901</v>
      </c>
      <c r="Z31" s="24">
        <f t="shared" ca="1" si="4"/>
        <v>26206.39</v>
      </c>
      <c r="AA31" s="24">
        <f ca="1">IFERROR(__xludf.DUMMYFUNCTION("""COMPUTED_VALUE"""),19654.79)</f>
        <v>19654.79</v>
      </c>
      <c r="AB31" s="24">
        <f ca="1">IFERROR(__xludf.DUMMYFUNCTION("""COMPUTED_VALUE"""),6551.6)</f>
        <v>6551.6</v>
      </c>
      <c r="AC31" s="20"/>
      <c r="AD31" s="94">
        <f t="shared" ca="1" si="5"/>
        <v>0.74394450505262111</v>
      </c>
      <c r="AE31" s="20"/>
      <c r="AF31" s="20"/>
      <c r="AG31" s="20"/>
      <c r="AH31" s="20"/>
      <c r="AI31" s="20"/>
      <c r="AJ31" s="20"/>
      <c r="AK31" s="20"/>
      <c r="AL31" s="20"/>
      <c r="AM31" s="20"/>
      <c r="AN31" s="20"/>
      <c r="AO31" s="20"/>
      <c r="AP31" s="20"/>
      <c r="AQ31" s="20"/>
      <c r="AR31" s="20"/>
      <c r="AS31" s="20"/>
      <c r="AT31" s="20"/>
    </row>
    <row r="32" spans="1:46" ht="84" hidden="1" x14ac:dyDescent="0.2">
      <c r="A32" s="67"/>
      <c r="B32" s="96"/>
      <c r="C3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2" s="20" t="str">
        <f ca="1">IFERROR(__xludf.DUMMYFUNCTION("""COMPUTED_VALUE"""),"МинЖКХ")</f>
        <v>МинЖКХ</v>
      </c>
      <c r="E32" s="20" t="str">
        <f ca="1">IFERROR(__xludf.DUMMYFUNCTION("""COMPUTED_VALUE"""),"Строительство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f>
        <v>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v>
      </c>
      <c r="F32" s="67" t="str">
        <f ca="1">IFERROR(__xludf.DUMMYFUNCTION("""COMPUTED_VALUE"""),"СМР")</f>
        <v>СМР</v>
      </c>
      <c r="G32" s="67" t="str">
        <f ca="1">IFERROR(__xludf.DUMMYFUNCTION("""COMPUTED_VALUE"""),"г.о. Чехов")</f>
        <v>г.о. Чехов</v>
      </c>
      <c r="H32" s="67" t="str">
        <f ca="1">IFERROR(__xludf.DUMMYFUNCTION("""COMPUTED_VALUE"""),"2021-2022")</f>
        <v>2021-2022</v>
      </c>
      <c r="I32" s="67" t="str">
        <f ca="1">IFERROR(__xludf.DUMMYFUNCTION("""COMPUTED_VALUE"""),"10 1 G552430
")</f>
        <v xml:space="preserve">10 1 G552430
</v>
      </c>
      <c r="J32" s="67">
        <f ca="1">IFERROR(__xludf.DUMMYFUNCTION("""COMPUTED_VALUE"""),522)</f>
        <v>522</v>
      </c>
      <c r="K32" s="97">
        <f t="shared" ca="1" si="1"/>
        <v>0</v>
      </c>
      <c r="L32" s="97">
        <f ca="1">IFERROR(__xludf.DUMMYFUNCTION("""COMPUTED_VALUE"""),0)</f>
        <v>0</v>
      </c>
      <c r="M32" s="97">
        <f ca="1">IFERROR(__xludf.DUMMYFUNCTION("""COMPUTED_VALUE"""),0)</f>
        <v>0</v>
      </c>
      <c r="N32" s="67"/>
      <c r="O32" s="97">
        <f ca="1">IFERROR(__xludf.DUMMYFUNCTION("""COMPUTED_VALUE"""),0)</f>
        <v>0</v>
      </c>
      <c r="P32" s="97">
        <f t="shared" ca="1" si="2"/>
        <v>0</v>
      </c>
      <c r="Q32" s="67"/>
      <c r="R32" s="67"/>
      <c r="S32" s="97">
        <f ca="1">IFERROR(__xludf.DUMMYFUNCTION("""COMPUTED_VALUE"""),0)</f>
        <v>0</v>
      </c>
      <c r="T32" s="97">
        <f ca="1">IFERROR(__xludf.DUMMYFUNCTION("""COMPUTED_VALUE"""),0)</f>
        <v>0</v>
      </c>
      <c r="U32" s="97">
        <f ca="1">IFERROR(__xludf.DUMMYFUNCTION("""COMPUTED_VALUE"""),0)</f>
        <v>0</v>
      </c>
      <c r="V32" s="97">
        <f ca="1">IFERROR(__xludf.DUMMYFUNCTION("""COMPUTED_VALUE"""),0)</f>
        <v>0</v>
      </c>
      <c r="W32" s="97">
        <f ca="1">IFERROR(__xludf.DUMMYFUNCTION("""COMPUTED_VALUE"""),0)</f>
        <v>0</v>
      </c>
      <c r="X32" s="97">
        <f ca="1">IFERROR(__xludf.DUMMYFUNCTION("""COMPUTED_VALUE"""),0)</f>
        <v>0</v>
      </c>
      <c r="Y32" s="97">
        <f t="shared" ca="1" si="3"/>
        <v>0</v>
      </c>
      <c r="Z32" s="67">
        <f t="shared" si="4"/>
        <v>0</v>
      </c>
      <c r="AA32" s="67"/>
      <c r="AB32" s="67"/>
      <c r="AC32" s="67"/>
      <c r="AD32" s="99" t="e">
        <f t="shared" ca="1" si="5"/>
        <v>#DIV/0!</v>
      </c>
      <c r="AE32" s="67"/>
      <c r="AF32" s="67"/>
      <c r="AG32" s="67"/>
      <c r="AH32" s="67"/>
      <c r="AI32" s="67"/>
      <c r="AJ32" s="67"/>
      <c r="AK32" s="67"/>
      <c r="AL32" s="67"/>
      <c r="AM32" s="67"/>
      <c r="AN32" s="67"/>
      <c r="AO32" s="67"/>
      <c r="AP32" s="67"/>
      <c r="AQ32" s="67"/>
      <c r="AR32" s="67"/>
      <c r="AS32" s="67"/>
      <c r="AT32" s="67"/>
    </row>
    <row r="33" spans="1:46" ht="84" hidden="1" x14ac:dyDescent="0.2">
      <c r="A33" s="67"/>
      <c r="B33" s="96"/>
      <c r="C3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3" s="20" t="str">
        <f ca="1">IFERROR(__xludf.DUMMYFUNCTION("""COMPUTED_VALUE"""),"МинЖКХ")</f>
        <v>МинЖКХ</v>
      </c>
      <c r="E33" s="20" t="str">
        <f ca="1">IFERROR(__xludf.DUMMYFUNCTION("""COMPUTED_VALUE"""),"Строительство ВЗУ  Есино г.о. Электросталь ")</f>
        <v xml:space="preserve">Строительство ВЗУ  Есино г.о. Электросталь </v>
      </c>
      <c r="F33" s="67" t="str">
        <f ca="1">IFERROR(__xludf.DUMMYFUNCTION("""COMPUTED_VALUE"""),"СМР")</f>
        <v>СМР</v>
      </c>
      <c r="G33" s="67" t="str">
        <f ca="1">IFERROR(__xludf.DUMMYFUNCTION("""COMPUTED_VALUE"""),"г.о. Электросталь")</f>
        <v>г.о. Электросталь</v>
      </c>
      <c r="H33" s="67">
        <f ca="1">IFERROR(__xludf.DUMMYFUNCTION("""COMPUTED_VALUE"""),2022)</f>
        <v>2022</v>
      </c>
      <c r="I33" s="67" t="str">
        <f ca="1">IFERROR(__xludf.DUMMYFUNCTION("""COMPUTED_VALUE"""),"10 1 G552430
")</f>
        <v xml:space="preserve">10 1 G552430
</v>
      </c>
      <c r="J33" s="67">
        <f ca="1">IFERROR(__xludf.DUMMYFUNCTION("""COMPUTED_VALUE"""),522)</f>
        <v>522</v>
      </c>
      <c r="K33" s="97">
        <f t="shared" ca="1" si="1"/>
        <v>0</v>
      </c>
      <c r="L33" s="97">
        <f ca="1">IFERROR(__xludf.DUMMYFUNCTION("""COMPUTED_VALUE"""),0)</f>
        <v>0</v>
      </c>
      <c r="M33" s="97">
        <f ca="1">IFERROR(__xludf.DUMMYFUNCTION("""COMPUTED_VALUE"""),0)</f>
        <v>0</v>
      </c>
      <c r="N33" s="67"/>
      <c r="O33" s="97">
        <f ca="1">IFERROR(__xludf.DUMMYFUNCTION("""COMPUTED_VALUE"""),0)</f>
        <v>0</v>
      </c>
      <c r="P33" s="97">
        <f t="shared" ca="1" si="2"/>
        <v>0</v>
      </c>
      <c r="Q33" s="67"/>
      <c r="R33" s="67"/>
      <c r="S33" s="97">
        <f ca="1">IFERROR(__xludf.DUMMYFUNCTION("""COMPUTED_VALUE"""),0)</f>
        <v>0</v>
      </c>
      <c r="T33" s="97">
        <f ca="1">IFERROR(__xludf.DUMMYFUNCTION("""COMPUTED_VALUE"""),0)</f>
        <v>0</v>
      </c>
      <c r="U33" s="97">
        <f ca="1">IFERROR(__xludf.DUMMYFUNCTION("""COMPUTED_VALUE"""),0)</f>
        <v>0</v>
      </c>
      <c r="V33" s="97">
        <f ca="1">IFERROR(__xludf.DUMMYFUNCTION("""COMPUTED_VALUE"""),0)</f>
        <v>0</v>
      </c>
      <c r="W33" s="97">
        <f ca="1">IFERROR(__xludf.DUMMYFUNCTION("""COMPUTED_VALUE"""),0)</f>
        <v>0</v>
      </c>
      <c r="X33" s="97">
        <f ca="1">IFERROR(__xludf.DUMMYFUNCTION("""COMPUTED_VALUE"""),0)</f>
        <v>0</v>
      </c>
      <c r="Y33" s="97">
        <f t="shared" ca="1" si="3"/>
        <v>0</v>
      </c>
      <c r="Z33" s="67">
        <f t="shared" si="4"/>
        <v>0</v>
      </c>
      <c r="AA33" s="67"/>
      <c r="AB33" s="67"/>
      <c r="AC33" s="67"/>
      <c r="AD33" s="99" t="e">
        <f t="shared" ca="1" si="5"/>
        <v>#DIV/0!</v>
      </c>
      <c r="AE33" s="67"/>
      <c r="AF33" s="67"/>
      <c r="AG33" s="67"/>
      <c r="AH33" s="67"/>
      <c r="AI33" s="67"/>
      <c r="AJ33" s="67"/>
      <c r="AK33" s="67"/>
      <c r="AL33" s="67"/>
      <c r="AM33" s="67"/>
      <c r="AN33" s="67"/>
      <c r="AO33" s="67"/>
      <c r="AP33" s="67"/>
      <c r="AQ33" s="67"/>
      <c r="AR33" s="67"/>
      <c r="AS33" s="67"/>
      <c r="AT33" s="67"/>
    </row>
    <row r="34" spans="1:46" ht="84" hidden="1" x14ac:dyDescent="0.2">
      <c r="A34" s="67"/>
      <c r="B34" s="96"/>
      <c r="C3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4" s="20" t="str">
        <f ca="1">IFERROR(__xludf.DUMMYFUNCTION("""COMPUTED_VALUE"""),"МинЖКХ")</f>
        <v>МинЖКХ</v>
      </c>
      <c r="E34" s="20" t="str">
        <f ca="1">IFERROR(__xludf.DUMMYFUNCTION("""COMPUTED_VALUE"""),"Строительство ВЗУ ""Верея Ск №1"" п. Верея (Верейское с/п), ул. Почтовая, д. 7 Орехово-Зуевский г.о. ")</f>
        <v xml:space="preserve">Строительство ВЗУ "Верея Ск №1" п. Верея (Верейское с/п), ул. Почтовая, д. 7 Орехово-Зуевский г.о. </v>
      </c>
      <c r="F34" s="67" t="str">
        <f ca="1">IFERROR(__xludf.DUMMYFUNCTION("""COMPUTED_VALUE"""),"СМР")</f>
        <v>СМР</v>
      </c>
      <c r="G34" s="67" t="str">
        <f ca="1">IFERROR(__xludf.DUMMYFUNCTION("""COMPUTED_VALUE"""),"г.о. Орехово-Зуево")</f>
        <v>г.о. Орехово-Зуево</v>
      </c>
      <c r="H34" s="67">
        <f ca="1">IFERROR(__xludf.DUMMYFUNCTION("""COMPUTED_VALUE"""),2022)</f>
        <v>2022</v>
      </c>
      <c r="I34" s="67" t="str">
        <f ca="1">IFERROR(__xludf.DUMMYFUNCTION("""COMPUTED_VALUE"""),"10 1 G552430
")</f>
        <v xml:space="preserve">10 1 G552430
</v>
      </c>
      <c r="J34" s="67">
        <f ca="1">IFERROR(__xludf.DUMMYFUNCTION("""COMPUTED_VALUE"""),522)</f>
        <v>522</v>
      </c>
      <c r="K34" s="97">
        <f t="shared" ca="1" si="1"/>
        <v>0</v>
      </c>
      <c r="L34" s="97">
        <f ca="1">IFERROR(__xludf.DUMMYFUNCTION("""COMPUTED_VALUE"""),0)</f>
        <v>0</v>
      </c>
      <c r="M34" s="97">
        <f ca="1">IFERROR(__xludf.DUMMYFUNCTION("""COMPUTED_VALUE"""),0)</f>
        <v>0</v>
      </c>
      <c r="N34" s="67"/>
      <c r="O34" s="97">
        <f ca="1">IFERROR(__xludf.DUMMYFUNCTION("""COMPUTED_VALUE"""),0)</f>
        <v>0</v>
      </c>
      <c r="P34" s="97">
        <f t="shared" ca="1" si="2"/>
        <v>0</v>
      </c>
      <c r="Q34" s="67"/>
      <c r="R34" s="67"/>
      <c r="S34" s="97">
        <f ca="1">IFERROR(__xludf.DUMMYFUNCTION("""COMPUTED_VALUE"""),0)</f>
        <v>0</v>
      </c>
      <c r="T34" s="97">
        <f ca="1">IFERROR(__xludf.DUMMYFUNCTION("""COMPUTED_VALUE"""),0)</f>
        <v>0</v>
      </c>
      <c r="U34" s="97">
        <f ca="1">IFERROR(__xludf.DUMMYFUNCTION("""COMPUTED_VALUE"""),0)</f>
        <v>0</v>
      </c>
      <c r="V34" s="97">
        <f ca="1">IFERROR(__xludf.DUMMYFUNCTION("""COMPUTED_VALUE"""),0)</f>
        <v>0</v>
      </c>
      <c r="W34" s="97">
        <f ca="1">IFERROR(__xludf.DUMMYFUNCTION("""COMPUTED_VALUE"""),0)</f>
        <v>0</v>
      </c>
      <c r="X34" s="97">
        <f ca="1">IFERROR(__xludf.DUMMYFUNCTION("""COMPUTED_VALUE"""),0)</f>
        <v>0</v>
      </c>
      <c r="Y34" s="97">
        <f t="shared" ca="1" si="3"/>
        <v>0</v>
      </c>
      <c r="Z34" s="67">
        <f t="shared" si="4"/>
        <v>0</v>
      </c>
      <c r="AA34" s="67"/>
      <c r="AB34" s="67"/>
      <c r="AC34" s="67"/>
      <c r="AD34" s="99" t="e">
        <f t="shared" ca="1" si="5"/>
        <v>#DIV/0!</v>
      </c>
      <c r="AE34" s="67"/>
      <c r="AF34" s="67"/>
      <c r="AG34" s="67"/>
      <c r="AH34" s="67"/>
      <c r="AI34" s="67"/>
      <c r="AJ34" s="67"/>
      <c r="AK34" s="67"/>
      <c r="AL34" s="67"/>
      <c r="AM34" s="67"/>
      <c r="AN34" s="67"/>
      <c r="AO34" s="67"/>
      <c r="AP34" s="67"/>
      <c r="AQ34" s="67"/>
      <c r="AR34" s="67"/>
      <c r="AS34" s="67"/>
      <c r="AT34" s="67"/>
    </row>
    <row r="35" spans="1:46" ht="84" hidden="1" x14ac:dyDescent="0.2">
      <c r="A35" s="67"/>
      <c r="B35" s="96"/>
      <c r="C3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5" s="20" t="str">
        <f ca="1">IFERROR(__xludf.DUMMYFUNCTION("""COMPUTED_VALUE"""),"МинЖКХ")</f>
        <v>МинЖКХ</v>
      </c>
      <c r="E35" s="20" t="str">
        <f ca="1">IFERROR(__xludf.DUMMYFUNCTION("""COMPUTED_VALUE"""),"Реконструкция ВЗУ ""Кировский"" г. Орехово-Зуево, ул. Кирова,  Орехово-Зуевский г.о. ")</f>
        <v xml:space="preserve">Реконструкция ВЗУ "Кировский" г. Орехово-Зуево, ул. Кирова,  Орехово-Зуевский г.о. </v>
      </c>
      <c r="F35" s="67" t="str">
        <f ca="1">IFERROR(__xludf.DUMMYFUNCTION("""COMPUTED_VALUE"""),"СМР")</f>
        <v>СМР</v>
      </c>
      <c r="G35" s="67" t="str">
        <f ca="1">IFERROR(__xludf.DUMMYFUNCTION("""COMPUTED_VALUE"""),"г.о. Орехово-Зуево")</f>
        <v>г.о. Орехово-Зуево</v>
      </c>
      <c r="H35" s="67">
        <f ca="1">IFERROR(__xludf.DUMMYFUNCTION("""COMPUTED_VALUE"""),2022)</f>
        <v>2022</v>
      </c>
      <c r="I35" s="67" t="str">
        <f ca="1">IFERROR(__xludf.DUMMYFUNCTION("""COMPUTED_VALUE"""),"10 1 G552430
")</f>
        <v xml:space="preserve">10 1 G552430
</v>
      </c>
      <c r="J35" s="67">
        <f ca="1">IFERROR(__xludf.DUMMYFUNCTION("""COMPUTED_VALUE"""),522)</f>
        <v>522</v>
      </c>
      <c r="K35" s="97">
        <f t="shared" ca="1" si="1"/>
        <v>0</v>
      </c>
      <c r="L35" s="97">
        <f ca="1">IFERROR(__xludf.DUMMYFUNCTION("""COMPUTED_VALUE"""),0)</f>
        <v>0</v>
      </c>
      <c r="M35" s="97">
        <f ca="1">IFERROR(__xludf.DUMMYFUNCTION("""COMPUTED_VALUE"""),0)</f>
        <v>0</v>
      </c>
      <c r="N35" s="67"/>
      <c r="O35" s="97">
        <f ca="1">IFERROR(__xludf.DUMMYFUNCTION("""COMPUTED_VALUE"""),0)</f>
        <v>0</v>
      </c>
      <c r="P35" s="97">
        <f t="shared" ca="1" si="2"/>
        <v>0</v>
      </c>
      <c r="Q35" s="67"/>
      <c r="R35" s="67"/>
      <c r="S35" s="97">
        <f ca="1">IFERROR(__xludf.DUMMYFUNCTION("""COMPUTED_VALUE"""),0)</f>
        <v>0</v>
      </c>
      <c r="T35" s="97">
        <f ca="1">IFERROR(__xludf.DUMMYFUNCTION("""COMPUTED_VALUE"""),0)</f>
        <v>0</v>
      </c>
      <c r="U35" s="97">
        <f ca="1">IFERROR(__xludf.DUMMYFUNCTION("""COMPUTED_VALUE"""),0)</f>
        <v>0</v>
      </c>
      <c r="V35" s="97">
        <f ca="1">IFERROR(__xludf.DUMMYFUNCTION("""COMPUTED_VALUE"""),0)</f>
        <v>0</v>
      </c>
      <c r="W35" s="97">
        <f ca="1">IFERROR(__xludf.DUMMYFUNCTION("""COMPUTED_VALUE"""),0)</f>
        <v>0</v>
      </c>
      <c r="X35" s="97">
        <f ca="1">IFERROR(__xludf.DUMMYFUNCTION("""COMPUTED_VALUE"""),0)</f>
        <v>0</v>
      </c>
      <c r="Y35" s="97">
        <f t="shared" ca="1" si="3"/>
        <v>0</v>
      </c>
      <c r="Z35" s="67">
        <f t="shared" si="4"/>
        <v>0</v>
      </c>
      <c r="AA35" s="67"/>
      <c r="AB35" s="67"/>
      <c r="AC35" s="67"/>
      <c r="AD35" s="99" t="e">
        <f t="shared" ca="1" si="5"/>
        <v>#DIV/0!</v>
      </c>
      <c r="AE35" s="67"/>
      <c r="AF35" s="67"/>
      <c r="AG35" s="67"/>
      <c r="AH35" s="67"/>
      <c r="AI35" s="67"/>
      <c r="AJ35" s="67"/>
      <c r="AK35" s="67"/>
      <c r="AL35" s="67"/>
      <c r="AM35" s="67"/>
      <c r="AN35" s="67"/>
      <c r="AO35" s="67"/>
      <c r="AP35" s="67"/>
      <c r="AQ35" s="67"/>
      <c r="AR35" s="67"/>
      <c r="AS35" s="67"/>
      <c r="AT35" s="67"/>
    </row>
    <row r="36" spans="1:46" ht="84" hidden="1" x14ac:dyDescent="0.2">
      <c r="A36" s="67"/>
      <c r="B36" s="96"/>
      <c r="C3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6" s="20" t="str">
        <f ca="1">IFERROR(__xludf.DUMMYFUNCTION("""COMPUTED_VALUE"""),"МинЖКХ")</f>
        <v>МинЖКХ</v>
      </c>
      <c r="E36" s="20" t="str">
        <f ca="1">IFERROR(__xludf.DUMMYFUNCTION("""COMPUTED_VALUE"""),"Реконструкция ВЗУ ""Стрелки"" г. Орехово-Зуево, проезд. Сосновый, Орехово-Зуевский  г.о.")</f>
        <v>Реконструкция ВЗУ "Стрелки" г. Орехово-Зуево, проезд. Сосновый, Орехово-Зуевский  г.о.</v>
      </c>
      <c r="F36" s="67" t="str">
        <f ca="1">IFERROR(__xludf.DUMMYFUNCTION("""COMPUTED_VALUE"""),"СМР")</f>
        <v>СМР</v>
      </c>
      <c r="G36" s="67" t="str">
        <f ca="1">IFERROR(__xludf.DUMMYFUNCTION("""COMPUTED_VALUE"""),"г.о. Орехово-Зуево")</f>
        <v>г.о. Орехово-Зуево</v>
      </c>
      <c r="H36" s="67">
        <f ca="1">IFERROR(__xludf.DUMMYFUNCTION("""COMPUTED_VALUE"""),2022)</f>
        <v>2022</v>
      </c>
      <c r="I36" s="67" t="str">
        <f ca="1">IFERROR(__xludf.DUMMYFUNCTION("""COMPUTED_VALUE"""),"10 1 G552430
")</f>
        <v xml:space="preserve">10 1 G552430
</v>
      </c>
      <c r="J36" s="67">
        <f ca="1">IFERROR(__xludf.DUMMYFUNCTION("""COMPUTED_VALUE"""),522)</f>
        <v>522</v>
      </c>
      <c r="K36" s="97">
        <f t="shared" ca="1" si="1"/>
        <v>0</v>
      </c>
      <c r="L36" s="97">
        <f ca="1">IFERROR(__xludf.DUMMYFUNCTION("""COMPUTED_VALUE"""),0)</f>
        <v>0</v>
      </c>
      <c r="M36" s="97">
        <f ca="1">IFERROR(__xludf.DUMMYFUNCTION("""COMPUTED_VALUE"""),0)</f>
        <v>0</v>
      </c>
      <c r="N36" s="67"/>
      <c r="O36" s="97">
        <f ca="1">IFERROR(__xludf.DUMMYFUNCTION("""COMPUTED_VALUE"""),0)</f>
        <v>0</v>
      </c>
      <c r="P36" s="97">
        <f t="shared" ca="1" si="2"/>
        <v>0</v>
      </c>
      <c r="Q36" s="67"/>
      <c r="R36" s="67"/>
      <c r="S36" s="97">
        <f ca="1">IFERROR(__xludf.DUMMYFUNCTION("""COMPUTED_VALUE"""),0)</f>
        <v>0</v>
      </c>
      <c r="T36" s="97">
        <f ca="1">IFERROR(__xludf.DUMMYFUNCTION("""COMPUTED_VALUE"""),0)</f>
        <v>0</v>
      </c>
      <c r="U36" s="97">
        <f ca="1">IFERROR(__xludf.DUMMYFUNCTION("""COMPUTED_VALUE"""),0)</f>
        <v>0</v>
      </c>
      <c r="V36" s="97">
        <f ca="1">IFERROR(__xludf.DUMMYFUNCTION("""COMPUTED_VALUE"""),0)</f>
        <v>0</v>
      </c>
      <c r="W36" s="97">
        <f ca="1">IFERROR(__xludf.DUMMYFUNCTION("""COMPUTED_VALUE"""),0)</f>
        <v>0</v>
      </c>
      <c r="X36" s="97">
        <f ca="1">IFERROR(__xludf.DUMMYFUNCTION("""COMPUTED_VALUE"""),0)</f>
        <v>0</v>
      </c>
      <c r="Y36" s="97">
        <f t="shared" ca="1" si="3"/>
        <v>0</v>
      </c>
      <c r="Z36" s="67">
        <f t="shared" si="4"/>
        <v>0</v>
      </c>
      <c r="AA36" s="67"/>
      <c r="AB36" s="67"/>
      <c r="AC36" s="67"/>
      <c r="AD36" s="99" t="e">
        <f t="shared" ca="1" si="5"/>
        <v>#DIV/0!</v>
      </c>
      <c r="AE36" s="67"/>
      <c r="AF36" s="67"/>
      <c r="AG36" s="67"/>
      <c r="AH36" s="67"/>
      <c r="AI36" s="67"/>
      <c r="AJ36" s="67"/>
      <c r="AK36" s="67"/>
      <c r="AL36" s="67"/>
      <c r="AM36" s="67"/>
      <c r="AN36" s="67"/>
      <c r="AO36" s="67"/>
      <c r="AP36" s="67"/>
      <c r="AQ36" s="67"/>
      <c r="AR36" s="67"/>
      <c r="AS36" s="67"/>
      <c r="AT36" s="67"/>
    </row>
    <row r="37" spans="1:46" ht="84" hidden="1" x14ac:dyDescent="0.2">
      <c r="A37" s="67"/>
      <c r="B37" s="96"/>
      <c r="C3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7" s="20" t="str">
        <f ca="1">IFERROR(__xludf.DUMMYFUNCTION("""COMPUTED_VALUE"""),"МинЖКХ")</f>
        <v>МинЖКХ</v>
      </c>
      <c r="E37" s="20" t="str">
        <f ca="1">IFERROR(__xludf.DUMMYFUNCTION("""COMPUTED_VALUE"""),"Реконструкция водопровода от ВЗУ ""Новая стройка"" до городского парка с переходом по железной дорогой, L=750 м  Орехово-Зуевский г.о.  ")</f>
        <v xml:space="preserve">Реконструкция водопровода от ВЗУ "Новая стройка" до городского парка с переходом по железной дорогой, L=750 м  Орехово-Зуевский г.о.  </v>
      </c>
      <c r="F37" s="67" t="str">
        <f ca="1">IFERROR(__xludf.DUMMYFUNCTION("""COMPUTED_VALUE"""),"СМР")</f>
        <v>СМР</v>
      </c>
      <c r="G37" s="67" t="str">
        <f ca="1">IFERROR(__xludf.DUMMYFUNCTION("""COMPUTED_VALUE"""),"г.о. Орехово-Зуево")</f>
        <v>г.о. Орехово-Зуево</v>
      </c>
      <c r="H37" s="67">
        <f ca="1">IFERROR(__xludf.DUMMYFUNCTION("""COMPUTED_VALUE"""),2023)</f>
        <v>2023</v>
      </c>
      <c r="I37" s="67" t="str">
        <f ca="1">IFERROR(__xludf.DUMMYFUNCTION("""COMPUTED_VALUE"""),"10 1 G552430
")</f>
        <v xml:space="preserve">10 1 G552430
</v>
      </c>
      <c r="J37" s="67">
        <f ca="1">IFERROR(__xludf.DUMMYFUNCTION("""COMPUTED_VALUE"""),522)</f>
        <v>522</v>
      </c>
      <c r="K37" s="97">
        <f t="shared" ca="1" si="1"/>
        <v>0</v>
      </c>
      <c r="L37" s="97">
        <f ca="1">IFERROR(__xludf.DUMMYFUNCTION("""COMPUTED_VALUE"""),0)</f>
        <v>0</v>
      </c>
      <c r="M37" s="97">
        <f ca="1">IFERROR(__xludf.DUMMYFUNCTION("""COMPUTED_VALUE"""),0)</f>
        <v>0</v>
      </c>
      <c r="N37" s="67"/>
      <c r="O37" s="97">
        <f ca="1">IFERROR(__xludf.DUMMYFUNCTION("""COMPUTED_VALUE"""),0)</f>
        <v>0</v>
      </c>
      <c r="P37" s="97">
        <f t="shared" ca="1" si="2"/>
        <v>0</v>
      </c>
      <c r="Q37" s="67"/>
      <c r="R37" s="67"/>
      <c r="S37" s="97">
        <f ca="1">IFERROR(__xludf.DUMMYFUNCTION("""COMPUTED_VALUE"""),0)</f>
        <v>0</v>
      </c>
      <c r="T37" s="97">
        <f ca="1">IFERROR(__xludf.DUMMYFUNCTION("""COMPUTED_VALUE"""),0)</f>
        <v>0</v>
      </c>
      <c r="U37" s="97">
        <f ca="1">IFERROR(__xludf.DUMMYFUNCTION("""COMPUTED_VALUE"""),0)</f>
        <v>0</v>
      </c>
      <c r="V37" s="97">
        <f ca="1">IFERROR(__xludf.DUMMYFUNCTION("""COMPUTED_VALUE"""),0)</f>
        <v>0</v>
      </c>
      <c r="W37" s="97">
        <f ca="1">IFERROR(__xludf.DUMMYFUNCTION("""COMPUTED_VALUE"""),0)</f>
        <v>0</v>
      </c>
      <c r="X37" s="97">
        <f ca="1">IFERROR(__xludf.DUMMYFUNCTION("""COMPUTED_VALUE"""),0)</f>
        <v>0</v>
      </c>
      <c r="Y37" s="97">
        <f t="shared" ca="1" si="3"/>
        <v>0</v>
      </c>
      <c r="Z37" s="67">
        <f t="shared" si="4"/>
        <v>0</v>
      </c>
      <c r="AA37" s="67"/>
      <c r="AB37" s="67"/>
      <c r="AC37" s="67"/>
      <c r="AD37" s="99" t="e">
        <f t="shared" ca="1" si="5"/>
        <v>#DIV/0!</v>
      </c>
      <c r="AE37" s="67"/>
      <c r="AF37" s="67"/>
      <c r="AG37" s="67"/>
      <c r="AH37" s="67"/>
      <c r="AI37" s="67"/>
      <c r="AJ37" s="67"/>
      <c r="AK37" s="67"/>
      <c r="AL37" s="67"/>
      <c r="AM37" s="67"/>
      <c r="AN37" s="67"/>
      <c r="AO37" s="67"/>
      <c r="AP37" s="67"/>
      <c r="AQ37" s="67"/>
      <c r="AR37" s="67"/>
      <c r="AS37" s="67"/>
      <c r="AT37" s="67"/>
    </row>
    <row r="38" spans="1:46" ht="84" hidden="1" x14ac:dyDescent="0.2">
      <c r="A38" s="67"/>
      <c r="B38" s="96"/>
      <c r="C3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8" s="20" t="str">
        <f ca="1">IFERROR(__xludf.DUMMYFUNCTION("""COMPUTED_VALUE"""),"МинЖКХ")</f>
        <v>МинЖКХ</v>
      </c>
      <c r="E38" s="20" t="str">
        <f ca="1">IFERROR(__xludf.DUMMYFUNCTION("""COMPUTED_VALUE"""),"Реконструкция водопровода от Водозаборного узла ""Стрелки"" до ДСК, далее до перекрестка Малодубенское шоссе-ул. Северная,  L= 2950 м  Орехово-Зуевский г.о.")</f>
        <v>Реконструкция водопровода от Водозаборного узла "Стрелки" до ДСК, далее до перекрестка Малодубенское шоссе-ул. Северная,  L= 2950 м  Орехово-Зуевский г.о.</v>
      </c>
      <c r="F38" s="67" t="str">
        <f ca="1">IFERROR(__xludf.DUMMYFUNCTION("""COMPUTED_VALUE"""),"СМР")</f>
        <v>СМР</v>
      </c>
      <c r="G38" s="67" t="str">
        <f ca="1">IFERROR(__xludf.DUMMYFUNCTION("""COMPUTED_VALUE"""),"г.о. Орехово-Зуево")</f>
        <v>г.о. Орехово-Зуево</v>
      </c>
      <c r="H38" s="67">
        <f ca="1">IFERROR(__xludf.DUMMYFUNCTION("""COMPUTED_VALUE"""),2023)</f>
        <v>2023</v>
      </c>
      <c r="I38" s="67" t="str">
        <f ca="1">IFERROR(__xludf.DUMMYFUNCTION("""COMPUTED_VALUE"""),"10 1 G552430
")</f>
        <v xml:space="preserve">10 1 G552430
</v>
      </c>
      <c r="J38" s="67">
        <f ca="1">IFERROR(__xludf.DUMMYFUNCTION("""COMPUTED_VALUE"""),522)</f>
        <v>522</v>
      </c>
      <c r="K38" s="97">
        <f t="shared" ca="1" si="1"/>
        <v>0</v>
      </c>
      <c r="L38" s="97">
        <f ca="1">IFERROR(__xludf.DUMMYFUNCTION("""COMPUTED_VALUE"""),0)</f>
        <v>0</v>
      </c>
      <c r="M38" s="97">
        <f ca="1">IFERROR(__xludf.DUMMYFUNCTION("""COMPUTED_VALUE"""),0)</f>
        <v>0</v>
      </c>
      <c r="N38" s="67"/>
      <c r="O38" s="97">
        <f ca="1">IFERROR(__xludf.DUMMYFUNCTION("""COMPUTED_VALUE"""),0)</f>
        <v>0</v>
      </c>
      <c r="P38" s="97">
        <f t="shared" ca="1" si="2"/>
        <v>0</v>
      </c>
      <c r="Q38" s="67"/>
      <c r="R38" s="67"/>
      <c r="S38" s="97">
        <f ca="1">IFERROR(__xludf.DUMMYFUNCTION("""COMPUTED_VALUE"""),0)</f>
        <v>0</v>
      </c>
      <c r="T38" s="97">
        <f ca="1">IFERROR(__xludf.DUMMYFUNCTION("""COMPUTED_VALUE"""),0)</f>
        <v>0</v>
      </c>
      <c r="U38" s="97">
        <f ca="1">IFERROR(__xludf.DUMMYFUNCTION("""COMPUTED_VALUE"""),0)</f>
        <v>0</v>
      </c>
      <c r="V38" s="97">
        <f ca="1">IFERROR(__xludf.DUMMYFUNCTION("""COMPUTED_VALUE"""),0)</f>
        <v>0</v>
      </c>
      <c r="W38" s="97">
        <f ca="1">IFERROR(__xludf.DUMMYFUNCTION("""COMPUTED_VALUE"""),0)</f>
        <v>0</v>
      </c>
      <c r="X38" s="97">
        <f ca="1">IFERROR(__xludf.DUMMYFUNCTION("""COMPUTED_VALUE"""),0)</f>
        <v>0</v>
      </c>
      <c r="Y38" s="97">
        <f t="shared" ca="1" si="3"/>
        <v>0</v>
      </c>
      <c r="Z38" s="67">
        <f t="shared" si="4"/>
        <v>0</v>
      </c>
      <c r="AA38" s="67"/>
      <c r="AB38" s="67"/>
      <c r="AC38" s="67"/>
      <c r="AD38" s="99" t="e">
        <f t="shared" ca="1" si="5"/>
        <v>#DIV/0!</v>
      </c>
      <c r="AE38" s="67"/>
      <c r="AF38" s="67"/>
      <c r="AG38" s="67"/>
      <c r="AH38" s="67"/>
      <c r="AI38" s="67"/>
      <c r="AJ38" s="67"/>
      <c r="AK38" s="67"/>
      <c r="AL38" s="67"/>
      <c r="AM38" s="67"/>
      <c r="AN38" s="67"/>
      <c r="AO38" s="67"/>
      <c r="AP38" s="67"/>
      <c r="AQ38" s="67"/>
      <c r="AR38" s="67"/>
      <c r="AS38" s="67"/>
      <c r="AT38" s="67"/>
    </row>
    <row r="39" spans="1:46" ht="84" hidden="1" x14ac:dyDescent="0.2">
      <c r="A39" s="67"/>
      <c r="B39" s="96"/>
      <c r="C3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9" s="20" t="str">
        <f ca="1">IFERROR(__xludf.DUMMYFUNCTION("""COMPUTED_VALUE"""),"МинЖКХ")</f>
        <v>МинЖКХ</v>
      </c>
      <c r="E39" s="20" t="str">
        <f ca="1">IFERROR(__xludf.DUMMYFUNCTION("""COMPUTED_VALUE"""),"Реконструкция ВЗУ №4 г.о. Жуковский")</f>
        <v>Реконструкция ВЗУ №4 г.о. Жуковский</v>
      </c>
      <c r="F39" s="67"/>
      <c r="G39" s="67" t="str">
        <f ca="1">IFERROR(__xludf.DUMMYFUNCTION("""COMPUTED_VALUE"""),"г.о. Жуковский")</f>
        <v>г.о. Жуковский</v>
      </c>
      <c r="H39" s="67" t="str">
        <f ca="1">IFERROR(__xludf.DUMMYFUNCTION("""COMPUTED_VALUE"""),"Н/Л")</f>
        <v>Н/Л</v>
      </c>
      <c r="I39" s="67" t="str">
        <f ca="1">IFERROR(__xludf.DUMMYFUNCTION("""COMPUTED_VALUE"""),"10 1 G552430
")</f>
        <v xml:space="preserve">10 1 G552430
</v>
      </c>
      <c r="J39" s="67">
        <f ca="1">IFERROR(__xludf.DUMMYFUNCTION("""COMPUTED_VALUE"""),522)</f>
        <v>522</v>
      </c>
      <c r="K39" s="97">
        <f t="shared" ca="1" si="1"/>
        <v>0</v>
      </c>
      <c r="L39" s="97">
        <f ca="1">IFERROR(__xludf.DUMMYFUNCTION("""COMPUTED_VALUE"""),0)</f>
        <v>0</v>
      </c>
      <c r="M39" s="97">
        <f ca="1">IFERROR(__xludf.DUMMYFUNCTION("""COMPUTED_VALUE"""),0)</f>
        <v>0</v>
      </c>
      <c r="N39" s="67"/>
      <c r="O39" s="97">
        <f ca="1">IFERROR(__xludf.DUMMYFUNCTION("""COMPUTED_VALUE"""),0)</f>
        <v>0</v>
      </c>
      <c r="P39" s="97">
        <f t="shared" ca="1" si="2"/>
        <v>0</v>
      </c>
      <c r="Q39" s="67"/>
      <c r="R39" s="67"/>
      <c r="S39" s="97">
        <f ca="1">IFERROR(__xludf.DUMMYFUNCTION("""COMPUTED_VALUE"""),0)</f>
        <v>0</v>
      </c>
      <c r="T39" s="97">
        <f ca="1">IFERROR(__xludf.DUMMYFUNCTION("""COMPUTED_VALUE"""),0)</f>
        <v>0</v>
      </c>
      <c r="U39" s="97">
        <f ca="1">IFERROR(__xludf.DUMMYFUNCTION("""COMPUTED_VALUE"""),0)</f>
        <v>0</v>
      </c>
      <c r="V39" s="97">
        <f ca="1">IFERROR(__xludf.DUMMYFUNCTION("""COMPUTED_VALUE"""),0)</f>
        <v>0</v>
      </c>
      <c r="W39" s="97">
        <f ca="1">IFERROR(__xludf.DUMMYFUNCTION("""COMPUTED_VALUE"""),0)</f>
        <v>0</v>
      </c>
      <c r="X39" s="97">
        <f ca="1">IFERROR(__xludf.DUMMYFUNCTION("""COMPUTED_VALUE"""),0)</f>
        <v>0</v>
      </c>
      <c r="Y39" s="97">
        <f t="shared" ca="1" si="3"/>
        <v>0</v>
      </c>
      <c r="Z39" s="67">
        <f t="shared" si="4"/>
        <v>0</v>
      </c>
      <c r="AA39" s="67"/>
      <c r="AB39" s="67"/>
      <c r="AC39" s="67"/>
      <c r="AD39" s="99" t="e">
        <f t="shared" ca="1" si="5"/>
        <v>#DIV/0!</v>
      </c>
      <c r="AE39" s="67"/>
      <c r="AF39" s="67"/>
      <c r="AG39" s="67"/>
      <c r="AH39" s="67"/>
      <c r="AI39" s="67"/>
      <c r="AJ39" s="67"/>
      <c r="AK39" s="67"/>
      <c r="AL39" s="67"/>
      <c r="AM39" s="67"/>
      <c r="AN39" s="67"/>
      <c r="AO39" s="67"/>
      <c r="AP39" s="67"/>
      <c r="AQ39" s="67"/>
      <c r="AR39" s="67"/>
      <c r="AS39" s="67"/>
      <c r="AT39" s="67"/>
    </row>
    <row r="40" spans="1:46" ht="84" hidden="1" x14ac:dyDescent="0.2">
      <c r="A40" s="67"/>
      <c r="B40" s="96"/>
      <c r="C4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0" s="20" t="str">
        <f ca="1">IFERROR(__xludf.DUMMYFUNCTION("""COMPUTED_VALUE"""),"МинЖКХ")</f>
        <v>МинЖКХ</v>
      </c>
      <c r="E40" s="20" t="str">
        <f ca="1">IFERROR(__xludf.DUMMYFUNCTION("""COMPUTED_VALUE"""),"Реконструкция ВЗУ №1 г.о. Жуковский")</f>
        <v>Реконструкция ВЗУ №1 г.о. Жуковский</v>
      </c>
      <c r="F40" s="67" t="str">
        <f ca="1">IFERROR(__xludf.DUMMYFUNCTION("""COMPUTED_VALUE"""),"СМР")</f>
        <v>СМР</v>
      </c>
      <c r="G40" s="67" t="str">
        <f ca="1">IFERROR(__xludf.DUMMYFUNCTION("""COMPUTED_VALUE"""),"г.о. Жуковский")</f>
        <v>г.о. Жуковский</v>
      </c>
      <c r="H40" s="67">
        <f ca="1">IFERROR(__xludf.DUMMYFUNCTION("""COMPUTED_VALUE"""),2022)</f>
        <v>2022</v>
      </c>
      <c r="I40" s="67" t="str">
        <f ca="1">IFERROR(__xludf.DUMMYFUNCTION("""COMPUTED_VALUE"""),"10 1 G552430
")</f>
        <v xml:space="preserve">10 1 G552430
</v>
      </c>
      <c r="J40" s="67">
        <f ca="1">IFERROR(__xludf.DUMMYFUNCTION("""COMPUTED_VALUE"""),522)</f>
        <v>522</v>
      </c>
      <c r="K40" s="97">
        <f t="shared" ca="1" si="1"/>
        <v>0</v>
      </c>
      <c r="L40" s="97">
        <f ca="1">IFERROR(__xludf.DUMMYFUNCTION("""COMPUTED_VALUE"""),0)</f>
        <v>0</v>
      </c>
      <c r="M40" s="97">
        <f ca="1">IFERROR(__xludf.DUMMYFUNCTION("""COMPUTED_VALUE"""),0)</f>
        <v>0</v>
      </c>
      <c r="N40" s="67"/>
      <c r="O40" s="97">
        <f ca="1">IFERROR(__xludf.DUMMYFUNCTION("""COMPUTED_VALUE"""),0)</f>
        <v>0</v>
      </c>
      <c r="P40" s="97">
        <f t="shared" ca="1" si="2"/>
        <v>0</v>
      </c>
      <c r="Q40" s="67"/>
      <c r="R40" s="67"/>
      <c r="S40" s="97">
        <f ca="1">IFERROR(__xludf.DUMMYFUNCTION("""COMPUTED_VALUE"""),0)</f>
        <v>0</v>
      </c>
      <c r="T40" s="97">
        <f ca="1">IFERROR(__xludf.DUMMYFUNCTION("""COMPUTED_VALUE"""),0)</f>
        <v>0</v>
      </c>
      <c r="U40" s="97">
        <f ca="1">IFERROR(__xludf.DUMMYFUNCTION("""COMPUTED_VALUE"""),0)</f>
        <v>0</v>
      </c>
      <c r="V40" s="97">
        <f ca="1">IFERROR(__xludf.DUMMYFUNCTION("""COMPUTED_VALUE"""),0)</f>
        <v>0</v>
      </c>
      <c r="W40" s="97">
        <f ca="1">IFERROR(__xludf.DUMMYFUNCTION("""COMPUTED_VALUE"""),0)</f>
        <v>0</v>
      </c>
      <c r="X40" s="97">
        <f ca="1">IFERROR(__xludf.DUMMYFUNCTION("""COMPUTED_VALUE"""),0)</f>
        <v>0</v>
      </c>
      <c r="Y40" s="97">
        <f t="shared" ca="1" si="3"/>
        <v>0</v>
      </c>
      <c r="Z40" s="67">
        <f t="shared" si="4"/>
        <v>0</v>
      </c>
      <c r="AA40" s="67"/>
      <c r="AB40" s="67"/>
      <c r="AC40" s="67"/>
      <c r="AD40" s="99" t="e">
        <f t="shared" ca="1" si="5"/>
        <v>#DIV/0!</v>
      </c>
      <c r="AE40" s="67"/>
      <c r="AF40" s="67"/>
      <c r="AG40" s="67"/>
      <c r="AH40" s="67"/>
      <c r="AI40" s="67"/>
      <c r="AJ40" s="67"/>
      <c r="AK40" s="67"/>
      <c r="AL40" s="67"/>
      <c r="AM40" s="67"/>
      <c r="AN40" s="67"/>
      <c r="AO40" s="67"/>
      <c r="AP40" s="67"/>
      <c r="AQ40" s="67"/>
      <c r="AR40" s="67"/>
      <c r="AS40" s="67"/>
      <c r="AT40" s="67"/>
    </row>
    <row r="41" spans="1:46" ht="84" hidden="1" x14ac:dyDescent="0.2">
      <c r="A41" s="67"/>
      <c r="B41" s="96"/>
      <c r="C4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1" s="20" t="str">
        <f ca="1">IFERROR(__xludf.DUMMYFUNCTION("""COMPUTED_VALUE"""),"МинЖКХ")</f>
        <v>МинЖКХ</v>
      </c>
      <c r="E41" s="20" t="str">
        <f ca="1">IFERROR(__xludf.DUMMYFUNCTION("""COMPUTED_VALUE"""),"Реконструкция ВЗУ №2 г.о. Жуковский")</f>
        <v>Реконструкция ВЗУ №2 г.о. Жуковский</v>
      </c>
      <c r="F41" s="67"/>
      <c r="G41" s="67" t="str">
        <f ca="1">IFERROR(__xludf.DUMMYFUNCTION("""COMPUTED_VALUE"""),"г.о. Жуковский")</f>
        <v>г.о. Жуковский</v>
      </c>
      <c r="H41" s="67" t="str">
        <f ca="1">IFERROR(__xludf.DUMMYFUNCTION("""COMPUTED_VALUE"""),"Н/Л")</f>
        <v>Н/Л</v>
      </c>
      <c r="I41" s="67" t="str">
        <f ca="1">IFERROR(__xludf.DUMMYFUNCTION("""COMPUTED_VALUE"""),"10 1 G552430
")</f>
        <v xml:space="preserve">10 1 G552430
</v>
      </c>
      <c r="J41" s="67">
        <f ca="1">IFERROR(__xludf.DUMMYFUNCTION("""COMPUTED_VALUE"""),522)</f>
        <v>522</v>
      </c>
      <c r="K41" s="97">
        <f t="shared" ca="1" si="1"/>
        <v>0</v>
      </c>
      <c r="L41" s="97">
        <f ca="1">IFERROR(__xludf.DUMMYFUNCTION("""COMPUTED_VALUE"""),0)</f>
        <v>0</v>
      </c>
      <c r="M41" s="97">
        <f ca="1">IFERROR(__xludf.DUMMYFUNCTION("""COMPUTED_VALUE"""),0)</f>
        <v>0</v>
      </c>
      <c r="N41" s="67"/>
      <c r="O41" s="97">
        <f ca="1">IFERROR(__xludf.DUMMYFUNCTION("""COMPUTED_VALUE"""),0)</f>
        <v>0</v>
      </c>
      <c r="P41" s="97">
        <f t="shared" ca="1" si="2"/>
        <v>0</v>
      </c>
      <c r="Q41" s="67"/>
      <c r="R41" s="67"/>
      <c r="S41" s="97">
        <f ca="1">IFERROR(__xludf.DUMMYFUNCTION("""COMPUTED_VALUE"""),0)</f>
        <v>0</v>
      </c>
      <c r="T41" s="97">
        <f ca="1">IFERROR(__xludf.DUMMYFUNCTION("""COMPUTED_VALUE"""),0)</f>
        <v>0</v>
      </c>
      <c r="U41" s="97">
        <f ca="1">IFERROR(__xludf.DUMMYFUNCTION("""COMPUTED_VALUE"""),0)</f>
        <v>0</v>
      </c>
      <c r="V41" s="97">
        <f ca="1">IFERROR(__xludf.DUMMYFUNCTION("""COMPUTED_VALUE"""),0)</f>
        <v>0</v>
      </c>
      <c r="W41" s="97">
        <f ca="1">IFERROR(__xludf.DUMMYFUNCTION("""COMPUTED_VALUE"""),0)</f>
        <v>0</v>
      </c>
      <c r="X41" s="97">
        <f ca="1">IFERROR(__xludf.DUMMYFUNCTION("""COMPUTED_VALUE"""),0)</f>
        <v>0</v>
      </c>
      <c r="Y41" s="97">
        <f t="shared" ca="1" si="3"/>
        <v>0</v>
      </c>
      <c r="Z41" s="67">
        <f t="shared" si="4"/>
        <v>0</v>
      </c>
      <c r="AA41" s="67"/>
      <c r="AB41" s="67"/>
      <c r="AC41" s="67"/>
      <c r="AD41" s="99" t="e">
        <f t="shared" ca="1" si="5"/>
        <v>#DIV/0!</v>
      </c>
      <c r="AE41" s="67"/>
      <c r="AF41" s="67"/>
      <c r="AG41" s="67"/>
      <c r="AH41" s="67"/>
      <c r="AI41" s="67"/>
      <c r="AJ41" s="67"/>
      <c r="AK41" s="67"/>
      <c r="AL41" s="67"/>
      <c r="AM41" s="67"/>
      <c r="AN41" s="67"/>
      <c r="AO41" s="67"/>
      <c r="AP41" s="67"/>
      <c r="AQ41" s="67"/>
      <c r="AR41" s="67"/>
      <c r="AS41" s="67"/>
      <c r="AT41" s="67"/>
    </row>
    <row r="42" spans="1:46" ht="84" hidden="1" x14ac:dyDescent="0.2">
      <c r="A42" s="67"/>
      <c r="B42" s="96"/>
      <c r="C4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2" s="20" t="str">
        <f ca="1">IFERROR(__xludf.DUMMYFUNCTION("""COMPUTED_VALUE"""),"МинЖКХ")</f>
        <v>МинЖКХ</v>
      </c>
      <c r="E42" s="20" t="str">
        <f ca="1">IFERROR(__xludf.DUMMYFUNCTION("""COMPUTED_VALUE"""),"Реконструкция ВЗУ № 1 г. Пушкино Пушкинский г.о. ")</f>
        <v xml:space="preserve">Реконструкция ВЗУ № 1 г. Пушкино Пушкинский г.о. </v>
      </c>
      <c r="F42" s="67" t="str">
        <f ca="1">IFERROR(__xludf.DUMMYFUNCTION("""COMPUTED_VALUE"""),"СМР")</f>
        <v>СМР</v>
      </c>
      <c r="G42" s="67" t="str">
        <f ca="1">IFERROR(__xludf.DUMMYFUNCTION("""COMPUTED_VALUE"""),"г.о. Пушкинский")</f>
        <v>г.о. Пушкинский</v>
      </c>
      <c r="H42" s="67">
        <f ca="1">IFERROR(__xludf.DUMMYFUNCTION("""COMPUTED_VALUE"""),2023)</f>
        <v>2023</v>
      </c>
      <c r="I42" s="67" t="str">
        <f ca="1">IFERROR(__xludf.DUMMYFUNCTION("""COMPUTED_VALUE"""),"10 1 G552430
")</f>
        <v xml:space="preserve">10 1 G552430
</v>
      </c>
      <c r="J42" s="67">
        <f ca="1">IFERROR(__xludf.DUMMYFUNCTION("""COMPUTED_VALUE"""),522)</f>
        <v>522</v>
      </c>
      <c r="K42" s="97">
        <f t="shared" ca="1" si="1"/>
        <v>0</v>
      </c>
      <c r="L42" s="97">
        <f ca="1">IFERROR(__xludf.DUMMYFUNCTION("""COMPUTED_VALUE"""),0)</f>
        <v>0</v>
      </c>
      <c r="M42" s="97">
        <f ca="1">IFERROR(__xludf.DUMMYFUNCTION("""COMPUTED_VALUE"""),0)</f>
        <v>0</v>
      </c>
      <c r="N42" s="67"/>
      <c r="O42" s="97">
        <f ca="1">IFERROR(__xludf.DUMMYFUNCTION("""COMPUTED_VALUE"""),0)</f>
        <v>0</v>
      </c>
      <c r="P42" s="97">
        <f t="shared" ca="1" si="2"/>
        <v>0</v>
      </c>
      <c r="Q42" s="67"/>
      <c r="R42" s="67"/>
      <c r="S42" s="97">
        <f ca="1">IFERROR(__xludf.DUMMYFUNCTION("""COMPUTED_VALUE"""),0)</f>
        <v>0</v>
      </c>
      <c r="T42" s="97">
        <f ca="1">IFERROR(__xludf.DUMMYFUNCTION("""COMPUTED_VALUE"""),0)</f>
        <v>0</v>
      </c>
      <c r="U42" s="97">
        <f ca="1">IFERROR(__xludf.DUMMYFUNCTION("""COMPUTED_VALUE"""),0)</f>
        <v>0</v>
      </c>
      <c r="V42" s="97">
        <f ca="1">IFERROR(__xludf.DUMMYFUNCTION("""COMPUTED_VALUE"""),0)</f>
        <v>0</v>
      </c>
      <c r="W42" s="97">
        <f ca="1">IFERROR(__xludf.DUMMYFUNCTION("""COMPUTED_VALUE"""),0)</f>
        <v>0</v>
      </c>
      <c r="X42" s="97">
        <f ca="1">IFERROR(__xludf.DUMMYFUNCTION("""COMPUTED_VALUE"""),0)</f>
        <v>0</v>
      </c>
      <c r="Y42" s="97">
        <f t="shared" ca="1" si="3"/>
        <v>0</v>
      </c>
      <c r="Z42" s="67">
        <f t="shared" si="4"/>
        <v>0</v>
      </c>
      <c r="AA42" s="67"/>
      <c r="AB42" s="67"/>
      <c r="AC42" s="67"/>
      <c r="AD42" s="99" t="e">
        <f t="shared" ca="1" si="5"/>
        <v>#DIV/0!</v>
      </c>
      <c r="AE42" s="67"/>
      <c r="AF42" s="67"/>
      <c r="AG42" s="67"/>
      <c r="AH42" s="67"/>
      <c r="AI42" s="67"/>
      <c r="AJ42" s="67"/>
      <c r="AK42" s="67"/>
      <c r="AL42" s="67"/>
      <c r="AM42" s="67"/>
      <c r="AN42" s="67"/>
      <c r="AO42" s="67"/>
      <c r="AP42" s="67"/>
      <c r="AQ42" s="67"/>
      <c r="AR42" s="67"/>
      <c r="AS42" s="67"/>
      <c r="AT42" s="67"/>
    </row>
    <row r="43" spans="1:46" ht="84" hidden="1" x14ac:dyDescent="0.2">
      <c r="A43" s="67"/>
      <c r="B43" s="96"/>
      <c r="C4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3" s="20" t="str">
        <f ca="1">IFERROR(__xludf.DUMMYFUNCTION("""COMPUTED_VALUE"""),"МинЖКХ")</f>
        <v>МинЖКХ</v>
      </c>
      <c r="E43" s="20" t="str">
        <f ca="1">IFERROR(__xludf.DUMMYFUNCTION("""COMPUTED_VALUE"""),"Реконструкция ВЗУ № 3 г. Пушкино г.о. Пушкино")</f>
        <v>Реконструкция ВЗУ № 3 г. Пушкино г.о. Пушкино</v>
      </c>
      <c r="F43" s="67"/>
      <c r="G43" s="67" t="str">
        <f ca="1">IFERROR(__xludf.DUMMYFUNCTION("""COMPUTED_VALUE"""),"г.о. Пушкинский")</f>
        <v>г.о. Пушкинский</v>
      </c>
      <c r="H43" s="67" t="str">
        <f ca="1">IFERROR(__xludf.DUMMYFUNCTION("""COMPUTED_VALUE"""),"Н/Л")</f>
        <v>Н/Л</v>
      </c>
      <c r="I43" s="67" t="str">
        <f ca="1">IFERROR(__xludf.DUMMYFUNCTION("""COMPUTED_VALUE"""),"10 1 G552430
")</f>
        <v xml:space="preserve">10 1 G552430
</v>
      </c>
      <c r="J43" s="67">
        <f ca="1">IFERROR(__xludf.DUMMYFUNCTION("""COMPUTED_VALUE"""),522)</f>
        <v>522</v>
      </c>
      <c r="K43" s="97">
        <f t="shared" ca="1" si="1"/>
        <v>0</v>
      </c>
      <c r="L43" s="97">
        <f ca="1">IFERROR(__xludf.DUMMYFUNCTION("""COMPUTED_VALUE"""),0)</f>
        <v>0</v>
      </c>
      <c r="M43" s="97">
        <f ca="1">IFERROR(__xludf.DUMMYFUNCTION("""COMPUTED_VALUE"""),0)</f>
        <v>0</v>
      </c>
      <c r="N43" s="67"/>
      <c r="O43" s="97">
        <f ca="1">IFERROR(__xludf.DUMMYFUNCTION("""COMPUTED_VALUE"""),0)</f>
        <v>0</v>
      </c>
      <c r="P43" s="97">
        <f t="shared" ca="1" si="2"/>
        <v>0</v>
      </c>
      <c r="Q43" s="67"/>
      <c r="R43" s="67"/>
      <c r="S43" s="97">
        <f ca="1">IFERROR(__xludf.DUMMYFUNCTION("""COMPUTED_VALUE"""),0)</f>
        <v>0</v>
      </c>
      <c r="T43" s="97">
        <f ca="1">IFERROR(__xludf.DUMMYFUNCTION("""COMPUTED_VALUE"""),0)</f>
        <v>0</v>
      </c>
      <c r="U43" s="97">
        <f ca="1">IFERROR(__xludf.DUMMYFUNCTION("""COMPUTED_VALUE"""),0)</f>
        <v>0</v>
      </c>
      <c r="V43" s="97">
        <f ca="1">IFERROR(__xludf.DUMMYFUNCTION("""COMPUTED_VALUE"""),0)</f>
        <v>0</v>
      </c>
      <c r="W43" s="97">
        <f ca="1">IFERROR(__xludf.DUMMYFUNCTION("""COMPUTED_VALUE"""),0)</f>
        <v>0</v>
      </c>
      <c r="X43" s="97">
        <f ca="1">IFERROR(__xludf.DUMMYFUNCTION("""COMPUTED_VALUE"""),0)</f>
        <v>0</v>
      </c>
      <c r="Y43" s="97">
        <f t="shared" ca="1" si="3"/>
        <v>0</v>
      </c>
      <c r="Z43" s="67">
        <f t="shared" si="4"/>
        <v>0</v>
      </c>
      <c r="AA43" s="67"/>
      <c r="AB43" s="67"/>
      <c r="AC43" s="67"/>
      <c r="AD43" s="99" t="e">
        <f t="shared" ca="1" si="5"/>
        <v>#DIV/0!</v>
      </c>
      <c r="AE43" s="67"/>
      <c r="AF43" s="67"/>
      <c r="AG43" s="67"/>
      <c r="AH43" s="67"/>
      <c r="AI43" s="67"/>
      <c r="AJ43" s="67"/>
      <c r="AK43" s="67"/>
      <c r="AL43" s="67"/>
      <c r="AM43" s="67"/>
      <c r="AN43" s="67"/>
      <c r="AO43" s="67"/>
      <c r="AP43" s="67"/>
      <c r="AQ43" s="67"/>
      <c r="AR43" s="67"/>
      <c r="AS43" s="67"/>
      <c r="AT43" s="67"/>
    </row>
    <row r="44" spans="1:46" ht="84" hidden="1" x14ac:dyDescent="0.2">
      <c r="A44" s="67"/>
      <c r="B44" s="96"/>
      <c r="C4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4" s="20" t="str">
        <f ca="1">IFERROR(__xludf.DUMMYFUNCTION("""COMPUTED_VALUE"""),"МинЖКХ")</f>
        <v>МинЖКХ</v>
      </c>
      <c r="E44" s="20" t="str">
        <f ca="1">IFERROR(__xludf.DUMMYFUNCTION("""COMPUTED_VALUE"""),"Реконструкция ВЗУ № 12 г. Пушкино Пушкинский г.о.")</f>
        <v>Реконструкция ВЗУ № 12 г. Пушкино Пушкинский г.о.</v>
      </c>
      <c r="F44" s="67" t="str">
        <f ca="1">IFERROR(__xludf.DUMMYFUNCTION("""COMPUTED_VALUE"""),"СМР")</f>
        <v>СМР</v>
      </c>
      <c r="G44" s="67" t="str">
        <f ca="1">IFERROR(__xludf.DUMMYFUNCTION("""COMPUTED_VALUE"""),"г.о. Пушкинский")</f>
        <v>г.о. Пушкинский</v>
      </c>
      <c r="H44" s="67">
        <f ca="1">IFERROR(__xludf.DUMMYFUNCTION("""COMPUTED_VALUE"""),2024)</f>
        <v>2024</v>
      </c>
      <c r="I44" s="67" t="str">
        <f ca="1">IFERROR(__xludf.DUMMYFUNCTION("""COMPUTED_VALUE"""),"10 1 G552430
")</f>
        <v xml:space="preserve">10 1 G552430
</v>
      </c>
      <c r="J44" s="67">
        <f ca="1">IFERROR(__xludf.DUMMYFUNCTION("""COMPUTED_VALUE"""),522)</f>
        <v>522</v>
      </c>
      <c r="K44" s="97">
        <f t="shared" ca="1" si="1"/>
        <v>0</v>
      </c>
      <c r="L44" s="97">
        <f ca="1">IFERROR(__xludf.DUMMYFUNCTION("""COMPUTED_VALUE"""),0)</f>
        <v>0</v>
      </c>
      <c r="M44" s="97">
        <f ca="1">IFERROR(__xludf.DUMMYFUNCTION("""COMPUTED_VALUE"""),0)</f>
        <v>0</v>
      </c>
      <c r="N44" s="67"/>
      <c r="O44" s="97">
        <f ca="1">IFERROR(__xludf.DUMMYFUNCTION("""COMPUTED_VALUE"""),0)</f>
        <v>0</v>
      </c>
      <c r="P44" s="97">
        <f t="shared" ca="1" si="2"/>
        <v>0</v>
      </c>
      <c r="Q44" s="67"/>
      <c r="R44" s="67"/>
      <c r="S44" s="97">
        <f ca="1">IFERROR(__xludf.DUMMYFUNCTION("""COMPUTED_VALUE"""),0)</f>
        <v>0</v>
      </c>
      <c r="T44" s="97">
        <f ca="1">IFERROR(__xludf.DUMMYFUNCTION("""COMPUTED_VALUE"""),0)</f>
        <v>0</v>
      </c>
      <c r="U44" s="97">
        <f ca="1">IFERROR(__xludf.DUMMYFUNCTION("""COMPUTED_VALUE"""),0)</f>
        <v>0</v>
      </c>
      <c r="V44" s="97">
        <f ca="1">IFERROR(__xludf.DUMMYFUNCTION("""COMPUTED_VALUE"""),0)</f>
        <v>0</v>
      </c>
      <c r="W44" s="97">
        <f ca="1">IFERROR(__xludf.DUMMYFUNCTION("""COMPUTED_VALUE"""),0)</f>
        <v>0</v>
      </c>
      <c r="X44" s="97">
        <f ca="1">IFERROR(__xludf.DUMMYFUNCTION("""COMPUTED_VALUE"""),0)</f>
        <v>0</v>
      </c>
      <c r="Y44" s="97">
        <f t="shared" ca="1" si="3"/>
        <v>0</v>
      </c>
      <c r="Z44" s="67">
        <f t="shared" si="4"/>
        <v>0</v>
      </c>
      <c r="AA44" s="67"/>
      <c r="AB44" s="67"/>
      <c r="AC44" s="67"/>
      <c r="AD44" s="99" t="e">
        <f t="shared" ca="1" si="5"/>
        <v>#DIV/0!</v>
      </c>
      <c r="AE44" s="67"/>
      <c r="AF44" s="67"/>
      <c r="AG44" s="67"/>
      <c r="AH44" s="67"/>
      <c r="AI44" s="67"/>
      <c r="AJ44" s="67"/>
      <c r="AK44" s="67"/>
      <c r="AL44" s="67"/>
      <c r="AM44" s="67"/>
      <c r="AN44" s="67"/>
      <c r="AO44" s="67"/>
      <c r="AP44" s="67"/>
      <c r="AQ44" s="67"/>
      <c r="AR44" s="67"/>
      <c r="AS44" s="67"/>
      <c r="AT44" s="67"/>
    </row>
    <row r="45" spans="1:46" ht="84" hidden="1" x14ac:dyDescent="0.2">
      <c r="A45" s="67"/>
      <c r="B45" s="96"/>
      <c r="C4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5" s="20" t="str">
        <f ca="1">IFERROR(__xludf.DUMMYFUNCTION("""COMPUTED_VALUE"""),"МинЖКХ")</f>
        <v>МинЖКХ</v>
      </c>
      <c r="E45" s="20" t="str">
        <f ca="1">IFERROR(__xludf.DUMMYFUNCTION("""COMPUTED_VALUE"""),"Реконструкция ВЗУ № 14 пос. Правдинский  Пушкинский г.о.")</f>
        <v>Реконструкция ВЗУ № 14 пос. Правдинский  Пушкинский г.о.</v>
      </c>
      <c r="F45" s="67" t="str">
        <f ca="1">IFERROR(__xludf.DUMMYFUNCTION("""COMPUTED_VALUE"""),"СМР")</f>
        <v>СМР</v>
      </c>
      <c r="G45" s="67" t="str">
        <f ca="1">IFERROR(__xludf.DUMMYFUNCTION("""COMPUTED_VALUE"""),"г.о. Пушкинский")</f>
        <v>г.о. Пушкинский</v>
      </c>
      <c r="H45" s="67">
        <f ca="1">IFERROR(__xludf.DUMMYFUNCTION("""COMPUTED_VALUE"""),2024)</f>
        <v>2024</v>
      </c>
      <c r="I45" s="67" t="str">
        <f ca="1">IFERROR(__xludf.DUMMYFUNCTION("""COMPUTED_VALUE"""),"10 1 G552430
")</f>
        <v xml:space="preserve">10 1 G552430
</v>
      </c>
      <c r="J45" s="67">
        <f ca="1">IFERROR(__xludf.DUMMYFUNCTION("""COMPUTED_VALUE"""),522)</f>
        <v>522</v>
      </c>
      <c r="K45" s="97">
        <f t="shared" ca="1" si="1"/>
        <v>0</v>
      </c>
      <c r="L45" s="97">
        <f ca="1">IFERROR(__xludf.DUMMYFUNCTION("""COMPUTED_VALUE"""),0)</f>
        <v>0</v>
      </c>
      <c r="M45" s="97">
        <f ca="1">IFERROR(__xludf.DUMMYFUNCTION("""COMPUTED_VALUE"""),0)</f>
        <v>0</v>
      </c>
      <c r="N45" s="67"/>
      <c r="O45" s="97">
        <f ca="1">IFERROR(__xludf.DUMMYFUNCTION("""COMPUTED_VALUE"""),0)</f>
        <v>0</v>
      </c>
      <c r="P45" s="97">
        <f t="shared" ca="1" si="2"/>
        <v>0</v>
      </c>
      <c r="Q45" s="67"/>
      <c r="R45" s="67"/>
      <c r="S45" s="97">
        <f ca="1">IFERROR(__xludf.DUMMYFUNCTION("""COMPUTED_VALUE"""),0)</f>
        <v>0</v>
      </c>
      <c r="T45" s="97">
        <f ca="1">IFERROR(__xludf.DUMMYFUNCTION("""COMPUTED_VALUE"""),0)</f>
        <v>0</v>
      </c>
      <c r="U45" s="97">
        <f ca="1">IFERROR(__xludf.DUMMYFUNCTION("""COMPUTED_VALUE"""),0)</f>
        <v>0</v>
      </c>
      <c r="V45" s="97">
        <f ca="1">IFERROR(__xludf.DUMMYFUNCTION("""COMPUTED_VALUE"""),0)</f>
        <v>0</v>
      </c>
      <c r="W45" s="97">
        <f ca="1">IFERROR(__xludf.DUMMYFUNCTION("""COMPUTED_VALUE"""),0)</f>
        <v>0</v>
      </c>
      <c r="X45" s="97">
        <f ca="1">IFERROR(__xludf.DUMMYFUNCTION("""COMPUTED_VALUE"""),0)</f>
        <v>0</v>
      </c>
      <c r="Y45" s="97">
        <f t="shared" ca="1" si="3"/>
        <v>0</v>
      </c>
      <c r="Z45" s="67">
        <f t="shared" si="4"/>
        <v>0</v>
      </c>
      <c r="AA45" s="67"/>
      <c r="AB45" s="67"/>
      <c r="AC45" s="67"/>
      <c r="AD45" s="99" t="e">
        <f t="shared" ca="1" si="5"/>
        <v>#DIV/0!</v>
      </c>
      <c r="AE45" s="67"/>
      <c r="AF45" s="67"/>
      <c r="AG45" s="67"/>
      <c r="AH45" s="67"/>
      <c r="AI45" s="67"/>
      <c r="AJ45" s="67"/>
      <c r="AK45" s="67"/>
      <c r="AL45" s="67"/>
      <c r="AM45" s="67"/>
      <c r="AN45" s="67"/>
      <c r="AO45" s="67"/>
      <c r="AP45" s="67"/>
      <c r="AQ45" s="67"/>
      <c r="AR45" s="67"/>
      <c r="AS45" s="67"/>
      <c r="AT45" s="67"/>
    </row>
    <row r="46" spans="1:46" ht="84" hidden="1" x14ac:dyDescent="0.2">
      <c r="A46" s="67"/>
      <c r="B46" s="96"/>
      <c r="C4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6" s="20" t="str">
        <f ca="1">IFERROR(__xludf.DUMMYFUNCTION("""COMPUTED_VALUE"""),"МинЖКХ")</f>
        <v>МинЖКХ</v>
      </c>
      <c r="E46" s="20" t="str">
        <f ca="1">IFERROR(__xludf.DUMMYFUNCTION("""COMPUTED_VALUE"""),"Реконструкция ВЗУ № 18 пос. Правдинский  г.о. Пушкино")</f>
        <v>Реконструкция ВЗУ № 18 пос. Правдинский  г.о. Пушкино</v>
      </c>
      <c r="F46" s="67"/>
      <c r="G46" s="67" t="str">
        <f ca="1">IFERROR(__xludf.DUMMYFUNCTION("""COMPUTED_VALUE"""),"г.о. Пушкинский")</f>
        <v>г.о. Пушкинский</v>
      </c>
      <c r="H46" s="67" t="str">
        <f ca="1">IFERROR(__xludf.DUMMYFUNCTION("""COMPUTED_VALUE"""),"Н/Л")</f>
        <v>Н/Л</v>
      </c>
      <c r="I46" s="67" t="str">
        <f ca="1">IFERROR(__xludf.DUMMYFUNCTION("""COMPUTED_VALUE"""),"10 1 G552430
")</f>
        <v xml:space="preserve">10 1 G552430
</v>
      </c>
      <c r="J46" s="67">
        <f ca="1">IFERROR(__xludf.DUMMYFUNCTION("""COMPUTED_VALUE"""),522)</f>
        <v>522</v>
      </c>
      <c r="K46" s="97">
        <f t="shared" ca="1" si="1"/>
        <v>0</v>
      </c>
      <c r="L46" s="97">
        <f ca="1">IFERROR(__xludf.DUMMYFUNCTION("""COMPUTED_VALUE"""),0)</f>
        <v>0</v>
      </c>
      <c r="M46" s="97">
        <f ca="1">IFERROR(__xludf.DUMMYFUNCTION("""COMPUTED_VALUE"""),0)</f>
        <v>0</v>
      </c>
      <c r="N46" s="67"/>
      <c r="O46" s="97">
        <f ca="1">IFERROR(__xludf.DUMMYFUNCTION("""COMPUTED_VALUE"""),0)</f>
        <v>0</v>
      </c>
      <c r="P46" s="97">
        <f t="shared" ca="1" si="2"/>
        <v>0</v>
      </c>
      <c r="Q46" s="67"/>
      <c r="R46" s="67"/>
      <c r="S46" s="97">
        <f ca="1">IFERROR(__xludf.DUMMYFUNCTION("""COMPUTED_VALUE"""),0)</f>
        <v>0</v>
      </c>
      <c r="T46" s="97">
        <f ca="1">IFERROR(__xludf.DUMMYFUNCTION("""COMPUTED_VALUE"""),0)</f>
        <v>0</v>
      </c>
      <c r="U46" s="97">
        <f ca="1">IFERROR(__xludf.DUMMYFUNCTION("""COMPUTED_VALUE"""),0)</f>
        <v>0</v>
      </c>
      <c r="V46" s="97">
        <f ca="1">IFERROR(__xludf.DUMMYFUNCTION("""COMPUTED_VALUE"""),0)</f>
        <v>0</v>
      </c>
      <c r="W46" s="97">
        <f ca="1">IFERROR(__xludf.DUMMYFUNCTION("""COMPUTED_VALUE"""),0)</f>
        <v>0</v>
      </c>
      <c r="X46" s="97">
        <f ca="1">IFERROR(__xludf.DUMMYFUNCTION("""COMPUTED_VALUE"""),0)</f>
        <v>0</v>
      </c>
      <c r="Y46" s="97">
        <f t="shared" ca="1" si="3"/>
        <v>0</v>
      </c>
      <c r="Z46" s="67">
        <f t="shared" si="4"/>
        <v>0</v>
      </c>
      <c r="AA46" s="67"/>
      <c r="AB46" s="67"/>
      <c r="AC46" s="67"/>
      <c r="AD46" s="99" t="e">
        <f t="shared" ca="1" si="5"/>
        <v>#DIV/0!</v>
      </c>
      <c r="AE46" s="67"/>
      <c r="AF46" s="67"/>
      <c r="AG46" s="67"/>
      <c r="AH46" s="67"/>
      <c r="AI46" s="67"/>
      <c r="AJ46" s="67"/>
      <c r="AK46" s="67"/>
      <c r="AL46" s="67"/>
      <c r="AM46" s="67"/>
      <c r="AN46" s="67"/>
      <c r="AO46" s="67"/>
      <c r="AP46" s="67"/>
      <c r="AQ46" s="67"/>
      <c r="AR46" s="67"/>
      <c r="AS46" s="67"/>
      <c r="AT46" s="67"/>
    </row>
    <row r="47" spans="1:46" ht="84" hidden="1" x14ac:dyDescent="0.2">
      <c r="A47" s="67"/>
      <c r="B47" s="96"/>
      <c r="C4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7" s="20" t="str">
        <f ca="1">IFERROR(__xludf.DUMMYFUNCTION("""COMPUTED_VALUE"""),"МинЖКХ")</f>
        <v>МинЖКХ</v>
      </c>
      <c r="E47" s="20" t="str">
        <f ca="1">IFERROR(__xludf.DUMMYFUNCTION("""COMPUTED_VALUE"""),"Реконструкция ВЗУ № 42  пос. Царевское Пушкинский г.о.")</f>
        <v>Реконструкция ВЗУ № 42  пос. Царевское Пушкинский г.о.</v>
      </c>
      <c r="F47" s="67" t="str">
        <f ca="1">IFERROR(__xludf.DUMMYFUNCTION("""COMPUTED_VALUE"""),"СМР")</f>
        <v>СМР</v>
      </c>
      <c r="G47" s="67" t="str">
        <f ca="1">IFERROR(__xludf.DUMMYFUNCTION("""COMPUTED_VALUE"""),"г.о. Пушкинский")</f>
        <v>г.о. Пушкинский</v>
      </c>
      <c r="H47" s="67">
        <f ca="1">IFERROR(__xludf.DUMMYFUNCTION("""COMPUTED_VALUE"""),2024)</f>
        <v>2024</v>
      </c>
      <c r="I47" s="67" t="str">
        <f ca="1">IFERROR(__xludf.DUMMYFUNCTION("""COMPUTED_VALUE"""),"10 1 G552430
")</f>
        <v xml:space="preserve">10 1 G552430
</v>
      </c>
      <c r="J47" s="67">
        <f ca="1">IFERROR(__xludf.DUMMYFUNCTION("""COMPUTED_VALUE"""),522)</f>
        <v>522</v>
      </c>
      <c r="K47" s="97">
        <f t="shared" ca="1" si="1"/>
        <v>0</v>
      </c>
      <c r="L47" s="97">
        <f ca="1">IFERROR(__xludf.DUMMYFUNCTION("""COMPUTED_VALUE"""),0)</f>
        <v>0</v>
      </c>
      <c r="M47" s="97">
        <f ca="1">IFERROR(__xludf.DUMMYFUNCTION("""COMPUTED_VALUE"""),0)</f>
        <v>0</v>
      </c>
      <c r="N47" s="67"/>
      <c r="O47" s="97">
        <f ca="1">IFERROR(__xludf.DUMMYFUNCTION("""COMPUTED_VALUE"""),0)</f>
        <v>0</v>
      </c>
      <c r="P47" s="97">
        <f t="shared" ca="1" si="2"/>
        <v>0</v>
      </c>
      <c r="Q47" s="67"/>
      <c r="R47" s="67"/>
      <c r="S47" s="97">
        <f ca="1">IFERROR(__xludf.DUMMYFUNCTION("""COMPUTED_VALUE"""),0)</f>
        <v>0</v>
      </c>
      <c r="T47" s="97">
        <f ca="1">IFERROR(__xludf.DUMMYFUNCTION("""COMPUTED_VALUE"""),0)</f>
        <v>0</v>
      </c>
      <c r="U47" s="97">
        <f ca="1">IFERROR(__xludf.DUMMYFUNCTION("""COMPUTED_VALUE"""),0)</f>
        <v>0</v>
      </c>
      <c r="V47" s="97">
        <f ca="1">IFERROR(__xludf.DUMMYFUNCTION("""COMPUTED_VALUE"""),0)</f>
        <v>0</v>
      </c>
      <c r="W47" s="97">
        <f ca="1">IFERROR(__xludf.DUMMYFUNCTION("""COMPUTED_VALUE"""),0)</f>
        <v>0</v>
      </c>
      <c r="X47" s="97">
        <f ca="1">IFERROR(__xludf.DUMMYFUNCTION("""COMPUTED_VALUE"""),0)</f>
        <v>0</v>
      </c>
      <c r="Y47" s="97">
        <f t="shared" ca="1" si="3"/>
        <v>0</v>
      </c>
      <c r="Z47" s="67">
        <f t="shared" si="4"/>
        <v>0</v>
      </c>
      <c r="AA47" s="67"/>
      <c r="AB47" s="67"/>
      <c r="AC47" s="67"/>
      <c r="AD47" s="99" t="e">
        <f t="shared" ca="1" si="5"/>
        <v>#DIV/0!</v>
      </c>
      <c r="AE47" s="67"/>
      <c r="AF47" s="67"/>
      <c r="AG47" s="67"/>
      <c r="AH47" s="67"/>
      <c r="AI47" s="67"/>
      <c r="AJ47" s="67"/>
      <c r="AK47" s="67"/>
      <c r="AL47" s="67"/>
      <c r="AM47" s="67"/>
      <c r="AN47" s="67"/>
      <c r="AO47" s="67"/>
      <c r="AP47" s="67"/>
      <c r="AQ47" s="67"/>
      <c r="AR47" s="67"/>
      <c r="AS47" s="67"/>
      <c r="AT47" s="67"/>
    </row>
    <row r="48" spans="1:46" ht="84" hidden="1" x14ac:dyDescent="0.2">
      <c r="A48" s="67"/>
      <c r="B48" s="96"/>
      <c r="C4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8" s="20" t="str">
        <f ca="1">IFERROR(__xludf.DUMMYFUNCTION("""COMPUTED_VALUE"""),"МинЖКХ")</f>
        <v>МинЖКХ</v>
      </c>
      <c r="E48" s="20" t="str">
        <f ca="1">IFERROR(__xludf.DUMMYFUNCTION("""COMPUTED_VALUE"""),"Реконструкция ВЗУ № 8  пос. Царевское  г.о. Пушкино")</f>
        <v>Реконструкция ВЗУ № 8  пос. Царевское  г.о. Пушкино</v>
      </c>
      <c r="F48" s="67" t="str">
        <f ca="1">IFERROR(__xludf.DUMMYFUNCTION("""COMPUTED_VALUE"""),"СМР")</f>
        <v>СМР</v>
      </c>
      <c r="G48" s="67" t="str">
        <f ca="1">IFERROR(__xludf.DUMMYFUNCTION("""COMPUTED_VALUE"""),"г.о. Пушкинский")</f>
        <v>г.о. Пушкинский</v>
      </c>
      <c r="H48" s="67">
        <f ca="1">IFERROR(__xludf.DUMMYFUNCTION("""COMPUTED_VALUE"""),2024)</f>
        <v>2024</v>
      </c>
      <c r="I48" s="67" t="str">
        <f ca="1">IFERROR(__xludf.DUMMYFUNCTION("""COMPUTED_VALUE"""),"10 1 G552430
")</f>
        <v xml:space="preserve">10 1 G552430
</v>
      </c>
      <c r="J48" s="67">
        <f ca="1">IFERROR(__xludf.DUMMYFUNCTION("""COMPUTED_VALUE"""),522)</f>
        <v>522</v>
      </c>
      <c r="K48" s="97">
        <f t="shared" ca="1" si="1"/>
        <v>0</v>
      </c>
      <c r="L48" s="97">
        <f ca="1">IFERROR(__xludf.DUMMYFUNCTION("""COMPUTED_VALUE"""),0)</f>
        <v>0</v>
      </c>
      <c r="M48" s="97">
        <f ca="1">IFERROR(__xludf.DUMMYFUNCTION("""COMPUTED_VALUE"""),0)</f>
        <v>0</v>
      </c>
      <c r="N48" s="67"/>
      <c r="O48" s="97">
        <f ca="1">IFERROR(__xludf.DUMMYFUNCTION("""COMPUTED_VALUE"""),0)</f>
        <v>0</v>
      </c>
      <c r="P48" s="97">
        <f t="shared" ca="1" si="2"/>
        <v>0</v>
      </c>
      <c r="Q48" s="67"/>
      <c r="R48" s="67"/>
      <c r="S48" s="97">
        <f ca="1">IFERROR(__xludf.DUMMYFUNCTION("""COMPUTED_VALUE"""),0)</f>
        <v>0</v>
      </c>
      <c r="T48" s="97">
        <f ca="1">IFERROR(__xludf.DUMMYFUNCTION("""COMPUTED_VALUE"""),0)</f>
        <v>0</v>
      </c>
      <c r="U48" s="97">
        <f ca="1">IFERROR(__xludf.DUMMYFUNCTION("""COMPUTED_VALUE"""),0)</f>
        <v>0</v>
      </c>
      <c r="V48" s="97">
        <f ca="1">IFERROR(__xludf.DUMMYFUNCTION("""COMPUTED_VALUE"""),0)</f>
        <v>0</v>
      </c>
      <c r="W48" s="97">
        <f ca="1">IFERROR(__xludf.DUMMYFUNCTION("""COMPUTED_VALUE"""),0)</f>
        <v>0</v>
      </c>
      <c r="X48" s="97">
        <f ca="1">IFERROR(__xludf.DUMMYFUNCTION("""COMPUTED_VALUE"""),0)</f>
        <v>0</v>
      </c>
      <c r="Y48" s="97">
        <f t="shared" ca="1" si="3"/>
        <v>0</v>
      </c>
      <c r="Z48" s="67">
        <f t="shared" si="4"/>
        <v>0</v>
      </c>
      <c r="AA48" s="67"/>
      <c r="AB48" s="67"/>
      <c r="AC48" s="67"/>
      <c r="AD48" s="99" t="e">
        <f t="shared" ca="1" si="5"/>
        <v>#DIV/0!</v>
      </c>
      <c r="AE48" s="67"/>
      <c r="AF48" s="67"/>
      <c r="AG48" s="67"/>
      <c r="AH48" s="67"/>
      <c r="AI48" s="67"/>
      <c r="AJ48" s="67"/>
      <c r="AK48" s="67"/>
      <c r="AL48" s="67"/>
      <c r="AM48" s="67"/>
      <c r="AN48" s="67"/>
      <c r="AO48" s="67"/>
      <c r="AP48" s="67"/>
      <c r="AQ48" s="67"/>
      <c r="AR48" s="67"/>
      <c r="AS48" s="67"/>
      <c r="AT48" s="67"/>
    </row>
    <row r="49" spans="1:46" ht="84" hidden="1" x14ac:dyDescent="0.2">
      <c r="A49" s="67"/>
      <c r="B49" s="96"/>
      <c r="C4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9" s="20" t="str">
        <f ca="1">IFERROR(__xludf.DUMMYFUNCTION("""COMPUTED_VALUE"""),"МинЖКХ")</f>
        <v>МинЖКХ</v>
      </c>
      <c r="E49" s="20" t="str">
        <f ca="1">IFERROR(__xludf.DUMMYFUNCTION("""COMPUTED_VALUE"""),"Реконструкция ВЗУ Большие Парфенки Московская область, Можайский городской округ, с.п. Борисовское, д. Большие Парфенки")</f>
        <v>Реконструкция ВЗУ Большие Парфенки Московская область, Можайский городской округ, с.п. Борисовское, д. Большие Парфенки</v>
      </c>
      <c r="F49" s="67"/>
      <c r="G49" s="67" t="str">
        <f ca="1">IFERROR(__xludf.DUMMYFUNCTION("""COMPUTED_VALUE"""),"г.о. Можайск")</f>
        <v>г.о. Можайск</v>
      </c>
      <c r="H49" s="67">
        <f ca="1">IFERROR(__xludf.DUMMYFUNCTION("""COMPUTED_VALUE"""),2022)</f>
        <v>2022</v>
      </c>
      <c r="I49" s="67" t="str">
        <f ca="1">IFERROR(__xludf.DUMMYFUNCTION("""COMPUTED_VALUE"""),"10 1 G552430
")</f>
        <v xml:space="preserve">10 1 G552430
</v>
      </c>
      <c r="J49" s="67">
        <f ca="1">IFERROR(__xludf.DUMMYFUNCTION("""COMPUTED_VALUE"""),522)</f>
        <v>522</v>
      </c>
      <c r="K49" s="97">
        <f t="shared" ca="1" si="1"/>
        <v>0</v>
      </c>
      <c r="L49" s="97">
        <f ca="1">IFERROR(__xludf.DUMMYFUNCTION("""COMPUTED_VALUE"""),0)</f>
        <v>0</v>
      </c>
      <c r="M49" s="97">
        <f ca="1">IFERROR(__xludf.DUMMYFUNCTION("""COMPUTED_VALUE"""),0)</f>
        <v>0</v>
      </c>
      <c r="N49" s="67"/>
      <c r="O49" s="97">
        <f ca="1">IFERROR(__xludf.DUMMYFUNCTION("""COMPUTED_VALUE"""),0)</f>
        <v>0</v>
      </c>
      <c r="P49" s="97">
        <f t="shared" ca="1" si="2"/>
        <v>0</v>
      </c>
      <c r="Q49" s="67"/>
      <c r="R49" s="67"/>
      <c r="S49" s="97">
        <f ca="1">IFERROR(__xludf.DUMMYFUNCTION("""COMPUTED_VALUE"""),0)</f>
        <v>0</v>
      </c>
      <c r="T49" s="97">
        <f ca="1">IFERROR(__xludf.DUMMYFUNCTION("""COMPUTED_VALUE"""),0)</f>
        <v>0</v>
      </c>
      <c r="U49" s="97">
        <f ca="1">IFERROR(__xludf.DUMMYFUNCTION("""COMPUTED_VALUE"""),0)</f>
        <v>0</v>
      </c>
      <c r="V49" s="97">
        <f ca="1">IFERROR(__xludf.DUMMYFUNCTION("""COMPUTED_VALUE"""),0)</f>
        <v>0</v>
      </c>
      <c r="W49" s="97">
        <f ca="1">IFERROR(__xludf.DUMMYFUNCTION("""COMPUTED_VALUE"""),0)</f>
        <v>0</v>
      </c>
      <c r="X49" s="97">
        <f ca="1">IFERROR(__xludf.DUMMYFUNCTION("""COMPUTED_VALUE"""),0)</f>
        <v>0</v>
      </c>
      <c r="Y49" s="97">
        <f t="shared" ca="1" si="3"/>
        <v>0</v>
      </c>
      <c r="Z49" s="67">
        <f t="shared" si="4"/>
        <v>0</v>
      </c>
      <c r="AA49" s="67"/>
      <c r="AB49" s="67"/>
      <c r="AC49" s="67"/>
      <c r="AD49" s="99" t="e">
        <f t="shared" ca="1" si="5"/>
        <v>#DIV/0!</v>
      </c>
      <c r="AE49" s="67"/>
      <c r="AF49" s="67"/>
      <c r="AG49" s="67"/>
      <c r="AH49" s="67"/>
      <c r="AI49" s="67"/>
      <c r="AJ49" s="67"/>
      <c r="AK49" s="67"/>
      <c r="AL49" s="67"/>
      <c r="AM49" s="67"/>
      <c r="AN49" s="67"/>
      <c r="AO49" s="67"/>
      <c r="AP49" s="67"/>
      <c r="AQ49" s="67"/>
      <c r="AR49" s="67"/>
      <c r="AS49" s="67"/>
      <c r="AT49" s="67"/>
    </row>
    <row r="50" spans="1:46" ht="84" hidden="1" x14ac:dyDescent="0.2">
      <c r="A50" s="67"/>
      <c r="B50" s="96"/>
      <c r="C5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0" s="20" t="str">
        <f ca="1">IFERROR(__xludf.DUMMYFUNCTION("""COMPUTED_VALUE"""),"МинЖКХ")</f>
        <v>МинЖКХ</v>
      </c>
      <c r="E50" s="20" t="str">
        <f ca="1">IFERROR(__xludf.DUMMYFUNCTION("""COMPUTED_VALUE"""),"Реконструкция ВЗУ № 5 ЦМИС г.о. Солнечногорск")</f>
        <v>Реконструкция ВЗУ № 5 ЦМИС г.о. Солнечногорск</v>
      </c>
      <c r="F50" s="67" t="str">
        <f ca="1">IFERROR(__xludf.DUMMYFUNCTION("""COMPUTED_VALUE"""),"СМР")</f>
        <v>СМР</v>
      </c>
      <c r="G50" s="67" t="str">
        <f ca="1">IFERROR(__xludf.DUMMYFUNCTION("""COMPUTED_VALUE"""),"г.о. Солнечногорск")</f>
        <v>г.о. Солнечногорск</v>
      </c>
      <c r="H50" s="67">
        <f ca="1">IFERROR(__xludf.DUMMYFUNCTION("""COMPUTED_VALUE"""),2022)</f>
        <v>2022</v>
      </c>
      <c r="I50" s="67" t="str">
        <f ca="1">IFERROR(__xludf.DUMMYFUNCTION("""COMPUTED_VALUE"""),"10 1 G552430
")</f>
        <v xml:space="preserve">10 1 G552430
</v>
      </c>
      <c r="J50" s="67">
        <f ca="1">IFERROR(__xludf.DUMMYFUNCTION("""COMPUTED_VALUE"""),522)</f>
        <v>522</v>
      </c>
      <c r="K50" s="97">
        <f t="shared" ca="1" si="1"/>
        <v>0</v>
      </c>
      <c r="L50" s="97">
        <f ca="1">IFERROR(__xludf.DUMMYFUNCTION("""COMPUTED_VALUE"""),0)</f>
        <v>0</v>
      </c>
      <c r="M50" s="97">
        <f ca="1">IFERROR(__xludf.DUMMYFUNCTION("""COMPUTED_VALUE"""),0)</f>
        <v>0</v>
      </c>
      <c r="N50" s="67"/>
      <c r="O50" s="97">
        <f ca="1">IFERROR(__xludf.DUMMYFUNCTION("""COMPUTED_VALUE"""),0)</f>
        <v>0</v>
      </c>
      <c r="P50" s="97">
        <f t="shared" ca="1" si="2"/>
        <v>0</v>
      </c>
      <c r="Q50" s="67"/>
      <c r="R50" s="67"/>
      <c r="S50" s="97">
        <f ca="1">IFERROR(__xludf.DUMMYFUNCTION("""COMPUTED_VALUE"""),0)</f>
        <v>0</v>
      </c>
      <c r="T50" s="97">
        <f ca="1">IFERROR(__xludf.DUMMYFUNCTION("""COMPUTED_VALUE"""),0)</f>
        <v>0</v>
      </c>
      <c r="U50" s="97">
        <f ca="1">IFERROR(__xludf.DUMMYFUNCTION("""COMPUTED_VALUE"""),0)</f>
        <v>0</v>
      </c>
      <c r="V50" s="97">
        <f ca="1">IFERROR(__xludf.DUMMYFUNCTION("""COMPUTED_VALUE"""),0)</f>
        <v>0</v>
      </c>
      <c r="W50" s="97">
        <f ca="1">IFERROR(__xludf.DUMMYFUNCTION("""COMPUTED_VALUE"""),0)</f>
        <v>0</v>
      </c>
      <c r="X50" s="97">
        <f ca="1">IFERROR(__xludf.DUMMYFUNCTION("""COMPUTED_VALUE"""),0)</f>
        <v>0</v>
      </c>
      <c r="Y50" s="97">
        <f t="shared" ca="1" si="3"/>
        <v>0</v>
      </c>
      <c r="Z50" s="67">
        <f t="shared" si="4"/>
        <v>0</v>
      </c>
      <c r="AA50" s="67"/>
      <c r="AB50" s="67"/>
      <c r="AC50" s="67"/>
      <c r="AD50" s="99" t="e">
        <f t="shared" ca="1" si="5"/>
        <v>#DIV/0!</v>
      </c>
      <c r="AE50" s="67"/>
      <c r="AF50" s="67"/>
      <c r="AG50" s="67"/>
      <c r="AH50" s="67"/>
      <c r="AI50" s="67"/>
      <c r="AJ50" s="67"/>
      <c r="AK50" s="67"/>
      <c r="AL50" s="67"/>
      <c r="AM50" s="67"/>
      <c r="AN50" s="67"/>
      <c r="AO50" s="67"/>
      <c r="AP50" s="67"/>
      <c r="AQ50" s="67"/>
      <c r="AR50" s="67"/>
      <c r="AS50" s="67"/>
      <c r="AT50" s="67"/>
    </row>
    <row r="51" spans="1:46" ht="84" hidden="1" x14ac:dyDescent="0.2">
      <c r="A51" s="67"/>
      <c r="B51" s="96"/>
      <c r="C5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1" s="20" t="str">
        <f ca="1">IFERROR(__xludf.DUMMYFUNCTION("""COMPUTED_VALUE"""),"МинЖКХ")</f>
        <v>МинЖКХ</v>
      </c>
      <c r="E51" s="20" t="str">
        <f ca="1">IFERROR(__xludf.DUMMYFUNCTION("""COMPUTED_VALUE"""),"Реконструкция ВЗУ д.Брехово г.о. Солнечногорск")</f>
        <v>Реконструкция ВЗУ д.Брехово г.о. Солнечногорск</v>
      </c>
      <c r="F51" s="67" t="str">
        <f ca="1">IFERROR(__xludf.DUMMYFUNCTION("""COMPUTED_VALUE"""),"СМР")</f>
        <v>СМР</v>
      </c>
      <c r="G51" s="67" t="str">
        <f ca="1">IFERROR(__xludf.DUMMYFUNCTION("""COMPUTED_VALUE"""),"г.о. Солнечногорск")</f>
        <v>г.о. Солнечногорск</v>
      </c>
      <c r="H51" s="67">
        <f ca="1">IFERROR(__xludf.DUMMYFUNCTION("""COMPUTED_VALUE"""),2022)</f>
        <v>2022</v>
      </c>
      <c r="I51" s="67" t="str">
        <f ca="1">IFERROR(__xludf.DUMMYFUNCTION("""COMPUTED_VALUE"""),"10 1 G552430
")</f>
        <v xml:space="preserve">10 1 G552430
</v>
      </c>
      <c r="J51" s="67">
        <f ca="1">IFERROR(__xludf.DUMMYFUNCTION("""COMPUTED_VALUE"""),522)</f>
        <v>522</v>
      </c>
      <c r="K51" s="97">
        <f t="shared" ca="1" si="1"/>
        <v>0</v>
      </c>
      <c r="L51" s="97">
        <f ca="1">IFERROR(__xludf.DUMMYFUNCTION("""COMPUTED_VALUE"""),0)</f>
        <v>0</v>
      </c>
      <c r="M51" s="97">
        <f ca="1">IFERROR(__xludf.DUMMYFUNCTION("""COMPUTED_VALUE"""),0)</f>
        <v>0</v>
      </c>
      <c r="N51" s="67"/>
      <c r="O51" s="97">
        <f ca="1">IFERROR(__xludf.DUMMYFUNCTION("""COMPUTED_VALUE"""),0)</f>
        <v>0</v>
      </c>
      <c r="P51" s="97">
        <f t="shared" ca="1" si="2"/>
        <v>0</v>
      </c>
      <c r="Q51" s="67"/>
      <c r="R51" s="67"/>
      <c r="S51" s="97">
        <f ca="1">IFERROR(__xludf.DUMMYFUNCTION("""COMPUTED_VALUE"""),0)</f>
        <v>0</v>
      </c>
      <c r="T51" s="97">
        <f ca="1">IFERROR(__xludf.DUMMYFUNCTION("""COMPUTED_VALUE"""),0)</f>
        <v>0</v>
      </c>
      <c r="U51" s="97">
        <f ca="1">IFERROR(__xludf.DUMMYFUNCTION("""COMPUTED_VALUE"""),0)</f>
        <v>0</v>
      </c>
      <c r="V51" s="97">
        <f ca="1">IFERROR(__xludf.DUMMYFUNCTION("""COMPUTED_VALUE"""),0)</f>
        <v>0</v>
      </c>
      <c r="W51" s="97">
        <f ca="1">IFERROR(__xludf.DUMMYFUNCTION("""COMPUTED_VALUE"""),0)</f>
        <v>0</v>
      </c>
      <c r="X51" s="97">
        <f ca="1">IFERROR(__xludf.DUMMYFUNCTION("""COMPUTED_VALUE"""),0)</f>
        <v>0</v>
      </c>
      <c r="Y51" s="97">
        <f t="shared" ca="1" si="3"/>
        <v>0</v>
      </c>
      <c r="Z51" s="67">
        <f t="shared" si="4"/>
        <v>0</v>
      </c>
      <c r="AA51" s="67"/>
      <c r="AB51" s="67"/>
      <c r="AC51" s="67"/>
      <c r="AD51" s="99" t="e">
        <f t="shared" ca="1" si="5"/>
        <v>#DIV/0!</v>
      </c>
      <c r="AE51" s="67"/>
      <c r="AF51" s="67"/>
      <c r="AG51" s="67"/>
      <c r="AH51" s="67"/>
      <c r="AI51" s="67"/>
      <c r="AJ51" s="67"/>
      <c r="AK51" s="67"/>
      <c r="AL51" s="67"/>
      <c r="AM51" s="67"/>
      <c r="AN51" s="67"/>
      <c r="AO51" s="67"/>
      <c r="AP51" s="67"/>
      <c r="AQ51" s="67"/>
      <c r="AR51" s="67"/>
      <c r="AS51" s="67"/>
      <c r="AT51" s="67"/>
    </row>
    <row r="52" spans="1:46" ht="84" hidden="1" x14ac:dyDescent="0.2">
      <c r="A52" s="67"/>
      <c r="B52" s="96"/>
      <c r="C5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2" s="20" t="str">
        <f ca="1">IFERROR(__xludf.DUMMYFUNCTION("""COMPUTED_VALUE"""),"МинЖКХ")</f>
        <v>МинЖКХ</v>
      </c>
      <c r="E52" s="20" t="str">
        <f ca="1">IFERROR(__xludf.DUMMYFUNCTION("""COMPUTED_VALUE"""),"Реконструкция ВЗУ №4 д. Кресты  г.о. Солнечногорск")</f>
        <v>Реконструкция ВЗУ №4 д. Кресты  г.о. Солнечногорск</v>
      </c>
      <c r="F52" s="67" t="str">
        <f ca="1">IFERROR(__xludf.DUMMYFUNCTION("""COMPUTED_VALUE"""),"СМР")</f>
        <v>СМР</v>
      </c>
      <c r="G52" s="67" t="str">
        <f ca="1">IFERROR(__xludf.DUMMYFUNCTION("""COMPUTED_VALUE"""),"г.о. Солнечногорск")</f>
        <v>г.о. Солнечногорск</v>
      </c>
      <c r="H52" s="67">
        <f ca="1">IFERROR(__xludf.DUMMYFUNCTION("""COMPUTED_VALUE"""),2022)</f>
        <v>2022</v>
      </c>
      <c r="I52" s="67" t="str">
        <f ca="1">IFERROR(__xludf.DUMMYFUNCTION("""COMPUTED_VALUE"""),"10 1 G552430
")</f>
        <v xml:space="preserve">10 1 G552430
</v>
      </c>
      <c r="J52" s="67">
        <f ca="1">IFERROR(__xludf.DUMMYFUNCTION("""COMPUTED_VALUE"""),522)</f>
        <v>522</v>
      </c>
      <c r="K52" s="97">
        <f t="shared" ca="1" si="1"/>
        <v>0</v>
      </c>
      <c r="L52" s="97">
        <f ca="1">IFERROR(__xludf.DUMMYFUNCTION("""COMPUTED_VALUE"""),0)</f>
        <v>0</v>
      </c>
      <c r="M52" s="97">
        <f ca="1">IFERROR(__xludf.DUMMYFUNCTION("""COMPUTED_VALUE"""),0)</f>
        <v>0</v>
      </c>
      <c r="N52" s="67"/>
      <c r="O52" s="97">
        <f ca="1">IFERROR(__xludf.DUMMYFUNCTION("""COMPUTED_VALUE"""),0)</f>
        <v>0</v>
      </c>
      <c r="P52" s="97">
        <f t="shared" ca="1" si="2"/>
        <v>0</v>
      </c>
      <c r="Q52" s="67"/>
      <c r="R52" s="67"/>
      <c r="S52" s="97">
        <f ca="1">IFERROR(__xludf.DUMMYFUNCTION("""COMPUTED_VALUE"""),0)</f>
        <v>0</v>
      </c>
      <c r="T52" s="97">
        <f ca="1">IFERROR(__xludf.DUMMYFUNCTION("""COMPUTED_VALUE"""),0)</f>
        <v>0</v>
      </c>
      <c r="U52" s="97">
        <f ca="1">IFERROR(__xludf.DUMMYFUNCTION("""COMPUTED_VALUE"""),0)</f>
        <v>0</v>
      </c>
      <c r="V52" s="97">
        <f ca="1">IFERROR(__xludf.DUMMYFUNCTION("""COMPUTED_VALUE"""),0)</f>
        <v>0</v>
      </c>
      <c r="W52" s="97">
        <f ca="1">IFERROR(__xludf.DUMMYFUNCTION("""COMPUTED_VALUE"""),0)</f>
        <v>0</v>
      </c>
      <c r="X52" s="97">
        <f ca="1">IFERROR(__xludf.DUMMYFUNCTION("""COMPUTED_VALUE"""),0)</f>
        <v>0</v>
      </c>
      <c r="Y52" s="97">
        <f t="shared" ca="1" si="3"/>
        <v>0</v>
      </c>
      <c r="Z52" s="67">
        <f t="shared" si="4"/>
        <v>0</v>
      </c>
      <c r="AA52" s="67"/>
      <c r="AB52" s="67"/>
      <c r="AC52" s="67"/>
      <c r="AD52" s="99" t="e">
        <f t="shared" ca="1" si="5"/>
        <v>#DIV/0!</v>
      </c>
      <c r="AE52" s="67"/>
      <c r="AF52" s="67"/>
      <c r="AG52" s="67"/>
      <c r="AH52" s="67"/>
      <c r="AI52" s="67"/>
      <c r="AJ52" s="67"/>
      <c r="AK52" s="67"/>
      <c r="AL52" s="67"/>
      <c r="AM52" s="67"/>
      <c r="AN52" s="67"/>
      <c r="AO52" s="67"/>
      <c r="AP52" s="67"/>
      <c r="AQ52" s="67"/>
      <c r="AR52" s="67"/>
      <c r="AS52" s="67"/>
      <c r="AT52" s="67"/>
    </row>
    <row r="53" spans="1:46" ht="84" hidden="1" x14ac:dyDescent="0.2">
      <c r="A53" s="67"/>
      <c r="B53" s="96"/>
      <c r="C5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3" s="20" t="str">
        <f ca="1">IFERROR(__xludf.DUMMYFUNCTION("""COMPUTED_VALUE"""),"МинЖКХ")</f>
        <v>МинЖКХ</v>
      </c>
      <c r="E53" s="20" t="str">
        <f ca="1">IFERROR(__xludf.DUMMYFUNCTION("""COMPUTED_VALUE"""),"Реконструкция ВЗУ №8 д. Тимоново  г.о. Солнечногорск")</f>
        <v>Реконструкция ВЗУ №8 д. Тимоново  г.о. Солнечногорск</v>
      </c>
      <c r="F53" s="67"/>
      <c r="G53" s="67" t="str">
        <f ca="1">IFERROR(__xludf.DUMMYFUNCTION("""COMPUTED_VALUE"""),"г.о. Солнечногорск")</f>
        <v>г.о. Солнечногорск</v>
      </c>
      <c r="H53" s="67" t="str">
        <f ca="1">IFERROR(__xludf.DUMMYFUNCTION("""COMPUTED_VALUE"""),"Н/Л")</f>
        <v>Н/Л</v>
      </c>
      <c r="I53" s="67" t="str">
        <f ca="1">IFERROR(__xludf.DUMMYFUNCTION("""COMPUTED_VALUE"""),"10 1 G552430
")</f>
        <v xml:space="preserve">10 1 G552430
</v>
      </c>
      <c r="J53" s="67">
        <f ca="1">IFERROR(__xludf.DUMMYFUNCTION("""COMPUTED_VALUE"""),522)</f>
        <v>522</v>
      </c>
      <c r="K53" s="97">
        <f t="shared" ca="1" si="1"/>
        <v>0</v>
      </c>
      <c r="L53" s="97">
        <f ca="1">IFERROR(__xludf.DUMMYFUNCTION("""COMPUTED_VALUE"""),0)</f>
        <v>0</v>
      </c>
      <c r="M53" s="97">
        <f ca="1">IFERROR(__xludf.DUMMYFUNCTION("""COMPUTED_VALUE"""),0)</f>
        <v>0</v>
      </c>
      <c r="N53" s="67"/>
      <c r="O53" s="97">
        <f ca="1">IFERROR(__xludf.DUMMYFUNCTION("""COMPUTED_VALUE"""),0)</f>
        <v>0</v>
      </c>
      <c r="P53" s="97">
        <f t="shared" ca="1" si="2"/>
        <v>0</v>
      </c>
      <c r="Q53" s="67"/>
      <c r="R53" s="67"/>
      <c r="S53" s="97">
        <f ca="1">IFERROR(__xludf.DUMMYFUNCTION("""COMPUTED_VALUE"""),0)</f>
        <v>0</v>
      </c>
      <c r="T53" s="97">
        <f ca="1">IFERROR(__xludf.DUMMYFUNCTION("""COMPUTED_VALUE"""),0)</f>
        <v>0</v>
      </c>
      <c r="U53" s="97">
        <f ca="1">IFERROR(__xludf.DUMMYFUNCTION("""COMPUTED_VALUE"""),0)</f>
        <v>0</v>
      </c>
      <c r="V53" s="97">
        <f ca="1">IFERROR(__xludf.DUMMYFUNCTION("""COMPUTED_VALUE"""),0)</f>
        <v>0</v>
      </c>
      <c r="W53" s="97">
        <f ca="1">IFERROR(__xludf.DUMMYFUNCTION("""COMPUTED_VALUE"""),0)</f>
        <v>0</v>
      </c>
      <c r="X53" s="97">
        <f ca="1">IFERROR(__xludf.DUMMYFUNCTION("""COMPUTED_VALUE"""),0)</f>
        <v>0</v>
      </c>
      <c r="Y53" s="97">
        <f t="shared" ca="1" si="3"/>
        <v>0</v>
      </c>
      <c r="Z53" s="67">
        <f t="shared" si="4"/>
        <v>0</v>
      </c>
      <c r="AA53" s="67"/>
      <c r="AB53" s="67"/>
      <c r="AC53" s="67"/>
      <c r="AD53" s="99" t="e">
        <f t="shared" ca="1" si="5"/>
        <v>#DIV/0!</v>
      </c>
      <c r="AE53" s="67"/>
      <c r="AF53" s="67"/>
      <c r="AG53" s="67"/>
      <c r="AH53" s="67"/>
      <c r="AI53" s="67"/>
      <c r="AJ53" s="67"/>
      <c r="AK53" s="67"/>
      <c r="AL53" s="67"/>
      <c r="AM53" s="67"/>
      <c r="AN53" s="67"/>
      <c r="AO53" s="67"/>
      <c r="AP53" s="67"/>
      <c r="AQ53" s="67"/>
      <c r="AR53" s="67"/>
      <c r="AS53" s="67"/>
      <c r="AT53" s="67"/>
    </row>
    <row r="54" spans="1:46" ht="84" hidden="1" x14ac:dyDescent="0.2">
      <c r="A54" s="67"/>
      <c r="B54" s="96"/>
      <c r="C5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4" s="20" t="str">
        <f ca="1">IFERROR(__xludf.DUMMYFUNCTION("""COMPUTED_VALUE"""),"МинЖКХ")</f>
        <v>МинЖКХ</v>
      </c>
      <c r="E54" s="20" t="str">
        <f ca="1">IFERROR(__xludf.DUMMYFUNCTION("""COMPUTED_VALUE"""),"Реконструкция ВЗУ №6 СЭМЗ  г.о. Солнечногорск")</f>
        <v>Реконструкция ВЗУ №6 СЭМЗ  г.о. Солнечногорск</v>
      </c>
      <c r="F54" s="67"/>
      <c r="G54" s="67" t="str">
        <f ca="1">IFERROR(__xludf.DUMMYFUNCTION("""COMPUTED_VALUE"""),"г.о. Солнечногорск")</f>
        <v>г.о. Солнечногорск</v>
      </c>
      <c r="H54" s="67" t="str">
        <f ca="1">IFERROR(__xludf.DUMMYFUNCTION("""COMPUTED_VALUE"""),"Н/Л")</f>
        <v>Н/Л</v>
      </c>
      <c r="I54" s="67" t="str">
        <f ca="1">IFERROR(__xludf.DUMMYFUNCTION("""COMPUTED_VALUE"""),"10 1 G552430
")</f>
        <v xml:space="preserve">10 1 G552430
</v>
      </c>
      <c r="J54" s="67">
        <f ca="1">IFERROR(__xludf.DUMMYFUNCTION("""COMPUTED_VALUE"""),522)</f>
        <v>522</v>
      </c>
      <c r="K54" s="97">
        <f t="shared" ca="1" si="1"/>
        <v>0</v>
      </c>
      <c r="L54" s="97">
        <f ca="1">IFERROR(__xludf.DUMMYFUNCTION("""COMPUTED_VALUE"""),0)</f>
        <v>0</v>
      </c>
      <c r="M54" s="97">
        <f ca="1">IFERROR(__xludf.DUMMYFUNCTION("""COMPUTED_VALUE"""),0)</f>
        <v>0</v>
      </c>
      <c r="N54" s="67"/>
      <c r="O54" s="97">
        <f ca="1">IFERROR(__xludf.DUMMYFUNCTION("""COMPUTED_VALUE"""),0)</f>
        <v>0</v>
      </c>
      <c r="P54" s="97">
        <f t="shared" ca="1" si="2"/>
        <v>0</v>
      </c>
      <c r="Q54" s="67"/>
      <c r="R54" s="67"/>
      <c r="S54" s="97">
        <f ca="1">IFERROR(__xludf.DUMMYFUNCTION("""COMPUTED_VALUE"""),0)</f>
        <v>0</v>
      </c>
      <c r="T54" s="97">
        <f ca="1">IFERROR(__xludf.DUMMYFUNCTION("""COMPUTED_VALUE"""),0)</f>
        <v>0</v>
      </c>
      <c r="U54" s="97">
        <f ca="1">IFERROR(__xludf.DUMMYFUNCTION("""COMPUTED_VALUE"""),0)</f>
        <v>0</v>
      </c>
      <c r="V54" s="97">
        <f ca="1">IFERROR(__xludf.DUMMYFUNCTION("""COMPUTED_VALUE"""),0)</f>
        <v>0</v>
      </c>
      <c r="W54" s="97">
        <f ca="1">IFERROR(__xludf.DUMMYFUNCTION("""COMPUTED_VALUE"""),0)</f>
        <v>0</v>
      </c>
      <c r="X54" s="97">
        <f ca="1">IFERROR(__xludf.DUMMYFUNCTION("""COMPUTED_VALUE"""),0)</f>
        <v>0</v>
      </c>
      <c r="Y54" s="97">
        <f t="shared" ca="1" si="3"/>
        <v>0</v>
      </c>
      <c r="Z54" s="67">
        <f t="shared" si="4"/>
        <v>0</v>
      </c>
      <c r="AA54" s="67"/>
      <c r="AB54" s="67"/>
      <c r="AC54" s="67"/>
      <c r="AD54" s="99" t="e">
        <f t="shared" ca="1" si="5"/>
        <v>#DIV/0!</v>
      </c>
      <c r="AE54" s="67"/>
      <c r="AF54" s="67"/>
      <c r="AG54" s="67"/>
      <c r="AH54" s="67"/>
      <c r="AI54" s="67"/>
      <c r="AJ54" s="67"/>
      <c r="AK54" s="67"/>
      <c r="AL54" s="67"/>
      <c r="AM54" s="67"/>
      <c r="AN54" s="67"/>
      <c r="AO54" s="67"/>
      <c r="AP54" s="67"/>
      <c r="AQ54" s="67"/>
      <c r="AR54" s="67"/>
      <c r="AS54" s="67"/>
      <c r="AT54" s="67"/>
    </row>
    <row r="55" spans="1:46" ht="84" hidden="1" x14ac:dyDescent="0.2">
      <c r="A55" s="67"/>
      <c r="B55" s="96"/>
      <c r="C5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5" s="20" t="str">
        <f ca="1">IFERROR(__xludf.DUMMYFUNCTION("""COMPUTED_VALUE"""),"МинЖКХ")</f>
        <v>МинЖКХ</v>
      </c>
      <c r="E55" s="20" t="str">
        <f ca="1">IFERROR(__xludf.DUMMYFUNCTION("""COMPUTED_VALUE"""),"Реконструкция ВЗУ №2 ул. Рабочая  г.о. Солнечногорск")</f>
        <v>Реконструкция ВЗУ №2 ул. Рабочая  г.о. Солнечногорск</v>
      </c>
      <c r="F55" s="67" t="str">
        <f ca="1">IFERROR(__xludf.DUMMYFUNCTION("""COMPUTED_VALUE"""),"СМР")</f>
        <v>СМР</v>
      </c>
      <c r="G55" s="67" t="str">
        <f ca="1">IFERROR(__xludf.DUMMYFUNCTION("""COMPUTED_VALUE"""),"г.о. Солнечногорск")</f>
        <v>г.о. Солнечногорск</v>
      </c>
      <c r="H55" s="67">
        <f ca="1">IFERROR(__xludf.DUMMYFUNCTION("""COMPUTED_VALUE"""),2023)</f>
        <v>2023</v>
      </c>
      <c r="I55" s="67" t="str">
        <f ca="1">IFERROR(__xludf.DUMMYFUNCTION("""COMPUTED_VALUE"""),"10 1 G552430
")</f>
        <v xml:space="preserve">10 1 G552430
</v>
      </c>
      <c r="J55" s="67">
        <f ca="1">IFERROR(__xludf.DUMMYFUNCTION("""COMPUTED_VALUE"""),522)</f>
        <v>522</v>
      </c>
      <c r="K55" s="97">
        <f t="shared" ca="1" si="1"/>
        <v>0</v>
      </c>
      <c r="L55" s="97">
        <f ca="1">IFERROR(__xludf.DUMMYFUNCTION("""COMPUTED_VALUE"""),0)</f>
        <v>0</v>
      </c>
      <c r="M55" s="97">
        <f ca="1">IFERROR(__xludf.DUMMYFUNCTION("""COMPUTED_VALUE"""),0)</f>
        <v>0</v>
      </c>
      <c r="N55" s="67"/>
      <c r="O55" s="97">
        <f ca="1">IFERROR(__xludf.DUMMYFUNCTION("""COMPUTED_VALUE"""),0)</f>
        <v>0</v>
      </c>
      <c r="P55" s="97">
        <f t="shared" ca="1" si="2"/>
        <v>0</v>
      </c>
      <c r="Q55" s="67"/>
      <c r="R55" s="67"/>
      <c r="S55" s="97">
        <f ca="1">IFERROR(__xludf.DUMMYFUNCTION("""COMPUTED_VALUE"""),0)</f>
        <v>0</v>
      </c>
      <c r="T55" s="97">
        <f ca="1">IFERROR(__xludf.DUMMYFUNCTION("""COMPUTED_VALUE"""),0)</f>
        <v>0</v>
      </c>
      <c r="U55" s="97">
        <f ca="1">IFERROR(__xludf.DUMMYFUNCTION("""COMPUTED_VALUE"""),0)</f>
        <v>0</v>
      </c>
      <c r="V55" s="97">
        <f ca="1">IFERROR(__xludf.DUMMYFUNCTION("""COMPUTED_VALUE"""),0)</f>
        <v>0</v>
      </c>
      <c r="W55" s="97">
        <f ca="1">IFERROR(__xludf.DUMMYFUNCTION("""COMPUTED_VALUE"""),0)</f>
        <v>0</v>
      </c>
      <c r="X55" s="97">
        <f ca="1">IFERROR(__xludf.DUMMYFUNCTION("""COMPUTED_VALUE"""),0)</f>
        <v>0</v>
      </c>
      <c r="Y55" s="97">
        <f t="shared" ca="1" si="3"/>
        <v>0</v>
      </c>
      <c r="Z55" s="67">
        <f t="shared" si="4"/>
        <v>0</v>
      </c>
      <c r="AA55" s="67"/>
      <c r="AB55" s="67"/>
      <c r="AC55" s="67"/>
      <c r="AD55" s="99" t="e">
        <f t="shared" ca="1" si="5"/>
        <v>#DIV/0!</v>
      </c>
      <c r="AE55" s="67"/>
      <c r="AF55" s="67"/>
      <c r="AG55" s="67"/>
      <c r="AH55" s="67"/>
      <c r="AI55" s="67"/>
      <c r="AJ55" s="67"/>
      <c r="AK55" s="67"/>
      <c r="AL55" s="67"/>
      <c r="AM55" s="67"/>
      <c r="AN55" s="67"/>
      <c r="AO55" s="67"/>
      <c r="AP55" s="67"/>
      <c r="AQ55" s="67"/>
      <c r="AR55" s="67"/>
      <c r="AS55" s="67"/>
      <c r="AT55" s="67"/>
    </row>
    <row r="56" spans="1:46" ht="84" hidden="1" x14ac:dyDescent="0.2">
      <c r="A56" s="67"/>
      <c r="B56" s="96"/>
      <c r="C5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6" s="20" t="str">
        <f ca="1">IFERROR(__xludf.DUMMYFUNCTION("""COMPUTED_VALUE"""),"МинЖКХ")</f>
        <v>МинЖКХ</v>
      </c>
      <c r="E56" s="20" t="str">
        <f ca="1">IFERROR(__xludf.DUMMYFUNCTION("""COMPUTED_VALUE"""),"Реконструкция ВЗУ №1Ул. Крупской  г.о. Солнечногорск")</f>
        <v>Реконструкция ВЗУ №1Ул. Крупской  г.о. Солнечногорск</v>
      </c>
      <c r="F56" s="67"/>
      <c r="G56" s="67" t="str">
        <f ca="1">IFERROR(__xludf.DUMMYFUNCTION("""COMPUTED_VALUE"""),"г.о. Солнечногорск")</f>
        <v>г.о. Солнечногорск</v>
      </c>
      <c r="H56" s="67" t="str">
        <f ca="1">IFERROR(__xludf.DUMMYFUNCTION("""COMPUTED_VALUE"""),"Н/Л")</f>
        <v>Н/Л</v>
      </c>
      <c r="I56" s="67" t="str">
        <f ca="1">IFERROR(__xludf.DUMMYFUNCTION("""COMPUTED_VALUE"""),"10 1 G552430
")</f>
        <v xml:space="preserve">10 1 G552430
</v>
      </c>
      <c r="J56" s="67">
        <f ca="1">IFERROR(__xludf.DUMMYFUNCTION("""COMPUTED_VALUE"""),522)</f>
        <v>522</v>
      </c>
      <c r="K56" s="97">
        <f t="shared" ca="1" si="1"/>
        <v>0</v>
      </c>
      <c r="L56" s="97">
        <f ca="1">IFERROR(__xludf.DUMMYFUNCTION("""COMPUTED_VALUE"""),0)</f>
        <v>0</v>
      </c>
      <c r="M56" s="97">
        <f ca="1">IFERROR(__xludf.DUMMYFUNCTION("""COMPUTED_VALUE"""),0)</f>
        <v>0</v>
      </c>
      <c r="N56" s="67"/>
      <c r="O56" s="97">
        <f ca="1">IFERROR(__xludf.DUMMYFUNCTION("""COMPUTED_VALUE"""),0)</f>
        <v>0</v>
      </c>
      <c r="P56" s="97">
        <f t="shared" ca="1" si="2"/>
        <v>0</v>
      </c>
      <c r="Q56" s="67"/>
      <c r="R56" s="67"/>
      <c r="S56" s="97">
        <f ca="1">IFERROR(__xludf.DUMMYFUNCTION("""COMPUTED_VALUE"""),0)</f>
        <v>0</v>
      </c>
      <c r="T56" s="97">
        <f ca="1">IFERROR(__xludf.DUMMYFUNCTION("""COMPUTED_VALUE"""),0)</f>
        <v>0</v>
      </c>
      <c r="U56" s="97">
        <f ca="1">IFERROR(__xludf.DUMMYFUNCTION("""COMPUTED_VALUE"""),0)</f>
        <v>0</v>
      </c>
      <c r="V56" s="97">
        <f ca="1">IFERROR(__xludf.DUMMYFUNCTION("""COMPUTED_VALUE"""),0)</f>
        <v>0</v>
      </c>
      <c r="W56" s="97">
        <f ca="1">IFERROR(__xludf.DUMMYFUNCTION("""COMPUTED_VALUE"""),0)</f>
        <v>0</v>
      </c>
      <c r="X56" s="97">
        <f ca="1">IFERROR(__xludf.DUMMYFUNCTION("""COMPUTED_VALUE"""),0)</f>
        <v>0</v>
      </c>
      <c r="Y56" s="97">
        <f t="shared" ca="1" si="3"/>
        <v>0</v>
      </c>
      <c r="Z56" s="67">
        <f t="shared" si="4"/>
        <v>0</v>
      </c>
      <c r="AA56" s="67"/>
      <c r="AB56" s="67"/>
      <c r="AC56" s="67"/>
      <c r="AD56" s="99" t="e">
        <f t="shared" ca="1" si="5"/>
        <v>#DIV/0!</v>
      </c>
      <c r="AE56" s="67"/>
      <c r="AF56" s="67"/>
      <c r="AG56" s="67"/>
      <c r="AH56" s="67"/>
      <c r="AI56" s="67"/>
      <c r="AJ56" s="67"/>
      <c r="AK56" s="67"/>
      <c r="AL56" s="67"/>
      <c r="AM56" s="67"/>
      <c r="AN56" s="67"/>
      <c r="AO56" s="67"/>
      <c r="AP56" s="67"/>
      <c r="AQ56" s="67"/>
      <c r="AR56" s="67"/>
      <c r="AS56" s="67"/>
      <c r="AT56" s="67"/>
    </row>
    <row r="57" spans="1:46" ht="84" hidden="1" x14ac:dyDescent="0.2">
      <c r="A57" s="67"/>
      <c r="B57" s="96"/>
      <c r="C5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7" s="20" t="str">
        <f ca="1">IFERROR(__xludf.DUMMYFUNCTION("""COMPUTED_VALUE"""),"МинЖКХ")</f>
        <v>МинЖКХ</v>
      </c>
      <c r="E57" s="20" t="str">
        <f ca="1">IFERROR(__xludf.DUMMYFUNCTION("""COMPUTED_VALUE"""),"Реконструкция ВЗУ №3 пос. Матросова  г.о. Солнечногорск")</f>
        <v>Реконструкция ВЗУ №3 пос. Матросова  г.о. Солнечногорск</v>
      </c>
      <c r="F57" s="67"/>
      <c r="G57" s="67" t="str">
        <f ca="1">IFERROR(__xludf.DUMMYFUNCTION("""COMPUTED_VALUE"""),"г.о. Солнечногорск")</f>
        <v>г.о. Солнечногорск</v>
      </c>
      <c r="H57" s="67" t="str">
        <f ca="1">IFERROR(__xludf.DUMMYFUNCTION("""COMPUTED_VALUE"""),"Н/Л")</f>
        <v>Н/Л</v>
      </c>
      <c r="I57" s="67" t="str">
        <f ca="1">IFERROR(__xludf.DUMMYFUNCTION("""COMPUTED_VALUE"""),"10 1 G552430
")</f>
        <v xml:space="preserve">10 1 G552430
</v>
      </c>
      <c r="J57" s="67">
        <f ca="1">IFERROR(__xludf.DUMMYFUNCTION("""COMPUTED_VALUE"""),522)</f>
        <v>522</v>
      </c>
      <c r="K57" s="97">
        <f t="shared" ca="1" si="1"/>
        <v>0</v>
      </c>
      <c r="L57" s="97">
        <f ca="1">IFERROR(__xludf.DUMMYFUNCTION("""COMPUTED_VALUE"""),0)</f>
        <v>0</v>
      </c>
      <c r="M57" s="97">
        <f ca="1">IFERROR(__xludf.DUMMYFUNCTION("""COMPUTED_VALUE"""),0)</f>
        <v>0</v>
      </c>
      <c r="N57" s="67"/>
      <c r="O57" s="97">
        <f ca="1">IFERROR(__xludf.DUMMYFUNCTION("""COMPUTED_VALUE"""),0)</f>
        <v>0</v>
      </c>
      <c r="P57" s="97">
        <f t="shared" ca="1" si="2"/>
        <v>0</v>
      </c>
      <c r="Q57" s="67"/>
      <c r="R57" s="67"/>
      <c r="S57" s="97">
        <f ca="1">IFERROR(__xludf.DUMMYFUNCTION("""COMPUTED_VALUE"""),0)</f>
        <v>0</v>
      </c>
      <c r="T57" s="97">
        <f ca="1">IFERROR(__xludf.DUMMYFUNCTION("""COMPUTED_VALUE"""),0)</f>
        <v>0</v>
      </c>
      <c r="U57" s="97">
        <f ca="1">IFERROR(__xludf.DUMMYFUNCTION("""COMPUTED_VALUE"""),0)</f>
        <v>0</v>
      </c>
      <c r="V57" s="97">
        <f ca="1">IFERROR(__xludf.DUMMYFUNCTION("""COMPUTED_VALUE"""),0)</f>
        <v>0</v>
      </c>
      <c r="W57" s="97">
        <f ca="1">IFERROR(__xludf.DUMMYFUNCTION("""COMPUTED_VALUE"""),0)</f>
        <v>0</v>
      </c>
      <c r="X57" s="97">
        <f ca="1">IFERROR(__xludf.DUMMYFUNCTION("""COMPUTED_VALUE"""),0)</f>
        <v>0</v>
      </c>
      <c r="Y57" s="97">
        <f t="shared" ca="1" si="3"/>
        <v>0</v>
      </c>
      <c r="Z57" s="67">
        <f t="shared" si="4"/>
        <v>0</v>
      </c>
      <c r="AA57" s="67"/>
      <c r="AB57" s="67"/>
      <c r="AC57" s="67"/>
      <c r="AD57" s="99" t="e">
        <f t="shared" ca="1" si="5"/>
        <v>#DIV/0!</v>
      </c>
      <c r="AE57" s="67"/>
      <c r="AF57" s="67"/>
      <c r="AG57" s="67"/>
      <c r="AH57" s="67"/>
      <c r="AI57" s="67"/>
      <c r="AJ57" s="67"/>
      <c r="AK57" s="67"/>
      <c r="AL57" s="67"/>
      <c r="AM57" s="67"/>
      <c r="AN57" s="67"/>
      <c r="AO57" s="67"/>
      <c r="AP57" s="67"/>
      <c r="AQ57" s="67"/>
      <c r="AR57" s="67"/>
      <c r="AS57" s="67"/>
      <c r="AT57" s="67"/>
    </row>
    <row r="58" spans="1:46" ht="84" hidden="1" x14ac:dyDescent="0.2">
      <c r="A58" s="67"/>
      <c r="B58" s="96"/>
      <c r="C5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8" s="20" t="str">
        <f ca="1">IFERROR(__xludf.DUMMYFUNCTION("""COMPUTED_VALUE"""),"МинЖКХ")</f>
        <v>МинЖКХ</v>
      </c>
      <c r="E58" s="20" t="str">
        <f ca="1">IFERROR(__xludf.DUMMYFUNCTION("""COMPUTED_VALUE"""),"Реконструкция ВЗУ №9 пос. Сан.МО  г.о. Солнечногорск")</f>
        <v>Реконструкция ВЗУ №9 пос. Сан.МО  г.о. Солнечногорск</v>
      </c>
      <c r="F58" s="67" t="str">
        <f ca="1">IFERROR(__xludf.DUMMYFUNCTION("""COMPUTED_VALUE"""),"СМР")</f>
        <v>СМР</v>
      </c>
      <c r="G58" s="67" t="str">
        <f ca="1">IFERROR(__xludf.DUMMYFUNCTION("""COMPUTED_VALUE"""),"г.о. Солнечногорск")</f>
        <v>г.о. Солнечногорск</v>
      </c>
      <c r="H58" s="67">
        <f ca="1">IFERROR(__xludf.DUMMYFUNCTION("""COMPUTED_VALUE"""),2022)</f>
        <v>2022</v>
      </c>
      <c r="I58" s="67" t="str">
        <f ca="1">IFERROR(__xludf.DUMMYFUNCTION("""COMPUTED_VALUE"""),"10 1 G552430
")</f>
        <v xml:space="preserve">10 1 G552430
</v>
      </c>
      <c r="J58" s="67">
        <f ca="1">IFERROR(__xludf.DUMMYFUNCTION("""COMPUTED_VALUE"""),522)</f>
        <v>522</v>
      </c>
      <c r="K58" s="97">
        <f t="shared" ca="1" si="1"/>
        <v>0</v>
      </c>
      <c r="L58" s="97">
        <f ca="1">IFERROR(__xludf.DUMMYFUNCTION("""COMPUTED_VALUE"""),0)</f>
        <v>0</v>
      </c>
      <c r="M58" s="97">
        <f ca="1">IFERROR(__xludf.DUMMYFUNCTION("""COMPUTED_VALUE"""),0)</f>
        <v>0</v>
      </c>
      <c r="N58" s="67"/>
      <c r="O58" s="97">
        <f ca="1">IFERROR(__xludf.DUMMYFUNCTION("""COMPUTED_VALUE"""),0)</f>
        <v>0</v>
      </c>
      <c r="P58" s="97">
        <f t="shared" ca="1" si="2"/>
        <v>0</v>
      </c>
      <c r="Q58" s="67"/>
      <c r="R58" s="67"/>
      <c r="S58" s="97">
        <f ca="1">IFERROR(__xludf.DUMMYFUNCTION("""COMPUTED_VALUE"""),0)</f>
        <v>0</v>
      </c>
      <c r="T58" s="97">
        <f ca="1">IFERROR(__xludf.DUMMYFUNCTION("""COMPUTED_VALUE"""),0)</f>
        <v>0</v>
      </c>
      <c r="U58" s="97">
        <f ca="1">IFERROR(__xludf.DUMMYFUNCTION("""COMPUTED_VALUE"""),0)</f>
        <v>0</v>
      </c>
      <c r="V58" s="97">
        <f ca="1">IFERROR(__xludf.DUMMYFUNCTION("""COMPUTED_VALUE"""),0)</f>
        <v>0</v>
      </c>
      <c r="W58" s="97">
        <f ca="1">IFERROR(__xludf.DUMMYFUNCTION("""COMPUTED_VALUE"""),0)</f>
        <v>0</v>
      </c>
      <c r="X58" s="97">
        <f ca="1">IFERROR(__xludf.DUMMYFUNCTION("""COMPUTED_VALUE"""),0)</f>
        <v>0</v>
      </c>
      <c r="Y58" s="97">
        <f t="shared" ca="1" si="3"/>
        <v>0</v>
      </c>
      <c r="Z58" s="67">
        <f t="shared" si="4"/>
        <v>0</v>
      </c>
      <c r="AA58" s="67"/>
      <c r="AB58" s="67"/>
      <c r="AC58" s="67"/>
      <c r="AD58" s="99" t="e">
        <f t="shared" ca="1" si="5"/>
        <v>#DIV/0!</v>
      </c>
      <c r="AE58" s="67"/>
      <c r="AF58" s="67"/>
      <c r="AG58" s="67"/>
      <c r="AH58" s="67"/>
      <c r="AI58" s="67"/>
      <c r="AJ58" s="67"/>
      <c r="AK58" s="67"/>
      <c r="AL58" s="67"/>
      <c r="AM58" s="67"/>
      <c r="AN58" s="67"/>
      <c r="AO58" s="67"/>
      <c r="AP58" s="67"/>
      <c r="AQ58" s="67"/>
      <c r="AR58" s="67"/>
      <c r="AS58" s="67"/>
      <c r="AT58" s="67"/>
    </row>
    <row r="59" spans="1:46" ht="84" hidden="1" x14ac:dyDescent="0.2">
      <c r="A59" s="67"/>
      <c r="B59" s="96"/>
      <c r="C5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9" s="20" t="str">
        <f ca="1">IFERROR(__xludf.DUMMYFUNCTION("""COMPUTED_VALUE"""),"МинЖКХ")</f>
        <v>МинЖКХ</v>
      </c>
      <c r="E59" s="20" t="str">
        <f ca="1">IFERROR(__xludf.DUMMYFUNCTION("""COMPUTED_VALUE"""),"Реконструкция ВЗУ №14  д. Новая  городского округа Солнечногорск (доукомплектация станцией очистки воды) (в т.ч. Тех.присоединение)")</f>
        <v>Реконструкция ВЗУ №14  д. Новая  городского округа Солнечногорск (доукомплектация станцией очистки воды) (в т.ч. Тех.присоединение)</v>
      </c>
      <c r="F59" s="67" t="str">
        <f ca="1">IFERROR(__xludf.DUMMYFUNCTION("""COMPUTED_VALUE"""),"СМР")</f>
        <v>СМР</v>
      </c>
      <c r="G59" s="67" t="str">
        <f ca="1">IFERROR(__xludf.DUMMYFUNCTION("""COMPUTED_VALUE"""),"г.о. Солнечногорск")</f>
        <v>г.о. Солнечногорск</v>
      </c>
      <c r="H59" s="67">
        <f ca="1">IFERROR(__xludf.DUMMYFUNCTION("""COMPUTED_VALUE"""),2021)</f>
        <v>2021</v>
      </c>
      <c r="I59" s="67" t="str">
        <f ca="1">IFERROR(__xludf.DUMMYFUNCTION("""COMPUTED_VALUE"""),"10 1 G552430
")</f>
        <v xml:space="preserve">10 1 G552430
</v>
      </c>
      <c r="J59" s="67">
        <f ca="1">IFERROR(__xludf.DUMMYFUNCTION("""COMPUTED_VALUE"""),522)</f>
        <v>522</v>
      </c>
      <c r="K59" s="97">
        <f t="shared" ca="1" si="1"/>
        <v>0</v>
      </c>
      <c r="L59" s="97">
        <f ca="1">IFERROR(__xludf.DUMMYFUNCTION("""COMPUTED_VALUE"""),0)</f>
        <v>0</v>
      </c>
      <c r="M59" s="97">
        <f ca="1">IFERROR(__xludf.DUMMYFUNCTION("""COMPUTED_VALUE"""),0)</f>
        <v>0</v>
      </c>
      <c r="N59" s="67"/>
      <c r="O59" s="97">
        <f ca="1">IFERROR(__xludf.DUMMYFUNCTION("""COMPUTED_VALUE"""),0)</f>
        <v>0</v>
      </c>
      <c r="P59" s="97">
        <f t="shared" ca="1" si="2"/>
        <v>0</v>
      </c>
      <c r="Q59" s="67"/>
      <c r="R59" s="67"/>
      <c r="S59" s="97">
        <f ca="1">IFERROR(__xludf.DUMMYFUNCTION("""COMPUTED_VALUE"""),0)</f>
        <v>0</v>
      </c>
      <c r="T59" s="97">
        <f ca="1">IFERROR(__xludf.DUMMYFUNCTION("""COMPUTED_VALUE"""),0)</f>
        <v>0</v>
      </c>
      <c r="U59" s="97">
        <f ca="1">IFERROR(__xludf.DUMMYFUNCTION("""COMPUTED_VALUE"""),0)</f>
        <v>0</v>
      </c>
      <c r="V59" s="97">
        <f ca="1">IFERROR(__xludf.DUMMYFUNCTION("""COMPUTED_VALUE"""),0)</f>
        <v>0</v>
      </c>
      <c r="W59" s="97">
        <f ca="1">IFERROR(__xludf.DUMMYFUNCTION("""COMPUTED_VALUE"""),0)</f>
        <v>0</v>
      </c>
      <c r="X59" s="97">
        <f ca="1">IFERROR(__xludf.DUMMYFUNCTION("""COMPUTED_VALUE"""),0)</f>
        <v>0</v>
      </c>
      <c r="Y59" s="97">
        <f t="shared" ca="1" si="3"/>
        <v>0</v>
      </c>
      <c r="Z59" s="67">
        <f t="shared" si="4"/>
        <v>0</v>
      </c>
      <c r="AA59" s="67"/>
      <c r="AB59" s="67"/>
      <c r="AC59" s="67"/>
      <c r="AD59" s="99" t="e">
        <f t="shared" ca="1" si="5"/>
        <v>#DIV/0!</v>
      </c>
      <c r="AE59" s="67"/>
      <c r="AF59" s="67"/>
      <c r="AG59" s="67"/>
      <c r="AH59" s="67"/>
      <c r="AI59" s="67"/>
      <c r="AJ59" s="67"/>
      <c r="AK59" s="67"/>
      <c r="AL59" s="67"/>
      <c r="AM59" s="67"/>
      <c r="AN59" s="67"/>
      <c r="AO59" s="67"/>
      <c r="AP59" s="67"/>
      <c r="AQ59" s="67"/>
      <c r="AR59" s="67"/>
      <c r="AS59" s="67"/>
      <c r="AT59" s="67"/>
    </row>
    <row r="60" spans="1:46" ht="84" hidden="1" x14ac:dyDescent="0.2">
      <c r="A60" s="67"/>
      <c r="B60" s="96"/>
      <c r="C6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0" s="20" t="str">
        <f ca="1">IFERROR(__xludf.DUMMYFUNCTION("""COMPUTED_VALUE"""),"МинЖКХ")</f>
        <v>МинЖКХ</v>
      </c>
      <c r="E60" s="20" t="str">
        <f ca="1">IFERROR(__xludf.DUMMYFUNCTION("""COMPUTED_VALUE"""),"Реконструкция ВЗУ №19 д. Толстяково г.о. Солнечногорск")</f>
        <v>Реконструкция ВЗУ №19 д. Толстяково г.о. Солнечногорск</v>
      </c>
      <c r="F60" s="67" t="str">
        <f ca="1">IFERROR(__xludf.DUMMYFUNCTION("""COMPUTED_VALUE"""),"СМР")</f>
        <v>СМР</v>
      </c>
      <c r="G60" s="67" t="str">
        <f ca="1">IFERROR(__xludf.DUMMYFUNCTION("""COMPUTED_VALUE"""),"г.о. Солнечногорск")</f>
        <v>г.о. Солнечногорск</v>
      </c>
      <c r="H60" s="67">
        <f ca="1">IFERROR(__xludf.DUMMYFUNCTION("""COMPUTED_VALUE"""),2022)</f>
        <v>2022</v>
      </c>
      <c r="I60" s="67" t="str">
        <f ca="1">IFERROR(__xludf.DUMMYFUNCTION("""COMPUTED_VALUE"""),"10 1 G552430
")</f>
        <v xml:space="preserve">10 1 G552430
</v>
      </c>
      <c r="J60" s="67">
        <f ca="1">IFERROR(__xludf.DUMMYFUNCTION("""COMPUTED_VALUE"""),522)</f>
        <v>522</v>
      </c>
      <c r="K60" s="97">
        <f t="shared" ca="1" si="1"/>
        <v>0</v>
      </c>
      <c r="L60" s="97">
        <f ca="1">IFERROR(__xludf.DUMMYFUNCTION("""COMPUTED_VALUE"""),0)</f>
        <v>0</v>
      </c>
      <c r="M60" s="97">
        <f ca="1">IFERROR(__xludf.DUMMYFUNCTION("""COMPUTED_VALUE"""),0)</f>
        <v>0</v>
      </c>
      <c r="N60" s="67"/>
      <c r="O60" s="97">
        <f ca="1">IFERROR(__xludf.DUMMYFUNCTION("""COMPUTED_VALUE"""),0)</f>
        <v>0</v>
      </c>
      <c r="P60" s="97">
        <f t="shared" ca="1" si="2"/>
        <v>0</v>
      </c>
      <c r="Q60" s="67"/>
      <c r="R60" s="67"/>
      <c r="S60" s="97">
        <f ca="1">IFERROR(__xludf.DUMMYFUNCTION("""COMPUTED_VALUE"""),0)</f>
        <v>0</v>
      </c>
      <c r="T60" s="97">
        <f ca="1">IFERROR(__xludf.DUMMYFUNCTION("""COMPUTED_VALUE"""),0)</f>
        <v>0</v>
      </c>
      <c r="U60" s="97">
        <f ca="1">IFERROR(__xludf.DUMMYFUNCTION("""COMPUTED_VALUE"""),0)</f>
        <v>0</v>
      </c>
      <c r="V60" s="97">
        <f ca="1">IFERROR(__xludf.DUMMYFUNCTION("""COMPUTED_VALUE"""),0)</f>
        <v>0</v>
      </c>
      <c r="W60" s="97">
        <f ca="1">IFERROR(__xludf.DUMMYFUNCTION("""COMPUTED_VALUE"""),0)</f>
        <v>0</v>
      </c>
      <c r="X60" s="97">
        <f ca="1">IFERROR(__xludf.DUMMYFUNCTION("""COMPUTED_VALUE"""),0)</f>
        <v>0</v>
      </c>
      <c r="Y60" s="97">
        <f t="shared" ca="1" si="3"/>
        <v>0</v>
      </c>
      <c r="Z60" s="67">
        <f t="shared" si="4"/>
        <v>0</v>
      </c>
      <c r="AA60" s="67"/>
      <c r="AB60" s="67"/>
      <c r="AC60" s="67"/>
      <c r="AD60" s="99" t="e">
        <f t="shared" ca="1" si="5"/>
        <v>#DIV/0!</v>
      </c>
      <c r="AE60" s="67"/>
      <c r="AF60" s="67"/>
      <c r="AG60" s="67"/>
      <c r="AH60" s="67"/>
      <c r="AI60" s="67"/>
      <c r="AJ60" s="67"/>
      <c r="AK60" s="67"/>
      <c r="AL60" s="67"/>
      <c r="AM60" s="67"/>
      <c r="AN60" s="67"/>
      <c r="AO60" s="67"/>
      <c r="AP60" s="67"/>
      <c r="AQ60" s="67"/>
      <c r="AR60" s="67"/>
      <c r="AS60" s="67"/>
      <c r="AT60" s="67"/>
    </row>
    <row r="61" spans="1:46" ht="84" hidden="1" x14ac:dyDescent="0.2">
      <c r="A61" s="67"/>
      <c r="B61" s="96"/>
      <c r="C6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1" s="20" t="str">
        <f ca="1">IFERROR(__xludf.DUMMYFUNCTION("""COMPUTED_VALUE"""),"МинЖКХ")</f>
        <v>МинЖКХ</v>
      </c>
      <c r="E61" s="20" t="str">
        <f ca="1">IFERROR(__xludf.DUMMYFUNCTION("""COMPUTED_VALUE"""),"Реконструкция ВЗУ №1 д.п. Поварово мкрн. Поваровка городского округа Солнечногорск (доукомплектация станцией очистки воды)")</f>
        <v>Реконструкция ВЗУ №1 д.п. Поварово мкрн. Поваровка городского округа Солнечногорск (доукомплектация станцией очистки воды)</v>
      </c>
      <c r="F61" s="67" t="str">
        <f ca="1">IFERROR(__xludf.DUMMYFUNCTION("""COMPUTED_VALUE"""),"СМР")</f>
        <v>СМР</v>
      </c>
      <c r="G61" s="67" t="str">
        <f ca="1">IFERROR(__xludf.DUMMYFUNCTION("""COMPUTED_VALUE"""),"г.о. Солнечногорск")</f>
        <v>г.о. Солнечногорск</v>
      </c>
      <c r="H61" s="67" t="str">
        <f ca="1">IFERROR(__xludf.DUMMYFUNCTION("""COMPUTED_VALUE"""),"2021-2022")</f>
        <v>2021-2022</v>
      </c>
      <c r="I61" s="67" t="str">
        <f ca="1">IFERROR(__xludf.DUMMYFUNCTION("""COMPUTED_VALUE"""),"10 1 G552430
")</f>
        <v xml:space="preserve">10 1 G552430
</v>
      </c>
      <c r="J61" s="67">
        <f ca="1">IFERROR(__xludf.DUMMYFUNCTION("""COMPUTED_VALUE"""),522)</f>
        <v>522</v>
      </c>
      <c r="K61" s="97">
        <f t="shared" ca="1" si="1"/>
        <v>0</v>
      </c>
      <c r="L61" s="97">
        <f ca="1">IFERROR(__xludf.DUMMYFUNCTION("""COMPUTED_VALUE"""),0)</f>
        <v>0</v>
      </c>
      <c r="M61" s="97">
        <f ca="1">IFERROR(__xludf.DUMMYFUNCTION("""COMPUTED_VALUE"""),0)</f>
        <v>0</v>
      </c>
      <c r="N61" s="67"/>
      <c r="O61" s="97">
        <f ca="1">IFERROR(__xludf.DUMMYFUNCTION("""COMPUTED_VALUE"""),0)</f>
        <v>0</v>
      </c>
      <c r="P61" s="97">
        <f t="shared" ca="1" si="2"/>
        <v>0</v>
      </c>
      <c r="Q61" s="67"/>
      <c r="R61" s="67"/>
      <c r="S61" s="97">
        <f ca="1">IFERROR(__xludf.DUMMYFUNCTION("""COMPUTED_VALUE"""),0)</f>
        <v>0</v>
      </c>
      <c r="T61" s="97">
        <f ca="1">IFERROR(__xludf.DUMMYFUNCTION("""COMPUTED_VALUE"""),0)</f>
        <v>0</v>
      </c>
      <c r="U61" s="97">
        <f ca="1">IFERROR(__xludf.DUMMYFUNCTION("""COMPUTED_VALUE"""),0)</f>
        <v>0</v>
      </c>
      <c r="V61" s="97">
        <f ca="1">IFERROR(__xludf.DUMMYFUNCTION("""COMPUTED_VALUE"""),0)</f>
        <v>0</v>
      </c>
      <c r="W61" s="97">
        <f ca="1">IFERROR(__xludf.DUMMYFUNCTION("""COMPUTED_VALUE"""),0)</f>
        <v>0</v>
      </c>
      <c r="X61" s="97">
        <f ca="1">IFERROR(__xludf.DUMMYFUNCTION("""COMPUTED_VALUE"""),0)</f>
        <v>0</v>
      </c>
      <c r="Y61" s="97">
        <f t="shared" ca="1" si="3"/>
        <v>0</v>
      </c>
      <c r="Z61" s="67">
        <f t="shared" si="4"/>
        <v>0</v>
      </c>
      <c r="AA61" s="67"/>
      <c r="AB61" s="67"/>
      <c r="AC61" s="67"/>
      <c r="AD61" s="99" t="e">
        <f t="shared" ca="1" si="5"/>
        <v>#DIV/0!</v>
      </c>
      <c r="AE61" s="67"/>
      <c r="AF61" s="67"/>
      <c r="AG61" s="67"/>
      <c r="AH61" s="67"/>
      <c r="AI61" s="67"/>
      <c r="AJ61" s="67"/>
      <c r="AK61" s="67"/>
      <c r="AL61" s="67"/>
      <c r="AM61" s="67"/>
      <c r="AN61" s="67"/>
      <c r="AO61" s="67"/>
      <c r="AP61" s="67"/>
      <c r="AQ61" s="67"/>
      <c r="AR61" s="67"/>
      <c r="AS61" s="67"/>
      <c r="AT61" s="67"/>
    </row>
    <row r="62" spans="1:46" ht="84" hidden="1" x14ac:dyDescent="0.2">
      <c r="A62" s="67"/>
      <c r="B62" s="96"/>
      <c r="C6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2" s="20" t="str">
        <f ca="1">IFERROR(__xludf.DUMMYFUNCTION("""COMPUTED_VALUE"""),"МинЖКХ")</f>
        <v>МинЖКХ</v>
      </c>
      <c r="E62" s="20" t="str">
        <f ca="1">IFERROR(__xludf.DUMMYFUNCTION("""COMPUTED_VALUE"""),"Реконструкция ВЗУ №3 п. Деденево, ул. Набережная, г.о. Дмтровский")</f>
        <v>Реконструкция ВЗУ №3 п. Деденево, ул. Набережная, г.о. Дмтровский</v>
      </c>
      <c r="F62" s="67"/>
      <c r="G62" s="67" t="str">
        <f ca="1">IFERROR(__xludf.DUMMYFUNCTION("""COMPUTED_VALUE"""),"г.о. Дмитровский")</f>
        <v>г.о. Дмитровский</v>
      </c>
      <c r="H62" s="67" t="str">
        <f ca="1">IFERROR(__xludf.DUMMYFUNCTION("""COMPUTED_VALUE"""),"Н/Л")</f>
        <v>Н/Л</v>
      </c>
      <c r="I62" s="67" t="str">
        <f ca="1">IFERROR(__xludf.DUMMYFUNCTION("""COMPUTED_VALUE"""),"10 1 G552430
")</f>
        <v xml:space="preserve">10 1 G552430
</v>
      </c>
      <c r="J62" s="67">
        <f ca="1">IFERROR(__xludf.DUMMYFUNCTION("""COMPUTED_VALUE"""),522)</f>
        <v>522</v>
      </c>
      <c r="K62" s="97">
        <f t="shared" ca="1" si="1"/>
        <v>0</v>
      </c>
      <c r="L62" s="97">
        <f ca="1">IFERROR(__xludf.DUMMYFUNCTION("""COMPUTED_VALUE"""),0)</f>
        <v>0</v>
      </c>
      <c r="M62" s="97">
        <f ca="1">IFERROR(__xludf.DUMMYFUNCTION("""COMPUTED_VALUE"""),0)</f>
        <v>0</v>
      </c>
      <c r="N62" s="67"/>
      <c r="O62" s="97">
        <f ca="1">IFERROR(__xludf.DUMMYFUNCTION("""COMPUTED_VALUE"""),0)</f>
        <v>0</v>
      </c>
      <c r="P62" s="97">
        <f t="shared" ca="1" si="2"/>
        <v>0</v>
      </c>
      <c r="Q62" s="67"/>
      <c r="R62" s="67"/>
      <c r="S62" s="97">
        <f ca="1">IFERROR(__xludf.DUMMYFUNCTION("""COMPUTED_VALUE"""),0)</f>
        <v>0</v>
      </c>
      <c r="T62" s="97">
        <f ca="1">IFERROR(__xludf.DUMMYFUNCTION("""COMPUTED_VALUE"""),0)</f>
        <v>0</v>
      </c>
      <c r="U62" s="97">
        <f ca="1">IFERROR(__xludf.DUMMYFUNCTION("""COMPUTED_VALUE"""),0)</f>
        <v>0</v>
      </c>
      <c r="V62" s="97">
        <f ca="1">IFERROR(__xludf.DUMMYFUNCTION("""COMPUTED_VALUE"""),0)</f>
        <v>0</v>
      </c>
      <c r="W62" s="97">
        <f ca="1">IFERROR(__xludf.DUMMYFUNCTION("""COMPUTED_VALUE"""),0)</f>
        <v>0</v>
      </c>
      <c r="X62" s="97">
        <f ca="1">IFERROR(__xludf.DUMMYFUNCTION("""COMPUTED_VALUE"""),0)</f>
        <v>0</v>
      </c>
      <c r="Y62" s="97">
        <f t="shared" ca="1" si="3"/>
        <v>0</v>
      </c>
      <c r="Z62" s="67">
        <f t="shared" si="4"/>
        <v>0</v>
      </c>
      <c r="AA62" s="67"/>
      <c r="AB62" s="67"/>
      <c r="AC62" s="67"/>
      <c r="AD62" s="99" t="e">
        <f t="shared" ca="1" si="5"/>
        <v>#DIV/0!</v>
      </c>
      <c r="AE62" s="67"/>
      <c r="AF62" s="67"/>
      <c r="AG62" s="67"/>
      <c r="AH62" s="67"/>
      <c r="AI62" s="67"/>
      <c r="AJ62" s="67"/>
      <c r="AK62" s="67"/>
      <c r="AL62" s="67"/>
      <c r="AM62" s="67"/>
      <c r="AN62" s="67"/>
      <c r="AO62" s="67"/>
      <c r="AP62" s="67"/>
      <c r="AQ62" s="67"/>
      <c r="AR62" s="67"/>
      <c r="AS62" s="67"/>
      <c r="AT62" s="67"/>
    </row>
    <row r="63" spans="1:46" ht="84" hidden="1" x14ac:dyDescent="0.2">
      <c r="A63" s="67"/>
      <c r="B63" s="96"/>
      <c r="C6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3" s="20" t="str">
        <f ca="1">IFERROR(__xludf.DUMMYFUNCTION("""COMPUTED_VALUE"""),"МинЖКХ")</f>
        <v>МинЖКХ</v>
      </c>
      <c r="E63" s="20" t="str">
        <f ca="1">IFERROR(__xludf.DUMMYFUNCTION("""COMPUTED_VALUE"""),"Реконструкция ВЗУ№1 г. Яхрома, ул. Рабочая; Дмитровский г.о")</f>
        <v>Реконструкция ВЗУ№1 г. Яхрома, ул. Рабочая; Дмитровский г.о</v>
      </c>
      <c r="F63" s="67" t="str">
        <f ca="1">IFERROR(__xludf.DUMMYFUNCTION("""COMPUTED_VALUE"""),"СМР")</f>
        <v>СМР</v>
      </c>
      <c r="G63" s="67" t="str">
        <f ca="1">IFERROR(__xludf.DUMMYFUNCTION("""COMPUTED_VALUE"""),"г.о. Дмитровский")</f>
        <v>г.о. Дмитровский</v>
      </c>
      <c r="H63" s="67">
        <f ca="1">IFERROR(__xludf.DUMMYFUNCTION("""COMPUTED_VALUE"""),2023)</f>
        <v>2023</v>
      </c>
      <c r="I63" s="67" t="str">
        <f ca="1">IFERROR(__xludf.DUMMYFUNCTION("""COMPUTED_VALUE"""),"10 1 G552430
")</f>
        <v xml:space="preserve">10 1 G552430
</v>
      </c>
      <c r="J63" s="67">
        <f ca="1">IFERROR(__xludf.DUMMYFUNCTION("""COMPUTED_VALUE"""),522)</f>
        <v>522</v>
      </c>
      <c r="K63" s="97">
        <f t="shared" ca="1" si="1"/>
        <v>0</v>
      </c>
      <c r="L63" s="97">
        <f ca="1">IFERROR(__xludf.DUMMYFUNCTION("""COMPUTED_VALUE"""),0)</f>
        <v>0</v>
      </c>
      <c r="M63" s="97">
        <f ca="1">IFERROR(__xludf.DUMMYFUNCTION("""COMPUTED_VALUE"""),0)</f>
        <v>0</v>
      </c>
      <c r="N63" s="67"/>
      <c r="O63" s="97">
        <f ca="1">IFERROR(__xludf.DUMMYFUNCTION("""COMPUTED_VALUE"""),0)</f>
        <v>0</v>
      </c>
      <c r="P63" s="97">
        <f t="shared" ca="1" si="2"/>
        <v>0</v>
      </c>
      <c r="Q63" s="67"/>
      <c r="R63" s="67"/>
      <c r="S63" s="97">
        <f ca="1">IFERROR(__xludf.DUMMYFUNCTION("""COMPUTED_VALUE"""),0)</f>
        <v>0</v>
      </c>
      <c r="T63" s="97">
        <f ca="1">IFERROR(__xludf.DUMMYFUNCTION("""COMPUTED_VALUE"""),0)</f>
        <v>0</v>
      </c>
      <c r="U63" s="97">
        <f ca="1">IFERROR(__xludf.DUMMYFUNCTION("""COMPUTED_VALUE"""),0)</f>
        <v>0</v>
      </c>
      <c r="V63" s="97">
        <f ca="1">IFERROR(__xludf.DUMMYFUNCTION("""COMPUTED_VALUE"""),0)</f>
        <v>0</v>
      </c>
      <c r="W63" s="97">
        <f ca="1">IFERROR(__xludf.DUMMYFUNCTION("""COMPUTED_VALUE"""),0)</f>
        <v>0</v>
      </c>
      <c r="X63" s="97">
        <f ca="1">IFERROR(__xludf.DUMMYFUNCTION("""COMPUTED_VALUE"""),0)</f>
        <v>0</v>
      </c>
      <c r="Y63" s="97">
        <f t="shared" ca="1" si="3"/>
        <v>0</v>
      </c>
      <c r="Z63" s="67">
        <f t="shared" si="4"/>
        <v>0</v>
      </c>
      <c r="AA63" s="67"/>
      <c r="AB63" s="67"/>
      <c r="AC63" s="67"/>
      <c r="AD63" s="99" t="e">
        <f t="shared" ca="1" si="5"/>
        <v>#DIV/0!</v>
      </c>
      <c r="AE63" s="67"/>
      <c r="AF63" s="67"/>
      <c r="AG63" s="67"/>
      <c r="AH63" s="67"/>
      <c r="AI63" s="67"/>
      <c r="AJ63" s="67"/>
      <c r="AK63" s="67"/>
      <c r="AL63" s="67"/>
      <c r="AM63" s="67"/>
      <c r="AN63" s="67"/>
      <c r="AO63" s="67"/>
      <c r="AP63" s="67"/>
      <c r="AQ63" s="67"/>
      <c r="AR63" s="67"/>
      <c r="AS63" s="67"/>
      <c r="AT63" s="67"/>
    </row>
    <row r="64" spans="1:46" ht="84" hidden="1" x14ac:dyDescent="0.2">
      <c r="A64" s="67"/>
      <c r="B64" s="96"/>
      <c r="C6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4" s="20" t="str">
        <f ca="1">IFERROR(__xludf.DUMMYFUNCTION("""COMPUTED_VALUE"""),"МинЖКХ")</f>
        <v>МинЖКХ</v>
      </c>
      <c r="E64" s="20" t="str">
        <f ca="1">IFERROR(__xludf.DUMMYFUNCTION("""COMPUTED_VALUE"""),"Реконструкция ВЗУ  п. Орево   г.о.")</f>
        <v>Реконструкция ВЗУ  п. Орево   г.о.</v>
      </c>
      <c r="F64" s="67" t="str">
        <f ca="1">IFERROR(__xludf.DUMMYFUNCTION("""COMPUTED_VALUE"""),"СМР")</f>
        <v>СМР</v>
      </c>
      <c r="G64" s="67" t="str">
        <f ca="1">IFERROR(__xludf.DUMMYFUNCTION("""COMPUTED_VALUE"""),"г.о. Дмитровский")</f>
        <v>г.о. Дмитровский</v>
      </c>
      <c r="H64" s="67">
        <f ca="1">IFERROR(__xludf.DUMMYFUNCTION("""COMPUTED_VALUE"""),2023)</f>
        <v>2023</v>
      </c>
      <c r="I64" s="67" t="str">
        <f ca="1">IFERROR(__xludf.DUMMYFUNCTION("""COMPUTED_VALUE"""),"10 1 G552430
")</f>
        <v xml:space="preserve">10 1 G552430
</v>
      </c>
      <c r="J64" s="67">
        <f ca="1">IFERROR(__xludf.DUMMYFUNCTION("""COMPUTED_VALUE"""),522)</f>
        <v>522</v>
      </c>
      <c r="K64" s="97">
        <f t="shared" ca="1" si="1"/>
        <v>0</v>
      </c>
      <c r="L64" s="97">
        <f ca="1">IFERROR(__xludf.DUMMYFUNCTION("""COMPUTED_VALUE"""),0)</f>
        <v>0</v>
      </c>
      <c r="M64" s="97">
        <f ca="1">IFERROR(__xludf.DUMMYFUNCTION("""COMPUTED_VALUE"""),0)</f>
        <v>0</v>
      </c>
      <c r="N64" s="67"/>
      <c r="O64" s="97">
        <f ca="1">IFERROR(__xludf.DUMMYFUNCTION("""COMPUTED_VALUE"""),0)</f>
        <v>0</v>
      </c>
      <c r="P64" s="97">
        <f t="shared" ca="1" si="2"/>
        <v>0</v>
      </c>
      <c r="Q64" s="67"/>
      <c r="R64" s="67"/>
      <c r="S64" s="97">
        <f ca="1">IFERROR(__xludf.DUMMYFUNCTION("""COMPUTED_VALUE"""),0)</f>
        <v>0</v>
      </c>
      <c r="T64" s="97">
        <f ca="1">IFERROR(__xludf.DUMMYFUNCTION("""COMPUTED_VALUE"""),0)</f>
        <v>0</v>
      </c>
      <c r="U64" s="97">
        <f ca="1">IFERROR(__xludf.DUMMYFUNCTION("""COMPUTED_VALUE"""),0)</f>
        <v>0</v>
      </c>
      <c r="V64" s="97">
        <f ca="1">IFERROR(__xludf.DUMMYFUNCTION("""COMPUTED_VALUE"""),0)</f>
        <v>0</v>
      </c>
      <c r="W64" s="97">
        <f ca="1">IFERROR(__xludf.DUMMYFUNCTION("""COMPUTED_VALUE"""),0)</f>
        <v>0</v>
      </c>
      <c r="X64" s="97">
        <f ca="1">IFERROR(__xludf.DUMMYFUNCTION("""COMPUTED_VALUE"""),0)</f>
        <v>0</v>
      </c>
      <c r="Y64" s="97">
        <f t="shared" ca="1" si="3"/>
        <v>0</v>
      </c>
      <c r="Z64" s="67">
        <f t="shared" si="4"/>
        <v>0</v>
      </c>
      <c r="AA64" s="67"/>
      <c r="AB64" s="67"/>
      <c r="AC64" s="67"/>
      <c r="AD64" s="99" t="e">
        <f t="shared" ca="1" si="5"/>
        <v>#DIV/0!</v>
      </c>
      <c r="AE64" s="67"/>
      <c r="AF64" s="67"/>
      <c r="AG64" s="67"/>
      <c r="AH64" s="67"/>
      <c r="AI64" s="67"/>
      <c r="AJ64" s="67"/>
      <c r="AK64" s="67"/>
      <c r="AL64" s="67"/>
      <c r="AM64" s="67"/>
      <c r="AN64" s="67"/>
      <c r="AO64" s="67"/>
      <c r="AP64" s="67"/>
      <c r="AQ64" s="67"/>
      <c r="AR64" s="67"/>
      <c r="AS64" s="67"/>
      <c r="AT64" s="67"/>
    </row>
    <row r="65" spans="1:46" ht="84" hidden="1" x14ac:dyDescent="0.2">
      <c r="A65" s="67"/>
      <c r="B65" s="96"/>
      <c r="C6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5" s="20" t="str">
        <f ca="1">IFERROR(__xludf.DUMMYFUNCTION("""COMPUTED_VALUE"""),"МинЖКХ")</f>
        <v>МинЖКХ</v>
      </c>
      <c r="E65" s="20" t="str">
        <f ca="1">IFERROR(__xludf.DUMMYFUNCTION("""COMPUTED_VALUE"""),"Реконструкция ВЗУп. Насадкино г.о. Дмтровский")</f>
        <v>Реконструкция ВЗУп. Насадкино г.о. Дмтровский</v>
      </c>
      <c r="F65" s="67"/>
      <c r="G65" s="67" t="str">
        <f ca="1">IFERROR(__xludf.DUMMYFUNCTION("""COMPUTED_VALUE"""),"г.о. Дмитровский")</f>
        <v>г.о. Дмитровский</v>
      </c>
      <c r="H65" s="67" t="str">
        <f ca="1">IFERROR(__xludf.DUMMYFUNCTION("""COMPUTED_VALUE"""),"Н/Л")</f>
        <v>Н/Л</v>
      </c>
      <c r="I65" s="67" t="str">
        <f ca="1">IFERROR(__xludf.DUMMYFUNCTION("""COMPUTED_VALUE"""),"10 1 G552430
")</f>
        <v xml:space="preserve">10 1 G552430
</v>
      </c>
      <c r="J65" s="67">
        <f ca="1">IFERROR(__xludf.DUMMYFUNCTION("""COMPUTED_VALUE"""),522)</f>
        <v>522</v>
      </c>
      <c r="K65" s="97">
        <f t="shared" ca="1" si="1"/>
        <v>0</v>
      </c>
      <c r="L65" s="97">
        <f ca="1">IFERROR(__xludf.DUMMYFUNCTION("""COMPUTED_VALUE"""),0)</f>
        <v>0</v>
      </c>
      <c r="M65" s="97">
        <f ca="1">IFERROR(__xludf.DUMMYFUNCTION("""COMPUTED_VALUE"""),0)</f>
        <v>0</v>
      </c>
      <c r="N65" s="67"/>
      <c r="O65" s="97">
        <f ca="1">IFERROR(__xludf.DUMMYFUNCTION("""COMPUTED_VALUE"""),0)</f>
        <v>0</v>
      </c>
      <c r="P65" s="97">
        <f t="shared" ca="1" si="2"/>
        <v>0</v>
      </c>
      <c r="Q65" s="67"/>
      <c r="R65" s="67"/>
      <c r="S65" s="97">
        <f ca="1">IFERROR(__xludf.DUMMYFUNCTION("""COMPUTED_VALUE"""),0)</f>
        <v>0</v>
      </c>
      <c r="T65" s="97">
        <f ca="1">IFERROR(__xludf.DUMMYFUNCTION("""COMPUTED_VALUE"""),0)</f>
        <v>0</v>
      </c>
      <c r="U65" s="97">
        <f ca="1">IFERROR(__xludf.DUMMYFUNCTION("""COMPUTED_VALUE"""),0)</f>
        <v>0</v>
      </c>
      <c r="V65" s="97">
        <f ca="1">IFERROR(__xludf.DUMMYFUNCTION("""COMPUTED_VALUE"""),0)</f>
        <v>0</v>
      </c>
      <c r="W65" s="97">
        <f ca="1">IFERROR(__xludf.DUMMYFUNCTION("""COMPUTED_VALUE"""),0)</f>
        <v>0</v>
      </c>
      <c r="X65" s="97">
        <f ca="1">IFERROR(__xludf.DUMMYFUNCTION("""COMPUTED_VALUE"""),0)</f>
        <v>0</v>
      </c>
      <c r="Y65" s="97">
        <f t="shared" ca="1" si="3"/>
        <v>0</v>
      </c>
      <c r="Z65" s="67">
        <f t="shared" si="4"/>
        <v>0</v>
      </c>
      <c r="AA65" s="67"/>
      <c r="AB65" s="67"/>
      <c r="AC65" s="67"/>
      <c r="AD65" s="99" t="e">
        <f t="shared" ca="1" si="5"/>
        <v>#DIV/0!</v>
      </c>
      <c r="AE65" s="67"/>
      <c r="AF65" s="67"/>
      <c r="AG65" s="67"/>
      <c r="AH65" s="67"/>
      <c r="AI65" s="67"/>
      <c r="AJ65" s="67"/>
      <c r="AK65" s="67"/>
      <c r="AL65" s="67"/>
      <c r="AM65" s="67"/>
      <c r="AN65" s="67"/>
      <c r="AO65" s="67"/>
      <c r="AP65" s="67"/>
      <c r="AQ65" s="67"/>
      <c r="AR65" s="67"/>
      <c r="AS65" s="67"/>
      <c r="AT65" s="67"/>
    </row>
    <row r="66" spans="1:46" ht="84" hidden="1" x14ac:dyDescent="0.2">
      <c r="A66" s="67"/>
      <c r="B66" s="96"/>
      <c r="C6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6" s="20" t="str">
        <f ca="1">IFERROR(__xludf.DUMMYFUNCTION("""COMPUTED_VALUE"""),"МинЖКХ")</f>
        <v>МинЖКХ</v>
      </c>
      <c r="E66" s="20" t="str">
        <f ca="1">IFERROR(__xludf.DUMMYFUNCTION("""COMPUTED_VALUE"""),"Реконструкция ВЗУ д. Бунятино г.о. Дмтровский")</f>
        <v>Реконструкция ВЗУ д. Бунятино г.о. Дмтровский</v>
      </c>
      <c r="F66" s="67"/>
      <c r="G66" s="67" t="str">
        <f ca="1">IFERROR(__xludf.DUMMYFUNCTION("""COMPUTED_VALUE"""),"г.о. Дмитровский")</f>
        <v>г.о. Дмитровский</v>
      </c>
      <c r="H66" s="67" t="str">
        <f ca="1">IFERROR(__xludf.DUMMYFUNCTION("""COMPUTED_VALUE"""),"Н/Л")</f>
        <v>Н/Л</v>
      </c>
      <c r="I66" s="67" t="str">
        <f ca="1">IFERROR(__xludf.DUMMYFUNCTION("""COMPUTED_VALUE"""),"10 1 G552430
")</f>
        <v xml:space="preserve">10 1 G552430
</v>
      </c>
      <c r="J66" s="67">
        <f ca="1">IFERROR(__xludf.DUMMYFUNCTION("""COMPUTED_VALUE"""),522)</f>
        <v>522</v>
      </c>
      <c r="K66" s="97">
        <f t="shared" ca="1" si="1"/>
        <v>0</v>
      </c>
      <c r="L66" s="97">
        <f ca="1">IFERROR(__xludf.DUMMYFUNCTION("""COMPUTED_VALUE"""),0)</f>
        <v>0</v>
      </c>
      <c r="M66" s="97">
        <f ca="1">IFERROR(__xludf.DUMMYFUNCTION("""COMPUTED_VALUE"""),0)</f>
        <v>0</v>
      </c>
      <c r="N66" s="67"/>
      <c r="O66" s="97">
        <f ca="1">IFERROR(__xludf.DUMMYFUNCTION("""COMPUTED_VALUE"""),0)</f>
        <v>0</v>
      </c>
      <c r="P66" s="97">
        <f t="shared" ca="1" si="2"/>
        <v>0</v>
      </c>
      <c r="Q66" s="67"/>
      <c r="R66" s="67"/>
      <c r="S66" s="97">
        <f ca="1">IFERROR(__xludf.DUMMYFUNCTION("""COMPUTED_VALUE"""),0)</f>
        <v>0</v>
      </c>
      <c r="T66" s="97">
        <f ca="1">IFERROR(__xludf.DUMMYFUNCTION("""COMPUTED_VALUE"""),0)</f>
        <v>0</v>
      </c>
      <c r="U66" s="97">
        <f ca="1">IFERROR(__xludf.DUMMYFUNCTION("""COMPUTED_VALUE"""),0)</f>
        <v>0</v>
      </c>
      <c r="V66" s="97">
        <f ca="1">IFERROR(__xludf.DUMMYFUNCTION("""COMPUTED_VALUE"""),0)</f>
        <v>0</v>
      </c>
      <c r="W66" s="97">
        <f ca="1">IFERROR(__xludf.DUMMYFUNCTION("""COMPUTED_VALUE"""),0)</f>
        <v>0</v>
      </c>
      <c r="X66" s="97">
        <f ca="1">IFERROR(__xludf.DUMMYFUNCTION("""COMPUTED_VALUE"""),0)</f>
        <v>0</v>
      </c>
      <c r="Y66" s="97">
        <f t="shared" ca="1" si="3"/>
        <v>0</v>
      </c>
      <c r="Z66" s="67">
        <f t="shared" si="4"/>
        <v>0</v>
      </c>
      <c r="AA66" s="67"/>
      <c r="AB66" s="67"/>
      <c r="AC66" s="67"/>
      <c r="AD66" s="99" t="e">
        <f t="shared" ca="1" si="5"/>
        <v>#DIV/0!</v>
      </c>
      <c r="AE66" s="67"/>
      <c r="AF66" s="67"/>
      <c r="AG66" s="67"/>
      <c r="AH66" s="67"/>
      <c r="AI66" s="67"/>
      <c r="AJ66" s="67"/>
      <c r="AK66" s="67"/>
      <c r="AL66" s="67"/>
      <c r="AM66" s="67"/>
      <c r="AN66" s="67"/>
      <c r="AO66" s="67"/>
      <c r="AP66" s="67"/>
      <c r="AQ66" s="67"/>
      <c r="AR66" s="67"/>
      <c r="AS66" s="67"/>
      <c r="AT66" s="67"/>
    </row>
    <row r="67" spans="1:46" ht="84" hidden="1" x14ac:dyDescent="0.2">
      <c r="A67" s="67"/>
      <c r="B67" s="96"/>
      <c r="C6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7" s="20" t="str">
        <f ca="1">IFERROR(__xludf.DUMMYFUNCTION("""COMPUTED_VALUE"""),"МинЖКХ")</f>
        <v>МинЖКХ</v>
      </c>
      <c r="E67" s="20" t="str">
        <f ca="1">IFERROR(__xludf.DUMMYFUNCTION("""COMPUTED_VALUE"""),"Реконструкция ВЗУ д. Юркино Талдомский г.о.")</f>
        <v>Реконструкция ВЗУ д. Юркино Талдомский г.о.</v>
      </c>
      <c r="F67" s="67" t="str">
        <f ca="1">IFERROR(__xludf.DUMMYFUNCTION("""COMPUTED_VALUE"""),"СМР")</f>
        <v>СМР</v>
      </c>
      <c r="G67" s="67" t="str">
        <f ca="1">IFERROR(__xludf.DUMMYFUNCTION("""COMPUTED_VALUE"""),"г.о. Талдомский")</f>
        <v>г.о. Талдомский</v>
      </c>
      <c r="H67" s="67">
        <f ca="1">IFERROR(__xludf.DUMMYFUNCTION("""COMPUTED_VALUE"""),2023)</f>
        <v>2023</v>
      </c>
      <c r="I67" s="67" t="str">
        <f ca="1">IFERROR(__xludf.DUMMYFUNCTION("""COMPUTED_VALUE"""),"10 1 G552430
")</f>
        <v xml:space="preserve">10 1 G552430
</v>
      </c>
      <c r="J67" s="67">
        <f ca="1">IFERROR(__xludf.DUMMYFUNCTION("""COMPUTED_VALUE"""),522)</f>
        <v>522</v>
      </c>
      <c r="K67" s="97">
        <f t="shared" ca="1" si="1"/>
        <v>0</v>
      </c>
      <c r="L67" s="97">
        <f ca="1">IFERROR(__xludf.DUMMYFUNCTION("""COMPUTED_VALUE"""),0)</f>
        <v>0</v>
      </c>
      <c r="M67" s="97">
        <f ca="1">IFERROR(__xludf.DUMMYFUNCTION("""COMPUTED_VALUE"""),0)</f>
        <v>0</v>
      </c>
      <c r="N67" s="67"/>
      <c r="O67" s="97">
        <f ca="1">IFERROR(__xludf.DUMMYFUNCTION("""COMPUTED_VALUE"""),0)</f>
        <v>0</v>
      </c>
      <c r="P67" s="97">
        <f t="shared" ca="1" si="2"/>
        <v>0</v>
      </c>
      <c r="Q67" s="67"/>
      <c r="R67" s="67"/>
      <c r="S67" s="97">
        <f ca="1">IFERROR(__xludf.DUMMYFUNCTION("""COMPUTED_VALUE"""),0)</f>
        <v>0</v>
      </c>
      <c r="T67" s="97">
        <f ca="1">IFERROR(__xludf.DUMMYFUNCTION("""COMPUTED_VALUE"""),0)</f>
        <v>0</v>
      </c>
      <c r="U67" s="97">
        <f ca="1">IFERROR(__xludf.DUMMYFUNCTION("""COMPUTED_VALUE"""),0)</f>
        <v>0</v>
      </c>
      <c r="V67" s="97">
        <f ca="1">IFERROR(__xludf.DUMMYFUNCTION("""COMPUTED_VALUE"""),0)</f>
        <v>0</v>
      </c>
      <c r="W67" s="97">
        <f ca="1">IFERROR(__xludf.DUMMYFUNCTION("""COMPUTED_VALUE"""),0)</f>
        <v>0</v>
      </c>
      <c r="X67" s="97">
        <f ca="1">IFERROR(__xludf.DUMMYFUNCTION("""COMPUTED_VALUE"""),0)</f>
        <v>0</v>
      </c>
      <c r="Y67" s="97">
        <f t="shared" ca="1" si="3"/>
        <v>0</v>
      </c>
      <c r="Z67" s="67">
        <f t="shared" si="4"/>
        <v>0</v>
      </c>
      <c r="AA67" s="67"/>
      <c r="AB67" s="67"/>
      <c r="AC67" s="67"/>
      <c r="AD67" s="99" t="e">
        <f t="shared" ca="1" si="5"/>
        <v>#DIV/0!</v>
      </c>
      <c r="AE67" s="67"/>
      <c r="AF67" s="67"/>
      <c r="AG67" s="67"/>
      <c r="AH67" s="67"/>
      <c r="AI67" s="67"/>
      <c r="AJ67" s="67"/>
      <c r="AK67" s="67"/>
      <c r="AL67" s="67"/>
      <c r="AM67" s="67"/>
      <c r="AN67" s="67"/>
      <c r="AO67" s="67"/>
      <c r="AP67" s="67"/>
      <c r="AQ67" s="67"/>
      <c r="AR67" s="67"/>
      <c r="AS67" s="67"/>
      <c r="AT67" s="67"/>
    </row>
    <row r="68" spans="1:46" ht="84" hidden="1" x14ac:dyDescent="0.2">
      <c r="A68" s="67"/>
      <c r="B68" s="96"/>
      <c r="C6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8" s="20" t="str">
        <f ca="1">IFERROR(__xludf.DUMMYFUNCTION("""COMPUTED_VALUE"""),"МинЖКХ")</f>
        <v>МинЖКХ</v>
      </c>
      <c r="E68" s="20" t="str">
        <f ca="1">IFERROR(__xludf.DUMMYFUNCTION("""COMPUTED_VALUE"""),"Реконструкция ВЗУ Павловичи г.о. Талдомский")</f>
        <v>Реконструкция ВЗУ Павловичи г.о. Талдомский</v>
      </c>
      <c r="F68" s="67" t="str">
        <f ca="1">IFERROR(__xludf.DUMMYFUNCTION("""COMPUTED_VALUE"""),"СМР")</f>
        <v>СМР</v>
      </c>
      <c r="G68" s="67" t="str">
        <f ca="1">IFERROR(__xludf.DUMMYFUNCTION("""COMPUTED_VALUE"""),"г.о. Талдомский")</f>
        <v>г.о. Талдомский</v>
      </c>
      <c r="H68" s="67">
        <f ca="1">IFERROR(__xludf.DUMMYFUNCTION("""COMPUTED_VALUE"""),2022)</f>
        <v>2022</v>
      </c>
      <c r="I68" s="67" t="str">
        <f ca="1">IFERROR(__xludf.DUMMYFUNCTION("""COMPUTED_VALUE"""),"10 1 G552430
")</f>
        <v xml:space="preserve">10 1 G552430
</v>
      </c>
      <c r="J68" s="67">
        <f ca="1">IFERROR(__xludf.DUMMYFUNCTION("""COMPUTED_VALUE"""),522)</f>
        <v>522</v>
      </c>
      <c r="K68" s="97">
        <f t="shared" ca="1" si="1"/>
        <v>0</v>
      </c>
      <c r="L68" s="97">
        <f ca="1">IFERROR(__xludf.DUMMYFUNCTION("""COMPUTED_VALUE"""),0)</f>
        <v>0</v>
      </c>
      <c r="M68" s="97">
        <f ca="1">IFERROR(__xludf.DUMMYFUNCTION("""COMPUTED_VALUE"""),0)</f>
        <v>0</v>
      </c>
      <c r="N68" s="67"/>
      <c r="O68" s="97">
        <f ca="1">IFERROR(__xludf.DUMMYFUNCTION("""COMPUTED_VALUE"""),0)</f>
        <v>0</v>
      </c>
      <c r="P68" s="97">
        <f t="shared" ca="1" si="2"/>
        <v>0</v>
      </c>
      <c r="Q68" s="67"/>
      <c r="R68" s="67"/>
      <c r="S68" s="97">
        <f ca="1">IFERROR(__xludf.DUMMYFUNCTION("""COMPUTED_VALUE"""),0)</f>
        <v>0</v>
      </c>
      <c r="T68" s="97">
        <f ca="1">IFERROR(__xludf.DUMMYFUNCTION("""COMPUTED_VALUE"""),0)</f>
        <v>0</v>
      </c>
      <c r="U68" s="97">
        <f ca="1">IFERROR(__xludf.DUMMYFUNCTION("""COMPUTED_VALUE"""),0)</f>
        <v>0</v>
      </c>
      <c r="V68" s="97">
        <f ca="1">IFERROR(__xludf.DUMMYFUNCTION("""COMPUTED_VALUE"""),0)</f>
        <v>0</v>
      </c>
      <c r="W68" s="97">
        <f ca="1">IFERROR(__xludf.DUMMYFUNCTION("""COMPUTED_VALUE"""),0)</f>
        <v>0</v>
      </c>
      <c r="X68" s="97">
        <f ca="1">IFERROR(__xludf.DUMMYFUNCTION("""COMPUTED_VALUE"""),0)</f>
        <v>0</v>
      </c>
      <c r="Y68" s="97">
        <f t="shared" ca="1" si="3"/>
        <v>0</v>
      </c>
      <c r="Z68" s="67">
        <f t="shared" si="4"/>
        <v>0</v>
      </c>
      <c r="AA68" s="67"/>
      <c r="AB68" s="67"/>
      <c r="AC68" s="67"/>
      <c r="AD68" s="99" t="e">
        <f t="shared" ca="1" si="5"/>
        <v>#DIV/0!</v>
      </c>
      <c r="AE68" s="67"/>
      <c r="AF68" s="67"/>
      <c r="AG68" s="67"/>
      <c r="AH68" s="67"/>
      <c r="AI68" s="67"/>
      <c r="AJ68" s="67"/>
      <c r="AK68" s="67"/>
      <c r="AL68" s="67"/>
      <c r="AM68" s="67"/>
      <c r="AN68" s="67"/>
      <c r="AO68" s="67"/>
      <c r="AP68" s="67"/>
      <c r="AQ68" s="67"/>
      <c r="AR68" s="67"/>
      <c r="AS68" s="67"/>
      <c r="AT68" s="67"/>
    </row>
    <row r="69" spans="1:46" ht="84" hidden="1" x14ac:dyDescent="0.2">
      <c r="A69" s="67"/>
      <c r="B69" s="96"/>
      <c r="C6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9" s="20" t="str">
        <f ca="1">IFERROR(__xludf.DUMMYFUNCTION("""COMPUTED_VALUE"""),"МинЖКХ")</f>
        <v>МинЖКХ</v>
      </c>
      <c r="E69" s="20" t="str">
        <f ca="1">IFERROR(__xludf.DUMMYFUNCTION("""COMPUTED_VALUE"""),"Строительство ВЗУ №8 г. Волоколамск, ул. Мелиораторов, Волоколамский г.о.")</f>
        <v>Строительство ВЗУ №8 г. Волоколамск, ул. Мелиораторов, Волоколамский г.о.</v>
      </c>
      <c r="F69" s="67" t="str">
        <f ca="1">IFERROR(__xludf.DUMMYFUNCTION("""COMPUTED_VALUE"""),"СМР")</f>
        <v>СМР</v>
      </c>
      <c r="G69" s="67" t="str">
        <f ca="1">IFERROR(__xludf.DUMMYFUNCTION("""COMPUTED_VALUE"""),"г.о. Волоколамский")</f>
        <v>г.о. Волоколамский</v>
      </c>
      <c r="H69" s="67">
        <f ca="1">IFERROR(__xludf.DUMMYFUNCTION("""COMPUTED_VALUE"""),2022)</f>
        <v>2022</v>
      </c>
      <c r="I69" s="67" t="str">
        <f ca="1">IFERROR(__xludf.DUMMYFUNCTION("""COMPUTED_VALUE"""),"10 1 G552430
")</f>
        <v xml:space="preserve">10 1 G552430
</v>
      </c>
      <c r="J69" s="67">
        <f ca="1">IFERROR(__xludf.DUMMYFUNCTION("""COMPUTED_VALUE"""),522)</f>
        <v>522</v>
      </c>
      <c r="K69" s="97">
        <f t="shared" ca="1" si="1"/>
        <v>0</v>
      </c>
      <c r="L69" s="97">
        <f ca="1">IFERROR(__xludf.DUMMYFUNCTION("""COMPUTED_VALUE"""),0)</f>
        <v>0</v>
      </c>
      <c r="M69" s="97">
        <f ca="1">IFERROR(__xludf.DUMMYFUNCTION("""COMPUTED_VALUE"""),0)</f>
        <v>0</v>
      </c>
      <c r="N69" s="67"/>
      <c r="O69" s="97">
        <f ca="1">IFERROR(__xludf.DUMMYFUNCTION("""COMPUTED_VALUE"""),0)</f>
        <v>0</v>
      </c>
      <c r="P69" s="97">
        <f t="shared" ca="1" si="2"/>
        <v>0</v>
      </c>
      <c r="Q69" s="67"/>
      <c r="R69" s="67"/>
      <c r="S69" s="97">
        <f ca="1">IFERROR(__xludf.DUMMYFUNCTION("""COMPUTED_VALUE"""),0)</f>
        <v>0</v>
      </c>
      <c r="T69" s="97">
        <f ca="1">IFERROR(__xludf.DUMMYFUNCTION("""COMPUTED_VALUE"""),0)</f>
        <v>0</v>
      </c>
      <c r="U69" s="97">
        <f ca="1">IFERROR(__xludf.DUMMYFUNCTION("""COMPUTED_VALUE"""),0)</f>
        <v>0</v>
      </c>
      <c r="V69" s="97">
        <f ca="1">IFERROR(__xludf.DUMMYFUNCTION("""COMPUTED_VALUE"""),0)</f>
        <v>0</v>
      </c>
      <c r="W69" s="97">
        <f ca="1">IFERROR(__xludf.DUMMYFUNCTION("""COMPUTED_VALUE"""),0)</f>
        <v>0</v>
      </c>
      <c r="X69" s="97">
        <f ca="1">IFERROR(__xludf.DUMMYFUNCTION("""COMPUTED_VALUE"""),0)</f>
        <v>0</v>
      </c>
      <c r="Y69" s="97">
        <f t="shared" ca="1" si="3"/>
        <v>0</v>
      </c>
      <c r="Z69" s="67">
        <f t="shared" si="4"/>
        <v>0</v>
      </c>
      <c r="AA69" s="67"/>
      <c r="AB69" s="67"/>
      <c r="AC69" s="67"/>
      <c r="AD69" s="99" t="e">
        <f t="shared" ca="1" si="5"/>
        <v>#DIV/0!</v>
      </c>
      <c r="AE69" s="67"/>
      <c r="AF69" s="67"/>
      <c r="AG69" s="67"/>
      <c r="AH69" s="67"/>
      <c r="AI69" s="67"/>
      <c r="AJ69" s="67"/>
      <c r="AK69" s="67"/>
      <c r="AL69" s="67"/>
      <c r="AM69" s="67"/>
      <c r="AN69" s="67"/>
      <c r="AO69" s="67"/>
      <c r="AP69" s="67"/>
      <c r="AQ69" s="67"/>
      <c r="AR69" s="67"/>
      <c r="AS69" s="67"/>
      <c r="AT69" s="67"/>
    </row>
    <row r="70" spans="1:46" ht="84" hidden="1" x14ac:dyDescent="0.2">
      <c r="A70" s="67"/>
      <c r="B70" s="96"/>
      <c r="C7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0" s="20" t="str">
        <f ca="1">IFERROR(__xludf.DUMMYFUNCTION("""COMPUTED_VALUE"""),"МинЖКХ")</f>
        <v>МинЖКХ</v>
      </c>
      <c r="E70" s="20" t="str">
        <f ca="1">IFERROR(__xludf.DUMMYFUNCTION("""COMPUTED_VALUE"""),"Реконструкция ВЗУ №14 г. Волоколамск,  ул. Лесная, Волоколамский г.о.")</f>
        <v>Реконструкция ВЗУ №14 г. Волоколамск,  ул. Лесная, Волоколамский г.о.</v>
      </c>
      <c r="F70" s="67" t="str">
        <f ca="1">IFERROR(__xludf.DUMMYFUNCTION("""COMPUTED_VALUE"""),"СМР")</f>
        <v>СМР</v>
      </c>
      <c r="G70" s="67" t="str">
        <f ca="1">IFERROR(__xludf.DUMMYFUNCTION("""COMPUTED_VALUE"""),"г.о. Волоколамский")</f>
        <v>г.о. Волоколамский</v>
      </c>
      <c r="H70" s="67">
        <f ca="1">IFERROR(__xludf.DUMMYFUNCTION("""COMPUTED_VALUE"""),2022)</f>
        <v>2022</v>
      </c>
      <c r="I70" s="67" t="str">
        <f ca="1">IFERROR(__xludf.DUMMYFUNCTION("""COMPUTED_VALUE"""),"10 1 G552430
")</f>
        <v xml:space="preserve">10 1 G552430
</v>
      </c>
      <c r="J70" s="67">
        <f ca="1">IFERROR(__xludf.DUMMYFUNCTION("""COMPUTED_VALUE"""),522)</f>
        <v>522</v>
      </c>
      <c r="K70" s="97">
        <f t="shared" ca="1" si="1"/>
        <v>0</v>
      </c>
      <c r="L70" s="97">
        <f ca="1">IFERROR(__xludf.DUMMYFUNCTION("""COMPUTED_VALUE"""),0)</f>
        <v>0</v>
      </c>
      <c r="M70" s="97">
        <f ca="1">IFERROR(__xludf.DUMMYFUNCTION("""COMPUTED_VALUE"""),0)</f>
        <v>0</v>
      </c>
      <c r="N70" s="67"/>
      <c r="O70" s="97">
        <f ca="1">IFERROR(__xludf.DUMMYFUNCTION("""COMPUTED_VALUE"""),0)</f>
        <v>0</v>
      </c>
      <c r="P70" s="97">
        <f t="shared" ca="1" si="2"/>
        <v>0</v>
      </c>
      <c r="Q70" s="67"/>
      <c r="R70" s="67"/>
      <c r="S70" s="97">
        <f ca="1">IFERROR(__xludf.DUMMYFUNCTION("""COMPUTED_VALUE"""),0)</f>
        <v>0</v>
      </c>
      <c r="T70" s="97">
        <f ca="1">IFERROR(__xludf.DUMMYFUNCTION("""COMPUTED_VALUE"""),0)</f>
        <v>0</v>
      </c>
      <c r="U70" s="97">
        <f ca="1">IFERROR(__xludf.DUMMYFUNCTION("""COMPUTED_VALUE"""),0)</f>
        <v>0</v>
      </c>
      <c r="V70" s="97">
        <f ca="1">IFERROR(__xludf.DUMMYFUNCTION("""COMPUTED_VALUE"""),0)</f>
        <v>0</v>
      </c>
      <c r="W70" s="97">
        <f ca="1">IFERROR(__xludf.DUMMYFUNCTION("""COMPUTED_VALUE"""),0)</f>
        <v>0</v>
      </c>
      <c r="X70" s="97">
        <f ca="1">IFERROR(__xludf.DUMMYFUNCTION("""COMPUTED_VALUE"""),0)</f>
        <v>0</v>
      </c>
      <c r="Y70" s="97">
        <f t="shared" ca="1" si="3"/>
        <v>0</v>
      </c>
      <c r="Z70" s="67">
        <f t="shared" si="4"/>
        <v>0</v>
      </c>
      <c r="AA70" s="67"/>
      <c r="AB70" s="67"/>
      <c r="AC70" s="67"/>
      <c r="AD70" s="99" t="e">
        <f t="shared" ca="1" si="5"/>
        <v>#DIV/0!</v>
      </c>
      <c r="AE70" s="67"/>
      <c r="AF70" s="67"/>
      <c r="AG70" s="67"/>
      <c r="AH70" s="67"/>
      <c r="AI70" s="67"/>
      <c r="AJ70" s="67"/>
      <c r="AK70" s="67"/>
      <c r="AL70" s="67"/>
      <c r="AM70" s="67"/>
      <c r="AN70" s="67"/>
      <c r="AO70" s="67"/>
      <c r="AP70" s="67"/>
      <c r="AQ70" s="67"/>
      <c r="AR70" s="67"/>
      <c r="AS70" s="67"/>
      <c r="AT70" s="67"/>
    </row>
    <row r="71" spans="1:46" ht="84" hidden="1" x14ac:dyDescent="0.2">
      <c r="A71" s="67"/>
      <c r="B71" s="96"/>
      <c r="C7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1" s="20" t="str">
        <f ca="1">IFERROR(__xludf.DUMMYFUNCTION("""COMPUTED_VALUE"""),"МинЖКХ")</f>
        <v>МинЖКХ</v>
      </c>
      <c r="E71" s="20" t="str">
        <f ca="1">IFERROR(__xludf.DUMMYFUNCTION("""COMPUTED_VALUE"""),"Реконструкция ВЗУ-442 г. Верея, проезд. Ленинский, Наро-Фоминский г.о.")</f>
        <v>Реконструкция ВЗУ-442 г. Верея, проезд. Ленинский, Наро-Фоминский г.о.</v>
      </c>
      <c r="F71" s="67"/>
      <c r="G71" s="67" t="str">
        <f ca="1">IFERROR(__xludf.DUMMYFUNCTION("""COMPUTED_VALUE"""),"г.о. Наро-Фоминск")</f>
        <v>г.о. Наро-Фоминск</v>
      </c>
      <c r="H71" s="67" t="str">
        <f ca="1">IFERROR(__xludf.DUMMYFUNCTION("""COMPUTED_VALUE"""),"Н/Л")</f>
        <v>Н/Л</v>
      </c>
      <c r="I71" s="67" t="str">
        <f ca="1">IFERROR(__xludf.DUMMYFUNCTION("""COMPUTED_VALUE"""),"10 1 G552430
")</f>
        <v xml:space="preserve">10 1 G552430
</v>
      </c>
      <c r="J71" s="67">
        <f ca="1">IFERROR(__xludf.DUMMYFUNCTION("""COMPUTED_VALUE"""),522)</f>
        <v>522</v>
      </c>
      <c r="K71" s="97">
        <f t="shared" ca="1" si="1"/>
        <v>0</v>
      </c>
      <c r="L71" s="97">
        <f ca="1">IFERROR(__xludf.DUMMYFUNCTION("""COMPUTED_VALUE"""),0)</f>
        <v>0</v>
      </c>
      <c r="M71" s="97">
        <f ca="1">IFERROR(__xludf.DUMMYFUNCTION("""COMPUTED_VALUE"""),0)</f>
        <v>0</v>
      </c>
      <c r="N71" s="67"/>
      <c r="O71" s="97">
        <f ca="1">IFERROR(__xludf.DUMMYFUNCTION("""COMPUTED_VALUE"""),0)</f>
        <v>0</v>
      </c>
      <c r="P71" s="97">
        <f t="shared" ca="1" si="2"/>
        <v>0</v>
      </c>
      <c r="Q71" s="67"/>
      <c r="R71" s="67"/>
      <c r="S71" s="97">
        <f ca="1">IFERROR(__xludf.DUMMYFUNCTION("""COMPUTED_VALUE"""),0)</f>
        <v>0</v>
      </c>
      <c r="T71" s="97">
        <f ca="1">IFERROR(__xludf.DUMMYFUNCTION("""COMPUTED_VALUE"""),0)</f>
        <v>0</v>
      </c>
      <c r="U71" s="97">
        <f ca="1">IFERROR(__xludf.DUMMYFUNCTION("""COMPUTED_VALUE"""),0)</f>
        <v>0</v>
      </c>
      <c r="V71" s="97">
        <f ca="1">IFERROR(__xludf.DUMMYFUNCTION("""COMPUTED_VALUE"""),0)</f>
        <v>0</v>
      </c>
      <c r="W71" s="97">
        <f ca="1">IFERROR(__xludf.DUMMYFUNCTION("""COMPUTED_VALUE"""),0)</f>
        <v>0</v>
      </c>
      <c r="X71" s="97">
        <f ca="1">IFERROR(__xludf.DUMMYFUNCTION("""COMPUTED_VALUE"""),0)</f>
        <v>0</v>
      </c>
      <c r="Y71" s="97">
        <f t="shared" ca="1" si="3"/>
        <v>0</v>
      </c>
      <c r="Z71" s="67">
        <f t="shared" si="4"/>
        <v>0</v>
      </c>
      <c r="AA71" s="67"/>
      <c r="AB71" s="67"/>
      <c r="AC71" s="67"/>
      <c r="AD71" s="99" t="e">
        <f t="shared" ca="1" si="5"/>
        <v>#DIV/0!</v>
      </c>
      <c r="AE71" s="67"/>
      <c r="AF71" s="67"/>
      <c r="AG71" s="67"/>
      <c r="AH71" s="67"/>
      <c r="AI71" s="67"/>
      <c r="AJ71" s="67"/>
      <c r="AK71" s="67"/>
      <c r="AL71" s="67"/>
      <c r="AM71" s="67"/>
      <c r="AN71" s="67"/>
      <c r="AO71" s="67"/>
      <c r="AP71" s="67"/>
      <c r="AQ71" s="67"/>
      <c r="AR71" s="67"/>
      <c r="AS71" s="67"/>
      <c r="AT71" s="67"/>
    </row>
    <row r="72" spans="1:46" ht="84" hidden="1" x14ac:dyDescent="0.2">
      <c r="A72" s="67"/>
      <c r="B72" s="96"/>
      <c r="C7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2" s="20" t="str">
        <f ca="1">IFERROR(__xludf.DUMMYFUNCTION("""COMPUTED_VALUE"""),"МинЖКХ")</f>
        <v>МинЖКХ</v>
      </c>
      <c r="E72" s="20" t="str">
        <f ca="1">IFERROR(__xludf.DUMMYFUNCTION("""COMPUTED_VALUE"""),"Реконструкция ВЗУ-11пгт. Горки Ленинские, Ленинский г.о.")</f>
        <v>Реконструкция ВЗУ-11пгт. Горки Ленинские, Ленинский г.о.</v>
      </c>
      <c r="F72" s="67"/>
      <c r="G72" s="67" t="str">
        <f ca="1">IFERROR(__xludf.DUMMYFUNCTION("""COMPUTED_VALUE"""),"г.о. Ленинский")</f>
        <v>г.о. Ленинский</v>
      </c>
      <c r="H72" s="67" t="str">
        <f ca="1">IFERROR(__xludf.DUMMYFUNCTION("""COMPUTED_VALUE"""),"Н/Л")</f>
        <v>Н/Л</v>
      </c>
      <c r="I72" s="67" t="str">
        <f ca="1">IFERROR(__xludf.DUMMYFUNCTION("""COMPUTED_VALUE"""),"10 1 G552430
")</f>
        <v xml:space="preserve">10 1 G552430
</v>
      </c>
      <c r="J72" s="67">
        <f ca="1">IFERROR(__xludf.DUMMYFUNCTION("""COMPUTED_VALUE"""),522)</f>
        <v>522</v>
      </c>
      <c r="K72" s="97">
        <f t="shared" ca="1" si="1"/>
        <v>0</v>
      </c>
      <c r="L72" s="97">
        <f ca="1">IFERROR(__xludf.DUMMYFUNCTION("""COMPUTED_VALUE"""),0)</f>
        <v>0</v>
      </c>
      <c r="M72" s="97">
        <f ca="1">IFERROR(__xludf.DUMMYFUNCTION("""COMPUTED_VALUE"""),0)</f>
        <v>0</v>
      </c>
      <c r="N72" s="67"/>
      <c r="O72" s="97">
        <f ca="1">IFERROR(__xludf.DUMMYFUNCTION("""COMPUTED_VALUE"""),0)</f>
        <v>0</v>
      </c>
      <c r="P72" s="97">
        <f t="shared" ca="1" si="2"/>
        <v>0</v>
      </c>
      <c r="Q72" s="67"/>
      <c r="R72" s="67"/>
      <c r="S72" s="97">
        <f ca="1">IFERROR(__xludf.DUMMYFUNCTION("""COMPUTED_VALUE"""),0)</f>
        <v>0</v>
      </c>
      <c r="T72" s="97">
        <f ca="1">IFERROR(__xludf.DUMMYFUNCTION("""COMPUTED_VALUE"""),0)</f>
        <v>0</v>
      </c>
      <c r="U72" s="97">
        <f ca="1">IFERROR(__xludf.DUMMYFUNCTION("""COMPUTED_VALUE"""),0)</f>
        <v>0</v>
      </c>
      <c r="V72" s="97">
        <f ca="1">IFERROR(__xludf.DUMMYFUNCTION("""COMPUTED_VALUE"""),0)</f>
        <v>0</v>
      </c>
      <c r="W72" s="97">
        <f ca="1">IFERROR(__xludf.DUMMYFUNCTION("""COMPUTED_VALUE"""),0)</f>
        <v>0</v>
      </c>
      <c r="X72" s="97">
        <f ca="1">IFERROR(__xludf.DUMMYFUNCTION("""COMPUTED_VALUE"""),0)</f>
        <v>0</v>
      </c>
      <c r="Y72" s="97">
        <f t="shared" ca="1" si="3"/>
        <v>0</v>
      </c>
      <c r="Z72" s="67">
        <f t="shared" si="4"/>
        <v>0</v>
      </c>
      <c r="AA72" s="67"/>
      <c r="AB72" s="67"/>
      <c r="AC72" s="67"/>
      <c r="AD72" s="99" t="e">
        <f t="shared" ca="1" si="5"/>
        <v>#DIV/0!</v>
      </c>
      <c r="AE72" s="67"/>
      <c r="AF72" s="67"/>
      <c r="AG72" s="67"/>
      <c r="AH72" s="67"/>
      <c r="AI72" s="67"/>
      <c r="AJ72" s="67"/>
      <c r="AK72" s="67"/>
      <c r="AL72" s="67"/>
      <c r="AM72" s="67"/>
      <c r="AN72" s="67"/>
      <c r="AO72" s="67"/>
      <c r="AP72" s="67"/>
      <c r="AQ72" s="67"/>
      <c r="AR72" s="67"/>
      <c r="AS72" s="67"/>
      <c r="AT72" s="67"/>
    </row>
    <row r="73" spans="1:46" ht="84" hidden="1" x14ac:dyDescent="0.2">
      <c r="A73" s="67"/>
      <c r="B73" s="96"/>
      <c r="C7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3" s="20" t="str">
        <f ca="1">IFERROR(__xludf.DUMMYFUNCTION("""COMPUTED_VALUE"""),"МинЖКХ")</f>
        <v>МинЖКХ</v>
      </c>
      <c r="E73" s="20" t="str">
        <f ca="1">IFERROR(__xludf.DUMMYFUNCTION("""COMPUTED_VALUE"""),"Реконструкция ВЗУ-18 с/п. Молоковское, с. Остров, ул. Центральная, Ленинский г.о.")</f>
        <v>Реконструкция ВЗУ-18 с/п. Молоковское, с. Остров, ул. Центральная, Ленинский г.о.</v>
      </c>
      <c r="F73" s="67"/>
      <c r="G73" s="67" t="str">
        <f ca="1">IFERROR(__xludf.DUMMYFUNCTION("""COMPUTED_VALUE"""),"г.о. Ленинский")</f>
        <v>г.о. Ленинский</v>
      </c>
      <c r="H73" s="67" t="str">
        <f ca="1">IFERROR(__xludf.DUMMYFUNCTION("""COMPUTED_VALUE"""),"Н/Л")</f>
        <v>Н/Л</v>
      </c>
      <c r="I73" s="67" t="str">
        <f ca="1">IFERROR(__xludf.DUMMYFUNCTION("""COMPUTED_VALUE"""),"10 1 G552430
")</f>
        <v xml:space="preserve">10 1 G552430
</v>
      </c>
      <c r="J73" s="67">
        <f ca="1">IFERROR(__xludf.DUMMYFUNCTION("""COMPUTED_VALUE"""),522)</f>
        <v>522</v>
      </c>
      <c r="K73" s="97">
        <f t="shared" ca="1" si="1"/>
        <v>0</v>
      </c>
      <c r="L73" s="97">
        <f ca="1">IFERROR(__xludf.DUMMYFUNCTION("""COMPUTED_VALUE"""),0)</f>
        <v>0</v>
      </c>
      <c r="M73" s="97">
        <f ca="1">IFERROR(__xludf.DUMMYFUNCTION("""COMPUTED_VALUE"""),0)</f>
        <v>0</v>
      </c>
      <c r="N73" s="67"/>
      <c r="O73" s="97">
        <f ca="1">IFERROR(__xludf.DUMMYFUNCTION("""COMPUTED_VALUE"""),0)</f>
        <v>0</v>
      </c>
      <c r="P73" s="97">
        <f t="shared" ca="1" si="2"/>
        <v>0</v>
      </c>
      <c r="Q73" s="67"/>
      <c r="R73" s="67"/>
      <c r="S73" s="97">
        <f ca="1">IFERROR(__xludf.DUMMYFUNCTION("""COMPUTED_VALUE"""),0)</f>
        <v>0</v>
      </c>
      <c r="T73" s="97">
        <f ca="1">IFERROR(__xludf.DUMMYFUNCTION("""COMPUTED_VALUE"""),0)</f>
        <v>0</v>
      </c>
      <c r="U73" s="97">
        <f ca="1">IFERROR(__xludf.DUMMYFUNCTION("""COMPUTED_VALUE"""),0)</f>
        <v>0</v>
      </c>
      <c r="V73" s="97">
        <f ca="1">IFERROR(__xludf.DUMMYFUNCTION("""COMPUTED_VALUE"""),0)</f>
        <v>0</v>
      </c>
      <c r="W73" s="97">
        <f ca="1">IFERROR(__xludf.DUMMYFUNCTION("""COMPUTED_VALUE"""),0)</f>
        <v>0</v>
      </c>
      <c r="X73" s="97">
        <f ca="1">IFERROR(__xludf.DUMMYFUNCTION("""COMPUTED_VALUE"""),0)</f>
        <v>0</v>
      </c>
      <c r="Y73" s="97">
        <f t="shared" ca="1" si="3"/>
        <v>0</v>
      </c>
      <c r="Z73" s="67">
        <f t="shared" si="4"/>
        <v>0</v>
      </c>
      <c r="AA73" s="67"/>
      <c r="AB73" s="67"/>
      <c r="AC73" s="67"/>
      <c r="AD73" s="99" t="e">
        <f t="shared" ca="1" si="5"/>
        <v>#DIV/0!</v>
      </c>
      <c r="AE73" s="67"/>
      <c r="AF73" s="67"/>
      <c r="AG73" s="67"/>
      <c r="AH73" s="67"/>
      <c r="AI73" s="67"/>
      <c r="AJ73" s="67"/>
      <c r="AK73" s="67"/>
      <c r="AL73" s="67"/>
      <c r="AM73" s="67"/>
      <c r="AN73" s="67"/>
      <c r="AO73" s="67"/>
      <c r="AP73" s="67"/>
      <c r="AQ73" s="67"/>
      <c r="AR73" s="67"/>
      <c r="AS73" s="67"/>
      <c r="AT73" s="67"/>
    </row>
    <row r="74" spans="1:46" ht="84" hidden="1" x14ac:dyDescent="0.2">
      <c r="A74" s="67"/>
      <c r="B74" s="100"/>
      <c r="C7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4" s="20" t="str">
        <f ca="1">IFERROR(__xludf.DUMMYFUNCTION("""COMPUTED_VALUE"""),"МинЖКХ")</f>
        <v>МинЖКХ</v>
      </c>
      <c r="E74" s="20" t="str">
        <f ca="1">IFERROR(__xludf.DUMMYFUNCTION("""COMPUTED_VALUE"""),"Реконструкция ВЗУ-15 с/п. Молоковское,  Ленинский г.о.")</f>
        <v>Реконструкция ВЗУ-15 с/п. Молоковское,  Ленинский г.о.</v>
      </c>
      <c r="F74" s="67" t="str">
        <f ca="1">IFERROR(__xludf.DUMMYFUNCTION("""COMPUTED_VALUE"""),"СМР")</f>
        <v>СМР</v>
      </c>
      <c r="G74" s="67" t="str">
        <f ca="1">IFERROR(__xludf.DUMMYFUNCTION("""COMPUTED_VALUE"""),"г.о. Ленинский")</f>
        <v>г.о. Ленинский</v>
      </c>
      <c r="H74" s="67">
        <f ca="1">IFERROR(__xludf.DUMMYFUNCTION("""COMPUTED_VALUE"""),2022)</f>
        <v>2022</v>
      </c>
      <c r="I74" s="67" t="str">
        <f ca="1">IFERROR(__xludf.DUMMYFUNCTION("""COMPUTED_VALUE"""),"10 1 G552430
")</f>
        <v xml:space="preserve">10 1 G552430
</v>
      </c>
      <c r="J74" s="67">
        <f ca="1">IFERROR(__xludf.DUMMYFUNCTION("""COMPUTED_VALUE"""),522)</f>
        <v>522</v>
      </c>
      <c r="K74" s="97">
        <f t="shared" ca="1" si="1"/>
        <v>0</v>
      </c>
      <c r="L74" s="97">
        <f ca="1">IFERROR(__xludf.DUMMYFUNCTION("""COMPUTED_VALUE"""),0)</f>
        <v>0</v>
      </c>
      <c r="M74" s="97">
        <f ca="1">IFERROR(__xludf.DUMMYFUNCTION("""COMPUTED_VALUE"""),0)</f>
        <v>0</v>
      </c>
      <c r="N74" s="67"/>
      <c r="O74" s="97">
        <f ca="1">IFERROR(__xludf.DUMMYFUNCTION("""COMPUTED_VALUE"""),0)</f>
        <v>0</v>
      </c>
      <c r="P74" s="97">
        <f t="shared" ca="1" si="2"/>
        <v>0</v>
      </c>
      <c r="Q74" s="67"/>
      <c r="R74" s="67"/>
      <c r="S74" s="97">
        <f ca="1">IFERROR(__xludf.DUMMYFUNCTION("""COMPUTED_VALUE"""),0)</f>
        <v>0</v>
      </c>
      <c r="T74" s="97">
        <f ca="1">IFERROR(__xludf.DUMMYFUNCTION("""COMPUTED_VALUE"""),0)</f>
        <v>0</v>
      </c>
      <c r="U74" s="97">
        <f ca="1">IFERROR(__xludf.DUMMYFUNCTION("""COMPUTED_VALUE"""),0)</f>
        <v>0</v>
      </c>
      <c r="V74" s="97">
        <f ca="1">IFERROR(__xludf.DUMMYFUNCTION("""COMPUTED_VALUE"""),0)</f>
        <v>0</v>
      </c>
      <c r="W74" s="97">
        <f ca="1">IFERROR(__xludf.DUMMYFUNCTION("""COMPUTED_VALUE"""),0)</f>
        <v>0</v>
      </c>
      <c r="X74" s="97">
        <f ca="1">IFERROR(__xludf.DUMMYFUNCTION("""COMPUTED_VALUE"""),0)</f>
        <v>0</v>
      </c>
      <c r="Y74" s="97">
        <f t="shared" ca="1" si="3"/>
        <v>0</v>
      </c>
      <c r="Z74" s="67">
        <f t="shared" si="4"/>
        <v>0</v>
      </c>
      <c r="AA74" s="67"/>
      <c r="AB74" s="67"/>
      <c r="AC74" s="67"/>
      <c r="AD74" s="99" t="e">
        <f t="shared" ca="1" si="5"/>
        <v>#DIV/0!</v>
      </c>
      <c r="AE74" s="67"/>
      <c r="AF74" s="67"/>
      <c r="AG74" s="67"/>
      <c r="AH74" s="67"/>
      <c r="AI74" s="67"/>
      <c r="AJ74" s="67"/>
      <c r="AK74" s="67"/>
      <c r="AL74" s="67"/>
      <c r="AM74" s="67"/>
      <c r="AN74" s="67"/>
      <c r="AO74" s="67"/>
      <c r="AP74" s="67"/>
      <c r="AQ74" s="67"/>
      <c r="AR74" s="67"/>
      <c r="AS74" s="67"/>
      <c r="AT74" s="67"/>
    </row>
    <row r="75" spans="1:46" ht="84" x14ac:dyDescent="0.2">
      <c r="A75" s="20" t="str">
        <f ca="1">IFERROR(__xludf.DUMMYFUNCTION("""COMPUTED_VALUE"""),"Риск не освоения лимитов финансирования 2020 года. В Минстрой РФ направлены документы на перераспределение части лимитов 2020 году на ВЗУ Орлово.")</f>
        <v>Риск не освоения лимитов финансирования 2020 года. В Минстрой РФ направлены документы на перераспределение части лимитов 2020 году на ВЗУ Орлово.</v>
      </c>
      <c r="B75" s="95"/>
      <c r="C7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5" s="20" t="str">
        <f ca="1">IFERROR(__xludf.DUMMYFUNCTION("""COMPUTED_VALUE"""),"МинЖКХ")</f>
        <v>МинЖКХ</v>
      </c>
      <c r="E75" s="20" t="str">
        <f ca="1">IFERROR(__xludf.DUMMYFUNCTION("""COMPUTED_VALUE"""),"Строительство водозаборного узла в д. Дроздово сельского поселения Развилковское Ленинского муниципального района Московской области")</f>
        <v>Строительство водозаборного узла в д. Дроздово сельского поселения Развилковское Ленинского муниципального района Московской области</v>
      </c>
      <c r="F75" s="20" t="str">
        <f ca="1">IFERROR(__xludf.DUMMYFUNCTION("""COMPUTED_VALUE"""),"СМР")</f>
        <v>СМР</v>
      </c>
      <c r="G75" s="20" t="str">
        <f ca="1">IFERROR(__xludf.DUMMYFUNCTION("""COMPUTED_VALUE"""),"г.о. Ленинский")</f>
        <v>г.о. Ленинский</v>
      </c>
      <c r="H75" s="20" t="str">
        <f ca="1">IFERROR(__xludf.DUMMYFUNCTION("""COMPUTED_VALUE"""),"2020-2021")</f>
        <v>2020-2021</v>
      </c>
      <c r="I75" s="20" t="str">
        <f ca="1">IFERROR(__xludf.DUMMYFUNCTION("""COMPUTED_VALUE"""),"10 1 G552430
")</f>
        <v xml:space="preserve">10 1 G552430
</v>
      </c>
      <c r="J75" s="20">
        <f ca="1">IFERROR(__xludf.DUMMYFUNCTION("""COMPUTED_VALUE"""),522)</f>
        <v>522</v>
      </c>
      <c r="K75" s="24">
        <f t="shared" ca="1" si="1"/>
        <v>48335.25</v>
      </c>
      <c r="L75" s="24">
        <f ca="1">IFERROR(__xludf.DUMMYFUNCTION("""COMPUTED_VALUE"""),9256.2)</f>
        <v>9256.2000000000007</v>
      </c>
      <c r="M75" s="24">
        <f ca="1">IFERROR(__xludf.DUMMYFUNCTION("""COMPUTED_VALUE"""),27768.6)</f>
        <v>27768.6</v>
      </c>
      <c r="N75" s="20"/>
      <c r="O75" s="24">
        <f ca="1">IFERROR(__xludf.DUMMYFUNCTION("""COMPUTED_VALUE"""),11310.45)</f>
        <v>11310.45</v>
      </c>
      <c r="P75" s="24">
        <f t="shared" ca="1" si="2"/>
        <v>37024.800000000003</v>
      </c>
      <c r="Q75" s="23">
        <f ca="1">IFERROR(__xludf.DUMMYFUNCTION("""COMPUTED_VALUE"""),0.08)</f>
        <v>0.08</v>
      </c>
      <c r="R75" s="20"/>
      <c r="S75" s="24">
        <f ca="1">IFERROR(__xludf.DUMMYFUNCTION("""COMPUTED_VALUE"""),35276.91)</f>
        <v>35276.910000000003</v>
      </c>
      <c r="T75" s="24">
        <f ca="1">IFERROR(__xludf.DUMMYFUNCTION("""COMPUTED_VALUE"""),13058.3399999999)</f>
        <v>13058.3399999999</v>
      </c>
      <c r="U75" s="24">
        <f ca="1">IFERROR(__xludf.DUMMYFUNCTION("""COMPUTED_VALUE"""),436.94)</f>
        <v>436.94</v>
      </c>
      <c r="V75" s="24">
        <f ca="1">IFERROR(__xludf.DUMMYFUNCTION("""COMPUTED_VALUE"""),1310.94999999999)</f>
        <v>1310.94999999999</v>
      </c>
      <c r="W75" s="24">
        <f ca="1">IFERROR(__xludf.DUMMYFUNCTION("""COMPUTED_VALUE"""),0)</f>
        <v>0</v>
      </c>
      <c r="X75" s="24">
        <f ca="1">IFERROR(__xludf.DUMMYFUNCTION("""COMPUTED_VALUE"""),11310.45)</f>
        <v>11310.45</v>
      </c>
      <c r="Y75" s="24">
        <f t="shared" ca="1" si="3"/>
        <v>1747.8899999999901</v>
      </c>
      <c r="Z75" s="24">
        <f t="shared" ca="1" si="4"/>
        <v>35276.910000000003</v>
      </c>
      <c r="AA75" s="24">
        <f ca="1">IFERROR(__xludf.DUMMYFUNCTION("""COMPUTED_VALUE"""),26457.65)</f>
        <v>26457.65</v>
      </c>
      <c r="AB75" s="24">
        <f ca="1">IFERROR(__xludf.DUMMYFUNCTION("""COMPUTED_VALUE"""),8819.26)</f>
        <v>8819.26</v>
      </c>
      <c r="AC75" s="20"/>
      <c r="AD75" s="94">
        <f t="shared" ca="1" si="5"/>
        <v>0.95279137226939781</v>
      </c>
      <c r="AE75" s="20"/>
      <c r="AF75" s="20"/>
      <c r="AG75" s="20"/>
      <c r="AH75" s="20"/>
      <c r="AI75" s="20"/>
      <c r="AJ75" s="20"/>
      <c r="AK75" s="20"/>
      <c r="AL75" s="20"/>
      <c r="AM75" s="20"/>
      <c r="AN75" s="20"/>
      <c r="AO75" s="20"/>
      <c r="AP75" s="20"/>
      <c r="AQ75" s="20"/>
      <c r="AR75" s="20"/>
      <c r="AS75" s="20"/>
      <c r="AT75" s="20"/>
    </row>
    <row r="76" spans="1:46" ht="84" hidden="1" x14ac:dyDescent="0.2">
      <c r="A76" s="67"/>
      <c r="B76" s="96"/>
      <c r="C7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6" s="20" t="str">
        <f ca="1">IFERROR(__xludf.DUMMYFUNCTION("""COMPUTED_VALUE"""),"МинЖКХ")</f>
        <v>МинЖКХ</v>
      </c>
      <c r="E76" s="20" t="str">
        <f ca="1">IFERROR(__xludf.DUMMYFUNCTION("""COMPUTED_VALUE"""),"Строительство сети водоснабжения по адресу: Московской области, Ленинский г.о. сельское поселение Булатниковское, с. Булатниково.")</f>
        <v>Строительство сети водоснабжения по адресу: Московской области, Ленинский г.о. сельское поселение Булатниковское, с. Булатниково.</v>
      </c>
      <c r="F76" s="67" t="str">
        <f ca="1">IFERROR(__xludf.DUMMYFUNCTION("""COMPUTED_VALUE"""),"СМР")</f>
        <v>СМР</v>
      </c>
      <c r="G76" s="67" t="str">
        <f ca="1">IFERROR(__xludf.DUMMYFUNCTION("""COMPUTED_VALUE"""),"г.о. Ленинский")</f>
        <v>г.о. Ленинский</v>
      </c>
      <c r="H76" s="67">
        <f ca="1">IFERROR(__xludf.DUMMYFUNCTION("""COMPUTED_VALUE"""),2021)</f>
        <v>2021</v>
      </c>
      <c r="I76" s="67" t="str">
        <f ca="1">IFERROR(__xludf.DUMMYFUNCTION("""COMPUTED_VALUE"""),"10 1 G552430
")</f>
        <v xml:space="preserve">10 1 G552430
</v>
      </c>
      <c r="J76" s="67">
        <f ca="1">IFERROR(__xludf.DUMMYFUNCTION("""COMPUTED_VALUE"""),522)</f>
        <v>522</v>
      </c>
      <c r="K76" s="97">
        <f t="shared" ca="1" si="1"/>
        <v>0</v>
      </c>
      <c r="L76" s="97">
        <f ca="1">IFERROR(__xludf.DUMMYFUNCTION("""COMPUTED_VALUE"""),0)</f>
        <v>0</v>
      </c>
      <c r="M76" s="97">
        <f ca="1">IFERROR(__xludf.DUMMYFUNCTION("""COMPUTED_VALUE"""),0)</f>
        <v>0</v>
      </c>
      <c r="N76" s="67"/>
      <c r="O76" s="97">
        <f ca="1">IFERROR(__xludf.DUMMYFUNCTION("""COMPUTED_VALUE"""),0)</f>
        <v>0</v>
      </c>
      <c r="P76" s="97">
        <f t="shared" ca="1" si="2"/>
        <v>0</v>
      </c>
      <c r="Q76" s="67"/>
      <c r="R76" s="67"/>
      <c r="S76" s="97">
        <f ca="1">IFERROR(__xludf.DUMMYFUNCTION("""COMPUTED_VALUE"""),0)</f>
        <v>0</v>
      </c>
      <c r="T76" s="97">
        <f ca="1">IFERROR(__xludf.DUMMYFUNCTION("""COMPUTED_VALUE"""),0)</f>
        <v>0</v>
      </c>
      <c r="U76" s="97">
        <f ca="1">IFERROR(__xludf.DUMMYFUNCTION("""COMPUTED_VALUE"""),0)</f>
        <v>0</v>
      </c>
      <c r="V76" s="97">
        <f ca="1">IFERROR(__xludf.DUMMYFUNCTION("""COMPUTED_VALUE"""),0)</f>
        <v>0</v>
      </c>
      <c r="W76" s="97">
        <f ca="1">IFERROR(__xludf.DUMMYFUNCTION("""COMPUTED_VALUE"""),0)</f>
        <v>0</v>
      </c>
      <c r="X76" s="97">
        <f ca="1">IFERROR(__xludf.DUMMYFUNCTION("""COMPUTED_VALUE"""),0)</f>
        <v>0</v>
      </c>
      <c r="Y76" s="97">
        <f t="shared" ca="1" si="3"/>
        <v>0</v>
      </c>
      <c r="Z76" s="67">
        <f t="shared" si="4"/>
        <v>0</v>
      </c>
      <c r="AA76" s="67"/>
      <c r="AB76" s="67"/>
      <c r="AC76" s="67"/>
      <c r="AD76" s="99" t="e">
        <f t="shared" ca="1" si="5"/>
        <v>#DIV/0!</v>
      </c>
      <c r="AE76" s="67"/>
      <c r="AF76" s="67"/>
      <c r="AG76" s="67"/>
      <c r="AH76" s="67"/>
      <c r="AI76" s="67"/>
      <c r="AJ76" s="67"/>
      <c r="AK76" s="67"/>
      <c r="AL76" s="67"/>
      <c r="AM76" s="67"/>
      <c r="AN76" s="67"/>
      <c r="AO76" s="67"/>
      <c r="AP76" s="67"/>
      <c r="AQ76" s="67"/>
      <c r="AR76" s="67"/>
      <c r="AS76" s="67"/>
      <c r="AT76" s="67"/>
    </row>
    <row r="77" spans="1:46" ht="84" x14ac:dyDescent="0.2">
      <c r="A77" s="67"/>
      <c r="B77" s="96"/>
      <c r="C7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7" s="20" t="str">
        <f ca="1">IFERROR(__xludf.DUMMYFUNCTION("""COMPUTED_VALUE"""),"МинЖКХ")</f>
        <v>МинЖКХ</v>
      </c>
      <c r="E77" s="20" t="str">
        <f ca="1">IFERROR(__xludf.DUMMYFUNCTION("""COMPUTED_VALUE"""),"Реконструкция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f>
        <v>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v>
      </c>
      <c r="F77" s="67" t="str">
        <f ca="1">IFERROR(__xludf.DUMMYFUNCTION("""COMPUTED_VALUE"""),"СМР")</f>
        <v>СМР</v>
      </c>
      <c r="G77" s="67" t="str">
        <f ca="1">IFERROR(__xludf.DUMMYFUNCTION("""COMPUTED_VALUE"""),"г.о. Ленинский")</f>
        <v>г.о. Ленинский</v>
      </c>
      <c r="H77" s="67" t="str">
        <f ca="1">IFERROR(__xludf.DUMMYFUNCTION("""COMPUTED_VALUE"""),"2020-2022")</f>
        <v>2020-2022</v>
      </c>
      <c r="I77" s="67" t="str">
        <f ca="1">IFERROR(__xludf.DUMMYFUNCTION("""COMPUTED_VALUE"""),"10 1 G552430
")</f>
        <v xml:space="preserve">10 1 G552430
</v>
      </c>
      <c r="J77" s="67">
        <f ca="1">IFERROR(__xludf.DUMMYFUNCTION("""COMPUTED_VALUE"""),522)</f>
        <v>522</v>
      </c>
      <c r="K77" s="97">
        <f t="shared" ca="1" si="1"/>
        <v>23054.18</v>
      </c>
      <c r="L77" s="97">
        <f ca="1">IFERROR(__xludf.DUMMYFUNCTION("""COMPUTED_VALUE"""),4414.88)</f>
        <v>4414.88</v>
      </c>
      <c r="M77" s="97">
        <f ca="1">IFERROR(__xludf.DUMMYFUNCTION("""COMPUTED_VALUE"""),13244.6)</f>
        <v>13244.6</v>
      </c>
      <c r="N77" s="67"/>
      <c r="O77" s="97">
        <f ca="1">IFERROR(__xludf.DUMMYFUNCTION("""COMPUTED_VALUE"""),5394.7)</f>
        <v>5394.7</v>
      </c>
      <c r="P77" s="97">
        <f t="shared" ca="1" si="2"/>
        <v>17659.48</v>
      </c>
      <c r="Q77" s="67"/>
      <c r="R77" s="67"/>
      <c r="S77" s="97">
        <f ca="1">IFERROR(__xludf.DUMMYFUNCTION("""COMPUTED_VALUE"""),16587.2399999999)</f>
        <v>16587.2399999999</v>
      </c>
      <c r="T77" s="97">
        <f ca="1">IFERROR(__xludf.DUMMYFUNCTION("""COMPUTED_VALUE"""),6466.94)</f>
        <v>6466.94</v>
      </c>
      <c r="U77" s="97">
        <f ca="1">IFERROR(__xludf.DUMMYFUNCTION("""COMPUTED_VALUE"""),268.06)</f>
        <v>268.06</v>
      </c>
      <c r="V77" s="97">
        <f ca="1">IFERROR(__xludf.DUMMYFUNCTION("""COMPUTED_VALUE"""),804.18)</f>
        <v>804.18</v>
      </c>
      <c r="W77" s="97">
        <f ca="1">IFERROR(__xludf.DUMMYFUNCTION("""COMPUTED_VALUE"""),0)</f>
        <v>0</v>
      </c>
      <c r="X77" s="97">
        <f ca="1">IFERROR(__xludf.DUMMYFUNCTION("""COMPUTED_VALUE"""),5394.7)</f>
        <v>5394.7</v>
      </c>
      <c r="Y77" s="97">
        <f t="shared" ca="1" si="3"/>
        <v>1072.24</v>
      </c>
      <c r="Z77" s="97">
        <f t="shared" ca="1" si="4"/>
        <v>16587.239999999998</v>
      </c>
      <c r="AA77" s="97">
        <f ca="1">IFERROR(__xludf.DUMMYFUNCTION("""COMPUTED_VALUE"""),12440.42)</f>
        <v>12440.42</v>
      </c>
      <c r="AB77" s="97">
        <f ca="1">IFERROR(__xludf.DUMMYFUNCTION("""COMPUTED_VALUE"""),4146.82)</f>
        <v>4146.82</v>
      </c>
      <c r="AC77" s="67"/>
      <c r="AD77" s="99">
        <f t="shared" ca="1" si="5"/>
        <v>0.9392824703785162</v>
      </c>
      <c r="AE77" s="67"/>
      <c r="AF77" s="67"/>
      <c r="AG77" s="67"/>
      <c r="AH77" s="67"/>
      <c r="AI77" s="67"/>
      <c r="AJ77" s="67"/>
      <c r="AK77" s="67"/>
      <c r="AL77" s="67"/>
      <c r="AM77" s="67"/>
      <c r="AN77" s="67"/>
      <c r="AO77" s="67"/>
      <c r="AP77" s="67"/>
      <c r="AQ77" s="67"/>
      <c r="AR77" s="67"/>
      <c r="AS77" s="67"/>
      <c r="AT77" s="67"/>
    </row>
    <row r="78" spans="1:46" ht="84" hidden="1" x14ac:dyDescent="0.2">
      <c r="A78" s="67"/>
      <c r="B78" s="96"/>
      <c r="C7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8" s="20" t="str">
        <f ca="1">IFERROR(__xludf.DUMMYFUNCTION("""COMPUTED_VALUE"""),"МинЖКХ")</f>
        <v>МинЖКХ</v>
      </c>
      <c r="E78" s="20" t="str">
        <f ca="1">IFERROR(__xludf.DUMMYFUNCTION("""COMPUTED_VALUE"""),"Реконструкция водозаборного узла в п/о ""Петровское"" городского поселения Горки Ленинские Ленинского муниципального района Московской области")</f>
        <v>Реконструкция водозаборного узла в п/о "Петровское" городского поселения Горки Ленинские Ленинского муниципального района Московской области</v>
      </c>
      <c r="F78" s="67" t="str">
        <f ca="1">IFERROR(__xludf.DUMMYFUNCTION("""COMPUTED_VALUE"""),"СМР")</f>
        <v>СМР</v>
      </c>
      <c r="G78" s="67" t="str">
        <f ca="1">IFERROR(__xludf.DUMMYFUNCTION("""COMPUTED_VALUE"""),"г.о. Ленинский")</f>
        <v>г.о. Ленинский</v>
      </c>
      <c r="H78" s="67" t="str">
        <f ca="1">IFERROR(__xludf.DUMMYFUNCTION("""COMPUTED_VALUE"""),"2021-2022")</f>
        <v>2021-2022</v>
      </c>
      <c r="I78" s="67" t="str">
        <f ca="1">IFERROR(__xludf.DUMMYFUNCTION("""COMPUTED_VALUE"""),"10 1 G552430
")</f>
        <v xml:space="preserve">10 1 G552430
</v>
      </c>
      <c r="J78" s="67">
        <f ca="1">IFERROR(__xludf.DUMMYFUNCTION("""COMPUTED_VALUE"""),522)</f>
        <v>522</v>
      </c>
      <c r="K78" s="97">
        <f t="shared" ca="1" si="1"/>
        <v>0</v>
      </c>
      <c r="L78" s="97">
        <f ca="1">IFERROR(__xludf.DUMMYFUNCTION("""COMPUTED_VALUE"""),0)</f>
        <v>0</v>
      </c>
      <c r="M78" s="97">
        <f ca="1">IFERROR(__xludf.DUMMYFUNCTION("""COMPUTED_VALUE"""),0)</f>
        <v>0</v>
      </c>
      <c r="N78" s="67"/>
      <c r="O78" s="97">
        <f ca="1">IFERROR(__xludf.DUMMYFUNCTION("""COMPUTED_VALUE"""),0)</f>
        <v>0</v>
      </c>
      <c r="P78" s="97">
        <f t="shared" ca="1" si="2"/>
        <v>0</v>
      </c>
      <c r="Q78" s="67"/>
      <c r="R78" s="67"/>
      <c r="S78" s="97">
        <f ca="1">IFERROR(__xludf.DUMMYFUNCTION("""COMPUTED_VALUE"""),0)</f>
        <v>0</v>
      </c>
      <c r="T78" s="97">
        <f ca="1">IFERROR(__xludf.DUMMYFUNCTION("""COMPUTED_VALUE"""),0)</f>
        <v>0</v>
      </c>
      <c r="U78" s="97">
        <f ca="1">IFERROR(__xludf.DUMMYFUNCTION("""COMPUTED_VALUE"""),0)</f>
        <v>0</v>
      </c>
      <c r="V78" s="97">
        <f ca="1">IFERROR(__xludf.DUMMYFUNCTION("""COMPUTED_VALUE"""),0)</f>
        <v>0</v>
      </c>
      <c r="W78" s="97">
        <f ca="1">IFERROR(__xludf.DUMMYFUNCTION("""COMPUTED_VALUE"""),0)</f>
        <v>0</v>
      </c>
      <c r="X78" s="97">
        <f ca="1">IFERROR(__xludf.DUMMYFUNCTION("""COMPUTED_VALUE"""),0)</f>
        <v>0</v>
      </c>
      <c r="Y78" s="97">
        <f t="shared" ca="1" si="3"/>
        <v>0</v>
      </c>
      <c r="Z78" s="67">
        <f t="shared" si="4"/>
        <v>0</v>
      </c>
      <c r="AA78" s="67"/>
      <c r="AB78" s="67"/>
      <c r="AC78" s="67"/>
      <c r="AD78" s="99" t="e">
        <f t="shared" ca="1" si="5"/>
        <v>#DIV/0!</v>
      </c>
      <c r="AE78" s="67"/>
      <c r="AF78" s="67"/>
      <c r="AG78" s="67"/>
      <c r="AH78" s="67"/>
      <c r="AI78" s="67"/>
      <c r="AJ78" s="67"/>
      <c r="AK78" s="67"/>
      <c r="AL78" s="67"/>
      <c r="AM78" s="67"/>
      <c r="AN78" s="67"/>
      <c r="AO78" s="67"/>
      <c r="AP78" s="67"/>
      <c r="AQ78" s="67"/>
      <c r="AR78" s="67"/>
      <c r="AS78" s="67"/>
      <c r="AT78" s="67"/>
    </row>
    <row r="79" spans="1:46" ht="84" hidden="1" x14ac:dyDescent="0.2">
      <c r="A79" s="67"/>
      <c r="B79" s="96"/>
      <c r="C7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9" s="20" t="str">
        <f ca="1">IFERROR(__xludf.DUMMYFUNCTION("""COMPUTED_VALUE"""),"МинЖКХ")</f>
        <v>МинЖКХ</v>
      </c>
      <c r="E79" s="20" t="str">
        <f ca="1">IFERROR(__xludf.DUMMYFUNCTION("""COMPUTED_VALUE"""),"Реконструкция водозаборного узла № 8 в п.Горки Ленинские городского поселения Горки Ленинские Ленинского городского округа Московской области")</f>
        <v>Реконструкция водозаборного узла № 8 в п.Горки Ленинские городского поселения Горки Ленинские Ленинского городского округа Московской области</v>
      </c>
      <c r="F79" s="67" t="str">
        <f ca="1">IFERROR(__xludf.DUMMYFUNCTION("""COMPUTED_VALUE"""),"СМР")</f>
        <v>СМР</v>
      </c>
      <c r="G79" s="67" t="str">
        <f ca="1">IFERROR(__xludf.DUMMYFUNCTION("""COMPUTED_VALUE"""),"г.о. Ленинский")</f>
        <v>г.о. Ленинский</v>
      </c>
      <c r="H79" s="67" t="str">
        <f ca="1">IFERROR(__xludf.DUMMYFUNCTION("""COMPUTED_VALUE"""),"2021-2022")</f>
        <v>2021-2022</v>
      </c>
      <c r="I79" s="67" t="str">
        <f ca="1">IFERROR(__xludf.DUMMYFUNCTION("""COMPUTED_VALUE"""),"10 1 G552430
")</f>
        <v xml:space="preserve">10 1 G552430
</v>
      </c>
      <c r="J79" s="67">
        <f ca="1">IFERROR(__xludf.DUMMYFUNCTION("""COMPUTED_VALUE"""),522)</f>
        <v>522</v>
      </c>
      <c r="K79" s="97">
        <f t="shared" ca="1" si="1"/>
        <v>0</v>
      </c>
      <c r="L79" s="97">
        <f ca="1">IFERROR(__xludf.DUMMYFUNCTION("""COMPUTED_VALUE"""),0)</f>
        <v>0</v>
      </c>
      <c r="M79" s="97">
        <f ca="1">IFERROR(__xludf.DUMMYFUNCTION("""COMPUTED_VALUE"""),0)</f>
        <v>0</v>
      </c>
      <c r="N79" s="67"/>
      <c r="O79" s="97">
        <f ca="1">IFERROR(__xludf.DUMMYFUNCTION("""COMPUTED_VALUE"""),0)</f>
        <v>0</v>
      </c>
      <c r="P79" s="97">
        <f t="shared" ca="1" si="2"/>
        <v>0</v>
      </c>
      <c r="Q79" s="67"/>
      <c r="R79" s="67"/>
      <c r="S79" s="97">
        <f ca="1">IFERROR(__xludf.DUMMYFUNCTION("""COMPUTED_VALUE"""),0)</f>
        <v>0</v>
      </c>
      <c r="T79" s="97">
        <f ca="1">IFERROR(__xludf.DUMMYFUNCTION("""COMPUTED_VALUE"""),0)</f>
        <v>0</v>
      </c>
      <c r="U79" s="97">
        <f ca="1">IFERROR(__xludf.DUMMYFUNCTION("""COMPUTED_VALUE"""),0)</f>
        <v>0</v>
      </c>
      <c r="V79" s="97">
        <f ca="1">IFERROR(__xludf.DUMMYFUNCTION("""COMPUTED_VALUE"""),0)</f>
        <v>0</v>
      </c>
      <c r="W79" s="97">
        <f ca="1">IFERROR(__xludf.DUMMYFUNCTION("""COMPUTED_VALUE"""),0)</f>
        <v>0</v>
      </c>
      <c r="X79" s="97">
        <f ca="1">IFERROR(__xludf.DUMMYFUNCTION("""COMPUTED_VALUE"""),0)</f>
        <v>0</v>
      </c>
      <c r="Y79" s="97">
        <f t="shared" ca="1" si="3"/>
        <v>0</v>
      </c>
      <c r="Z79" s="67">
        <f t="shared" si="4"/>
        <v>0</v>
      </c>
      <c r="AA79" s="67"/>
      <c r="AB79" s="67"/>
      <c r="AC79" s="67"/>
      <c r="AD79" s="99" t="e">
        <f t="shared" ca="1" si="5"/>
        <v>#DIV/0!</v>
      </c>
      <c r="AE79" s="67"/>
      <c r="AF79" s="67"/>
      <c r="AG79" s="67"/>
      <c r="AH79" s="67"/>
      <c r="AI79" s="67"/>
      <c r="AJ79" s="67"/>
      <c r="AK79" s="67"/>
      <c r="AL79" s="67"/>
      <c r="AM79" s="67"/>
      <c r="AN79" s="67"/>
      <c r="AO79" s="67"/>
      <c r="AP79" s="67"/>
      <c r="AQ79" s="67"/>
      <c r="AR79" s="67"/>
      <c r="AS79" s="67"/>
      <c r="AT79" s="67"/>
    </row>
    <row r="80" spans="1:46" ht="84" hidden="1" x14ac:dyDescent="0.2">
      <c r="A80" s="67"/>
      <c r="B80" s="96"/>
      <c r="C8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0" s="20" t="str">
        <f ca="1">IFERROR(__xludf.DUMMYFUNCTION("""COMPUTED_VALUE"""),"МинЖКХ")</f>
        <v>МинЖКХ</v>
      </c>
      <c r="E80" s="20" t="str">
        <f ca="1">IFERROR(__xludf.DUMMYFUNCTION("""COMPUTED_VALUE"""),"Реконструкция ВЗУ Пироговкий г.о. Мытищи")</f>
        <v>Реконструкция ВЗУ Пироговкий г.о. Мытищи</v>
      </c>
      <c r="F80" s="67" t="str">
        <f ca="1">IFERROR(__xludf.DUMMYFUNCTION("""COMPUTED_VALUE"""),"СМР")</f>
        <v>СМР</v>
      </c>
      <c r="G80" s="67" t="str">
        <f ca="1">IFERROR(__xludf.DUMMYFUNCTION("""COMPUTED_VALUE"""),"г.о. Мытищи")</f>
        <v>г.о. Мытищи</v>
      </c>
      <c r="H80" s="67" t="str">
        <f ca="1">IFERROR(__xludf.DUMMYFUNCTION("""COMPUTED_VALUE"""),"2023-2024")</f>
        <v>2023-2024</v>
      </c>
      <c r="I80" s="67" t="str">
        <f ca="1">IFERROR(__xludf.DUMMYFUNCTION("""COMPUTED_VALUE"""),"10 1 G552430
")</f>
        <v xml:space="preserve">10 1 G552430
</v>
      </c>
      <c r="J80" s="67">
        <f ca="1">IFERROR(__xludf.DUMMYFUNCTION("""COMPUTED_VALUE"""),522)</f>
        <v>522</v>
      </c>
      <c r="K80" s="97">
        <f t="shared" ca="1" si="1"/>
        <v>0</v>
      </c>
      <c r="L80" s="97">
        <f ca="1">IFERROR(__xludf.DUMMYFUNCTION("""COMPUTED_VALUE"""),0)</f>
        <v>0</v>
      </c>
      <c r="M80" s="97">
        <f ca="1">IFERROR(__xludf.DUMMYFUNCTION("""COMPUTED_VALUE"""),0)</f>
        <v>0</v>
      </c>
      <c r="N80" s="67"/>
      <c r="O80" s="97">
        <f ca="1">IFERROR(__xludf.DUMMYFUNCTION("""COMPUTED_VALUE"""),0)</f>
        <v>0</v>
      </c>
      <c r="P80" s="97">
        <f t="shared" ca="1" si="2"/>
        <v>0</v>
      </c>
      <c r="Q80" s="67"/>
      <c r="R80" s="67"/>
      <c r="S80" s="97">
        <f ca="1">IFERROR(__xludf.DUMMYFUNCTION("""COMPUTED_VALUE"""),0)</f>
        <v>0</v>
      </c>
      <c r="T80" s="97">
        <f ca="1">IFERROR(__xludf.DUMMYFUNCTION("""COMPUTED_VALUE"""),0)</f>
        <v>0</v>
      </c>
      <c r="U80" s="97">
        <f ca="1">IFERROR(__xludf.DUMMYFUNCTION("""COMPUTED_VALUE"""),0)</f>
        <v>0</v>
      </c>
      <c r="V80" s="97">
        <f ca="1">IFERROR(__xludf.DUMMYFUNCTION("""COMPUTED_VALUE"""),0)</f>
        <v>0</v>
      </c>
      <c r="W80" s="97">
        <f ca="1">IFERROR(__xludf.DUMMYFUNCTION("""COMPUTED_VALUE"""),0)</f>
        <v>0</v>
      </c>
      <c r="X80" s="97">
        <f ca="1">IFERROR(__xludf.DUMMYFUNCTION("""COMPUTED_VALUE"""),0)</f>
        <v>0</v>
      </c>
      <c r="Y80" s="97">
        <f t="shared" ca="1" si="3"/>
        <v>0</v>
      </c>
      <c r="Z80" s="67">
        <f t="shared" si="4"/>
        <v>0</v>
      </c>
      <c r="AA80" s="67"/>
      <c r="AB80" s="67"/>
      <c r="AC80" s="67"/>
      <c r="AD80" s="99" t="e">
        <f t="shared" ca="1" si="5"/>
        <v>#DIV/0!</v>
      </c>
      <c r="AE80" s="67"/>
      <c r="AF80" s="67"/>
      <c r="AG80" s="67"/>
      <c r="AH80" s="67"/>
      <c r="AI80" s="67"/>
      <c r="AJ80" s="67"/>
      <c r="AK80" s="67"/>
      <c r="AL80" s="67"/>
      <c r="AM80" s="67"/>
      <c r="AN80" s="67"/>
      <c r="AO80" s="67"/>
      <c r="AP80" s="67"/>
      <c r="AQ80" s="67"/>
      <c r="AR80" s="67"/>
      <c r="AS80" s="67"/>
      <c r="AT80" s="67"/>
    </row>
    <row r="81" spans="1:46" ht="84" hidden="1" x14ac:dyDescent="0.2">
      <c r="A81" s="67"/>
      <c r="B81" s="96"/>
      <c r="C8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1" s="20" t="str">
        <f ca="1">IFERROR(__xludf.DUMMYFUNCTION("""COMPUTED_VALUE"""),"МинЖКХ")</f>
        <v>МинЖКХ</v>
      </c>
      <c r="E81" s="20" t="str">
        <f ca="1">IFERROR(__xludf.DUMMYFUNCTION("""COMPUTED_VALUE"""),"Реконструкция ВЗУ № 1 г.о.Дзержинский с переводом в станцию второго подъема производительностью 10 тыс. м3/сут.")</f>
        <v>Реконструкция ВЗУ № 1 г.о.Дзержинский с переводом в станцию второго подъема производительностью 10 тыс. м3/сут.</v>
      </c>
      <c r="F81" s="67" t="str">
        <f ca="1">IFERROR(__xludf.DUMMYFUNCTION("""COMPUTED_VALUE"""),"СМР")</f>
        <v>СМР</v>
      </c>
      <c r="G81" s="67" t="str">
        <f ca="1">IFERROR(__xludf.DUMMYFUNCTION("""COMPUTED_VALUE"""),"г.о. Дзержинский")</f>
        <v>г.о. Дзержинский</v>
      </c>
      <c r="H81" s="67">
        <f ca="1">IFERROR(__xludf.DUMMYFUNCTION("""COMPUTED_VALUE"""),2021)</f>
        <v>2021</v>
      </c>
      <c r="I81" s="67" t="str">
        <f ca="1">IFERROR(__xludf.DUMMYFUNCTION("""COMPUTED_VALUE"""),"10 1 G552430
")</f>
        <v xml:space="preserve">10 1 G552430
</v>
      </c>
      <c r="J81" s="67">
        <f ca="1">IFERROR(__xludf.DUMMYFUNCTION("""COMPUTED_VALUE"""),522)</f>
        <v>522</v>
      </c>
      <c r="K81" s="97">
        <f t="shared" ca="1" si="1"/>
        <v>0</v>
      </c>
      <c r="L81" s="97">
        <f ca="1">IFERROR(__xludf.DUMMYFUNCTION("""COMPUTED_VALUE"""),0)</f>
        <v>0</v>
      </c>
      <c r="M81" s="97">
        <f ca="1">IFERROR(__xludf.DUMMYFUNCTION("""COMPUTED_VALUE"""),0)</f>
        <v>0</v>
      </c>
      <c r="N81" s="67"/>
      <c r="O81" s="97">
        <f ca="1">IFERROR(__xludf.DUMMYFUNCTION("""COMPUTED_VALUE"""),0)</f>
        <v>0</v>
      </c>
      <c r="P81" s="97">
        <f t="shared" ca="1" si="2"/>
        <v>0</v>
      </c>
      <c r="Q81" s="67"/>
      <c r="R81" s="67"/>
      <c r="S81" s="97">
        <f ca="1">IFERROR(__xludf.DUMMYFUNCTION("""COMPUTED_VALUE"""),0)</f>
        <v>0</v>
      </c>
      <c r="T81" s="97">
        <f ca="1">IFERROR(__xludf.DUMMYFUNCTION("""COMPUTED_VALUE"""),0)</f>
        <v>0</v>
      </c>
      <c r="U81" s="97">
        <f ca="1">IFERROR(__xludf.DUMMYFUNCTION("""COMPUTED_VALUE"""),0)</f>
        <v>0</v>
      </c>
      <c r="V81" s="97">
        <f ca="1">IFERROR(__xludf.DUMMYFUNCTION("""COMPUTED_VALUE"""),0)</f>
        <v>0</v>
      </c>
      <c r="W81" s="97">
        <f ca="1">IFERROR(__xludf.DUMMYFUNCTION("""COMPUTED_VALUE"""),0)</f>
        <v>0</v>
      </c>
      <c r="X81" s="97">
        <f ca="1">IFERROR(__xludf.DUMMYFUNCTION("""COMPUTED_VALUE"""),0)</f>
        <v>0</v>
      </c>
      <c r="Y81" s="97">
        <f t="shared" ca="1" si="3"/>
        <v>0</v>
      </c>
      <c r="Z81" s="67">
        <f t="shared" si="4"/>
        <v>0</v>
      </c>
      <c r="AA81" s="67"/>
      <c r="AB81" s="67"/>
      <c r="AC81" s="67"/>
      <c r="AD81" s="99" t="e">
        <f t="shared" ca="1" si="5"/>
        <v>#DIV/0!</v>
      </c>
      <c r="AE81" s="67"/>
      <c r="AF81" s="67"/>
      <c r="AG81" s="67"/>
      <c r="AH81" s="67"/>
      <c r="AI81" s="67"/>
      <c r="AJ81" s="67"/>
      <c r="AK81" s="67"/>
      <c r="AL81" s="67"/>
      <c r="AM81" s="67"/>
      <c r="AN81" s="67"/>
      <c r="AO81" s="67"/>
      <c r="AP81" s="67"/>
      <c r="AQ81" s="67"/>
      <c r="AR81" s="67"/>
      <c r="AS81" s="67"/>
      <c r="AT81" s="67"/>
    </row>
    <row r="82" spans="1:46" ht="84" hidden="1" x14ac:dyDescent="0.2">
      <c r="A82" s="67"/>
      <c r="B82" s="96"/>
      <c r="C8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2" s="20" t="str">
        <f ca="1">IFERROR(__xludf.DUMMYFUNCTION("""COMPUTED_VALUE"""),"МинЖКХ")</f>
        <v>МинЖКХ</v>
      </c>
      <c r="E82" s="20" t="str">
        <f ca="1">IFERROR(__xludf.DUMMYFUNCTION("""COMPUTED_VALUE""")," Реконструкция ВЗУ № 3 г.о.Дзержинский с переводом в станцию второго подъема производительностью 10 тыс. м3/сут")</f>
        <v xml:space="preserve"> Реконструкция ВЗУ № 3 г.о.Дзержинский с переводом в станцию второго подъема производительностью 10 тыс. м3/сут</v>
      </c>
      <c r="F82" s="67" t="str">
        <f ca="1">IFERROR(__xludf.DUMMYFUNCTION("""COMPUTED_VALUE"""),"СМР")</f>
        <v>СМР</v>
      </c>
      <c r="G82" s="67" t="str">
        <f ca="1">IFERROR(__xludf.DUMMYFUNCTION("""COMPUTED_VALUE"""),"г.о. Дзержинский")</f>
        <v>г.о. Дзержинский</v>
      </c>
      <c r="H82" s="67">
        <f ca="1">IFERROR(__xludf.DUMMYFUNCTION("""COMPUTED_VALUE"""),2021)</f>
        <v>2021</v>
      </c>
      <c r="I82" s="67" t="str">
        <f ca="1">IFERROR(__xludf.DUMMYFUNCTION("""COMPUTED_VALUE"""),"10 1 G552430
")</f>
        <v xml:space="preserve">10 1 G552430
</v>
      </c>
      <c r="J82" s="67">
        <f ca="1">IFERROR(__xludf.DUMMYFUNCTION("""COMPUTED_VALUE"""),522)</f>
        <v>522</v>
      </c>
      <c r="K82" s="97">
        <f t="shared" ca="1" si="1"/>
        <v>0</v>
      </c>
      <c r="L82" s="97">
        <f ca="1">IFERROR(__xludf.DUMMYFUNCTION("""COMPUTED_VALUE"""),0)</f>
        <v>0</v>
      </c>
      <c r="M82" s="97">
        <f ca="1">IFERROR(__xludf.DUMMYFUNCTION("""COMPUTED_VALUE"""),0)</f>
        <v>0</v>
      </c>
      <c r="N82" s="67"/>
      <c r="O82" s="97">
        <f ca="1">IFERROR(__xludf.DUMMYFUNCTION("""COMPUTED_VALUE"""),0)</f>
        <v>0</v>
      </c>
      <c r="P82" s="97">
        <f t="shared" ca="1" si="2"/>
        <v>0</v>
      </c>
      <c r="Q82" s="67">
        <f ca="1">IFERROR(__xludf.DUMMYFUNCTION("""COMPUTED_VALUE"""),2)</f>
        <v>2</v>
      </c>
      <c r="R82" s="67"/>
      <c r="S82" s="97">
        <f ca="1">IFERROR(__xludf.DUMMYFUNCTION("""COMPUTED_VALUE"""),0)</f>
        <v>0</v>
      </c>
      <c r="T82" s="97">
        <f ca="1">IFERROR(__xludf.DUMMYFUNCTION("""COMPUTED_VALUE"""),0)</f>
        <v>0</v>
      </c>
      <c r="U82" s="97">
        <f ca="1">IFERROR(__xludf.DUMMYFUNCTION("""COMPUTED_VALUE"""),0)</f>
        <v>0</v>
      </c>
      <c r="V82" s="97">
        <f ca="1">IFERROR(__xludf.DUMMYFUNCTION("""COMPUTED_VALUE"""),0)</f>
        <v>0</v>
      </c>
      <c r="W82" s="97">
        <f ca="1">IFERROR(__xludf.DUMMYFUNCTION("""COMPUTED_VALUE"""),0)</f>
        <v>0</v>
      </c>
      <c r="X82" s="97">
        <f ca="1">IFERROR(__xludf.DUMMYFUNCTION("""COMPUTED_VALUE"""),0)</f>
        <v>0</v>
      </c>
      <c r="Y82" s="97">
        <f t="shared" ca="1" si="3"/>
        <v>0</v>
      </c>
      <c r="Z82" s="67">
        <f t="shared" si="4"/>
        <v>0</v>
      </c>
      <c r="AA82" s="67"/>
      <c r="AB82" s="67"/>
      <c r="AC82" s="67"/>
      <c r="AD82" s="99" t="e">
        <f t="shared" ca="1" si="5"/>
        <v>#DIV/0!</v>
      </c>
      <c r="AE82" s="67"/>
      <c r="AF82" s="67"/>
      <c r="AG82" s="67"/>
      <c r="AH82" s="67"/>
      <c r="AI82" s="67"/>
      <c r="AJ82" s="67"/>
      <c r="AK82" s="67"/>
      <c r="AL82" s="67"/>
      <c r="AM82" s="67"/>
      <c r="AN82" s="67"/>
      <c r="AO82" s="67"/>
      <c r="AP82" s="67"/>
      <c r="AQ82" s="67"/>
      <c r="AR82" s="67"/>
      <c r="AS82" s="67"/>
      <c r="AT82" s="67"/>
    </row>
    <row r="83" spans="1:46" ht="84" hidden="1" x14ac:dyDescent="0.2">
      <c r="A83" s="67"/>
      <c r="B83" s="96"/>
      <c r="C8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3" s="20" t="str">
        <f ca="1">IFERROR(__xludf.DUMMYFUNCTION("""COMPUTED_VALUE"""),"МинЖКХ")</f>
        <v>МинЖКХ</v>
      </c>
      <c r="E83" s="20" t="str">
        <f ca="1">IFERROR(__xludf.DUMMYFUNCTION("""COMPUTED_VALUE"""),"Строительство сетей водоснабжения от ВРУ до т. А, по адресу: Московская обл., г. Дзержинский, в районе поймы Москвы-реки")</f>
        <v>Строительство сетей водоснабжения от ВРУ до т. А, по адресу: Московская обл., г. Дзержинский, в районе поймы Москвы-реки</v>
      </c>
      <c r="F83" s="67" t="str">
        <f ca="1">IFERROR(__xludf.DUMMYFUNCTION("""COMPUTED_VALUE"""),"СМР")</f>
        <v>СМР</v>
      </c>
      <c r="G83" s="67" t="str">
        <f ca="1">IFERROR(__xludf.DUMMYFUNCTION("""COMPUTED_VALUE"""),"г.о. Дзержинский")</f>
        <v>г.о. Дзержинский</v>
      </c>
      <c r="H83" s="67">
        <f ca="1">IFERROR(__xludf.DUMMYFUNCTION("""COMPUTED_VALUE"""),2021)</f>
        <v>2021</v>
      </c>
      <c r="I83" s="67" t="str">
        <f ca="1">IFERROR(__xludf.DUMMYFUNCTION("""COMPUTED_VALUE"""),"10 1 G552430
")</f>
        <v xml:space="preserve">10 1 G552430
</v>
      </c>
      <c r="J83" s="67">
        <f ca="1">IFERROR(__xludf.DUMMYFUNCTION("""COMPUTED_VALUE"""),522)</f>
        <v>522</v>
      </c>
      <c r="K83" s="97">
        <f t="shared" ca="1" si="1"/>
        <v>0</v>
      </c>
      <c r="L83" s="97">
        <f ca="1">IFERROR(__xludf.DUMMYFUNCTION("""COMPUTED_VALUE"""),0)</f>
        <v>0</v>
      </c>
      <c r="M83" s="97">
        <f ca="1">IFERROR(__xludf.DUMMYFUNCTION("""COMPUTED_VALUE"""),0)</f>
        <v>0</v>
      </c>
      <c r="N83" s="67"/>
      <c r="O83" s="97">
        <f ca="1">IFERROR(__xludf.DUMMYFUNCTION("""COMPUTED_VALUE"""),0)</f>
        <v>0</v>
      </c>
      <c r="P83" s="97">
        <f t="shared" ca="1" si="2"/>
        <v>0</v>
      </c>
      <c r="Q83" s="67"/>
      <c r="R83" s="67"/>
      <c r="S83" s="97">
        <f ca="1">IFERROR(__xludf.DUMMYFUNCTION("""COMPUTED_VALUE"""),0)</f>
        <v>0</v>
      </c>
      <c r="T83" s="97">
        <f ca="1">IFERROR(__xludf.DUMMYFUNCTION("""COMPUTED_VALUE"""),0)</f>
        <v>0</v>
      </c>
      <c r="U83" s="97">
        <f ca="1">IFERROR(__xludf.DUMMYFUNCTION("""COMPUTED_VALUE"""),0)</f>
        <v>0</v>
      </c>
      <c r="V83" s="97">
        <f ca="1">IFERROR(__xludf.DUMMYFUNCTION("""COMPUTED_VALUE"""),0)</f>
        <v>0</v>
      </c>
      <c r="W83" s="97">
        <f ca="1">IFERROR(__xludf.DUMMYFUNCTION("""COMPUTED_VALUE"""),0)</f>
        <v>0</v>
      </c>
      <c r="X83" s="97">
        <f ca="1">IFERROR(__xludf.DUMMYFUNCTION("""COMPUTED_VALUE"""),0)</f>
        <v>0</v>
      </c>
      <c r="Y83" s="97">
        <f t="shared" ca="1" si="3"/>
        <v>0</v>
      </c>
      <c r="Z83" s="67">
        <f t="shared" si="4"/>
        <v>0</v>
      </c>
      <c r="AA83" s="67"/>
      <c r="AB83" s="67"/>
      <c r="AC83" s="67"/>
      <c r="AD83" s="99" t="e">
        <f t="shared" ca="1" si="5"/>
        <v>#DIV/0!</v>
      </c>
      <c r="AE83" s="67"/>
      <c r="AF83" s="67"/>
      <c r="AG83" s="67"/>
      <c r="AH83" s="67"/>
      <c r="AI83" s="67"/>
      <c r="AJ83" s="67"/>
      <c r="AK83" s="67"/>
      <c r="AL83" s="67"/>
      <c r="AM83" s="67"/>
      <c r="AN83" s="67"/>
      <c r="AO83" s="67"/>
      <c r="AP83" s="67"/>
      <c r="AQ83" s="67"/>
      <c r="AR83" s="67"/>
      <c r="AS83" s="67"/>
      <c r="AT83" s="67"/>
    </row>
    <row r="84" spans="1:46" ht="84" hidden="1" x14ac:dyDescent="0.2">
      <c r="A84" s="67"/>
      <c r="B84" s="96"/>
      <c r="C8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4" s="20" t="str">
        <f ca="1">IFERROR(__xludf.DUMMYFUNCTION("""COMPUTED_VALUE"""),"МинЖКХ")</f>
        <v>МинЖКХ</v>
      </c>
      <c r="E84" s="20" t="str">
        <f ca="1">IFERROR(__xludf.DUMMYFUNCTION("""COMPUTED_VALUE"""),"Строительсвто сетей водоснабжения от т.А до ВЗУ-3 по адресу: Московская обл., г. Дзержинский, ул. Дзержинская")</f>
        <v>Строительсвто сетей водоснабжения от т.А до ВЗУ-3 по адресу: Московская обл., г. Дзержинский, ул. Дзержинская</v>
      </c>
      <c r="F84" s="67" t="str">
        <f ca="1">IFERROR(__xludf.DUMMYFUNCTION("""COMPUTED_VALUE"""),"СМР")</f>
        <v>СМР</v>
      </c>
      <c r="G84" s="67" t="str">
        <f ca="1">IFERROR(__xludf.DUMMYFUNCTION("""COMPUTED_VALUE"""),"г.о. Дзержинский")</f>
        <v>г.о. Дзержинский</v>
      </c>
      <c r="H84" s="67">
        <f ca="1">IFERROR(__xludf.DUMMYFUNCTION("""COMPUTED_VALUE"""),2021)</f>
        <v>2021</v>
      </c>
      <c r="I84" s="67" t="str">
        <f ca="1">IFERROR(__xludf.DUMMYFUNCTION("""COMPUTED_VALUE"""),"10 1 G552430
")</f>
        <v xml:space="preserve">10 1 G552430
</v>
      </c>
      <c r="J84" s="67">
        <f ca="1">IFERROR(__xludf.DUMMYFUNCTION("""COMPUTED_VALUE"""),522)</f>
        <v>522</v>
      </c>
      <c r="K84" s="97">
        <f t="shared" ca="1" si="1"/>
        <v>0</v>
      </c>
      <c r="L84" s="97">
        <f ca="1">IFERROR(__xludf.DUMMYFUNCTION("""COMPUTED_VALUE"""),0)</f>
        <v>0</v>
      </c>
      <c r="M84" s="97">
        <f ca="1">IFERROR(__xludf.DUMMYFUNCTION("""COMPUTED_VALUE"""),0)</f>
        <v>0</v>
      </c>
      <c r="N84" s="67"/>
      <c r="O84" s="97">
        <f ca="1">IFERROR(__xludf.DUMMYFUNCTION("""COMPUTED_VALUE"""),0)</f>
        <v>0</v>
      </c>
      <c r="P84" s="97">
        <f t="shared" ca="1" si="2"/>
        <v>0</v>
      </c>
      <c r="Q84" s="67"/>
      <c r="R84" s="67"/>
      <c r="S84" s="97">
        <f ca="1">IFERROR(__xludf.DUMMYFUNCTION("""COMPUTED_VALUE"""),0)</f>
        <v>0</v>
      </c>
      <c r="T84" s="97">
        <f ca="1">IFERROR(__xludf.DUMMYFUNCTION("""COMPUTED_VALUE"""),0)</f>
        <v>0</v>
      </c>
      <c r="U84" s="97">
        <f ca="1">IFERROR(__xludf.DUMMYFUNCTION("""COMPUTED_VALUE"""),0)</f>
        <v>0</v>
      </c>
      <c r="V84" s="97">
        <f ca="1">IFERROR(__xludf.DUMMYFUNCTION("""COMPUTED_VALUE"""),0)</f>
        <v>0</v>
      </c>
      <c r="W84" s="97">
        <f ca="1">IFERROR(__xludf.DUMMYFUNCTION("""COMPUTED_VALUE"""),0)</f>
        <v>0</v>
      </c>
      <c r="X84" s="97">
        <f ca="1">IFERROR(__xludf.DUMMYFUNCTION("""COMPUTED_VALUE"""),0)</f>
        <v>0</v>
      </c>
      <c r="Y84" s="97">
        <f t="shared" ca="1" si="3"/>
        <v>0</v>
      </c>
      <c r="Z84" s="67">
        <f t="shared" si="4"/>
        <v>0</v>
      </c>
      <c r="AA84" s="67"/>
      <c r="AB84" s="67"/>
      <c r="AC84" s="67"/>
      <c r="AD84" s="99" t="e">
        <f t="shared" ca="1" si="5"/>
        <v>#DIV/0!</v>
      </c>
      <c r="AE84" s="67"/>
      <c r="AF84" s="67"/>
      <c r="AG84" s="67"/>
      <c r="AH84" s="67"/>
      <c r="AI84" s="67"/>
      <c r="AJ84" s="67"/>
      <c r="AK84" s="67"/>
      <c r="AL84" s="67"/>
      <c r="AM84" s="67"/>
      <c r="AN84" s="67"/>
      <c r="AO84" s="67"/>
      <c r="AP84" s="67"/>
      <c r="AQ84" s="67"/>
      <c r="AR84" s="67"/>
      <c r="AS84" s="67"/>
      <c r="AT84" s="67"/>
    </row>
    <row r="85" spans="1:46" ht="84" hidden="1" x14ac:dyDescent="0.2">
      <c r="A85" s="67"/>
      <c r="B85" s="96"/>
      <c r="C8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5" s="20" t="str">
        <f ca="1">IFERROR(__xludf.DUMMYFUNCTION("""COMPUTED_VALUE"""),"МинЖКХ")</f>
        <v>МинЖКХ</v>
      </c>
      <c r="E85" s="20" t="str">
        <f ca="1">IFERROR(__xludf.DUMMYFUNCTION("""COMPUTED_VALUE"""),"Строительство сетей водоснабжения от т.А до ВЗУ-1 по адресу: Московская обл., г.Дзержинский, ул.Академика Жукова")</f>
        <v>Строительство сетей водоснабжения от т.А до ВЗУ-1 по адресу: Московская обл., г.Дзержинский, ул.Академика Жукова</v>
      </c>
      <c r="F85" s="67" t="str">
        <f ca="1">IFERROR(__xludf.DUMMYFUNCTION("""COMPUTED_VALUE"""),"СМР")</f>
        <v>СМР</v>
      </c>
      <c r="G85" s="67" t="str">
        <f ca="1">IFERROR(__xludf.DUMMYFUNCTION("""COMPUTED_VALUE"""),"г.о. Дзержинский")</f>
        <v>г.о. Дзержинский</v>
      </c>
      <c r="H85" s="67">
        <f ca="1">IFERROR(__xludf.DUMMYFUNCTION("""COMPUTED_VALUE"""),2021)</f>
        <v>2021</v>
      </c>
      <c r="I85" s="67" t="str">
        <f ca="1">IFERROR(__xludf.DUMMYFUNCTION("""COMPUTED_VALUE"""),"10 1 G552430
")</f>
        <v xml:space="preserve">10 1 G552430
</v>
      </c>
      <c r="J85" s="67">
        <f ca="1">IFERROR(__xludf.DUMMYFUNCTION("""COMPUTED_VALUE"""),522)</f>
        <v>522</v>
      </c>
      <c r="K85" s="97">
        <f t="shared" ca="1" si="1"/>
        <v>0</v>
      </c>
      <c r="L85" s="97">
        <f ca="1">IFERROR(__xludf.DUMMYFUNCTION("""COMPUTED_VALUE"""),0)</f>
        <v>0</v>
      </c>
      <c r="M85" s="97">
        <f ca="1">IFERROR(__xludf.DUMMYFUNCTION("""COMPUTED_VALUE"""),0)</f>
        <v>0</v>
      </c>
      <c r="N85" s="67"/>
      <c r="O85" s="97">
        <f ca="1">IFERROR(__xludf.DUMMYFUNCTION("""COMPUTED_VALUE"""),0)</f>
        <v>0</v>
      </c>
      <c r="P85" s="97">
        <f t="shared" ca="1" si="2"/>
        <v>0</v>
      </c>
      <c r="Q85" s="67"/>
      <c r="R85" s="67"/>
      <c r="S85" s="97">
        <f ca="1">IFERROR(__xludf.DUMMYFUNCTION("""COMPUTED_VALUE"""),0)</f>
        <v>0</v>
      </c>
      <c r="T85" s="97">
        <f ca="1">IFERROR(__xludf.DUMMYFUNCTION("""COMPUTED_VALUE"""),0)</f>
        <v>0</v>
      </c>
      <c r="U85" s="97">
        <f ca="1">IFERROR(__xludf.DUMMYFUNCTION("""COMPUTED_VALUE"""),0)</f>
        <v>0</v>
      </c>
      <c r="V85" s="97">
        <f ca="1">IFERROR(__xludf.DUMMYFUNCTION("""COMPUTED_VALUE"""),0)</f>
        <v>0</v>
      </c>
      <c r="W85" s="97">
        <f ca="1">IFERROR(__xludf.DUMMYFUNCTION("""COMPUTED_VALUE"""),0)</f>
        <v>0</v>
      </c>
      <c r="X85" s="97">
        <f ca="1">IFERROR(__xludf.DUMMYFUNCTION("""COMPUTED_VALUE"""),0)</f>
        <v>0</v>
      </c>
      <c r="Y85" s="97">
        <f t="shared" ca="1" si="3"/>
        <v>0</v>
      </c>
      <c r="Z85" s="67">
        <f t="shared" si="4"/>
        <v>0</v>
      </c>
      <c r="AA85" s="67"/>
      <c r="AB85" s="67"/>
      <c r="AC85" s="67"/>
      <c r="AD85" s="99" t="e">
        <f t="shared" ca="1" si="5"/>
        <v>#DIV/0!</v>
      </c>
      <c r="AE85" s="67"/>
      <c r="AF85" s="67"/>
      <c r="AG85" s="67"/>
      <c r="AH85" s="67"/>
      <c r="AI85" s="67"/>
      <c r="AJ85" s="67"/>
      <c r="AK85" s="67"/>
      <c r="AL85" s="67"/>
      <c r="AM85" s="67"/>
      <c r="AN85" s="67"/>
      <c r="AO85" s="67"/>
      <c r="AP85" s="67"/>
      <c r="AQ85" s="67"/>
      <c r="AR85" s="67"/>
      <c r="AS85" s="67"/>
      <c r="AT85" s="67"/>
    </row>
    <row r="86" spans="1:46" ht="84" hidden="1" x14ac:dyDescent="0.2">
      <c r="A86" s="67"/>
      <c r="B86" s="96"/>
      <c r="C8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6" s="20" t="str">
        <f ca="1">IFERROR(__xludf.DUMMYFUNCTION("""COMPUTED_VALUE"""),"МинЖКХ")</f>
        <v>МинЖКХ</v>
      </c>
      <c r="E86" s="20" t="str">
        <f ca="1">IFERROR(__xludf.DUMMYFUNCTION("""COMPUTED_VALUE"""),"Реконструкция водопроводных сетей в мкр. Опалиха, расположенных по адресу: Московская область, г/о Красногорск, мкр. Опалиха")</f>
        <v>Реконструкция водопроводных сетей в мкр. Опалиха, расположенных по адресу: Московская область, г/о Красногорск, мкр. Опалиха</v>
      </c>
      <c r="F86" s="67" t="str">
        <f ca="1">IFERROR(__xludf.DUMMYFUNCTION("""COMPUTED_VALUE"""),"СМР")</f>
        <v>СМР</v>
      </c>
      <c r="G86" s="67" t="str">
        <f ca="1">IFERROR(__xludf.DUMMYFUNCTION("""COMPUTED_VALUE"""),"г.о. Красногорск")</f>
        <v>г.о. Красногорск</v>
      </c>
      <c r="H86" s="67">
        <f ca="1">IFERROR(__xludf.DUMMYFUNCTION("""COMPUTED_VALUE"""),2022)</f>
        <v>2022</v>
      </c>
      <c r="I86" s="67" t="str">
        <f ca="1">IFERROR(__xludf.DUMMYFUNCTION("""COMPUTED_VALUE"""),"10 1 G552430
")</f>
        <v xml:space="preserve">10 1 G552430
</v>
      </c>
      <c r="J86" s="67">
        <f ca="1">IFERROR(__xludf.DUMMYFUNCTION("""COMPUTED_VALUE"""),522)</f>
        <v>522</v>
      </c>
      <c r="K86" s="97">
        <f t="shared" ca="1" si="1"/>
        <v>0</v>
      </c>
      <c r="L86" s="97">
        <f ca="1">IFERROR(__xludf.DUMMYFUNCTION("""COMPUTED_VALUE"""),0)</f>
        <v>0</v>
      </c>
      <c r="M86" s="97">
        <f ca="1">IFERROR(__xludf.DUMMYFUNCTION("""COMPUTED_VALUE"""),0)</f>
        <v>0</v>
      </c>
      <c r="N86" s="67"/>
      <c r="O86" s="97">
        <f ca="1">IFERROR(__xludf.DUMMYFUNCTION("""COMPUTED_VALUE"""),0)</f>
        <v>0</v>
      </c>
      <c r="P86" s="97">
        <f t="shared" ca="1" si="2"/>
        <v>0</v>
      </c>
      <c r="Q86" s="67"/>
      <c r="R86" s="67"/>
      <c r="S86" s="97">
        <f ca="1">IFERROR(__xludf.DUMMYFUNCTION("""COMPUTED_VALUE"""),0)</f>
        <v>0</v>
      </c>
      <c r="T86" s="97">
        <f ca="1">IFERROR(__xludf.DUMMYFUNCTION("""COMPUTED_VALUE"""),0)</f>
        <v>0</v>
      </c>
      <c r="U86" s="97">
        <f ca="1">IFERROR(__xludf.DUMMYFUNCTION("""COMPUTED_VALUE"""),0)</f>
        <v>0</v>
      </c>
      <c r="V86" s="97">
        <f ca="1">IFERROR(__xludf.DUMMYFUNCTION("""COMPUTED_VALUE"""),0)</f>
        <v>0</v>
      </c>
      <c r="W86" s="97">
        <f ca="1">IFERROR(__xludf.DUMMYFUNCTION("""COMPUTED_VALUE"""),0)</f>
        <v>0</v>
      </c>
      <c r="X86" s="97">
        <f ca="1">IFERROR(__xludf.DUMMYFUNCTION("""COMPUTED_VALUE"""),0)</f>
        <v>0</v>
      </c>
      <c r="Y86" s="97">
        <f t="shared" ca="1" si="3"/>
        <v>0</v>
      </c>
      <c r="Z86" s="67">
        <f t="shared" si="4"/>
        <v>0</v>
      </c>
      <c r="AA86" s="67"/>
      <c r="AB86" s="67"/>
      <c r="AC86" s="67"/>
      <c r="AD86" s="99" t="e">
        <f t="shared" ca="1" si="5"/>
        <v>#DIV/0!</v>
      </c>
      <c r="AE86" s="67"/>
      <c r="AF86" s="67"/>
      <c r="AG86" s="67"/>
      <c r="AH86" s="67"/>
      <c r="AI86" s="67"/>
      <c r="AJ86" s="67"/>
      <c r="AK86" s="67"/>
      <c r="AL86" s="67"/>
      <c r="AM86" s="67"/>
      <c r="AN86" s="67"/>
      <c r="AO86" s="67"/>
      <c r="AP86" s="67"/>
      <c r="AQ86" s="67"/>
      <c r="AR86" s="67"/>
      <c r="AS86" s="67"/>
      <c r="AT86" s="67"/>
    </row>
    <row r="87" spans="1:46" ht="72" hidden="1" x14ac:dyDescent="0.2">
      <c r="A87" s="67"/>
      <c r="B87" s="96"/>
      <c r="C87"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7" s="20" t="str">
        <f ca="1">IFERROR(__xludf.DUMMYFUNCTION("""COMPUTED_VALUE"""),"МинЖКХ")</f>
        <v>МинЖКХ</v>
      </c>
      <c r="E87" s="20" t="str">
        <f ca="1">IFERROR(__xludf.DUMMYFUNCTION("""COMPUTED_VALUE"""),"Строительство присоединительного водовода от НС-9 в г.п. Старая Купавна к пос. Рыбхоз, к пос. Зеленый и д. Щемилово")</f>
        <v>Строительство присоединительного водовода от НС-9 в г.п. Старая Купавна к пос. Рыбхоз, к пос. Зеленый и д. Щемилово</v>
      </c>
      <c r="F87" s="67" t="str">
        <f ca="1">IFERROR(__xludf.DUMMYFUNCTION("""COMPUTED_VALUE"""),"СМР")</f>
        <v>СМР</v>
      </c>
      <c r="G87" s="67" t="str">
        <f ca="1">IFERROR(__xludf.DUMMYFUNCTION("""COMPUTED_VALUE"""),"г.о. Богородский")</f>
        <v>г.о. Богородский</v>
      </c>
      <c r="H87" s="67">
        <f ca="1">IFERROR(__xludf.DUMMYFUNCTION("""COMPUTED_VALUE"""),2021)</f>
        <v>2021</v>
      </c>
      <c r="I87" s="67" t="str">
        <f ca="1">IFERROR(__xludf.DUMMYFUNCTION("""COMPUTED_VALUE"""),"10 1 G5 52439")</f>
        <v>10 1 G5 52439</v>
      </c>
      <c r="J87" s="67">
        <f ca="1">IFERROR(__xludf.DUMMYFUNCTION("""COMPUTED_VALUE"""),460)</f>
        <v>460</v>
      </c>
      <c r="K87" s="97">
        <f t="shared" ca="1" si="1"/>
        <v>0</v>
      </c>
      <c r="L87" s="97">
        <f ca="1">IFERROR(__xludf.DUMMYFUNCTION("""COMPUTED_VALUE"""),0)</f>
        <v>0</v>
      </c>
      <c r="M87" s="97">
        <f ca="1">IFERROR(__xludf.DUMMYFUNCTION("""COMPUTED_VALUE"""),0)</f>
        <v>0</v>
      </c>
      <c r="N87" s="67"/>
      <c r="O87" s="97">
        <f ca="1">IFERROR(__xludf.DUMMYFUNCTION("""COMPUTED_VALUE"""),0)</f>
        <v>0</v>
      </c>
      <c r="P87" s="97">
        <f t="shared" ca="1" si="2"/>
        <v>0</v>
      </c>
      <c r="Q87" s="67"/>
      <c r="R87" s="67"/>
      <c r="S87" s="97">
        <f ca="1">IFERROR(__xludf.DUMMYFUNCTION("""COMPUTED_VALUE"""),0)</f>
        <v>0</v>
      </c>
      <c r="T87" s="97">
        <f ca="1">IFERROR(__xludf.DUMMYFUNCTION("""COMPUTED_VALUE"""),0)</f>
        <v>0</v>
      </c>
      <c r="U87" s="97">
        <f ca="1">IFERROR(__xludf.DUMMYFUNCTION("""COMPUTED_VALUE"""),0)</f>
        <v>0</v>
      </c>
      <c r="V87" s="97">
        <f ca="1">IFERROR(__xludf.DUMMYFUNCTION("""COMPUTED_VALUE"""),0)</f>
        <v>0</v>
      </c>
      <c r="W87" s="97">
        <f ca="1">IFERROR(__xludf.DUMMYFUNCTION("""COMPUTED_VALUE"""),0)</f>
        <v>0</v>
      </c>
      <c r="X87" s="97">
        <f ca="1">IFERROR(__xludf.DUMMYFUNCTION("""COMPUTED_VALUE"""),0)</f>
        <v>0</v>
      </c>
      <c r="Y87" s="97">
        <f t="shared" ca="1" si="3"/>
        <v>0</v>
      </c>
      <c r="Z87" s="67">
        <f t="shared" si="4"/>
        <v>0</v>
      </c>
      <c r="AA87" s="67"/>
      <c r="AB87" s="67"/>
      <c r="AC87" s="67"/>
      <c r="AD87" s="99" t="e">
        <f t="shared" ca="1" si="5"/>
        <v>#DIV/0!</v>
      </c>
      <c r="AE87" s="67"/>
      <c r="AF87" s="67"/>
      <c r="AG87" s="67"/>
      <c r="AH87" s="67"/>
      <c r="AI87" s="67"/>
      <c r="AJ87" s="67"/>
      <c r="AK87" s="67"/>
      <c r="AL87" s="67"/>
      <c r="AM87" s="67"/>
      <c r="AN87" s="67"/>
      <c r="AO87" s="67"/>
      <c r="AP87" s="67"/>
      <c r="AQ87" s="67"/>
      <c r="AR87" s="67"/>
      <c r="AS87" s="67"/>
      <c r="AT87" s="67"/>
    </row>
    <row r="88" spans="1:46" ht="72" hidden="1" x14ac:dyDescent="0.2">
      <c r="A88" s="67"/>
      <c r="B88" s="96"/>
      <c r="C88"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8" s="20" t="str">
        <f ca="1">IFERROR(__xludf.DUMMYFUNCTION("""COMPUTED_VALUE"""),"МинЖКХ")</f>
        <v>МинЖКХ</v>
      </c>
      <c r="E88" s="20" t="str">
        <f ca="1">IFERROR(__xludf.DUMMYFUNCTION("""COMPUTED_VALUE"""),"Строителььство ВЗУ «Заречье» и сетей водоснабжения  с врезкой в существующую сеть,  г.о. Богородский")</f>
        <v>Строителььство ВЗУ «Заречье» и сетей водоснабжения  с врезкой в существующую сеть,  г.о. Богородский</v>
      </c>
      <c r="F88" s="67" t="str">
        <f ca="1">IFERROR(__xludf.DUMMYFUNCTION("""COMPUTED_VALUE"""),"СМР")</f>
        <v>СМР</v>
      </c>
      <c r="G88" s="67" t="str">
        <f ca="1">IFERROR(__xludf.DUMMYFUNCTION("""COMPUTED_VALUE"""),"г.о. Богородский")</f>
        <v>г.о. Богородский</v>
      </c>
      <c r="H88" s="67">
        <f ca="1">IFERROR(__xludf.DUMMYFUNCTION("""COMPUTED_VALUE"""),2023)</f>
        <v>2023</v>
      </c>
      <c r="I88" s="67" t="str">
        <f ca="1">IFERROR(__xludf.DUMMYFUNCTION("""COMPUTED_VALUE"""),"10 1 G5 52439")</f>
        <v>10 1 G5 52439</v>
      </c>
      <c r="J88" s="67">
        <f ca="1">IFERROR(__xludf.DUMMYFUNCTION("""COMPUTED_VALUE"""),460)</f>
        <v>460</v>
      </c>
      <c r="K88" s="97">
        <f t="shared" ca="1" si="1"/>
        <v>0</v>
      </c>
      <c r="L88" s="97">
        <f ca="1">IFERROR(__xludf.DUMMYFUNCTION("""COMPUTED_VALUE"""),0)</f>
        <v>0</v>
      </c>
      <c r="M88" s="97">
        <f ca="1">IFERROR(__xludf.DUMMYFUNCTION("""COMPUTED_VALUE"""),0)</f>
        <v>0</v>
      </c>
      <c r="N88" s="67"/>
      <c r="O88" s="97">
        <f ca="1">IFERROR(__xludf.DUMMYFUNCTION("""COMPUTED_VALUE"""),0)</f>
        <v>0</v>
      </c>
      <c r="P88" s="97">
        <f t="shared" ca="1" si="2"/>
        <v>0</v>
      </c>
      <c r="Q88" s="67"/>
      <c r="R88" s="67"/>
      <c r="S88" s="97">
        <f ca="1">IFERROR(__xludf.DUMMYFUNCTION("""COMPUTED_VALUE"""),0)</f>
        <v>0</v>
      </c>
      <c r="T88" s="97">
        <f ca="1">IFERROR(__xludf.DUMMYFUNCTION("""COMPUTED_VALUE"""),0)</f>
        <v>0</v>
      </c>
      <c r="U88" s="97">
        <f ca="1">IFERROR(__xludf.DUMMYFUNCTION("""COMPUTED_VALUE"""),0)</f>
        <v>0</v>
      </c>
      <c r="V88" s="97">
        <f ca="1">IFERROR(__xludf.DUMMYFUNCTION("""COMPUTED_VALUE"""),0)</f>
        <v>0</v>
      </c>
      <c r="W88" s="97">
        <f ca="1">IFERROR(__xludf.DUMMYFUNCTION("""COMPUTED_VALUE"""),0)</f>
        <v>0</v>
      </c>
      <c r="X88" s="97">
        <f ca="1">IFERROR(__xludf.DUMMYFUNCTION("""COMPUTED_VALUE"""),0)</f>
        <v>0</v>
      </c>
      <c r="Y88" s="97">
        <f t="shared" ca="1" si="3"/>
        <v>0</v>
      </c>
      <c r="Z88" s="67">
        <f t="shared" si="4"/>
        <v>0</v>
      </c>
      <c r="AA88" s="67"/>
      <c r="AB88" s="67"/>
      <c r="AC88" s="67"/>
      <c r="AD88" s="99" t="e">
        <f t="shared" ca="1" si="5"/>
        <v>#DIV/0!</v>
      </c>
      <c r="AE88" s="67"/>
      <c r="AF88" s="67"/>
      <c r="AG88" s="67"/>
      <c r="AH88" s="67"/>
      <c r="AI88" s="67"/>
      <c r="AJ88" s="67"/>
      <c r="AK88" s="67"/>
      <c r="AL88" s="67"/>
      <c r="AM88" s="67"/>
      <c r="AN88" s="67"/>
      <c r="AO88" s="67"/>
      <c r="AP88" s="67"/>
      <c r="AQ88" s="67"/>
      <c r="AR88" s="67"/>
      <c r="AS88" s="67"/>
      <c r="AT88" s="67"/>
    </row>
    <row r="89" spans="1:46" ht="72" hidden="1" x14ac:dyDescent="0.2">
      <c r="A89" s="67"/>
      <c r="B89" s="96"/>
      <c r="C89"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9" s="20" t="str">
        <f ca="1">IFERROR(__xludf.DUMMYFUNCTION("""COMPUTED_VALUE"""),"МинЖКХ")</f>
        <v>МинЖКХ</v>
      </c>
      <c r="E89" s="20" t="str">
        <f ca="1">IFERROR(__xludf.DUMMYFUNCTION("""COMPUTED_VALUE"""),"Строительство II-ой нитки присоединительного водовода Ду 500 мм от ВК-7/14 до НС-9 г.о. Богородский")</f>
        <v>Строительство II-ой нитки присоединительного водовода Ду 500 мм от ВК-7/14 до НС-9 г.о. Богородский</v>
      </c>
      <c r="F89" s="67" t="str">
        <f ca="1">IFERROR(__xludf.DUMMYFUNCTION("""COMPUTED_VALUE"""),"СМР")</f>
        <v>СМР</v>
      </c>
      <c r="G89" s="67" t="str">
        <f ca="1">IFERROR(__xludf.DUMMYFUNCTION("""COMPUTED_VALUE"""),"г.о. Богородский")</f>
        <v>г.о. Богородский</v>
      </c>
      <c r="H89" s="67">
        <f ca="1">IFERROR(__xludf.DUMMYFUNCTION("""COMPUTED_VALUE"""),2023)</f>
        <v>2023</v>
      </c>
      <c r="I89" s="67" t="str">
        <f ca="1">IFERROR(__xludf.DUMMYFUNCTION("""COMPUTED_VALUE"""),"10 1 G5 52439")</f>
        <v>10 1 G5 52439</v>
      </c>
      <c r="J89" s="67">
        <f ca="1">IFERROR(__xludf.DUMMYFUNCTION("""COMPUTED_VALUE"""),460)</f>
        <v>460</v>
      </c>
      <c r="K89" s="97">
        <f t="shared" ca="1" si="1"/>
        <v>0</v>
      </c>
      <c r="L89" s="97">
        <f ca="1">IFERROR(__xludf.DUMMYFUNCTION("""COMPUTED_VALUE"""),0)</f>
        <v>0</v>
      </c>
      <c r="M89" s="97">
        <f ca="1">IFERROR(__xludf.DUMMYFUNCTION("""COMPUTED_VALUE"""),0)</f>
        <v>0</v>
      </c>
      <c r="N89" s="67"/>
      <c r="O89" s="97">
        <f ca="1">IFERROR(__xludf.DUMMYFUNCTION("""COMPUTED_VALUE"""),0)</f>
        <v>0</v>
      </c>
      <c r="P89" s="97">
        <f t="shared" ca="1" si="2"/>
        <v>0</v>
      </c>
      <c r="Q89" s="67"/>
      <c r="R89" s="67"/>
      <c r="S89" s="97">
        <f ca="1">IFERROR(__xludf.DUMMYFUNCTION("""COMPUTED_VALUE"""),0)</f>
        <v>0</v>
      </c>
      <c r="T89" s="97">
        <f ca="1">IFERROR(__xludf.DUMMYFUNCTION("""COMPUTED_VALUE"""),0)</f>
        <v>0</v>
      </c>
      <c r="U89" s="97">
        <f ca="1">IFERROR(__xludf.DUMMYFUNCTION("""COMPUTED_VALUE"""),0)</f>
        <v>0</v>
      </c>
      <c r="V89" s="97">
        <f ca="1">IFERROR(__xludf.DUMMYFUNCTION("""COMPUTED_VALUE"""),0)</f>
        <v>0</v>
      </c>
      <c r="W89" s="97">
        <f ca="1">IFERROR(__xludf.DUMMYFUNCTION("""COMPUTED_VALUE"""),0)</f>
        <v>0</v>
      </c>
      <c r="X89" s="97">
        <f ca="1">IFERROR(__xludf.DUMMYFUNCTION("""COMPUTED_VALUE"""),0)</f>
        <v>0</v>
      </c>
      <c r="Y89" s="97">
        <f t="shared" ca="1" si="3"/>
        <v>0</v>
      </c>
      <c r="Z89" s="67">
        <f t="shared" si="4"/>
        <v>0</v>
      </c>
      <c r="AA89" s="67"/>
      <c r="AB89" s="67"/>
      <c r="AC89" s="67"/>
      <c r="AD89" s="99" t="e">
        <f t="shared" ca="1" si="5"/>
        <v>#DIV/0!</v>
      </c>
      <c r="AE89" s="67"/>
      <c r="AF89" s="67"/>
      <c r="AG89" s="67"/>
      <c r="AH89" s="67"/>
      <c r="AI89" s="67"/>
      <c r="AJ89" s="67"/>
      <c r="AK89" s="67"/>
      <c r="AL89" s="67"/>
      <c r="AM89" s="67"/>
      <c r="AN89" s="67"/>
      <c r="AO89" s="67"/>
      <c r="AP89" s="67"/>
      <c r="AQ89" s="67"/>
      <c r="AR89" s="67"/>
      <c r="AS89" s="67"/>
      <c r="AT89" s="67"/>
    </row>
    <row r="90" spans="1:46" ht="72" hidden="1" x14ac:dyDescent="0.2">
      <c r="A90" s="67"/>
      <c r="B90" s="100"/>
      <c r="C90"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0" s="20" t="str">
        <f ca="1">IFERROR(__xludf.DUMMYFUNCTION("""COMPUTED_VALUE"""),"МинЖКХ")</f>
        <v>МинЖКХ</v>
      </c>
      <c r="E90" s="20" t="str">
        <f ca="1">IFERROR(__xludf.DUMMYFUNCTION("""COMPUTED_VALUE"""),"Строительство сетей водоснабжения в г. Старая Купавна Богородского г.о.")</f>
        <v>Строительство сетей водоснабжения в г. Старая Купавна Богородского г.о.</v>
      </c>
      <c r="F90" s="67" t="str">
        <f ca="1">IFERROR(__xludf.DUMMYFUNCTION("""COMPUTED_VALUE"""),"СМР")</f>
        <v>СМР</v>
      </c>
      <c r="G90" s="67" t="str">
        <f ca="1">IFERROR(__xludf.DUMMYFUNCTION("""COMPUTED_VALUE"""),"г.о. Богородский")</f>
        <v>г.о. Богородский</v>
      </c>
      <c r="H90" s="67">
        <f ca="1">IFERROR(__xludf.DUMMYFUNCTION("""COMPUTED_VALUE"""),2023)</f>
        <v>2023</v>
      </c>
      <c r="I90" s="67" t="str">
        <f ca="1">IFERROR(__xludf.DUMMYFUNCTION("""COMPUTED_VALUE"""),"10 1 G5 52439")</f>
        <v>10 1 G5 52439</v>
      </c>
      <c r="J90" s="67">
        <f ca="1">IFERROR(__xludf.DUMMYFUNCTION("""COMPUTED_VALUE"""),460)</f>
        <v>460</v>
      </c>
      <c r="K90" s="97">
        <f t="shared" ca="1" si="1"/>
        <v>0</v>
      </c>
      <c r="L90" s="97">
        <f ca="1">IFERROR(__xludf.DUMMYFUNCTION("""COMPUTED_VALUE"""),0)</f>
        <v>0</v>
      </c>
      <c r="M90" s="97">
        <f ca="1">IFERROR(__xludf.DUMMYFUNCTION("""COMPUTED_VALUE"""),0)</f>
        <v>0</v>
      </c>
      <c r="N90" s="67"/>
      <c r="O90" s="97">
        <f ca="1">IFERROR(__xludf.DUMMYFUNCTION("""COMPUTED_VALUE"""),0)</f>
        <v>0</v>
      </c>
      <c r="P90" s="97">
        <f t="shared" ca="1" si="2"/>
        <v>0</v>
      </c>
      <c r="Q90" s="67"/>
      <c r="R90" s="67"/>
      <c r="S90" s="97">
        <f ca="1">IFERROR(__xludf.DUMMYFUNCTION("""COMPUTED_VALUE"""),0)</f>
        <v>0</v>
      </c>
      <c r="T90" s="97">
        <f ca="1">IFERROR(__xludf.DUMMYFUNCTION("""COMPUTED_VALUE"""),0)</f>
        <v>0</v>
      </c>
      <c r="U90" s="97">
        <f ca="1">IFERROR(__xludf.DUMMYFUNCTION("""COMPUTED_VALUE"""),0)</f>
        <v>0</v>
      </c>
      <c r="V90" s="97">
        <f ca="1">IFERROR(__xludf.DUMMYFUNCTION("""COMPUTED_VALUE"""),0)</f>
        <v>0</v>
      </c>
      <c r="W90" s="97">
        <f ca="1">IFERROR(__xludf.DUMMYFUNCTION("""COMPUTED_VALUE"""),0)</f>
        <v>0</v>
      </c>
      <c r="X90" s="97">
        <f ca="1">IFERROR(__xludf.DUMMYFUNCTION("""COMPUTED_VALUE"""),0)</f>
        <v>0</v>
      </c>
      <c r="Y90" s="97">
        <f t="shared" ca="1" si="3"/>
        <v>0</v>
      </c>
      <c r="Z90" s="67">
        <f t="shared" si="4"/>
        <v>0</v>
      </c>
      <c r="AA90" s="67"/>
      <c r="AB90" s="67"/>
      <c r="AC90" s="67"/>
      <c r="AD90" s="99" t="e">
        <f t="shared" ca="1" si="5"/>
        <v>#DIV/0!</v>
      </c>
      <c r="AE90" s="67"/>
      <c r="AF90" s="67"/>
      <c r="AG90" s="67"/>
      <c r="AH90" s="67"/>
      <c r="AI90" s="67"/>
      <c r="AJ90" s="67"/>
      <c r="AK90" s="67"/>
      <c r="AL90" s="67"/>
      <c r="AM90" s="67"/>
      <c r="AN90" s="67"/>
      <c r="AO90" s="67"/>
      <c r="AP90" s="67"/>
      <c r="AQ90" s="67"/>
      <c r="AR90" s="67"/>
      <c r="AS90" s="67"/>
      <c r="AT90" s="67"/>
    </row>
    <row r="91" spans="1:46" ht="72" x14ac:dyDescent="0.2">
      <c r="A91" s="20"/>
      <c r="B91" s="95"/>
      <c r="C91"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1" s="20" t="str">
        <f ca="1">IFERROR(__xludf.DUMMYFUNCTION("""COMPUTED_VALUE"""),"МинЖКХ")</f>
        <v>МинЖКХ</v>
      </c>
      <c r="E91" s="20" t="str">
        <f ca="1">IFERROR(__xludf.DUMMYFUNCTION("""COMPUTED_VALUE"""),"Строительство  присоеденительного водовода от Восточной системы водоснабжения Московской области к  д. Тимохово Богородский г.о. (в том числе ПИР)")</f>
        <v>Строительство  присоеденительного водовода от Восточной системы водоснабжения Московской области к  д. Тимохово Богородский г.о. (в том числе ПИР)</v>
      </c>
      <c r="F91" s="20" t="str">
        <f ca="1">IFERROR(__xludf.DUMMYFUNCTION("""COMPUTED_VALUE"""),"ПИР")</f>
        <v>ПИР</v>
      </c>
      <c r="G91" s="20" t="str">
        <f ca="1">IFERROR(__xludf.DUMMYFUNCTION("""COMPUTED_VALUE"""),"КСМО")</f>
        <v>КСМО</v>
      </c>
      <c r="H91" s="20" t="str">
        <f ca="1">IFERROR(__xludf.DUMMYFUNCTION("""COMPUTED_VALUE"""),"2020-2022")</f>
        <v>2020-2022</v>
      </c>
      <c r="I91" s="20" t="str">
        <f ca="1">IFERROR(__xludf.DUMMYFUNCTION("""COMPUTED_VALUE"""),"10 1 G5 52439")</f>
        <v>10 1 G5 52439</v>
      </c>
      <c r="J91" s="20">
        <f ca="1">IFERROR(__xludf.DUMMYFUNCTION("""COMPUTED_VALUE"""),460)</f>
        <v>460</v>
      </c>
      <c r="K91" s="24">
        <f t="shared" ca="1" si="1"/>
        <v>15000</v>
      </c>
      <c r="L91" s="24">
        <f ca="1">IFERROR(__xludf.DUMMYFUNCTION("""COMPUTED_VALUE"""),15000)</f>
        <v>15000</v>
      </c>
      <c r="M91" s="24">
        <f ca="1">IFERROR(__xludf.DUMMYFUNCTION("""COMPUTED_VALUE"""),0)</f>
        <v>0</v>
      </c>
      <c r="N91" s="20"/>
      <c r="O91" s="24">
        <f ca="1">IFERROR(__xludf.DUMMYFUNCTION("""COMPUTED_VALUE"""),0)</f>
        <v>0</v>
      </c>
      <c r="P91" s="24">
        <f t="shared" ca="1" si="2"/>
        <v>15000</v>
      </c>
      <c r="Q91" s="20">
        <f ca="1">IFERROR(__xludf.DUMMYFUNCTION("""COMPUTED_VALUE"""),0)</f>
        <v>0</v>
      </c>
      <c r="R91" s="20"/>
      <c r="S91" s="24">
        <f ca="1">IFERROR(__xludf.DUMMYFUNCTION("""COMPUTED_VALUE"""),15000)</f>
        <v>15000</v>
      </c>
      <c r="T91" s="24">
        <f ca="1">IFERROR(__xludf.DUMMYFUNCTION("""COMPUTED_VALUE"""),0)</f>
        <v>0</v>
      </c>
      <c r="U91" s="24">
        <f ca="1">IFERROR(__xludf.DUMMYFUNCTION("""COMPUTED_VALUE"""),0)</f>
        <v>0</v>
      </c>
      <c r="V91" s="24">
        <f ca="1">IFERROR(__xludf.DUMMYFUNCTION("""COMPUTED_VALUE"""),0)</f>
        <v>0</v>
      </c>
      <c r="W91" s="24">
        <f ca="1">IFERROR(__xludf.DUMMYFUNCTION("""COMPUTED_VALUE"""),0)</f>
        <v>0</v>
      </c>
      <c r="X91" s="24">
        <f ca="1">IFERROR(__xludf.DUMMYFUNCTION("""COMPUTED_VALUE"""),0)</f>
        <v>0</v>
      </c>
      <c r="Y91" s="24">
        <f t="shared" ca="1" si="3"/>
        <v>0</v>
      </c>
      <c r="Z91" s="20">
        <f t="shared" ca="1" si="4"/>
        <v>15000</v>
      </c>
      <c r="AA91" s="20"/>
      <c r="AB91" s="24">
        <f ca="1">IFERROR(__xludf.DUMMYFUNCTION("""COMPUTED_VALUE"""),15000)</f>
        <v>15000</v>
      </c>
      <c r="AC91" s="20"/>
      <c r="AD91" s="94">
        <f t="shared" ca="1" si="5"/>
        <v>1</v>
      </c>
      <c r="AE91" s="20"/>
      <c r="AF91" s="20"/>
      <c r="AG91" s="20"/>
      <c r="AH91" s="20"/>
      <c r="AI91" s="20"/>
      <c r="AJ91" s="20"/>
      <c r="AK91" s="20"/>
      <c r="AL91" s="20"/>
      <c r="AM91" s="20"/>
      <c r="AN91" s="20"/>
      <c r="AO91" s="20"/>
      <c r="AP91" s="20"/>
      <c r="AQ91" s="20"/>
      <c r="AR91" s="20"/>
      <c r="AS91" s="20"/>
      <c r="AT91" s="20"/>
    </row>
    <row r="92" spans="1:46" ht="72" hidden="1" x14ac:dyDescent="0.2">
      <c r="A92" s="67"/>
      <c r="B92" s="96"/>
      <c r="C92"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2" s="20" t="str">
        <f ca="1">IFERROR(__xludf.DUMMYFUNCTION("""COMPUTED_VALUE"""),"МинЖКХ")</f>
        <v>МинЖКХ</v>
      </c>
      <c r="E92" s="20" t="str">
        <f ca="1">IFERROR(__xludf.DUMMYFUNCTION("""COMPUTED_VALUE"""),"Реконструкция НС-1 Восточнй системы водоснабжения")</f>
        <v>Реконструкция НС-1 Восточнй системы водоснабжения</v>
      </c>
      <c r="F92" s="67"/>
      <c r="G92" s="67" t="str">
        <f ca="1">IFERROR(__xludf.DUMMYFUNCTION("""COMPUTED_VALUE"""),"г.о. Богородский")</f>
        <v>г.о. Богородский</v>
      </c>
      <c r="H92" s="67" t="str">
        <f ca="1">IFERROR(__xludf.DUMMYFUNCTION("""COMPUTED_VALUE"""),"Н/Л")</f>
        <v>Н/Л</v>
      </c>
      <c r="I92" s="67" t="str">
        <f ca="1">IFERROR(__xludf.DUMMYFUNCTION("""COMPUTED_VALUE"""),"10 1 G5 52439")</f>
        <v>10 1 G5 52439</v>
      </c>
      <c r="J92" s="67">
        <f ca="1">IFERROR(__xludf.DUMMYFUNCTION("""COMPUTED_VALUE"""),460)</f>
        <v>460</v>
      </c>
      <c r="K92" s="97">
        <f t="shared" ca="1" si="1"/>
        <v>0</v>
      </c>
      <c r="L92" s="97">
        <f ca="1">IFERROR(__xludf.DUMMYFUNCTION("""COMPUTED_VALUE"""),0)</f>
        <v>0</v>
      </c>
      <c r="M92" s="97">
        <f ca="1">IFERROR(__xludf.DUMMYFUNCTION("""COMPUTED_VALUE"""),0)</f>
        <v>0</v>
      </c>
      <c r="N92" s="67"/>
      <c r="O92" s="97">
        <f ca="1">IFERROR(__xludf.DUMMYFUNCTION("""COMPUTED_VALUE"""),0)</f>
        <v>0</v>
      </c>
      <c r="P92" s="97">
        <f t="shared" ca="1" si="2"/>
        <v>0</v>
      </c>
      <c r="Q92" s="67"/>
      <c r="R92" s="67"/>
      <c r="S92" s="97">
        <f ca="1">IFERROR(__xludf.DUMMYFUNCTION("""COMPUTED_VALUE"""),0)</f>
        <v>0</v>
      </c>
      <c r="T92" s="97">
        <f ca="1">IFERROR(__xludf.DUMMYFUNCTION("""COMPUTED_VALUE"""),0)</f>
        <v>0</v>
      </c>
      <c r="U92" s="97">
        <f ca="1">IFERROR(__xludf.DUMMYFUNCTION("""COMPUTED_VALUE"""),0)</f>
        <v>0</v>
      </c>
      <c r="V92" s="97">
        <f ca="1">IFERROR(__xludf.DUMMYFUNCTION("""COMPUTED_VALUE"""),0)</f>
        <v>0</v>
      </c>
      <c r="W92" s="97">
        <f ca="1">IFERROR(__xludf.DUMMYFUNCTION("""COMPUTED_VALUE"""),0)</f>
        <v>0</v>
      </c>
      <c r="X92" s="97">
        <f ca="1">IFERROR(__xludf.DUMMYFUNCTION("""COMPUTED_VALUE"""),0)</f>
        <v>0</v>
      </c>
      <c r="Y92" s="97">
        <f t="shared" ca="1" si="3"/>
        <v>0</v>
      </c>
      <c r="Z92" s="67">
        <f t="shared" si="4"/>
        <v>0</v>
      </c>
      <c r="AA92" s="67"/>
      <c r="AB92" s="67"/>
      <c r="AC92" s="67"/>
      <c r="AD92" s="99" t="e">
        <f t="shared" ca="1" si="5"/>
        <v>#DIV/0!</v>
      </c>
      <c r="AE92" s="67"/>
      <c r="AF92" s="67"/>
      <c r="AG92" s="67"/>
      <c r="AH92" s="67"/>
      <c r="AI92" s="67"/>
      <c r="AJ92" s="67"/>
      <c r="AK92" s="67"/>
      <c r="AL92" s="67"/>
      <c r="AM92" s="67"/>
      <c r="AN92" s="67"/>
      <c r="AO92" s="67"/>
      <c r="AP92" s="67"/>
      <c r="AQ92" s="67"/>
      <c r="AR92" s="67"/>
      <c r="AS92" s="67"/>
      <c r="AT92" s="67"/>
    </row>
    <row r="93" spans="1:46" ht="48" hidden="1" x14ac:dyDescent="0.2">
      <c r="A93" s="67"/>
      <c r="B93" s="96"/>
      <c r="C93"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3" s="20" t="str">
        <f ca="1">IFERROR(__xludf.DUMMYFUNCTION("""COMPUTED_VALUE"""),"МинЖКХ")</f>
        <v>МинЖКХ</v>
      </c>
      <c r="E93" s="20" t="str">
        <f ca="1">IFERROR(__xludf.DUMMYFUNCTION("""COMPUTED_VALUE"""),"Реконструкция ВЗУ Карьероуправление с.п. Дровнинское, д. Карьероуправление г.о. Можайский")</f>
        <v>Реконструкция ВЗУ Карьероуправление с.п. Дровнинское, д. Карьероуправление г.о. Можайский</v>
      </c>
      <c r="F93" s="67" t="str">
        <f ca="1">IFERROR(__xludf.DUMMYFUNCTION("""COMPUTED_VALUE"""),"СМР")</f>
        <v>СМР</v>
      </c>
      <c r="G93" s="67" t="str">
        <f ca="1">IFERROR(__xludf.DUMMYFUNCTION("""COMPUTED_VALUE"""),"г.о. Можайск")</f>
        <v>г.о. Можайск</v>
      </c>
      <c r="H93" s="67">
        <f ca="1">IFERROR(__xludf.DUMMYFUNCTION("""COMPUTED_VALUE"""),2022)</f>
        <v>2022</v>
      </c>
      <c r="I93" s="67" t="str">
        <f ca="1">IFERROR(__xludf.DUMMYFUNCTION("""COMPUTED_VALUE"""),"10 1 G552430")</f>
        <v>10 1 G552430</v>
      </c>
      <c r="J93" s="67">
        <f ca="1">IFERROR(__xludf.DUMMYFUNCTION("""COMPUTED_VALUE"""),410)</f>
        <v>410</v>
      </c>
      <c r="K93" s="97">
        <f t="shared" ca="1" si="1"/>
        <v>0</v>
      </c>
      <c r="L93" s="97">
        <f ca="1">IFERROR(__xludf.DUMMYFUNCTION("""COMPUTED_VALUE"""),0)</f>
        <v>0</v>
      </c>
      <c r="M93" s="97">
        <f ca="1">IFERROR(__xludf.DUMMYFUNCTION("""COMPUTED_VALUE"""),0)</f>
        <v>0</v>
      </c>
      <c r="N93" s="67"/>
      <c r="O93" s="97">
        <f ca="1">IFERROR(__xludf.DUMMYFUNCTION("""COMPUTED_VALUE"""),0)</f>
        <v>0</v>
      </c>
      <c r="P93" s="97">
        <f t="shared" ca="1" si="2"/>
        <v>0</v>
      </c>
      <c r="Q93" s="67"/>
      <c r="R93" s="67"/>
      <c r="S93" s="97">
        <f ca="1">IFERROR(__xludf.DUMMYFUNCTION("""COMPUTED_VALUE"""),0)</f>
        <v>0</v>
      </c>
      <c r="T93" s="97">
        <f ca="1">IFERROR(__xludf.DUMMYFUNCTION("""COMPUTED_VALUE"""),0)</f>
        <v>0</v>
      </c>
      <c r="U93" s="97">
        <f ca="1">IFERROR(__xludf.DUMMYFUNCTION("""COMPUTED_VALUE"""),0)</f>
        <v>0</v>
      </c>
      <c r="V93" s="97">
        <f ca="1">IFERROR(__xludf.DUMMYFUNCTION("""COMPUTED_VALUE"""),0)</f>
        <v>0</v>
      </c>
      <c r="W93" s="97">
        <f ca="1">IFERROR(__xludf.DUMMYFUNCTION("""COMPUTED_VALUE"""),0)</f>
        <v>0</v>
      </c>
      <c r="X93" s="97">
        <f ca="1">IFERROR(__xludf.DUMMYFUNCTION("""COMPUTED_VALUE"""),0)</f>
        <v>0</v>
      </c>
      <c r="Y93" s="97">
        <f t="shared" ca="1" si="3"/>
        <v>0</v>
      </c>
      <c r="Z93" s="67">
        <f t="shared" si="4"/>
        <v>0</v>
      </c>
      <c r="AA93" s="67"/>
      <c r="AB93" s="67"/>
      <c r="AC93" s="67"/>
      <c r="AD93" s="99" t="e">
        <f t="shared" ca="1" si="5"/>
        <v>#DIV/0!</v>
      </c>
      <c r="AE93" s="67"/>
      <c r="AF93" s="67"/>
      <c r="AG93" s="67"/>
      <c r="AH93" s="67"/>
      <c r="AI93" s="67"/>
      <c r="AJ93" s="67"/>
      <c r="AK93" s="67"/>
      <c r="AL93" s="67"/>
      <c r="AM93" s="67"/>
      <c r="AN93" s="67"/>
      <c r="AO93" s="67"/>
      <c r="AP93" s="67"/>
      <c r="AQ93" s="67"/>
      <c r="AR93" s="67"/>
      <c r="AS93" s="67"/>
      <c r="AT93" s="67"/>
    </row>
    <row r="94" spans="1:46" ht="48" hidden="1" x14ac:dyDescent="0.2">
      <c r="A94" s="67"/>
      <c r="B94" s="96"/>
      <c r="C94"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4" s="20" t="str">
        <f ca="1">IFERROR(__xludf.DUMMYFUNCTION("""COMPUTED_VALUE"""),"МинЖКХ")</f>
        <v>МинЖКХ</v>
      </c>
      <c r="E94" s="20" t="str">
        <f ca="1">IFERROR(__xludf.DUMMYFUNCTION("""COMPUTED_VALUE"""),"Реконструкция ВЗУ Цветковский с.п. Дровнинское, п. Цветковский г.о. Можайский")</f>
        <v>Реконструкция ВЗУ Цветковский с.п. Дровнинское, п. Цветковский г.о. Можайский</v>
      </c>
      <c r="F94" s="67" t="str">
        <f ca="1">IFERROR(__xludf.DUMMYFUNCTION("""COMPUTED_VALUE"""),"СМР")</f>
        <v>СМР</v>
      </c>
      <c r="G94" s="67" t="str">
        <f ca="1">IFERROR(__xludf.DUMMYFUNCTION("""COMPUTED_VALUE"""),"г.о. Можайск")</f>
        <v>г.о. Можайск</v>
      </c>
      <c r="H94" s="67">
        <f ca="1">IFERROR(__xludf.DUMMYFUNCTION("""COMPUTED_VALUE"""),2022)</f>
        <v>2022</v>
      </c>
      <c r="I94" s="67" t="str">
        <f ca="1">IFERROR(__xludf.DUMMYFUNCTION("""COMPUTED_VALUE"""),"10 1 G552430")</f>
        <v>10 1 G552430</v>
      </c>
      <c r="J94" s="67">
        <f ca="1">IFERROR(__xludf.DUMMYFUNCTION("""COMPUTED_VALUE"""),410)</f>
        <v>410</v>
      </c>
      <c r="K94" s="97">
        <f t="shared" ca="1" si="1"/>
        <v>0</v>
      </c>
      <c r="L94" s="97">
        <f ca="1">IFERROR(__xludf.DUMMYFUNCTION("""COMPUTED_VALUE"""),0)</f>
        <v>0</v>
      </c>
      <c r="M94" s="97">
        <f ca="1">IFERROR(__xludf.DUMMYFUNCTION("""COMPUTED_VALUE"""),0)</f>
        <v>0</v>
      </c>
      <c r="N94" s="67"/>
      <c r="O94" s="97">
        <f ca="1">IFERROR(__xludf.DUMMYFUNCTION("""COMPUTED_VALUE"""),0)</f>
        <v>0</v>
      </c>
      <c r="P94" s="97">
        <f t="shared" ca="1" si="2"/>
        <v>0</v>
      </c>
      <c r="Q94" s="67"/>
      <c r="R94" s="67"/>
      <c r="S94" s="97">
        <f ca="1">IFERROR(__xludf.DUMMYFUNCTION("""COMPUTED_VALUE"""),0)</f>
        <v>0</v>
      </c>
      <c r="T94" s="97">
        <f ca="1">IFERROR(__xludf.DUMMYFUNCTION("""COMPUTED_VALUE"""),0)</f>
        <v>0</v>
      </c>
      <c r="U94" s="97">
        <f ca="1">IFERROR(__xludf.DUMMYFUNCTION("""COMPUTED_VALUE"""),0)</f>
        <v>0</v>
      </c>
      <c r="V94" s="97">
        <f ca="1">IFERROR(__xludf.DUMMYFUNCTION("""COMPUTED_VALUE"""),0)</f>
        <v>0</v>
      </c>
      <c r="W94" s="97">
        <f ca="1">IFERROR(__xludf.DUMMYFUNCTION("""COMPUTED_VALUE"""),0)</f>
        <v>0</v>
      </c>
      <c r="X94" s="97">
        <f ca="1">IFERROR(__xludf.DUMMYFUNCTION("""COMPUTED_VALUE"""),0)</f>
        <v>0</v>
      </c>
      <c r="Y94" s="97">
        <f t="shared" ca="1" si="3"/>
        <v>0</v>
      </c>
      <c r="Z94" s="67">
        <f t="shared" si="4"/>
        <v>0</v>
      </c>
      <c r="AA94" s="67"/>
      <c r="AB94" s="67"/>
      <c r="AC94" s="67"/>
      <c r="AD94" s="99" t="e">
        <f t="shared" ca="1" si="5"/>
        <v>#DIV/0!</v>
      </c>
      <c r="AE94" s="67"/>
      <c r="AF94" s="67"/>
      <c r="AG94" s="67"/>
      <c r="AH94" s="67"/>
      <c r="AI94" s="67"/>
      <c r="AJ94" s="67"/>
      <c r="AK94" s="67"/>
      <c r="AL94" s="67"/>
      <c r="AM94" s="67"/>
      <c r="AN94" s="67"/>
      <c r="AO94" s="67"/>
      <c r="AP94" s="67"/>
      <c r="AQ94" s="67"/>
      <c r="AR94" s="67"/>
      <c r="AS94" s="67"/>
      <c r="AT94" s="67"/>
    </row>
    <row r="95" spans="1:46" ht="48" hidden="1" x14ac:dyDescent="0.2">
      <c r="A95" s="67"/>
      <c r="B95" s="96"/>
      <c r="C95"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5" s="20" t="str">
        <f ca="1">IFERROR(__xludf.DUMMYFUNCTION("""COMPUTED_VALUE"""),"МинЖКХ")</f>
        <v>МинЖКХ</v>
      </c>
      <c r="E95" s="20" t="str">
        <f ca="1">IFERROR(__xludf.DUMMYFUNCTION("""COMPUTED_VALUE"""),"Реконструкция ВЗУ Сокольниковос с.п. Юрловское, с. Сокольниково г.о. Можайский")</f>
        <v>Реконструкция ВЗУ Сокольниковос с.п. Юрловское, с. Сокольниково г.о. Можайский</v>
      </c>
      <c r="F95" s="67" t="str">
        <f ca="1">IFERROR(__xludf.DUMMYFUNCTION("""COMPUTED_VALUE"""),"СМР")</f>
        <v>СМР</v>
      </c>
      <c r="G95" s="67" t="str">
        <f ca="1">IFERROR(__xludf.DUMMYFUNCTION("""COMPUTED_VALUE"""),"г.о. Можайск")</f>
        <v>г.о. Можайск</v>
      </c>
      <c r="H95" s="67">
        <f ca="1">IFERROR(__xludf.DUMMYFUNCTION("""COMPUTED_VALUE"""),2022)</f>
        <v>2022</v>
      </c>
      <c r="I95" s="67" t="str">
        <f ca="1">IFERROR(__xludf.DUMMYFUNCTION("""COMPUTED_VALUE"""),"10 1 G552430")</f>
        <v>10 1 G552430</v>
      </c>
      <c r="J95" s="67">
        <f ca="1">IFERROR(__xludf.DUMMYFUNCTION("""COMPUTED_VALUE"""),410)</f>
        <v>410</v>
      </c>
      <c r="K95" s="97">
        <f t="shared" ca="1" si="1"/>
        <v>0</v>
      </c>
      <c r="L95" s="97">
        <f ca="1">IFERROR(__xludf.DUMMYFUNCTION("""COMPUTED_VALUE"""),0)</f>
        <v>0</v>
      </c>
      <c r="M95" s="97">
        <f ca="1">IFERROR(__xludf.DUMMYFUNCTION("""COMPUTED_VALUE"""),0)</f>
        <v>0</v>
      </c>
      <c r="N95" s="67"/>
      <c r="O95" s="97">
        <f ca="1">IFERROR(__xludf.DUMMYFUNCTION("""COMPUTED_VALUE"""),0)</f>
        <v>0</v>
      </c>
      <c r="P95" s="97">
        <f t="shared" ca="1" si="2"/>
        <v>0</v>
      </c>
      <c r="Q95" s="67"/>
      <c r="R95" s="67"/>
      <c r="S95" s="97">
        <f ca="1">IFERROR(__xludf.DUMMYFUNCTION("""COMPUTED_VALUE"""),0)</f>
        <v>0</v>
      </c>
      <c r="T95" s="97">
        <f ca="1">IFERROR(__xludf.DUMMYFUNCTION("""COMPUTED_VALUE"""),0)</f>
        <v>0</v>
      </c>
      <c r="U95" s="97">
        <f ca="1">IFERROR(__xludf.DUMMYFUNCTION("""COMPUTED_VALUE"""),0)</f>
        <v>0</v>
      </c>
      <c r="V95" s="97">
        <f ca="1">IFERROR(__xludf.DUMMYFUNCTION("""COMPUTED_VALUE"""),0)</f>
        <v>0</v>
      </c>
      <c r="W95" s="97">
        <f ca="1">IFERROR(__xludf.DUMMYFUNCTION("""COMPUTED_VALUE"""),0)</f>
        <v>0</v>
      </c>
      <c r="X95" s="97">
        <f ca="1">IFERROR(__xludf.DUMMYFUNCTION("""COMPUTED_VALUE"""),0)</f>
        <v>0</v>
      </c>
      <c r="Y95" s="97">
        <f t="shared" ca="1" si="3"/>
        <v>0</v>
      </c>
      <c r="Z95" s="67">
        <f t="shared" si="4"/>
        <v>0</v>
      </c>
      <c r="AA95" s="67"/>
      <c r="AB95" s="67"/>
      <c r="AC95" s="67"/>
      <c r="AD95" s="99" t="e">
        <f t="shared" ca="1" si="5"/>
        <v>#DIV/0!</v>
      </c>
      <c r="AE95" s="67"/>
      <c r="AF95" s="67"/>
      <c r="AG95" s="67"/>
      <c r="AH95" s="67"/>
      <c r="AI95" s="67"/>
      <c r="AJ95" s="67"/>
      <c r="AK95" s="67"/>
      <c r="AL95" s="67"/>
      <c r="AM95" s="67"/>
      <c r="AN95" s="67"/>
      <c r="AO95" s="67"/>
      <c r="AP95" s="67"/>
      <c r="AQ95" s="67"/>
      <c r="AR95" s="67"/>
      <c r="AS95" s="67"/>
      <c r="AT95" s="67"/>
    </row>
    <row r="96" spans="1:46" ht="48" hidden="1" x14ac:dyDescent="0.2">
      <c r="A96" s="67"/>
      <c r="B96" s="96"/>
      <c r="C96"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6" s="20" t="str">
        <f ca="1">IFERROR(__xludf.DUMMYFUNCTION("""COMPUTED_VALUE"""),"МинЖКХ")</f>
        <v>МинЖКХ</v>
      </c>
      <c r="E96" s="20" t="str">
        <f ca="1">IFERROR(__xludf.DUMMYFUNCTION("""COMPUTED_VALUE"""),"Реконструкция ВЗУ Мокрое с.п. Замошинское, д. Мокрое г.о. Можайский")</f>
        <v>Реконструкция ВЗУ Мокрое с.п. Замошинское, д. Мокрое г.о. Можайский</v>
      </c>
      <c r="F96" s="67" t="str">
        <f ca="1">IFERROR(__xludf.DUMMYFUNCTION("""COMPUTED_VALUE"""),"СМР")</f>
        <v>СМР</v>
      </c>
      <c r="G96" s="67" t="str">
        <f ca="1">IFERROR(__xludf.DUMMYFUNCTION("""COMPUTED_VALUE"""),"г.о. Можайск")</f>
        <v>г.о. Можайск</v>
      </c>
      <c r="H96" s="67">
        <f ca="1">IFERROR(__xludf.DUMMYFUNCTION("""COMPUTED_VALUE"""),2022)</f>
        <v>2022</v>
      </c>
      <c r="I96" s="67" t="str">
        <f ca="1">IFERROR(__xludf.DUMMYFUNCTION("""COMPUTED_VALUE"""),"10 1 G552430")</f>
        <v>10 1 G552430</v>
      </c>
      <c r="J96" s="67">
        <f ca="1">IFERROR(__xludf.DUMMYFUNCTION("""COMPUTED_VALUE"""),410)</f>
        <v>410</v>
      </c>
      <c r="K96" s="97">
        <f t="shared" ca="1" si="1"/>
        <v>0</v>
      </c>
      <c r="L96" s="97">
        <f ca="1">IFERROR(__xludf.DUMMYFUNCTION("""COMPUTED_VALUE"""),0)</f>
        <v>0</v>
      </c>
      <c r="M96" s="97">
        <f ca="1">IFERROR(__xludf.DUMMYFUNCTION("""COMPUTED_VALUE"""),0)</f>
        <v>0</v>
      </c>
      <c r="N96" s="67"/>
      <c r="O96" s="97">
        <f ca="1">IFERROR(__xludf.DUMMYFUNCTION("""COMPUTED_VALUE"""),0)</f>
        <v>0</v>
      </c>
      <c r="P96" s="97">
        <f t="shared" ca="1" si="2"/>
        <v>0</v>
      </c>
      <c r="Q96" s="67"/>
      <c r="R96" s="67"/>
      <c r="S96" s="97">
        <f ca="1">IFERROR(__xludf.DUMMYFUNCTION("""COMPUTED_VALUE"""),0)</f>
        <v>0</v>
      </c>
      <c r="T96" s="97">
        <f ca="1">IFERROR(__xludf.DUMMYFUNCTION("""COMPUTED_VALUE"""),0)</f>
        <v>0</v>
      </c>
      <c r="U96" s="97">
        <f ca="1">IFERROR(__xludf.DUMMYFUNCTION("""COMPUTED_VALUE"""),0)</f>
        <v>0</v>
      </c>
      <c r="V96" s="97">
        <f ca="1">IFERROR(__xludf.DUMMYFUNCTION("""COMPUTED_VALUE"""),0)</f>
        <v>0</v>
      </c>
      <c r="W96" s="97">
        <f ca="1">IFERROR(__xludf.DUMMYFUNCTION("""COMPUTED_VALUE"""),0)</f>
        <v>0</v>
      </c>
      <c r="X96" s="97">
        <f ca="1">IFERROR(__xludf.DUMMYFUNCTION("""COMPUTED_VALUE"""),0)</f>
        <v>0</v>
      </c>
      <c r="Y96" s="97">
        <f t="shared" ca="1" si="3"/>
        <v>0</v>
      </c>
      <c r="Z96" s="67">
        <f t="shared" si="4"/>
        <v>0</v>
      </c>
      <c r="AA96" s="67"/>
      <c r="AB96" s="67"/>
      <c r="AC96" s="67"/>
      <c r="AD96" s="99" t="e">
        <f t="shared" ca="1" si="5"/>
        <v>#DIV/0!</v>
      </c>
      <c r="AE96" s="67"/>
      <c r="AF96" s="67"/>
      <c r="AG96" s="67"/>
      <c r="AH96" s="67"/>
      <c r="AI96" s="67"/>
      <c r="AJ96" s="67"/>
      <c r="AK96" s="67"/>
      <c r="AL96" s="67"/>
      <c r="AM96" s="67"/>
      <c r="AN96" s="67"/>
      <c r="AO96" s="67"/>
      <c r="AP96" s="67"/>
      <c r="AQ96" s="67"/>
      <c r="AR96" s="67"/>
      <c r="AS96" s="67"/>
      <c r="AT96" s="67"/>
    </row>
    <row r="97" spans="1:46" ht="48" hidden="1" x14ac:dyDescent="0.2">
      <c r="A97" s="67"/>
      <c r="B97" s="96"/>
      <c r="C97"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7" s="20" t="str">
        <f ca="1">IFERROR(__xludf.DUMMYFUNCTION("""COMPUTED_VALUE"""),"МинЖКХ")</f>
        <v>МинЖКХ</v>
      </c>
      <c r="E97" s="20" t="str">
        <f ca="1">IFERROR(__xludf.DUMMYFUNCTION("""COMPUTED_VALUE"""),"Реконструкция ВЗУ Ивакино с.п. Юрловское, д. Ивакино г.о. Можайский")</f>
        <v>Реконструкция ВЗУ Ивакино с.п. Юрловское, д. Ивакино г.о. Можайский</v>
      </c>
      <c r="F97" s="67" t="str">
        <f ca="1">IFERROR(__xludf.DUMMYFUNCTION("""COMPUTED_VALUE"""),"СМР")</f>
        <v>СМР</v>
      </c>
      <c r="G97" s="67" t="str">
        <f ca="1">IFERROR(__xludf.DUMMYFUNCTION("""COMPUTED_VALUE"""),"г.о. Можайск")</f>
        <v>г.о. Можайск</v>
      </c>
      <c r="H97" s="67">
        <f ca="1">IFERROR(__xludf.DUMMYFUNCTION("""COMPUTED_VALUE"""),2022)</f>
        <v>2022</v>
      </c>
      <c r="I97" s="67" t="str">
        <f ca="1">IFERROR(__xludf.DUMMYFUNCTION("""COMPUTED_VALUE"""),"10 1 G552430")</f>
        <v>10 1 G552430</v>
      </c>
      <c r="J97" s="67">
        <f ca="1">IFERROR(__xludf.DUMMYFUNCTION("""COMPUTED_VALUE"""),410)</f>
        <v>410</v>
      </c>
      <c r="K97" s="97">
        <f t="shared" ca="1" si="1"/>
        <v>0</v>
      </c>
      <c r="L97" s="97">
        <f ca="1">IFERROR(__xludf.DUMMYFUNCTION("""COMPUTED_VALUE"""),0)</f>
        <v>0</v>
      </c>
      <c r="M97" s="97">
        <f ca="1">IFERROR(__xludf.DUMMYFUNCTION("""COMPUTED_VALUE"""),0)</f>
        <v>0</v>
      </c>
      <c r="N97" s="67"/>
      <c r="O97" s="97">
        <f ca="1">IFERROR(__xludf.DUMMYFUNCTION("""COMPUTED_VALUE"""),0)</f>
        <v>0</v>
      </c>
      <c r="P97" s="97">
        <f t="shared" ca="1" si="2"/>
        <v>0</v>
      </c>
      <c r="Q97" s="67"/>
      <c r="R97" s="67"/>
      <c r="S97" s="97">
        <f ca="1">IFERROR(__xludf.DUMMYFUNCTION("""COMPUTED_VALUE"""),0)</f>
        <v>0</v>
      </c>
      <c r="T97" s="97">
        <f ca="1">IFERROR(__xludf.DUMMYFUNCTION("""COMPUTED_VALUE"""),0)</f>
        <v>0</v>
      </c>
      <c r="U97" s="97">
        <f ca="1">IFERROR(__xludf.DUMMYFUNCTION("""COMPUTED_VALUE"""),0)</f>
        <v>0</v>
      </c>
      <c r="V97" s="97">
        <f ca="1">IFERROR(__xludf.DUMMYFUNCTION("""COMPUTED_VALUE"""),0)</f>
        <v>0</v>
      </c>
      <c r="W97" s="97">
        <f ca="1">IFERROR(__xludf.DUMMYFUNCTION("""COMPUTED_VALUE"""),0)</f>
        <v>0</v>
      </c>
      <c r="X97" s="97">
        <f ca="1">IFERROR(__xludf.DUMMYFUNCTION("""COMPUTED_VALUE"""),0)</f>
        <v>0</v>
      </c>
      <c r="Y97" s="97">
        <f t="shared" ca="1" si="3"/>
        <v>0</v>
      </c>
      <c r="Z97" s="67">
        <f t="shared" si="4"/>
        <v>0</v>
      </c>
      <c r="AA97" s="67"/>
      <c r="AB97" s="67"/>
      <c r="AC97" s="67"/>
      <c r="AD97" s="99" t="e">
        <f t="shared" ca="1" si="5"/>
        <v>#DIV/0!</v>
      </c>
      <c r="AE97" s="67"/>
      <c r="AF97" s="67"/>
      <c r="AG97" s="67"/>
      <c r="AH97" s="67"/>
      <c r="AI97" s="67"/>
      <c r="AJ97" s="67"/>
      <c r="AK97" s="67"/>
      <c r="AL97" s="67"/>
      <c r="AM97" s="67"/>
      <c r="AN97" s="67"/>
      <c r="AO97" s="67"/>
      <c r="AP97" s="67"/>
      <c r="AQ97" s="67"/>
      <c r="AR97" s="67"/>
      <c r="AS97" s="67"/>
      <c r="AT97" s="67"/>
    </row>
    <row r="98" spans="1:46" ht="48" hidden="1" x14ac:dyDescent="0.2">
      <c r="A98" s="67"/>
      <c r="B98" s="96"/>
      <c r="C98"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8" s="20" t="str">
        <f ca="1">IFERROR(__xludf.DUMMYFUNCTION("""COMPUTED_VALUE"""),"МинЖКХ")</f>
        <v>МинЖКХ</v>
      </c>
      <c r="E98" s="20" t="str">
        <f ca="1">IFERROR(__xludf.DUMMYFUNCTION("""COMPUTED_VALUE"""),"Реконструкция ВЗУ Семеновское Московская область, Можайский городской округ, с.п. Замошинское, д. Семеновское")</f>
        <v>Реконструкция ВЗУ Семеновское Московская область, Можайский городской округ, с.п. Замошинское, д. Семеновское</v>
      </c>
      <c r="F98" s="67" t="str">
        <f ca="1">IFERROR(__xludf.DUMMYFUNCTION("""COMPUTED_VALUE"""),"СМР")</f>
        <v>СМР</v>
      </c>
      <c r="G98" s="67" t="str">
        <f ca="1">IFERROR(__xludf.DUMMYFUNCTION("""COMPUTED_VALUE"""),"г.о. Можайск")</f>
        <v>г.о. Можайск</v>
      </c>
      <c r="H98" s="67">
        <f ca="1">IFERROR(__xludf.DUMMYFUNCTION("""COMPUTED_VALUE"""),2023)</f>
        <v>2023</v>
      </c>
      <c r="I98" s="67" t="str">
        <f ca="1">IFERROR(__xludf.DUMMYFUNCTION("""COMPUTED_VALUE"""),"10 1 G552430")</f>
        <v>10 1 G552430</v>
      </c>
      <c r="J98" s="67">
        <f ca="1">IFERROR(__xludf.DUMMYFUNCTION("""COMPUTED_VALUE"""),410)</f>
        <v>410</v>
      </c>
      <c r="K98" s="97">
        <f t="shared" ca="1" si="1"/>
        <v>0</v>
      </c>
      <c r="L98" s="97">
        <f ca="1">IFERROR(__xludf.DUMMYFUNCTION("""COMPUTED_VALUE"""),0)</f>
        <v>0</v>
      </c>
      <c r="M98" s="97">
        <f ca="1">IFERROR(__xludf.DUMMYFUNCTION("""COMPUTED_VALUE"""),0)</f>
        <v>0</v>
      </c>
      <c r="N98" s="67"/>
      <c r="O98" s="97">
        <f ca="1">IFERROR(__xludf.DUMMYFUNCTION("""COMPUTED_VALUE"""),0)</f>
        <v>0</v>
      </c>
      <c r="P98" s="97">
        <f t="shared" ca="1" si="2"/>
        <v>0</v>
      </c>
      <c r="Q98" s="67"/>
      <c r="R98" s="67"/>
      <c r="S98" s="97">
        <f ca="1">IFERROR(__xludf.DUMMYFUNCTION("""COMPUTED_VALUE"""),0)</f>
        <v>0</v>
      </c>
      <c r="T98" s="97">
        <f ca="1">IFERROR(__xludf.DUMMYFUNCTION("""COMPUTED_VALUE"""),0)</f>
        <v>0</v>
      </c>
      <c r="U98" s="97">
        <f ca="1">IFERROR(__xludf.DUMMYFUNCTION("""COMPUTED_VALUE"""),0)</f>
        <v>0</v>
      </c>
      <c r="V98" s="97">
        <f ca="1">IFERROR(__xludf.DUMMYFUNCTION("""COMPUTED_VALUE"""),0)</f>
        <v>0</v>
      </c>
      <c r="W98" s="97">
        <f ca="1">IFERROR(__xludf.DUMMYFUNCTION("""COMPUTED_VALUE"""),0)</f>
        <v>0</v>
      </c>
      <c r="X98" s="97">
        <f ca="1">IFERROR(__xludf.DUMMYFUNCTION("""COMPUTED_VALUE"""),0)</f>
        <v>0</v>
      </c>
      <c r="Y98" s="97">
        <f t="shared" ca="1" si="3"/>
        <v>0</v>
      </c>
      <c r="Z98" s="67">
        <f t="shared" si="4"/>
        <v>0</v>
      </c>
      <c r="AA98" s="67"/>
      <c r="AB98" s="67"/>
      <c r="AC98" s="67"/>
      <c r="AD98" s="99" t="e">
        <f t="shared" ca="1" si="5"/>
        <v>#DIV/0!</v>
      </c>
      <c r="AE98" s="67"/>
      <c r="AF98" s="67"/>
      <c r="AG98" s="67"/>
      <c r="AH98" s="67"/>
      <c r="AI98" s="67"/>
      <c r="AJ98" s="67"/>
      <c r="AK98" s="67"/>
      <c r="AL98" s="67"/>
      <c r="AM98" s="67"/>
      <c r="AN98" s="67"/>
      <c r="AO98" s="67"/>
      <c r="AP98" s="67"/>
      <c r="AQ98" s="67"/>
      <c r="AR98" s="67"/>
      <c r="AS98" s="67"/>
      <c r="AT98" s="67"/>
    </row>
    <row r="99" spans="1:46" ht="48" hidden="1" x14ac:dyDescent="0.2">
      <c r="A99" s="67"/>
      <c r="B99" s="96"/>
      <c r="C99"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9" s="20" t="str">
        <f ca="1">IFERROR(__xludf.DUMMYFUNCTION("""COMPUTED_VALUE"""),"МинЖКХ")</f>
        <v>МинЖКХ</v>
      </c>
      <c r="E99" s="20" t="str">
        <f ca="1">IFERROR(__xludf.DUMMYFUNCTION("""COMPUTED_VALUE"""),"Реконструкция ВЗУ №1 и №2 Павлищево Московская область, Можайский городской округ, с.п. Клементьевское, д. Павлищево")</f>
        <v>Реконструкция ВЗУ №1 и №2 Павлищево Московская область, Можайский городской округ, с.п. Клементьевское, д. Павлищево</v>
      </c>
      <c r="F99" s="67" t="str">
        <f ca="1">IFERROR(__xludf.DUMMYFUNCTION("""COMPUTED_VALUE"""),"СМР")</f>
        <v>СМР</v>
      </c>
      <c r="G99" s="67" t="str">
        <f ca="1">IFERROR(__xludf.DUMMYFUNCTION("""COMPUTED_VALUE"""),"г.о. Можайск")</f>
        <v>г.о. Можайск</v>
      </c>
      <c r="H99" s="67">
        <f ca="1">IFERROR(__xludf.DUMMYFUNCTION("""COMPUTED_VALUE"""),2023)</f>
        <v>2023</v>
      </c>
      <c r="I99" s="67" t="str">
        <f ca="1">IFERROR(__xludf.DUMMYFUNCTION("""COMPUTED_VALUE"""),"10 1 G552430")</f>
        <v>10 1 G552430</v>
      </c>
      <c r="J99" s="67">
        <f ca="1">IFERROR(__xludf.DUMMYFUNCTION("""COMPUTED_VALUE"""),410)</f>
        <v>410</v>
      </c>
      <c r="K99" s="97">
        <f t="shared" ca="1" si="1"/>
        <v>0</v>
      </c>
      <c r="L99" s="97">
        <f ca="1">IFERROR(__xludf.DUMMYFUNCTION("""COMPUTED_VALUE"""),0)</f>
        <v>0</v>
      </c>
      <c r="M99" s="97">
        <f ca="1">IFERROR(__xludf.DUMMYFUNCTION("""COMPUTED_VALUE"""),0)</f>
        <v>0</v>
      </c>
      <c r="N99" s="67"/>
      <c r="O99" s="97">
        <f ca="1">IFERROR(__xludf.DUMMYFUNCTION("""COMPUTED_VALUE"""),0)</f>
        <v>0</v>
      </c>
      <c r="P99" s="97">
        <f t="shared" ca="1" si="2"/>
        <v>0</v>
      </c>
      <c r="Q99" s="67"/>
      <c r="R99" s="67"/>
      <c r="S99" s="97">
        <f ca="1">IFERROR(__xludf.DUMMYFUNCTION("""COMPUTED_VALUE"""),0)</f>
        <v>0</v>
      </c>
      <c r="T99" s="97">
        <f ca="1">IFERROR(__xludf.DUMMYFUNCTION("""COMPUTED_VALUE"""),0)</f>
        <v>0</v>
      </c>
      <c r="U99" s="97">
        <f ca="1">IFERROR(__xludf.DUMMYFUNCTION("""COMPUTED_VALUE"""),0)</f>
        <v>0</v>
      </c>
      <c r="V99" s="97">
        <f ca="1">IFERROR(__xludf.DUMMYFUNCTION("""COMPUTED_VALUE"""),0)</f>
        <v>0</v>
      </c>
      <c r="W99" s="97">
        <f ca="1">IFERROR(__xludf.DUMMYFUNCTION("""COMPUTED_VALUE"""),0)</f>
        <v>0</v>
      </c>
      <c r="X99" s="97">
        <f ca="1">IFERROR(__xludf.DUMMYFUNCTION("""COMPUTED_VALUE"""),0)</f>
        <v>0</v>
      </c>
      <c r="Y99" s="97">
        <f t="shared" ca="1" si="3"/>
        <v>0</v>
      </c>
      <c r="Z99" s="67">
        <f t="shared" si="4"/>
        <v>0</v>
      </c>
      <c r="AA99" s="67"/>
      <c r="AB99" s="67"/>
      <c r="AC99" s="67"/>
      <c r="AD99" s="99" t="e">
        <f t="shared" ca="1" si="5"/>
        <v>#DIV/0!</v>
      </c>
      <c r="AE99" s="67"/>
      <c r="AF99" s="67"/>
      <c r="AG99" s="67"/>
      <c r="AH99" s="67"/>
      <c r="AI99" s="67"/>
      <c r="AJ99" s="67"/>
      <c r="AK99" s="67"/>
      <c r="AL99" s="67"/>
      <c r="AM99" s="67"/>
      <c r="AN99" s="67"/>
      <c r="AO99" s="67"/>
      <c r="AP99" s="67"/>
      <c r="AQ99" s="67"/>
      <c r="AR99" s="67"/>
      <c r="AS99" s="67"/>
      <c r="AT99" s="67"/>
    </row>
    <row r="100" spans="1:46" ht="48" hidden="1" x14ac:dyDescent="0.2">
      <c r="A100" s="67"/>
      <c r="B100" s="96"/>
      <c r="C100"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0" s="20" t="str">
        <f ca="1">IFERROR(__xludf.DUMMYFUNCTION("""COMPUTED_VALUE"""),"МинЖКХ")</f>
        <v>МинЖКХ</v>
      </c>
      <c r="E100" s="20" t="str">
        <f ca="1">IFERROR(__xludf.DUMMYFUNCTION("""COMPUTED_VALUE"""),"Реконструкция ВЗУ Новая Московская область, Можайский городской округ, г.п. Можайск, д. Новая")</f>
        <v>Реконструкция ВЗУ Новая Московская область, Можайский городской округ, г.п. Можайск, д. Новая</v>
      </c>
      <c r="F100" s="67" t="str">
        <f ca="1">IFERROR(__xludf.DUMMYFUNCTION("""COMPUTED_VALUE"""),"СМР")</f>
        <v>СМР</v>
      </c>
      <c r="G100" s="67" t="str">
        <f ca="1">IFERROR(__xludf.DUMMYFUNCTION("""COMPUTED_VALUE"""),"г.о. Можайск")</f>
        <v>г.о. Можайск</v>
      </c>
      <c r="H100" s="67">
        <f ca="1">IFERROR(__xludf.DUMMYFUNCTION("""COMPUTED_VALUE"""),2023)</f>
        <v>2023</v>
      </c>
      <c r="I100" s="67" t="str">
        <f ca="1">IFERROR(__xludf.DUMMYFUNCTION("""COMPUTED_VALUE"""),"10 1 G552430")</f>
        <v>10 1 G552430</v>
      </c>
      <c r="J100" s="67">
        <f ca="1">IFERROR(__xludf.DUMMYFUNCTION("""COMPUTED_VALUE"""),410)</f>
        <v>410</v>
      </c>
      <c r="K100" s="97">
        <f t="shared" ca="1" si="1"/>
        <v>0</v>
      </c>
      <c r="L100" s="97">
        <f ca="1">IFERROR(__xludf.DUMMYFUNCTION("""COMPUTED_VALUE"""),0)</f>
        <v>0</v>
      </c>
      <c r="M100" s="97">
        <f ca="1">IFERROR(__xludf.DUMMYFUNCTION("""COMPUTED_VALUE"""),0)</f>
        <v>0</v>
      </c>
      <c r="N100" s="67"/>
      <c r="O100" s="97">
        <f ca="1">IFERROR(__xludf.DUMMYFUNCTION("""COMPUTED_VALUE"""),0)</f>
        <v>0</v>
      </c>
      <c r="P100" s="97">
        <f t="shared" ca="1" si="2"/>
        <v>0</v>
      </c>
      <c r="Q100" s="67"/>
      <c r="R100" s="67"/>
      <c r="S100" s="97">
        <f ca="1">IFERROR(__xludf.DUMMYFUNCTION("""COMPUTED_VALUE"""),0)</f>
        <v>0</v>
      </c>
      <c r="T100" s="97">
        <f ca="1">IFERROR(__xludf.DUMMYFUNCTION("""COMPUTED_VALUE"""),0)</f>
        <v>0</v>
      </c>
      <c r="U100" s="97">
        <f ca="1">IFERROR(__xludf.DUMMYFUNCTION("""COMPUTED_VALUE"""),0)</f>
        <v>0</v>
      </c>
      <c r="V100" s="97">
        <f ca="1">IFERROR(__xludf.DUMMYFUNCTION("""COMPUTED_VALUE"""),0)</f>
        <v>0</v>
      </c>
      <c r="W100" s="97">
        <f ca="1">IFERROR(__xludf.DUMMYFUNCTION("""COMPUTED_VALUE"""),0)</f>
        <v>0</v>
      </c>
      <c r="X100" s="97">
        <f ca="1">IFERROR(__xludf.DUMMYFUNCTION("""COMPUTED_VALUE"""),0)</f>
        <v>0</v>
      </c>
      <c r="Y100" s="97">
        <f t="shared" ca="1" si="3"/>
        <v>0</v>
      </c>
      <c r="Z100" s="67">
        <f t="shared" si="4"/>
        <v>0</v>
      </c>
      <c r="AA100" s="67"/>
      <c r="AB100" s="67"/>
      <c r="AC100" s="67"/>
      <c r="AD100" s="99" t="e">
        <f t="shared" ca="1" si="5"/>
        <v>#DIV/0!</v>
      </c>
      <c r="AE100" s="67"/>
      <c r="AF100" s="67"/>
      <c r="AG100" s="67"/>
      <c r="AH100" s="67"/>
      <c r="AI100" s="67"/>
      <c r="AJ100" s="67"/>
      <c r="AK100" s="67"/>
      <c r="AL100" s="67"/>
      <c r="AM100" s="67"/>
      <c r="AN100" s="67"/>
      <c r="AO100" s="67"/>
      <c r="AP100" s="67"/>
      <c r="AQ100" s="67"/>
      <c r="AR100" s="67"/>
      <c r="AS100" s="67"/>
      <c r="AT100" s="67"/>
    </row>
    <row r="101" spans="1:46" ht="48" hidden="1" x14ac:dyDescent="0.2">
      <c r="A101" s="67"/>
      <c r="B101" s="96"/>
      <c r="C101"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1" s="20" t="str">
        <f ca="1">IFERROR(__xludf.DUMMYFUNCTION("""COMPUTED_VALUE"""),"МинЖКХ")</f>
        <v>МинЖКХ</v>
      </c>
      <c r="E101" s="20"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F101" s="67"/>
      <c r="G101" s="67" t="str">
        <f ca="1">IFERROR(__xludf.DUMMYFUNCTION("""COMPUTED_VALUE"""),"г.о. Можайск")</f>
        <v>г.о. Можайск</v>
      </c>
      <c r="H101" s="67" t="str">
        <f ca="1">IFERROR(__xludf.DUMMYFUNCTION("""COMPUTED_VALUE"""),"Н/Л")</f>
        <v>Н/Л</v>
      </c>
      <c r="I101" s="67" t="str">
        <f ca="1">IFERROR(__xludf.DUMMYFUNCTION("""COMPUTED_VALUE"""),"10 1 G552430")</f>
        <v>10 1 G552430</v>
      </c>
      <c r="J101" s="67">
        <f ca="1">IFERROR(__xludf.DUMMYFUNCTION("""COMPUTED_VALUE"""),410)</f>
        <v>410</v>
      </c>
      <c r="K101" s="97">
        <f t="shared" ca="1" si="1"/>
        <v>0</v>
      </c>
      <c r="L101" s="97">
        <f ca="1">IFERROR(__xludf.DUMMYFUNCTION("""COMPUTED_VALUE"""),0)</f>
        <v>0</v>
      </c>
      <c r="M101" s="97">
        <f ca="1">IFERROR(__xludf.DUMMYFUNCTION("""COMPUTED_VALUE"""),0)</f>
        <v>0</v>
      </c>
      <c r="N101" s="67"/>
      <c r="O101" s="97">
        <f ca="1">IFERROR(__xludf.DUMMYFUNCTION("""COMPUTED_VALUE"""),0)</f>
        <v>0</v>
      </c>
      <c r="P101" s="97">
        <f t="shared" ca="1" si="2"/>
        <v>0</v>
      </c>
      <c r="Q101" s="67"/>
      <c r="R101" s="67"/>
      <c r="S101" s="97">
        <f ca="1">IFERROR(__xludf.DUMMYFUNCTION("""COMPUTED_VALUE"""),0)</f>
        <v>0</v>
      </c>
      <c r="T101" s="97">
        <f ca="1">IFERROR(__xludf.DUMMYFUNCTION("""COMPUTED_VALUE"""),0)</f>
        <v>0</v>
      </c>
      <c r="U101" s="97">
        <f ca="1">IFERROR(__xludf.DUMMYFUNCTION("""COMPUTED_VALUE"""),0)</f>
        <v>0</v>
      </c>
      <c r="V101" s="97">
        <f ca="1">IFERROR(__xludf.DUMMYFUNCTION("""COMPUTED_VALUE"""),0)</f>
        <v>0</v>
      </c>
      <c r="W101" s="97">
        <f ca="1">IFERROR(__xludf.DUMMYFUNCTION("""COMPUTED_VALUE"""),0)</f>
        <v>0</v>
      </c>
      <c r="X101" s="97">
        <f ca="1">IFERROR(__xludf.DUMMYFUNCTION("""COMPUTED_VALUE"""),0)</f>
        <v>0</v>
      </c>
      <c r="Y101" s="97">
        <f t="shared" ca="1" si="3"/>
        <v>0</v>
      </c>
      <c r="Z101" s="67">
        <f t="shared" si="4"/>
        <v>0</v>
      </c>
      <c r="AA101" s="67"/>
      <c r="AB101" s="67"/>
      <c r="AC101" s="67"/>
      <c r="AD101" s="99" t="e">
        <f t="shared" ca="1" si="5"/>
        <v>#DIV/0!</v>
      </c>
      <c r="AE101" s="67"/>
      <c r="AF101" s="67"/>
      <c r="AG101" s="67"/>
      <c r="AH101" s="67"/>
      <c r="AI101" s="67"/>
      <c r="AJ101" s="67"/>
      <c r="AK101" s="67"/>
      <c r="AL101" s="67"/>
      <c r="AM101" s="67"/>
      <c r="AN101" s="67"/>
      <c r="AO101" s="67"/>
      <c r="AP101" s="67"/>
      <c r="AQ101" s="67"/>
      <c r="AR101" s="67"/>
      <c r="AS101" s="67"/>
      <c r="AT101" s="67"/>
    </row>
    <row r="102" spans="1:46" ht="48" hidden="1" x14ac:dyDescent="0.2">
      <c r="A102" s="67"/>
      <c r="B102" s="96"/>
      <c r="C102"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2" s="20" t="str">
        <f ca="1">IFERROR(__xludf.DUMMYFUNCTION("""COMPUTED_VALUE"""),"МинЖКХ")</f>
        <v>МинЖКХ</v>
      </c>
      <c r="E102" s="20" t="str">
        <f ca="1">IFERROR(__xludf.DUMMYFUNCTION("""COMPUTED_VALUE"""),"Реконструкция ВЗУ Сокольниково ул. Верхнее Сокольниково Московская область, Можайский городской округ, с.п. Юрловское")</f>
        <v>Реконструкция ВЗУ Сокольниково ул. Верхнее Сокольниково Московская область, Можайский городской округ, с.п. Юрловское</v>
      </c>
      <c r="F102" s="67" t="str">
        <f ca="1">IFERROR(__xludf.DUMMYFUNCTION("""COMPUTED_VALUE"""),"СМР")</f>
        <v>СМР</v>
      </c>
      <c r="G102" s="67" t="str">
        <f ca="1">IFERROR(__xludf.DUMMYFUNCTION("""COMPUTED_VALUE"""),"г.о. Можайск")</f>
        <v>г.о. Можайск</v>
      </c>
      <c r="H102" s="67">
        <f ca="1">IFERROR(__xludf.DUMMYFUNCTION("""COMPUTED_VALUE"""),2023)</f>
        <v>2023</v>
      </c>
      <c r="I102" s="67" t="str">
        <f ca="1">IFERROR(__xludf.DUMMYFUNCTION("""COMPUTED_VALUE"""),"10 1 G552430")</f>
        <v>10 1 G552430</v>
      </c>
      <c r="J102" s="67">
        <f ca="1">IFERROR(__xludf.DUMMYFUNCTION("""COMPUTED_VALUE"""),410)</f>
        <v>410</v>
      </c>
      <c r="K102" s="97">
        <f t="shared" ca="1" si="1"/>
        <v>0</v>
      </c>
      <c r="L102" s="97">
        <f ca="1">IFERROR(__xludf.DUMMYFUNCTION("""COMPUTED_VALUE"""),0)</f>
        <v>0</v>
      </c>
      <c r="M102" s="97">
        <f ca="1">IFERROR(__xludf.DUMMYFUNCTION("""COMPUTED_VALUE"""),0)</f>
        <v>0</v>
      </c>
      <c r="N102" s="67"/>
      <c r="O102" s="97">
        <f ca="1">IFERROR(__xludf.DUMMYFUNCTION("""COMPUTED_VALUE"""),0)</f>
        <v>0</v>
      </c>
      <c r="P102" s="97">
        <f t="shared" ca="1" si="2"/>
        <v>0</v>
      </c>
      <c r="Q102" s="67"/>
      <c r="R102" s="67"/>
      <c r="S102" s="97">
        <f ca="1">IFERROR(__xludf.DUMMYFUNCTION("""COMPUTED_VALUE"""),0)</f>
        <v>0</v>
      </c>
      <c r="T102" s="97">
        <f ca="1">IFERROR(__xludf.DUMMYFUNCTION("""COMPUTED_VALUE"""),0)</f>
        <v>0</v>
      </c>
      <c r="U102" s="97">
        <f ca="1">IFERROR(__xludf.DUMMYFUNCTION("""COMPUTED_VALUE"""),0)</f>
        <v>0</v>
      </c>
      <c r="V102" s="97">
        <f ca="1">IFERROR(__xludf.DUMMYFUNCTION("""COMPUTED_VALUE"""),0)</f>
        <v>0</v>
      </c>
      <c r="W102" s="97">
        <f ca="1">IFERROR(__xludf.DUMMYFUNCTION("""COMPUTED_VALUE"""),0)</f>
        <v>0</v>
      </c>
      <c r="X102" s="97">
        <f ca="1">IFERROR(__xludf.DUMMYFUNCTION("""COMPUTED_VALUE"""),0)</f>
        <v>0</v>
      </c>
      <c r="Y102" s="97">
        <f t="shared" ca="1" si="3"/>
        <v>0</v>
      </c>
      <c r="Z102" s="67">
        <f t="shared" si="4"/>
        <v>0</v>
      </c>
      <c r="AA102" s="67"/>
      <c r="AB102" s="67"/>
      <c r="AC102" s="67"/>
      <c r="AD102" s="99" t="e">
        <f t="shared" ca="1" si="5"/>
        <v>#DIV/0!</v>
      </c>
      <c r="AE102" s="67"/>
      <c r="AF102" s="67"/>
      <c r="AG102" s="67"/>
      <c r="AH102" s="67"/>
      <c r="AI102" s="67"/>
      <c r="AJ102" s="67"/>
      <c r="AK102" s="67"/>
      <c r="AL102" s="67"/>
      <c r="AM102" s="67"/>
      <c r="AN102" s="67"/>
      <c r="AO102" s="67"/>
      <c r="AP102" s="67"/>
      <c r="AQ102" s="67"/>
      <c r="AR102" s="67"/>
      <c r="AS102" s="67"/>
      <c r="AT102" s="67"/>
    </row>
    <row r="103" spans="1:46" ht="48" hidden="1" x14ac:dyDescent="0.2">
      <c r="A103" s="67"/>
      <c r="B103" s="96"/>
      <c r="C103"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3" s="20" t="str">
        <f ca="1">IFERROR(__xludf.DUMMYFUNCTION("""COMPUTED_VALUE"""),"МинЖКХ")</f>
        <v>МинЖКХ</v>
      </c>
      <c r="E103" s="20" t="str">
        <f ca="1">IFERROR(__xludf.DUMMYFUNCTION("""COMPUTED_VALUE"""),"Реконструкция ВЗУ Преснецово Московская область, Можайский городской округ, с.п. Юрловское, д. Преснецово")</f>
        <v>Реконструкция ВЗУ Преснецово Московская область, Можайский городской округ, с.п. Юрловское, д. Преснецово</v>
      </c>
      <c r="F103" s="67" t="str">
        <f ca="1">IFERROR(__xludf.DUMMYFUNCTION("""COMPUTED_VALUE"""),"СМР")</f>
        <v>СМР</v>
      </c>
      <c r="G103" s="67" t="str">
        <f ca="1">IFERROR(__xludf.DUMMYFUNCTION("""COMPUTED_VALUE"""),"г.о. Можайск")</f>
        <v>г.о. Можайск</v>
      </c>
      <c r="H103" s="67">
        <f ca="1">IFERROR(__xludf.DUMMYFUNCTION("""COMPUTED_VALUE"""),2023)</f>
        <v>2023</v>
      </c>
      <c r="I103" s="67" t="str">
        <f ca="1">IFERROR(__xludf.DUMMYFUNCTION("""COMPUTED_VALUE"""),"10 1 G552430")</f>
        <v>10 1 G552430</v>
      </c>
      <c r="J103" s="67">
        <f ca="1">IFERROR(__xludf.DUMMYFUNCTION("""COMPUTED_VALUE"""),410)</f>
        <v>410</v>
      </c>
      <c r="K103" s="97">
        <f t="shared" ca="1" si="1"/>
        <v>0</v>
      </c>
      <c r="L103" s="97">
        <f ca="1">IFERROR(__xludf.DUMMYFUNCTION("""COMPUTED_VALUE"""),0)</f>
        <v>0</v>
      </c>
      <c r="M103" s="97">
        <f ca="1">IFERROR(__xludf.DUMMYFUNCTION("""COMPUTED_VALUE"""),0)</f>
        <v>0</v>
      </c>
      <c r="N103" s="67"/>
      <c r="O103" s="97">
        <f ca="1">IFERROR(__xludf.DUMMYFUNCTION("""COMPUTED_VALUE"""),0)</f>
        <v>0</v>
      </c>
      <c r="P103" s="97">
        <f t="shared" ca="1" si="2"/>
        <v>0</v>
      </c>
      <c r="Q103" s="67"/>
      <c r="R103" s="67"/>
      <c r="S103" s="97">
        <f ca="1">IFERROR(__xludf.DUMMYFUNCTION("""COMPUTED_VALUE"""),0)</f>
        <v>0</v>
      </c>
      <c r="T103" s="97">
        <f ca="1">IFERROR(__xludf.DUMMYFUNCTION("""COMPUTED_VALUE"""),0)</f>
        <v>0</v>
      </c>
      <c r="U103" s="97">
        <f ca="1">IFERROR(__xludf.DUMMYFUNCTION("""COMPUTED_VALUE"""),0)</f>
        <v>0</v>
      </c>
      <c r="V103" s="97">
        <f ca="1">IFERROR(__xludf.DUMMYFUNCTION("""COMPUTED_VALUE"""),0)</f>
        <v>0</v>
      </c>
      <c r="W103" s="97">
        <f ca="1">IFERROR(__xludf.DUMMYFUNCTION("""COMPUTED_VALUE"""),0)</f>
        <v>0</v>
      </c>
      <c r="X103" s="97">
        <f ca="1">IFERROR(__xludf.DUMMYFUNCTION("""COMPUTED_VALUE"""),0)</f>
        <v>0</v>
      </c>
      <c r="Y103" s="97">
        <f t="shared" ca="1" si="3"/>
        <v>0</v>
      </c>
      <c r="Z103" s="67">
        <f t="shared" si="4"/>
        <v>0</v>
      </c>
      <c r="AA103" s="67"/>
      <c r="AB103" s="67"/>
      <c r="AC103" s="67"/>
      <c r="AD103" s="99" t="e">
        <f t="shared" ca="1" si="5"/>
        <v>#DIV/0!</v>
      </c>
      <c r="AE103" s="67"/>
      <c r="AF103" s="67"/>
      <c r="AG103" s="67"/>
      <c r="AH103" s="67"/>
      <c r="AI103" s="67"/>
      <c r="AJ103" s="67"/>
      <c r="AK103" s="67"/>
      <c r="AL103" s="67"/>
      <c r="AM103" s="67"/>
      <c r="AN103" s="67"/>
      <c r="AO103" s="67"/>
      <c r="AP103" s="67"/>
      <c r="AQ103" s="67"/>
      <c r="AR103" s="67"/>
      <c r="AS103" s="67"/>
      <c r="AT103" s="67"/>
    </row>
    <row r="104" spans="1:46" ht="48" hidden="1" x14ac:dyDescent="0.2">
      <c r="A104" s="67"/>
      <c r="B104" s="96"/>
      <c r="C104"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4" s="20" t="str">
        <f ca="1">IFERROR(__xludf.DUMMYFUNCTION("""COMPUTED_VALUE"""),"МинЖКХ")</f>
        <v>МинЖКХ</v>
      </c>
      <c r="E104" s="20" t="str">
        <f ca="1">IFERROR(__xludf.DUMMYFUNCTION("""COMPUTED_VALUE"""),"Реконструкция ВЗУ Марфин Брод Московская область, Можайский городской округ, г.п. Можайск, д. Марфин Брод")</f>
        <v>Реконструкция ВЗУ Марфин Брод Московская область, Можайский городской округ, г.п. Можайск, д. Марфин Брод</v>
      </c>
      <c r="F104" s="67" t="str">
        <f ca="1">IFERROR(__xludf.DUMMYFUNCTION("""COMPUTED_VALUE"""),"СМР")</f>
        <v>СМР</v>
      </c>
      <c r="G104" s="67" t="str">
        <f ca="1">IFERROR(__xludf.DUMMYFUNCTION("""COMPUTED_VALUE"""),"г.о. Можайск")</f>
        <v>г.о. Можайск</v>
      </c>
      <c r="H104" s="67">
        <f ca="1">IFERROR(__xludf.DUMMYFUNCTION("""COMPUTED_VALUE"""),2023)</f>
        <v>2023</v>
      </c>
      <c r="I104" s="67" t="str">
        <f ca="1">IFERROR(__xludf.DUMMYFUNCTION("""COMPUTED_VALUE"""),"10 1 G552430")</f>
        <v>10 1 G552430</v>
      </c>
      <c r="J104" s="67">
        <f ca="1">IFERROR(__xludf.DUMMYFUNCTION("""COMPUTED_VALUE"""),410)</f>
        <v>410</v>
      </c>
      <c r="K104" s="97">
        <f t="shared" ca="1" si="1"/>
        <v>0</v>
      </c>
      <c r="L104" s="97">
        <f ca="1">IFERROR(__xludf.DUMMYFUNCTION("""COMPUTED_VALUE"""),0)</f>
        <v>0</v>
      </c>
      <c r="M104" s="97">
        <f ca="1">IFERROR(__xludf.DUMMYFUNCTION("""COMPUTED_VALUE"""),0)</f>
        <v>0</v>
      </c>
      <c r="N104" s="67"/>
      <c r="O104" s="97">
        <f ca="1">IFERROR(__xludf.DUMMYFUNCTION("""COMPUTED_VALUE"""),0)</f>
        <v>0</v>
      </c>
      <c r="P104" s="97">
        <f t="shared" ca="1" si="2"/>
        <v>0</v>
      </c>
      <c r="Q104" s="67"/>
      <c r="R104" s="67"/>
      <c r="S104" s="97">
        <f ca="1">IFERROR(__xludf.DUMMYFUNCTION("""COMPUTED_VALUE"""),0)</f>
        <v>0</v>
      </c>
      <c r="T104" s="97">
        <f ca="1">IFERROR(__xludf.DUMMYFUNCTION("""COMPUTED_VALUE"""),0)</f>
        <v>0</v>
      </c>
      <c r="U104" s="97">
        <f ca="1">IFERROR(__xludf.DUMMYFUNCTION("""COMPUTED_VALUE"""),0)</f>
        <v>0</v>
      </c>
      <c r="V104" s="97">
        <f ca="1">IFERROR(__xludf.DUMMYFUNCTION("""COMPUTED_VALUE"""),0)</f>
        <v>0</v>
      </c>
      <c r="W104" s="97">
        <f ca="1">IFERROR(__xludf.DUMMYFUNCTION("""COMPUTED_VALUE"""),0)</f>
        <v>0</v>
      </c>
      <c r="X104" s="97">
        <f ca="1">IFERROR(__xludf.DUMMYFUNCTION("""COMPUTED_VALUE"""),0)</f>
        <v>0</v>
      </c>
      <c r="Y104" s="97">
        <f t="shared" ca="1" si="3"/>
        <v>0</v>
      </c>
      <c r="Z104" s="67">
        <f t="shared" si="4"/>
        <v>0</v>
      </c>
      <c r="AA104" s="67"/>
      <c r="AB104" s="67"/>
      <c r="AC104" s="67"/>
      <c r="AD104" s="99" t="e">
        <f t="shared" ca="1" si="5"/>
        <v>#DIV/0!</v>
      </c>
      <c r="AE104" s="67"/>
      <c r="AF104" s="67"/>
      <c r="AG104" s="67"/>
      <c r="AH104" s="67"/>
      <c r="AI104" s="67"/>
      <c r="AJ104" s="67"/>
      <c r="AK104" s="67"/>
      <c r="AL104" s="67"/>
      <c r="AM104" s="67"/>
      <c r="AN104" s="67"/>
      <c r="AO104" s="67"/>
      <c r="AP104" s="67"/>
      <c r="AQ104" s="67"/>
      <c r="AR104" s="67"/>
      <c r="AS104" s="67"/>
      <c r="AT104" s="67"/>
    </row>
    <row r="105" spans="1:46" ht="48" hidden="1" x14ac:dyDescent="0.2">
      <c r="A105" s="67"/>
      <c r="B105" s="96"/>
      <c r="C105"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5" s="20" t="str">
        <f ca="1">IFERROR(__xludf.DUMMYFUNCTION("""COMPUTED_VALUE"""),"МинЖКХ")</f>
        <v>МинЖКХ</v>
      </c>
      <c r="E105" s="20" t="str">
        <f ca="1">IFERROR(__xludf.DUMMYFUNCTION("""COMPUTED_VALUE"""),"Реконструкция ВЗУ Троица Московская область, Можайский городской округ, с.п. Бородинское, д. Троица")</f>
        <v>Реконструкция ВЗУ Троица Московская область, Можайский городской округ, с.п. Бородинское, д. Троица</v>
      </c>
      <c r="F105" s="67" t="str">
        <f ca="1">IFERROR(__xludf.DUMMYFUNCTION("""COMPUTED_VALUE"""),"СМР")</f>
        <v>СМР</v>
      </c>
      <c r="G105" s="67" t="str">
        <f ca="1">IFERROR(__xludf.DUMMYFUNCTION("""COMPUTED_VALUE"""),"г.о. Можайск")</f>
        <v>г.о. Можайск</v>
      </c>
      <c r="H105" s="67">
        <f ca="1">IFERROR(__xludf.DUMMYFUNCTION("""COMPUTED_VALUE"""),2023)</f>
        <v>2023</v>
      </c>
      <c r="I105" s="67" t="str">
        <f ca="1">IFERROR(__xludf.DUMMYFUNCTION("""COMPUTED_VALUE"""),"10 1 G552430")</f>
        <v>10 1 G552430</v>
      </c>
      <c r="J105" s="67">
        <f ca="1">IFERROR(__xludf.DUMMYFUNCTION("""COMPUTED_VALUE"""),410)</f>
        <v>410</v>
      </c>
      <c r="K105" s="97">
        <f t="shared" ca="1" si="1"/>
        <v>0</v>
      </c>
      <c r="L105" s="97">
        <f ca="1">IFERROR(__xludf.DUMMYFUNCTION("""COMPUTED_VALUE"""),0)</f>
        <v>0</v>
      </c>
      <c r="M105" s="97">
        <f ca="1">IFERROR(__xludf.DUMMYFUNCTION("""COMPUTED_VALUE"""),0)</f>
        <v>0</v>
      </c>
      <c r="N105" s="67"/>
      <c r="O105" s="97">
        <f ca="1">IFERROR(__xludf.DUMMYFUNCTION("""COMPUTED_VALUE"""),0)</f>
        <v>0</v>
      </c>
      <c r="P105" s="97">
        <f t="shared" ca="1" si="2"/>
        <v>0</v>
      </c>
      <c r="Q105" s="67"/>
      <c r="R105" s="67"/>
      <c r="S105" s="97">
        <f ca="1">IFERROR(__xludf.DUMMYFUNCTION("""COMPUTED_VALUE"""),0)</f>
        <v>0</v>
      </c>
      <c r="T105" s="97">
        <f ca="1">IFERROR(__xludf.DUMMYFUNCTION("""COMPUTED_VALUE"""),0)</f>
        <v>0</v>
      </c>
      <c r="U105" s="97">
        <f ca="1">IFERROR(__xludf.DUMMYFUNCTION("""COMPUTED_VALUE"""),0)</f>
        <v>0</v>
      </c>
      <c r="V105" s="97">
        <f ca="1">IFERROR(__xludf.DUMMYFUNCTION("""COMPUTED_VALUE"""),0)</f>
        <v>0</v>
      </c>
      <c r="W105" s="97">
        <f ca="1">IFERROR(__xludf.DUMMYFUNCTION("""COMPUTED_VALUE"""),0)</f>
        <v>0</v>
      </c>
      <c r="X105" s="97">
        <f ca="1">IFERROR(__xludf.DUMMYFUNCTION("""COMPUTED_VALUE"""),0)</f>
        <v>0</v>
      </c>
      <c r="Y105" s="97">
        <f t="shared" ca="1" si="3"/>
        <v>0</v>
      </c>
      <c r="Z105" s="67">
        <f t="shared" si="4"/>
        <v>0</v>
      </c>
      <c r="AA105" s="67"/>
      <c r="AB105" s="67"/>
      <c r="AC105" s="67"/>
      <c r="AD105" s="99" t="e">
        <f t="shared" ca="1" si="5"/>
        <v>#DIV/0!</v>
      </c>
      <c r="AE105" s="67"/>
      <c r="AF105" s="67"/>
      <c r="AG105" s="67"/>
      <c r="AH105" s="67"/>
      <c r="AI105" s="67"/>
      <c r="AJ105" s="67"/>
      <c r="AK105" s="67"/>
      <c r="AL105" s="67"/>
      <c r="AM105" s="67"/>
      <c r="AN105" s="67"/>
      <c r="AO105" s="67"/>
      <c r="AP105" s="67"/>
      <c r="AQ105" s="67"/>
      <c r="AR105" s="67"/>
      <c r="AS105" s="67"/>
      <c r="AT105" s="67"/>
    </row>
    <row r="106" spans="1:46" ht="48" hidden="1" x14ac:dyDescent="0.2">
      <c r="A106" s="67"/>
      <c r="B106" s="96"/>
      <c r="C106"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6" s="20" t="str">
        <f ca="1">IFERROR(__xludf.DUMMYFUNCTION("""COMPUTED_VALUE"""),"МинЖКХ")</f>
        <v>МинЖКХ</v>
      </c>
      <c r="E106" s="20" t="str">
        <f ca="1">IFERROR(__xludf.DUMMYFUNCTION("""COMPUTED_VALUE"""),"Реконструкция ВЗУ Клементьево с.п. Клементьевское, д. Клементьево г.о. Можайский")</f>
        <v>Реконструкция ВЗУ Клементьево с.п. Клементьевское, д. Клементьево г.о. Можайский</v>
      </c>
      <c r="F106" s="67" t="str">
        <f ca="1">IFERROR(__xludf.DUMMYFUNCTION("""COMPUTED_VALUE"""),"СМР")</f>
        <v>СМР</v>
      </c>
      <c r="G106" s="67" t="str">
        <f ca="1">IFERROR(__xludf.DUMMYFUNCTION("""COMPUTED_VALUE"""),"г.о. Можайск")</f>
        <v>г.о. Можайск</v>
      </c>
      <c r="H106" s="67">
        <f ca="1">IFERROR(__xludf.DUMMYFUNCTION("""COMPUTED_VALUE"""),2023)</f>
        <v>2023</v>
      </c>
      <c r="I106" s="67" t="str">
        <f ca="1">IFERROR(__xludf.DUMMYFUNCTION("""COMPUTED_VALUE"""),"10 1 G552430")</f>
        <v>10 1 G552430</v>
      </c>
      <c r="J106" s="67">
        <f ca="1">IFERROR(__xludf.DUMMYFUNCTION("""COMPUTED_VALUE"""),410)</f>
        <v>410</v>
      </c>
      <c r="K106" s="97">
        <f t="shared" ca="1" si="1"/>
        <v>0</v>
      </c>
      <c r="L106" s="97">
        <f ca="1">IFERROR(__xludf.DUMMYFUNCTION("""COMPUTED_VALUE"""),0)</f>
        <v>0</v>
      </c>
      <c r="M106" s="97">
        <f ca="1">IFERROR(__xludf.DUMMYFUNCTION("""COMPUTED_VALUE"""),0)</f>
        <v>0</v>
      </c>
      <c r="N106" s="67"/>
      <c r="O106" s="97">
        <f ca="1">IFERROR(__xludf.DUMMYFUNCTION("""COMPUTED_VALUE"""),0)</f>
        <v>0</v>
      </c>
      <c r="P106" s="97">
        <f t="shared" ca="1" si="2"/>
        <v>0</v>
      </c>
      <c r="Q106" s="67"/>
      <c r="R106" s="67"/>
      <c r="S106" s="97">
        <f ca="1">IFERROR(__xludf.DUMMYFUNCTION("""COMPUTED_VALUE"""),0)</f>
        <v>0</v>
      </c>
      <c r="T106" s="97">
        <f ca="1">IFERROR(__xludf.DUMMYFUNCTION("""COMPUTED_VALUE"""),0)</f>
        <v>0</v>
      </c>
      <c r="U106" s="97">
        <f ca="1">IFERROR(__xludf.DUMMYFUNCTION("""COMPUTED_VALUE"""),0)</f>
        <v>0</v>
      </c>
      <c r="V106" s="97">
        <f ca="1">IFERROR(__xludf.DUMMYFUNCTION("""COMPUTED_VALUE"""),0)</f>
        <v>0</v>
      </c>
      <c r="W106" s="97">
        <f ca="1">IFERROR(__xludf.DUMMYFUNCTION("""COMPUTED_VALUE"""),0)</f>
        <v>0</v>
      </c>
      <c r="X106" s="97">
        <f ca="1">IFERROR(__xludf.DUMMYFUNCTION("""COMPUTED_VALUE"""),0)</f>
        <v>0</v>
      </c>
      <c r="Y106" s="97">
        <f t="shared" ca="1" si="3"/>
        <v>0</v>
      </c>
      <c r="Z106" s="67">
        <f t="shared" si="4"/>
        <v>0</v>
      </c>
      <c r="AA106" s="67"/>
      <c r="AB106" s="67"/>
      <c r="AC106" s="67"/>
      <c r="AD106" s="99" t="e">
        <f t="shared" ca="1" si="5"/>
        <v>#DIV/0!</v>
      </c>
      <c r="AE106" s="67"/>
      <c r="AF106" s="67"/>
      <c r="AG106" s="67"/>
      <c r="AH106" s="67"/>
      <c r="AI106" s="67"/>
      <c r="AJ106" s="67"/>
      <c r="AK106" s="67"/>
      <c r="AL106" s="67"/>
      <c r="AM106" s="67"/>
      <c r="AN106" s="67"/>
      <c r="AO106" s="67"/>
      <c r="AP106" s="67"/>
      <c r="AQ106" s="67"/>
      <c r="AR106" s="67"/>
      <c r="AS106" s="67"/>
      <c r="AT106" s="67"/>
    </row>
    <row r="107" spans="1:46" ht="60" hidden="1" x14ac:dyDescent="0.2">
      <c r="A107" s="67"/>
      <c r="B107" s="96"/>
      <c r="C107"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7" s="20" t="str">
        <f ca="1">IFERROR(__xludf.DUMMYFUNCTION("""COMPUTED_VALUE"""),"МинЖКХ")</f>
        <v>МинЖКХ</v>
      </c>
      <c r="E107" s="20" t="str">
        <f ca="1">IFERROR(__xludf.DUMMYFUNCTION("""COMPUTED_VALUE"""),"Реконструкция ВЗУ Александрово Московская область, Можайский городской округ, с.п. Бородинское, п. учхоза Александрово")</f>
        <v>Реконструкция ВЗУ Александрово Московская область, Можайский городской округ, с.п. Бородинское, п. учхоза Александрово</v>
      </c>
      <c r="F107" s="67" t="str">
        <f ca="1">IFERROR(__xludf.DUMMYFUNCTION("""COMPUTED_VALUE"""),"СМР")</f>
        <v>СМР</v>
      </c>
      <c r="G107" s="67" t="str">
        <f ca="1">IFERROR(__xludf.DUMMYFUNCTION("""COMPUTED_VALUE"""),"г.о. Можайск")</f>
        <v>г.о. Можайск</v>
      </c>
      <c r="H107" s="67">
        <f ca="1">IFERROR(__xludf.DUMMYFUNCTION("""COMPUTED_VALUE"""),2023)</f>
        <v>2023</v>
      </c>
      <c r="I107" s="67" t="str">
        <f ca="1">IFERROR(__xludf.DUMMYFUNCTION("""COMPUTED_VALUE"""),"10 1 G552430")</f>
        <v>10 1 G552430</v>
      </c>
      <c r="J107" s="67">
        <f ca="1">IFERROR(__xludf.DUMMYFUNCTION("""COMPUTED_VALUE"""),414)</f>
        <v>414</v>
      </c>
      <c r="K107" s="97">
        <f t="shared" ca="1" si="1"/>
        <v>0</v>
      </c>
      <c r="L107" s="97">
        <f ca="1">IFERROR(__xludf.DUMMYFUNCTION("""COMPUTED_VALUE"""),0)</f>
        <v>0</v>
      </c>
      <c r="M107" s="97">
        <f ca="1">IFERROR(__xludf.DUMMYFUNCTION("""COMPUTED_VALUE"""),0)</f>
        <v>0</v>
      </c>
      <c r="N107" s="67"/>
      <c r="O107" s="97">
        <f ca="1">IFERROR(__xludf.DUMMYFUNCTION("""COMPUTED_VALUE"""),0)</f>
        <v>0</v>
      </c>
      <c r="P107" s="97">
        <f t="shared" ca="1" si="2"/>
        <v>0</v>
      </c>
      <c r="Q107" s="67"/>
      <c r="R107" s="67"/>
      <c r="S107" s="97">
        <f ca="1">IFERROR(__xludf.DUMMYFUNCTION("""COMPUTED_VALUE"""),0)</f>
        <v>0</v>
      </c>
      <c r="T107" s="97">
        <f ca="1">IFERROR(__xludf.DUMMYFUNCTION("""COMPUTED_VALUE"""),0)</f>
        <v>0</v>
      </c>
      <c r="U107" s="97">
        <f ca="1">IFERROR(__xludf.DUMMYFUNCTION("""COMPUTED_VALUE"""),0)</f>
        <v>0</v>
      </c>
      <c r="V107" s="97">
        <f ca="1">IFERROR(__xludf.DUMMYFUNCTION("""COMPUTED_VALUE"""),0)</f>
        <v>0</v>
      </c>
      <c r="W107" s="97">
        <f ca="1">IFERROR(__xludf.DUMMYFUNCTION("""COMPUTED_VALUE"""),0)</f>
        <v>0</v>
      </c>
      <c r="X107" s="97">
        <f ca="1">IFERROR(__xludf.DUMMYFUNCTION("""COMPUTED_VALUE"""),0)</f>
        <v>0</v>
      </c>
      <c r="Y107" s="97">
        <f t="shared" ca="1" si="3"/>
        <v>0</v>
      </c>
      <c r="Z107" s="67">
        <f t="shared" si="4"/>
        <v>0</v>
      </c>
      <c r="AA107" s="67"/>
      <c r="AB107" s="67"/>
      <c r="AC107" s="67"/>
      <c r="AD107" s="99" t="e">
        <f t="shared" ca="1" si="5"/>
        <v>#DIV/0!</v>
      </c>
      <c r="AE107" s="67"/>
      <c r="AF107" s="67"/>
      <c r="AG107" s="67"/>
      <c r="AH107" s="67"/>
      <c r="AI107" s="67"/>
      <c r="AJ107" s="67"/>
      <c r="AK107" s="67"/>
      <c r="AL107" s="67"/>
      <c r="AM107" s="67"/>
      <c r="AN107" s="67"/>
      <c r="AO107" s="67"/>
      <c r="AP107" s="67"/>
      <c r="AQ107" s="67"/>
      <c r="AR107" s="67"/>
      <c r="AS107" s="67"/>
      <c r="AT107" s="67"/>
    </row>
    <row r="108" spans="1:46" ht="60" hidden="1" x14ac:dyDescent="0.2">
      <c r="A108" s="67"/>
      <c r="B108" s="96"/>
      <c r="C108"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8" s="20" t="str">
        <f ca="1">IFERROR(__xludf.DUMMYFUNCTION("""COMPUTED_VALUE"""),"МинЖКХ")</f>
        <v>МинЖКХ</v>
      </c>
      <c r="E108" s="20" t="str">
        <f ca="1">IFERROR(__xludf.DUMMYFUNCTION("""COMPUTED_VALUE"""),"Реконструкция ВЗУ Язево  Московская область, Можайский городской округ, с.п. Борисовское, д. Язево")</f>
        <v>Реконструкция ВЗУ Язево  Московская область, Можайский городской округ, с.п. Борисовское, д. Язево</v>
      </c>
      <c r="F108" s="67" t="str">
        <f ca="1">IFERROR(__xludf.DUMMYFUNCTION("""COMPUTED_VALUE"""),"СМР")</f>
        <v>СМР</v>
      </c>
      <c r="G108" s="67" t="str">
        <f ca="1">IFERROR(__xludf.DUMMYFUNCTION("""COMPUTED_VALUE"""),"г.о. Можайск")</f>
        <v>г.о. Можайск</v>
      </c>
      <c r="H108" s="67">
        <f ca="1">IFERROR(__xludf.DUMMYFUNCTION("""COMPUTED_VALUE"""),2023)</f>
        <v>2023</v>
      </c>
      <c r="I108" s="67" t="str">
        <f ca="1">IFERROR(__xludf.DUMMYFUNCTION("""COMPUTED_VALUE"""),"10 1 G552430")</f>
        <v>10 1 G552430</v>
      </c>
      <c r="J108" s="67">
        <f ca="1">IFERROR(__xludf.DUMMYFUNCTION("""COMPUTED_VALUE"""),414)</f>
        <v>414</v>
      </c>
      <c r="K108" s="97">
        <f t="shared" ca="1" si="1"/>
        <v>0</v>
      </c>
      <c r="L108" s="97">
        <f ca="1">IFERROR(__xludf.DUMMYFUNCTION("""COMPUTED_VALUE"""),0)</f>
        <v>0</v>
      </c>
      <c r="M108" s="97">
        <f ca="1">IFERROR(__xludf.DUMMYFUNCTION("""COMPUTED_VALUE"""),0)</f>
        <v>0</v>
      </c>
      <c r="N108" s="67"/>
      <c r="O108" s="97">
        <f ca="1">IFERROR(__xludf.DUMMYFUNCTION("""COMPUTED_VALUE"""),0)</f>
        <v>0</v>
      </c>
      <c r="P108" s="97">
        <f t="shared" ca="1" si="2"/>
        <v>0</v>
      </c>
      <c r="Q108" s="67"/>
      <c r="R108" s="67"/>
      <c r="S108" s="97">
        <f ca="1">IFERROR(__xludf.DUMMYFUNCTION("""COMPUTED_VALUE"""),0)</f>
        <v>0</v>
      </c>
      <c r="T108" s="97">
        <f ca="1">IFERROR(__xludf.DUMMYFUNCTION("""COMPUTED_VALUE"""),0)</f>
        <v>0</v>
      </c>
      <c r="U108" s="97">
        <f ca="1">IFERROR(__xludf.DUMMYFUNCTION("""COMPUTED_VALUE"""),0)</f>
        <v>0</v>
      </c>
      <c r="V108" s="97">
        <f ca="1">IFERROR(__xludf.DUMMYFUNCTION("""COMPUTED_VALUE"""),0)</f>
        <v>0</v>
      </c>
      <c r="W108" s="97">
        <f ca="1">IFERROR(__xludf.DUMMYFUNCTION("""COMPUTED_VALUE"""),0)</f>
        <v>0</v>
      </c>
      <c r="X108" s="97">
        <f ca="1">IFERROR(__xludf.DUMMYFUNCTION("""COMPUTED_VALUE"""),0)</f>
        <v>0</v>
      </c>
      <c r="Y108" s="97">
        <f t="shared" ca="1" si="3"/>
        <v>0</v>
      </c>
      <c r="Z108" s="67">
        <f t="shared" si="4"/>
        <v>0</v>
      </c>
      <c r="AA108" s="67"/>
      <c r="AB108" s="67"/>
      <c r="AC108" s="67"/>
      <c r="AD108" s="99" t="e">
        <f t="shared" ca="1" si="5"/>
        <v>#DIV/0!</v>
      </c>
      <c r="AE108" s="67"/>
      <c r="AF108" s="67"/>
      <c r="AG108" s="67"/>
      <c r="AH108" s="67"/>
      <c r="AI108" s="67"/>
      <c r="AJ108" s="67"/>
      <c r="AK108" s="67"/>
      <c r="AL108" s="67"/>
      <c r="AM108" s="67"/>
      <c r="AN108" s="67"/>
      <c r="AO108" s="67"/>
      <c r="AP108" s="67"/>
      <c r="AQ108" s="67"/>
      <c r="AR108" s="67"/>
      <c r="AS108" s="67"/>
      <c r="AT108" s="67"/>
    </row>
    <row r="109" spans="1:46" ht="60" hidden="1" x14ac:dyDescent="0.2">
      <c r="A109" s="67"/>
      <c r="B109" s="100"/>
      <c r="C109"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9" s="20" t="str">
        <f ca="1">IFERROR(__xludf.DUMMYFUNCTION("""COMPUTED_VALUE"""),"МинЖКХ")</f>
        <v>МинЖКХ</v>
      </c>
      <c r="E109" s="20"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F109" s="67" t="str">
        <f ca="1">IFERROR(__xludf.DUMMYFUNCTION("""COMPUTED_VALUE"""),"СМР")</f>
        <v>СМР</v>
      </c>
      <c r="G109" s="67" t="str">
        <f ca="1">IFERROR(__xludf.DUMMYFUNCTION("""COMPUTED_VALUE"""),"г.о. Можайск")</f>
        <v>г.о. Можайск</v>
      </c>
      <c r="H109" s="67">
        <f ca="1">IFERROR(__xludf.DUMMYFUNCTION("""COMPUTED_VALUE"""),2023)</f>
        <v>2023</v>
      </c>
      <c r="I109" s="67" t="str">
        <f ca="1">IFERROR(__xludf.DUMMYFUNCTION("""COMPUTED_VALUE"""),"10 1 G552430")</f>
        <v>10 1 G552430</v>
      </c>
      <c r="J109" s="67">
        <f ca="1">IFERROR(__xludf.DUMMYFUNCTION("""COMPUTED_VALUE"""),414)</f>
        <v>414</v>
      </c>
      <c r="K109" s="97">
        <f t="shared" ca="1" si="1"/>
        <v>0</v>
      </c>
      <c r="L109" s="97">
        <f ca="1">IFERROR(__xludf.DUMMYFUNCTION("""COMPUTED_VALUE"""),0)</f>
        <v>0</v>
      </c>
      <c r="M109" s="97">
        <f ca="1">IFERROR(__xludf.DUMMYFUNCTION("""COMPUTED_VALUE"""),0)</f>
        <v>0</v>
      </c>
      <c r="N109" s="67"/>
      <c r="O109" s="97">
        <f ca="1">IFERROR(__xludf.DUMMYFUNCTION("""COMPUTED_VALUE"""),0)</f>
        <v>0</v>
      </c>
      <c r="P109" s="97">
        <f t="shared" ca="1" si="2"/>
        <v>0</v>
      </c>
      <c r="Q109" s="67"/>
      <c r="R109" s="67"/>
      <c r="S109" s="97">
        <f ca="1">IFERROR(__xludf.DUMMYFUNCTION("""COMPUTED_VALUE"""),0)</f>
        <v>0</v>
      </c>
      <c r="T109" s="97">
        <f ca="1">IFERROR(__xludf.DUMMYFUNCTION("""COMPUTED_VALUE"""),0)</f>
        <v>0</v>
      </c>
      <c r="U109" s="97">
        <f ca="1">IFERROR(__xludf.DUMMYFUNCTION("""COMPUTED_VALUE"""),0)</f>
        <v>0</v>
      </c>
      <c r="V109" s="97">
        <f ca="1">IFERROR(__xludf.DUMMYFUNCTION("""COMPUTED_VALUE"""),0)</f>
        <v>0</v>
      </c>
      <c r="W109" s="97">
        <f ca="1">IFERROR(__xludf.DUMMYFUNCTION("""COMPUTED_VALUE"""),0)</f>
        <v>0</v>
      </c>
      <c r="X109" s="97">
        <f ca="1">IFERROR(__xludf.DUMMYFUNCTION("""COMPUTED_VALUE"""),0)</f>
        <v>0</v>
      </c>
      <c r="Y109" s="97">
        <f t="shared" ca="1" si="3"/>
        <v>0</v>
      </c>
      <c r="Z109" s="67">
        <f t="shared" si="4"/>
        <v>0</v>
      </c>
      <c r="AA109" s="67"/>
      <c r="AB109" s="67"/>
      <c r="AC109" s="67"/>
      <c r="AD109" s="99" t="e">
        <f t="shared" ca="1" si="5"/>
        <v>#DIV/0!</v>
      </c>
      <c r="AE109" s="67"/>
      <c r="AF109" s="67"/>
      <c r="AG109" s="67"/>
      <c r="AH109" s="67"/>
      <c r="AI109" s="67"/>
      <c r="AJ109" s="67"/>
      <c r="AK109" s="67"/>
      <c r="AL109" s="67"/>
      <c r="AM109" s="67"/>
      <c r="AN109" s="67"/>
      <c r="AO109" s="67"/>
      <c r="AP109" s="67"/>
      <c r="AQ109" s="67"/>
      <c r="AR109" s="67"/>
      <c r="AS109" s="67"/>
      <c r="AT109" s="67"/>
    </row>
    <row r="110" spans="1:46" ht="72" x14ac:dyDescent="0.2">
      <c r="A110" s="20"/>
      <c r="B110" s="93"/>
      <c r="C11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0" s="20" t="str">
        <f ca="1">IFERROR(__xludf.DUMMYFUNCTION("""COMPUTED_VALUE"""),"МинЖКХ")</f>
        <v>МинЖКХ</v>
      </c>
      <c r="E110" s="20" t="str">
        <f ca="1">IFERROR(__xludf.DUMMYFUNCTION("""COMPUTED_VALUE"""),"Строительство ВЗУ по адресу: г. Волоколамск, ул. Пороховская (в том числе корректировка проекта) (в том числе кредиторская задолженность)")</f>
        <v>Строительство ВЗУ по адресу: г. Волоколамск, ул. Пороховская (в том числе корректировка проекта) (в том числе кредиторская задолженность)</v>
      </c>
      <c r="F110" s="20" t="str">
        <f ca="1">IFERROR(__xludf.DUMMYFUNCTION("""COMPUTED_VALUE"""),"СМР")</f>
        <v>СМР</v>
      </c>
      <c r="G110" s="20" t="str">
        <f ca="1">IFERROR(__xludf.DUMMYFUNCTION("""COMPUTED_VALUE"""),"г.о. Волоколамский")</f>
        <v>г.о. Волоколамский</v>
      </c>
      <c r="H110" s="20" t="str">
        <f ca="1">IFERROR(__xludf.DUMMYFUNCTION("""COMPUTED_VALUE"""),"2020-2022")</f>
        <v>2020-2022</v>
      </c>
      <c r="I110" s="20" t="str">
        <f ca="1">IFERROR(__xludf.DUMMYFUNCTION("""COMPUTED_VALUE"""),"10 1 02 64090")</f>
        <v>10 1 02 64090</v>
      </c>
      <c r="J110" s="20">
        <f ca="1">IFERROR(__xludf.DUMMYFUNCTION("""COMPUTED_VALUE"""),522)</f>
        <v>522</v>
      </c>
      <c r="K110" s="24">
        <f t="shared" ca="1" si="1"/>
        <v>7097.8</v>
      </c>
      <c r="L110" s="24">
        <f ca="1">IFERROR(__xludf.DUMMYFUNCTION("""COMPUTED_VALUE"""),7092)</f>
        <v>7092</v>
      </c>
      <c r="M110" s="24">
        <f ca="1">IFERROR(__xludf.DUMMYFUNCTION("""COMPUTED_VALUE"""),0)</f>
        <v>0</v>
      </c>
      <c r="N110" s="24">
        <f ca="1">IFERROR(__xludf.DUMMYFUNCTION("""COMPUTED_VALUE"""),0)</f>
        <v>0</v>
      </c>
      <c r="O110" s="24">
        <f ca="1">IFERROR(__xludf.DUMMYFUNCTION("""COMPUTED_VALUE"""),5.8)</f>
        <v>5.8</v>
      </c>
      <c r="P110" s="24">
        <f t="shared" ca="1" si="2"/>
        <v>7092</v>
      </c>
      <c r="Q110" s="23">
        <f ca="1">IFERROR(__xludf.DUMMYFUNCTION("""COMPUTED_VALUE"""),0.41)</f>
        <v>0.41</v>
      </c>
      <c r="R110" s="20"/>
      <c r="S110" s="24">
        <f ca="1">IFERROR(__xludf.DUMMYFUNCTION("""COMPUTED_VALUE"""),7097.8)</f>
        <v>7097.8</v>
      </c>
      <c r="T110" s="24">
        <f ca="1">IFERROR(__xludf.DUMMYFUNCTION("""COMPUTED_VALUE"""),0)</f>
        <v>0</v>
      </c>
      <c r="U110" s="24">
        <f ca="1">IFERROR(__xludf.DUMMYFUNCTION("""COMPUTED_VALUE"""),0)</f>
        <v>0</v>
      </c>
      <c r="V110" s="24">
        <f ca="1">IFERROR(__xludf.DUMMYFUNCTION("""COMPUTED_VALUE"""),0)</f>
        <v>0</v>
      </c>
      <c r="W110" s="24">
        <f ca="1">IFERROR(__xludf.DUMMYFUNCTION("""COMPUTED_VALUE"""),0)</f>
        <v>0</v>
      </c>
      <c r="X110" s="24">
        <f ca="1">IFERROR(__xludf.DUMMYFUNCTION("""COMPUTED_VALUE"""),0)</f>
        <v>0</v>
      </c>
      <c r="Y110" s="24">
        <f t="shared" ca="1" si="3"/>
        <v>0</v>
      </c>
      <c r="Z110" s="20">
        <f t="shared" ca="1" si="4"/>
        <v>7092</v>
      </c>
      <c r="AA110" s="20"/>
      <c r="AB110" s="24">
        <f ca="1">IFERROR(__xludf.DUMMYFUNCTION("""COMPUTED_VALUE"""),7092)</f>
        <v>7092</v>
      </c>
      <c r="AC110" s="20"/>
      <c r="AD110" s="94">
        <f t="shared" ca="1" si="5"/>
        <v>1</v>
      </c>
      <c r="AE110" s="20"/>
      <c r="AF110" s="20"/>
      <c r="AG110" s="20"/>
      <c r="AH110" s="20"/>
      <c r="AI110" s="20"/>
      <c r="AJ110" s="20"/>
      <c r="AK110" s="20"/>
      <c r="AL110" s="20"/>
      <c r="AM110" s="20"/>
      <c r="AN110" s="20"/>
      <c r="AO110" s="20"/>
      <c r="AP110" s="20"/>
      <c r="AQ110" s="20"/>
      <c r="AR110" s="20"/>
      <c r="AS110" s="20"/>
      <c r="AT110" s="20"/>
    </row>
    <row r="111" spans="1:46" ht="72" x14ac:dyDescent="0.2">
      <c r="A111" s="20" t="str">
        <f ca="1">IFERROR(__xludf.DUMMYFUNCTION("""COMPUTED_VALUE"""),"РС получено. Необходимо запросить график оплат до конца 2020 года. Лимиты в бюджетной заявке исключены.")</f>
        <v>РС получено. Необходимо запросить график оплат до конца 2020 года. Лимиты в бюджетной заявке исключены.</v>
      </c>
      <c r="B111" s="93"/>
      <c r="C11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1" s="20" t="str">
        <f ca="1">IFERROR(__xludf.DUMMYFUNCTION("""COMPUTED_VALUE"""),"МинЖКХ")</f>
        <v>МинЖКХ</v>
      </c>
      <c r="E111" s="20" t="str">
        <f ca="1">IFERROR(__xludf.DUMMYFUNCTION("""COMPUTED_VALUE"""),"Строительство ВЗУ с установкой станции обезжелезивания по адресу: городской округ Луховицы,  д. Круглово (в т.ч. ПИР)")</f>
        <v>Строительство ВЗУ с установкой станции обезжелезивания по адресу: городской округ Луховицы,  д. Круглово (в т.ч. ПИР)</v>
      </c>
      <c r="F111" s="20" t="str">
        <f ca="1">IFERROR(__xludf.DUMMYFUNCTION("""COMPUTED_VALUE"""),"СМР")</f>
        <v>СМР</v>
      </c>
      <c r="G111" s="20" t="str">
        <f ca="1">IFERROR(__xludf.DUMMYFUNCTION("""COMPUTED_VALUE"""),"г.о. Луховицы")</f>
        <v>г.о. Луховицы</v>
      </c>
      <c r="H111" s="20">
        <f ca="1">IFERROR(__xludf.DUMMYFUNCTION("""COMPUTED_VALUE"""),2020)</f>
        <v>2020</v>
      </c>
      <c r="I111" s="20" t="str">
        <f ca="1">IFERROR(__xludf.DUMMYFUNCTION("""COMPUTED_VALUE"""),"10 1 02 64090")</f>
        <v>10 1 02 64090</v>
      </c>
      <c r="J111" s="20">
        <f ca="1">IFERROR(__xludf.DUMMYFUNCTION("""COMPUTED_VALUE"""),522)</f>
        <v>522</v>
      </c>
      <c r="K111" s="24">
        <f t="shared" ca="1" si="1"/>
        <v>25235.75</v>
      </c>
      <c r="L111" s="24">
        <f ca="1">IFERROR(__xludf.DUMMYFUNCTION("""COMPUTED_VALUE"""),22586)</f>
        <v>22586</v>
      </c>
      <c r="M111" s="24">
        <f ca="1">IFERROR(__xludf.DUMMYFUNCTION("""COMPUTED_VALUE"""),0)</f>
        <v>0</v>
      </c>
      <c r="N111" s="24">
        <f ca="1">IFERROR(__xludf.DUMMYFUNCTION("""COMPUTED_VALUE"""),0)</f>
        <v>0</v>
      </c>
      <c r="O111" s="24">
        <f ca="1">IFERROR(__xludf.DUMMYFUNCTION("""COMPUTED_VALUE"""),2649.75)</f>
        <v>2649.75</v>
      </c>
      <c r="P111" s="24">
        <f t="shared" ca="1" si="2"/>
        <v>22586</v>
      </c>
      <c r="Q111" s="23">
        <f ca="1">IFERROR(__xludf.DUMMYFUNCTION("""COMPUTED_VALUE"""),0.35)</f>
        <v>0.35</v>
      </c>
      <c r="R111" s="20"/>
      <c r="S111" s="24">
        <f ca="1">IFERROR(__xludf.DUMMYFUNCTION("""COMPUTED_VALUE"""),22025.66)</f>
        <v>22025.66</v>
      </c>
      <c r="T111" s="24">
        <f ca="1">IFERROR(__xludf.DUMMYFUNCTION("""COMPUTED_VALUE"""),3210.09)</f>
        <v>3210.09</v>
      </c>
      <c r="U111" s="24">
        <f ca="1">IFERROR(__xludf.DUMMYFUNCTION("""COMPUTED_VALUE"""),560.34)</f>
        <v>560.34</v>
      </c>
      <c r="V111" s="24">
        <f ca="1">IFERROR(__xludf.DUMMYFUNCTION("""COMPUTED_VALUE"""),0)</f>
        <v>0</v>
      </c>
      <c r="W111" s="24">
        <f ca="1">IFERROR(__xludf.DUMMYFUNCTION("""COMPUTED_VALUE"""),0)</f>
        <v>0</v>
      </c>
      <c r="X111" s="24">
        <f ca="1">IFERROR(__xludf.DUMMYFUNCTION("""COMPUTED_VALUE"""),2649.75)</f>
        <v>2649.75</v>
      </c>
      <c r="Y111" s="24">
        <f t="shared" ca="1" si="3"/>
        <v>560.34</v>
      </c>
      <c r="Z111" s="20">
        <f t="shared" ca="1" si="4"/>
        <v>22025.66</v>
      </c>
      <c r="AA111" s="20"/>
      <c r="AB111" s="24">
        <f ca="1">IFERROR(__xludf.DUMMYFUNCTION("""COMPUTED_VALUE"""),22025.66)</f>
        <v>22025.66</v>
      </c>
      <c r="AC111" s="20"/>
      <c r="AD111" s="94">
        <f t="shared" ca="1" si="5"/>
        <v>0.9751908261755069</v>
      </c>
      <c r="AE111" s="20"/>
      <c r="AF111" s="20"/>
      <c r="AG111" s="20"/>
      <c r="AH111" s="20"/>
      <c r="AI111" s="20"/>
      <c r="AJ111" s="20"/>
      <c r="AK111" s="20"/>
      <c r="AL111" s="20"/>
      <c r="AM111" s="20"/>
      <c r="AN111" s="20"/>
      <c r="AO111" s="20"/>
      <c r="AP111" s="20"/>
      <c r="AQ111" s="20"/>
      <c r="AR111" s="20"/>
      <c r="AS111" s="20"/>
      <c r="AT111" s="20"/>
    </row>
    <row r="112" spans="1:46" ht="72" x14ac:dyDescent="0.2">
      <c r="A112" s="20" t="str">
        <f ca="1">IFERROR(__xludf.DUMMYFUNCTION("""COMPUTED_VALUE"""),"Отсутствует РС. Не представлена дорожная карта по получению РС.")</f>
        <v>Отсутствует РС. Не представлена дорожная карта по получению РС.</v>
      </c>
      <c r="B112" s="93"/>
      <c r="C11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2" s="20" t="str">
        <f ca="1">IFERROR(__xludf.DUMMYFUNCTION("""COMPUTED_VALUE"""),"МинЖКХ")</f>
        <v>МинЖКХ</v>
      </c>
      <c r="E112" s="20" t="str">
        <f ca="1">IFERROR(__xludf.DUMMYFUNCTION("""COMPUTED_VALUE"""),"Реконструкция ВЗУ, расположенного по адресу: Московская область, Можайский район, п. Спутник  (в том числе ПИР)")</f>
        <v>Реконструкция ВЗУ, расположенного по адресу: Московская область, Можайский район, п. Спутник  (в том числе ПИР)</v>
      </c>
      <c r="F112" s="20" t="str">
        <f ca="1">IFERROR(__xludf.DUMMYFUNCTION("""COMPUTED_VALUE"""),"СМР")</f>
        <v>СМР</v>
      </c>
      <c r="G112" s="20" t="str">
        <f ca="1">IFERROR(__xludf.DUMMYFUNCTION("""COMPUTED_VALUE"""),"г.о. Можайск")</f>
        <v>г.о. Можайск</v>
      </c>
      <c r="H112" s="20">
        <f ca="1">IFERROR(__xludf.DUMMYFUNCTION("""COMPUTED_VALUE"""),2020)</f>
        <v>2020</v>
      </c>
      <c r="I112" s="20" t="str">
        <f ca="1">IFERROR(__xludf.DUMMYFUNCTION("""COMPUTED_VALUE"""),"10 1 02 64090")</f>
        <v>10 1 02 64090</v>
      </c>
      <c r="J112" s="20">
        <f ca="1">IFERROR(__xludf.DUMMYFUNCTION("""COMPUTED_VALUE"""),522)</f>
        <v>522</v>
      </c>
      <c r="K112" s="24">
        <f t="shared" ca="1" si="1"/>
        <v>38713.879999999997</v>
      </c>
      <c r="L112" s="24">
        <f ca="1">IFERROR(__xludf.DUMMYFUNCTION("""COMPUTED_VALUE"""),30816)</f>
        <v>30816</v>
      </c>
      <c r="M112" s="24">
        <f ca="1">IFERROR(__xludf.DUMMYFUNCTION("""COMPUTED_VALUE"""),0)</f>
        <v>0</v>
      </c>
      <c r="N112" s="24">
        <f ca="1">IFERROR(__xludf.DUMMYFUNCTION("""COMPUTED_VALUE"""),0)</f>
        <v>0</v>
      </c>
      <c r="O112" s="24">
        <f ca="1">IFERROR(__xludf.DUMMYFUNCTION("""COMPUTED_VALUE"""),7897.88)</f>
        <v>7897.88</v>
      </c>
      <c r="P112" s="24">
        <f t="shared" ca="1" si="2"/>
        <v>30816</v>
      </c>
      <c r="Q112" s="23">
        <f ca="1">IFERROR(__xludf.DUMMYFUNCTION("""COMPUTED_VALUE"""),0.7)</f>
        <v>0.7</v>
      </c>
      <c r="R112" s="20"/>
      <c r="S112" s="24">
        <f ca="1">IFERROR(__xludf.DUMMYFUNCTION("""COMPUTED_VALUE"""),30176.4)</f>
        <v>30176.400000000001</v>
      </c>
      <c r="T112" s="24">
        <f ca="1">IFERROR(__xludf.DUMMYFUNCTION("""COMPUTED_VALUE"""),8537.47999999999)</f>
        <v>8537.4799999999905</v>
      </c>
      <c r="U112" s="24">
        <f ca="1">IFERROR(__xludf.DUMMYFUNCTION("""COMPUTED_VALUE"""),639.599999999998)</f>
        <v>639.59999999999798</v>
      </c>
      <c r="V112" s="24">
        <f ca="1">IFERROR(__xludf.DUMMYFUNCTION("""COMPUTED_VALUE"""),0)</f>
        <v>0</v>
      </c>
      <c r="W112" s="24">
        <f ca="1">IFERROR(__xludf.DUMMYFUNCTION("""COMPUTED_VALUE"""),0)</f>
        <v>0</v>
      </c>
      <c r="X112" s="24">
        <f ca="1">IFERROR(__xludf.DUMMYFUNCTION("""COMPUTED_VALUE"""),7897.88)</f>
        <v>7897.88</v>
      </c>
      <c r="Y112" s="24">
        <f t="shared" ca="1" si="3"/>
        <v>639.59999999999798</v>
      </c>
      <c r="Z112" s="20">
        <f t="shared" ca="1" si="4"/>
        <v>30176.400000000001</v>
      </c>
      <c r="AA112" s="20"/>
      <c r="AB112" s="24">
        <f ca="1">IFERROR(__xludf.DUMMYFUNCTION("""COMPUTED_VALUE"""),30176.4)</f>
        <v>30176.400000000001</v>
      </c>
      <c r="AC112" s="20"/>
      <c r="AD112" s="94">
        <f t="shared" ca="1" si="5"/>
        <v>0.97924454828660445</v>
      </c>
      <c r="AE112" s="20"/>
      <c r="AF112" s="20"/>
      <c r="AG112" s="20"/>
      <c r="AH112" s="20"/>
      <c r="AI112" s="20"/>
      <c r="AJ112" s="20"/>
      <c r="AK112" s="20"/>
      <c r="AL112" s="20"/>
      <c r="AM112" s="20"/>
      <c r="AN112" s="20"/>
      <c r="AO112" s="20"/>
      <c r="AP112" s="20"/>
      <c r="AQ112" s="20"/>
      <c r="AR112" s="20"/>
      <c r="AS112" s="20"/>
      <c r="AT112" s="20"/>
    </row>
    <row r="113" spans="1:46" ht="72" x14ac:dyDescent="0.2">
      <c r="A113" s="20" t="str">
        <f ca="1">IFERROR(__xludf.DUMMYFUNCTION("""COMPUTED_VALUE"""),"Нарушен срок получения положительного заключения государственной экспертизы.")</f>
        <v>Нарушен срок получения положительного заключения государственной экспертизы.</v>
      </c>
      <c r="B113" s="95"/>
      <c r="C11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3" s="20" t="str">
        <f ca="1">IFERROR(__xludf.DUMMYFUNCTION("""COMPUTED_VALUE"""),"МинЖКХ")</f>
        <v>МинЖКХ</v>
      </c>
      <c r="E113" s="20"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 (в том числе ПИР)")</f>
        <v>Реконструкция ВЗУ Степанщино Воскресенский м.р., с устройством РЧВ 500 м. куб. и установкой станции обезжелезования; бурение доп. артскважин (в том числе ПИР)</v>
      </c>
      <c r="F113" s="20" t="str">
        <f ca="1">IFERROR(__xludf.DUMMYFUNCTION("""COMPUTED_VALUE"""),"СМР")</f>
        <v>СМР</v>
      </c>
      <c r="G113" s="20" t="str">
        <f ca="1">IFERROR(__xludf.DUMMYFUNCTION("""COMPUTED_VALUE"""),"г.о. Воскресенск")</f>
        <v>г.о. Воскресенск</v>
      </c>
      <c r="H113" s="20">
        <f ca="1">IFERROR(__xludf.DUMMYFUNCTION("""COMPUTED_VALUE"""),2020)</f>
        <v>2020</v>
      </c>
      <c r="I113" s="20" t="str">
        <f ca="1">IFERROR(__xludf.DUMMYFUNCTION("""COMPUTED_VALUE"""),"10 1 02 64090")</f>
        <v>10 1 02 64090</v>
      </c>
      <c r="J113" s="20">
        <f ca="1">IFERROR(__xludf.DUMMYFUNCTION("""COMPUTED_VALUE"""),522)</f>
        <v>522</v>
      </c>
      <c r="K113" s="24">
        <f t="shared" ca="1" si="1"/>
        <v>10226.450000000001</v>
      </c>
      <c r="L113" s="24">
        <f ca="1">IFERROR(__xludf.DUMMYFUNCTION("""COMPUTED_VALUE"""),9715)</f>
        <v>9715</v>
      </c>
      <c r="M113" s="24">
        <f ca="1">IFERROR(__xludf.DUMMYFUNCTION("""COMPUTED_VALUE"""),0)</f>
        <v>0</v>
      </c>
      <c r="N113" s="24">
        <f ca="1">IFERROR(__xludf.DUMMYFUNCTION("""COMPUTED_VALUE"""),0)</f>
        <v>0</v>
      </c>
      <c r="O113" s="24">
        <f ca="1">IFERROR(__xludf.DUMMYFUNCTION("""COMPUTED_VALUE"""),511.45)</f>
        <v>511.45</v>
      </c>
      <c r="P113" s="24">
        <f t="shared" ca="1" si="2"/>
        <v>9715</v>
      </c>
      <c r="Q113" s="23">
        <f ca="1">IFERROR(__xludf.DUMMYFUNCTION("""COMPUTED_VALUE"""),0.8)</f>
        <v>0.8</v>
      </c>
      <c r="R113" s="20"/>
      <c r="S113" s="24">
        <f ca="1">IFERROR(__xludf.DUMMYFUNCTION("""COMPUTED_VALUE"""),0)</f>
        <v>0</v>
      </c>
      <c r="T113" s="24">
        <f ca="1">IFERROR(__xludf.DUMMYFUNCTION("""COMPUTED_VALUE"""),10226.45)</f>
        <v>10226.450000000001</v>
      </c>
      <c r="U113" s="24">
        <f ca="1">IFERROR(__xludf.DUMMYFUNCTION("""COMPUTED_VALUE"""),9715)</f>
        <v>9715</v>
      </c>
      <c r="V113" s="24">
        <f ca="1">IFERROR(__xludf.DUMMYFUNCTION("""COMPUTED_VALUE"""),0)</f>
        <v>0</v>
      </c>
      <c r="W113" s="24">
        <f ca="1">IFERROR(__xludf.DUMMYFUNCTION("""COMPUTED_VALUE"""),0)</f>
        <v>0</v>
      </c>
      <c r="X113" s="24">
        <f ca="1">IFERROR(__xludf.DUMMYFUNCTION("""COMPUTED_VALUE"""),511.45)</f>
        <v>511.45</v>
      </c>
      <c r="Y113" s="24">
        <f t="shared" ca="1" si="3"/>
        <v>9715</v>
      </c>
      <c r="Z113" s="20">
        <f t="shared" si="4"/>
        <v>0</v>
      </c>
      <c r="AA113" s="20"/>
      <c r="AB113" s="20"/>
      <c r="AC113" s="20"/>
      <c r="AD113" s="94">
        <f t="shared" ca="1" si="5"/>
        <v>0</v>
      </c>
      <c r="AE113" s="20"/>
      <c r="AF113" s="20"/>
      <c r="AG113" s="20"/>
      <c r="AH113" s="20"/>
      <c r="AI113" s="20"/>
      <c r="AJ113" s="20"/>
      <c r="AK113" s="20"/>
      <c r="AL113" s="20"/>
      <c r="AM113" s="20"/>
      <c r="AN113" s="20"/>
      <c r="AO113" s="20"/>
      <c r="AP113" s="20"/>
      <c r="AQ113" s="20"/>
      <c r="AR113" s="20"/>
      <c r="AS113" s="20"/>
      <c r="AT113" s="20"/>
    </row>
    <row r="114" spans="1:46" ht="72" hidden="1" x14ac:dyDescent="0.2">
      <c r="A114" s="67"/>
      <c r="B114" s="96"/>
      <c r="C11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4" s="20" t="str">
        <f ca="1">IFERROR(__xludf.DUMMYFUNCTION("""COMPUTED_VALUE"""),"МинЖКХ")</f>
        <v>МинЖКХ</v>
      </c>
      <c r="E114" s="20" t="str">
        <f ca="1">IFERROR(__xludf.DUMMYFUNCTION("""COMPUTED_VALUE"""),"Строительство ВЗУ в  д. Глазово, Серпуховский м.р. (в том числе ПИР)")</f>
        <v>Строительство ВЗУ в  д. Глазово, Серпуховский м.р. (в том числе ПИР)</v>
      </c>
      <c r="F114" s="67" t="str">
        <f ca="1">IFERROR(__xludf.DUMMYFUNCTION("""COMPUTED_VALUE"""),"СМР")</f>
        <v>СМР</v>
      </c>
      <c r="G114" s="67" t="str">
        <f ca="1">IFERROR(__xludf.DUMMYFUNCTION("""COMPUTED_VALUE"""),"г.о. Серпухов")</f>
        <v>г.о. Серпухов</v>
      </c>
      <c r="H114" s="67">
        <f ca="1">IFERROR(__xludf.DUMMYFUNCTION("""COMPUTED_VALUE"""),2022)</f>
        <v>2022</v>
      </c>
      <c r="I114" s="67" t="str">
        <f ca="1">IFERROR(__xludf.DUMMYFUNCTION("""COMPUTED_VALUE"""),"10 1 02 64090")</f>
        <v>10 1 02 64090</v>
      </c>
      <c r="J114" s="67">
        <f ca="1">IFERROR(__xludf.DUMMYFUNCTION("""COMPUTED_VALUE"""),522)</f>
        <v>522</v>
      </c>
      <c r="K114" s="97">
        <f t="shared" ca="1" si="1"/>
        <v>0</v>
      </c>
      <c r="L114" s="97">
        <f ca="1">IFERROR(__xludf.DUMMYFUNCTION("""COMPUTED_VALUE"""),0)</f>
        <v>0</v>
      </c>
      <c r="M114" s="97">
        <f ca="1">IFERROR(__xludf.DUMMYFUNCTION("""COMPUTED_VALUE"""),0)</f>
        <v>0</v>
      </c>
      <c r="N114" s="97">
        <f ca="1">IFERROR(__xludf.DUMMYFUNCTION("""COMPUTED_VALUE"""),0)</f>
        <v>0</v>
      </c>
      <c r="O114" s="97">
        <f ca="1">IFERROR(__xludf.DUMMYFUNCTION("""COMPUTED_VALUE"""),0)</f>
        <v>0</v>
      </c>
      <c r="P114" s="97">
        <f t="shared" ca="1" si="2"/>
        <v>0</v>
      </c>
      <c r="Q114" s="98">
        <f ca="1">IFERROR(__xludf.DUMMYFUNCTION("""COMPUTED_VALUE"""),0)</f>
        <v>0</v>
      </c>
      <c r="R114" s="67"/>
      <c r="S114" s="97">
        <f ca="1">IFERROR(__xludf.DUMMYFUNCTION("""COMPUTED_VALUE"""),0)</f>
        <v>0</v>
      </c>
      <c r="T114" s="97">
        <f ca="1">IFERROR(__xludf.DUMMYFUNCTION("""COMPUTED_VALUE"""),0)</f>
        <v>0</v>
      </c>
      <c r="U114" s="97">
        <f ca="1">IFERROR(__xludf.DUMMYFUNCTION("""COMPUTED_VALUE"""),0)</f>
        <v>0</v>
      </c>
      <c r="V114" s="97">
        <f ca="1">IFERROR(__xludf.DUMMYFUNCTION("""COMPUTED_VALUE"""),0)</f>
        <v>0</v>
      </c>
      <c r="W114" s="97">
        <f ca="1">IFERROR(__xludf.DUMMYFUNCTION("""COMPUTED_VALUE"""),0)</f>
        <v>0</v>
      </c>
      <c r="X114" s="97">
        <f ca="1">IFERROR(__xludf.DUMMYFUNCTION("""COMPUTED_VALUE"""),0)</f>
        <v>0</v>
      </c>
      <c r="Y114" s="97">
        <f t="shared" ca="1" si="3"/>
        <v>0</v>
      </c>
      <c r="Z114" s="67">
        <f t="shared" si="4"/>
        <v>0</v>
      </c>
      <c r="AA114" s="67"/>
      <c r="AB114" s="67"/>
      <c r="AC114" s="67"/>
      <c r="AD114" s="99" t="e">
        <f t="shared" ca="1" si="5"/>
        <v>#DIV/0!</v>
      </c>
      <c r="AE114" s="67"/>
      <c r="AF114" s="67"/>
      <c r="AG114" s="67"/>
      <c r="AH114" s="67"/>
      <c r="AI114" s="67"/>
      <c r="AJ114" s="67"/>
      <c r="AK114" s="67"/>
      <c r="AL114" s="67"/>
      <c r="AM114" s="67"/>
      <c r="AN114" s="67"/>
      <c r="AO114" s="67"/>
      <c r="AP114" s="67"/>
      <c r="AQ114" s="67"/>
      <c r="AR114" s="67"/>
      <c r="AS114" s="67"/>
      <c r="AT114" s="67"/>
    </row>
    <row r="115" spans="1:46" ht="72" hidden="1" x14ac:dyDescent="0.2">
      <c r="A115" s="67"/>
      <c r="B115" s="96"/>
      <c r="C11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5" s="20" t="str">
        <f ca="1">IFERROR(__xludf.DUMMYFUNCTION("""COMPUTED_VALUE"""),"МинЖКХ")</f>
        <v>МинЖКХ</v>
      </c>
      <c r="E115" s="20" t="str">
        <f ca="1">IFERROR(__xludf.DUMMYFUNCTION("""COMPUTED_VALUE"""),"Строительство ВЗУ в д. Селино, д. Вечери, Серпуховский м.р. (в том числе ПИР)")</f>
        <v>Строительство ВЗУ в д. Селино, д. Вечери, Серпуховский м.р. (в том числе ПИР)</v>
      </c>
      <c r="F115" s="67" t="str">
        <f ca="1">IFERROR(__xludf.DUMMYFUNCTION("""COMPUTED_VALUE"""),"СМР")</f>
        <v>СМР</v>
      </c>
      <c r="G115" s="67" t="str">
        <f ca="1">IFERROR(__xludf.DUMMYFUNCTION("""COMPUTED_VALUE"""),"г.о. Серпухов")</f>
        <v>г.о. Серпухов</v>
      </c>
      <c r="H115" s="67">
        <f ca="1">IFERROR(__xludf.DUMMYFUNCTION("""COMPUTED_VALUE"""),2022)</f>
        <v>2022</v>
      </c>
      <c r="I115" s="67" t="str">
        <f ca="1">IFERROR(__xludf.DUMMYFUNCTION("""COMPUTED_VALUE"""),"10 1 02 64090")</f>
        <v>10 1 02 64090</v>
      </c>
      <c r="J115" s="67">
        <f ca="1">IFERROR(__xludf.DUMMYFUNCTION("""COMPUTED_VALUE"""),522)</f>
        <v>522</v>
      </c>
      <c r="K115" s="97">
        <f t="shared" ca="1" si="1"/>
        <v>0</v>
      </c>
      <c r="L115" s="97">
        <f ca="1">IFERROR(__xludf.DUMMYFUNCTION("""COMPUTED_VALUE"""),0)</f>
        <v>0</v>
      </c>
      <c r="M115" s="97">
        <f ca="1">IFERROR(__xludf.DUMMYFUNCTION("""COMPUTED_VALUE"""),0)</f>
        <v>0</v>
      </c>
      <c r="N115" s="97">
        <f ca="1">IFERROR(__xludf.DUMMYFUNCTION("""COMPUTED_VALUE"""),0)</f>
        <v>0</v>
      </c>
      <c r="O115" s="97">
        <f ca="1">IFERROR(__xludf.DUMMYFUNCTION("""COMPUTED_VALUE"""),0)</f>
        <v>0</v>
      </c>
      <c r="P115" s="97">
        <f t="shared" ca="1" si="2"/>
        <v>0</v>
      </c>
      <c r="Q115" s="98">
        <f ca="1">IFERROR(__xludf.DUMMYFUNCTION("""COMPUTED_VALUE"""),0)</f>
        <v>0</v>
      </c>
      <c r="R115" s="67"/>
      <c r="S115" s="97">
        <f ca="1">IFERROR(__xludf.DUMMYFUNCTION("""COMPUTED_VALUE"""),0)</f>
        <v>0</v>
      </c>
      <c r="T115" s="97">
        <f ca="1">IFERROR(__xludf.DUMMYFUNCTION("""COMPUTED_VALUE"""),0)</f>
        <v>0</v>
      </c>
      <c r="U115" s="97">
        <f ca="1">IFERROR(__xludf.DUMMYFUNCTION("""COMPUTED_VALUE"""),0)</f>
        <v>0</v>
      </c>
      <c r="V115" s="97">
        <f ca="1">IFERROR(__xludf.DUMMYFUNCTION("""COMPUTED_VALUE"""),0)</f>
        <v>0</v>
      </c>
      <c r="W115" s="97">
        <f ca="1">IFERROR(__xludf.DUMMYFUNCTION("""COMPUTED_VALUE"""),0)</f>
        <v>0</v>
      </c>
      <c r="X115" s="97">
        <f ca="1">IFERROR(__xludf.DUMMYFUNCTION("""COMPUTED_VALUE"""),0)</f>
        <v>0</v>
      </c>
      <c r="Y115" s="97">
        <f t="shared" ca="1" si="3"/>
        <v>0</v>
      </c>
      <c r="Z115" s="67">
        <f t="shared" si="4"/>
        <v>0</v>
      </c>
      <c r="AA115" s="67"/>
      <c r="AB115" s="67"/>
      <c r="AC115" s="67"/>
      <c r="AD115" s="99" t="e">
        <f t="shared" ca="1" si="5"/>
        <v>#DIV/0!</v>
      </c>
      <c r="AE115" s="67"/>
      <c r="AF115" s="67"/>
      <c r="AG115" s="67"/>
      <c r="AH115" s="67"/>
      <c r="AI115" s="67"/>
      <c r="AJ115" s="67"/>
      <c r="AK115" s="67"/>
      <c r="AL115" s="67"/>
      <c r="AM115" s="67"/>
      <c r="AN115" s="67"/>
      <c r="AO115" s="67"/>
      <c r="AP115" s="67"/>
      <c r="AQ115" s="67"/>
      <c r="AR115" s="67"/>
      <c r="AS115" s="67"/>
      <c r="AT115" s="67"/>
    </row>
    <row r="116" spans="1:46" ht="72" hidden="1" x14ac:dyDescent="0.2">
      <c r="A116" s="67"/>
      <c r="B116" s="96"/>
      <c r="C11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6" s="20" t="str">
        <f ca="1">IFERROR(__xludf.DUMMYFUNCTION("""COMPUTED_VALUE"""),"МинЖКХ")</f>
        <v>МинЖКХ</v>
      </c>
      <c r="E116" s="20" t="str">
        <f ca="1">IFERROR(__xludf.DUMMYFUNCTION("""COMPUTED_VALUE"""),"Строительство ВЗУ в д. Б. Грызлово, Серпуховский м.р. (в том числе ПИР)")</f>
        <v>Строительство ВЗУ в д. Б. Грызлово, Серпуховский м.р. (в том числе ПИР)</v>
      </c>
      <c r="F116" s="67" t="str">
        <f ca="1">IFERROR(__xludf.DUMMYFUNCTION("""COMPUTED_VALUE"""),"СМР")</f>
        <v>СМР</v>
      </c>
      <c r="G116" s="67" t="str">
        <f ca="1">IFERROR(__xludf.DUMMYFUNCTION("""COMPUTED_VALUE"""),"г.о. Серпухов")</f>
        <v>г.о. Серпухов</v>
      </c>
      <c r="H116" s="67">
        <f ca="1">IFERROR(__xludf.DUMMYFUNCTION("""COMPUTED_VALUE"""),2022)</f>
        <v>2022</v>
      </c>
      <c r="I116" s="67" t="str">
        <f ca="1">IFERROR(__xludf.DUMMYFUNCTION("""COMPUTED_VALUE"""),"10 1 02 64090")</f>
        <v>10 1 02 64090</v>
      </c>
      <c r="J116" s="67">
        <f ca="1">IFERROR(__xludf.DUMMYFUNCTION("""COMPUTED_VALUE"""),522)</f>
        <v>522</v>
      </c>
      <c r="K116" s="97">
        <f t="shared" ca="1" si="1"/>
        <v>0</v>
      </c>
      <c r="L116" s="97">
        <f ca="1">IFERROR(__xludf.DUMMYFUNCTION("""COMPUTED_VALUE"""),0)</f>
        <v>0</v>
      </c>
      <c r="M116" s="97">
        <f ca="1">IFERROR(__xludf.DUMMYFUNCTION("""COMPUTED_VALUE"""),0)</f>
        <v>0</v>
      </c>
      <c r="N116" s="97">
        <f ca="1">IFERROR(__xludf.DUMMYFUNCTION("""COMPUTED_VALUE"""),0)</f>
        <v>0</v>
      </c>
      <c r="O116" s="97">
        <f ca="1">IFERROR(__xludf.DUMMYFUNCTION("""COMPUTED_VALUE"""),0)</f>
        <v>0</v>
      </c>
      <c r="P116" s="97">
        <f t="shared" ca="1" si="2"/>
        <v>0</v>
      </c>
      <c r="Q116" s="98">
        <f ca="1">IFERROR(__xludf.DUMMYFUNCTION("""COMPUTED_VALUE"""),0)</f>
        <v>0</v>
      </c>
      <c r="R116" s="67"/>
      <c r="S116" s="97">
        <f ca="1">IFERROR(__xludf.DUMMYFUNCTION("""COMPUTED_VALUE"""),0)</f>
        <v>0</v>
      </c>
      <c r="T116" s="97">
        <f ca="1">IFERROR(__xludf.DUMMYFUNCTION("""COMPUTED_VALUE"""),0)</f>
        <v>0</v>
      </c>
      <c r="U116" s="97">
        <f ca="1">IFERROR(__xludf.DUMMYFUNCTION("""COMPUTED_VALUE"""),0)</f>
        <v>0</v>
      </c>
      <c r="V116" s="97">
        <f ca="1">IFERROR(__xludf.DUMMYFUNCTION("""COMPUTED_VALUE"""),0)</f>
        <v>0</v>
      </c>
      <c r="W116" s="97">
        <f ca="1">IFERROR(__xludf.DUMMYFUNCTION("""COMPUTED_VALUE"""),0)</f>
        <v>0</v>
      </c>
      <c r="X116" s="97">
        <f ca="1">IFERROR(__xludf.DUMMYFUNCTION("""COMPUTED_VALUE"""),0)</f>
        <v>0</v>
      </c>
      <c r="Y116" s="97">
        <f t="shared" ca="1" si="3"/>
        <v>0</v>
      </c>
      <c r="Z116" s="67">
        <f t="shared" si="4"/>
        <v>0</v>
      </c>
      <c r="AA116" s="67"/>
      <c r="AB116" s="67"/>
      <c r="AC116" s="67"/>
      <c r="AD116" s="99" t="e">
        <f t="shared" ca="1" si="5"/>
        <v>#DIV/0!</v>
      </c>
      <c r="AE116" s="67"/>
      <c r="AF116" s="67"/>
      <c r="AG116" s="67"/>
      <c r="AH116" s="67"/>
      <c r="AI116" s="67"/>
      <c r="AJ116" s="67"/>
      <c r="AK116" s="67"/>
      <c r="AL116" s="67"/>
      <c r="AM116" s="67"/>
      <c r="AN116" s="67"/>
      <c r="AO116" s="67"/>
      <c r="AP116" s="67"/>
      <c r="AQ116" s="67"/>
      <c r="AR116" s="67"/>
      <c r="AS116" s="67"/>
      <c r="AT116" s="67"/>
    </row>
    <row r="117" spans="1:46" ht="72" hidden="1" x14ac:dyDescent="0.2">
      <c r="A117" s="67"/>
      <c r="B117" s="100"/>
      <c r="C11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7" s="20" t="str">
        <f ca="1">IFERROR(__xludf.DUMMYFUNCTION("""COMPUTED_VALUE"""),"МинЖКХ")</f>
        <v>МинЖКХ</v>
      </c>
      <c r="E117" s="20" t="str">
        <f ca="1">IFERROR(__xludf.DUMMYFUNCTION("""COMPUTED_VALUE"""),"Строительство ВЗУ в д. Калугино, Серпуховский м.р. (в том числе ПИР)")</f>
        <v>Строительство ВЗУ в д. Калугино, Серпуховский м.р. (в том числе ПИР)</v>
      </c>
      <c r="F117" s="67" t="str">
        <f ca="1">IFERROR(__xludf.DUMMYFUNCTION("""COMPUTED_VALUE"""),"СМР")</f>
        <v>СМР</v>
      </c>
      <c r="G117" s="67" t="str">
        <f ca="1">IFERROR(__xludf.DUMMYFUNCTION("""COMPUTED_VALUE"""),"г.о. Серпухов")</f>
        <v>г.о. Серпухов</v>
      </c>
      <c r="H117" s="67">
        <f ca="1">IFERROR(__xludf.DUMMYFUNCTION("""COMPUTED_VALUE"""),2022)</f>
        <v>2022</v>
      </c>
      <c r="I117" s="67" t="str">
        <f ca="1">IFERROR(__xludf.DUMMYFUNCTION("""COMPUTED_VALUE"""),"10 1 02 64090")</f>
        <v>10 1 02 64090</v>
      </c>
      <c r="J117" s="67">
        <f ca="1">IFERROR(__xludf.DUMMYFUNCTION("""COMPUTED_VALUE"""),522)</f>
        <v>522</v>
      </c>
      <c r="K117" s="97">
        <f t="shared" ca="1" si="1"/>
        <v>0</v>
      </c>
      <c r="L117" s="97">
        <f ca="1">IFERROR(__xludf.DUMMYFUNCTION("""COMPUTED_VALUE"""),0)</f>
        <v>0</v>
      </c>
      <c r="M117" s="97">
        <f ca="1">IFERROR(__xludf.DUMMYFUNCTION("""COMPUTED_VALUE"""),0)</f>
        <v>0</v>
      </c>
      <c r="N117" s="97">
        <f ca="1">IFERROR(__xludf.DUMMYFUNCTION("""COMPUTED_VALUE"""),0)</f>
        <v>0</v>
      </c>
      <c r="O117" s="97">
        <f ca="1">IFERROR(__xludf.DUMMYFUNCTION("""COMPUTED_VALUE"""),0)</f>
        <v>0</v>
      </c>
      <c r="P117" s="97">
        <f t="shared" ca="1" si="2"/>
        <v>0</v>
      </c>
      <c r="Q117" s="98">
        <f ca="1">IFERROR(__xludf.DUMMYFUNCTION("""COMPUTED_VALUE"""),0)</f>
        <v>0</v>
      </c>
      <c r="R117" s="67"/>
      <c r="S117" s="97">
        <f ca="1">IFERROR(__xludf.DUMMYFUNCTION("""COMPUTED_VALUE"""),0)</f>
        <v>0</v>
      </c>
      <c r="T117" s="97">
        <f ca="1">IFERROR(__xludf.DUMMYFUNCTION("""COMPUTED_VALUE"""),0)</f>
        <v>0</v>
      </c>
      <c r="U117" s="97">
        <f ca="1">IFERROR(__xludf.DUMMYFUNCTION("""COMPUTED_VALUE"""),0)</f>
        <v>0</v>
      </c>
      <c r="V117" s="97">
        <f ca="1">IFERROR(__xludf.DUMMYFUNCTION("""COMPUTED_VALUE"""),0)</f>
        <v>0</v>
      </c>
      <c r="W117" s="97">
        <f ca="1">IFERROR(__xludf.DUMMYFUNCTION("""COMPUTED_VALUE"""),0)</f>
        <v>0</v>
      </c>
      <c r="X117" s="97">
        <f ca="1">IFERROR(__xludf.DUMMYFUNCTION("""COMPUTED_VALUE"""),0)</f>
        <v>0</v>
      </c>
      <c r="Y117" s="97">
        <f t="shared" ca="1" si="3"/>
        <v>0</v>
      </c>
      <c r="Z117" s="67">
        <f t="shared" si="4"/>
        <v>0</v>
      </c>
      <c r="AA117" s="67"/>
      <c r="AB117" s="67"/>
      <c r="AC117" s="67"/>
      <c r="AD117" s="99" t="e">
        <f t="shared" ca="1" si="5"/>
        <v>#DIV/0!</v>
      </c>
      <c r="AE117" s="67"/>
      <c r="AF117" s="67"/>
      <c r="AG117" s="67"/>
      <c r="AH117" s="67"/>
      <c r="AI117" s="67"/>
      <c r="AJ117" s="67"/>
      <c r="AK117" s="67"/>
      <c r="AL117" s="67"/>
      <c r="AM117" s="67"/>
      <c r="AN117" s="67"/>
      <c r="AO117" s="67"/>
      <c r="AP117" s="67"/>
      <c r="AQ117" s="67"/>
      <c r="AR117" s="67"/>
      <c r="AS117" s="67"/>
      <c r="AT117" s="67"/>
    </row>
    <row r="118" spans="1:46" ht="72" x14ac:dyDescent="0.2">
      <c r="A118" s="24" t="str">
        <f ca="1">IFERROR(__xludf.DUMMYFUNCTION("""COMPUTED_VALUE"""),"только бмо, завершено")</f>
        <v>только бмо, завершено</v>
      </c>
      <c r="B118" s="93"/>
      <c r="C11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8" s="20" t="str">
        <f ca="1">IFERROR(__xludf.DUMMYFUNCTION("""COMPUTED_VALUE"""),"МинЖКХ")</f>
        <v>МинЖКХ</v>
      </c>
      <c r="E118" s="20" t="str">
        <f ca="1">IFERROR(__xludf.DUMMYFUNCTION("""COMPUTED_VALUE"""),"Реконструкция  ВЗУ №4 с установкой станции водоподготовки , г. Фрязино,  Окружной проезд, дом 2, стр. 1 (ПИР)                                         ")</f>
        <v xml:space="preserve">Реконструкция  ВЗУ №4 с установкой станции водоподготовки , г. Фрязино,  Окружной проезд, дом 2, стр. 1 (ПИР)                                         </v>
      </c>
      <c r="F118" s="20" t="str">
        <f ca="1">IFERROR(__xludf.DUMMYFUNCTION("""COMPUTED_VALUE"""),"ПИР")</f>
        <v>ПИР</v>
      </c>
      <c r="G118" s="20" t="str">
        <f ca="1">IFERROR(__xludf.DUMMYFUNCTION("""COMPUTED_VALUE"""),"г.о. Фрязино")</f>
        <v>г.о. Фрязино</v>
      </c>
      <c r="H118" s="20">
        <f ca="1">IFERROR(__xludf.DUMMYFUNCTION("""COMPUTED_VALUE"""),2020)</f>
        <v>2020</v>
      </c>
      <c r="I118" s="20" t="str">
        <f ca="1">IFERROR(__xludf.DUMMYFUNCTION("""COMPUTED_VALUE"""),"10 1 02 64090")</f>
        <v>10 1 02 64090</v>
      </c>
      <c r="J118" s="20">
        <f ca="1">IFERROR(__xludf.DUMMYFUNCTION("""COMPUTED_VALUE"""),522)</f>
        <v>522</v>
      </c>
      <c r="K118" s="24">
        <f t="shared" ca="1" si="1"/>
        <v>14648.48</v>
      </c>
      <c r="L118" s="24">
        <f ca="1">IFERROR(__xludf.DUMMYFUNCTION("""COMPUTED_VALUE"""),14502)</f>
        <v>14502</v>
      </c>
      <c r="M118" s="24">
        <f ca="1">IFERROR(__xludf.DUMMYFUNCTION("""COMPUTED_VALUE"""),0)</f>
        <v>0</v>
      </c>
      <c r="N118" s="24">
        <f ca="1">IFERROR(__xludf.DUMMYFUNCTION("""COMPUTED_VALUE"""),0)</f>
        <v>0</v>
      </c>
      <c r="O118" s="24">
        <f ca="1">IFERROR(__xludf.DUMMYFUNCTION("""COMPUTED_VALUE"""),146.48)</f>
        <v>146.47999999999999</v>
      </c>
      <c r="P118" s="24">
        <f t="shared" ca="1" si="2"/>
        <v>14502</v>
      </c>
      <c r="Q118" s="23">
        <f ca="1">IFERROR(__xludf.DUMMYFUNCTION("""COMPUTED_VALUE"""),1)</f>
        <v>1</v>
      </c>
      <c r="R118" s="20"/>
      <c r="S118" s="24">
        <f ca="1">IFERROR(__xludf.DUMMYFUNCTION("""COMPUTED_VALUE"""),14648.48)</f>
        <v>14648.48</v>
      </c>
      <c r="T118" s="24">
        <f ca="1">IFERROR(__xludf.DUMMYFUNCTION("""COMPUTED_VALUE"""),0)</f>
        <v>0</v>
      </c>
      <c r="U118" s="24">
        <f ca="1">IFERROR(__xludf.DUMMYFUNCTION("""COMPUTED_VALUE"""),0)</f>
        <v>0</v>
      </c>
      <c r="V118" s="24">
        <f ca="1">IFERROR(__xludf.DUMMYFUNCTION("""COMPUTED_VALUE"""),0)</f>
        <v>0</v>
      </c>
      <c r="W118" s="24">
        <f ca="1">IFERROR(__xludf.DUMMYFUNCTION("""COMPUTED_VALUE"""),0)</f>
        <v>0</v>
      </c>
      <c r="X118" s="24">
        <f ca="1">IFERROR(__xludf.DUMMYFUNCTION("""COMPUTED_VALUE"""),0)</f>
        <v>0</v>
      </c>
      <c r="Y118" s="24">
        <f t="shared" ca="1" si="3"/>
        <v>0</v>
      </c>
      <c r="Z118" s="20">
        <f t="shared" ca="1" si="4"/>
        <v>14502</v>
      </c>
      <c r="AA118" s="20"/>
      <c r="AB118" s="24">
        <f ca="1">IFERROR(__xludf.DUMMYFUNCTION("""COMPUTED_VALUE"""),14502)</f>
        <v>14502</v>
      </c>
      <c r="AC118" s="20"/>
      <c r="AD118" s="94">
        <f t="shared" ca="1" si="5"/>
        <v>1</v>
      </c>
      <c r="AE118" s="20"/>
      <c r="AF118" s="20"/>
      <c r="AG118" s="20"/>
      <c r="AH118" s="20"/>
      <c r="AI118" s="20"/>
      <c r="AJ118" s="20"/>
      <c r="AK118" s="20"/>
      <c r="AL118" s="20"/>
      <c r="AM118" s="20"/>
      <c r="AN118" s="20"/>
      <c r="AO118" s="20"/>
      <c r="AP118" s="20"/>
      <c r="AQ118" s="20"/>
      <c r="AR118" s="20"/>
      <c r="AS118" s="20"/>
      <c r="AT118" s="20"/>
    </row>
    <row r="119" spans="1:46" ht="72" x14ac:dyDescent="0.2">
      <c r="A119" s="24" t="str">
        <f ca="1">IFERROR(__xludf.DUMMYFUNCTION("""COMPUTED_VALUE"""),"только бмо, завершено")</f>
        <v>только бмо, завершено</v>
      </c>
      <c r="B119" s="93"/>
      <c r="C11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9" s="20" t="str">
        <f ca="1">IFERROR(__xludf.DUMMYFUNCTION("""COMPUTED_VALUE"""),"МинЖКХ")</f>
        <v>МинЖКХ</v>
      </c>
      <c r="E119" s="20" t="str">
        <f ca="1">IFERROR(__xludf.DUMMYFUNCTION("""COMPUTED_VALUE"""),"Реконструкция  ВЗУ №5 с установкой станции водоподготовки, г. Фрязино, пл. Введенского, дом 1, стр. 1   (ПИР)                                            ")</f>
        <v xml:space="preserve">Реконструкция  ВЗУ №5 с установкой станции водоподготовки, г. Фрязино, пл. Введенского, дом 1, стр. 1   (ПИР)                                            </v>
      </c>
      <c r="F119" s="20" t="str">
        <f ca="1">IFERROR(__xludf.DUMMYFUNCTION("""COMPUTED_VALUE"""),"ПИР")</f>
        <v>ПИР</v>
      </c>
      <c r="G119" s="20" t="str">
        <f ca="1">IFERROR(__xludf.DUMMYFUNCTION("""COMPUTED_VALUE"""),"г.о. Фрязино")</f>
        <v>г.о. Фрязино</v>
      </c>
      <c r="H119" s="20">
        <f ca="1">IFERROR(__xludf.DUMMYFUNCTION("""COMPUTED_VALUE"""),2020)</f>
        <v>2020</v>
      </c>
      <c r="I119" s="20" t="str">
        <f ca="1">IFERROR(__xludf.DUMMYFUNCTION("""COMPUTED_VALUE"""),"10 1 02 64090")</f>
        <v>10 1 02 64090</v>
      </c>
      <c r="J119" s="20">
        <f ca="1">IFERROR(__xludf.DUMMYFUNCTION("""COMPUTED_VALUE"""),522)</f>
        <v>522</v>
      </c>
      <c r="K119" s="24">
        <f t="shared" ca="1" si="1"/>
        <v>12850</v>
      </c>
      <c r="L119" s="24">
        <f ca="1">IFERROR(__xludf.DUMMYFUNCTION("""COMPUTED_VALUE"""),12593)</f>
        <v>12593</v>
      </c>
      <c r="M119" s="24">
        <f ca="1">IFERROR(__xludf.DUMMYFUNCTION("""COMPUTED_VALUE"""),0)</f>
        <v>0</v>
      </c>
      <c r="N119" s="24">
        <f ca="1">IFERROR(__xludf.DUMMYFUNCTION("""COMPUTED_VALUE"""),0)</f>
        <v>0</v>
      </c>
      <c r="O119" s="24">
        <f ca="1">IFERROR(__xludf.DUMMYFUNCTION("""COMPUTED_VALUE"""),257)</f>
        <v>257</v>
      </c>
      <c r="P119" s="24">
        <f t="shared" ca="1" si="2"/>
        <v>12593</v>
      </c>
      <c r="Q119" s="23">
        <f ca="1">IFERROR(__xludf.DUMMYFUNCTION("""COMPUTED_VALUE"""),1)</f>
        <v>1</v>
      </c>
      <c r="R119" s="20"/>
      <c r="S119" s="24">
        <f ca="1">IFERROR(__xludf.DUMMYFUNCTION("""COMPUTED_VALUE"""),12850)</f>
        <v>12850</v>
      </c>
      <c r="T119" s="24">
        <f ca="1">IFERROR(__xludf.DUMMYFUNCTION("""COMPUTED_VALUE"""),0)</f>
        <v>0</v>
      </c>
      <c r="U119" s="24">
        <f ca="1">IFERROR(__xludf.DUMMYFUNCTION("""COMPUTED_VALUE"""),0)</f>
        <v>0</v>
      </c>
      <c r="V119" s="24">
        <f ca="1">IFERROR(__xludf.DUMMYFUNCTION("""COMPUTED_VALUE"""),0)</f>
        <v>0</v>
      </c>
      <c r="W119" s="24">
        <f ca="1">IFERROR(__xludf.DUMMYFUNCTION("""COMPUTED_VALUE"""),0)</f>
        <v>0</v>
      </c>
      <c r="X119" s="24">
        <f ca="1">IFERROR(__xludf.DUMMYFUNCTION("""COMPUTED_VALUE"""),0)</f>
        <v>0</v>
      </c>
      <c r="Y119" s="24">
        <f t="shared" ca="1" si="3"/>
        <v>0</v>
      </c>
      <c r="Z119" s="20">
        <f t="shared" ca="1" si="4"/>
        <v>12593</v>
      </c>
      <c r="AA119" s="20"/>
      <c r="AB119" s="24">
        <f ca="1">IFERROR(__xludf.DUMMYFUNCTION("""COMPUTED_VALUE"""),12593)</f>
        <v>12593</v>
      </c>
      <c r="AC119" s="20"/>
      <c r="AD119" s="94">
        <f t="shared" ca="1" si="5"/>
        <v>1</v>
      </c>
      <c r="AE119" s="20"/>
      <c r="AF119" s="20"/>
      <c r="AG119" s="20"/>
      <c r="AH119" s="20"/>
      <c r="AI119" s="20"/>
      <c r="AJ119" s="20"/>
      <c r="AK119" s="20"/>
      <c r="AL119" s="20"/>
      <c r="AM119" s="20"/>
      <c r="AN119" s="20"/>
      <c r="AO119" s="20"/>
      <c r="AP119" s="20"/>
      <c r="AQ119" s="20"/>
      <c r="AR119" s="20"/>
      <c r="AS119" s="20"/>
      <c r="AT119" s="20"/>
    </row>
    <row r="120" spans="1:46" ht="108" x14ac:dyDescent="0.2">
      <c r="A120" s="20" t="str">
        <f ca="1">IFERROR(__xludf.DUMMYFUNCTION("""COMPUTED_VALUE"""),"""Отклонена заявка на сумму 154,11 тыс. рублей.
Администарцией направлено письмо от 19.11.2020 № 161-01Исх-17190 о переносе лимитов на 2021 год.""")</f>
        <v>"Отклонена заявка на сумму 154,11 тыс. рублей.
Администарцией направлено письмо от 19.11.2020 № 161-01Исх-17190 о переносе лимитов на 2021 год."</v>
      </c>
      <c r="B120" s="93"/>
      <c r="C12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0" s="20" t="str">
        <f ca="1">IFERROR(__xludf.DUMMYFUNCTION("""COMPUTED_VALUE"""),"МинЖКХ")</f>
        <v>МинЖКХ</v>
      </c>
      <c r="E120" s="20" t="str">
        <f ca="1">IFERROR(__xludf.DUMMYFUNCTION("""COMPUTED_VALUE"""),"Строительство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f>
        <v>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v>
      </c>
      <c r="F120" s="20" t="str">
        <f ca="1">IFERROR(__xludf.DUMMYFUNCTION("""COMPUTED_VALUE"""),"СМР")</f>
        <v>СМР</v>
      </c>
      <c r="G120" s="20" t="str">
        <f ca="1">IFERROR(__xludf.DUMMYFUNCTION("""COMPUTED_VALUE"""),"г.о. Раменский")</f>
        <v>г.о. Раменский</v>
      </c>
      <c r="H120" s="20" t="str">
        <f ca="1">IFERROR(__xludf.DUMMYFUNCTION("""COMPUTED_VALUE"""),"2020-2021")</f>
        <v>2020-2021</v>
      </c>
      <c r="I120" s="20" t="str">
        <f ca="1">IFERROR(__xludf.DUMMYFUNCTION("""COMPUTED_VALUE"""),"10 1 02 64090")</f>
        <v>10 1 02 64090</v>
      </c>
      <c r="J120" s="20">
        <f ca="1">IFERROR(__xludf.DUMMYFUNCTION("""COMPUTED_VALUE"""),522)</f>
        <v>522</v>
      </c>
      <c r="K120" s="24">
        <f t="shared" ca="1" si="1"/>
        <v>37506.51</v>
      </c>
      <c r="L120" s="24">
        <f ca="1">IFERROR(__xludf.DUMMYFUNCTION("""COMPUTED_VALUE"""),35631)</f>
        <v>35631</v>
      </c>
      <c r="M120" s="24">
        <f ca="1">IFERROR(__xludf.DUMMYFUNCTION("""COMPUTED_VALUE"""),0)</f>
        <v>0</v>
      </c>
      <c r="N120" s="24">
        <f ca="1">IFERROR(__xludf.DUMMYFUNCTION("""COMPUTED_VALUE"""),0)</f>
        <v>0</v>
      </c>
      <c r="O120" s="24">
        <f ca="1">IFERROR(__xludf.DUMMYFUNCTION("""COMPUTED_VALUE"""),1875.51)</f>
        <v>1875.51</v>
      </c>
      <c r="P120" s="24">
        <f t="shared" ca="1" si="2"/>
        <v>35631</v>
      </c>
      <c r="Q120" s="23">
        <f ca="1">IFERROR(__xludf.DUMMYFUNCTION("""COMPUTED_VALUE"""),0.31)</f>
        <v>0.31</v>
      </c>
      <c r="R120" s="20"/>
      <c r="S120" s="24">
        <f ca="1">IFERROR(__xludf.DUMMYFUNCTION("""COMPUTED_VALUE"""),15852.89)</f>
        <v>15852.89</v>
      </c>
      <c r="T120" s="24">
        <f ca="1">IFERROR(__xludf.DUMMYFUNCTION("""COMPUTED_VALUE"""),21653.62)</f>
        <v>21653.62</v>
      </c>
      <c r="U120" s="24">
        <f ca="1">IFERROR(__xludf.DUMMYFUNCTION("""COMPUTED_VALUE"""),19778.11)</f>
        <v>19778.11</v>
      </c>
      <c r="V120" s="24">
        <f ca="1">IFERROR(__xludf.DUMMYFUNCTION("""COMPUTED_VALUE"""),0)</f>
        <v>0</v>
      </c>
      <c r="W120" s="24">
        <f ca="1">IFERROR(__xludf.DUMMYFUNCTION("""COMPUTED_VALUE"""),0)</f>
        <v>0</v>
      </c>
      <c r="X120" s="24">
        <f ca="1">IFERROR(__xludf.DUMMYFUNCTION("""COMPUTED_VALUE"""),1875.51)</f>
        <v>1875.51</v>
      </c>
      <c r="Y120" s="24">
        <f t="shared" ca="1" si="3"/>
        <v>19778.11</v>
      </c>
      <c r="Z120" s="20">
        <f t="shared" ca="1" si="4"/>
        <v>15852.89</v>
      </c>
      <c r="AA120" s="20"/>
      <c r="AB120" s="24">
        <f ca="1">IFERROR(__xludf.DUMMYFUNCTION("""COMPUTED_VALUE"""),15852.89)</f>
        <v>15852.89</v>
      </c>
      <c r="AC120" s="20"/>
      <c r="AD120" s="94">
        <f t="shared" ca="1" si="5"/>
        <v>0.44491846987174088</v>
      </c>
      <c r="AE120" s="20"/>
      <c r="AF120" s="20"/>
      <c r="AG120" s="20"/>
      <c r="AH120" s="20"/>
      <c r="AI120" s="20"/>
      <c r="AJ120" s="20"/>
      <c r="AK120" s="20"/>
      <c r="AL120" s="20"/>
      <c r="AM120" s="20"/>
      <c r="AN120" s="20"/>
      <c r="AO120" s="20"/>
      <c r="AP120" s="20"/>
      <c r="AQ120" s="20"/>
      <c r="AR120" s="20"/>
      <c r="AS120" s="20"/>
      <c r="AT120" s="20"/>
    </row>
    <row r="121" spans="1:46" ht="72" x14ac:dyDescent="0.2">
      <c r="A121" s="20" t="str">
        <f ca="1">IFERROR(__xludf.DUMMYFUNCTION("""COMPUTED_VALUE"""),"""Необходима корректировка проекта в части включения укомплектования трансформаторной подстанции.  
 Низкий процент освоения. Повторно направлена заявка с учетом замечаний на сумму 9,3 млн. руб.""")</f>
        <v>"Необходима корректировка проекта в части включения укомплектования трансформаторной подстанции.  
 Низкий процент освоения. Повторно направлена заявка с учетом замечаний на сумму 9,3 млн. руб."</v>
      </c>
      <c r="B121" s="93"/>
      <c r="C12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1" s="20" t="str">
        <f ca="1">IFERROR(__xludf.DUMMYFUNCTION("""COMPUTED_VALUE"""),"МинЖКХ")</f>
        <v>МинЖКХ</v>
      </c>
      <c r="E121" s="20" t="str">
        <f ca="1">IFERROR(__xludf.DUMMYFUNCTION("""COMPUTED_VALUE"""),"Реконструкция и модернизация комплекса сооружений водопроводной насосной станции №5 (ВЗУ№5) ,  г. Жуковский")</f>
        <v>Реконструкция и модернизация комплекса сооружений водопроводной насосной станции №5 (ВЗУ№5) ,  г. Жуковский</v>
      </c>
      <c r="F121" s="20" t="str">
        <f ca="1">IFERROR(__xludf.DUMMYFUNCTION("""COMPUTED_VALUE"""),"СМР")</f>
        <v>СМР</v>
      </c>
      <c r="G121" s="20" t="str">
        <f ca="1">IFERROR(__xludf.DUMMYFUNCTION("""COMPUTED_VALUE"""),"г.о. Жуковский")</f>
        <v>г.о. Жуковский</v>
      </c>
      <c r="H121" s="20" t="str">
        <f ca="1">IFERROR(__xludf.DUMMYFUNCTION("""COMPUTED_VALUE"""),"2020-2022")</f>
        <v>2020-2022</v>
      </c>
      <c r="I121" s="20" t="str">
        <f ca="1">IFERROR(__xludf.DUMMYFUNCTION("""COMPUTED_VALUE"""),"10 1 02 64090")</f>
        <v>10 1 02 64090</v>
      </c>
      <c r="J121" s="20">
        <f ca="1">IFERROR(__xludf.DUMMYFUNCTION("""COMPUTED_VALUE"""),522)</f>
        <v>522</v>
      </c>
      <c r="K121" s="24">
        <f t="shared" ca="1" si="1"/>
        <v>62851.58</v>
      </c>
      <c r="L121" s="24">
        <f ca="1">IFERROR(__xludf.DUMMYFUNCTION("""COMPUTED_VALUE"""),59709)</f>
        <v>59709</v>
      </c>
      <c r="M121" s="24">
        <f ca="1">IFERROR(__xludf.DUMMYFUNCTION("""COMPUTED_VALUE"""),0)</f>
        <v>0</v>
      </c>
      <c r="N121" s="24">
        <f ca="1">IFERROR(__xludf.DUMMYFUNCTION("""COMPUTED_VALUE"""),0)</f>
        <v>0</v>
      </c>
      <c r="O121" s="24">
        <f ca="1">IFERROR(__xludf.DUMMYFUNCTION("""COMPUTED_VALUE"""),3142.58)</f>
        <v>3142.58</v>
      </c>
      <c r="P121" s="24">
        <f t="shared" ca="1" si="2"/>
        <v>59709</v>
      </c>
      <c r="Q121" s="23">
        <f ca="1">IFERROR(__xludf.DUMMYFUNCTION("""COMPUTED_VALUE"""),0.657)</f>
        <v>0.65700000000000003</v>
      </c>
      <c r="R121" s="20"/>
      <c r="S121" s="24">
        <f ca="1">IFERROR(__xludf.DUMMYFUNCTION("""COMPUTED_VALUE"""),59359.06)</f>
        <v>59359.06</v>
      </c>
      <c r="T121" s="24">
        <f ca="1">IFERROR(__xludf.DUMMYFUNCTION("""COMPUTED_VALUE"""),3492.52)</f>
        <v>3492.52</v>
      </c>
      <c r="U121" s="24">
        <f ca="1">IFERROR(__xludf.DUMMYFUNCTION("""COMPUTED_VALUE"""),349.940000000002)</f>
        <v>349.94000000000199</v>
      </c>
      <c r="V121" s="24">
        <f ca="1">IFERROR(__xludf.DUMMYFUNCTION("""COMPUTED_VALUE"""),0)</f>
        <v>0</v>
      </c>
      <c r="W121" s="24">
        <f ca="1">IFERROR(__xludf.DUMMYFUNCTION("""COMPUTED_VALUE"""),0)</f>
        <v>0</v>
      </c>
      <c r="X121" s="24">
        <f ca="1">IFERROR(__xludf.DUMMYFUNCTION("""COMPUTED_VALUE"""),3142.58)</f>
        <v>3142.58</v>
      </c>
      <c r="Y121" s="24">
        <f t="shared" ca="1" si="3"/>
        <v>349.94000000000199</v>
      </c>
      <c r="Z121" s="20">
        <f t="shared" ca="1" si="4"/>
        <v>59359.06</v>
      </c>
      <c r="AA121" s="20"/>
      <c r="AB121" s="24">
        <f ca="1">IFERROR(__xludf.DUMMYFUNCTION("""COMPUTED_VALUE"""),59359.06)</f>
        <v>59359.06</v>
      </c>
      <c r="AC121" s="20"/>
      <c r="AD121" s="94">
        <f t="shared" ca="1" si="5"/>
        <v>0.99413924199031967</v>
      </c>
      <c r="AE121" s="20"/>
      <c r="AF121" s="20"/>
      <c r="AG121" s="20"/>
      <c r="AH121" s="20"/>
      <c r="AI121" s="20"/>
      <c r="AJ121" s="20"/>
      <c r="AK121" s="20"/>
      <c r="AL121" s="20"/>
      <c r="AM121" s="20"/>
      <c r="AN121" s="20"/>
      <c r="AO121" s="20"/>
      <c r="AP121" s="20"/>
      <c r="AQ121" s="20"/>
      <c r="AR121" s="20"/>
      <c r="AS121" s="20"/>
      <c r="AT121" s="20"/>
    </row>
    <row r="122" spans="1:46" ht="96" x14ac:dyDescent="0.2">
      <c r="A122" s="20"/>
      <c r="B122" s="95"/>
      <c r="C12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2" s="20" t="str">
        <f ca="1">IFERROR(__xludf.DUMMYFUNCTION("""COMPUTED_VALUE"""),"МинЖКХ")</f>
        <v>МинЖКХ</v>
      </c>
      <c r="E122" s="20" t="str">
        <f ca="1">IFERROR(__xludf.DUMMYFUNCTION("""COMPUTED_VALUE"""),"Строительство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f>
        <v>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v>
      </c>
      <c r="F122" s="20" t="str">
        <f ca="1">IFERROR(__xludf.DUMMYFUNCTION("""COMPUTED_VALUE"""),"СМР")</f>
        <v>СМР</v>
      </c>
      <c r="G122" s="20" t="str">
        <f ca="1">IFERROR(__xludf.DUMMYFUNCTION("""COMPUTED_VALUE"""),"г.о. Дмитровский")</f>
        <v>г.о. Дмитровский</v>
      </c>
      <c r="H122" s="20">
        <f ca="1">IFERROR(__xludf.DUMMYFUNCTION("""COMPUTED_VALUE"""),2020)</f>
        <v>2020</v>
      </c>
      <c r="I122" s="20" t="str">
        <f ca="1">IFERROR(__xludf.DUMMYFUNCTION("""COMPUTED_VALUE"""),"10 1 02 64090")</f>
        <v>10 1 02 64090</v>
      </c>
      <c r="J122" s="20">
        <f ca="1">IFERROR(__xludf.DUMMYFUNCTION("""COMPUTED_VALUE"""),522)</f>
        <v>522</v>
      </c>
      <c r="K122" s="24">
        <f t="shared" ca="1" si="1"/>
        <v>18265.64</v>
      </c>
      <c r="L122" s="24">
        <f ca="1">IFERROR(__xludf.DUMMYFUNCTION("""COMPUTED_VALUE"""),14941)</f>
        <v>14941</v>
      </c>
      <c r="M122" s="24">
        <f ca="1">IFERROR(__xludf.DUMMYFUNCTION("""COMPUTED_VALUE"""),0)</f>
        <v>0</v>
      </c>
      <c r="N122" s="24">
        <f ca="1">IFERROR(__xludf.DUMMYFUNCTION("""COMPUTED_VALUE"""),0)</f>
        <v>0</v>
      </c>
      <c r="O122" s="24">
        <f ca="1">IFERROR(__xludf.DUMMYFUNCTION("""COMPUTED_VALUE"""),3324.64)</f>
        <v>3324.64</v>
      </c>
      <c r="P122" s="24">
        <f t="shared" ca="1" si="2"/>
        <v>14941</v>
      </c>
      <c r="Q122" s="23">
        <f ca="1">IFERROR(__xludf.DUMMYFUNCTION("""COMPUTED_VALUE"""),1)</f>
        <v>1</v>
      </c>
      <c r="R122" s="20"/>
      <c r="S122" s="24">
        <f ca="1">IFERROR(__xludf.DUMMYFUNCTION("""COMPUTED_VALUE"""),13172.33)</f>
        <v>13172.33</v>
      </c>
      <c r="T122" s="24">
        <f ca="1">IFERROR(__xludf.DUMMYFUNCTION("""COMPUTED_VALUE"""),5093.30999999999)</f>
        <v>5093.3099999999904</v>
      </c>
      <c r="U122" s="24">
        <f ca="1">IFERROR(__xludf.DUMMYFUNCTION("""COMPUTED_VALUE"""),1768.67)</f>
        <v>1768.67</v>
      </c>
      <c r="V122" s="24">
        <f ca="1">IFERROR(__xludf.DUMMYFUNCTION("""COMPUTED_VALUE"""),0)</f>
        <v>0</v>
      </c>
      <c r="W122" s="24">
        <f ca="1">IFERROR(__xludf.DUMMYFUNCTION("""COMPUTED_VALUE"""),0)</f>
        <v>0</v>
      </c>
      <c r="X122" s="24">
        <f ca="1">IFERROR(__xludf.DUMMYFUNCTION("""COMPUTED_VALUE"""),3324.64)</f>
        <v>3324.64</v>
      </c>
      <c r="Y122" s="24">
        <f t="shared" ca="1" si="3"/>
        <v>1768.67</v>
      </c>
      <c r="Z122" s="20">
        <f t="shared" ca="1" si="4"/>
        <v>13172.33</v>
      </c>
      <c r="AA122" s="20"/>
      <c r="AB122" s="24">
        <f ca="1">IFERROR(__xludf.DUMMYFUNCTION("""COMPUTED_VALUE"""),13172.33)</f>
        <v>13172.33</v>
      </c>
      <c r="AC122" s="20"/>
      <c r="AD122" s="94">
        <f t="shared" ca="1" si="5"/>
        <v>0.8816230506659527</v>
      </c>
      <c r="AE122" s="20"/>
      <c r="AF122" s="20"/>
      <c r="AG122" s="20"/>
      <c r="AH122" s="20"/>
      <c r="AI122" s="20"/>
      <c r="AJ122" s="20"/>
      <c r="AK122" s="20"/>
      <c r="AL122" s="20"/>
      <c r="AM122" s="20"/>
      <c r="AN122" s="20"/>
      <c r="AO122" s="20"/>
      <c r="AP122" s="20"/>
      <c r="AQ122" s="20"/>
      <c r="AR122" s="20"/>
      <c r="AS122" s="20"/>
      <c r="AT122" s="20"/>
    </row>
    <row r="123" spans="1:46" ht="72" hidden="1" x14ac:dyDescent="0.2">
      <c r="A123" s="67"/>
      <c r="B123" s="96"/>
      <c r="C12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3" s="20" t="str">
        <f ca="1">IFERROR(__xludf.DUMMYFUNCTION("""COMPUTED_VALUE"""),"МинЖКХ")</f>
        <v>МинЖКХ</v>
      </c>
      <c r="E123" s="20" t="str">
        <f ca="1">IFERROR(__xludf.DUMMYFUNCTION("""COMPUTED_VALUE"""),"Строительство 2х скважин в п.Новый Снопок (в т.ч.  ПИР и разрешительная документация)")</f>
        <v>Строительство 2х скважин в п.Новый Снопок (в т.ч.  ПИР и разрешительная документация)</v>
      </c>
      <c r="F123" s="67" t="str">
        <f ca="1">IFERROR(__xludf.DUMMYFUNCTION("""COMPUTED_VALUE"""),"СМР")</f>
        <v>СМР</v>
      </c>
      <c r="G123" s="67" t="str">
        <f ca="1">IFERROR(__xludf.DUMMYFUNCTION("""COMPUTED_VALUE"""),"г.о. Орехово-Зуево")</f>
        <v>г.о. Орехово-Зуево</v>
      </c>
      <c r="H123" s="67">
        <f ca="1">IFERROR(__xludf.DUMMYFUNCTION("""COMPUTED_VALUE"""),2023)</f>
        <v>2023</v>
      </c>
      <c r="I123" s="67" t="str">
        <f ca="1">IFERROR(__xludf.DUMMYFUNCTION("""COMPUTED_VALUE"""),"10 1 02 64090")</f>
        <v>10 1 02 64090</v>
      </c>
      <c r="J123" s="67">
        <f ca="1">IFERROR(__xludf.DUMMYFUNCTION("""COMPUTED_VALUE"""),522)</f>
        <v>522</v>
      </c>
      <c r="K123" s="97">
        <f t="shared" ca="1" si="1"/>
        <v>0</v>
      </c>
      <c r="L123" s="97">
        <f ca="1">IFERROR(__xludf.DUMMYFUNCTION("""COMPUTED_VALUE"""),0)</f>
        <v>0</v>
      </c>
      <c r="M123" s="97">
        <f ca="1">IFERROR(__xludf.DUMMYFUNCTION("""COMPUTED_VALUE"""),0)</f>
        <v>0</v>
      </c>
      <c r="N123" s="97">
        <f ca="1">IFERROR(__xludf.DUMMYFUNCTION("""COMPUTED_VALUE"""),0)</f>
        <v>0</v>
      </c>
      <c r="O123" s="97">
        <f ca="1">IFERROR(__xludf.DUMMYFUNCTION("""COMPUTED_VALUE"""),0)</f>
        <v>0</v>
      </c>
      <c r="P123" s="97">
        <f t="shared" ca="1" si="2"/>
        <v>0</v>
      </c>
      <c r="Q123" s="98">
        <f ca="1">IFERROR(__xludf.DUMMYFUNCTION("""COMPUTED_VALUE"""),0)</f>
        <v>0</v>
      </c>
      <c r="R123" s="67"/>
      <c r="S123" s="97">
        <f ca="1">IFERROR(__xludf.DUMMYFUNCTION("""COMPUTED_VALUE"""),0)</f>
        <v>0</v>
      </c>
      <c r="T123" s="97">
        <f ca="1">IFERROR(__xludf.DUMMYFUNCTION("""COMPUTED_VALUE"""),0)</f>
        <v>0</v>
      </c>
      <c r="U123" s="97">
        <f ca="1">IFERROR(__xludf.DUMMYFUNCTION("""COMPUTED_VALUE"""),0)</f>
        <v>0</v>
      </c>
      <c r="V123" s="97">
        <f ca="1">IFERROR(__xludf.DUMMYFUNCTION("""COMPUTED_VALUE"""),0)</f>
        <v>0</v>
      </c>
      <c r="W123" s="97">
        <f ca="1">IFERROR(__xludf.DUMMYFUNCTION("""COMPUTED_VALUE"""),0)</f>
        <v>0</v>
      </c>
      <c r="X123" s="97">
        <f ca="1">IFERROR(__xludf.DUMMYFUNCTION("""COMPUTED_VALUE"""),0)</f>
        <v>0</v>
      </c>
      <c r="Y123" s="97">
        <f t="shared" ca="1" si="3"/>
        <v>0</v>
      </c>
      <c r="Z123" s="67">
        <f t="shared" si="4"/>
        <v>0</v>
      </c>
      <c r="AA123" s="67"/>
      <c r="AB123" s="67"/>
      <c r="AC123" s="67"/>
      <c r="AD123" s="99" t="e">
        <f t="shared" ca="1" si="5"/>
        <v>#DIV/0!</v>
      </c>
      <c r="AE123" s="67"/>
      <c r="AF123" s="67"/>
      <c r="AG123" s="67"/>
      <c r="AH123" s="67"/>
      <c r="AI123" s="67"/>
      <c r="AJ123" s="67"/>
      <c r="AK123" s="67"/>
      <c r="AL123" s="67"/>
      <c r="AM123" s="67"/>
      <c r="AN123" s="67"/>
      <c r="AO123" s="67"/>
      <c r="AP123" s="67"/>
      <c r="AQ123" s="67"/>
      <c r="AR123" s="67"/>
      <c r="AS123" s="67"/>
      <c r="AT123" s="67"/>
    </row>
    <row r="124" spans="1:46" ht="72" hidden="1" x14ac:dyDescent="0.2">
      <c r="A124" s="67"/>
      <c r="B124" s="96"/>
      <c r="C12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4" s="20" t="str">
        <f ca="1">IFERROR(__xludf.DUMMYFUNCTION("""COMPUTED_VALUE"""),"МинЖКХ")</f>
        <v>МинЖКХ</v>
      </c>
      <c r="E124" s="20" t="str">
        <f ca="1">IFERROR(__xludf.DUMMYFUNCTION("""COMPUTED_VALUE"""),"Строительство 2х скважин  в п.Озерецкий (в т.ч. ПИР и разрешительная документация)")</f>
        <v>Строительство 2х скважин  в п.Озерецкий (в т.ч. ПИР и разрешительная документация)</v>
      </c>
      <c r="F124" s="67" t="str">
        <f ca="1">IFERROR(__xludf.DUMMYFUNCTION("""COMPUTED_VALUE"""),"СМР")</f>
        <v>СМР</v>
      </c>
      <c r="G124" s="67" t="str">
        <f ca="1">IFERROR(__xludf.DUMMYFUNCTION("""COMPUTED_VALUE"""),"г.о. Орехово-Зуево")</f>
        <v>г.о. Орехово-Зуево</v>
      </c>
      <c r="H124" s="67">
        <f ca="1">IFERROR(__xludf.DUMMYFUNCTION("""COMPUTED_VALUE"""),2023)</f>
        <v>2023</v>
      </c>
      <c r="I124" s="67" t="str">
        <f ca="1">IFERROR(__xludf.DUMMYFUNCTION("""COMPUTED_VALUE"""),"10 1 02 64090")</f>
        <v>10 1 02 64090</v>
      </c>
      <c r="J124" s="67">
        <f ca="1">IFERROR(__xludf.DUMMYFUNCTION("""COMPUTED_VALUE"""),522)</f>
        <v>522</v>
      </c>
      <c r="K124" s="97">
        <f t="shared" ca="1" si="1"/>
        <v>0</v>
      </c>
      <c r="L124" s="97">
        <f ca="1">IFERROR(__xludf.DUMMYFUNCTION("""COMPUTED_VALUE"""),0)</f>
        <v>0</v>
      </c>
      <c r="M124" s="97">
        <f ca="1">IFERROR(__xludf.DUMMYFUNCTION("""COMPUTED_VALUE"""),0)</f>
        <v>0</v>
      </c>
      <c r="N124" s="97">
        <f ca="1">IFERROR(__xludf.DUMMYFUNCTION("""COMPUTED_VALUE"""),0)</f>
        <v>0</v>
      </c>
      <c r="O124" s="97">
        <f ca="1">IFERROR(__xludf.DUMMYFUNCTION("""COMPUTED_VALUE"""),0)</f>
        <v>0</v>
      </c>
      <c r="P124" s="97">
        <f t="shared" ca="1" si="2"/>
        <v>0</v>
      </c>
      <c r="Q124" s="98">
        <f ca="1">IFERROR(__xludf.DUMMYFUNCTION("""COMPUTED_VALUE"""),0)</f>
        <v>0</v>
      </c>
      <c r="R124" s="67"/>
      <c r="S124" s="97">
        <f ca="1">IFERROR(__xludf.DUMMYFUNCTION("""COMPUTED_VALUE"""),0)</f>
        <v>0</v>
      </c>
      <c r="T124" s="97">
        <f ca="1">IFERROR(__xludf.DUMMYFUNCTION("""COMPUTED_VALUE"""),0)</f>
        <v>0</v>
      </c>
      <c r="U124" s="97">
        <f ca="1">IFERROR(__xludf.DUMMYFUNCTION("""COMPUTED_VALUE"""),0)</f>
        <v>0</v>
      </c>
      <c r="V124" s="97">
        <f ca="1">IFERROR(__xludf.DUMMYFUNCTION("""COMPUTED_VALUE"""),0)</f>
        <v>0</v>
      </c>
      <c r="W124" s="97">
        <f ca="1">IFERROR(__xludf.DUMMYFUNCTION("""COMPUTED_VALUE"""),0)</f>
        <v>0</v>
      </c>
      <c r="X124" s="97">
        <f ca="1">IFERROR(__xludf.DUMMYFUNCTION("""COMPUTED_VALUE"""),0)</f>
        <v>0</v>
      </c>
      <c r="Y124" s="97">
        <f t="shared" ca="1" si="3"/>
        <v>0</v>
      </c>
      <c r="Z124" s="67">
        <f t="shared" si="4"/>
        <v>0</v>
      </c>
      <c r="AA124" s="67"/>
      <c r="AB124" s="67"/>
      <c r="AC124" s="67"/>
      <c r="AD124" s="99" t="e">
        <f t="shared" ca="1" si="5"/>
        <v>#DIV/0!</v>
      </c>
      <c r="AE124" s="67"/>
      <c r="AF124" s="67"/>
      <c r="AG124" s="67"/>
      <c r="AH124" s="67"/>
      <c r="AI124" s="67"/>
      <c r="AJ124" s="67"/>
      <c r="AK124" s="67"/>
      <c r="AL124" s="67"/>
      <c r="AM124" s="67"/>
      <c r="AN124" s="67"/>
      <c r="AO124" s="67"/>
      <c r="AP124" s="67"/>
      <c r="AQ124" s="67"/>
      <c r="AR124" s="67"/>
      <c r="AS124" s="67"/>
      <c r="AT124" s="67"/>
    </row>
    <row r="125" spans="1:46" ht="72" hidden="1" x14ac:dyDescent="0.2">
      <c r="A125" s="67"/>
      <c r="B125" s="96"/>
      <c r="C12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5" s="20" t="str">
        <f ca="1">IFERROR(__xludf.DUMMYFUNCTION("""COMPUTED_VALUE"""),"МинЖКХ")</f>
        <v>МинЖКХ</v>
      </c>
      <c r="E125" s="20" t="str">
        <f ca="1">IFERROR(__xludf.DUMMYFUNCTION("""COMPUTED_VALUE"""),"Строительство 2х скважин в п.Малая Дубна (в т.ч.  ПИР и разрешительная документация)")</f>
        <v>Строительство 2х скважин в п.Малая Дубна (в т.ч.  ПИР и разрешительная документация)</v>
      </c>
      <c r="F125" s="67" t="str">
        <f ca="1">IFERROR(__xludf.DUMMYFUNCTION("""COMPUTED_VALUE"""),"СМР")</f>
        <v>СМР</v>
      </c>
      <c r="G125" s="67" t="str">
        <f ca="1">IFERROR(__xludf.DUMMYFUNCTION("""COMPUTED_VALUE"""),"г.о. Орехово-Зуево")</f>
        <v>г.о. Орехово-Зуево</v>
      </c>
      <c r="H125" s="67">
        <f ca="1">IFERROR(__xludf.DUMMYFUNCTION("""COMPUTED_VALUE"""),2023)</f>
        <v>2023</v>
      </c>
      <c r="I125" s="67" t="str">
        <f ca="1">IFERROR(__xludf.DUMMYFUNCTION("""COMPUTED_VALUE"""),"10 1 02 64090")</f>
        <v>10 1 02 64090</v>
      </c>
      <c r="J125" s="67">
        <f ca="1">IFERROR(__xludf.DUMMYFUNCTION("""COMPUTED_VALUE"""),522)</f>
        <v>522</v>
      </c>
      <c r="K125" s="97">
        <f t="shared" ca="1" si="1"/>
        <v>0</v>
      </c>
      <c r="L125" s="97">
        <f ca="1">IFERROR(__xludf.DUMMYFUNCTION("""COMPUTED_VALUE"""),0)</f>
        <v>0</v>
      </c>
      <c r="M125" s="97">
        <f ca="1">IFERROR(__xludf.DUMMYFUNCTION("""COMPUTED_VALUE"""),0)</f>
        <v>0</v>
      </c>
      <c r="N125" s="97">
        <f ca="1">IFERROR(__xludf.DUMMYFUNCTION("""COMPUTED_VALUE"""),0)</f>
        <v>0</v>
      </c>
      <c r="O125" s="97">
        <f ca="1">IFERROR(__xludf.DUMMYFUNCTION("""COMPUTED_VALUE"""),0)</f>
        <v>0</v>
      </c>
      <c r="P125" s="97">
        <f t="shared" ca="1" si="2"/>
        <v>0</v>
      </c>
      <c r="Q125" s="98">
        <f ca="1">IFERROR(__xludf.DUMMYFUNCTION("""COMPUTED_VALUE"""),0)</f>
        <v>0</v>
      </c>
      <c r="R125" s="67"/>
      <c r="S125" s="97">
        <f ca="1">IFERROR(__xludf.DUMMYFUNCTION("""COMPUTED_VALUE"""),0)</f>
        <v>0</v>
      </c>
      <c r="T125" s="97">
        <f ca="1">IFERROR(__xludf.DUMMYFUNCTION("""COMPUTED_VALUE"""),0)</f>
        <v>0</v>
      </c>
      <c r="U125" s="97">
        <f ca="1">IFERROR(__xludf.DUMMYFUNCTION("""COMPUTED_VALUE"""),0)</f>
        <v>0</v>
      </c>
      <c r="V125" s="97">
        <f ca="1">IFERROR(__xludf.DUMMYFUNCTION("""COMPUTED_VALUE"""),0)</f>
        <v>0</v>
      </c>
      <c r="W125" s="97">
        <f ca="1">IFERROR(__xludf.DUMMYFUNCTION("""COMPUTED_VALUE"""),0)</f>
        <v>0</v>
      </c>
      <c r="X125" s="97">
        <f ca="1">IFERROR(__xludf.DUMMYFUNCTION("""COMPUTED_VALUE"""),0)</f>
        <v>0</v>
      </c>
      <c r="Y125" s="97">
        <f t="shared" ca="1" si="3"/>
        <v>0</v>
      </c>
      <c r="Z125" s="67">
        <f t="shared" si="4"/>
        <v>0</v>
      </c>
      <c r="AA125" s="67"/>
      <c r="AB125" s="67"/>
      <c r="AC125" s="67"/>
      <c r="AD125" s="99" t="e">
        <f t="shared" ca="1" si="5"/>
        <v>#DIV/0!</v>
      </c>
      <c r="AE125" s="67"/>
      <c r="AF125" s="67"/>
      <c r="AG125" s="67"/>
      <c r="AH125" s="67"/>
      <c r="AI125" s="67"/>
      <c r="AJ125" s="67"/>
      <c r="AK125" s="67"/>
      <c r="AL125" s="67"/>
      <c r="AM125" s="67"/>
      <c r="AN125" s="67"/>
      <c r="AO125" s="67"/>
      <c r="AP125" s="67"/>
      <c r="AQ125" s="67"/>
      <c r="AR125" s="67"/>
      <c r="AS125" s="67"/>
      <c r="AT125" s="67"/>
    </row>
    <row r="126" spans="1:46" ht="72" hidden="1" x14ac:dyDescent="0.2">
      <c r="A126" s="67"/>
      <c r="B126" s="96"/>
      <c r="C1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6" s="20" t="str">
        <f ca="1">IFERROR(__xludf.DUMMYFUNCTION("""COMPUTED_VALUE"""),"МинЖКХ")</f>
        <v>МинЖКХ</v>
      </c>
      <c r="E126" s="20" t="str">
        <f ca="1">IFERROR(__xludf.DUMMYFUNCTION("""COMPUTED_VALUE"""),"Строительство 1 скважины в м. Крольчатник (в т.ч. ПИР и  разрешительная документация)")</f>
        <v>Строительство 1 скважины в м. Крольчатник (в т.ч. ПИР и  разрешительная документация)</v>
      </c>
      <c r="F126" s="67" t="str">
        <f ca="1">IFERROR(__xludf.DUMMYFUNCTION("""COMPUTED_VALUE"""),"СМР")</f>
        <v>СМР</v>
      </c>
      <c r="G126" s="67" t="str">
        <f ca="1">IFERROR(__xludf.DUMMYFUNCTION("""COMPUTED_VALUE"""),"г.о. Орехово-Зуево")</f>
        <v>г.о. Орехово-Зуево</v>
      </c>
      <c r="H126" s="67">
        <f ca="1">IFERROR(__xludf.DUMMYFUNCTION("""COMPUTED_VALUE"""),2023)</f>
        <v>2023</v>
      </c>
      <c r="I126" s="67" t="str">
        <f ca="1">IFERROR(__xludf.DUMMYFUNCTION("""COMPUTED_VALUE"""),"10 1 02 64090")</f>
        <v>10 1 02 64090</v>
      </c>
      <c r="J126" s="67">
        <f ca="1">IFERROR(__xludf.DUMMYFUNCTION("""COMPUTED_VALUE"""),522)</f>
        <v>522</v>
      </c>
      <c r="K126" s="97">
        <f t="shared" ca="1" si="1"/>
        <v>0</v>
      </c>
      <c r="L126" s="97">
        <f ca="1">IFERROR(__xludf.DUMMYFUNCTION("""COMPUTED_VALUE"""),0)</f>
        <v>0</v>
      </c>
      <c r="M126" s="97">
        <f ca="1">IFERROR(__xludf.DUMMYFUNCTION("""COMPUTED_VALUE"""),0)</f>
        <v>0</v>
      </c>
      <c r="N126" s="97">
        <f ca="1">IFERROR(__xludf.DUMMYFUNCTION("""COMPUTED_VALUE"""),0)</f>
        <v>0</v>
      </c>
      <c r="O126" s="97">
        <f ca="1">IFERROR(__xludf.DUMMYFUNCTION("""COMPUTED_VALUE"""),0)</f>
        <v>0</v>
      </c>
      <c r="P126" s="97">
        <f t="shared" ca="1" si="2"/>
        <v>0</v>
      </c>
      <c r="Q126" s="98">
        <f ca="1">IFERROR(__xludf.DUMMYFUNCTION("""COMPUTED_VALUE"""),0)</f>
        <v>0</v>
      </c>
      <c r="R126" s="67"/>
      <c r="S126" s="97">
        <f ca="1">IFERROR(__xludf.DUMMYFUNCTION("""COMPUTED_VALUE"""),0)</f>
        <v>0</v>
      </c>
      <c r="T126" s="97">
        <f ca="1">IFERROR(__xludf.DUMMYFUNCTION("""COMPUTED_VALUE"""),0)</f>
        <v>0</v>
      </c>
      <c r="U126" s="97">
        <f ca="1">IFERROR(__xludf.DUMMYFUNCTION("""COMPUTED_VALUE"""),0)</f>
        <v>0</v>
      </c>
      <c r="V126" s="97">
        <f ca="1">IFERROR(__xludf.DUMMYFUNCTION("""COMPUTED_VALUE"""),0)</f>
        <v>0</v>
      </c>
      <c r="W126" s="97">
        <f ca="1">IFERROR(__xludf.DUMMYFUNCTION("""COMPUTED_VALUE"""),0)</f>
        <v>0</v>
      </c>
      <c r="X126" s="97">
        <f ca="1">IFERROR(__xludf.DUMMYFUNCTION("""COMPUTED_VALUE"""),0)</f>
        <v>0</v>
      </c>
      <c r="Y126" s="97">
        <f t="shared" ca="1" si="3"/>
        <v>0</v>
      </c>
      <c r="Z126" s="67">
        <f t="shared" si="4"/>
        <v>0</v>
      </c>
      <c r="AA126" s="67"/>
      <c r="AB126" s="67"/>
      <c r="AC126" s="67"/>
      <c r="AD126" s="99" t="e">
        <f t="shared" ca="1" si="5"/>
        <v>#DIV/0!</v>
      </c>
      <c r="AE126" s="67"/>
      <c r="AF126" s="67"/>
      <c r="AG126" s="67"/>
      <c r="AH126" s="67"/>
      <c r="AI126" s="67"/>
      <c r="AJ126" s="67"/>
      <c r="AK126" s="67"/>
      <c r="AL126" s="67"/>
      <c r="AM126" s="67"/>
      <c r="AN126" s="67"/>
      <c r="AO126" s="67"/>
      <c r="AP126" s="67"/>
      <c r="AQ126" s="67"/>
      <c r="AR126" s="67"/>
      <c r="AS126" s="67"/>
      <c r="AT126" s="67"/>
    </row>
    <row r="127" spans="1:46" ht="72" hidden="1" x14ac:dyDescent="0.2">
      <c r="A127" s="67"/>
      <c r="B127" s="96"/>
      <c r="C1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7" s="20" t="str">
        <f ca="1">IFERROR(__xludf.DUMMYFUNCTION("""COMPUTED_VALUE"""),"МинЖКХ")</f>
        <v>МинЖКХ</v>
      </c>
      <c r="E127" s="20" t="str">
        <f ca="1">IFERROR(__xludf.DUMMYFUNCTION("""COMPUTED_VALUE"""),"Строительство ВЗУ  в местечке Крольчатник  г.о. Орехово-Зуево")</f>
        <v>Строительство ВЗУ  в местечке Крольчатник  г.о. Орехово-Зуево</v>
      </c>
      <c r="F127" s="67" t="str">
        <f ca="1">IFERROR(__xludf.DUMMYFUNCTION("""COMPUTED_VALUE"""),"СМР")</f>
        <v>СМР</v>
      </c>
      <c r="G127" s="67" t="str">
        <f ca="1">IFERROR(__xludf.DUMMYFUNCTION("""COMPUTED_VALUE"""),"г.о. Орехово-Зуево")</f>
        <v>г.о. Орехово-Зуево</v>
      </c>
      <c r="H127" s="67">
        <f ca="1">IFERROR(__xludf.DUMMYFUNCTION("""COMPUTED_VALUE"""),2023)</f>
        <v>2023</v>
      </c>
      <c r="I127" s="67" t="str">
        <f ca="1">IFERROR(__xludf.DUMMYFUNCTION("""COMPUTED_VALUE"""),"10 1 02 64090")</f>
        <v>10 1 02 64090</v>
      </c>
      <c r="J127" s="67">
        <f ca="1">IFERROR(__xludf.DUMMYFUNCTION("""COMPUTED_VALUE"""),522)</f>
        <v>522</v>
      </c>
      <c r="K127" s="97">
        <f t="shared" ca="1" si="1"/>
        <v>0</v>
      </c>
      <c r="L127" s="97">
        <f ca="1">IFERROR(__xludf.DUMMYFUNCTION("""COMPUTED_VALUE"""),0)</f>
        <v>0</v>
      </c>
      <c r="M127" s="97">
        <f ca="1">IFERROR(__xludf.DUMMYFUNCTION("""COMPUTED_VALUE"""),0)</f>
        <v>0</v>
      </c>
      <c r="N127" s="97">
        <f ca="1">IFERROR(__xludf.DUMMYFUNCTION("""COMPUTED_VALUE"""),0)</f>
        <v>0</v>
      </c>
      <c r="O127" s="97">
        <f ca="1">IFERROR(__xludf.DUMMYFUNCTION("""COMPUTED_VALUE"""),0)</f>
        <v>0</v>
      </c>
      <c r="P127" s="97">
        <f t="shared" ca="1" si="2"/>
        <v>0</v>
      </c>
      <c r="Q127" s="98">
        <f ca="1">IFERROR(__xludf.DUMMYFUNCTION("""COMPUTED_VALUE"""),0)</f>
        <v>0</v>
      </c>
      <c r="R127" s="67"/>
      <c r="S127" s="97">
        <f ca="1">IFERROR(__xludf.DUMMYFUNCTION("""COMPUTED_VALUE"""),0)</f>
        <v>0</v>
      </c>
      <c r="T127" s="97">
        <f ca="1">IFERROR(__xludf.DUMMYFUNCTION("""COMPUTED_VALUE"""),0)</f>
        <v>0</v>
      </c>
      <c r="U127" s="97">
        <f ca="1">IFERROR(__xludf.DUMMYFUNCTION("""COMPUTED_VALUE"""),0)</f>
        <v>0</v>
      </c>
      <c r="V127" s="97">
        <f ca="1">IFERROR(__xludf.DUMMYFUNCTION("""COMPUTED_VALUE"""),0)</f>
        <v>0</v>
      </c>
      <c r="W127" s="97">
        <f ca="1">IFERROR(__xludf.DUMMYFUNCTION("""COMPUTED_VALUE"""),0)</f>
        <v>0</v>
      </c>
      <c r="X127" s="97">
        <f ca="1">IFERROR(__xludf.DUMMYFUNCTION("""COMPUTED_VALUE"""),0)</f>
        <v>0</v>
      </c>
      <c r="Y127" s="97">
        <f t="shared" ca="1" si="3"/>
        <v>0</v>
      </c>
      <c r="Z127" s="67">
        <f t="shared" si="4"/>
        <v>0</v>
      </c>
      <c r="AA127" s="67"/>
      <c r="AB127" s="67"/>
      <c r="AC127" s="67"/>
      <c r="AD127" s="99" t="e">
        <f t="shared" ca="1" si="5"/>
        <v>#DIV/0!</v>
      </c>
      <c r="AE127" s="67"/>
      <c r="AF127" s="67"/>
      <c r="AG127" s="67"/>
      <c r="AH127" s="67"/>
      <c r="AI127" s="67"/>
      <c r="AJ127" s="67"/>
      <c r="AK127" s="67"/>
      <c r="AL127" s="67"/>
      <c r="AM127" s="67"/>
      <c r="AN127" s="67"/>
      <c r="AO127" s="67"/>
      <c r="AP127" s="67"/>
      <c r="AQ127" s="67"/>
      <c r="AR127" s="67"/>
      <c r="AS127" s="67"/>
      <c r="AT127" s="67"/>
    </row>
    <row r="128" spans="1:46" ht="72" hidden="1" x14ac:dyDescent="0.2">
      <c r="A128" s="67"/>
      <c r="B128" s="100"/>
      <c r="C1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8" s="20" t="str">
        <f ca="1">IFERROR(__xludf.DUMMYFUNCTION("""COMPUTED_VALUE"""),"МинЖКХ")</f>
        <v>МинЖКХ</v>
      </c>
      <c r="E128" s="20" t="str">
        <f ca="1">IFERROR(__xludf.DUMMYFUNCTION("""COMPUTED_VALUE"""),"Реконструкция системы водоснабжения с установкой оборудования водоподготовки, ВЗУ №3 гп Фряново Щелковского района Московсой области (ПИР)")</f>
        <v>Реконструкция системы водоснабжения с установкой оборудования водоподготовки, ВЗУ №3 гп Фряново Щелковского района Московсой области (ПИР)</v>
      </c>
      <c r="F128" s="67" t="str">
        <f ca="1">IFERROR(__xludf.DUMMYFUNCTION("""COMPUTED_VALUE"""),"ПИР")</f>
        <v>ПИР</v>
      </c>
      <c r="G128" s="67" t="str">
        <f ca="1">IFERROR(__xludf.DUMMYFUNCTION("""COMPUTED_VALUE"""),"г.о. Щелково")</f>
        <v>г.о. Щелково</v>
      </c>
      <c r="H128" s="67" t="str">
        <f ca="1">IFERROR(__xludf.DUMMYFUNCTION("""COMPUTED_VALUE"""),"Н/Л")</f>
        <v>Н/Л</v>
      </c>
      <c r="I128" s="67" t="str">
        <f ca="1">IFERROR(__xludf.DUMMYFUNCTION("""COMPUTED_VALUE"""),"10 1 02 64090")</f>
        <v>10 1 02 64090</v>
      </c>
      <c r="J128" s="67">
        <f ca="1">IFERROR(__xludf.DUMMYFUNCTION("""COMPUTED_VALUE"""),522)</f>
        <v>522</v>
      </c>
      <c r="K128" s="97">
        <f t="shared" ca="1" si="1"/>
        <v>0</v>
      </c>
      <c r="L128" s="97">
        <f ca="1">IFERROR(__xludf.DUMMYFUNCTION("""COMPUTED_VALUE"""),0)</f>
        <v>0</v>
      </c>
      <c r="M128" s="97">
        <f ca="1">IFERROR(__xludf.DUMMYFUNCTION("""COMPUTED_VALUE"""),0)</f>
        <v>0</v>
      </c>
      <c r="N128" s="97">
        <f ca="1">IFERROR(__xludf.DUMMYFUNCTION("""COMPUTED_VALUE"""),0)</f>
        <v>0</v>
      </c>
      <c r="O128" s="97">
        <f ca="1">IFERROR(__xludf.DUMMYFUNCTION("""COMPUTED_VALUE"""),0)</f>
        <v>0</v>
      </c>
      <c r="P128" s="97">
        <f t="shared" ca="1" si="2"/>
        <v>0</v>
      </c>
      <c r="Q128" s="98">
        <f ca="1">IFERROR(__xludf.DUMMYFUNCTION("""COMPUTED_VALUE"""),0)</f>
        <v>0</v>
      </c>
      <c r="R128" s="67"/>
      <c r="S128" s="97">
        <f ca="1">IFERROR(__xludf.DUMMYFUNCTION("""COMPUTED_VALUE"""),0)</f>
        <v>0</v>
      </c>
      <c r="T128" s="97">
        <f ca="1">IFERROR(__xludf.DUMMYFUNCTION("""COMPUTED_VALUE"""),0)</f>
        <v>0</v>
      </c>
      <c r="U128" s="97">
        <f ca="1">IFERROR(__xludf.DUMMYFUNCTION("""COMPUTED_VALUE"""),0)</f>
        <v>0</v>
      </c>
      <c r="V128" s="97">
        <f ca="1">IFERROR(__xludf.DUMMYFUNCTION("""COMPUTED_VALUE"""),0)</f>
        <v>0</v>
      </c>
      <c r="W128" s="97">
        <f ca="1">IFERROR(__xludf.DUMMYFUNCTION("""COMPUTED_VALUE"""),0)</f>
        <v>0</v>
      </c>
      <c r="X128" s="97">
        <f ca="1">IFERROR(__xludf.DUMMYFUNCTION("""COMPUTED_VALUE"""),0)</f>
        <v>0</v>
      </c>
      <c r="Y128" s="97">
        <f t="shared" ca="1" si="3"/>
        <v>0</v>
      </c>
      <c r="Z128" s="67">
        <f t="shared" si="4"/>
        <v>0</v>
      </c>
      <c r="AA128" s="67"/>
      <c r="AB128" s="67"/>
      <c r="AC128" s="67"/>
      <c r="AD128" s="99" t="e">
        <f t="shared" ca="1" si="5"/>
        <v>#DIV/0!</v>
      </c>
      <c r="AE128" s="67"/>
      <c r="AF128" s="67"/>
      <c r="AG128" s="67"/>
      <c r="AH128" s="67"/>
      <c r="AI128" s="67"/>
      <c r="AJ128" s="67"/>
      <c r="AK128" s="67"/>
      <c r="AL128" s="67"/>
      <c r="AM128" s="67"/>
      <c r="AN128" s="67"/>
      <c r="AO128" s="67"/>
      <c r="AP128" s="67"/>
      <c r="AQ128" s="67"/>
      <c r="AR128" s="67"/>
      <c r="AS128" s="67"/>
      <c r="AT128" s="67"/>
    </row>
    <row r="129" spans="1:46" ht="72" hidden="1" x14ac:dyDescent="0.2">
      <c r="A129" s="67"/>
      <c r="B129" s="96"/>
      <c r="C1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9" s="20" t="str">
        <f ca="1">IFERROR(__xludf.DUMMYFUNCTION("""COMPUTED_VALUE"""),"МинЖКХ")</f>
        <v>МинЖКХ</v>
      </c>
      <c r="E129" s="20" t="str">
        <f ca="1">IFERROR(__xludf.DUMMYFUNCTION("""COMPUTED_VALUE"""),"Реконструкция ВЗУ №1 и ВЗУ №3 г.о. Дзержинский (ПИР)")</f>
        <v>Реконструкция ВЗУ №1 и ВЗУ №3 г.о. Дзержинский (ПИР)</v>
      </c>
      <c r="F129" s="67" t="str">
        <f ca="1">IFERROR(__xludf.DUMMYFUNCTION("""COMPUTED_VALUE"""),"ПИР")</f>
        <v>ПИР</v>
      </c>
      <c r="G129" s="67" t="str">
        <f ca="1">IFERROR(__xludf.DUMMYFUNCTION("""COMPUTED_VALUE"""),"г.о. Дзержинский")</f>
        <v>г.о. Дзержинский</v>
      </c>
      <c r="H129" s="67">
        <f ca="1">IFERROR(__xludf.DUMMYFUNCTION("""COMPUTED_VALUE"""),2020)</f>
        <v>2020</v>
      </c>
      <c r="I129" s="67" t="str">
        <f ca="1">IFERROR(__xludf.DUMMYFUNCTION("""COMPUTED_VALUE"""),"10 1 02 64090")</f>
        <v>10 1 02 64090</v>
      </c>
      <c r="J129" s="67">
        <f ca="1">IFERROR(__xludf.DUMMYFUNCTION("""COMPUTED_VALUE"""),522)</f>
        <v>522</v>
      </c>
      <c r="K129" s="97">
        <f t="shared" ca="1" si="1"/>
        <v>2599.7800000000002</v>
      </c>
      <c r="L129" s="97">
        <f ca="1">IFERROR(__xludf.DUMMYFUNCTION("""COMPUTED_VALUE"""),0)</f>
        <v>0</v>
      </c>
      <c r="M129" s="97">
        <f ca="1">IFERROR(__xludf.DUMMYFUNCTION("""COMPUTED_VALUE"""),0)</f>
        <v>0</v>
      </c>
      <c r="N129" s="97">
        <f ca="1">IFERROR(__xludf.DUMMYFUNCTION("""COMPUTED_VALUE"""),0)</f>
        <v>0</v>
      </c>
      <c r="O129" s="97">
        <f ca="1">IFERROR(__xludf.DUMMYFUNCTION("""COMPUTED_VALUE"""),2599.78)</f>
        <v>2599.7800000000002</v>
      </c>
      <c r="P129" s="97">
        <f t="shared" ca="1" si="2"/>
        <v>0</v>
      </c>
      <c r="Q129" s="98">
        <f ca="1">IFERROR(__xludf.DUMMYFUNCTION("""COMPUTED_VALUE"""),0.8)</f>
        <v>0.8</v>
      </c>
      <c r="R129" s="67"/>
      <c r="S129" s="97">
        <f ca="1">IFERROR(__xludf.DUMMYFUNCTION("""COMPUTED_VALUE"""),0)</f>
        <v>0</v>
      </c>
      <c r="T129" s="97">
        <f ca="1">IFERROR(__xludf.DUMMYFUNCTION("""COMPUTED_VALUE"""),2599.78)</f>
        <v>2599.7800000000002</v>
      </c>
      <c r="U129" s="97">
        <f ca="1">IFERROR(__xludf.DUMMYFUNCTION("""COMPUTED_VALUE"""),0)</f>
        <v>0</v>
      </c>
      <c r="V129" s="97">
        <f ca="1">IFERROR(__xludf.DUMMYFUNCTION("""COMPUTED_VALUE"""),0)</f>
        <v>0</v>
      </c>
      <c r="W129" s="97">
        <f ca="1">IFERROR(__xludf.DUMMYFUNCTION("""COMPUTED_VALUE"""),0)</f>
        <v>0</v>
      </c>
      <c r="X129" s="97">
        <f ca="1">IFERROR(__xludf.DUMMYFUNCTION("""COMPUTED_VALUE"""),2599.78)</f>
        <v>2599.7800000000002</v>
      </c>
      <c r="Y129" s="97">
        <f t="shared" ca="1" si="3"/>
        <v>0</v>
      </c>
      <c r="Z129" s="67">
        <f t="shared" si="4"/>
        <v>0</v>
      </c>
      <c r="AA129" s="67"/>
      <c r="AB129" s="67"/>
      <c r="AC129" s="67"/>
      <c r="AD129" s="99" t="e">
        <f t="shared" ca="1" si="5"/>
        <v>#DIV/0!</v>
      </c>
      <c r="AE129" s="67"/>
      <c r="AF129" s="67"/>
      <c r="AG129" s="67"/>
      <c r="AH129" s="67"/>
      <c r="AI129" s="67"/>
      <c r="AJ129" s="67"/>
      <c r="AK129" s="67"/>
      <c r="AL129" s="67"/>
      <c r="AM129" s="67"/>
      <c r="AN129" s="67"/>
      <c r="AO129" s="67"/>
      <c r="AP129" s="67"/>
      <c r="AQ129" s="67"/>
      <c r="AR129" s="67"/>
      <c r="AS129" s="67"/>
      <c r="AT129" s="67"/>
    </row>
    <row r="130" spans="1:46" ht="72" hidden="1" x14ac:dyDescent="0.2">
      <c r="A130" s="67"/>
      <c r="B130" s="100"/>
      <c r="C1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30" s="20" t="str">
        <f ca="1">IFERROR(__xludf.DUMMYFUNCTION("""COMPUTED_VALUE"""),"МинЖКХ")</f>
        <v>МинЖКХ</v>
      </c>
      <c r="E130" s="20" t="str">
        <f ca="1">IFERROR(__xludf.DUMMYFUNCTION("""COMPUTED_VALUE"""),"Строительство и реконструкция артезианских скважин г.о. Шатура (бывшая территория г.о. Рошаль) ПИР")</f>
        <v>Строительство и реконструкция артезианских скважин г.о. Шатура (бывшая территория г.о. Рошаль) ПИР</v>
      </c>
      <c r="F130" s="67" t="str">
        <f ca="1">IFERROR(__xludf.DUMMYFUNCTION("""COMPUTED_VALUE"""),"ПИР")</f>
        <v>ПИР</v>
      </c>
      <c r="G130" s="67" t="str">
        <f ca="1">IFERROR(__xludf.DUMMYFUNCTION("""COMPUTED_VALUE"""),"г.о. Шатура")</f>
        <v>г.о. Шатура</v>
      </c>
      <c r="H130" s="67" t="str">
        <f ca="1">IFERROR(__xludf.DUMMYFUNCTION("""COMPUTED_VALUE"""),"Н/Л")</f>
        <v>Н/Л</v>
      </c>
      <c r="I130" s="67" t="str">
        <f ca="1">IFERROR(__xludf.DUMMYFUNCTION("""COMPUTED_VALUE"""),"10 1 02 64090")</f>
        <v>10 1 02 64090</v>
      </c>
      <c r="J130" s="67">
        <f ca="1">IFERROR(__xludf.DUMMYFUNCTION("""COMPUTED_VALUE"""),522)</f>
        <v>522</v>
      </c>
      <c r="K130" s="97">
        <f t="shared" ca="1" si="1"/>
        <v>0</v>
      </c>
      <c r="L130" s="97">
        <f ca="1">IFERROR(__xludf.DUMMYFUNCTION("""COMPUTED_VALUE"""),0)</f>
        <v>0</v>
      </c>
      <c r="M130" s="97">
        <f ca="1">IFERROR(__xludf.DUMMYFUNCTION("""COMPUTED_VALUE"""),0)</f>
        <v>0</v>
      </c>
      <c r="N130" s="97">
        <f ca="1">IFERROR(__xludf.DUMMYFUNCTION("""COMPUTED_VALUE"""),0)</f>
        <v>0</v>
      </c>
      <c r="O130" s="97">
        <f ca="1">IFERROR(__xludf.DUMMYFUNCTION("""COMPUTED_VALUE"""),0)</f>
        <v>0</v>
      </c>
      <c r="P130" s="97">
        <f t="shared" ca="1" si="2"/>
        <v>0</v>
      </c>
      <c r="Q130" s="98">
        <f ca="1">IFERROR(__xludf.DUMMYFUNCTION("""COMPUTED_VALUE"""),0)</f>
        <v>0</v>
      </c>
      <c r="R130" s="67"/>
      <c r="S130" s="97">
        <f ca="1">IFERROR(__xludf.DUMMYFUNCTION("""COMPUTED_VALUE"""),0)</f>
        <v>0</v>
      </c>
      <c r="T130" s="97">
        <f ca="1">IFERROR(__xludf.DUMMYFUNCTION("""COMPUTED_VALUE"""),0)</f>
        <v>0</v>
      </c>
      <c r="U130" s="97">
        <f ca="1">IFERROR(__xludf.DUMMYFUNCTION("""COMPUTED_VALUE"""),0)</f>
        <v>0</v>
      </c>
      <c r="V130" s="97">
        <f ca="1">IFERROR(__xludf.DUMMYFUNCTION("""COMPUTED_VALUE"""),0)</f>
        <v>0</v>
      </c>
      <c r="W130" s="97">
        <f ca="1">IFERROR(__xludf.DUMMYFUNCTION("""COMPUTED_VALUE"""),0)</f>
        <v>0</v>
      </c>
      <c r="X130" s="97">
        <f ca="1">IFERROR(__xludf.DUMMYFUNCTION("""COMPUTED_VALUE"""),0)</f>
        <v>0</v>
      </c>
      <c r="Y130" s="97">
        <f t="shared" ca="1" si="3"/>
        <v>0</v>
      </c>
      <c r="Z130" s="67">
        <f t="shared" si="4"/>
        <v>0</v>
      </c>
      <c r="AA130" s="67"/>
      <c r="AB130" s="67"/>
      <c r="AC130" s="67"/>
      <c r="AD130" s="99" t="e">
        <f t="shared" ca="1" si="5"/>
        <v>#DIV/0!</v>
      </c>
      <c r="AE130" s="67"/>
      <c r="AF130" s="67"/>
      <c r="AG130" s="67"/>
      <c r="AH130" s="67"/>
      <c r="AI130" s="67"/>
      <c r="AJ130" s="67"/>
      <c r="AK130" s="67"/>
      <c r="AL130" s="67"/>
      <c r="AM130" s="67"/>
      <c r="AN130" s="67"/>
      <c r="AO130" s="67"/>
      <c r="AP130" s="67"/>
      <c r="AQ130" s="67"/>
      <c r="AR130" s="67"/>
      <c r="AS130" s="67"/>
      <c r="AT130" s="67"/>
    </row>
    <row r="131" spans="1:46" ht="84" x14ac:dyDescent="0.2">
      <c r="A131" s="20"/>
      <c r="B131" s="95"/>
      <c r="C13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31" s="20" t="str">
        <f ca="1">IFERROR(__xludf.DUMMYFUNCTION("""COMPUTED_VALUE"""),"МинЖКХ")</f>
        <v>МинЖКХ</v>
      </c>
      <c r="E131" s="20" t="str">
        <f ca="1">IFERROR(__xludf.DUMMYFUNCTION("""COMPUTED_VALUE"""),"Строительство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f>
        <v>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v>
      </c>
      <c r="F131" s="20" t="str">
        <f ca="1">IFERROR(__xludf.DUMMYFUNCTION("""COMPUTED_VALUE"""),"СМР")</f>
        <v>СМР</v>
      </c>
      <c r="G131" s="20" t="str">
        <f ca="1">IFERROR(__xludf.DUMMYFUNCTION("""COMPUTED_VALUE"""),"г.о. Балашиха")</f>
        <v>г.о. Балашиха</v>
      </c>
      <c r="H131" s="20" t="str">
        <f ca="1">IFERROR(__xludf.DUMMYFUNCTION("""COMPUTED_VALUE"""),"2020-2021")</f>
        <v>2020-2021</v>
      </c>
      <c r="I131" s="20" t="str">
        <f ca="1">IFERROR(__xludf.DUMMYFUNCTION("""COMPUTED_VALUE"""),"10 1 02 64090")</f>
        <v>10 1 02 64090</v>
      </c>
      <c r="J131" s="20">
        <f ca="1">IFERROR(__xludf.DUMMYFUNCTION("""COMPUTED_VALUE"""),522)</f>
        <v>522</v>
      </c>
      <c r="K131" s="24">
        <f t="shared" ca="1" si="1"/>
        <v>10092.09</v>
      </c>
      <c r="L131" s="24">
        <f ca="1">IFERROR(__xludf.DUMMYFUNCTION("""COMPUTED_VALUE"""),7841)</f>
        <v>7841</v>
      </c>
      <c r="M131" s="24">
        <f ca="1">IFERROR(__xludf.DUMMYFUNCTION("""COMPUTED_VALUE"""),0)</f>
        <v>0</v>
      </c>
      <c r="N131" s="24">
        <f ca="1">IFERROR(__xludf.DUMMYFUNCTION("""COMPUTED_VALUE"""),0)</f>
        <v>0</v>
      </c>
      <c r="O131" s="24">
        <f ca="1">IFERROR(__xludf.DUMMYFUNCTION("""COMPUTED_VALUE"""),2251.09)</f>
        <v>2251.09</v>
      </c>
      <c r="P131" s="24">
        <f t="shared" ca="1" si="2"/>
        <v>7841</v>
      </c>
      <c r="Q131" s="23">
        <f ca="1">IFERROR(__xludf.DUMMYFUNCTION("""COMPUTED_VALUE"""),0)</f>
        <v>0</v>
      </c>
      <c r="R131" s="20"/>
      <c r="S131" s="24">
        <f ca="1">IFERROR(__xludf.DUMMYFUNCTION("""COMPUTED_VALUE"""),6441.59)</f>
        <v>6441.59</v>
      </c>
      <c r="T131" s="24">
        <f ca="1">IFERROR(__xludf.DUMMYFUNCTION("""COMPUTED_VALUE"""),3650.5)</f>
        <v>3650.5</v>
      </c>
      <c r="U131" s="24">
        <f ca="1">IFERROR(__xludf.DUMMYFUNCTION("""COMPUTED_VALUE"""),1399.40999999999)</f>
        <v>1399.4099999999901</v>
      </c>
      <c r="V131" s="24">
        <f ca="1">IFERROR(__xludf.DUMMYFUNCTION("""COMPUTED_VALUE"""),0)</f>
        <v>0</v>
      </c>
      <c r="W131" s="24">
        <f ca="1">IFERROR(__xludf.DUMMYFUNCTION("""COMPUTED_VALUE"""),0)</f>
        <v>0</v>
      </c>
      <c r="X131" s="24">
        <f ca="1">IFERROR(__xludf.DUMMYFUNCTION("""COMPUTED_VALUE"""),2251.09)</f>
        <v>2251.09</v>
      </c>
      <c r="Y131" s="24">
        <f t="shared" ca="1" si="3"/>
        <v>1399.4099999999901</v>
      </c>
      <c r="Z131" s="20">
        <f t="shared" ca="1" si="4"/>
        <v>6441.59</v>
      </c>
      <c r="AA131" s="20"/>
      <c r="AB131" s="24">
        <f ca="1">IFERROR(__xludf.DUMMYFUNCTION("""COMPUTED_VALUE"""),6441.59)</f>
        <v>6441.59</v>
      </c>
      <c r="AC131" s="20"/>
      <c r="AD131" s="94">
        <f t="shared" ca="1" si="5"/>
        <v>0.82152659099604641</v>
      </c>
      <c r="AE131" s="20"/>
      <c r="AF131" s="20"/>
      <c r="AG131" s="20"/>
      <c r="AH131" s="20"/>
      <c r="AI131" s="20"/>
      <c r="AJ131" s="20"/>
      <c r="AK131" s="20"/>
      <c r="AL131" s="20"/>
      <c r="AM131" s="20"/>
      <c r="AN131" s="20"/>
      <c r="AO131" s="20"/>
      <c r="AP131" s="20"/>
      <c r="AQ131" s="20"/>
      <c r="AR131" s="20"/>
      <c r="AS131" s="20"/>
      <c r="AT131" s="20"/>
    </row>
    <row r="132" spans="1:46" ht="84" hidden="1" x14ac:dyDescent="0.2">
      <c r="A132" s="67"/>
      <c r="B132" s="96"/>
      <c r="C13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2" s="20" t="str">
        <f ca="1">IFERROR(__xludf.DUMMYFUNCTION("""COMPUTED_VALUE"""),"МинЖКХ")</f>
        <v>МинЖКХ</v>
      </c>
      <c r="E132" s="20" t="str">
        <f ca="1">IFERROR(__xludf.DUMMYFUNCTION("""COMPUTED_VALUE"""),"Капитальный ремонт ВНС № 29  с устройством станции обезжелезивания,   пос. Софрино, ул. Комсомольская, д.13, г.п. Софрино")</f>
        <v>Капитальный ремонт ВНС № 29  с устройством станции обезжелезивания,   пос. Софрино, ул. Комсомольская, д.13, г.п. Софрино</v>
      </c>
      <c r="F132" s="67" t="str">
        <f ca="1">IFERROR(__xludf.DUMMYFUNCTION("""COMPUTED_VALUE"""),"СМР")</f>
        <v>СМР</v>
      </c>
      <c r="G132" s="67" t="str">
        <f ca="1">IFERROR(__xludf.DUMMYFUNCTION("""COMPUTED_VALUE"""),"г.о. Пушкинский")</f>
        <v>г.о. Пушкинский</v>
      </c>
      <c r="H132" s="67" t="str">
        <f ca="1">IFERROR(__xludf.DUMMYFUNCTION("""COMPUTED_VALUE"""),"Н/Л")</f>
        <v>Н/Л</v>
      </c>
      <c r="I132" s="67" t="str">
        <f ca="1">IFERROR(__xludf.DUMMYFUNCTION("""COMPUTED_VALUE"""),"10 1 02 60330")</f>
        <v>10 1 02 60330</v>
      </c>
      <c r="J132" s="67">
        <f ca="1">IFERROR(__xludf.DUMMYFUNCTION("""COMPUTED_VALUE"""),520)</f>
        <v>520</v>
      </c>
      <c r="K132" s="97">
        <f t="shared" ca="1" si="1"/>
        <v>0</v>
      </c>
      <c r="L132" s="97">
        <f ca="1">IFERROR(__xludf.DUMMYFUNCTION("""COMPUTED_VALUE"""),0)</f>
        <v>0</v>
      </c>
      <c r="M132" s="97">
        <f ca="1">IFERROR(__xludf.DUMMYFUNCTION("""COMPUTED_VALUE"""),0)</f>
        <v>0</v>
      </c>
      <c r="N132" s="97">
        <f ca="1">IFERROR(__xludf.DUMMYFUNCTION("""COMPUTED_VALUE"""),0)</f>
        <v>0</v>
      </c>
      <c r="O132" s="97">
        <f ca="1">IFERROR(__xludf.DUMMYFUNCTION("""COMPUTED_VALUE"""),0)</f>
        <v>0</v>
      </c>
      <c r="P132" s="97">
        <f t="shared" ca="1" si="2"/>
        <v>0</v>
      </c>
      <c r="Q132" s="98">
        <f ca="1">IFERROR(__xludf.DUMMYFUNCTION("""COMPUTED_VALUE"""),0)</f>
        <v>0</v>
      </c>
      <c r="R132" s="67"/>
      <c r="S132" s="97">
        <f ca="1">IFERROR(__xludf.DUMMYFUNCTION("""COMPUTED_VALUE"""),0)</f>
        <v>0</v>
      </c>
      <c r="T132" s="97">
        <f ca="1">IFERROR(__xludf.DUMMYFUNCTION("""COMPUTED_VALUE"""),0)</f>
        <v>0</v>
      </c>
      <c r="U132" s="97">
        <f ca="1">IFERROR(__xludf.DUMMYFUNCTION("""COMPUTED_VALUE"""),0)</f>
        <v>0</v>
      </c>
      <c r="V132" s="97">
        <f ca="1">IFERROR(__xludf.DUMMYFUNCTION("""COMPUTED_VALUE"""),0)</f>
        <v>0</v>
      </c>
      <c r="W132" s="97">
        <f ca="1">IFERROR(__xludf.DUMMYFUNCTION("""COMPUTED_VALUE"""),0)</f>
        <v>0</v>
      </c>
      <c r="X132" s="97">
        <f ca="1">IFERROR(__xludf.DUMMYFUNCTION("""COMPUTED_VALUE"""),0)</f>
        <v>0</v>
      </c>
      <c r="Y132" s="97">
        <f t="shared" ca="1" si="3"/>
        <v>0</v>
      </c>
      <c r="Z132" s="67">
        <f t="shared" si="4"/>
        <v>0</v>
      </c>
      <c r="AA132" s="67"/>
      <c r="AB132" s="67"/>
      <c r="AC132" s="67"/>
      <c r="AD132" s="99" t="e">
        <f t="shared" ca="1" si="5"/>
        <v>#DIV/0!</v>
      </c>
      <c r="AE132" s="67"/>
      <c r="AF132" s="67"/>
      <c r="AG132" s="67"/>
      <c r="AH132" s="67"/>
      <c r="AI132" s="67"/>
      <c r="AJ132" s="67"/>
      <c r="AK132" s="67"/>
      <c r="AL132" s="67"/>
      <c r="AM132" s="67"/>
      <c r="AN132" s="67"/>
      <c r="AO132" s="67"/>
      <c r="AP132" s="67"/>
      <c r="AQ132" s="67"/>
      <c r="AR132" s="67"/>
      <c r="AS132" s="67"/>
      <c r="AT132" s="67"/>
    </row>
    <row r="133" spans="1:46" ht="84" hidden="1" x14ac:dyDescent="0.2">
      <c r="A133" s="67"/>
      <c r="B133" s="96"/>
      <c r="C13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3" s="20" t="str">
        <f ca="1">IFERROR(__xludf.DUMMYFUNCTION("""COMPUTED_VALUE"""),"МинЖКХ")</f>
        <v>МинЖКХ</v>
      </c>
      <c r="E133" s="20" t="str">
        <f ca="1">IFERROR(__xludf.DUMMYFUNCTION("""COMPUTED_VALUE"""),"Приобретение, монтаж и ввод в эксплуатацию  станции водоочистки на ВЗУ дер. Б.Буньково, мкр. Фабрики,  Богородский г.о.")</f>
        <v>Приобретение, монтаж и ввод в эксплуатацию  станции водоочистки на ВЗУ дер. Б.Буньково, мкр. Фабрики,  Богородский г.о.</v>
      </c>
      <c r="F133" s="67" t="str">
        <f ca="1">IFERROR(__xludf.DUMMYFUNCTION("""COMPUTED_VALUE"""),"Приобретение, монтаж")</f>
        <v>Приобретение, монтаж</v>
      </c>
      <c r="G133" s="67" t="str">
        <f ca="1">IFERROR(__xludf.DUMMYFUNCTION("""COMPUTED_VALUE"""),"г.о. Богородский")</f>
        <v>г.о. Богородский</v>
      </c>
      <c r="H133" s="67" t="str">
        <f ca="1">IFERROR(__xludf.DUMMYFUNCTION("""COMPUTED_VALUE"""),"Н/Л")</f>
        <v>Н/Л</v>
      </c>
      <c r="I133" s="67" t="str">
        <f ca="1">IFERROR(__xludf.DUMMYFUNCTION("""COMPUTED_VALUE"""),"10 1 02 60330")</f>
        <v>10 1 02 60330</v>
      </c>
      <c r="J133" s="67">
        <f ca="1">IFERROR(__xludf.DUMMYFUNCTION("""COMPUTED_VALUE"""),520)</f>
        <v>520</v>
      </c>
      <c r="K133" s="97">
        <f t="shared" ca="1" si="1"/>
        <v>0</v>
      </c>
      <c r="L133" s="97">
        <f ca="1">IFERROR(__xludf.DUMMYFUNCTION("""COMPUTED_VALUE"""),0)</f>
        <v>0</v>
      </c>
      <c r="M133" s="97">
        <f ca="1">IFERROR(__xludf.DUMMYFUNCTION("""COMPUTED_VALUE"""),0)</f>
        <v>0</v>
      </c>
      <c r="N133" s="97">
        <f ca="1">IFERROR(__xludf.DUMMYFUNCTION("""COMPUTED_VALUE"""),0)</f>
        <v>0</v>
      </c>
      <c r="O133" s="97">
        <f ca="1">IFERROR(__xludf.DUMMYFUNCTION("""COMPUTED_VALUE"""),0)</f>
        <v>0</v>
      </c>
      <c r="P133" s="97">
        <f t="shared" ca="1" si="2"/>
        <v>0</v>
      </c>
      <c r="Q133" s="98">
        <f ca="1">IFERROR(__xludf.DUMMYFUNCTION("""COMPUTED_VALUE"""),1)</f>
        <v>1</v>
      </c>
      <c r="R133" s="67"/>
      <c r="S133" s="97">
        <f ca="1">IFERROR(__xludf.DUMMYFUNCTION("""COMPUTED_VALUE"""),0)</f>
        <v>0</v>
      </c>
      <c r="T133" s="97">
        <f ca="1">IFERROR(__xludf.DUMMYFUNCTION("""COMPUTED_VALUE"""),0)</f>
        <v>0</v>
      </c>
      <c r="U133" s="97">
        <f ca="1">IFERROR(__xludf.DUMMYFUNCTION("""COMPUTED_VALUE"""),0)</f>
        <v>0</v>
      </c>
      <c r="V133" s="97">
        <f ca="1">IFERROR(__xludf.DUMMYFUNCTION("""COMPUTED_VALUE"""),0)</f>
        <v>0</v>
      </c>
      <c r="W133" s="97">
        <f ca="1">IFERROR(__xludf.DUMMYFUNCTION("""COMPUTED_VALUE"""),0)</f>
        <v>0</v>
      </c>
      <c r="X133" s="97">
        <f ca="1">IFERROR(__xludf.DUMMYFUNCTION("""COMPUTED_VALUE"""),0)</f>
        <v>0</v>
      </c>
      <c r="Y133" s="97">
        <f t="shared" ca="1" si="3"/>
        <v>0</v>
      </c>
      <c r="Z133" s="67">
        <f t="shared" si="4"/>
        <v>0</v>
      </c>
      <c r="AA133" s="67"/>
      <c r="AB133" s="67"/>
      <c r="AC133" s="67"/>
      <c r="AD133" s="99" t="e">
        <f t="shared" ca="1" si="5"/>
        <v>#DIV/0!</v>
      </c>
      <c r="AE133" s="67"/>
      <c r="AF133" s="67"/>
      <c r="AG133" s="67"/>
      <c r="AH133" s="67"/>
      <c r="AI133" s="67"/>
      <c r="AJ133" s="67"/>
      <c r="AK133" s="67"/>
      <c r="AL133" s="67"/>
      <c r="AM133" s="67"/>
      <c r="AN133" s="67"/>
      <c r="AO133" s="67"/>
      <c r="AP133" s="67"/>
      <c r="AQ133" s="67"/>
      <c r="AR133" s="67"/>
      <c r="AS133" s="67"/>
      <c r="AT133" s="67"/>
    </row>
    <row r="134" spans="1:46" ht="84" hidden="1" x14ac:dyDescent="0.2">
      <c r="A134" s="67"/>
      <c r="B134" s="96"/>
      <c r="C13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4" s="20" t="str">
        <f ca="1">IFERROR(__xludf.DUMMYFUNCTION("""COMPUTED_VALUE"""),"МинЖКХ")</f>
        <v>МинЖКХ</v>
      </c>
      <c r="E134" s="20" t="str">
        <f ca="1">IFERROR(__xludf.DUMMYFUNCTION("""COMPUTED_VALUE"""),"Приобретение, монтаж и ввод в эксплуатацию  станции водоочистки на ВЗУ дер. Караваево, Богородский г.о.  ")</f>
        <v xml:space="preserve">Приобретение, монтаж и ввод в эксплуатацию  станции водоочистки на ВЗУ дер. Караваево, Богородский г.о.  </v>
      </c>
      <c r="F134" s="67" t="str">
        <f ca="1">IFERROR(__xludf.DUMMYFUNCTION("""COMPUTED_VALUE"""),"Приобретение, монтаж")</f>
        <v>Приобретение, монтаж</v>
      </c>
      <c r="G134" s="67" t="str">
        <f ca="1">IFERROR(__xludf.DUMMYFUNCTION("""COMPUTED_VALUE"""),"г.о. Богородский")</f>
        <v>г.о. Богородский</v>
      </c>
      <c r="H134" s="67" t="str">
        <f ca="1">IFERROR(__xludf.DUMMYFUNCTION("""COMPUTED_VALUE"""),"Н/Л")</f>
        <v>Н/Л</v>
      </c>
      <c r="I134" s="67" t="str">
        <f ca="1">IFERROR(__xludf.DUMMYFUNCTION("""COMPUTED_VALUE"""),"10 1 02 60330")</f>
        <v>10 1 02 60330</v>
      </c>
      <c r="J134" s="67">
        <f ca="1">IFERROR(__xludf.DUMMYFUNCTION("""COMPUTED_VALUE"""),520)</f>
        <v>520</v>
      </c>
      <c r="K134" s="97">
        <f t="shared" ca="1" si="1"/>
        <v>0</v>
      </c>
      <c r="L134" s="97">
        <f ca="1">IFERROR(__xludf.DUMMYFUNCTION("""COMPUTED_VALUE"""),0)</f>
        <v>0</v>
      </c>
      <c r="M134" s="97">
        <f ca="1">IFERROR(__xludf.DUMMYFUNCTION("""COMPUTED_VALUE"""),0)</f>
        <v>0</v>
      </c>
      <c r="N134" s="97">
        <f ca="1">IFERROR(__xludf.DUMMYFUNCTION("""COMPUTED_VALUE"""),0)</f>
        <v>0</v>
      </c>
      <c r="O134" s="97">
        <f ca="1">IFERROR(__xludf.DUMMYFUNCTION("""COMPUTED_VALUE"""),0)</f>
        <v>0</v>
      </c>
      <c r="P134" s="97">
        <f t="shared" ca="1" si="2"/>
        <v>0</v>
      </c>
      <c r="Q134" s="98">
        <f ca="1">IFERROR(__xludf.DUMMYFUNCTION("""COMPUTED_VALUE"""),1)</f>
        <v>1</v>
      </c>
      <c r="R134" s="67"/>
      <c r="S134" s="97">
        <f ca="1">IFERROR(__xludf.DUMMYFUNCTION("""COMPUTED_VALUE"""),0)</f>
        <v>0</v>
      </c>
      <c r="T134" s="97">
        <f ca="1">IFERROR(__xludf.DUMMYFUNCTION("""COMPUTED_VALUE"""),0)</f>
        <v>0</v>
      </c>
      <c r="U134" s="97">
        <f ca="1">IFERROR(__xludf.DUMMYFUNCTION("""COMPUTED_VALUE"""),0)</f>
        <v>0</v>
      </c>
      <c r="V134" s="97">
        <f ca="1">IFERROR(__xludf.DUMMYFUNCTION("""COMPUTED_VALUE"""),0)</f>
        <v>0</v>
      </c>
      <c r="W134" s="97">
        <f ca="1">IFERROR(__xludf.DUMMYFUNCTION("""COMPUTED_VALUE"""),0)</f>
        <v>0</v>
      </c>
      <c r="X134" s="97">
        <f ca="1">IFERROR(__xludf.DUMMYFUNCTION("""COMPUTED_VALUE"""),0)</f>
        <v>0</v>
      </c>
      <c r="Y134" s="97">
        <f t="shared" ca="1" si="3"/>
        <v>0</v>
      </c>
      <c r="Z134" s="67">
        <f t="shared" si="4"/>
        <v>0</v>
      </c>
      <c r="AA134" s="67"/>
      <c r="AB134" s="67"/>
      <c r="AC134" s="67"/>
      <c r="AD134" s="99" t="e">
        <f t="shared" ca="1" si="5"/>
        <v>#DIV/0!</v>
      </c>
      <c r="AE134" s="67"/>
      <c r="AF134" s="67"/>
      <c r="AG134" s="67"/>
      <c r="AH134" s="67"/>
      <c r="AI134" s="67"/>
      <c r="AJ134" s="67"/>
      <c r="AK134" s="67"/>
      <c r="AL134" s="67"/>
      <c r="AM134" s="67"/>
      <c r="AN134" s="67"/>
      <c r="AO134" s="67"/>
      <c r="AP134" s="67"/>
      <c r="AQ134" s="67"/>
      <c r="AR134" s="67"/>
      <c r="AS134" s="67"/>
      <c r="AT134" s="67"/>
    </row>
    <row r="135" spans="1:46" ht="84" hidden="1" x14ac:dyDescent="0.2">
      <c r="A135" s="67"/>
      <c r="B135" s="96"/>
      <c r="C13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5" s="20" t="str">
        <f ca="1">IFERROR(__xludf.DUMMYFUNCTION("""COMPUTED_VALUE"""),"МинЖКХ")</f>
        <v>МинЖКХ</v>
      </c>
      <c r="E135" s="20" t="str">
        <f ca="1">IFERROR(__xludf.DUMMYFUNCTION("""COMPUTED_VALUE"""),"Приобретение, монтаж и ввод в эксплуатацию   станции водоочистки на ВЗУ дер. Б.Буньково, ул. Ленинская, 126 (БЗКИ), Богородский г.о.")</f>
        <v>Приобретение, монтаж и ввод в эксплуатацию   станции водоочистки на ВЗУ дер. Б.Буньково, ул. Ленинская, 126 (БЗКИ), Богородский г.о.</v>
      </c>
      <c r="F135" s="67" t="str">
        <f ca="1">IFERROR(__xludf.DUMMYFUNCTION("""COMPUTED_VALUE"""),"Приобретение, монтаж")</f>
        <v>Приобретение, монтаж</v>
      </c>
      <c r="G135" s="67" t="str">
        <f ca="1">IFERROR(__xludf.DUMMYFUNCTION("""COMPUTED_VALUE"""),"г.о. Богородский")</f>
        <v>г.о. Богородский</v>
      </c>
      <c r="H135" s="67" t="str">
        <f ca="1">IFERROR(__xludf.DUMMYFUNCTION("""COMPUTED_VALUE"""),"Н/Л")</f>
        <v>Н/Л</v>
      </c>
      <c r="I135" s="67" t="str">
        <f ca="1">IFERROR(__xludf.DUMMYFUNCTION("""COMPUTED_VALUE"""),"10 1 02 60330")</f>
        <v>10 1 02 60330</v>
      </c>
      <c r="J135" s="67">
        <f ca="1">IFERROR(__xludf.DUMMYFUNCTION("""COMPUTED_VALUE"""),520)</f>
        <v>520</v>
      </c>
      <c r="K135" s="97">
        <f t="shared" ca="1" si="1"/>
        <v>0</v>
      </c>
      <c r="L135" s="97">
        <f ca="1">IFERROR(__xludf.DUMMYFUNCTION("""COMPUTED_VALUE"""),0)</f>
        <v>0</v>
      </c>
      <c r="M135" s="97">
        <f ca="1">IFERROR(__xludf.DUMMYFUNCTION("""COMPUTED_VALUE"""),0)</f>
        <v>0</v>
      </c>
      <c r="N135" s="97">
        <f ca="1">IFERROR(__xludf.DUMMYFUNCTION("""COMPUTED_VALUE"""),0)</f>
        <v>0</v>
      </c>
      <c r="O135" s="97">
        <f ca="1">IFERROR(__xludf.DUMMYFUNCTION("""COMPUTED_VALUE"""),0)</f>
        <v>0</v>
      </c>
      <c r="P135" s="97">
        <f t="shared" ca="1" si="2"/>
        <v>0</v>
      </c>
      <c r="Q135" s="98">
        <f ca="1">IFERROR(__xludf.DUMMYFUNCTION("""COMPUTED_VALUE"""),1)</f>
        <v>1</v>
      </c>
      <c r="R135" s="67"/>
      <c r="S135" s="97">
        <f ca="1">IFERROR(__xludf.DUMMYFUNCTION("""COMPUTED_VALUE"""),0)</f>
        <v>0</v>
      </c>
      <c r="T135" s="97">
        <f ca="1">IFERROR(__xludf.DUMMYFUNCTION("""COMPUTED_VALUE"""),0)</f>
        <v>0</v>
      </c>
      <c r="U135" s="97">
        <f ca="1">IFERROR(__xludf.DUMMYFUNCTION("""COMPUTED_VALUE"""),0)</f>
        <v>0</v>
      </c>
      <c r="V135" s="97">
        <f ca="1">IFERROR(__xludf.DUMMYFUNCTION("""COMPUTED_VALUE"""),0)</f>
        <v>0</v>
      </c>
      <c r="W135" s="97">
        <f ca="1">IFERROR(__xludf.DUMMYFUNCTION("""COMPUTED_VALUE"""),0)</f>
        <v>0</v>
      </c>
      <c r="X135" s="97">
        <f ca="1">IFERROR(__xludf.DUMMYFUNCTION("""COMPUTED_VALUE"""),0)</f>
        <v>0</v>
      </c>
      <c r="Y135" s="97">
        <f t="shared" ca="1" si="3"/>
        <v>0</v>
      </c>
      <c r="Z135" s="67">
        <f t="shared" si="4"/>
        <v>0</v>
      </c>
      <c r="AA135" s="67"/>
      <c r="AB135" s="67"/>
      <c r="AC135" s="67"/>
      <c r="AD135" s="99" t="e">
        <f t="shared" ca="1" si="5"/>
        <v>#DIV/0!</v>
      </c>
      <c r="AE135" s="67"/>
      <c r="AF135" s="67"/>
      <c r="AG135" s="67"/>
      <c r="AH135" s="67"/>
      <c r="AI135" s="67"/>
      <c r="AJ135" s="67"/>
      <c r="AK135" s="67"/>
      <c r="AL135" s="67"/>
      <c r="AM135" s="67"/>
      <c r="AN135" s="67"/>
      <c r="AO135" s="67"/>
      <c r="AP135" s="67"/>
      <c r="AQ135" s="67"/>
      <c r="AR135" s="67"/>
      <c r="AS135" s="67"/>
      <c r="AT135" s="67"/>
    </row>
    <row r="136" spans="1:46" ht="84" hidden="1" x14ac:dyDescent="0.2">
      <c r="A136" s="67"/>
      <c r="B136" s="96"/>
      <c r="C13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6" s="20" t="str">
        <f ca="1">IFERROR(__xludf.DUMMYFUNCTION("""COMPUTED_VALUE"""),"МинЖКХ")</f>
        <v>МинЖКХ</v>
      </c>
      <c r="E136" s="20" t="str">
        <f ca="1">IFERROR(__xludf.DUMMYFUNCTION("""COMPUTED_VALUE"""),"Приобретение, монтаж и ввод в эксплуатацию    станции водоочистки на ВЗУ дер. Б.Буньково, ул. Ленинская, 126 (ул. Демонстрационная), Богородский г.о.")</f>
        <v>Приобретение, монтаж и ввод в эксплуатацию    станции водоочистки на ВЗУ дер. Б.Буньково, ул. Ленинская, 126 (ул. Демонстрационная), Богородский г.о.</v>
      </c>
      <c r="F136" s="67" t="str">
        <f ca="1">IFERROR(__xludf.DUMMYFUNCTION("""COMPUTED_VALUE"""),"Приобретение, монтаж")</f>
        <v>Приобретение, монтаж</v>
      </c>
      <c r="G136" s="67" t="str">
        <f ca="1">IFERROR(__xludf.DUMMYFUNCTION("""COMPUTED_VALUE"""),"г.о. Богородский")</f>
        <v>г.о. Богородский</v>
      </c>
      <c r="H136" s="67" t="str">
        <f ca="1">IFERROR(__xludf.DUMMYFUNCTION("""COMPUTED_VALUE"""),"Н/Л")</f>
        <v>Н/Л</v>
      </c>
      <c r="I136" s="67" t="str">
        <f ca="1">IFERROR(__xludf.DUMMYFUNCTION("""COMPUTED_VALUE"""),"10 1 02 60330")</f>
        <v>10 1 02 60330</v>
      </c>
      <c r="J136" s="67">
        <f ca="1">IFERROR(__xludf.DUMMYFUNCTION("""COMPUTED_VALUE"""),520)</f>
        <v>520</v>
      </c>
      <c r="K136" s="97">
        <f t="shared" ca="1" si="1"/>
        <v>0</v>
      </c>
      <c r="L136" s="97">
        <f ca="1">IFERROR(__xludf.DUMMYFUNCTION("""COMPUTED_VALUE"""),0)</f>
        <v>0</v>
      </c>
      <c r="M136" s="97">
        <f ca="1">IFERROR(__xludf.DUMMYFUNCTION("""COMPUTED_VALUE"""),0)</f>
        <v>0</v>
      </c>
      <c r="N136" s="97">
        <f ca="1">IFERROR(__xludf.DUMMYFUNCTION("""COMPUTED_VALUE"""),0)</f>
        <v>0</v>
      </c>
      <c r="O136" s="97">
        <f ca="1">IFERROR(__xludf.DUMMYFUNCTION("""COMPUTED_VALUE"""),0)</f>
        <v>0</v>
      </c>
      <c r="P136" s="97">
        <f t="shared" ca="1" si="2"/>
        <v>0</v>
      </c>
      <c r="Q136" s="98">
        <f ca="1">IFERROR(__xludf.DUMMYFUNCTION("""COMPUTED_VALUE"""),1)</f>
        <v>1</v>
      </c>
      <c r="R136" s="67"/>
      <c r="S136" s="97">
        <f ca="1">IFERROR(__xludf.DUMMYFUNCTION("""COMPUTED_VALUE"""),0)</f>
        <v>0</v>
      </c>
      <c r="T136" s="97">
        <f ca="1">IFERROR(__xludf.DUMMYFUNCTION("""COMPUTED_VALUE"""),0)</f>
        <v>0</v>
      </c>
      <c r="U136" s="97">
        <f ca="1">IFERROR(__xludf.DUMMYFUNCTION("""COMPUTED_VALUE"""),0)</f>
        <v>0</v>
      </c>
      <c r="V136" s="97">
        <f ca="1">IFERROR(__xludf.DUMMYFUNCTION("""COMPUTED_VALUE"""),0)</f>
        <v>0</v>
      </c>
      <c r="W136" s="97">
        <f ca="1">IFERROR(__xludf.DUMMYFUNCTION("""COMPUTED_VALUE"""),0)</f>
        <v>0</v>
      </c>
      <c r="X136" s="97">
        <f ca="1">IFERROR(__xludf.DUMMYFUNCTION("""COMPUTED_VALUE"""),0)</f>
        <v>0</v>
      </c>
      <c r="Y136" s="97">
        <f t="shared" ca="1" si="3"/>
        <v>0</v>
      </c>
      <c r="Z136" s="67">
        <f t="shared" si="4"/>
        <v>0</v>
      </c>
      <c r="AA136" s="67"/>
      <c r="AB136" s="67"/>
      <c r="AC136" s="67"/>
      <c r="AD136" s="99" t="e">
        <f t="shared" ca="1" si="5"/>
        <v>#DIV/0!</v>
      </c>
      <c r="AE136" s="67"/>
      <c r="AF136" s="67"/>
      <c r="AG136" s="67"/>
      <c r="AH136" s="67"/>
      <c r="AI136" s="67"/>
      <c r="AJ136" s="67"/>
      <c r="AK136" s="67"/>
      <c r="AL136" s="67"/>
      <c r="AM136" s="67"/>
      <c r="AN136" s="67"/>
      <c r="AO136" s="67"/>
      <c r="AP136" s="67"/>
      <c r="AQ136" s="67"/>
      <c r="AR136" s="67"/>
      <c r="AS136" s="67"/>
      <c r="AT136" s="67"/>
    </row>
    <row r="137" spans="1:46" ht="84" hidden="1" x14ac:dyDescent="0.2">
      <c r="A137" s="67"/>
      <c r="B137" s="96"/>
      <c r="C13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7" s="20" t="str">
        <f ca="1">IFERROR(__xludf.DUMMYFUNCTION("""COMPUTED_VALUE"""),"МинЖКХ")</f>
        <v>МинЖКХ</v>
      </c>
      <c r="E137" s="20" t="str">
        <f ca="1">IFERROR(__xludf.DUMMYFUNCTION("""COMPUTED_VALUE"""),"Капитальный ремонт участка водопровода Ду-500 мм в г.п.  Старая Купавна ")</f>
        <v xml:space="preserve">Капитальный ремонт участка водопровода Ду-500 мм в г.п.  Старая Купавна </v>
      </c>
      <c r="F137" s="67" t="str">
        <f ca="1">IFERROR(__xludf.DUMMYFUNCTION("""COMPUTED_VALUE"""),"СМР")</f>
        <v>СМР</v>
      </c>
      <c r="G137" s="67" t="str">
        <f ca="1">IFERROR(__xludf.DUMMYFUNCTION("""COMPUTED_VALUE"""),"г.о. Богородский")</f>
        <v>г.о. Богородский</v>
      </c>
      <c r="H137" s="67" t="str">
        <f ca="1">IFERROR(__xludf.DUMMYFUNCTION("""COMPUTED_VALUE"""),"Н/Л")</f>
        <v>Н/Л</v>
      </c>
      <c r="I137" s="67" t="str">
        <f ca="1">IFERROR(__xludf.DUMMYFUNCTION("""COMPUTED_VALUE"""),"10 1 02 60330")</f>
        <v>10 1 02 60330</v>
      </c>
      <c r="J137" s="67">
        <f ca="1">IFERROR(__xludf.DUMMYFUNCTION("""COMPUTED_VALUE"""),520)</f>
        <v>520</v>
      </c>
      <c r="K137" s="97">
        <f t="shared" ca="1" si="1"/>
        <v>0</v>
      </c>
      <c r="L137" s="97">
        <f ca="1">IFERROR(__xludf.DUMMYFUNCTION("""COMPUTED_VALUE"""),0)</f>
        <v>0</v>
      </c>
      <c r="M137" s="97">
        <f ca="1">IFERROR(__xludf.DUMMYFUNCTION("""COMPUTED_VALUE"""),0)</f>
        <v>0</v>
      </c>
      <c r="N137" s="97">
        <f ca="1">IFERROR(__xludf.DUMMYFUNCTION("""COMPUTED_VALUE"""),0)</f>
        <v>0</v>
      </c>
      <c r="O137" s="97">
        <f ca="1">IFERROR(__xludf.DUMMYFUNCTION("""COMPUTED_VALUE"""),0)</f>
        <v>0</v>
      </c>
      <c r="P137" s="97">
        <f t="shared" ca="1" si="2"/>
        <v>0</v>
      </c>
      <c r="Q137" s="67"/>
      <c r="R137" s="67"/>
      <c r="S137" s="97">
        <f ca="1">IFERROR(__xludf.DUMMYFUNCTION("""COMPUTED_VALUE"""),0)</f>
        <v>0</v>
      </c>
      <c r="T137" s="97">
        <f ca="1">IFERROR(__xludf.DUMMYFUNCTION("""COMPUTED_VALUE"""),0)</f>
        <v>0</v>
      </c>
      <c r="U137" s="97">
        <f ca="1">IFERROR(__xludf.DUMMYFUNCTION("""COMPUTED_VALUE"""),0)</f>
        <v>0</v>
      </c>
      <c r="V137" s="97">
        <f ca="1">IFERROR(__xludf.DUMMYFUNCTION("""COMPUTED_VALUE"""),0)</f>
        <v>0</v>
      </c>
      <c r="W137" s="97">
        <f ca="1">IFERROR(__xludf.DUMMYFUNCTION("""COMPUTED_VALUE"""),0)</f>
        <v>0</v>
      </c>
      <c r="X137" s="97">
        <f ca="1">IFERROR(__xludf.DUMMYFUNCTION("""COMPUTED_VALUE"""),0)</f>
        <v>0</v>
      </c>
      <c r="Y137" s="97">
        <f t="shared" ca="1" si="3"/>
        <v>0</v>
      </c>
      <c r="Z137" s="67">
        <f t="shared" si="4"/>
        <v>0</v>
      </c>
      <c r="AA137" s="67"/>
      <c r="AB137" s="67"/>
      <c r="AC137" s="67"/>
      <c r="AD137" s="99" t="e">
        <f t="shared" ca="1" si="5"/>
        <v>#DIV/0!</v>
      </c>
      <c r="AE137" s="67"/>
      <c r="AF137" s="67"/>
      <c r="AG137" s="67"/>
      <c r="AH137" s="67"/>
      <c r="AI137" s="67"/>
      <c r="AJ137" s="67"/>
      <c r="AK137" s="67"/>
      <c r="AL137" s="67"/>
      <c r="AM137" s="67"/>
      <c r="AN137" s="67"/>
      <c r="AO137" s="67"/>
      <c r="AP137" s="67"/>
      <c r="AQ137" s="67"/>
      <c r="AR137" s="67"/>
      <c r="AS137" s="67"/>
      <c r="AT137" s="67"/>
    </row>
    <row r="138" spans="1:46" ht="84" hidden="1" x14ac:dyDescent="0.2">
      <c r="A138" s="67"/>
      <c r="B138" s="96"/>
      <c r="C13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8" s="20" t="str">
        <f ca="1">IFERROR(__xludf.DUMMYFUNCTION("""COMPUTED_VALUE"""),"МинЖКХ")</f>
        <v>МинЖКХ</v>
      </c>
      <c r="E138" s="20" t="str">
        <f ca="1">IFERROR(__xludf.DUMMYFUNCTION("""COMPUTED_VALUE"""),"Приобретение, монтаж и ввод в эксплуатацию станции водоподготовки на ВЗУ-5, Воскресенский м.р., д. Цибино г.п. Белоозерский")</f>
        <v>Приобретение, монтаж и ввод в эксплуатацию станции водоподготовки на ВЗУ-5, Воскресенский м.р., д. Цибино г.п. Белоозерский</v>
      </c>
      <c r="F138" s="67" t="str">
        <f ca="1">IFERROR(__xludf.DUMMYFUNCTION("""COMPUTED_VALUE"""),"Приобретение, монтаж")</f>
        <v>Приобретение, монтаж</v>
      </c>
      <c r="G138" s="67" t="str">
        <f ca="1">IFERROR(__xludf.DUMMYFUNCTION("""COMPUTED_VALUE"""),"г.о. Воскресенск")</f>
        <v>г.о. Воскресенск</v>
      </c>
      <c r="H138" s="67" t="str">
        <f ca="1">IFERROR(__xludf.DUMMYFUNCTION("""COMPUTED_VALUE"""),"Н/Л")</f>
        <v>Н/Л</v>
      </c>
      <c r="I138" s="67" t="str">
        <f ca="1">IFERROR(__xludf.DUMMYFUNCTION("""COMPUTED_VALUE"""),"10 1 02 60330")</f>
        <v>10 1 02 60330</v>
      </c>
      <c r="J138" s="67">
        <f ca="1">IFERROR(__xludf.DUMMYFUNCTION("""COMPUTED_VALUE"""),520)</f>
        <v>520</v>
      </c>
      <c r="K138" s="97">
        <f t="shared" ca="1" si="1"/>
        <v>0</v>
      </c>
      <c r="L138" s="97">
        <f ca="1">IFERROR(__xludf.DUMMYFUNCTION("""COMPUTED_VALUE"""),0)</f>
        <v>0</v>
      </c>
      <c r="M138" s="97">
        <f ca="1">IFERROR(__xludf.DUMMYFUNCTION("""COMPUTED_VALUE"""),0)</f>
        <v>0</v>
      </c>
      <c r="N138" s="97">
        <f ca="1">IFERROR(__xludf.DUMMYFUNCTION("""COMPUTED_VALUE"""),0)</f>
        <v>0</v>
      </c>
      <c r="O138" s="97">
        <f ca="1">IFERROR(__xludf.DUMMYFUNCTION("""COMPUTED_VALUE"""),0)</f>
        <v>0</v>
      </c>
      <c r="P138" s="97">
        <f t="shared" ca="1" si="2"/>
        <v>0</v>
      </c>
      <c r="Q138" s="67"/>
      <c r="R138" s="67"/>
      <c r="S138" s="97">
        <f ca="1">IFERROR(__xludf.DUMMYFUNCTION("""COMPUTED_VALUE"""),0)</f>
        <v>0</v>
      </c>
      <c r="T138" s="97">
        <f ca="1">IFERROR(__xludf.DUMMYFUNCTION("""COMPUTED_VALUE"""),0)</f>
        <v>0</v>
      </c>
      <c r="U138" s="97">
        <f ca="1">IFERROR(__xludf.DUMMYFUNCTION("""COMPUTED_VALUE"""),0)</f>
        <v>0</v>
      </c>
      <c r="V138" s="97">
        <f ca="1">IFERROR(__xludf.DUMMYFUNCTION("""COMPUTED_VALUE"""),0)</f>
        <v>0</v>
      </c>
      <c r="W138" s="97">
        <f ca="1">IFERROR(__xludf.DUMMYFUNCTION("""COMPUTED_VALUE"""),0)</f>
        <v>0</v>
      </c>
      <c r="X138" s="97">
        <f ca="1">IFERROR(__xludf.DUMMYFUNCTION("""COMPUTED_VALUE"""),0)</f>
        <v>0</v>
      </c>
      <c r="Y138" s="97">
        <f t="shared" ca="1" si="3"/>
        <v>0</v>
      </c>
      <c r="Z138" s="67">
        <f t="shared" si="4"/>
        <v>0</v>
      </c>
      <c r="AA138" s="67"/>
      <c r="AB138" s="67"/>
      <c r="AC138" s="67"/>
      <c r="AD138" s="99" t="e">
        <f t="shared" ca="1" si="5"/>
        <v>#DIV/0!</v>
      </c>
      <c r="AE138" s="67"/>
      <c r="AF138" s="67"/>
      <c r="AG138" s="67"/>
      <c r="AH138" s="67"/>
      <c r="AI138" s="67"/>
      <c r="AJ138" s="67"/>
      <c r="AK138" s="67"/>
      <c r="AL138" s="67"/>
      <c r="AM138" s="67"/>
      <c r="AN138" s="67"/>
      <c r="AO138" s="67"/>
      <c r="AP138" s="67"/>
      <c r="AQ138" s="67"/>
      <c r="AR138" s="67"/>
      <c r="AS138" s="67"/>
      <c r="AT138" s="67"/>
    </row>
    <row r="139" spans="1:46" ht="84" hidden="1" x14ac:dyDescent="0.2">
      <c r="A139" s="67"/>
      <c r="B139" s="96"/>
      <c r="C13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9" s="20" t="str">
        <f ca="1">IFERROR(__xludf.DUMMYFUNCTION("""COMPUTED_VALUE"""),"МинЖКХ")</f>
        <v>МинЖКХ</v>
      </c>
      <c r="E139" s="20" t="str">
        <f ca="1">IFERROR(__xludf.DUMMYFUNCTION("""COMPUTED_VALUE"""),"Приобретение, монтаж и ввод в эксплуатацию станции водоподготовки на ВЗУ-6, Воскресенский м.р., дер. Ивановка  г.п. Белоозерский")</f>
        <v>Приобретение, монтаж и ввод в эксплуатацию станции водоподготовки на ВЗУ-6, Воскресенский м.р., дер. Ивановка  г.п. Белоозерский</v>
      </c>
      <c r="F139" s="67" t="str">
        <f ca="1">IFERROR(__xludf.DUMMYFUNCTION("""COMPUTED_VALUE"""),"Приобретение, монтаж")</f>
        <v>Приобретение, монтаж</v>
      </c>
      <c r="G139" s="67" t="str">
        <f ca="1">IFERROR(__xludf.DUMMYFUNCTION("""COMPUTED_VALUE"""),"г.о. Воскресенск")</f>
        <v>г.о. Воскресенск</v>
      </c>
      <c r="H139" s="67" t="str">
        <f ca="1">IFERROR(__xludf.DUMMYFUNCTION("""COMPUTED_VALUE"""),"Н/Л")</f>
        <v>Н/Л</v>
      </c>
      <c r="I139" s="67" t="str">
        <f ca="1">IFERROR(__xludf.DUMMYFUNCTION("""COMPUTED_VALUE"""),"10 1 02 60330")</f>
        <v>10 1 02 60330</v>
      </c>
      <c r="J139" s="67">
        <f ca="1">IFERROR(__xludf.DUMMYFUNCTION("""COMPUTED_VALUE"""),520)</f>
        <v>520</v>
      </c>
      <c r="K139" s="97">
        <f t="shared" ca="1" si="1"/>
        <v>0</v>
      </c>
      <c r="L139" s="97">
        <f ca="1">IFERROR(__xludf.DUMMYFUNCTION("""COMPUTED_VALUE"""),0)</f>
        <v>0</v>
      </c>
      <c r="M139" s="97">
        <f ca="1">IFERROR(__xludf.DUMMYFUNCTION("""COMPUTED_VALUE"""),0)</f>
        <v>0</v>
      </c>
      <c r="N139" s="97">
        <f ca="1">IFERROR(__xludf.DUMMYFUNCTION("""COMPUTED_VALUE"""),0)</f>
        <v>0</v>
      </c>
      <c r="O139" s="97">
        <f ca="1">IFERROR(__xludf.DUMMYFUNCTION("""COMPUTED_VALUE"""),0)</f>
        <v>0</v>
      </c>
      <c r="P139" s="97">
        <f t="shared" ca="1" si="2"/>
        <v>0</v>
      </c>
      <c r="Q139" s="67"/>
      <c r="R139" s="67"/>
      <c r="S139" s="97">
        <f ca="1">IFERROR(__xludf.DUMMYFUNCTION("""COMPUTED_VALUE"""),0)</f>
        <v>0</v>
      </c>
      <c r="T139" s="97">
        <f ca="1">IFERROR(__xludf.DUMMYFUNCTION("""COMPUTED_VALUE"""),0)</f>
        <v>0</v>
      </c>
      <c r="U139" s="97">
        <f ca="1">IFERROR(__xludf.DUMMYFUNCTION("""COMPUTED_VALUE"""),0)</f>
        <v>0</v>
      </c>
      <c r="V139" s="97">
        <f ca="1">IFERROR(__xludf.DUMMYFUNCTION("""COMPUTED_VALUE"""),0)</f>
        <v>0</v>
      </c>
      <c r="W139" s="97">
        <f ca="1">IFERROR(__xludf.DUMMYFUNCTION("""COMPUTED_VALUE"""),0)</f>
        <v>0</v>
      </c>
      <c r="X139" s="97">
        <f ca="1">IFERROR(__xludf.DUMMYFUNCTION("""COMPUTED_VALUE"""),0)</f>
        <v>0</v>
      </c>
      <c r="Y139" s="97">
        <f t="shared" ca="1" si="3"/>
        <v>0</v>
      </c>
      <c r="Z139" s="67">
        <f t="shared" si="4"/>
        <v>0</v>
      </c>
      <c r="AA139" s="67"/>
      <c r="AB139" s="67"/>
      <c r="AC139" s="67"/>
      <c r="AD139" s="99" t="e">
        <f t="shared" ca="1" si="5"/>
        <v>#DIV/0!</v>
      </c>
      <c r="AE139" s="67"/>
      <c r="AF139" s="67"/>
      <c r="AG139" s="67"/>
      <c r="AH139" s="67"/>
      <c r="AI139" s="67"/>
      <c r="AJ139" s="67"/>
      <c r="AK139" s="67"/>
      <c r="AL139" s="67"/>
      <c r="AM139" s="67"/>
      <c r="AN139" s="67"/>
      <c r="AO139" s="67"/>
      <c r="AP139" s="67"/>
      <c r="AQ139" s="67"/>
      <c r="AR139" s="67"/>
      <c r="AS139" s="67"/>
      <c r="AT139" s="67"/>
    </row>
    <row r="140" spans="1:46" ht="84" hidden="1" x14ac:dyDescent="0.2">
      <c r="A140" s="67"/>
      <c r="B140" s="96"/>
      <c r="C14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0" s="20" t="str">
        <f ca="1">IFERROR(__xludf.DUMMYFUNCTION("""COMPUTED_VALUE"""),"МинЖКХ")</f>
        <v>МинЖКХ</v>
      </c>
      <c r="E140" s="20" t="str">
        <f ca="1">IFERROR(__xludf.DUMMYFUNCTION("""COMPUTED_VALUE"""),"Приобретение, монтаж и ввод в эксплуатацию станции водоподготовки на ВЗУ-8,  Воскресенский м.р.,  дер. Ворщиково  г.п. Белоозерский")</f>
        <v>Приобретение, монтаж и ввод в эксплуатацию станции водоподготовки на ВЗУ-8,  Воскресенский м.р.,  дер. Ворщиково  г.п. Белоозерский</v>
      </c>
      <c r="F140" s="67" t="str">
        <f ca="1">IFERROR(__xludf.DUMMYFUNCTION("""COMPUTED_VALUE"""),"Приобретение, монтаж")</f>
        <v>Приобретение, монтаж</v>
      </c>
      <c r="G140" s="67" t="str">
        <f ca="1">IFERROR(__xludf.DUMMYFUNCTION("""COMPUTED_VALUE"""),"г.о. Воскресенск")</f>
        <v>г.о. Воскресенск</v>
      </c>
      <c r="H140" s="67" t="str">
        <f ca="1">IFERROR(__xludf.DUMMYFUNCTION("""COMPUTED_VALUE"""),"Н/Л")</f>
        <v>Н/Л</v>
      </c>
      <c r="I140" s="67" t="str">
        <f ca="1">IFERROR(__xludf.DUMMYFUNCTION("""COMPUTED_VALUE"""),"10 1 02 60330")</f>
        <v>10 1 02 60330</v>
      </c>
      <c r="J140" s="67">
        <f ca="1">IFERROR(__xludf.DUMMYFUNCTION("""COMPUTED_VALUE"""),520)</f>
        <v>520</v>
      </c>
      <c r="K140" s="97">
        <f t="shared" ca="1" si="1"/>
        <v>0</v>
      </c>
      <c r="L140" s="97">
        <f ca="1">IFERROR(__xludf.DUMMYFUNCTION("""COMPUTED_VALUE"""),0)</f>
        <v>0</v>
      </c>
      <c r="M140" s="97">
        <f ca="1">IFERROR(__xludf.DUMMYFUNCTION("""COMPUTED_VALUE"""),0)</f>
        <v>0</v>
      </c>
      <c r="N140" s="97">
        <f ca="1">IFERROR(__xludf.DUMMYFUNCTION("""COMPUTED_VALUE"""),0)</f>
        <v>0</v>
      </c>
      <c r="O140" s="97">
        <f ca="1">IFERROR(__xludf.DUMMYFUNCTION("""COMPUTED_VALUE"""),0)</f>
        <v>0</v>
      </c>
      <c r="P140" s="97">
        <f t="shared" ca="1" si="2"/>
        <v>0</v>
      </c>
      <c r="Q140" s="67"/>
      <c r="R140" s="67"/>
      <c r="S140" s="97">
        <f ca="1">IFERROR(__xludf.DUMMYFUNCTION("""COMPUTED_VALUE"""),0)</f>
        <v>0</v>
      </c>
      <c r="T140" s="97">
        <f ca="1">IFERROR(__xludf.DUMMYFUNCTION("""COMPUTED_VALUE"""),0)</f>
        <v>0</v>
      </c>
      <c r="U140" s="97">
        <f ca="1">IFERROR(__xludf.DUMMYFUNCTION("""COMPUTED_VALUE"""),0)</f>
        <v>0</v>
      </c>
      <c r="V140" s="97">
        <f ca="1">IFERROR(__xludf.DUMMYFUNCTION("""COMPUTED_VALUE"""),0)</f>
        <v>0</v>
      </c>
      <c r="W140" s="97">
        <f ca="1">IFERROR(__xludf.DUMMYFUNCTION("""COMPUTED_VALUE"""),0)</f>
        <v>0</v>
      </c>
      <c r="X140" s="97">
        <f ca="1">IFERROR(__xludf.DUMMYFUNCTION("""COMPUTED_VALUE"""),0)</f>
        <v>0</v>
      </c>
      <c r="Y140" s="97">
        <f t="shared" ca="1" si="3"/>
        <v>0</v>
      </c>
      <c r="Z140" s="67">
        <f t="shared" si="4"/>
        <v>0</v>
      </c>
      <c r="AA140" s="67"/>
      <c r="AB140" s="67"/>
      <c r="AC140" s="67"/>
      <c r="AD140" s="99" t="e">
        <f t="shared" ca="1" si="5"/>
        <v>#DIV/0!</v>
      </c>
      <c r="AE140" s="67"/>
      <c r="AF140" s="67"/>
      <c r="AG140" s="67"/>
      <c r="AH140" s="67"/>
      <c r="AI140" s="67"/>
      <c r="AJ140" s="67"/>
      <c r="AK140" s="67"/>
      <c r="AL140" s="67"/>
      <c r="AM140" s="67"/>
      <c r="AN140" s="67"/>
      <c r="AO140" s="67"/>
      <c r="AP140" s="67"/>
      <c r="AQ140" s="67"/>
      <c r="AR140" s="67"/>
      <c r="AS140" s="67"/>
      <c r="AT140" s="67"/>
    </row>
    <row r="141" spans="1:46" ht="84" hidden="1" x14ac:dyDescent="0.2">
      <c r="A141" s="67"/>
      <c r="B141" s="96"/>
      <c r="C14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1" s="20" t="str">
        <f ca="1">IFERROR(__xludf.DUMMYFUNCTION("""COMPUTED_VALUE"""),"МинЖКХ")</f>
        <v>МинЖКХ</v>
      </c>
      <c r="E141" s="20" t="str">
        <f ca="1">IFERROR(__xludf.DUMMYFUNCTION("""COMPUTED_VALUE"""),"Приобретение, монтаж и ввод в эксплуатацию станции водоподготовки на ВЗУ - 9, Воскресенский м.р., дер.  Ворщиково г.п. Белоозерский ")</f>
        <v xml:space="preserve">Приобретение, монтаж и ввод в эксплуатацию станции водоподготовки на ВЗУ - 9, Воскресенский м.р., дер.  Ворщиково г.п. Белоозерский </v>
      </c>
      <c r="F141" s="67" t="str">
        <f ca="1">IFERROR(__xludf.DUMMYFUNCTION("""COMPUTED_VALUE"""),"Приобретение, монтаж")</f>
        <v>Приобретение, монтаж</v>
      </c>
      <c r="G141" s="67" t="str">
        <f ca="1">IFERROR(__xludf.DUMMYFUNCTION("""COMPUTED_VALUE"""),"г.о. Воскресенск")</f>
        <v>г.о. Воскресенск</v>
      </c>
      <c r="H141" s="67" t="str">
        <f ca="1">IFERROR(__xludf.DUMMYFUNCTION("""COMPUTED_VALUE"""),"Н/Л")</f>
        <v>Н/Л</v>
      </c>
      <c r="I141" s="67" t="str">
        <f ca="1">IFERROR(__xludf.DUMMYFUNCTION("""COMPUTED_VALUE"""),"10 1 02 60330")</f>
        <v>10 1 02 60330</v>
      </c>
      <c r="J141" s="67">
        <f ca="1">IFERROR(__xludf.DUMMYFUNCTION("""COMPUTED_VALUE"""),520)</f>
        <v>520</v>
      </c>
      <c r="K141" s="97">
        <f t="shared" ca="1" si="1"/>
        <v>0</v>
      </c>
      <c r="L141" s="97">
        <f ca="1">IFERROR(__xludf.DUMMYFUNCTION("""COMPUTED_VALUE"""),0)</f>
        <v>0</v>
      </c>
      <c r="M141" s="97">
        <f ca="1">IFERROR(__xludf.DUMMYFUNCTION("""COMPUTED_VALUE"""),0)</f>
        <v>0</v>
      </c>
      <c r="N141" s="97">
        <f ca="1">IFERROR(__xludf.DUMMYFUNCTION("""COMPUTED_VALUE"""),0)</f>
        <v>0</v>
      </c>
      <c r="O141" s="97">
        <f ca="1">IFERROR(__xludf.DUMMYFUNCTION("""COMPUTED_VALUE"""),0)</f>
        <v>0</v>
      </c>
      <c r="P141" s="97">
        <f t="shared" ca="1" si="2"/>
        <v>0</v>
      </c>
      <c r="Q141" s="67"/>
      <c r="R141" s="67"/>
      <c r="S141" s="97">
        <f ca="1">IFERROR(__xludf.DUMMYFUNCTION("""COMPUTED_VALUE"""),0)</f>
        <v>0</v>
      </c>
      <c r="T141" s="97">
        <f ca="1">IFERROR(__xludf.DUMMYFUNCTION("""COMPUTED_VALUE"""),0)</f>
        <v>0</v>
      </c>
      <c r="U141" s="97">
        <f ca="1">IFERROR(__xludf.DUMMYFUNCTION("""COMPUTED_VALUE"""),0)</f>
        <v>0</v>
      </c>
      <c r="V141" s="97">
        <f ca="1">IFERROR(__xludf.DUMMYFUNCTION("""COMPUTED_VALUE"""),0)</f>
        <v>0</v>
      </c>
      <c r="W141" s="97">
        <f ca="1">IFERROR(__xludf.DUMMYFUNCTION("""COMPUTED_VALUE"""),0)</f>
        <v>0</v>
      </c>
      <c r="X141" s="97">
        <f ca="1">IFERROR(__xludf.DUMMYFUNCTION("""COMPUTED_VALUE"""),0)</f>
        <v>0</v>
      </c>
      <c r="Y141" s="97">
        <f t="shared" ca="1" si="3"/>
        <v>0</v>
      </c>
      <c r="Z141" s="67">
        <f t="shared" si="4"/>
        <v>0</v>
      </c>
      <c r="AA141" s="67"/>
      <c r="AB141" s="67"/>
      <c r="AC141" s="67"/>
      <c r="AD141" s="99" t="e">
        <f t="shared" ca="1" si="5"/>
        <v>#DIV/0!</v>
      </c>
      <c r="AE141" s="67"/>
      <c r="AF141" s="67"/>
      <c r="AG141" s="67"/>
      <c r="AH141" s="67"/>
      <c r="AI141" s="67"/>
      <c r="AJ141" s="67"/>
      <c r="AK141" s="67"/>
      <c r="AL141" s="67"/>
      <c r="AM141" s="67"/>
      <c r="AN141" s="67"/>
      <c r="AO141" s="67"/>
      <c r="AP141" s="67"/>
      <c r="AQ141" s="67"/>
      <c r="AR141" s="67"/>
      <c r="AS141" s="67"/>
      <c r="AT141" s="67"/>
    </row>
    <row r="142" spans="1:46" ht="84" hidden="1" x14ac:dyDescent="0.2">
      <c r="A142" s="67"/>
      <c r="B142" s="96"/>
      <c r="C14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2" s="20" t="str">
        <f ca="1">IFERROR(__xludf.DUMMYFUNCTION("""COMPUTED_VALUE"""),"МинЖКХ")</f>
        <v>МинЖКХ</v>
      </c>
      <c r="E142" s="20" t="str">
        <f ca="1">IFERROR(__xludf.DUMMYFUNCTION("""COMPUTED_VALUE"""),"Приобретение,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f>
        <v>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v>
      </c>
      <c r="F142" s="67" t="str">
        <f ca="1">IFERROR(__xludf.DUMMYFUNCTION("""COMPUTED_VALUE"""),"Приобретение, монтаж")</f>
        <v>Приобретение, монтаж</v>
      </c>
      <c r="G142" s="67" t="str">
        <f ca="1">IFERROR(__xludf.DUMMYFUNCTION("""COMPUTED_VALUE"""),"г.о. Воскресенск")</f>
        <v>г.о. Воскресенск</v>
      </c>
      <c r="H142" s="67" t="str">
        <f ca="1">IFERROR(__xludf.DUMMYFUNCTION("""COMPUTED_VALUE"""),"Н/Л")</f>
        <v>Н/Л</v>
      </c>
      <c r="I142" s="67" t="str">
        <f ca="1">IFERROR(__xludf.DUMMYFUNCTION("""COMPUTED_VALUE"""),"10 1 02 60330")</f>
        <v>10 1 02 60330</v>
      </c>
      <c r="J142" s="67">
        <f ca="1">IFERROR(__xludf.DUMMYFUNCTION("""COMPUTED_VALUE"""),520)</f>
        <v>520</v>
      </c>
      <c r="K142" s="97">
        <f t="shared" ca="1" si="1"/>
        <v>0</v>
      </c>
      <c r="L142" s="97">
        <f ca="1">IFERROR(__xludf.DUMMYFUNCTION("""COMPUTED_VALUE"""),0)</f>
        <v>0</v>
      </c>
      <c r="M142" s="97">
        <f ca="1">IFERROR(__xludf.DUMMYFUNCTION("""COMPUTED_VALUE"""),0)</f>
        <v>0</v>
      </c>
      <c r="N142" s="97">
        <f ca="1">IFERROR(__xludf.DUMMYFUNCTION("""COMPUTED_VALUE"""),0)</f>
        <v>0</v>
      </c>
      <c r="O142" s="97">
        <f ca="1">IFERROR(__xludf.DUMMYFUNCTION("""COMPUTED_VALUE"""),0)</f>
        <v>0</v>
      </c>
      <c r="P142" s="97">
        <f t="shared" ca="1" si="2"/>
        <v>0</v>
      </c>
      <c r="Q142" s="67"/>
      <c r="R142" s="67"/>
      <c r="S142" s="97">
        <f ca="1">IFERROR(__xludf.DUMMYFUNCTION("""COMPUTED_VALUE"""),0)</f>
        <v>0</v>
      </c>
      <c r="T142" s="97">
        <f ca="1">IFERROR(__xludf.DUMMYFUNCTION("""COMPUTED_VALUE"""),0)</f>
        <v>0</v>
      </c>
      <c r="U142" s="97">
        <f ca="1">IFERROR(__xludf.DUMMYFUNCTION("""COMPUTED_VALUE"""),0)</f>
        <v>0</v>
      </c>
      <c r="V142" s="97">
        <f ca="1">IFERROR(__xludf.DUMMYFUNCTION("""COMPUTED_VALUE"""),0)</f>
        <v>0</v>
      </c>
      <c r="W142" s="97">
        <f ca="1">IFERROR(__xludf.DUMMYFUNCTION("""COMPUTED_VALUE"""),0)</f>
        <v>0</v>
      </c>
      <c r="X142" s="97">
        <f ca="1">IFERROR(__xludf.DUMMYFUNCTION("""COMPUTED_VALUE"""),0)</f>
        <v>0</v>
      </c>
      <c r="Y142" s="97">
        <f t="shared" ca="1" si="3"/>
        <v>0</v>
      </c>
      <c r="Z142" s="67">
        <f t="shared" si="4"/>
        <v>0</v>
      </c>
      <c r="AA142" s="67"/>
      <c r="AB142" s="67"/>
      <c r="AC142" s="67"/>
      <c r="AD142" s="99" t="e">
        <f t="shared" ca="1" si="5"/>
        <v>#DIV/0!</v>
      </c>
      <c r="AE142" s="67"/>
      <c r="AF142" s="67"/>
      <c r="AG142" s="67"/>
      <c r="AH142" s="67"/>
      <c r="AI142" s="67"/>
      <c r="AJ142" s="67"/>
      <c r="AK142" s="67"/>
      <c r="AL142" s="67"/>
      <c r="AM142" s="67"/>
      <c r="AN142" s="67"/>
      <c r="AO142" s="67"/>
      <c r="AP142" s="67"/>
      <c r="AQ142" s="67"/>
      <c r="AR142" s="67"/>
      <c r="AS142" s="67"/>
      <c r="AT142" s="67"/>
    </row>
    <row r="143" spans="1:46" ht="84" hidden="1" x14ac:dyDescent="0.2">
      <c r="A143" s="67"/>
      <c r="B143" s="96"/>
      <c r="C14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3" s="20" t="str">
        <f ca="1">IFERROR(__xludf.DUMMYFUNCTION("""COMPUTED_VALUE"""),"МинЖКХ")</f>
        <v>МинЖКХ</v>
      </c>
      <c r="E143" s="20" t="str">
        <f ca="1">IFERROR(__xludf.DUMMYFUNCTION("""COMPUTED_VALUE"""),"Приобретение,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f>
        <v>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v>
      </c>
      <c r="F143" s="67" t="str">
        <f ca="1">IFERROR(__xludf.DUMMYFUNCTION("""COMPUTED_VALUE"""),"Приобретение, монтаж")</f>
        <v>Приобретение, монтаж</v>
      </c>
      <c r="G143" s="67" t="str">
        <f ca="1">IFERROR(__xludf.DUMMYFUNCTION("""COMPUTED_VALUE"""),"г.о. Наро-Фоминск")</f>
        <v>г.о. Наро-Фоминск</v>
      </c>
      <c r="H143" s="67" t="str">
        <f ca="1">IFERROR(__xludf.DUMMYFUNCTION("""COMPUTED_VALUE"""),"Н/Л")</f>
        <v>Н/Л</v>
      </c>
      <c r="I143" s="67" t="str">
        <f ca="1">IFERROR(__xludf.DUMMYFUNCTION("""COMPUTED_VALUE"""),"10 1 02 60330")</f>
        <v>10 1 02 60330</v>
      </c>
      <c r="J143" s="67">
        <f ca="1">IFERROR(__xludf.DUMMYFUNCTION("""COMPUTED_VALUE"""),520)</f>
        <v>520</v>
      </c>
      <c r="K143" s="97">
        <f t="shared" ca="1" si="1"/>
        <v>0</v>
      </c>
      <c r="L143" s="97">
        <f ca="1">IFERROR(__xludf.DUMMYFUNCTION("""COMPUTED_VALUE"""),0)</f>
        <v>0</v>
      </c>
      <c r="M143" s="97">
        <f ca="1">IFERROR(__xludf.DUMMYFUNCTION("""COMPUTED_VALUE"""),0)</f>
        <v>0</v>
      </c>
      <c r="N143" s="97">
        <f ca="1">IFERROR(__xludf.DUMMYFUNCTION("""COMPUTED_VALUE"""),0)</f>
        <v>0</v>
      </c>
      <c r="O143" s="97">
        <f ca="1">IFERROR(__xludf.DUMMYFUNCTION("""COMPUTED_VALUE"""),0)</f>
        <v>0</v>
      </c>
      <c r="P143" s="97">
        <f t="shared" ca="1" si="2"/>
        <v>0</v>
      </c>
      <c r="Q143" s="67"/>
      <c r="R143" s="67"/>
      <c r="S143" s="97">
        <f ca="1">IFERROR(__xludf.DUMMYFUNCTION("""COMPUTED_VALUE"""),0)</f>
        <v>0</v>
      </c>
      <c r="T143" s="97">
        <f ca="1">IFERROR(__xludf.DUMMYFUNCTION("""COMPUTED_VALUE"""),0)</f>
        <v>0</v>
      </c>
      <c r="U143" s="97">
        <f ca="1">IFERROR(__xludf.DUMMYFUNCTION("""COMPUTED_VALUE"""),0)</f>
        <v>0</v>
      </c>
      <c r="V143" s="97">
        <f ca="1">IFERROR(__xludf.DUMMYFUNCTION("""COMPUTED_VALUE"""),0)</f>
        <v>0</v>
      </c>
      <c r="W143" s="97">
        <f ca="1">IFERROR(__xludf.DUMMYFUNCTION("""COMPUTED_VALUE"""),0)</f>
        <v>0</v>
      </c>
      <c r="X143" s="97">
        <f ca="1">IFERROR(__xludf.DUMMYFUNCTION("""COMPUTED_VALUE"""),0)</f>
        <v>0</v>
      </c>
      <c r="Y143" s="97">
        <f t="shared" ca="1" si="3"/>
        <v>0</v>
      </c>
      <c r="Z143" s="67">
        <f t="shared" si="4"/>
        <v>0</v>
      </c>
      <c r="AA143" s="67"/>
      <c r="AB143" s="67"/>
      <c r="AC143" s="67"/>
      <c r="AD143" s="99" t="e">
        <f t="shared" ca="1" si="5"/>
        <v>#DIV/0!</v>
      </c>
      <c r="AE143" s="67"/>
      <c r="AF143" s="67"/>
      <c r="AG143" s="67"/>
      <c r="AH143" s="67"/>
      <c r="AI143" s="67"/>
      <c r="AJ143" s="67"/>
      <c r="AK143" s="67"/>
      <c r="AL143" s="67"/>
      <c r="AM143" s="67"/>
      <c r="AN143" s="67"/>
      <c r="AO143" s="67"/>
      <c r="AP143" s="67"/>
      <c r="AQ143" s="67"/>
      <c r="AR143" s="67"/>
      <c r="AS143" s="67"/>
      <c r="AT143" s="67"/>
    </row>
    <row r="144" spans="1:46" ht="96" hidden="1" x14ac:dyDescent="0.2">
      <c r="A144" s="67"/>
      <c r="B144" s="96"/>
      <c r="C14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4" s="20" t="str">
        <f ca="1">IFERROR(__xludf.DUMMYFUNCTION("""COMPUTED_VALUE"""),"МинЖКХ")</f>
        <v>МинЖКХ</v>
      </c>
      <c r="E144" s="20" t="str">
        <f ca="1">IFERROR(__xludf.DUMMYFUNCTION("""COMPUTED_VALUE"""),"Приобретение,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f>
        <v>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v>
      </c>
      <c r="F144" s="67" t="str">
        <f ca="1">IFERROR(__xludf.DUMMYFUNCTION("""COMPUTED_VALUE"""),"Приобретение, монтаж")</f>
        <v>Приобретение, монтаж</v>
      </c>
      <c r="G144" s="67" t="str">
        <f ca="1">IFERROR(__xludf.DUMMYFUNCTION("""COMPUTED_VALUE"""),"г.о. Наро-Фоминск")</f>
        <v>г.о. Наро-Фоминск</v>
      </c>
      <c r="H144" s="67" t="str">
        <f ca="1">IFERROR(__xludf.DUMMYFUNCTION("""COMPUTED_VALUE"""),"Н/Л")</f>
        <v>Н/Л</v>
      </c>
      <c r="I144" s="67" t="str">
        <f ca="1">IFERROR(__xludf.DUMMYFUNCTION("""COMPUTED_VALUE"""),"10 1 02 60330")</f>
        <v>10 1 02 60330</v>
      </c>
      <c r="J144" s="67">
        <f ca="1">IFERROR(__xludf.DUMMYFUNCTION("""COMPUTED_VALUE"""),520)</f>
        <v>520</v>
      </c>
      <c r="K144" s="97">
        <f t="shared" ca="1" si="1"/>
        <v>0</v>
      </c>
      <c r="L144" s="97">
        <f ca="1">IFERROR(__xludf.DUMMYFUNCTION("""COMPUTED_VALUE"""),0)</f>
        <v>0</v>
      </c>
      <c r="M144" s="97">
        <f ca="1">IFERROR(__xludf.DUMMYFUNCTION("""COMPUTED_VALUE"""),0)</f>
        <v>0</v>
      </c>
      <c r="N144" s="97">
        <f ca="1">IFERROR(__xludf.DUMMYFUNCTION("""COMPUTED_VALUE"""),0)</f>
        <v>0</v>
      </c>
      <c r="O144" s="97">
        <f ca="1">IFERROR(__xludf.DUMMYFUNCTION("""COMPUTED_VALUE"""),0)</f>
        <v>0</v>
      </c>
      <c r="P144" s="97">
        <f t="shared" ca="1" si="2"/>
        <v>0</v>
      </c>
      <c r="Q144" s="67"/>
      <c r="R144" s="67"/>
      <c r="S144" s="97">
        <f ca="1">IFERROR(__xludf.DUMMYFUNCTION("""COMPUTED_VALUE"""),0)</f>
        <v>0</v>
      </c>
      <c r="T144" s="97">
        <f ca="1">IFERROR(__xludf.DUMMYFUNCTION("""COMPUTED_VALUE"""),0)</f>
        <v>0</v>
      </c>
      <c r="U144" s="97">
        <f ca="1">IFERROR(__xludf.DUMMYFUNCTION("""COMPUTED_VALUE"""),0)</f>
        <v>0</v>
      </c>
      <c r="V144" s="97">
        <f ca="1">IFERROR(__xludf.DUMMYFUNCTION("""COMPUTED_VALUE"""),0)</f>
        <v>0</v>
      </c>
      <c r="W144" s="97">
        <f ca="1">IFERROR(__xludf.DUMMYFUNCTION("""COMPUTED_VALUE"""),0)</f>
        <v>0</v>
      </c>
      <c r="X144" s="97">
        <f ca="1">IFERROR(__xludf.DUMMYFUNCTION("""COMPUTED_VALUE"""),0)</f>
        <v>0</v>
      </c>
      <c r="Y144" s="97">
        <f t="shared" ca="1" si="3"/>
        <v>0</v>
      </c>
      <c r="Z144" s="67">
        <f t="shared" si="4"/>
        <v>0</v>
      </c>
      <c r="AA144" s="67"/>
      <c r="AB144" s="67"/>
      <c r="AC144" s="67"/>
      <c r="AD144" s="99" t="e">
        <f t="shared" ca="1" si="5"/>
        <v>#DIV/0!</v>
      </c>
      <c r="AE144" s="67"/>
      <c r="AF144" s="67"/>
      <c r="AG144" s="67"/>
      <c r="AH144" s="67"/>
      <c r="AI144" s="67"/>
      <c r="AJ144" s="67"/>
      <c r="AK144" s="67"/>
      <c r="AL144" s="67"/>
      <c r="AM144" s="67"/>
      <c r="AN144" s="67"/>
      <c r="AO144" s="67"/>
      <c r="AP144" s="67"/>
      <c r="AQ144" s="67"/>
      <c r="AR144" s="67"/>
      <c r="AS144" s="67"/>
      <c r="AT144" s="67"/>
    </row>
    <row r="145" spans="1:46" ht="84" hidden="1" x14ac:dyDescent="0.2">
      <c r="A145" s="67"/>
      <c r="B145" s="96"/>
      <c r="C14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5" s="20" t="str">
        <f ca="1">IFERROR(__xludf.DUMMYFUNCTION("""COMPUTED_VALUE"""),"МинЖКХ")</f>
        <v>МинЖКХ</v>
      </c>
      <c r="E145" s="20" t="str">
        <f ca="1">IFERROR(__xludf.DUMMYFUNCTION("""COMPUTED_VALUE"""),"Приобретение, монтаж и ввод в эксплуатацию станции водоочистки, д. Софьино (в том числе погашение кредиторской задолженности - 6 157,72 тыс.руб.)  г.о. Наро-Фоминск")</f>
        <v>Приобретение, монтаж и ввод в эксплуатацию станции водоочистки, д. Софьино (в том числе погашение кредиторской задолженности - 6 157,72 тыс.руб.)  г.о. Наро-Фоминск</v>
      </c>
      <c r="F145" s="67" t="str">
        <f ca="1">IFERROR(__xludf.DUMMYFUNCTION("""COMPUTED_VALUE"""),"Приобретение, монтаж")</f>
        <v>Приобретение, монтаж</v>
      </c>
      <c r="G145" s="67" t="str">
        <f ca="1">IFERROR(__xludf.DUMMYFUNCTION("""COMPUTED_VALUE"""),"г.о. Наро-Фоминск")</f>
        <v>г.о. Наро-Фоминск</v>
      </c>
      <c r="H145" s="67" t="str">
        <f ca="1">IFERROR(__xludf.DUMMYFUNCTION("""COMPUTED_VALUE"""),"Н/Л")</f>
        <v>Н/Л</v>
      </c>
      <c r="I145" s="67" t="str">
        <f ca="1">IFERROR(__xludf.DUMMYFUNCTION("""COMPUTED_VALUE"""),"10 1 02 60330")</f>
        <v>10 1 02 60330</v>
      </c>
      <c r="J145" s="67">
        <f ca="1">IFERROR(__xludf.DUMMYFUNCTION("""COMPUTED_VALUE"""),520)</f>
        <v>520</v>
      </c>
      <c r="K145" s="97">
        <f t="shared" ca="1" si="1"/>
        <v>0</v>
      </c>
      <c r="L145" s="97">
        <f ca="1">IFERROR(__xludf.DUMMYFUNCTION("""COMPUTED_VALUE"""),0)</f>
        <v>0</v>
      </c>
      <c r="M145" s="97">
        <f ca="1">IFERROR(__xludf.DUMMYFUNCTION("""COMPUTED_VALUE"""),0)</f>
        <v>0</v>
      </c>
      <c r="N145" s="97">
        <f ca="1">IFERROR(__xludf.DUMMYFUNCTION("""COMPUTED_VALUE"""),0)</f>
        <v>0</v>
      </c>
      <c r="O145" s="97">
        <f ca="1">IFERROR(__xludf.DUMMYFUNCTION("""COMPUTED_VALUE"""),0)</f>
        <v>0</v>
      </c>
      <c r="P145" s="97">
        <f t="shared" ca="1" si="2"/>
        <v>0</v>
      </c>
      <c r="Q145" s="67"/>
      <c r="R145" s="67"/>
      <c r="S145" s="97">
        <f ca="1">IFERROR(__xludf.DUMMYFUNCTION("""COMPUTED_VALUE"""),0)</f>
        <v>0</v>
      </c>
      <c r="T145" s="97">
        <f ca="1">IFERROR(__xludf.DUMMYFUNCTION("""COMPUTED_VALUE"""),0)</f>
        <v>0</v>
      </c>
      <c r="U145" s="97">
        <f ca="1">IFERROR(__xludf.DUMMYFUNCTION("""COMPUTED_VALUE"""),0)</f>
        <v>0</v>
      </c>
      <c r="V145" s="97">
        <f ca="1">IFERROR(__xludf.DUMMYFUNCTION("""COMPUTED_VALUE"""),0)</f>
        <v>0</v>
      </c>
      <c r="W145" s="97">
        <f ca="1">IFERROR(__xludf.DUMMYFUNCTION("""COMPUTED_VALUE"""),0)</f>
        <v>0</v>
      </c>
      <c r="X145" s="97">
        <f ca="1">IFERROR(__xludf.DUMMYFUNCTION("""COMPUTED_VALUE"""),0)</f>
        <v>0</v>
      </c>
      <c r="Y145" s="97">
        <f t="shared" ca="1" si="3"/>
        <v>0</v>
      </c>
      <c r="Z145" s="67">
        <f t="shared" si="4"/>
        <v>0</v>
      </c>
      <c r="AA145" s="67"/>
      <c r="AB145" s="67"/>
      <c r="AC145" s="67"/>
      <c r="AD145" s="99" t="e">
        <f t="shared" ca="1" si="5"/>
        <v>#DIV/0!</v>
      </c>
      <c r="AE145" s="67"/>
      <c r="AF145" s="67"/>
      <c r="AG145" s="67"/>
      <c r="AH145" s="67"/>
      <c r="AI145" s="67"/>
      <c r="AJ145" s="67"/>
      <c r="AK145" s="67"/>
      <c r="AL145" s="67"/>
      <c r="AM145" s="67"/>
      <c r="AN145" s="67"/>
      <c r="AO145" s="67"/>
      <c r="AP145" s="67"/>
      <c r="AQ145" s="67"/>
      <c r="AR145" s="67"/>
      <c r="AS145" s="67"/>
      <c r="AT145" s="67"/>
    </row>
    <row r="146" spans="1:46" ht="84" hidden="1" x14ac:dyDescent="0.2">
      <c r="A146" s="67"/>
      <c r="B146" s="96"/>
      <c r="C14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6" s="20" t="str">
        <f ca="1">IFERROR(__xludf.DUMMYFUNCTION("""COMPUTED_VALUE"""),"МинЖКХ")</f>
        <v>МинЖКХ</v>
      </c>
      <c r="E146" s="20" t="str">
        <f ca="1">IFERROR(__xludf.DUMMYFUNCTION("""COMPUTED_VALUE"""),"Приобретение, монтаж и ввод в эксплуатацию станции обезжелезивания на ВЗУ № 15, д. Стрелино, с. п. Кривцовское  Солнечногорский м.р.")</f>
        <v>Приобретение, монтаж и ввод в эксплуатацию станции обезжелезивания на ВЗУ № 15, д. Стрелино, с. п. Кривцовское  Солнечногорский м.р.</v>
      </c>
      <c r="F146" s="67" t="str">
        <f ca="1">IFERROR(__xludf.DUMMYFUNCTION("""COMPUTED_VALUE"""),"Приобретение, монтаж")</f>
        <v>Приобретение, монтаж</v>
      </c>
      <c r="G146" s="67" t="str">
        <f ca="1">IFERROR(__xludf.DUMMYFUNCTION("""COMPUTED_VALUE"""),"г.о. Солнечногорск")</f>
        <v>г.о. Солнечногорск</v>
      </c>
      <c r="H146" s="67" t="str">
        <f ca="1">IFERROR(__xludf.DUMMYFUNCTION("""COMPUTED_VALUE"""),"Н/Л")</f>
        <v>Н/Л</v>
      </c>
      <c r="I146" s="67" t="str">
        <f ca="1">IFERROR(__xludf.DUMMYFUNCTION("""COMPUTED_VALUE"""),"10 1 02 60330")</f>
        <v>10 1 02 60330</v>
      </c>
      <c r="J146" s="67">
        <f ca="1">IFERROR(__xludf.DUMMYFUNCTION("""COMPUTED_VALUE"""),520)</f>
        <v>520</v>
      </c>
      <c r="K146" s="97">
        <f t="shared" ca="1" si="1"/>
        <v>0</v>
      </c>
      <c r="L146" s="97">
        <f ca="1">IFERROR(__xludf.DUMMYFUNCTION("""COMPUTED_VALUE"""),0)</f>
        <v>0</v>
      </c>
      <c r="M146" s="97">
        <f ca="1">IFERROR(__xludf.DUMMYFUNCTION("""COMPUTED_VALUE"""),0)</f>
        <v>0</v>
      </c>
      <c r="N146" s="97">
        <f ca="1">IFERROR(__xludf.DUMMYFUNCTION("""COMPUTED_VALUE"""),0)</f>
        <v>0</v>
      </c>
      <c r="O146" s="97">
        <f ca="1">IFERROR(__xludf.DUMMYFUNCTION("""COMPUTED_VALUE"""),0)</f>
        <v>0</v>
      </c>
      <c r="P146" s="97">
        <f t="shared" ca="1" si="2"/>
        <v>0</v>
      </c>
      <c r="Q146" s="98">
        <f ca="1">IFERROR(__xludf.DUMMYFUNCTION("""COMPUTED_VALUE"""),1)</f>
        <v>1</v>
      </c>
      <c r="R146" s="67"/>
      <c r="S146" s="97">
        <f ca="1">IFERROR(__xludf.DUMMYFUNCTION("""COMPUTED_VALUE"""),0)</f>
        <v>0</v>
      </c>
      <c r="T146" s="97">
        <f ca="1">IFERROR(__xludf.DUMMYFUNCTION("""COMPUTED_VALUE"""),0)</f>
        <v>0</v>
      </c>
      <c r="U146" s="97">
        <f ca="1">IFERROR(__xludf.DUMMYFUNCTION("""COMPUTED_VALUE"""),0)</f>
        <v>0</v>
      </c>
      <c r="V146" s="97">
        <f ca="1">IFERROR(__xludf.DUMMYFUNCTION("""COMPUTED_VALUE"""),0)</f>
        <v>0</v>
      </c>
      <c r="W146" s="97">
        <f ca="1">IFERROR(__xludf.DUMMYFUNCTION("""COMPUTED_VALUE"""),0)</f>
        <v>0</v>
      </c>
      <c r="X146" s="97">
        <f ca="1">IFERROR(__xludf.DUMMYFUNCTION("""COMPUTED_VALUE"""),0)</f>
        <v>0</v>
      </c>
      <c r="Y146" s="97">
        <f t="shared" ca="1" si="3"/>
        <v>0</v>
      </c>
      <c r="Z146" s="67">
        <f t="shared" si="4"/>
        <v>0</v>
      </c>
      <c r="AA146" s="67"/>
      <c r="AB146" s="67"/>
      <c r="AC146" s="67"/>
      <c r="AD146" s="99" t="e">
        <f t="shared" ca="1" si="5"/>
        <v>#DIV/0!</v>
      </c>
      <c r="AE146" s="67"/>
      <c r="AF146" s="67"/>
      <c r="AG146" s="67"/>
      <c r="AH146" s="67"/>
      <c r="AI146" s="67"/>
      <c r="AJ146" s="67"/>
      <c r="AK146" s="67"/>
      <c r="AL146" s="67"/>
      <c r="AM146" s="67"/>
      <c r="AN146" s="67"/>
      <c r="AO146" s="67"/>
      <c r="AP146" s="67"/>
      <c r="AQ146" s="67"/>
      <c r="AR146" s="67"/>
      <c r="AS146" s="67"/>
      <c r="AT146" s="67"/>
    </row>
    <row r="147" spans="1:46" ht="84" hidden="1" x14ac:dyDescent="0.2">
      <c r="A147" s="67"/>
      <c r="B147" s="96"/>
      <c r="C14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7" s="20" t="str">
        <f ca="1">IFERROR(__xludf.DUMMYFUNCTION("""COMPUTED_VALUE"""),"МинЖКХ")</f>
        <v>МинЖКХ</v>
      </c>
      <c r="E147" s="20" t="str">
        <f ca="1">IFERROR(__xludf.DUMMYFUNCTION("""COMPUTED_VALUE"""),"Приобретение, монтаж и ввод в эксплуатацию станции обезжелезивания на ВЗУ № 19, д. Тараканово, с. п. Смирновское Солнечногорский м.р.")</f>
        <v>Приобретение, монтаж и ввод в эксплуатацию станции обезжелезивания на ВЗУ № 19, д. Тараканово, с. п. Смирновское Солнечногорский м.р.</v>
      </c>
      <c r="F147" s="67" t="str">
        <f ca="1">IFERROR(__xludf.DUMMYFUNCTION("""COMPUTED_VALUE"""),"Приобретение, монтаж")</f>
        <v>Приобретение, монтаж</v>
      </c>
      <c r="G147" s="67" t="str">
        <f ca="1">IFERROR(__xludf.DUMMYFUNCTION("""COMPUTED_VALUE"""),"г.о. Солнечногорск")</f>
        <v>г.о. Солнечногорск</v>
      </c>
      <c r="H147" s="67" t="str">
        <f ca="1">IFERROR(__xludf.DUMMYFUNCTION("""COMPUTED_VALUE"""),"Н/Л")</f>
        <v>Н/Л</v>
      </c>
      <c r="I147" s="67" t="str">
        <f ca="1">IFERROR(__xludf.DUMMYFUNCTION("""COMPUTED_VALUE"""),"10 1 02 60330")</f>
        <v>10 1 02 60330</v>
      </c>
      <c r="J147" s="67">
        <f ca="1">IFERROR(__xludf.DUMMYFUNCTION("""COMPUTED_VALUE"""),520)</f>
        <v>520</v>
      </c>
      <c r="K147" s="97">
        <f t="shared" ca="1" si="1"/>
        <v>0</v>
      </c>
      <c r="L147" s="97">
        <f ca="1">IFERROR(__xludf.DUMMYFUNCTION("""COMPUTED_VALUE"""),0)</f>
        <v>0</v>
      </c>
      <c r="M147" s="97">
        <f ca="1">IFERROR(__xludf.DUMMYFUNCTION("""COMPUTED_VALUE"""),0)</f>
        <v>0</v>
      </c>
      <c r="N147" s="97">
        <f ca="1">IFERROR(__xludf.DUMMYFUNCTION("""COMPUTED_VALUE"""),0)</f>
        <v>0</v>
      </c>
      <c r="O147" s="97">
        <f ca="1">IFERROR(__xludf.DUMMYFUNCTION("""COMPUTED_VALUE"""),0)</f>
        <v>0</v>
      </c>
      <c r="P147" s="97">
        <f t="shared" ca="1" si="2"/>
        <v>0</v>
      </c>
      <c r="Q147" s="98">
        <f ca="1">IFERROR(__xludf.DUMMYFUNCTION("""COMPUTED_VALUE"""),1)</f>
        <v>1</v>
      </c>
      <c r="R147" s="67"/>
      <c r="S147" s="97">
        <f ca="1">IFERROR(__xludf.DUMMYFUNCTION("""COMPUTED_VALUE"""),0)</f>
        <v>0</v>
      </c>
      <c r="T147" s="97">
        <f ca="1">IFERROR(__xludf.DUMMYFUNCTION("""COMPUTED_VALUE"""),0)</f>
        <v>0</v>
      </c>
      <c r="U147" s="97">
        <f ca="1">IFERROR(__xludf.DUMMYFUNCTION("""COMPUTED_VALUE"""),0)</f>
        <v>0</v>
      </c>
      <c r="V147" s="97">
        <f ca="1">IFERROR(__xludf.DUMMYFUNCTION("""COMPUTED_VALUE"""),0)</f>
        <v>0</v>
      </c>
      <c r="W147" s="97">
        <f ca="1">IFERROR(__xludf.DUMMYFUNCTION("""COMPUTED_VALUE"""),0)</f>
        <v>0</v>
      </c>
      <c r="X147" s="97">
        <f ca="1">IFERROR(__xludf.DUMMYFUNCTION("""COMPUTED_VALUE"""),0)</f>
        <v>0</v>
      </c>
      <c r="Y147" s="97">
        <f t="shared" ca="1" si="3"/>
        <v>0</v>
      </c>
      <c r="Z147" s="67">
        <f t="shared" si="4"/>
        <v>0</v>
      </c>
      <c r="AA147" s="67"/>
      <c r="AB147" s="67"/>
      <c r="AC147" s="67"/>
      <c r="AD147" s="99" t="e">
        <f t="shared" ca="1" si="5"/>
        <v>#DIV/0!</v>
      </c>
      <c r="AE147" s="67"/>
      <c r="AF147" s="67"/>
      <c r="AG147" s="67"/>
      <c r="AH147" s="67"/>
      <c r="AI147" s="67"/>
      <c r="AJ147" s="67"/>
      <c r="AK147" s="67"/>
      <c r="AL147" s="67"/>
      <c r="AM147" s="67"/>
      <c r="AN147" s="67"/>
      <c r="AO147" s="67"/>
      <c r="AP147" s="67"/>
      <c r="AQ147" s="67"/>
      <c r="AR147" s="67"/>
      <c r="AS147" s="67"/>
      <c r="AT147" s="67"/>
    </row>
    <row r="148" spans="1:46" ht="84" hidden="1" x14ac:dyDescent="0.2">
      <c r="A148" s="67"/>
      <c r="B148" s="96"/>
      <c r="C14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8" s="20" t="str">
        <f ca="1">IFERROR(__xludf.DUMMYFUNCTION("""COMPUTED_VALUE"""),"МинЖКХ")</f>
        <v>МинЖКХ</v>
      </c>
      <c r="E148" s="20" t="str">
        <f ca="1">IFERROR(__xludf.DUMMYFUNCTION("""COMPUTED_VALUE"""),"Капитальный ремонт ВЗУ  со станцией обезжелезивания, п. Краснознаменский г. Щелково, Щелковский м.р. ")</f>
        <v xml:space="preserve">Капитальный ремонт ВЗУ  со станцией обезжелезивания, п. Краснознаменский г. Щелково, Щелковский м.р. </v>
      </c>
      <c r="F148" s="67" t="str">
        <f ca="1">IFERROR(__xludf.DUMMYFUNCTION("""COMPUTED_VALUE"""),"СМР")</f>
        <v>СМР</v>
      </c>
      <c r="G148" s="67" t="str">
        <f ca="1">IFERROR(__xludf.DUMMYFUNCTION("""COMPUTED_VALUE"""),"г.о. Щелково")</f>
        <v>г.о. Щелково</v>
      </c>
      <c r="H148" s="67">
        <f ca="1">IFERROR(__xludf.DUMMYFUNCTION("""COMPUTED_VALUE"""),2021)</f>
        <v>2021</v>
      </c>
      <c r="I148" s="67" t="str">
        <f ca="1">IFERROR(__xludf.DUMMYFUNCTION("""COMPUTED_VALUE"""),"10 1 02 60330")</f>
        <v>10 1 02 60330</v>
      </c>
      <c r="J148" s="67">
        <f ca="1">IFERROR(__xludf.DUMMYFUNCTION("""COMPUTED_VALUE"""),520)</f>
        <v>520</v>
      </c>
      <c r="K148" s="97">
        <f t="shared" ca="1" si="1"/>
        <v>0</v>
      </c>
      <c r="L148" s="97">
        <f ca="1">IFERROR(__xludf.DUMMYFUNCTION("""COMPUTED_VALUE"""),0)</f>
        <v>0</v>
      </c>
      <c r="M148" s="97">
        <f ca="1">IFERROR(__xludf.DUMMYFUNCTION("""COMPUTED_VALUE"""),0)</f>
        <v>0</v>
      </c>
      <c r="N148" s="97">
        <f ca="1">IFERROR(__xludf.DUMMYFUNCTION("""COMPUTED_VALUE"""),0)</f>
        <v>0</v>
      </c>
      <c r="O148" s="97">
        <f ca="1">IFERROR(__xludf.DUMMYFUNCTION("""COMPUTED_VALUE"""),0)</f>
        <v>0</v>
      </c>
      <c r="P148" s="97">
        <f t="shared" ca="1" si="2"/>
        <v>0</v>
      </c>
      <c r="Q148" s="67"/>
      <c r="R148" s="67"/>
      <c r="S148" s="97">
        <f ca="1">IFERROR(__xludf.DUMMYFUNCTION("""COMPUTED_VALUE"""),0)</f>
        <v>0</v>
      </c>
      <c r="T148" s="97">
        <f ca="1">IFERROR(__xludf.DUMMYFUNCTION("""COMPUTED_VALUE"""),0)</f>
        <v>0</v>
      </c>
      <c r="U148" s="97">
        <f ca="1">IFERROR(__xludf.DUMMYFUNCTION("""COMPUTED_VALUE"""),0)</f>
        <v>0</v>
      </c>
      <c r="V148" s="97">
        <f ca="1">IFERROR(__xludf.DUMMYFUNCTION("""COMPUTED_VALUE"""),0)</f>
        <v>0</v>
      </c>
      <c r="W148" s="97">
        <f ca="1">IFERROR(__xludf.DUMMYFUNCTION("""COMPUTED_VALUE"""),0)</f>
        <v>0</v>
      </c>
      <c r="X148" s="97">
        <f ca="1">IFERROR(__xludf.DUMMYFUNCTION("""COMPUTED_VALUE"""),0)</f>
        <v>0</v>
      </c>
      <c r="Y148" s="97">
        <f t="shared" ca="1" si="3"/>
        <v>0</v>
      </c>
      <c r="Z148" s="67">
        <f t="shared" si="4"/>
        <v>0</v>
      </c>
      <c r="AA148" s="67"/>
      <c r="AB148" s="67"/>
      <c r="AC148" s="67"/>
      <c r="AD148" s="99" t="e">
        <f t="shared" ca="1" si="5"/>
        <v>#DIV/0!</v>
      </c>
      <c r="AE148" s="67"/>
      <c r="AF148" s="67"/>
      <c r="AG148" s="67"/>
      <c r="AH148" s="67"/>
      <c r="AI148" s="67"/>
      <c r="AJ148" s="67"/>
      <c r="AK148" s="67"/>
      <c r="AL148" s="67"/>
      <c r="AM148" s="67"/>
      <c r="AN148" s="67"/>
      <c r="AO148" s="67"/>
      <c r="AP148" s="67"/>
      <c r="AQ148" s="67"/>
      <c r="AR148" s="67"/>
      <c r="AS148" s="67"/>
      <c r="AT148" s="67"/>
    </row>
    <row r="149" spans="1:46" ht="84" hidden="1" x14ac:dyDescent="0.2">
      <c r="A149" s="67"/>
      <c r="B149" s="96"/>
      <c r="C14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9" s="20" t="str">
        <f ca="1">IFERROR(__xludf.DUMMYFUNCTION("""COMPUTED_VALUE"""),"МинЖКХ")</f>
        <v>МинЖКХ</v>
      </c>
      <c r="E149" s="20" t="str">
        <f ca="1">IFERROR(__xludf.DUMMYFUNCTION("""COMPUTED_VALUE"""),"Капитальный ремонт ВЗУ №3 со станцией обезжелезивания г. Щелково, ул. Центральная 1-ый и 2-ой этапы")</f>
        <v>Капитальный ремонт ВЗУ №3 со станцией обезжелезивания г. Щелково, ул. Центральная 1-ый и 2-ой этапы</v>
      </c>
      <c r="F149" s="67" t="str">
        <f ca="1">IFERROR(__xludf.DUMMYFUNCTION("""COMPUTED_VALUE"""),"СМР")</f>
        <v>СМР</v>
      </c>
      <c r="G149" s="67" t="str">
        <f ca="1">IFERROR(__xludf.DUMMYFUNCTION("""COMPUTED_VALUE"""),"г.о. Щелково")</f>
        <v>г.о. Щелково</v>
      </c>
      <c r="H149" s="67">
        <f ca="1">IFERROR(__xludf.DUMMYFUNCTION("""COMPUTED_VALUE"""),2021)</f>
        <v>2021</v>
      </c>
      <c r="I149" s="67" t="str">
        <f ca="1">IFERROR(__xludf.DUMMYFUNCTION("""COMPUTED_VALUE"""),"10 1 02 60330")</f>
        <v>10 1 02 60330</v>
      </c>
      <c r="J149" s="67">
        <f ca="1">IFERROR(__xludf.DUMMYFUNCTION("""COMPUTED_VALUE"""),520)</f>
        <v>520</v>
      </c>
      <c r="K149" s="97">
        <f t="shared" ca="1" si="1"/>
        <v>0</v>
      </c>
      <c r="L149" s="97">
        <f ca="1">IFERROR(__xludf.DUMMYFUNCTION("""COMPUTED_VALUE"""),0)</f>
        <v>0</v>
      </c>
      <c r="M149" s="97">
        <f ca="1">IFERROR(__xludf.DUMMYFUNCTION("""COMPUTED_VALUE"""),0)</f>
        <v>0</v>
      </c>
      <c r="N149" s="97">
        <f ca="1">IFERROR(__xludf.DUMMYFUNCTION("""COMPUTED_VALUE"""),0)</f>
        <v>0</v>
      </c>
      <c r="O149" s="97">
        <f ca="1">IFERROR(__xludf.DUMMYFUNCTION("""COMPUTED_VALUE"""),0)</f>
        <v>0</v>
      </c>
      <c r="P149" s="97">
        <f t="shared" ca="1" si="2"/>
        <v>0</v>
      </c>
      <c r="Q149" s="67"/>
      <c r="R149" s="67"/>
      <c r="S149" s="97">
        <f ca="1">IFERROR(__xludf.DUMMYFUNCTION("""COMPUTED_VALUE"""),0)</f>
        <v>0</v>
      </c>
      <c r="T149" s="97">
        <f ca="1">IFERROR(__xludf.DUMMYFUNCTION("""COMPUTED_VALUE"""),0)</f>
        <v>0</v>
      </c>
      <c r="U149" s="97">
        <f ca="1">IFERROR(__xludf.DUMMYFUNCTION("""COMPUTED_VALUE"""),0)</f>
        <v>0</v>
      </c>
      <c r="V149" s="97">
        <f ca="1">IFERROR(__xludf.DUMMYFUNCTION("""COMPUTED_VALUE"""),0)</f>
        <v>0</v>
      </c>
      <c r="W149" s="97">
        <f ca="1">IFERROR(__xludf.DUMMYFUNCTION("""COMPUTED_VALUE"""),0)</f>
        <v>0</v>
      </c>
      <c r="X149" s="97">
        <f ca="1">IFERROR(__xludf.DUMMYFUNCTION("""COMPUTED_VALUE"""),0)</f>
        <v>0</v>
      </c>
      <c r="Y149" s="97">
        <f t="shared" ca="1" si="3"/>
        <v>0</v>
      </c>
      <c r="Z149" s="67">
        <f t="shared" si="4"/>
        <v>0</v>
      </c>
      <c r="AA149" s="67"/>
      <c r="AB149" s="67"/>
      <c r="AC149" s="67"/>
      <c r="AD149" s="99" t="e">
        <f t="shared" ca="1" si="5"/>
        <v>#DIV/0!</v>
      </c>
      <c r="AE149" s="67"/>
      <c r="AF149" s="67"/>
      <c r="AG149" s="67"/>
      <c r="AH149" s="67"/>
      <c r="AI149" s="67"/>
      <c r="AJ149" s="67"/>
      <c r="AK149" s="67"/>
      <c r="AL149" s="67"/>
      <c r="AM149" s="67"/>
      <c r="AN149" s="67"/>
      <c r="AO149" s="67"/>
      <c r="AP149" s="67"/>
      <c r="AQ149" s="67"/>
      <c r="AR149" s="67"/>
      <c r="AS149" s="67"/>
      <c r="AT149" s="67"/>
    </row>
    <row r="150" spans="1:46" ht="84" hidden="1" x14ac:dyDescent="0.2">
      <c r="A150" s="67"/>
      <c r="B150" s="96"/>
      <c r="C15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0" s="20" t="str">
        <f ca="1">IFERROR(__xludf.DUMMYFUNCTION("""COMPUTED_VALUE"""),"МинЖКХ")</f>
        <v>МинЖКХ</v>
      </c>
      <c r="E150" s="20" t="str">
        <f ca="1">IFERROR(__xludf.DUMMYFUNCTION("""COMPUTED_VALUE"""),"Капитальный ремонт ВЗУ  со станцией обезжелезивания  ул. Розы Люксембург, г.п. Загорянский  Щелковский муниципальный район Московской области (I этап)")</f>
        <v>Капитальный ремонт ВЗУ  со станцией обезжелезивания  ул. Розы Люксембург, г.п. Загорянский  Щелковский муниципальный район Московской области (I этап)</v>
      </c>
      <c r="F150" s="67" t="str">
        <f ca="1">IFERROR(__xludf.DUMMYFUNCTION("""COMPUTED_VALUE"""),"СМР")</f>
        <v>СМР</v>
      </c>
      <c r="G150" s="67" t="str">
        <f ca="1">IFERROR(__xludf.DUMMYFUNCTION("""COMPUTED_VALUE"""),"г.о. Щелково")</f>
        <v>г.о. Щелково</v>
      </c>
      <c r="H150" s="67" t="str">
        <f ca="1">IFERROR(__xludf.DUMMYFUNCTION("""COMPUTED_VALUE"""),"Н/Л")</f>
        <v>Н/Л</v>
      </c>
      <c r="I150" s="67" t="str">
        <f ca="1">IFERROR(__xludf.DUMMYFUNCTION("""COMPUTED_VALUE"""),"10 1 02 60330")</f>
        <v>10 1 02 60330</v>
      </c>
      <c r="J150" s="67">
        <f ca="1">IFERROR(__xludf.DUMMYFUNCTION("""COMPUTED_VALUE"""),520)</f>
        <v>520</v>
      </c>
      <c r="K150" s="97">
        <f t="shared" ca="1" si="1"/>
        <v>0</v>
      </c>
      <c r="L150" s="97">
        <f ca="1">IFERROR(__xludf.DUMMYFUNCTION("""COMPUTED_VALUE"""),0)</f>
        <v>0</v>
      </c>
      <c r="M150" s="97">
        <f ca="1">IFERROR(__xludf.DUMMYFUNCTION("""COMPUTED_VALUE"""),0)</f>
        <v>0</v>
      </c>
      <c r="N150" s="97">
        <f ca="1">IFERROR(__xludf.DUMMYFUNCTION("""COMPUTED_VALUE"""),0)</f>
        <v>0</v>
      </c>
      <c r="O150" s="97">
        <f ca="1">IFERROR(__xludf.DUMMYFUNCTION("""COMPUTED_VALUE"""),0)</f>
        <v>0</v>
      </c>
      <c r="P150" s="97">
        <f t="shared" ca="1" si="2"/>
        <v>0</v>
      </c>
      <c r="Q150" s="67"/>
      <c r="R150" s="67"/>
      <c r="S150" s="97">
        <f ca="1">IFERROR(__xludf.DUMMYFUNCTION("""COMPUTED_VALUE"""),0)</f>
        <v>0</v>
      </c>
      <c r="T150" s="97">
        <f ca="1">IFERROR(__xludf.DUMMYFUNCTION("""COMPUTED_VALUE"""),0)</f>
        <v>0</v>
      </c>
      <c r="U150" s="97">
        <f ca="1">IFERROR(__xludf.DUMMYFUNCTION("""COMPUTED_VALUE"""),0)</f>
        <v>0</v>
      </c>
      <c r="V150" s="97">
        <f ca="1">IFERROR(__xludf.DUMMYFUNCTION("""COMPUTED_VALUE"""),0)</f>
        <v>0</v>
      </c>
      <c r="W150" s="97">
        <f ca="1">IFERROR(__xludf.DUMMYFUNCTION("""COMPUTED_VALUE"""),0)</f>
        <v>0</v>
      </c>
      <c r="X150" s="97">
        <f ca="1">IFERROR(__xludf.DUMMYFUNCTION("""COMPUTED_VALUE"""),0)</f>
        <v>0</v>
      </c>
      <c r="Y150" s="97">
        <f t="shared" ca="1" si="3"/>
        <v>0</v>
      </c>
      <c r="Z150" s="67">
        <f t="shared" si="4"/>
        <v>0</v>
      </c>
      <c r="AA150" s="67"/>
      <c r="AB150" s="67"/>
      <c r="AC150" s="67"/>
      <c r="AD150" s="99" t="e">
        <f t="shared" ca="1" si="5"/>
        <v>#DIV/0!</v>
      </c>
      <c r="AE150" s="67"/>
      <c r="AF150" s="67"/>
      <c r="AG150" s="67"/>
      <c r="AH150" s="67"/>
      <c r="AI150" s="67"/>
      <c r="AJ150" s="67"/>
      <c r="AK150" s="67"/>
      <c r="AL150" s="67"/>
      <c r="AM150" s="67"/>
      <c r="AN150" s="67"/>
      <c r="AO150" s="67"/>
      <c r="AP150" s="67"/>
      <c r="AQ150" s="67"/>
      <c r="AR150" s="67"/>
      <c r="AS150" s="67"/>
      <c r="AT150" s="67"/>
    </row>
    <row r="151" spans="1:46" ht="84" hidden="1" x14ac:dyDescent="0.2">
      <c r="A151" s="67"/>
      <c r="B151" s="96"/>
      <c r="C15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1" s="20" t="str">
        <f ca="1">IFERROR(__xludf.DUMMYFUNCTION("""COMPUTED_VALUE"""),"МинЖКХ")</f>
        <v>МинЖКХ</v>
      </c>
      <c r="E151" s="20" t="str">
        <f ca="1">IFERROR(__xludf.DUMMYFUNCTION("""COMPUTED_VALUE"""),"Приобретение,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f>
        <v>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v>
      </c>
      <c r="F151" s="67" t="str">
        <f ca="1">IFERROR(__xludf.DUMMYFUNCTION("""COMPUTED_VALUE"""),"Приобретение, монтаж")</f>
        <v>Приобретение, монтаж</v>
      </c>
      <c r="G151" s="67" t="str">
        <f ca="1">IFERROR(__xludf.DUMMYFUNCTION("""COMPUTED_VALUE"""),"г.о. Щелково")</f>
        <v>г.о. Щелково</v>
      </c>
      <c r="H151" s="67" t="str">
        <f ca="1">IFERROR(__xludf.DUMMYFUNCTION("""COMPUTED_VALUE"""),"Н/Л")</f>
        <v>Н/Л</v>
      </c>
      <c r="I151" s="67" t="str">
        <f ca="1">IFERROR(__xludf.DUMMYFUNCTION("""COMPUTED_VALUE"""),"10 1 02 60330")</f>
        <v>10 1 02 60330</v>
      </c>
      <c r="J151" s="67">
        <f ca="1">IFERROR(__xludf.DUMMYFUNCTION("""COMPUTED_VALUE"""),520)</f>
        <v>520</v>
      </c>
      <c r="K151" s="97">
        <f t="shared" ca="1" si="1"/>
        <v>0</v>
      </c>
      <c r="L151" s="97">
        <f ca="1">IFERROR(__xludf.DUMMYFUNCTION("""COMPUTED_VALUE"""),0)</f>
        <v>0</v>
      </c>
      <c r="M151" s="97">
        <f ca="1">IFERROR(__xludf.DUMMYFUNCTION("""COMPUTED_VALUE"""),0)</f>
        <v>0</v>
      </c>
      <c r="N151" s="97">
        <f ca="1">IFERROR(__xludf.DUMMYFUNCTION("""COMPUTED_VALUE"""),0)</f>
        <v>0</v>
      </c>
      <c r="O151" s="97">
        <f ca="1">IFERROR(__xludf.DUMMYFUNCTION("""COMPUTED_VALUE"""),0)</f>
        <v>0</v>
      </c>
      <c r="P151" s="97">
        <f t="shared" ca="1" si="2"/>
        <v>0</v>
      </c>
      <c r="Q151" s="67"/>
      <c r="R151" s="67"/>
      <c r="S151" s="97">
        <f ca="1">IFERROR(__xludf.DUMMYFUNCTION("""COMPUTED_VALUE"""),0)</f>
        <v>0</v>
      </c>
      <c r="T151" s="97">
        <f ca="1">IFERROR(__xludf.DUMMYFUNCTION("""COMPUTED_VALUE"""),0)</f>
        <v>0</v>
      </c>
      <c r="U151" s="97">
        <f ca="1">IFERROR(__xludf.DUMMYFUNCTION("""COMPUTED_VALUE"""),0)</f>
        <v>0</v>
      </c>
      <c r="V151" s="97">
        <f ca="1">IFERROR(__xludf.DUMMYFUNCTION("""COMPUTED_VALUE"""),0)</f>
        <v>0</v>
      </c>
      <c r="W151" s="97">
        <f ca="1">IFERROR(__xludf.DUMMYFUNCTION("""COMPUTED_VALUE"""),0)</f>
        <v>0</v>
      </c>
      <c r="X151" s="97">
        <f ca="1">IFERROR(__xludf.DUMMYFUNCTION("""COMPUTED_VALUE"""),0)</f>
        <v>0</v>
      </c>
      <c r="Y151" s="97">
        <f t="shared" ca="1" si="3"/>
        <v>0</v>
      </c>
      <c r="Z151" s="67">
        <f t="shared" si="4"/>
        <v>0</v>
      </c>
      <c r="AA151" s="67"/>
      <c r="AB151" s="67"/>
      <c r="AC151" s="67"/>
      <c r="AD151" s="99" t="e">
        <f t="shared" ca="1" si="5"/>
        <v>#DIV/0!</v>
      </c>
      <c r="AE151" s="67"/>
      <c r="AF151" s="67"/>
      <c r="AG151" s="67"/>
      <c r="AH151" s="67"/>
      <c r="AI151" s="67"/>
      <c r="AJ151" s="67"/>
      <c r="AK151" s="67"/>
      <c r="AL151" s="67"/>
      <c r="AM151" s="67"/>
      <c r="AN151" s="67"/>
      <c r="AO151" s="67"/>
      <c r="AP151" s="67"/>
      <c r="AQ151" s="67"/>
      <c r="AR151" s="67"/>
      <c r="AS151" s="67"/>
      <c r="AT151" s="67"/>
    </row>
    <row r="152" spans="1:46" ht="84" hidden="1" x14ac:dyDescent="0.2">
      <c r="A152" s="67"/>
      <c r="B152" s="96"/>
      <c r="C15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2" s="20" t="str">
        <f ca="1">IFERROR(__xludf.DUMMYFUNCTION("""COMPUTED_VALUE"""),"МинЖКХ")</f>
        <v>МинЖКХ</v>
      </c>
      <c r="E152" s="20" t="str">
        <f ca="1">IFERROR(__xludf.DUMMYFUNCTION("""COMPUTED_VALUE"""),"Приобретение,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f>
        <v>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v>
      </c>
      <c r="F152" s="67" t="str">
        <f ca="1">IFERROR(__xludf.DUMMYFUNCTION("""COMPUTED_VALUE"""),"Приобретение, монтаж")</f>
        <v>Приобретение, монтаж</v>
      </c>
      <c r="G152" s="67" t="str">
        <f ca="1">IFERROR(__xludf.DUMMYFUNCTION("""COMPUTED_VALUE"""),"г.о. Щелково")</f>
        <v>г.о. Щелково</v>
      </c>
      <c r="H152" s="67" t="str">
        <f ca="1">IFERROR(__xludf.DUMMYFUNCTION("""COMPUTED_VALUE"""),"Н/Л")</f>
        <v>Н/Л</v>
      </c>
      <c r="I152" s="67" t="str">
        <f ca="1">IFERROR(__xludf.DUMMYFUNCTION("""COMPUTED_VALUE"""),"10 1 02 60330")</f>
        <v>10 1 02 60330</v>
      </c>
      <c r="J152" s="67">
        <f ca="1">IFERROR(__xludf.DUMMYFUNCTION("""COMPUTED_VALUE"""),520)</f>
        <v>520</v>
      </c>
      <c r="K152" s="97">
        <f t="shared" ca="1" si="1"/>
        <v>0</v>
      </c>
      <c r="L152" s="97">
        <f ca="1">IFERROR(__xludf.DUMMYFUNCTION("""COMPUTED_VALUE"""),0)</f>
        <v>0</v>
      </c>
      <c r="M152" s="97">
        <f ca="1">IFERROR(__xludf.DUMMYFUNCTION("""COMPUTED_VALUE"""),0)</f>
        <v>0</v>
      </c>
      <c r="N152" s="97">
        <f ca="1">IFERROR(__xludf.DUMMYFUNCTION("""COMPUTED_VALUE"""),0)</f>
        <v>0</v>
      </c>
      <c r="O152" s="97">
        <f ca="1">IFERROR(__xludf.DUMMYFUNCTION("""COMPUTED_VALUE"""),0)</f>
        <v>0</v>
      </c>
      <c r="P152" s="97">
        <f t="shared" ca="1" si="2"/>
        <v>0</v>
      </c>
      <c r="Q152" s="67"/>
      <c r="R152" s="67"/>
      <c r="S152" s="97">
        <f ca="1">IFERROR(__xludf.DUMMYFUNCTION("""COMPUTED_VALUE"""),0)</f>
        <v>0</v>
      </c>
      <c r="T152" s="97">
        <f ca="1">IFERROR(__xludf.DUMMYFUNCTION("""COMPUTED_VALUE"""),0)</f>
        <v>0</v>
      </c>
      <c r="U152" s="97">
        <f ca="1">IFERROR(__xludf.DUMMYFUNCTION("""COMPUTED_VALUE"""),0)</f>
        <v>0</v>
      </c>
      <c r="V152" s="97">
        <f ca="1">IFERROR(__xludf.DUMMYFUNCTION("""COMPUTED_VALUE"""),0)</f>
        <v>0</v>
      </c>
      <c r="W152" s="97">
        <f ca="1">IFERROR(__xludf.DUMMYFUNCTION("""COMPUTED_VALUE"""),0)</f>
        <v>0</v>
      </c>
      <c r="X152" s="97">
        <f ca="1">IFERROR(__xludf.DUMMYFUNCTION("""COMPUTED_VALUE"""),0)</f>
        <v>0</v>
      </c>
      <c r="Y152" s="97">
        <f t="shared" ca="1" si="3"/>
        <v>0</v>
      </c>
      <c r="Z152" s="67">
        <f t="shared" si="4"/>
        <v>0</v>
      </c>
      <c r="AA152" s="67"/>
      <c r="AB152" s="67"/>
      <c r="AC152" s="67"/>
      <c r="AD152" s="99" t="e">
        <f t="shared" ca="1" si="5"/>
        <v>#DIV/0!</v>
      </c>
      <c r="AE152" s="67"/>
      <c r="AF152" s="67"/>
      <c r="AG152" s="67"/>
      <c r="AH152" s="67"/>
      <c r="AI152" s="67"/>
      <c r="AJ152" s="67"/>
      <c r="AK152" s="67"/>
      <c r="AL152" s="67"/>
      <c r="AM152" s="67"/>
      <c r="AN152" s="67"/>
      <c r="AO152" s="67"/>
      <c r="AP152" s="67"/>
      <c r="AQ152" s="67"/>
      <c r="AR152" s="67"/>
      <c r="AS152" s="67"/>
      <c r="AT152" s="67"/>
    </row>
    <row r="153" spans="1:46" ht="84" hidden="1" x14ac:dyDescent="0.2">
      <c r="A153" s="67"/>
      <c r="B153" s="96"/>
      <c r="C15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3" s="20" t="str">
        <f ca="1">IFERROR(__xludf.DUMMYFUNCTION("""COMPUTED_VALUE"""),"МинЖКХ")</f>
        <v>МинЖКХ</v>
      </c>
      <c r="E153" s="20" t="str">
        <f ca="1">IFERROR(__xludf.DUMMYFUNCTION("""COMPUTED_VALUE"""),"Приобретение,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f>
        <v>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v>
      </c>
      <c r="F153" s="67" t="str">
        <f ca="1">IFERROR(__xludf.DUMMYFUNCTION("""COMPUTED_VALUE"""),"Приобретение, монтаж")</f>
        <v>Приобретение, монтаж</v>
      </c>
      <c r="G153" s="67" t="str">
        <f ca="1">IFERROR(__xludf.DUMMYFUNCTION("""COMPUTED_VALUE"""),"г.о. Сергиев Посад")</f>
        <v>г.о. Сергиев Посад</v>
      </c>
      <c r="H153" s="67" t="str">
        <f ca="1">IFERROR(__xludf.DUMMYFUNCTION("""COMPUTED_VALUE"""),"Н/Л")</f>
        <v>Н/Л</v>
      </c>
      <c r="I153" s="67" t="str">
        <f ca="1">IFERROR(__xludf.DUMMYFUNCTION("""COMPUTED_VALUE"""),"10 1 02 60330")</f>
        <v>10 1 02 60330</v>
      </c>
      <c r="J153" s="67">
        <f ca="1">IFERROR(__xludf.DUMMYFUNCTION("""COMPUTED_VALUE"""),520)</f>
        <v>520</v>
      </c>
      <c r="K153" s="97">
        <f t="shared" ca="1" si="1"/>
        <v>0</v>
      </c>
      <c r="L153" s="97">
        <f ca="1">IFERROR(__xludf.DUMMYFUNCTION("""COMPUTED_VALUE"""),0)</f>
        <v>0</v>
      </c>
      <c r="M153" s="97">
        <f ca="1">IFERROR(__xludf.DUMMYFUNCTION("""COMPUTED_VALUE"""),0)</f>
        <v>0</v>
      </c>
      <c r="N153" s="97">
        <f ca="1">IFERROR(__xludf.DUMMYFUNCTION("""COMPUTED_VALUE"""),0)</f>
        <v>0</v>
      </c>
      <c r="O153" s="97">
        <f ca="1">IFERROR(__xludf.DUMMYFUNCTION("""COMPUTED_VALUE"""),0)</f>
        <v>0</v>
      </c>
      <c r="P153" s="97">
        <f t="shared" ca="1" si="2"/>
        <v>0</v>
      </c>
      <c r="Q153" s="67"/>
      <c r="R153" s="67"/>
      <c r="S153" s="97">
        <f ca="1">IFERROR(__xludf.DUMMYFUNCTION("""COMPUTED_VALUE"""),0)</f>
        <v>0</v>
      </c>
      <c r="T153" s="97">
        <f ca="1">IFERROR(__xludf.DUMMYFUNCTION("""COMPUTED_VALUE"""),0)</f>
        <v>0</v>
      </c>
      <c r="U153" s="97">
        <f ca="1">IFERROR(__xludf.DUMMYFUNCTION("""COMPUTED_VALUE"""),0)</f>
        <v>0</v>
      </c>
      <c r="V153" s="97">
        <f ca="1">IFERROR(__xludf.DUMMYFUNCTION("""COMPUTED_VALUE"""),0)</f>
        <v>0</v>
      </c>
      <c r="W153" s="97">
        <f ca="1">IFERROR(__xludf.DUMMYFUNCTION("""COMPUTED_VALUE"""),0)</f>
        <v>0</v>
      </c>
      <c r="X153" s="97">
        <f ca="1">IFERROR(__xludf.DUMMYFUNCTION("""COMPUTED_VALUE"""),0)</f>
        <v>0</v>
      </c>
      <c r="Y153" s="97">
        <f t="shared" ca="1" si="3"/>
        <v>0</v>
      </c>
      <c r="Z153" s="67">
        <f t="shared" si="4"/>
        <v>0</v>
      </c>
      <c r="AA153" s="67"/>
      <c r="AB153" s="67"/>
      <c r="AC153" s="67"/>
      <c r="AD153" s="99" t="e">
        <f t="shared" ca="1" si="5"/>
        <v>#DIV/0!</v>
      </c>
      <c r="AE153" s="67"/>
      <c r="AF153" s="67"/>
      <c r="AG153" s="67"/>
      <c r="AH153" s="67"/>
      <c r="AI153" s="67"/>
      <c r="AJ153" s="67"/>
      <c r="AK153" s="67"/>
      <c r="AL153" s="67"/>
      <c r="AM153" s="67"/>
      <c r="AN153" s="67"/>
      <c r="AO153" s="67"/>
      <c r="AP153" s="67"/>
      <c r="AQ153" s="67"/>
      <c r="AR153" s="67"/>
      <c r="AS153" s="67"/>
      <c r="AT153" s="67"/>
    </row>
    <row r="154" spans="1:46" ht="84" hidden="1" x14ac:dyDescent="0.2">
      <c r="A154" s="67"/>
      <c r="B154" s="96"/>
      <c r="C15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4" s="20" t="str">
        <f ca="1">IFERROR(__xludf.DUMMYFUNCTION("""COMPUTED_VALUE"""),"МинЖКХ")</f>
        <v>МинЖКХ</v>
      </c>
      <c r="E154" s="20" t="str">
        <f ca="1">IFERROR(__xludf.DUMMYFUNCTION("""COMPUTED_VALUE"""),"Приобретение, монтаж и ввод в эксплуатацию станции водоочистки, Сергиево-Посадский м.р., с.п. Шеметово, д. Самотовино")</f>
        <v>Приобретение, монтаж и ввод в эксплуатацию станции водоочистки, Сергиево-Посадский м.р., с.п. Шеметово, д. Самотовино</v>
      </c>
      <c r="F154" s="67" t="str">
        <f ca="1">IFERROR(__xludf.DUMMYFUNCTION("""COMPUTED_VALUE"""),"Приобретение, монтаж")</f>
        <v>Приобретение, монтаж</v>
      </c>
      <c r="G154" s="67" t="str">
        <f ca="1">IFERROR(__xludf.DUMMYFUNCTION("""COMPUTED_VALUE"""),"г.о. Сергиев Посад")</f>
        <v>г.о. Сергиев Посад</v>
      </c>
      <c r="H154" s="67" t="str">
        <f ca="1">IFERROR(__xludf.DUMMYFUNCTION("""COMPUTED_VALUE"""),"Н/Л")</f>
        <v>Н/Л</v>
      </c>
      <c r="I154" s="67" t="str">
        <f ca="1">IFERROR(__xludf.DUMMYFUNCTION("""COMPUTED_VALUE"""),"10 1 02 60330")</f>
        <v>10 1 02 60330</v>
      </c>
      <c r="J154" s="67">
        <f ca="1">IFERROR(__xludf.DUMMYFUNCTION("""COMPUTED_VALUE"""),520)</f>
        <v>520</v>
      </c>
      <c r="K154" s="97">
        <f t="shared" ca="1" si="1"/>
        <v>0</v>
      </c>
      <c r="L154" s="97">
        <f ca="1">IFERROR(__xludf.DUMMYFUNCTION("""COMPUTED_VALUE"""),0)</f>
        <v>0</v>
      </c>
      <c r="M154" s="97">
        <f ca="1">IFERROR(__xludf.DUMMYFUNCTION("""COMPUTED_VALUE"""),0)</f>
        <v>0</v>
      </c>
      <c r="N154" s="97">
        <f ca="1">IFERROR(__xludf.DUMMYFUNCTION("""COMPUTED_VALUE"""),0)</f>
        <v>0</v>
      </c>
      <c r="O154" s="97">
        <f ca="1">IFERROR(__xludf.DUMMYFUNCTION("""COMPUTED_VALUE"""),0)</f>
        <v>0</v>
      </c>
      <c r="P154" s="97">
        <f t="shared" ca="1" si="2"/>
        <v>0</v>
      </c>
      <c r="Q154" s="67"/>
      <c r="R154" s="67"/>
      <c r="S154" s="97">
        <f ca="1">IFERROR(__xludf.DUMMYFUNCTION("""COMPUTED_VALUE"""),0)</f>
        <v>0</v>
      </c>
      <c r="T154" s="97">
        <f ca="1">IFERROR(__xludf.DUMMYFUNCTION("""COMPUTED_VALUE"""),0)</f>
        <v>0</v>
      </c>
      <c r="U154" s="97">
        <f ca="1">IFERROR(__xludf.DUMMYFUNCTION("""COMPUTED_VALUE"""),0)</f>
        <v>0</v>
      </c>
      <c r="V154" s="97">
        <f ca="1">IFERROR(__xludf.DUMMYFUNCTION("""COMPUTED_VALUE"""),0)</f>
        <v>0</v>
      </c>
      <c r="W154" s="97">
        <f ca="1">IFERROR(__xludf.DUMMYFUNCTION("""COMPUTED_VALUE"""),0)</f>
        <v>0</v>
      </c>
      <c r="X154" s="97">
        <f ca="1">IFERROR(__xludf.DUMMYFUNCTION("""COMPUTED_VALUE"""),0)</f>
        <v>0</v>
      </c>
      <c r="Y154" s="97">
        <f t="shared" ca="1" si="3"/>
        <v>0</v>
      </c>
      <c r="Z154" s="67">
        <f t="shared" si="4"/>
        <v>0</v>
      </c>
      <c r="AA154" s="67"/>
      <c r="AB154" s="67"/>
      <c r="AC154" s="67"/>
      <c r="AD154" s="99" t="e">
        <f t="shared" ca="1" si="5"/>
        <v>#DIV/0!</v>
      </c>
      <c r="AE154" s="67"/>
      <c r="AF154" s="67"/>
      <c r="AG154" s="67"/>
      <c r="AH154" s="67"/>
      <c r="AI154" s="67"/>
      <c r="AJ154" s="67"/>
      <c r="AK154" s="67"/>
      <c r="AL154" s="67"/>
      <c r="AM154" s="67"/>
      <c r="AN154" s="67"/>
      <c r="AO154" s="67"/>
      <c r="AP154" s="67"/>
      <c r="AQ154" s="67"/>
      <c r="AR154" s="67"/>
      <c r="AS154" s="67"/>
      <c r="AT154" s="67"/>
    </row>
    <row r="155" spans="1:46" ht="84" hidden="1" x14ac:dyDescent="0.2">
      <c r="A155" s="67"/>
      <c r="B155" s="96"/>
      <c r="C15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5" s="20" t="str">
        <f ca="1">IFERROR(__xludf.DUMMYFUNCTION("""COMPUTED_VALUE"""),"МинЖКХ")</f>
        <v>МинЖКХ</v>
      </c>
      <c r="E155" s="20" t="str">
        <f ca="1">IFERROR(__xludf.DUMMYFUNCTION("""COMPUTED_VALUE"""),"Капитальный ремонт ВЗУ в п. Архангельское Красногорского района")</f>
        <v>Капитальный ремонт ВЗУ в п. Архангельское Красногорского района</v>
      </c>
      <c r="F155" s="67" t="str">
        <f ca="1">IFERROR(__xludf.DUMMYFUNCTION("""COMPUTED_VALUE"""),"СМР")</f>
        <v>СМР</v>
      </c>
      <c r="G155" s="67" t="str">
        <f ca="1">IFERROR(__xludf.DUMMYFUNCTION("""COMPUTED_VALUE"""),"г.о. Красногорск")</f>
        <v>г.о. Красногорск</v>
      </c>
      <c r="H155" s="67" t="str">
        <f ca="1">IFERROR(__xludf.DUMMYFUNCTION("""COMPUTED_VALUE"""),"Н/Л")</f>
        <v>Н/Л</v>
      </c>
      <c r="I155" s="67" t="str">
        <f ca="1">IFERROR(__xludf.DUMMYFUNCTION("""COMPUTED_VALUE"""),"10 1 02 60330")</f>
        <v>10 1 02 60330</v>
      </c>
      <c r="J155" s="67">
        <f ca="1">IFERROR(__xludf.DUMMYFUNCTION("""COMPUTED_VALUE"""),520)</f>
        <v>520</v>
      </c>
      <c r="K155" s="97">
        <f t="shared" ca="1" si="1"/>
        <v>0</v>
      </c>
      <c r="L155" s="97">
        <f ca="1">IFERROR(__xludf.DUMMYFUNCTION("""COMPUTED_VALUE"""),0)</f>
        <v>0</v>
      </c>
      <c r="M155" s="97">
        <f ca="1">IFERROR(__xludf.DUMMYFUNCTION("""COMPUTED_VALUE"""),0)</f>
        <v>0</v>
      </c>
      <c r="N155" s="97">
        <f ca="1">IFERROR(__xludf.DUMMYFUNCTION("""COMPUTED_VALUE"""),0)</f>
        <v>0</v>
      </c>
      <c r="O155" s="97">
        <f ca="1">IFERROR(__xludf.DUMMYFUNCTION("""COMPUTED_VALUE"""),0)</f>
        <v>0</v>
      </c>
      <c r="P155" s="97">
        <f t="shared" ca="1" si="2"/>
        <v>0</v>
      </c>
      <c r="Q155" s="67"/>
      <c r="R155" s="67"/>
      <c r="S155" s="97">
        <f ca="1">IFERROR(__xludf.DUMMYFUNCTION("""COMPUTED_VALUE"""),0)</f>
        <v>0</v>
      </c>
      <c r="T155" s="97">
        <f ca="1">IFERROR(__xludf.DUMMYFUNCTION("""COMPUTED_VALUE"""),0)</f>
        <v>0</v>
      </c>
      <c r="U155" s="97">
        <f ca="1">IFERROR(__xludf.DUMMYFUNCTION("""COMPUTED_VALUE"""),0)</f>
        <v>0</v>
      </c>
      <c r="V155" s="97">
        <f ca="1">IFERROR(__xludf.DUMMYFUNCTION("""COMPUTED_VALUE"""),0)</f>
        <v>0</v>
      </c>
      <c r="W155" s="97">
        <f ca="1">IFERROR(__xludf.DUMMYFUNCTION("""COMPUTED_VALUE"""),0)</f>
        <v>0</v>
      </c>
      <c r="X155" s="97">
        <f ca="1">IFERROR(__xludf.DUMMYFUNCTION("""COMPUTED_VALUE"""),0)</f>
        <v>0</v>
      </c>
      <c r="Y155" s="97">
        <f t="shared" ca="1" si="3"/>
        <v>0</v>
      </c>
      <c r="Z155" s="67">
        <f t="shared" si="4"/>
        <v>0</v>
      </c>
      <c r="AA155" s="67"/>
      <c r="AB155" s="67"/>
      <c r="AC155" s="67"/>
      <c r="AD155" s="99" t="e">
        <f t="shared" ca="1" si="5"/>
        <v>#DIV/0!</v>
      </c>
      <c r="AE155" s="67"/>
      <c r="AF155" s="67"/>
      <c r="AG155" s="67"/>
      <c r="AH155" s="67"/>
      <c r="AI155" s="67"/>
      <c r="AJ155" s="67"/>
      <c r="AK155" s="67"/>
      <c r="AL155" s="67"/>
      <c r="AM155" s="67"/>
      <c r="AN155" s="67"/>
      <c r="AO155" s="67"/>
      <c r="AP155" s="67"/>
      <c r="AQ155" s="67"/>
      <c r="AR155" s="67"/>
      <c r="AS155" s="67"/>
      <c r="AT155" s="67"/>
    </row>
    <row r="156" spans="1:46" ht="84" hidden="1" x14ac:dyDescent="0.2">
      <c r="A156" s="67"/>
      <c r="B156" s="96"/>
      <c r="C15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6" s="20" t="str">
        <f ca="1">IFERROR(__xludf.DUMMYFUNCTION("""COMPUTED_VALUE"""),"МинЖКХ")</f>
        <v>МинЖКХ</v>
      </c>
      <c r="E156" s="20" t="str">
        <f ca="1">IFERROR(__xludf.DUMMYFUNCTION("""COMPUTED_VALUE"""),"Приобретение,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f>
        <v>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v>
      </c>
      <c r="F156" s="67" t="str">
        <f ca="1">IFERROR(__xludf.DUMMYFUNCTION("""COMPUTED_VALUE"""),"Приобретение, монтаж")</f>
        <v>Приобретение, монтаж</v>
      </c>
      <c r="G156" s="67" t="str">
        <f ca="1">IFERROR(__xludf.DUMMYFUNCTION("""COMPUTED_VALUE"""),"г.о. Балашиха")</f>
        <v>г.о. Балашиха</v>
      </c>
      <c r="H156" s="67" t="str">
        <f ca="1">IFERROR(__xludf.DUMMYFUNCTION("""COMPUTED_VALUE"""),"Н/Л")</f>
        <v>Н/Л</v>
      </c>
      <c r="I156" s="67" t="str">
        <f ca="1">IFERROR(__xludf.DUMMYFUNCTION("""COMPUTED_VALUE"""),"10 1 02 60330")</f>
        <v>10 1 02 60330</v>
      </c>
      <c r="J156" s="67">
        <f ca="1">IFERROR(__xludf.DUMMYFUNCTION("""COMPUTED_VALUE"""),520)</f>
        <v>520</v>
      </c>
      <c r="K156" s="97">
        <f t="shared" ca="1" si="1"/>
        <v>0</v>
      </c>
      <c r="L156" s="97">
        <f ca="1">IFERROR(__xludf.DUMMYFUNCTION("""COMPUTED_VALUE"""),0)</f>
        <v>0</v>
      </c>
      <c r="M156" s="97">
        <f ca="1">IFERROR(__xludf.DUMMYFUNCTION("""COMPUTED_VALUE"""),0)</f>
        <v>0</v>
      </c>
      <c r="N156" s="97">
        <f ca="1">IFERROR(__xludf.DUMMYFUNCTION("""COMPUTED_VALUE"""),0)</f>
        <v>0</v>
      </c>
      <c r="O156" s="97">
        <f ca="1">IFERROR(__xludf.DUMMYFUNCTION("""COMPUTED_VALUE"""),0)</f>
        <v>0</v>
      </c>
      <c r="P156" s="97">
        <f t="shared" ca="1" si="2"/>
        <v>0</v>
      </c>
      <c r="Q156" s="67"/>
      <c r="R156" s="67"/>
      <c r="S156" s="97">
        <f ca="1">IFERROR(__xludf.DUMMYFUNCTION("""COMPUTED_VALUE"""),0)</f>
        <v>0</v>
      </c>
      <c r="T156" s="97">
        <f ca="1">IFERROR(__xludf.DUMMYFUNCTION("""COMPUTED_VALUE"""),0)</f>
        <v>0</v>
      </c>
      <c r="U156" s="97">
        <f ca="1">IFERROR(__xludf.DUMMYFUNCTION("""COMPUTED_VALUE"""),0)</f>
        <v>0</v>
      </c>
      <c r="V156" s="97">
        <f ca="1">IFERROR(__xludf.DUMMYFUNCTION("""COMPUTED_VALUE"""),0)</f>
        <v>0</v>
      </c>
      <c r="W156" s="97">
        <f ca="1">IFERROR(__xludf.DUMMYFUNCTION("""COMPUTED_VALUE"""),0)</f>
        <v>0</v>
      </c>
      <c r="X156" s="97">
        <f ca="1">IFERROR(__xludf.DUMMYFUNCTION("""COMPUTED_VALUE"""),0)</f>
        <v>0</v>
      </c>
      <c r="Y156" s="97">
        <f t="shared" ca="1" si="3"/>
        <v>0</v>
      </c>
      <c r="Z156" s="67">
        <f t="shared" si="4"/>
        <v>0</v>
      </c>
      <c r="AA156" s="67"/>
      <c r="AB156" s="67"/>
      <c r="AC156" s="67"/>
      <c r="AD156" s="99" t="e">
        <f t="shared" ca="1" si="5"/>
        <v>#DIV/0!</v>
      </c>
      <c r="AE156" s="67"/>
      <c r="AF156" s="67"/>
      <c r="AG156" s="67"/>
      <c r="AH156" s="67"/>
      <c r="AI156" s="67"/>
      <c r="AJ156" s="67"/>
      <c r="AK156" s="67"/>
      <c r="AL156" s="67"/>
      <c r="AM156" s="67"/>
      <c r="AN156" s="67"/>
      <c r="AO156" s="67"/>
      <c r="AP156" s="67"/>
      <c r="AQ156" s="67"/>
      <c r="AR156" s="67"/>
      <c r="AS156" s="67"/>
      <c r="AT156" s="67"/>
    </row>
    <row r="157" spans="1:46" ht="84" hidden="1" x14ac:dyDescent="0.2">
      <c r="A157" s="67"/>
      <c r="B157" s="96"/>
      <c r="C15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7" s="20" t="str">
        <f ca="1">IFERROR(__xludf.DUMMYFUNCTION("""COMPUTED_VALUE"""),"МинЖКХ")</f>
        <v>МинЖКХ</v>
      </c>
      <c r="E157" s="20" t="str">
        <f ca="1">IFERROR(__xludf.DUMMYFUNCTION("""COMPUTED_VALUE"""),"Капитальный ремонт ВЗУ № 4 по адресу: Московская область, Пушкинский муниципальный район, г.Пушкино, мкр. Новая деревня  ")</f>
        <v xml:space="preserve">Капитальный ремонт ВЗУ № 4 по адресу: Московская область, Пушкинский муниципальный район, г.Пушкино, мкр. Новая деревня  </v>
      </c>
      <c r="F157" s="67" t="str">
        <f ca="1">IFERROR(__xludf.DUMMYFUNCTION("""COMPUTED_VALUE"""),"СМР")</f>
        <v>СМР</v>
      </c>
      <c r="G157" s="67" t="str">
        <f ca="1">IFERROR(__xludf.DUMMYFUNCTION("""COMPUTED_VALUE"""),"г.о. Пушкинский")</f>
        <v>г.о. Пушкинский</v>
      </c>
      <c r="H157" s="67" t="str">
        <f ca="1">IFERROR(__xludf.DUMMYFUNCTION("""COMPUTED_VALUE"""),"Н/Л")</f>
        <v>Н/Л</v>
      </c>
      <c r="I157" s="67" t="str">
        <f ca="1">IFERROR(__xludf.DUMMYFUNCTION("""COMPUTED_VALUE"""),"10 1 02 60330")</f>
        <v>10 1 02 60330</v>
      </c>
      <c r="J157" s="67">
        <f ca="1">IFERROR(__xludf.DUMMYFUNCTION("""COMPUTED_VALUE"""),520)</f>
        <v>520</v>
      </c>
      <c r="K157" s="97">
        <f t="shared" ca="1" si="1"/>
        <v>0</v>
      </c>
      <c r="L157" s="97">
        <f ca="1">IFERROR(__xludf.DUMMYFUNCTION("""COMPUTED_VALUE"""),0)</f>
        <v>0</v>
      </c>
      <c r="M157" s="97">
        <f ca="1">IFERROR(__xludf.DUMMYFUNCTION("""COMPUTED_VALUE"""),0)</f>
        <v>0</v>
      </c>
      <c r="N157" s="97">
        <f ca="1">IFERROR(__xludf.DUMMYFUNCTION("""COMPUTED_VALUE"""),0)</f>
        <v>0</v>
      </c>
      <c r="O157" s="97">
        <f ca="1">IFERROR(__xludf.DUMMYFUNCTION("""COMPUTED_VALUE"""),0)</f>
        <v>0</v>
      </c>
      <c r="P157" s="97">
        <f t="shared" ca="1" si="2"/>
        <v>0</v>
      </c>
      <c r="Q157" s="67"/>
      <c r="R157" s="67"/>
      <c r="S157" s="97">
        <f ca="1">IFERROR(__xludf.DUMMYFUNCTION("""COMPUTED_VALUE"""),0)</f>
        <v>0</v>
      </c>
      <c r="T157" s="97">
        <f ca="1">IFERROR(__xludf.DUMMYFUNCTION("""COMPUTED_VALUE"""),0)</f>
        <v>0</v>
      </c>
      <c r="U157" s="97">
        <f ca="1">IFERROR(__xludf.DUMMYFUNCTION("""COMPUTED_VALUE"""),0)</f>
        <v>0</v>
      </c>
      <c r="V157" s="97">
        <f ca="1">IFERROR(__xludf.DUMMYFUNCTION("""COMPUTED_VALUE"""),0)</f>
        <v>0</v>
      </c>
      <c r="W157" s="97">
        <f ca="1">IFERROR(__xludf.DUMMYFUNCTION("""COMPUTED_VALUE"""),0)</f>
        <v>0</v>
      </c>
      <c r="X157" s="97">
        <f ca="1">IFERROR(__xludf.DUMMYFUNCTION("""COMPUTED_VALUE"""),0)</f>
        <v>0</v>
      </c>
      <c r="Y157" s="97">
        <f t="shared" ca="1" si="3"/>
        <v>0</v>
      </c>
      <c r="Z157" s="67">
        <f t="shared" si="4"/>
        <v>0</v>
      </c>
      <c r="AA157" s="67"/>
      <c r="AB157" s="67"/>
      <c r="AC157" s="67"/>
      <c r="AD157" s="99" t="e">
        <f t="shared" ca="1" si="5"/>
        <v>#DIV/0!</v>
      </c>
      <c r="AE157" s="67"/>
      <c r="AF157" s="67"/>
      <c r="AG157" s="67"/>
      <c r="AH157" s="67"/>
      <c r="AI157" s="67"/>
      <c r="AJ157" s="67"/>
      <c r="AK157" s="67"/>
      <c r="AL157" s="67"/>
      <c r="AM157" s="67"/>
      <c r="AN157" s="67"/>
      <c r="AO157" s="67"/>
      <c r="AP157" s="67"/>
      <c r="AQ157" s="67"/>
      <c r="AR157" s="67"/>
      <c r="AS157" s="67"/>
      <c r="AT157" s="67"/>
    </row>
    <row r="158" spans="1:46" ht="84" hidden="1" x14ac:dyDescent="0.2">
      <c r="A158" s="67"/>
      <c r="B158" s="96"/>
      <c r="C15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8" s="20" t="str">
        <f ca="1">IFERROR(__xludf.DUMMYFUNCTION("""COMPUTED_VALUE"""),"МинЖКХ")</f>
        <v>МинЖКХ</v>
      </c>
      <c r="E158" s="20" t="str">
        <f ca="1">IFERROR(__xludf.DUMMYFUNCTION("""COMPUTED_VALUE"""),"Приобретение, монтаж и ввод в эксплуатацию станции водоочистки по адресу: д. Михали, г.о. Егорьевск. ")</f>
        <v xml:space="preserve">Приобретение, монтаж и ввод в эксплуатацию станции водоочистки по адресу: д. Михали, г.о. Егорьевск. </v>
      </c>
      <c r="F158" s="67" t="str">
        <f ca="1">IFERROR(__xludf.DUMMYFUNCTION("""COMPUTED_VALUE"""),"Приобретение, монтаж")</f>
        <v>Приобретение, монтаж</v>
      </c>
      <c r="G158" s="67" t="str">
        <f ca="1">IFERROR(__xludf.DUMMYFUNCTION("""COMPUTED_VALUE"""),"г.о. Егорьевск")</f>
        <v>г.о. Егорьевск</v>
      </c>
      <c r="H158" s="67" t="str">
        <f ca="1">IFERROR(__xludf.DUMMYFUNCTION("""COMPUTED_VALUE"""),"Н/Л")</f>
        <v>Н/Л</v>
      </c>
      <c r="I158" s="67" t="str">
        <f ca="1">IFERROR(__xludf.DUMMYFUNCTION("""COMPUTED_VALUE"""),"10 1 02 60330")</f>
        <v>10 1 02 60330</v>
      </c>
      <c r="J158" s="67">
        <f ca="1">IFERROR(__xludf.DUMMYFUNCTION("""COMPUTED_VALUE"""),520)</f>
        <v>520</v>
      </c>
      <c r="K158" s="97">
        <f t="shared" ca="1" si="1"/>
        <v>0</v>
      </c>
      <c r="L158" s="97">
        <f ca="1">IFERROR(__xludf.DUMMYFUNCTION("""COMPUTED_VALUE"""),0)</f>
        <v>0</v>
      </c>
      <c r="M158" s="97">
        <f ca="1">IFERROR(__xludf.DUMMYFUNCTION("""COMPUTED_VALUE"""),0)</f>
        <v>0</v>
      </c>
      <c r="N158" s="97">
        <f ca="1">IFERROR(__xludf.DUMMYFUNCTION("""COMPUTED_VALUE"""),0)</f>
        <v>0</v>
      </c>
      <c r="O158" s="97">
        <f ca="1">IFERROR(__xludf.DUMMYFUNCTION("""COMPUTED_VALUE"""),0)</f>
        <v>0</v>
      </c>
      <c r="P158" s="97">
        <f t="shared" ca="1" si="2"/>
        <v>0</v>
      </c>
      <c r="Q158" s="67"/>
      <c r="R158" s="67"/>
      <c r="S158" s="97">
        <f ca="1">IFERROR(__xludf.DUMMYFUNCTION("""COMPUTED_VALUE"""),0)</f>
        <v>0</v>
      </c>
      <c r="T158" s="97">
        <f ca="1">IFERROR(__xludf.DUMMYFUNCTION("""COMPUTED_VALUE"""),0)</f>
        <v>0</v>
      </c>
      <c r="U158" s="97">
        <f ca="1">IFERROR(__xludf.DUMMYFUNCTION("""COMPUTED_VALUE"""),0)</f>
        <v>0</v>
      </c>
      <c r="V158" s="97">
        <f ca="1">IFERROR(__xludf.DUMMYFUNCTION("""COMPUTED_VALUE"""),0)</f>
        <v>0</v>
      </c>
      <c r="W158" s="97">
        <f ca="1">IFERROR(__xludf.DUMMYFUNCTION("""COMPUTED_VALUE"""),0)</f>
        <v>0</v>
      </c>
      <c r="X158" s="97">
        <f ca="1">IFERROR(__xludf.DUMMYFUNCTION("""COMPUTED_VALUE"""),0)</f>
        <v>0</v>
      </c>
      <c r="Y158" s="97">
        <f t="shared" ca="1" si="3"/>
        <v>0</v>
      </c>
      <c r="Z158" s="67">
        <f t="shared" si="4"/>
        <v>0</v>
      </c>
      <c r="AA158" s="67"/>
      <c r="AB158" s="67"/>
      <c r="AC158" s="67"/>
      <c r="AD158" s="99" t="e">
        <f t="shared" ca="1" si="5"/>
        <v>#DIV/0!</v>
      </c>
      <c r="AE158" s="67"/>
      <c r="AF158" s="67"/>
      <c r="AG158" s="67"/>
      <c r="AH158" s="67"/>
      <c r="AI158" s="67"/>
      <c r="AJ158" s="67"/>
      <c r="AK158" s="67"/>
      <c r="AL158" s="67"/>
      <c r="AM158" s="67"/>
      <c r="AN158" s="67"/>
      <c r="AO158" s="67"/>
      <c r="AP158" s="67"/>
      <c r="AQ158" s="67"/>
      <c r="AR158" s="67"/>
      <c r="AS158" s="67"/>
      <c r="AT158" s="67"/>
    </row>
    <row r="159" spans="1:46" ht="84" hidden="1" x14ac:dyDescent="0.2">
      <c r="A159" s="67"/>
      <c r="B159" s="96"/>
      <c r="C15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9" s="20" t="str">
        <f ca="1">IFERROR(__xludf.DUMMYFUNCTION("""COMPUTED_VALUE"""),"МинЖКХ")</f>
        <v>МинЖКХ</v>
      </c>
      <c r="E159" s="20" t="str">
        <f ca="1">IFERROR(__xludf.DUMMYFUNCTION("""COMPUTED_VALUE"""),"Приобретение, монтаж и ввод в эксплуатацию станции водоочистки по адресу: д.Клеменово, г.о. Егорьевск. ")</f>
        <v xml:space="preserve">Приобретение, монтаж и ввод в эксплуатацию станции водоочистки по адресу: д.Клеменово, г.о. Егорьевск. </v>
      </c>
      <c r="F159" s="67" t="str">
        <f ca="1">IFERROR(__xludf.DUMMYFUNCTION("""COMPUTED_VALUE"""),"Приобретение, монтаж")</f>
        <v>Приобретение, монтаж</v>
      </c>
      <c r="G159" s="67" t="str">
        <f ca="1">IFERROR(__xludf.DUMMYFUNCTION("""COMPUTED_VALUE"""),"г.о. Егорьевск")</f>
        <v>г.о. Егорьевск</v>
      </c>
      <c r="H159" s="67" t="str">
        <f ca="1">IFERROR(__xludf.DUMMYFUNCTION("""COMPUTED_VALUE"""),"Н/Л")</f>
        <v>Н/Л</v>
      </c>
      <c r="I159" s="67" t="str">
        <f ca="1">IFERROR(__xludf.DUMMYFUNCTION("""COMPUTED_VALUE"""),"10 1 02 60330")</f>
        <v>10 1 02 60330</v>
      </c>
      <c r="J159" s="67">
        <f ca="1">IFERROR(__xludf.DUMMYFUNCTION("""COMPUTED_VALUE"""),520)</f>
        <v>520</v>
      </c>
      <c r="K159" s="97">
        <f t="shared" ca="1" si="1"/>
        <v>0</v>
      </c>
      <c r="L159" s="97">
        <f ca="1">IFERROR(__xludf.DUMMYFUNCTION("""COMPUTED_VALUE"""),0)</f>
        <v>0</v>
      </c>
      <c r="M159" s="97">
        <f ca="1">IFERROR(__xludf.DUMMYFUNCTION("""COMPUTED_VALUE"""),0)</f>
        <v>0</v>
      </c>
      <c r="N159" s="97">
        <f ca="1">IFERROR(__xludf.DUMMYFUNCTION("""COMPUTED_VALUE"""),0)</f>
        <v>0</v>
      </c>
      <c r="O159" s="97">
        <f ca="1">IFERROR(__xludf.DUMMYFUNCTION("""COMPUTED_VALUE"""),0)</f>
        <v>0</v>
      </c>
      <c r="P159" s="97">
        <f t="shared" ca="1" si="2"/>
        <v>0</v>
      </c>
      <c r="Q159" s="67"/>
      <c r="R159" s="67"/>
      <c r="S159" s="97">
        <f ca="1">IFERROR(__xludf.DUMMYFUNCTION("""COMPUTED_VALUE"""),0)</f>
        <v>0</v>
      </c>
      <c r="T159" s="97">
        <f ca="1">IFERROR(__xludf.DUMMYFUNCTION("""COMPUTED_VALUE"""),0)</f>
        <v>0</v>
      </c>
      <c r="U159" s="97">
        <f ca="1">IFERROR(__xludf.DUMMYFUNCTION("""COMPUTED_VALUE"""),0)</f>
        <v>0</v>
      </c>
      <c r="V159" s="97">
        <f ca="1">IFERROR(__xludf.DUMMYFUNCTION("""COMPUTED_VALUE"""),0)</f>
        <v>0</v>
      </c>
      <c r="W159" s="97">
        <f ca="1">IFERROR(__xludf.DUMMYFUNCTION("""COMPUTED_VALUE"""),0)</f>
        <v>0</v>
      </c>
      <c r="X159" s="97">
        <f ca="1">IFERROR(__xludf.DUMMYFUNCTION("""COMPUTED_VALUE"""),0)</f>
        <v>0</v>
      </c>
      <c r="Y159" s="97">
        <f t="shared" ca="1" si="3"/>
        <v>0</v>
      </c>
      <c r="Z159" s="67">
        <f t="shared" si="4"/>
        <v>0</v>
      </c>
      <c r="AA159" s="67"/>
      <c r="AB159" s="67"/>
      <c r="AC159" s="67"/>
      <c r="AD159" s="99" t="e">
        <f t="shared" ca="1" si="5"/>
        <v>#DIV/0!</v>
      </c>
      <c r="AE159" s="67"/>
      <c r="AF159" s="67"/>
      <c r="AG159" s="67"/>
      <c r="AH159" s="67"/>
      <c r="AI159" s="67"/>
      <c r="AJ159" s="67"/>
      <c r="AK159" s="67"/>
      <c r="AL159" s="67"/>
      <c r="AM159" s="67"/>
      <c r="AN159" s="67"/>
      <c r="AO159" s="67"/>
      <c r="AP159" s="67"/>
      <c r="AQ159" s="67"/>
      <c r="AR159" s="67"/>
      <c r="AS159" s="67"/>
      <c r="AT159" s="67"/>
    </row>
    <row r="160" spans="1:46" ht="84" hidden="1" x14ac:dyDescent="0.2">
      <c r="A160" s="67"/>
      <c r="B160" s="96"/>
      <c r="C16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0" s="20" t="str">
        <f ca="1">IFERROR(__xludf.DUMMYFUNCTION("""COMPUTED_VALUE"""),"МинЖКХ")</f>
        <v>МинЖКХ</v>
      </c>
      <c r="E160" s="20" t="str">
        <f ca="1">IFERROR(__xludf.DUMMYFUNCTION("""COMPUTED_VALUE"""),"Приобретение, монтаж и ввод в эксплуатацию станции водоочистки по адресу: д. Лелечи, г.о. Егорьевск. ")</f>
        <v xml:space="preserve">Приобретение, монтаж и ввод в эксплуатацию станции водоочистки по адресу: д. Лелечи, г.о. Егорьевск. </v>
      </c>
      <c r="F160" s="67" t="str">
        <f ca="1">IFERROR(__xludf.DUMMYFUNCTION("""COMPUTED_VALUE"""),"Приобретение, монтаж")</f>
        <v>Приобретение, монтаж</v>
      </c>
      <c r="G160" s="67" t="str">
        <f ca="1">IFERROR(__xludf.DUMMYFUNCTION("""COMPUTED_VALUE"""),"г.о. Егорьевск")</f>
        <v>г.о. Егорьевск</v>
      </c>
      <c r="H160" s="67" t="str">
        <f ca="1">IFERROR(__xludf.DUMMYFUNCTION("""COMPUTED_VALUE"""),"Н/Л")</f>
        <v>Н/Л</v>
      </c>
      <c r="I160" s="67" t="str">
        <f ca="1">IFERROR(__xludf.DUMMYFUNCTION("""COMPUTED_VALUE"""),"10 1 02 60330")</f>
        <v>10 1 02 60330</v>
      </c>
      <c r="J160" s="67">
        <f ca="1">IFERROR(__xludf.DUMMYFUNCTION("""COMPUTED_VALUE"""),520)</f>
        <v>520</v>
      </c>
      <c r="K160" s="97">
        <f t="shared" ca="1" si="1"/>
        <v>0</v>
      </c>
      <c r="L160" s="97">
        <f ca="1">IFERROR(__xludf.DUMMYFUNCTION("""COMPUTED_VALUE"""),0)</f>
        <v>0</v>
      </c>
      <c r="M160" s="97">
        <f ca="1">IFERROR(__xludf.DUMMYFUNCTION("""COMPUTED_VALUE"""),0)</f>
        <v>0</v>
      </c>
      <c r="N160" s="97">
        <f ca="1">IFERROR(__xludf.DUMMYFUNCTION("""COMPUTED_VALUE"""),0)</f>
        <v>0</v>
      </c>
      <c r="O160" s="97">
        <f ca="1">IFERROR(__xludf.DUMMYFUNCTION("""COMPUTED_VALUE"""),0)</f>
        <v>0</v>
      </c>
      <c r="P160" s="97">
        <f t="shared" ca="1" si="2"/>
        <v>0</v>
      </c>
      <c r="Q160" s="67"/>
      <c r="R160" s="67"/>
      <c r="S160" s="97">
        <f ca="1">IFERROR(__xludf.DUMMYFUNCTION("""COMPUTED_VALUE"""),0)</f>
        <v>0</v>
      </c>
      <c r="T160" s="97">
        <f ca="1">IFERROR(__xludf.DUMMYFUNCTION("""COMPUTED_VALUE"""),0)</f>
        <v>0</v>
      </c>
      <c r="U160" s="97">
        <f ca="1">IFERROR(__xludf.DUMMYFUNCTION("""COMPUTED_VALUE"""),0)</f>
        <v>0</v>
      </c>
      <c r="V160" s="97">
        <f ca="1">IFERROR(__xludf.DUMMYFUNCTION("""COMPUTED_VALUE"""),0)</f>
        <v>0</v>
      </c>
      <c r="W160" s="97">
        <f ca="1">IFERROR(__xludf.DUMMYFUNCTION("""COMPUTED_VALUE"""),0)</f>
        <v>0</v>
      </c>
      <c r="X160" s="97">
        <f ca="1">IFERROR(__xludf.DUMMYFUNCTION("""COMPUTED_VALUE"""),0)</f>
        <v>0</v>
      </c>
      <c r="Y160" s="97">
        <f t="shared" ca="1" si="3"/>
        <v>0</v>
      </c>
      <c r="Z160" s="67">
        <f t="shared" si="4"/>
        <v>0</v>
      </c>
      <c r="AA160" s="67"/>
      <c r="AB160" s="67"/>
      <c r="AC160" s="67"/>
      <c r="AD160" s="99" t="e">
        <f t="shared" ca="1" si="5"/>
        <v>#DIV/0!</v>
      </c>
      <c r="AE160" s="67"/>
      <c r="AF160" s="67"/>
      <c r="AG160" s="67"/>
      <c r="AH160" s="67"/>
      <c r="AI160" s="67"/>
      <c r="AJ160" s="67"/>
      <c r="AK160" s="67"/>
      <c r="AL160" s="67"/>
      <c r="AM160" s="67"/>
      <c r="AN160" s="67"/>
      <c r="AO160" s="67"/>
      <c r="AP160" s="67"/>
      <c r="AQ160" s="67"/>
      <c r="AR160" s="67"/>
      <c r="AS160" s="67"/>
      <c r="AT160" s="67"/>
    </row>
    <row r="161" spans="1:46" ht="84" hidden="1" x14ac:dyDescent="0.2">
      <c r="A161" s="67"/>
      <c r="B161" s="96"/>
      <c r="C16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1" s="20" t="str">
        <f ca="1">IFERROR(__xludf.DUMMYFUNCTION("""COMPUTED_VALUE"""),"МинЖКХ")</f>
        <v>МинЖКХ</v>
      </c>
      <c r="E161" s="20" t="str">
        <f ca="1">IFERROR(__xludf.DUMMYFUNCTION("""COMPUTED_VALUE"""),"Приобретение, монтаж и ввод в эксплуатацию станции водоочистки по адресу: д. Захарово, 3В, г.о. Егорьевск. ")</f>
        <v xml:space="preserve">Приобретение, монтаж и ввод в эксплуатацию станции водоочистки по адресу: д. Захарово, 3В, г.о. Егорьевск. </v>
      </c>
      <c r="F161" s="67" t="str">
        <f ca="1">IFERROR(__xludf.DUMMYFUNCTION("""COMPUTED_VALUE"""),"Приобретение, монтаж")</f>
        <v>Приобретение, монтаж</v>
      </c>
      <c r="G161" s="67" t="str">
        <f ca="1">IFERROR(__xludf.DUMMYFUNCTION("""COMPUTED_VALUE"""),"г.о. Егорьевск")</f>
        <v>г.о. Егорьевск</v>
      </c>
      <c r="H161" s="67" t="str">
        <f ca="1">IFERROR(__xludf.DUMMYFUNCTION("""COMPUTED_VALUE"""),"Н/Л")</f>
        <v>Н/Л</v>
      </c>
      <c r="I161" s="67" t="str">
        <f ca="1">IFERROR(__xludf.DUMMYFUNCTION("""COMPUTED_VALUE"""),"10 1 02 60330")</f>
        <v>10 1 02 60330</v>
      </c>
      <c r="J161" s="67">
        <f ca="1">IFERROR(__xludf.DUMMYFUNCTION("""COMPUTED_VALUE"""),520)</f>
        <v>520</v>
      </c>
      <c r="K161" s="97">
        <f t="shared" ca="1" si="1"/>
        <v>0</v>
      </c>
      <c r="L161" s="97">
        <f ca="1">IFERROR(__xludf.DUMMYFUNCTION("""COMPUTED_VALUE"""),0)</f>
        <v>0</v>
      </c>
      <c r="M161" s="97">
        <f ca="1">IFERROR(__xludf.DUMMYFUNCTION("""COMPUTED_VALUE"""),0)</f>
        <v>0</v>
      </c>
      <c r="N161" s="97">
        <f ca="1">IFERROR(__xludf.DUMMYFUNCTION("""COMPUTED_VALUE"""),0)</f>
        <v>0</v>
      </c>
      <c r="O161" s="97">
        <f ca="1">IFERROR(__xludf.DUMMYFUNCTION("""COMPUTED_VALUE"""),0)</f>
        <v>0</v>
      </c>
      <c r="P161" s="97">
        <f t="shared" ca="1" si="2"/>
        <v>0</v>
      </c>
      <c r="Q161" s="67"/>
      <c r="R161" s="67"/>
      <c r="S161" s="97">
        <f ca="1">IFERROR(__xludf.DUMMYFUNCTION("""COMPUTED_VALUE"""),0)</f>
        <v>0</v>
      </c>
      <c r="T161" s="97">
        <f ca="1">IFERROR(__xludf.DUMMYFUNCTION("""COMPUTED_VALUE"""),0)</f>
        <v>0</v>
      </c>
      <c r="U161" s="97">
        <f ca="1">IFERROR(__xludf.DUMMYFUNCTION("""COMPUTED_VALUE"""),0)</f>
        <v>0</v>
      </c>
      <c r="V161" s="97">
        <f ca="1">IFERROR(__xludf.DUMMYFUNCTION("""COMPUTED_VALUE"""),0)</f>
        <v>0</v>
      </c>
      <c r="W161" s="97">
        <f ca="1">IFERROR(__xludf.DUMMYFUNCTION("""COMPUTED_VALUE"""),0)</f>
        <v>0</v>
      </c>
      <c r="X161" s="97">
        <f ca="1">IFERROR(__xludf.DUMMYFUNCTION("""COMPUTED_VALUE"""),0)</f>
        <v>0</v>
      </c>
      <c r="Y161" s="97">
        <f t="shared" ca="1" si="3"/>
        <v>0</v>
      </c>
      <c r="Z161" s="67">
        <f t="shared" si="4"/>
        <v>0</v>
      </c>
      <c r="AA161" s="67"/>
      <c r="AB161" s="67"/>
      <c r="AC161" s="67"/>
      <c r="AD161" s="99" t="e">
        <f t="shared" ca="1" si="5"/>
        <v>#DIV/0!</v>
      </c>
      <c r="AE161" s="67"/>
      <c r="AF161" s="67"/>
      <c r="AG161" s="67"/>
      <c r="AH161" s="67"/>
      <c r="AI161" s="67"/>
      <c r="AJ161" s="67"/>
      <c r="AK161" s="67"/>
      <c r="AL161" s="67"/>
      <c r="AM161" s="67"/>
      <c r="AN161" s="67"/>
      <c r="AO161" s="67"/>
      <c r="AP161" s="67"/>
      <c r="AQ161" s="67"/>
      <c r="AR161" s="67"/>
      <c r="AS161" s="67"/>
      <c r="AT161" s="67"/>
    </row>
    <row r="162" spans="1:46" ht="84" hidden="1" x14ac:dyDescent="0.2">
      <c r="A162" s="67"/>
      <c r="B162" s="96"/>
      <c r="C16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2" s="20" t="str">
        <f ca="1">IFERROR(__xludf.DUMMYFUNCTION("""COMPUTED_VALUE"""),"МинЖКХ")</f>
        <v>МинЖКХ</v>
      </c>
      <c r="E162" s="20" t="str">
        <f ca="1">IFERROR(__xludf.DUMMYFUNCTION("""COMPUTED_VALUE"""),"Приобретение, монтаж и ввод в эксплуатацию станции водоочистки по адресу: д. Дмитровка, г.о. Егорьевск. ")</f>
        <v xml:space="preserve">Приобретение, монтаж и ввод в эксплуатацию станции водоочистки по адресу: д. Дмитровка, г.о. Егорьевск. </v>
      </c>
      <c r="F162" s="67" t="str">
        <f ca="1">IFERROR(__xludf.DUMMYFUNCTION("""COMPUTED_VALUE"""),"Приобретение, монтаж")</f>
        <v>Приобретение, монтаж</v>
      </c>
      <c r="G162" s="67" t="str">
        <f ca="1">IFERROR(__xludf.DUMMYFUNCTION("""COMPUTED_VALUE"""),"г.о. Егорьевск")</f>
        <v>г.о. Егорьевск</v>
      </c>
      <c r="H162" s="67" t="str">
        <f ca="1">IFERROR(__xludf.DUMMYFUNCTION("""COMPUTED_VALUE"""),"Н/Л")</f>
        <v>Н/Л</v>
      </c>
      <c r="I162" s="67" t="str">
        <f ca="1">IFERROR(__xludf.DUMMYFUNCTION("""COMPUTED_VALUE"""),"10 1 02 60330")</f>
        <v>10 1 02 60330</v>
      </c>
      <c r="J162" s="67">
        <f ca="1">IFERROR(__xludf.DUMMYFUNCTION("""COMPUTED_VALUE"""),520)</f>
        <v>520</v>
      </c>
      <c r="K162" s="97">
        <f t="shared" ca="1" si="1"/>
        <v>0</v>
      </c>
      <c r="L162" s="97">
        <f ca="1">IFERROR(__xludf.DUMMYFUNCTION("""COMPUTED_VALUE"""),0)</f>
        <v>0</v>
      </c>
      <c r="M162" s="97">
        <f ca="1">IFERROR(__xludf.DUMMYFUNCTION("""COMPUTED_VALUE"""),0)</f>
        <v>0</v>
      </c>
      <c r="N162" s="97">
        <f ca="1">IFERROR(__xludf.DUMMYFUNCTION("""COMPUTED_VALUE"""),0)</f>
        <v>0</v>
      </c>
      <c r="O162" s="97">
        <f ca="1">IFERROR(__xludf.DUMMYFUNCTION("""COMPUTED_VALUE"""),0)</f>
        <v>0</v>
      </c>
      <c r="P162" s="97">
        <f t="shared" ca="1" si="2"/>
        <v>0</v>
      </c>
      <c r="Q162" s="67"/>
      <c r="R162" s="67"/>
      <c r="S162" s="97">
        <f ca="1">IFERROR(__xludf.DUMMYFUNCTION("""COMPUTED_VALUE"""),0)</f>
        <v>0</v>
      </c>
      <c r="T162" s="97">
        <f ca="1">IFERROR(__xludf.DUMMYFUNCTION("""COMPUTED_VALUE"""),0)</f>
        <v>0</v>
      </c>
      <c r="U162" s="97">
        <f ca="1">IFERROR(__xludf.DUMMYFUNCTION("""COMPUTED_VALUE"""),0)</f>
        <v>0</v>
      </c>
      <c r="V162" s="97">
        <f ca="1">IFERROR(__xludf.DUMMYFUNCTION("""COMPUTED_VALUE"""),0)</f>
        <v>0</v>
      </c>
      <c r="W162" s="97">
        <f ca="1">IFERROR(__xludf.DUMMYFUNCTION("""COMPUTED_VALUE"""),0)</f>
        <v>0</v>
      </c>
      <c r="X162" s="97">
        <f ca="1">IFERROR(__xludf.DUMMYFUNCTION("""COMPUTED_VALUE"""),0)</f>
        <v>0</v>
      </c>
      <c r="Y162" s="97">
        <f t="shared" ca="1" si="3"/>
        <v>0</v>
      </c>
      <c r="Z162" s="67">
        <f t="shared" si="4"/>
        <v>0</v>
      </c>
      <c r="AA162" s="67"/>
      <c r="AB162" s="67"/>
      <c r="AC162" s="67"/>
      <c r="AD162" s="99" t="e">
        <f t="shared" ca="1" si="5"/>
        <v>#DIV/0!</v>
      </c>
      <c r="AE162" s="67"/>
      <c r="AF162" s="67"/>
      <c r="AG162" s="67"/>
      <c r="AH162" s="67"/>
      <c r="AI162" s="67"/>
      <c r="AJ162" s="67"/>
      <c r="AK162" s="67"/>
      <c r="AL162" s="67"/>
      <c r="AM162" s="67"/>
      <c r="AN162" s="67"/>
      <c r="AO162" s="67"/>
      <c r="AP162" s="67"/>
      <c r="AQ162" s="67"/>
      <c r="AR162" s="67"/>
      <c r="AS162" s="67"/>
      <c r="AT162" s="67"/>
    </row>
    <row r="163" spans="1:46" ht="84" hidden="1" x14ac:dyDescent="0.2">
      <c r="A163" s="67"/>
      <c r="B163" s="96"/>
      <c r="C16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3" s="20" t="str">
        <f ca="1">IFERROR(__xludf.DUMMYFUNCTION("""COMPUTED_VALUE"""),"МинЖКХ")</f>
        <v>МинЖКХ</v>
      </c>
      <c r="E163" s="20" t="str">
        <f ca="1">IFERROR(__xludf.DUMMYFUNCTION("""COMPUTED_VALUE"""),"Приобретение, монтаж и ввод в эксплуатацию станции водоочистки по адресу: д. Жучага, г.о. Егорьевск. ")</f>
        <v xml:space="preserve">Приобретение, монтаж и ввод в эксплуатацию станции водоочистки по адресу: д. Жучага, г.о. Егорьевск. </v>
      </c>
      <c r="F163" s="67" t="str">
        <f ca="1">IFERROR(__xludf.DUMMYFUNCTION("""COMPUTED_VALUE"""),"Приобретение, монтаж")</f>
        <v>Приобретение, монтаж</v>
      </c>
      <c r="G163" s="67" t="str">
        <f ca="1">IFERROR(__xludf.DUMMYFUNCTION("""COMPUTED_VALUE"""),"г.о. Егорьевск")</f>
        <v>г.о. Егорьевск</v>
      </c>
      <c r="H163" s="67" t="str">
        <f ca="1">IFERROR(__xludf.DUMMYFUNCTION("""COMPUTED_VALUE"""),"Н/Л")</f>
        <v>Н/Л</v>
      </c>
      <c r="I163" s="67" t="str">
        <f ca="1">IFERROR(__xludf.DUMMYFUNCTION("""COMPUTED_VALUE"""),"10 1 02 60330")</f>
        <v>10 1 02 60330</v>
      </c>
      <c r="J163" s="67">
        <f ca="1">IFERROR(__xludf.DUMMYFUNCTION("""COMPUTED_VALUE"""),520)</f>
        <v>520</v>
      </c>
      <c r="K163" s="97">
        <f t="shared" ca="1" si="1"/>
        <v>0</v>
      </c>
      <c r="L163" s="97">
        <f ca="1">IFERROR(__xludf.DUMMYFUNCTION("""COMPUTED_VALUE"""),0)</f>
        <v>0</v>
      </c>
      <c r="M163" s="97">
        <f ca="1">IFERROR(__xludf.DUMMYFUNCTION("""COMPUTED_VALUE"""),0)</f>
        <v>0</v>
      </c>
      <c r="N163" s="97">
        <f ca="1">IFERROR(__xludf.DUMMYFUNCTION("""COMPUTED_VALUE"""),0)</f>
        <v>0</v>
      </c>
      <c r="O163" s="97">
        <f ca="1">IFERROR(__xludf.DUMMYFUNCTION("""COMPUTED_VALUE"""),0)</f>
        <v>0</v>
      </c>
      <c r="P163" s="97">
        <f t="shared" ca="1" si="2"/>
        <v>0</v>
      </c>
      <c r="Q163" s="67"/>
      <c r="R163" s="67"/>
      <c r="S163" s="97">
        <f ca="1">IFERROR(__xludf.DUMMYFUNCTION("""COMPUTED_VALUE"""),0)</f>
        <v>0</v>
      </c>
      <c r="T163" s="97">
        <f ca="1">IFERROR(__xludf.DUMMYFUNCTION("""COMPUTED_VALUE"""),0)</f>
        <v>0</v>
      </c>
      <c r="U163" s="97">
        <f ca="1">IFERROR(__xludf.DUMMYFUNCTION("""COMPUTED_VALUE"""),0)</f>
        <v>0</v>
      </c>
      <c r="V163" s="97">
        <f ca="1">IFERROR(__xludf.DUMMYFUNCTION("""COMPUTED_VALUE"""),0)</f>
        <v>0</v>
      </c>
      <c r="W163" s="97">
        <f ca="1">IFERROR(__xludf.DUMMYFUNCTION("""COMPUTED_VALUE"""),0)</f>
        <v>0</v>
      </c>
      <c r="X163" s="97">
        <f ca="1">IFERROR(__xludf.DUMMYFUNCTION("""COMPUTED_VALUE"""),0)</f>
        <v>0</v>
      </c>
      <c r="Y163" s="97">
        <f t="shared" ca="1" si="3"/>
        <v>0</v>
      </c>
      <c r="Z163" s="67">
        <f t="shared" si="4"/>
        <v>0</v>
      </c>
      <c r="AA163" s="67"/>
      <c r="AB163" s="67"/>
      <c r="AC163" s="67"/>
      <c r="AD163" s="99" t="e">
        <f t="shared" ca="1" si="5"/>
        <v>#DIV/0!</v>
      </c>
      <c r="AE163" s="67"/>
      <c r="AF163" s="67"/>
      <c r="AG163" s="67"/>
      <c r="AH163" s="67"/>
      <c r="AI163" s="67"/>
      <c r="AJ163" s="67"/>
      <c r="AK163" s="67"/>
      <c r="AL163" s="67"/>
      <c r="AM163" s="67"/>
      <c r="AN163" s="67"/>
      <c r="AO163" s="67"/>
      <c r="AP163" s="67"/>
      <c r="AQ163" s="67"/>
      <c r="AR163" s="67"/>
      <c r="AS163" s="67"/>
      <c r="AT163" s="67"/>
    </row>
    <row r="164" spans="1:46" ht="84" hidden="1" x14ac:dyDescent="0.2">
      <c r="A164" s="67"/>
      <c r="B164" s="96"/>
      <c r="C16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4" s="20" t="str">
        <f ca="1">IFERROR(__xludf.DUMMYFUNCTION("""COMPUTED_VALUE"""),"МинЖКХ")</f>
        <v>МинЖКХ</v>
      </c>
      <c r="E164" s="20" t="str">
        <f ca="1">IFERROR(__xludf.DUMMYFUNCTION("""COMPUTED_VALUE"""),"Приобретение, монтаж и ввод в эксплуатацию станции водоочистки по адресу: д. Радовицы, г.о. Егорьевск. ")</f>
        <v xml:space="preserve">Приобретение, монтаж и ввод в эксплуатацию станции водоочистки по адресу: д. Радовицы, г.о. Егорьевск. </v>
      </c>
      <c r="F164" s="67" t="str">
        <f ca="1">IFERROR(__xludf.DUMMYFUNCTION("""COMPUTED_VALUE"""),"Приобретение, монтаж")</f>
        <v>Приобретение, монтаж</v>
      </c>
      <c r="G164" s="67" t="str">
        <f ca="1">IFERROR(__xludf.DUMMYFUNCTION("""COMPUTED_VALUE"""),"г.о. Егорьевск")</f>
        <v>г.о. Егорьевск</v>
      </c>
      <c r="H164" s="67" t="str">
        <f ca="1">IFERROR(__xludf.DUMMYFUNCTION("""COMPUTED_VALUE"""),"Н/Л")</f>
        <v>Н/Л</v>
      </c>
      <c r="I164" s="67" t="str">
        <f ca="1">IFERROR(__xludf.DUMMYFUNCTION("""COMPUTED_VALUE"""),"10 1 02 60330")</f>
        <v>10 1 02 60330</v>
      </c>
      <c r="J164" s="67">
        <f ca="1">IFERROR(__xludf.DUMMYFUNCTION("""COMPUTED_VALUE"""),520)</f>
        <v>520</v>
      </c>
      <c r="K164" s="97">
        <f t="shared" ca="1" si="1"/>
        <v>0</v>
      </c>
      <c r="L164" s="97">
        <f ca="1">IFERROR(__xludf.DUMMYFUNCTION("""COMPUTED_VALUE"""),0)</f>
        <v>0</v>
      </c>
      <c r="M164" s="97">
        <f ca="1">IFERROR(__xludf.DUMMYFUNCTION("""COMPUTED_VALUE"""),0)</f>
        <v>0</v>
      </c>
      <c r="N164" s="97">
        <f ca="1">IFERROR(__xludf.DUMMYFUNCTION("""COMPUTED_VALUE"""),0)</f>
        <v>0</v>
      </c>
      <c r="O164" s="97">
        <f ca="1">IFERROR(__xludf.DUMMYFUNCTION("""COMPUTED_VALUE"""),0)</f>
        <v>0</v>
      </c>
      <c r="P164" s="97">
        <f t="shared" ca="1" si="2"/>
        <v>0</v>
      </c>
      <c r="Q164" s="67"/>
      <c r="R164" s="67"/>
      <c r="S164" s="97">
        <f ca="1">IFERROR(__xludf.DUMMYFUNCTION("""COMPUTED_VALUE"""),0)</f>
        <v>0</v>
      </c>
      <c r="T164" s="97">
        <f ca="1">IFERROR(__xludf.DUMMYFUNCTION("""COMPUTED_VALUE"""),0)</f>
        <v>0</v>
      </c>
      <c r="U164" s="97">
        <f ca="1">IFERROR(__xludf.DUMMYFUNCTION("""COMPUTED_VALUE"""),0)</f>
        <v>0</v>
      </c>
      <c r="V164" s="97">
        <f ca="1">IFERROR(__xludf.DUMMYFUNCTION("""COMPUTED_VALUE"""),0)</f>
        <v>0</v>
      </c>
      <c r="W164" s="97">
        <f ca="1">IFERROR(__xludf.DUMMYFUNCTION("""COMPUTED_VALUE"""),0)</f>
        <v>0</v>
      </c>
      <c r="X164" s="97">
        <f ca="1">IFERROR(__xludf.DUMMYFUNCTION("""COMPUTED_VALUE"""),0)</f>
        <v>0</v>
      </c>
      <c r="Y164" s="97">
        <f t="shared" ca="1" si="3"/>
        <v>0</v>
      </c>
      <c r="Z164" s="67">
        <f t="shared" si="4"/>
        <v>0</v>
      </c>
      <c r="AA164" s="67"/>
      <c r="AB164" s="67"/>
      <c r="AC164" s="67"/>
      <c r="AD164" s="99" t="e">
        <f t="shared" ca="1" si="5"/>
        <v>#DIV/0!</v>
      </c>
      <c r="AE164" s="67"/>
      <c r="AF164" s="67"/>
      <c r="AG164" s="67"/>
      <c r="AH164" s="67"/>
      <c r="AI164" s="67"/>
      <c r="AJ164" s="67"/>
      <c r="AK164" s="67"/>
      <c r="AL164" s="67"/>
      <c r="AM164" s="67"/>
      <c r="AN164" s="67"/>
      <c r="AO164" s="67"/>
      <c r="AP164" s="67"/>
      <c r="AQ164" s="67"/>
      <c r="AR164" s="67"/>
      <c r="AS164" s="67"/>
      <c r="AT164" s="67"/>
    </row>
    <row r="165" spans="1:46" ht="84" hidden="1" x14ac:dyDescent="0.2">
      <c r="A165" s="67"/>
      <c r="B165" s="96"/>
      <c r="C16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5" s="20" t="str">
        <f ca="1">IFERROR(__xludf.DUMMYFUNCTION("""COMPUTED_VALUE"""),"МинЖКХ")</f>
        <v>МинЖКХ</v>
      </c>
      <c r="E165" s="20" t="str">
        <f ca="1">IFERROR(__xludf.DUMMYFUNCTION("""COMPUTED_VALUE"""),"Приобретение, монтаж и ввод в эксплуатацию станции водоочистки по адресу: д. Леоново, г.о. Егорьевск. ")</f>
        <v xml:space="preserve">Приобретение, монтаж и ввод в эксплуатацию станции водоочистки по адресу: д. Леоново, г.о. Егорьевск. </v>
      </c>
      <c r="F165" s="67" t="str">
        <f ca="1">IFERROR(__xludf.DUMMYFUNCTION("""COMPUTED_VALUE"""),"Приобретение, монтаж")</f>
        <v>Приобретение, монтаж</v>
      </c>
      <c r="G165" s="67" t="str">
        <f ca="1">IFERROR(__xludf.DUMMYFUNCTION("""COMPUTED_VALUE"""),"г.о. Егорьевск")</f>
        <v>г.о. Егорьевск</v>
      </c>
      <c r="H165" s="67" t="str">
        <f ca="1">IFERROR(__xludf.DUMMYFUNCTION("""COMPUTED_VALUE"""),"Н/Л")</f>
        <v>Н/Л</v>
      </c>
      <c r="I165" s="67" t="str">
        <f ca="1">IFERROR(__xludf.DUMMYFUNCTION("""COMPUTED_VALUE"""),"10 1 02 60330")</f>
        <v>10 1 02 60330</v>
      </c>
      <c r="J165" s="67">
        <f ca="1">IFERROR(__xludf.DUMMYFUNCTION("""COMPUTED_VALUE"""),520)</f>
        <v>520</v>
      </c>
      <c r="K165" s="97">
        <f t="shared" ca="1" si="1"/>
        <v>0</v>
      </c>
      <c r="L165" s="97">
        <f ca="1">IFERROR(__xludf.DUMMYFUNCTION("""COMPUTED_VALUE"""),0)</f>
        <v>0</v>
      </c>
      <c r="M165" s="97">
        <f ca="1">IFERROR(__xludf.DUMMYFUNCTION("""COMPUTED_VALUE"""),0)</f>
        <v>0</v>
      </c>
      <c r="N165" s="97">
        <f ca="1">IFERROR(__xludf.DUMMYFUNCTION("""COMPUTED_VALUE"""),0)</f>
        <v>0</v>
      </c>
      <c r="O165" s="97">
        <f ca="1">IFERROR(__xludf.DUMMYFUNCTION("""COMPUTED_VALUE"""),0)</f>
        <v>0</v>
      </c>
      <c r="P165" s="97">
        <f t="shared" ca="1" si="2"/>
        <v>0</v>
      </c>
      <c r="Q165" s="67"/>
      <c r="R165" s="67"/>
      <c r="S165" s="97">
        <f ca="1">IFERROR(__xludf.DUMMYFUNCTION("""COMPUTED_VALUE"""),0)</f>
        <v>0</v>
      </c>
      <c r="T165" s="97">
        <f ca="1">IFERROR(__xludf.DUMMYFUNCTION("""COMPUTED_VALUE"""),0)</f>
        <v>0</v>
      </c>
      <c r="U165" s="97">
        <f ca="1">IFERROR(__xludf.DUMMYFUNCTION("""COMPUTED_VALUE"""),0)</f>
        <v>0</v>
      </c>
      <c r="V165" s="97">
        <f ca="1">IFERROR(__xludf.DUMMYFUNCTION("""COMPUTED_VALUE"""),0)</f>
        <v>0</v>
      </c>
      <c r="W165" s="97">
        <f ca="1">IFERROR(__xludf.DUMMYFUNCTION("""COMPUTED_VALUE"""),0)</f>
        <v>0</v>
      </c>
      <c r="X165" s="97">
        <f ca="1">IFERROR(__xludf.DUMMYFUNCTION("""COMPUTED_VALUE"""),0)</f>
        <v>0</v>
      </c>
      <c r="Y165" s="97">
        <f t="shared" ca="1" si="3"/>
        <v>0</v>
      </c>
      <c r="Z165" s="67">
        <f t="shared" si="4"/>
        <v>0</v>
      </c>
      <c r="AA165" s="67"/>
      <c r="AB165" s="67"/>
      <c r="AC165" s="67"/>
      <c r="AD165" s="99" t="e">
        <f t="shared" ca="1" si="5"/>
        <v>#DIV/0!</v>
      </c>
      <c r="AE165" s="67"/>
      <c r="AF165" s="67"/>
      <c r="AG165" s="67"/>
      <c r="AH165" s="67"/>
      <c r="AI165" s="67"/>
      <c r="AJ165" s="67"/>
      <c r="AK165" s="67"/>
      <c r="AL165" s="67"/>
      <c r="AM165" s="67"/>
      <c r="AN165" s="67"/>
      <c r="AO165" s="67"/>
      <c r="AP165" s="67"/>
      <c r="AQ165" s="67"/>
      <c r="AR165" s="67"/>
      <c r="AS165" s="67"/>
      <c r="AT165" s="67"/>
    </row>
    <row r="166" spans="1:46" ht="84" hidden="1" x14ac:dyDescent="0.2">
      <c r="A166" s="67"/>
      <c r="B166" s="100"/>
      <c r="C16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6" s="20" t="str">
        <f ca="1">IFERROR(__xludf.DUMMYFUNCTION("""COMPUTED_VALUE"""),"МинЖКХ")</f>
        <v>МинЖКХ</v>
      </c>
      <c r="E166" s="20" t="str">
        <f ca="1">IFERROR(__xludf.DUMMYFUNCTION("""COMPUTED_VALUE"""),"Приобретение, монтаж и ввод в эксплуатацию станции водоочистки по адресу: д. Волково, г.о. Егорьевск. ")</f>
        <v xml:space="preserve">Приобретение, монтаж и ввод в эксплуатацию станции водоочистки по адресу: д. Волково, г.о. Егорьевск. </v>
      </c>
      <c r="F166" s="67" t="str">
        <f ca="1">IFERROR(__xludf.DUMMYFUNCTION("""COMPUTED_VALUE"""),"Приобретение, монтаж")</f>
        <v>Приобретение, монтаж</v>
      </c>
      <c r="G166" s="67" t="str">
        <f ca="1">IFERROR(__xludf.DUMMYFUNCTION("""COMPUTED_VALUE"""),"г.о. Егорьевск")</f>
        <v>г.о. Егорьевск</v>
      </c>
      <c r="H166" s="67" t="str">
        <f ca="1">IFERROR(__xludf.DUMMYFUNCTION("""COMPUTED_VALUE"""),"Н/Л")</f>
        <v>Н/Л</v>
      </c>
      <c r="I166" s="67" t="str">
        <f ca="1">IFERROR(__xludf.DUMMYFUNCTION("""COMPUTED_VALUE"""),"10 1 02 60330")</f>
        <v>10 1 02 60330</v>
      </c>
      <c r="J166" s="67">
        <f ca="1">IFERROR(__xludf.DUMMYFUNCTION("""COMPUTED_VALUE"""),520)</f>
        <v>520</v>
      </c>
      <c r="K166" s="97">
        <f t="shared" ca="1" si="1"/>
        <v>0</v>
      </c>
      <c r="L166" s="97">
        <f ca="1">IFERROR(__xludf.DUMMYFUNCTION("""COMPUTED_VALUE"""),0)</f>
        <v>0</v>
      </c>
      <c r="M166" s="97">
        <f ca="1">IFERROR(__xludf.DUMMYFUNCTION("""COMPUTED_VALUE"""),0)</f>
        <v>0</v>
      </c>
      <c r="N166" s="97">
        <f ca="1">IFERROR(__xludf.DUMMYFUNCTION("""COMPUTED_VALUE"""),0)</f>
        <v>0</v>
      </c>
      <c r="O166" s="97">
        <f ca="1">IFERROR(__xludf.DUMMYFUNCTION("""COMPUTED_VALUE"""),0)</f>
        <v>0</v>
      </c>
      <c r="P166" s="97">
        <f t="shared" ca="1" si="2"/>
        <v>0</v>
      </c>
      <c r="Q166" s="67"/>
      <c r="R166" s="67"/>
      <c r="S166" s="97">
        <f ca="1">IFERROR(__xludf.DUMMYFUNCTION("""COMPUTED_VALUE"""),0)</f>
        <v>0</v>
      </c>
      <c r="T166" s="97">
        <f ca="1">IFERROR(__xludf.DUMMYFUNCTION("""COMPUTED_VALUE"""),0)</f>
        <v>0</v>
      </c>
      <c r="U166" s="97">
        <f ca="1">IFERROR(__xludf.DUMMYFUNCTION("""COMPUTED_VALUE"""),0)</f>
        <v>0</v>
      </c>
      <c r="V166" s="97">
        <f ca="1">IFERROR(__xludf.DUMMYFUNCTION("""COMPUTED_VALUE"""),0)</f>
        <v>0</v>
      </c>
      <c r="W166" s="97">
        <f ca="1">IFERROR(__xludf.DUMMYFUNCTION("""COMPUTED_VALUE"""),0)</f>
        <v>0</v>
      </c>
      <c r="X166" s="97">
        <f ca="1">IFERROR(__xludf.DUMMYFUNCTION("""COMPUTED_VALUE"""),0)</f>
        <v>0</v>
      </c>
      <c r="Y166" s="97">
        <f t="shared" ca="1" si="3"/>
        <v>0</v>
      </c>
      <c r="Z166" s="67">
        <f t="shared" si="4"/>
        <v>0</v>
      </c>
      <c r="AA166" s="67"/>
      <c r="AB166" s="67"/>
      <c r="AC166" s="67"/>
      <c r="AD166" s="99" t="e">
        <f t="shared" ca="1" si="5"/>
        <v>#DIV/0!</v>
      </c>
      <c r="AE166" s="67"/>
      <c r="AF166" s="67"/>
      <c r="AG166" s="67"/>
      <c r="AH166" s="67"/>
      <c r="AI166" s="67"/>
      <c r="AJ166" s="67"/>
      <c r="AK166" s="67"/>
      <c r="AL166" s="67"/>
      <c r="AM166" s="67"/>
      <c r="AN166" s="67"/>
      <c r="AO166" s="67"/>
      <c r="AP166" s="67"/>
      <c r="AQ166" s="67"/>
      <c r="AR166" s="67"/>
      <c r="AS166" s="67"/>
      <c r="AT166" s="67"/>
    </row>
    <row r="167" spans="1:46" ht="84" x14ac:dyDescent="0.2">
      <c r="A167" s="20"/>
      <c r="B167" s="93"/>
      <c r="C16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7" s="20" t="str">
        <f ca="1">IFERROR(__xludf.DUMMYFUNCTION("""COMPUTED_VALUE"""),"МинЖКХ")</f>
        <v>МинЖКХ</v>
      </c>
      <c r="E167" s="20" t="str">
        <f ca="1">IFERROR(__xludf.DUMMYFUNCTION("""COMPUTED_VALUE"""),"Приобретение, монтаж и ввод в эксплуатацию станции очистки воды на ВЗУ в с. Старое Бобренево, Коломенский г.о.")</f>
        <v>Приобретение, монтаж и ввод в эксплуатацию станции очистки воды на ВЗУ в с. Старое Бобренево, Коломенский г.о.</v>
      </c>
      <c r="F167" s="20" t="str">
        <f ca="1">IFERROR(__xludf.DUMMYFUNCTION("""COMPUTED_VALUE"""),"Приобретение, монтаж")</f>
        <v>Приобретение, монтаж</v>
      </c>
      <c r="G167" s="20" t="str">
        <f ca="1">IFERROR(__xludf.DUMMYFUNCTION("""COMPUTED_VALUE"""),"г.о. Коломенский")</f>
        <v>г.о. Коломенский</v>
      </c>
      <c r="H167" s="20">
        <f ca="1">IFERROR(__xludf.DUMMYFUNCTION("""COMPUTED_VALUE"""),2020)</f>
        <v>2020</v>
      </c>
      <c r="I167" s="20" t="str">
        <f ca="1">IFERROR(__xludf.DUMMYFUNCTION("""COMPUTED_VALUE"""),"10 1 02 60330")</f>
        <v>10 1 02 60330</v>
      </c>
      <c r="J167" s="20">
        <f ca="1">IFERROR(__xludf.DUMMYFUNCTION("""COMPUTED_VALUE"""),520)</f>
        <v>520</v>
      </c>
      <c r="K167" s="24">
        <f t="shared" ca="1" si="1"/>
        <v>1972.8700000000001</v>
      </c>
      <c r="L167" s="24">
        <f ca="1">IFERROR(__xludf.DUMMYFUNCTION("""COMPUTED_VALUE"""),0)</f>
        <v>0</v>
      </c>
      <c r="M167" s="24">
        <f ca="1">IFERROR(__xludf.DUMMYFUNCTION("""COMPUTED_VALUE"""),0)</f>
        <v>0</v>
      </c>
      <c r="N167" s="24">
        <f ca="1">IFERROR(__xludf.DUMMYFUNCTION("""COMPUTED_VALUE"""),1874.2)</f>
        <v>1874.2</v>
      </c>
      <c r="O167" s="24">
        <f ca="1">IFERROR(__xludf.DUMMYFUNCTION("""COMPUTED_VALUE"""),98.67)</f>
        <v>98.67</v>
      </c>
      <c r="P167" s="24">
        <f t="shared" ca="1" si="2"/>
        <v>1874.2</v>
      </c>
      <c r="Q167" s="23">
        <f ca="1">IFERROR(__xludf.DUMMYFUNCTION("""COMPUTED_VALUE"""),1)</f>
        <v>1</v>
      </c>
      <c r="R167" s="20"/>
      <c r="S167" s="24">
        <f ca="1">IFERROR(__xludf.DUMMYFUNCTION("""COMPUTED_VALUE"""),1972.87)</f>
        <v>1972.87</v>
      </c>
      <c r="T167" s="24">
        <f ca="1">IFERROR(__xludf.DUMMYFUNCTION("""COMPUTED_VALUE"""),0)</f>
        <v>0</v>
      </c>
      <c r="U167" s="24">
        <f ca="1">IFERROR(__xludf.DUMMYFUNCTION("""COMPUTED_VALUE"""),0)</f>
        <v>0</v>
      </c>
      <c r="V167" s="24">
        <f ca="1">IFERROR(__xludf.DUMMYFUNCTION("""COMPUTED_VALUE"""),0)</f>
        <v>0</v>
      </c>
      <c r="W167" s="24">
        <f ca="1">IFERROR(__xludf.DUMMYFUNCTION("""COMPUTED_VALUE"""),0)</f>
        <v>0</v>
      </c>
      <c r="X167" s="24">
        <f ca="1">IFERROR(__xludf.DUMMYFUNCTION("""COMPUTED_VALUE"""),0)</f>
        <v>0</v>
      </c>
      <c r="Y167" s="24">
        <f t="shared" ca="1" si="3"/>
        <v>0</v>
      </c>
      <c r="Z167" s="20">
        <f t="shared" ca="1" si="4"/>
        <v>1874.2</v>
      </c>
      <c r="AA167" s="20"/>
      <c r="AB167" s="24">
        <f ca="1">IFERROR(__xludf.DUMMYFUNCTION("""COMPUTED_VALUE"""),0)</f>
        <v>0</v>
      </c>
      <c r="AC167" s="24">
        <f ca="1">IFERROR(__xludf.DUMMYFUNCTION("""COMPUTED_VALUE"""),1874.2)</f>
        <v>1874.2</v>
      </c>
      <c r="AD167" s="94">
        <f t="shared" ca="1" si="5"/>
        <v>1</v>
      </c>
      <c r="AE167" s="20"/>
      <c r="AF167" s="20"/>
      <c r="AG167" s="20"/>
      <c r="AH167" s="20"/>
      <c r="AI167" s="20"/>
      <c r="AJ167" s="20"/>
      <c r="AK167" s="20"/>
      <c r="AL167" s="20"/>
      <c r="AM167" s="20"/>
      <c r="AN167" s="20"/>
      <c r="AO167" s="20"/>
      <c r="AP167" s="20"/>
      <c r="AQ167" s="20"/>
      <c r="AR167" s="20"/>
      <c r="AS167" s="20"/>
      <c r="AT167" s="20"/>
    </row>
    <row r="168" spans="1:46" ht="84" x14ac:dyDescent="0.2">
      <c r="A168" s="20"/>
      <c r="B168" s="95"/>
      <c r="C16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8" s="20" t="str">
        <f ca="1">IFERROR(__xludf.DUMMYFUNCTION("""COMPUTED_VALUE"""),"МинЖКХ")</f>
        <v>МинЖКХ</v>
      </c>
      <c r="E168" s="20" t="str">
        <f ca="1">IFERROR(__xludf.DUMMYFUNCTION("""COMPUTED_VALUE"""),"Приобретение, монтаж и ввод в эксплуатацию станции  очистки воды на ВЗУ в с. Октябрьское, Коломенский г.о.")</f>
        <v>Приобретение, монтаж и ввод в эксплуатацию станции  очистки воды на ВЗУ в с. Октябрьское, Коломенский г.о.</v>
      </c>
      <c r="F168" s="20" t="str">
        <f ca="1">IFERROR(__xludf.DUMMYFUNCTION("""COMPUTED_VALUE"""),"Приобретение, монтаж")</f>
        <v>Приобретение, монтаж</v>
      </c>
      <c r="G168" s="20" t="str">
        <f ca="1">IFERROR(__xludf.DUMMYFUNCTION("""COMPUTED_VALUE"""),"г.о. Коломенский")</f>
        <v>г.о. Коломенский</v>
      </c>
      <c r="H168" s="20">
        <f ca="1">IFERROR(__xludf.DUMMYFUNCTION("""COMPUTED_VALUE"""),2020)</f>
        <v>2020</v>
      </c>
      <c r="I168" s="20" t="str">
        <f ca="1">IFERROR(__xludf.DUMMYFUNCTION("""COMPUTED_VALUE"""),"10 1 02 60330")</f>
        <v>10 1 02 60330</v>
      </c>
      <c r="J168" s="20">
        <f ca="1">IFERROR(__xludf.DUMMYFUNCTION("""COMPUTED_VALUE"""),520)</f>
        <v>520</v>
      </c>
      <c r="K168" s="24">
        <f t="shared" ca="1" si="1"/>
        <v>1665.9399999999998</v>
      </c>
      <c r="L168" s="24">
        <f ca="1">IFERROR(__xludf.DUMMYFUNCTION("""COMPUTED_VALUE"""),0)</f>
        <v>0</v>
      </c>
      <c r="M168" s="24">
        <f ca="1">IFERROR(__xludf.DUMMYFUNCTION("""COMPUTED_VALUE"""),0)</f>
        <v>0</v>
      </c>
      <c r="N168" s="24">
        <f ca="1">IFERROR(__xludf.DUMMYFUNCTION("""COMPUTED_VALUE"""),1582.61)</f>
        <v>1582.61</v>
      </c>
      <c r="O168" s="24">
        <f ca="1">IFERROR(__xludf.DUMMYFUNCTION("""COMPUTED_VALUE"""),83.33)</f>
        <v>83.33</v>
      </c>
      <c r="P168" s="24">
        <f t="shared" ca="1" si="2"/>
        <v>1582.61</v>
      </c>
      <c r="Q168" s="23">
        <f ca="1">IFERROR(__xludf.DUMMYFUNCTION("""COMPUTED_VALUE"""),0.6)</f>
        <v>0.6</v>
      </c>
      <c r="R168" s="20"/>
      <c r="S168" s="24">
        <f ca="1">IFERROR(__xludf.DUMMYFUNCTION("""COMPUTED_VALUE"""),1582.57)</f>
        <v>1582.57</v>
      </c>
      <c r="T168" s="24">
        <f ca="1">IFERROR(__xludf.DUMMYFUNCTION("""COMPUTED_VALUE"""),83.3699999999998)</f>
        <v>83.369999999999806</v>
      </c>
      <c r="U168" s="24">
        <f ca="1">IFERROR(__xludf.DUMMYFUNCTION("""COMPUTED_VALUE"""),0)</f>
        <v>0</v>
      </c>
      <c r="V168" s="24">
        <f ca="1">IFERROR(__xludf.DUMMYFUNCTION("""COMPUTED_VALUE"""),0)</f>
        <v>0</v>
      </c>
      <c r="W168" s="24">
        <f ca="1">IFERROR(__xludf.DUMMYFUNCTION("""COMPUTED_VALUE"""),0.0399999999999636)</f>
        <v>3.9999999999963599E-2</v>
      </c>
      <c r="X168" s="24">
        <f ca="1">IFERROR(__xludf.DUMMYFUNCTION("""COMPUTED_VALUE"""),83.33)</f>
        <v>83.33</v>
      </c>
      <c r="Y168" s="24">
        <f t="shared" ca="1" si="3"/>
        <v>3.9999999999963599E-2</v>
      </c>
      <c r="Z168" s="20">
        <f t="shared" ca="1" si="4"/>
        <v>1582.57</v>
      </c>
      <c r="AA168" s="20"/>
      <c r="AB168" s="24">
        <f ca="1">IFERROR(__xludf.DUMMYFUNCTION("""COMPUTED_VALUE"""),0)</f>
        <v>0</v>
      </c>
      <c r="AC168" s="24">
        <f ca="1">IFERROR(__xludf.DUMMYFUNCTION("""COMPUTED_VALUE"""),1582.57)</f>
        <v>1582.57</v>
      </c>
      <c r="AD168" s="94">
        <f t="shared" ca="1" si="5"/>
        <v>0.99997472529555609</v>
      </c>
      <c r="AE168" s="20"/>
      <c r="AF168" s="20"/>
      <c r="AG168" s="20"/>
      <c r="AH168" s="20"/>
      <c r="AI168" s="20"/>
      <c r="AJ168" s="20"/>
      <c r="AK168" s="20"/>
      <c r="AL168" s="20"/>
      <c r="AM168" s="20"/>
      <c r="AN168" s="20"/>
      <c r="AO168" s="20"/>
      <c r="AP168" s="20"/>
      <c r="AQ168" s="20"/>
      <c r="AR168" s="20"/>
      <c r="AS168" s="20"/>
      <c r="AT168" s="20"/>
    </row>
    <row r="169" spans="1:46" ht="84" hidden="1" x14ac:dyDescent="0.2">
      <c r="A169" s="67"/>
      <c r="B169" s="100"/>
      <c r="C16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9" s="20" t="str">
        <f ca="1">IFERROR(__xludf.DUMMYFUNCTION("""COMPUTED_VALUE"""),"МинЖКХ")</f>
        <v>МинЖКХ</v>
      </c>
      <c r="E169" s="20" t="str">
        <f ca="1">IFERROR(__xludf.DUMMYFUNCTION("""COMPUTED_VALUE"""),"Приобретение, монтаж и ввод в эксплуатацию станции  очистки воды на ВЗУ в д. Семеновское, Коломенский г.о.")</f>
        <v>Приобретение, монтаж и ввод в эксплуатацию станции  очистки воды на ВЗУ в д. Семеновское, Коломенский г.о.</v>
      </c>
      <c r="F169" s="67" t="str">
        <f ca="1">IFERROR(__xludf.DUMMYFUNCTION("""COMPUTED_VALUE"""),"Приобретение, монтаж")</f>
        <v>Приобретение, монтаж</v>
      </c>
      <c r="G169" s="67" t="str">
        <f ca="1">IFERROR(__xludf.DUMMYFUNCTION("""COMPUTED_VALUE"""),"г.о. Коломенский")</f>
        <v>г.о. Коломенский</v>
      </c>
      <c r="H169" s="67">
        <f ca="1">IFERROR(__xludf.DUMMYFUNCTION("""COMPUTED_VALUE"""),2020)</f>
        <v>2020</v>
      </c>
      <c r="I169" s="67" t="str">
        <f ca="1">IFERROR(__xludf.DUMMYFUNCTION("""COMPUTED_VALUE"""),"10 1 02 60330")</f>
        <v>10 1 02 60330</v>
      </c>
      <c r="J169" s="67">
        <f ca="1">IFERROR(__xludf.DUMMYFUNCTION("""COMPUTED_VALUE"""),520)</f>
        <v>520</v>
      </c>
      <c r="K169" s="97">
        <f t="shared" ca="1" si="1"/>
        <v>0</v>
      </c>
      <c r="L169" s="97">
        <f ca="1">IFERROR(__xludf.DUMMYFUNCTION("""COMPUTED_VALUE"""),0)</f>
        <v>0</v>
      </c>
      <c r="M169" s="97">
        <f ca="1">IFERROR(__xludf.DUMMYFUNCTION("""COMPUTED_VALUE"""),0)</f>
        <v>0</v>
      </c>
      <c r="N169" s="97">
        <f ca="1">IFERROR(__xludf.DUMMYFUNCTION("""COMPUTED_VALUE"""),0)</f>
        <v>0</v>
      </c>
      <c r="O169" s="97">
        <f ca="1">IFERROR(__xludf.DUMMYFUNCTION("""COMPUTED_VALUE"""),0)</f>
        <v>0</v>
      </c>
      <c r="P169" s="97">
        <f t="shared" ca="1" si="2"/>
        <v>0</v>
      </c>
      <c r="Q169" s="67"/>
      <c r="R169" s="67"/>
      <c r="S169" s="97">
        <f ca="1">IFERROR(__xludf.DUMMYFUNCTION("""COMPUTED_VALUE"""),0)</f>
        <v>0</v>
      </c>
      <c r="T169" s="97">
        <f ca="1">IFERROR(__xludf.DUMMYFUNCTION("""COMPUTED_VALUE"""),1640)</f>
        <v>1640</v>
      </c>
      <c r="U169" s="97">
        <f ca="1">IFERROR(__xludf.DUMMYFUNCTION("""COMPUTED_VALUE"""),0)</f>
        <v>0</v>
      </c>
      <c r="V169" s="97">
        <f ca="1">IFERROR(__xludf.DUMMYFUNCTION("""COMPUTED_VALUE"""),0)</f>
        <v>0</v>
      </c>
      <c r="W169" s="97">
        <f ca="1">IFERROR(__xludf.DUMMYFUNCTION("""COMPUTED_VALUE"""),0)</f>
        <v>0</v>
      </c>
      <c r="X169" s="97">
        <f ca="1">IFERROR(__xludf.DUMMYFUNCTION("""COMPUTED_VALUE"""),0)</f>
        <v>0</v>
      </c>
      <c r="Y169" s="97">
        <f t="shared" ca="1" si="3"/>
        <v>0</v>
      </c>
      <c r="Z169" s="67">
        <f t="shared" si="4"/>
        <v>0</v>
      </c>
      <c r="AA169" s="67"/>
      <c r="AB169" s="67"/>
      <c r="AC169" s="67"/>
      <c r="AD169" s="99" t="e">
        <f t="shared" ca="1" si="5"/>
        <v>#DIV/0!</v>
      </c>
      <c r="AE169" s="67"/>
      <c r="AF169" s="67"/>
      <c r="AG169" s="67"/>
      <c r="AH169" s="67"/>
      <c r="AI169" s="67"/>
      <c r="AJ169" s="67"/>
      <c r="AK169" s="67"/>
      <c r="AL169" s="67"/>
      <c r="AM169" s="67"/>
      <c r="AN169" s="67"/>
      <c r="AO169" s="67"/>
      <c r="AP169" s="67"/>
      <c r="AQ169" s="67"/>
      <c r="AR169" s="67"/>
      <c r="AS169" s="67"/>
      <c r="AT169" s="67"/>
    </row>
    <row r="170" spans="1:46" ht="84" x14ac:dyDescent="0.2">
      <c r="A170" s="20"/>
      <c r="B170" s="95"/>
      <c r="C17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0" s="20" t="str">
        <f ca="1">IFERROR(__xludf.DUMMYFUNCTION("""COMPUTED_VALUE"""),"МинЖКХ")</f>
        <v>МинЖКХ</v>
      </c>
      <c r="E170" s="20" t="str">
        <f ca="1">IFERROR(__xludf.DUMMYFUNCTION("""COMPUTED_VALUE"""),"Приобретение, монтаж и ввод в эксплуатацию станции  очистки воды на ВЗУ в д. Семибратское, Коломенский г.о.")</f>
        <v>Приобретение, монтаж и ввод в эксплуатацию станции  очистки воды на ВЗУ в д. Семибратское, Коломенский г.о.</v>
      </c>
      <c r="F170" s="20" t="str">
        <f ca="1">IFERROR(__xludf.DUMMYFUNCTION("""COMPUTED_VALUE"""),"Приобретение, монтаж")</f>
        <v>Приобретение, монтаж</v>
      </c>
      <c r="G170" s="20" t="str">
        <f ca="1">IFERROR(__xludf.DUMMYFUNCTION("""COMPUTED_VALUE"""),"г.о. Коломенский")</f>
        <v>г.о. Коломенский</v>
      </c>
      <c r="H170" s="20">
        <f ca="1">IFERROR(__xludf.DUMMYFUNCTION("""COMPUTED_VALUE"""),2020)</f>
        <v>2020</v>
      </c>
      <c r="I170" s="20" t="str">
        <f ca="1">IFERROR(__xludf.DUMMYFUNCTION("""COMPUTED_VALUE"""),"10 1 02 60330")</f>
        <v>10 1 02 60330</v>
      </c>
      <c r="J170" s="20">
        <f ca="1">IFERROR(__xludf.DUMMYFUNCTION("""COMPUTED_VALUE"""),520)</f>
        <v>520</v>
      </c>
      <c r="K170" s="24">
        <f t="shared" ca="1" si="1"/>
        <v>2715.33</v>
      </c>
      <c r="L170" s="24">
        <f ca="1">IFERROR(__xludf.DUMMYFUNCTION("""COMPUTED_VALUE"""),0)</f>
        <v>0</v>
      </c>
      <c r="M170" s="24">
        <f ca="1">IFERROR(__xludf.DUMMYFUNCTION("""COMPUTED_VALUE"""),0)</f>
        <v>0</v>
      </c>
      <c r="N170" s="24">
        <f ca="1">IFERROR(__xludf.DUMMYFUNCTION("""COMPUTED_VALUE"""),2579.5)</f>
        <v>2579.5</v>
      </c>
      <c r="O170" s="24">
        <f ca="1">IFERROR(__xludf.DUMMYFUNCTION("""COMPUTED_VALUE"""),135.83)</f>
        <v>135.83000000000001</v>
      </c>
      <c r="P170" s="24">
        <f t="shared" ca="1" si="2"/>
        <v>2579.5</v>
      </c>
      <c r="Q170" s="23">
        <f ca="1">IFERROR(__xludf.DUMMYFUNCTION("""COMPUTED_VALUE"""),0.8)</f>
        <v>0.8</v>
      </c>
      <c r="R170" s="20"/>
      <c r="S170" s="24">
        <f ca="1">IFERROR(__xludf.DUMMYFUNCTION("""COMPUTED_VALUE"""),1723.48)</f>
        <v>1723.48</v>
      </c>
      <c r="T170" s="24">
        <f ca="1">IFERROR(__xludf.DUMMYFUNCTION("""COMPUTED_VALUE"""),991.849999999999)</f>
        <v>991.849999999999</v>
      </c>
      <c r="U170" s="24">
        <f ca="1">IFERROR(__xludf.DUMMYFUNCTION("""COMPUTED_VALUE"""),0)</f>
        <v>0</v>
      </c>
      <c r="V170" s="24">
        <f ca="1">IFERROR(__xludf.DUMMYFUNCTION("""COMPUTED_VALUE"""),0)</f>
        <v>0</v>
      </c>
      <c r="W170" s="24">
        <f ca="1">IFERROR(__xludf.DUMMYFUNCTION("""COMPUTED_VALUE"""),856.02)</f>
        <v>856.02</v>
      </c>
      <c r="X170" s="24">
        <f ca="1">IFERROR(__xludf.DUMMYFUNCTION("""COMPUTED_VALUE"""),135.83)</f>
        <v>135.83000000000001</v>
      </c>
      <c r="Y170" s="24">
        <f t="shared" ca="1" si="3"/>
        <v>856.02</v>
      </c>
      <c r="Z170" s="20">
        <f t="shared" ca="1" si="4"/>
        <v>1723.48</v>
      </c>
      <c r="AA170" s="20"/>
      <c r="AB170" s="24">
        <f ca="1">IFERROR(__xludf.DUMMYFUNCTION("""COMPUTED_VALUE"""),0)</f>
        <v>0</v>
      </c>
      <c r="AC170" s="24">
        <f ca="1">IFERROR(__xludf.DUMMYFUNCTION("""COMPUTED_VALUE"""),1723.48)</f>
        <v>1723.48</v>
      </c>
      <c r="AD170" s="94">
        <f t="shared" ca="1" si="5"/>
        <v>0.66814498933901922</v>
      </c>
      <c r="AE170" s="20"/>
      <c r="AF170" s="20"/>
      <c r="AG170" s="20"/>
      <c r="AH170" s="20"/>
      <c r="AI170" s="20"/>
      <c r="AJ170" s="20"/>
      <c r="AK170" s="20"/>
      <c r="AL170" s="20"/>
      <c r="AM170" s="20"/>
      <c r="AN170" s="20"/>
      <c r="AO170" s="20"/>
      <c r="AP170" s="20"/>
      <c r="AQ170" s="20"/>
      <c r="AR170" s="20"/>
      <c r="AS170" s="20"/>
      <c r="AT170" s="20"/>
    </row>
    <row r="171" spans="1:46" ht="84" hidden="1" x14ac:dyDescent="0.2">
      <c r="A171" s="67"/>
      <c r="B171" s="100"/>
      <c r="C17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1" s="20" t="str">
        <f ca="1">IFERROR(__xludf.DUMMYFUNCTION("""COMPUTED_VALUE"""),"МинЖКХ")</f>
        <v>МинЖКХ</v>
      </c>
      <c r="E171" s="20" t="str">
        <f ca="1">IFERROR(__xludf.DUMMYFUNCTION("""COMPUTED_VALUE"""),"Приобретение, монтаж и ввод в эксплуатацию станции  очистки воды на ВЗУ в п. Возрождение, Коломенский г.о.")</f>
        <v>Приобретение, монтаж и ввод в эксплуатацию станции  очистки воды на ВЗУ в п. Возрождение, Коломенский г.о.</v>
      </c>
      <c r="F171" s="67" t="str">
        <f ca="1">IFERROR(__xludf.DUMMYFUNCTION("""COMPUTED_VALUE"""),"Приобретение, монтаж")</f>
        <v>Приобретение, монтаж</v>
      </c>
      <c r="G171" s="67" t="str">
        <f ca="1">IFERROR(__xludf.DUMMYFUNCTION("""COMPUTED_VALUE"""),"г.о. Коломенский")</f>
        <v>г.о. Коломенский</v>
      </c>
      <c r="H171" s="67">
        <f ca="1">IFERROR(__xludf.DUMMYFUNCTION("""COMPUTED_VALUE"""),2020)</f>
        <v>2020</v>
      </c>
      <c r="I171" s="67" t="str">
        <f ca="1">IFERROR(__xludf.DUMMYFUNCTION("""COMPUTED_VALUE"""),"10 1 02 60330")</f>
        <v>10 1 02 60330</v>
      </c>
      <c r="J171" s="67">
        <f ca="1">IFERROR(__xludf.DUMMYFUNCTION("""COMPUTED_VALUE"""),520)</f>
        <v>520</v>
      </c>
      <c r="K171" s="97">
        <f t="shared" ca="1" si="1"/>
        <v>0</v>
      </c>
      <c r="L171" s="97">
        <f ca="1">IFERROR(__xludf.DUMMYFUNCTION("""COMPUTED_VALUE"""),0)</f>
        <v>0</v>
      </c>
      <c r="M171" s="97">
        <f ca="1">IFERROR(__xludf.DUMMYFUNCTION("""COMPUTED_VALUE"""),0)</f>
        <v>0</v>
      </c>
      <c r="N171" s="97">
        <f ca="1">IFERROR(__xludf.DUMMYFUNCTION("""COMPUTED_VALUE"""),0)</f>
        <v>0</v>
      </c>
      <c r="O171" s="97">
        <f ca="1">IFERROR(__xludf.DUMMYFUNCTION("""COMPUTED_VALUE"""),0)</f>
        <v>0</v>
      </c>
      <c r="P171" s="97">
        <f t="shared" ca="1" si="2"/>
        <v>0</v>
      </c>
      <c r="Q171" s="67"/>
      <c r="R171" s="67"/>
      <c r="S171" s="97">
        <f ca="1">IFERROR(__xludf.DUMMYFUNCTION("""COMPUTED_VALUE"""),0)</f>
        <v>0</v>
      </c>
      <c r="T171" s="97">
        <f ca="1">IFERROR(__xludf.DUMMYFUNCTION("""COMPUTED_VALUE"""),3000)</f>
        <v>3000</v>
      </c>
      <c r="U171" s="97">
        <f ca="1">IFERROR(__xludf.DUMMYFUNCTION("""COMPUTED_VALUE"""),0)</f>
        <v>0</v>
      </c>
      <c r="V171" s="97">
        <f ca="1">IFERROR(__xludf.DUMMYFUNCTION("""COMPUTED_VALUE"""),0)</f>
        <v>0</v>
      </c>
      <c r="W171" s="97">
        <f ca="1">IFERROR(__xludf.DUMMYFUNCTION("""COMPUTED_VALUE"""),0)</f>
        <v>0</v>
      </c>
      <c r="X171" s="97">
        <f ca="1">IFERROR(__xludf.DUMMYFUNCTION("""COMPUTED_VALUE"""),0)</f>
        <v>0</v>
      </c>
      <c r="Y171" s="97">
        <f t="shared" ca="1" si="3"/>
        <v>0</v>
      </c>
      <c r="Z171" s="67">
        <f t="shared" si="4"/>
        <v>0</v>
      </c>
      <c r="AA171" s="67"/>
      <c r="AB171" s="67"/>
      <c r="AC171" s="67"/>
      <c r="AD171" s="99" t="e">
        <f t="shared" ca="1" si="5"/>
        <v>#DIV/0!</v>
      </c>
      <c r="AE171" s="67"/>
      <c r="AF171" s="67"/>
      <c r="AG171" s="67"/>
      <c r="AH171" s="67"/>
      <c r="AI171" s="67"/>
      <c r="AJ171" s="67"/>
      <c r="AK171" s="67"/>
      <c r="AL171" s="67"/>
      <c r="AM171" s="67"/>
      <c r="AN171" s="67"/>
      <c r="AO171" s="67"/>
      <c r="AP171" s="67"/>
      <c r="AQ171" s="67"/>
      <c r="AR171" s="67"/>
      <c r="AS171" s="67"/>
      <c r="AT171" s="67"/>
    </row>
    <row r="172" spans="1:46" ht="84" x14ac:dyDescent="0.2">
      <c r="A172" s="20"/>
      <c r="B172" s="93"/>
      <c r="C17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2" s="20" t="str">
        <f ca="1">IFERROR(__xludf.DUMMYFUNCTION("""COMPUTED_VALUE"""),"МинЖКХ")</f>
        <v>МинЖКХ</v>
      </c>
      <c r="E172" s="20" t="str">
        <f ca="1">IFERROR(__xludf.DUMMYFUNCTION("""COMPUTED_VALUE"""),"Приобретение, монтаж и ввод в эксплуатацию станции  очистки воды на ВЗУ в с. Лукерьино-2, Коломенский г.о.")</f>
        <v>Приобретение, монтаж и ввод в эксплуатацию станции  очистки воды на ВЗУ в с. Лукерьино-2, Коломенский г.о.</v>
      </c>
      <c r="F172" s="20" t="str">
        <f ca="1">IFERROR(__xludf.DUMMYFUNCTION("""COMPUTED_VALUE"""),"Приобретение, монтаж")</f>
        <v>Приобретение, монтаж</v>
      </c>
      <c r="G172" s="20" t="str">
        <f ca="1">IFERROR(__xludf.DUMMYFUNCTION("""COMPUTED_VALUE"""),"г.о. Коломенский")</f>
        <v>г.о. Коломенский</v>
      </c>
      <c r="H172" s="20">
        <f ca="1">IFERROR(__xludf.DUMMYFUNCTION("""COMPUTED_VALUE"""),2020)</f>
        <v>2020</v>
      </c>
      <c r="I172" s="20" t="str">
        <f ca="1">IFERROR(__xludf.DUMMYFUNCTION("""COMPUTED_VALUE"""),"10 1 02 60330")</f>
        <v>10 1 02 60330</v>
      </c>
      <c r="J172" s="20">
        <f ca="1">IFERROR(__xludf.DUMMYFUNCTION("""COMPUTED_VALUE"""),520)</f>
        <v>520</v>
      </c>
      <c r="K172" s="24">
        <f t="shared" ca="1" si="1"/>
        <v>1985.81</v>
      </c>
      <c r="L172" s="24">
        <f ca="1">IFERROR(__xludf.DUMMYFUNCTION("""COMPUTED_VALUE"""),0)</f>
        <v>0</v>
      </c>
      <c r="M172" s="24">
        <f ca="1">IFERROR(__xludf.DUMMYFUNCTION("""COMPUTED_VALUE"""),0)</f>
        <v>0</v>
      </c>
      <c r="N172" s="24">
        <f ca="1">IFERROR(__xludf.DUMMYFUNCTION("""COMPUTED_VALUE"""),1886.52)</f>
        <v>1886.52</v>
      </c>
      <c r="O172" s="24">
        <f ca="1">IFERROR(__xludf.DUMMYFUNCTION("""COMPUTED_VALUE"""),99.29)</f>
        <v>99.29</v>
      </c>
      <c r="P172" s="24">
        <f t="shared" ca="1" si="2"/>
        <v>1886.52</v>
      </c>
      <c r="Q172" s="23">
        <f ca="1">IFERROR(__xludf.DUMMYFUNCTION("""COMPUTED_VALUE"""),1)</f>
        <v>1</v>
      </c>
      <c r="R172" s="20"/>
      <c r="S172" s="24">
        <f ca="1">IFERROR(__xludf.DUMMYFUNCTION("""COMPUTED_VALUE"""),1886.52)</f>
        <v>1886.52</v>
      </c>
      <c r="T172" s="24">
        <f ca="1">IFERROR(__xludf.DUMMYFUNCTION("""COMPUTED_VALUE"""),99.2899999999999)</f>
        <v>99.289999999999907</v>
      </c>
      <c r="U172" s="24">
        <f ca="1">IFERROR(__xludf.DUMMYFUNCTION("""COMPUTED_VALUE"""),0)</f>
        <v>0</v>
      </c>
      <c r="V172" s="24">
        <f ca="1">IFERROR(__xludf.DUMMYFUNCTION("""COMPUTED_VALUE"""),0)</f>
        <v>0</v>
      </c>
      <c r="W172" s="24">
        <f ca="1">IFERROR(__xludf.DUMMYFUNCTION("""COMPUTED_VALUE"""),0)</f>
        <v>0</v>
      </c>
      <c r="X172" s="24">
        <f ca="1">IFERROR(__xludf.DUMMYFUNCTION("""COMPUTED_VALUE"""),99.29)</f>
        <v>99.29</v>
      </c>
      <c r="Y172" s="24">
        <f t="shared" ca="1" si="3"/>
        <v>0</v>
      </c>
      <c r="Z172" s="20">
        <f t="shared" ca="1" si="4"/>
        <v>1886.52</v>
      </c>
      <c r="AA172" s="20"/>
      <c r="AB172" s="24">
        <f ca="1">IFERROR(__xludf.DUMMYFUNCTION("""COMPUTED_VALUE"""),0)</f>
        <v>0</v>
      </c>
      <c r="AC172" s="24">
        <f ca="1">IFERROR(__xludf.DUMMYFUNCTION("""COMPUTED_VALUE"""),1886.52)</f>
        <v>1886.52</v>
      </c>
      <c r="AD172" s="94">
        <f t="shared" ca="1" si="5"/>
        <v>1</v>
      </c>
      <c r="AE172" s="20"/>
      <c r="AF172" s="20"/>
      <c r="AG172" s="20"/>
      <c r="AH172" s="20"/>
      <c r="AI172" s="20"/>
      <c r="AJ172" s="20"/>
      <c r="AK172" s="20"/>
      <c r="AL172" s="20"/>
      <c r="AM172" s="20"/>
      <c r="AN172" s="20"/>
      <c r="AO172" s="20"/>
      <c r="AP172" s="20"/>
      <c r="AQ172" s="20"/>
      <c r="AR172" s="20"/>
      <c r="AS172" s="20"/>
      <c r="AT172" s="20"/>
    </row>
    <row r="173" spans="1:46" ht="84" x14ac:dyDescent="0.2">
      <c r="A173" s="20"/>
      <c r="B173" s="95"/>
      <c r="C17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3" s="20" t="str">
        <f ca="1">IFERROR(__xludf.DUMMYFUNCTION("""COMPUTED_VALUE"""),"МинЖКХ")</f>
        <v>МинЖКХ</v>
      </c>
      <c r="E173" s="20" t="str">
        <f ca="1">IFERROR(__xludf.DUMMYFUNCTION("""COMPUTED_VALUE"""),"Приобретение, монтаж и ввод в эксплуатацию станции  очистки воды на ВЗУ в с. Парфентьево, Коломенский г.о.")</f>
        <v>Приобретение, монтаж и ввод в эксплуатацию станции  очистки воды на ВЗУ в с. Парфентьево, Коломенский г.о.</v>
      </c>
      <c r="F173" s="20" t="str">
        <f ca="1">IFERROR(__xludf.DUMMYFUNCTION("""COMPUTED_VALUE"""),"Приобретение, монтаж")</f>
        <v>Приобретение, монтаж</v>
      </c>
      <c r="G173" s="20" t="str">
        <f ca="1">IFERROR(__xludf.DUMMYFUNCTION("""COMPUTED_VALUE"""),"г.о. Коломенский")</f>
        <v>г.о. Коломенский</v>
      </c>
      <c r="H173" s="20">
        <f ca="1">IFERROR(__xludf.DUMMYFUNCTION("""COMPUTED_VALUE"""),2020)</f>
        <v>2020</v>
      </c>
      <c r="I173" s="20" t="str">
        <f ca="1">IFERROR(__xludf.DUMMYFUNCTION("""COMPUTED_VALUE"""),"10 1 02 60330")</f>
        <v>10 1 02 60330</v>
      </c>
      <c r="J173" s="20">
        <f ca="1">IFERROR(__xludf.DUMMYFUNCTION("""COMPUTED_VALUE"""),520)</f>
        <v>520</v>
      </c>
      <c r="K173" s="24">
        <f t="shared" ca="1" si="1"/>
        <v>1557.3999999999999</v>
      </c>
      <c r="L173" s="24">
        <f ca="1">IFERROR(__xludf.DUMMYFUNCTION("""COMPUTED_VALUE"""),0)</f>
        <v>0</v>
      </c>
      <c r="M173" s="24">
        <f ca="1">IFERROR(__xludf.DUMMYFUNCTION("""COMPUTED_VALUE"""),0)</f>
        <v>0</v>
      </c>
      <c r="N173" s="24">
        <f ca="1">IFERROR(__xludf.DUMMYFUNCTION("""COMPUTED_VALUE"""),1479.56)</f>
        <v>1479.56</v>
      </c>
      <c r="O173" s="24">
        <f ca="1">IFERROR(__xludf.DUMMYFUNCTION("""COMPUTED_VALUE"""),77.84)</f>
        <v>77.84</v>
      </c>
      <c r="P173" s="24">
        <f t="shared" ca="1" si="2"/>
        <v>1479.56</v>
      </c>
      <c r="Q173" s="23">
        <f ca="1">IFERROR(__xludf.DUMMYFUNCTION("""COMPUTED_VALUE"""),0.6)</f>
        <v>0.6</v>
      </c>
      <c r="R173" s="20"/>
      <c r="S173" s="24">
        <f ca="1">IFERROR(__xludf.DUMMYFUNCTION("""COMPUTED_VALUE"""),1479.56)</f>
        <v>1479.56</v>
      </c>
      <c r="T173" s="24">
        <f ca="1">IFERROR(__xludf.DUMMYFUNCTION("""COMPUTED_VALUE"""),77.8399999999999)</f>
        <v>77.839999999999904</v>
      </c>
      <c r="U173" s="24">
        <f ca="1">IFERROR(__xludf.DUMMYFUNCTION("""COMPUTED_VALUE"""),0)</f>
        <v>0</v>
      </c>
      <c r="V173" s="24">
        <f ca="1">IFERROR(__xludf.DUMMYFUNCTION("""COMPUTED_VALUE"""),0)</f>
        <v>0</v>
      </c>
      <c r="W173" s="24">
        <f ca="1">IFERROR(__xludf.DUMMYFUNCTION("""COMPUTED_VALUE"""),0)</f>
        <v>0</v>
      </c>
      <c r="X173" s="24">
        <f ca="1">IFERROR(__xludf.DUMMYFUNCTION("""COMPUTED_VALUE"""),77.84)</f>
        <v>77.84</v>
      </c>
      <c r="Y173" s="24">
        <f t="shared" ca="1" si="3"/>
        <v>0</v>
      </c>
      <c r="Z173" s="20">
        <f t="shared" ca="1" si="4"/>
        <v>1479.56</v>
      </c>
      <c r="AA173" s="20"/>
      <c r="AB173" s="24">
        <f ca="1">IFERROR(__xludf.DUMMYFUNCTION("""COMPUTED_VALUE"""),0)</f>
        <v>0</v>
      </c>
      <c r="AC173" s="24">
        <f ca="1">IFERROR(__xludf.DUMMYFUNCTION("""COMPUTED_VALUE"""),1479.56)</f>
        <v>1479.56</v>
      </c>
      <c r="AD173" s="94">
        <f t="shared" ca="1" si="5"/>
        <v>1</v>
      </c>
      <c r="AE173" s="20"/>
      <c r="AF173" s="20"/>
      <c r="AG173" s="20"/>
      <c r="AH173" s="20"/>
      <c r="AI173" s="20"/>
      <c r="AJ173" s="20"/>
      <c r="AK173" s="20"/>
      <c r="AL173" s="20"/>
      <c r="AM173" s="20"/>
      <c r="AN173" s="20"/>
      <c r="AO173" s="20"/>
      <c r="AP173" s="20"/>
      <c r="AQ173" s="20"/>
      <c r="AR173" s="20"/>
      <c r="AS173" s="20"/>
      <c r="AT173" s="20"/>
    </row>
    <row r="174" spans="1:46" ht="84" hidden="1" x14ac:dyDescent="0.2">
      <c r="A174" s="67"/>
      <c r="B174" s="100"/>
      <c r="C17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4" s="20" t="str">
        <f ca="1">IFERROR(__xludf.DUMMYFUNCTION("""COMPUTED_VALUE"""),"МинЖКХ")</f>
        <v>МинЖКХ</v>
      </c>
      <c r="E174" s="20" t="str">
        <f ca="1">IFERROR(__xludf.DUMMYFUNCTION("""COMPUTED_VALUE"""),"Приобретение, монтаж и ввод в эксплуатацию станции  очистки воды на ВЗУ в д. В. Хорошово, Коломенский г.о.")</f>
        <v>Приобретение, монтаж и ввод в эксплуатацию станции  очистки воды на ВЗУ в д. В. Хорошово, Коломенский г.о.</v>
      </c>
      <c r="F174" s="67" t="str">
        <f ca="1">IFERROR(__xludf.DUMMYFUNCTION("""COMPUTED_VALUE"""),"Приобретение, монтаж")</f>
        <v>Приобретение, монтаж</v>
      </c>
      <c r="G174" s="67" t="str">
        <f ca="1">IFERROR(__xludf.DUMMYFUNCTION("""COMPUTED_VALUE"""),"г.о. Коломенский")</f>
        <v>г.о. Коломенский</v>
      </c>
      <c r="H174" s="67">
        <f ca="1">IFERROR(__xludf.DUMMYFUNCTION("""COMPUTED_VALUE"""),2020)</f>
        <v>2020</v>
      </c>
      <c r="I174" s="67" t="str">
        <f ca="1">IFERROR(__xludf.DUMMYFUNCTION("""COMPUTED_VALUE"""),"10 1 02 60330")</f>
        <v>10 1 02 60330</v>
      </c>
      <c r="J174" s="67">
        <f ca="1">IFERROR(__xludf.DUMMYFUNCTION("""COMPUTED_VALUE"""),520)</f>
        <v>520</v>
      </c>
      <c r="K174" s="97">
        <f t="shared" ca="1" si="1"/>
        <v>0</v>
      </c>
      <c r="L174" s="97">
        <f ca="1">IFERROR(__xludf.DUMMYFUNCTION("""COMPUTED_VALUE"""),0)</f>
        <v>0</v>
      </c>
      <c r="M174" s="97">
        <f ca="1">IFERROR(__xludf.DUMMYFUNCTION("""COMPUTED_VALUE"""),0)</f>
        <v>0</v>
      </c>
      <c r="N174" s="97">
        <f ca="1">IFERROR(__xludf.DUMMYFUNCTION("""COMPUTED_VALUE"""),0)</f>
        <v>0</v>
      </c>
      <c r="O174" s="97">
        <f ca="1">IFERROR(__xludf.DUMMYFUNCTION("""COMPUTED_VALUE"""),0)</f>
        <v>0</v>
      </c>
      <c r="P174" s="97">
        <f t="shared" ca="1" si="2"/>
        <v>0</v>
      </c>
      <c r="Q174" s="67"/>
      <c r="R174" s="67"/>
      <c r="S174" s="97">
        <f ca="1">IFERROR(__xludf.DUMMYFUNCTION("""COMPUTED_VALUE"""),0)</f>
        <v>0</v>
      </c>
      <c r="T174" s="97">
        <f ca="1">IFERROR(__xludf.DUMMYFUNCTION("""COMPUTED_VALUE"""),1606.64)</f>
        <v>1606.64</v>
      </c>
      <c r="U174" s="97">
        <f ca="1">IFERROR(__xludf.DUMMYFUNCTION("""COMPUTED_VALUE"""),0)</f>
        <v>0</v>
      </c>
      <c r="V174" s="97">
        <f ca="1">IFERROR(__xludf.DUMMYFUNCTION("""COMPUTED_VALUE"""),0)</f>
        <v>0</v>
      </c>
      <c r="W174" s="97">
        <f ca="1">IFERROR(__xludf.DUMMYFUNCTION("""COMPUTED_VALUE"""),0)</f>
        <v>0</v>
      </c>
      <c r="X174" s="97">
        <f ca="1">IFERROR(__xludf.DUMMYFUNCTION("""COMPUTED_VALUE"""),0)</f>
        <v>0</v>
      </c>
      <c r="Y174" s="97">
        <f t="shared" ca="1" si="3"/>
        <v>0</v>
      </c>
      <c r="Z174" s="67">
        <f t="shared" si="4"/>
        <v>0</v>
      </c>
      <c r="AA174" s="67"/>
      <c r="AB174" s="67"/>
      <c r="AC174" s="67"/>
      <c r="AD174" s="99" t="e">
        <f t="shared" ca="1" si="5"/>
        <v>#DIV/0!</v>
      </c>
      <c r="AE174" s="67"/>
      <c r="AF174" s="67"/>
      <c r="AG174" s="67"/>
      <c r="AH174" s="67"/>
      <c r="AI174" s="67"/>
      <c r="AJ174" s="67"/>
      <c r="AK174" s="67"/>
      <c r="AL174" s="67"/>
      <c r="AM174" s="67"/>
      <c r="AN174" s="67"/>
      <c r="AO174" s="67"/>
      <c r="AP174" s="67"/>
      <c r="AQ174" s="67"/>
      <c r="AR174" s="67"/>
      <c r="AS174" s="67"/>
      <c r="AT174" s="67"/>
    </row>
    <row r="175" spans="1:46" ht="84" x14ac:dyDescent="0.2">
      <c r="A175" s="20"/>
      <c r="B175" s="93"/>
      <c r="C17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5" s="20" t="str">
        <f ca="1">IFERROR(__xludf.DUMMYFUNCTION("""COMPUTED_VALUE"""),"МинЖКХ")</f>
        <v>МинЖКХ</v>
      </c>
      <c r="E175" s="20" t="str">
        <f ca="1">IFERROR(__xludf.DUMMYFUNCTION("""COMPUTED_VALUE"""),"Приобретение, монтаж и ввод в эксплуатацию станции  очистки воды на ВЗУ в д. Проводник-2, Коломенский г.о.")</f>
        <v>Приобретение, монтаж и ввод в эксплуатацию станции  очистки воды на ВЗУ в д. Проводник-2, Коломенский г.о.</v>
      </c>
      <c r="F175" s="20" t="str">
        <f ca="1">IFERROR(__xludf.DUMMYFUNCTION("""COMPUTED_VALUE"""),"Приобретение, монтаж")</f>
        <v>Приобретение, монтаж</v>
      </c>
      <c r="G175" s="20" t="str">
        <f ca="1">IFERROR(__xludf.DUMMYFUNCTION("""COMPUTED_VALUE"""),"г.о. Коломенский")</f>
        <v>г.о. Коломенский</v>
      </c>
      <c r="H175" s="20">
        <f ca="1">IFERROR(__xludf.DUMMYFUNCTION("""COMPUTED_VALUE"""),2020)</f>
        <v>2020</v>
      </c>
      <c r="I175" s="20" t="str">
        <f ca="1">IFERROR(__xludf.DUMMYFUNCTION("""COMPUTED_VALUE"""),"10 1 02 60330")</f>
        <v>10 1 02 60330</v>
      </c>
      <c r="J175" s="20">
        <f ca="1">IFERROR(__xludf.DUMMYFUNCTION("""COMPUTED_VALUE"""),520)</f>
        <v>520</v>
      </c>
      <c r="K175" s="24">
        <f t="shared" ca="1" si="1"/>
        <v>1586.49</v>
      </c>
      <c r="L175" s="24">
        <f ca="1">IFERROR(__xludf.DUMMYFUNCTION("""COMPUTED_VALUE"""),0)</f>
        <v>0</v>
      </c>
      <c r="M175" s="24">
        <f ca="1">IFERROR(__xludf.DUMMYFUNCTION("""COMPUTED_VALUE"""),0)</f>
        <v>0</v>
      </c>
      <c r="N175" s="24">
        <f ca="1">IFERROR(__xludf.DUMMYFUNCTION("""COMPUTED_VALUE"""),1507.14)</f>
        <v>1507.14</v>
      </c>
      <c r="O175" s="24">
        <f ca="1">IFERROR(__xludf.DUMMYFUNCTION("""COMPUTED_VALUE"""),79.35)</f>
        <v>79.349999999999994</v>
      </c>
      <c r="P175" s="24">
        <f t="shared" ca="1" si="2"/>
        <v>1507.14</v>
      </c>
      <c r="Q175" s="23">
        <f ca="1">IFERROR(__xludf.DUMMYFUNCTION("""COMPUTED_VALUE"""),0.6)</f>
        <v>0.6</v>
      </c>
      <c r="R175" s="20"/>
      <c r="S175" s="24">
        <f ca="1">IFERROR(__xludf.DUMMYFUNCTION("""COMPUTED_VALUE"""),1507.11)</f>
        <v>1507.11</v>
      </c>
      <c r="T175" s="24">
        <f ca="1">IFERROR(__xludf.DUMMYFUNCTION("""COMPUTED_VALUE"""),79.3800000000001)</f>
        <v>79.380000000000095</v>
      </c>
      <c r="U175" s="24">
        <f ca="1">IFERROR(__xludf.DUMMYFUNCTION("""COMPUTED_VALUE"""),0)</f>
        <v>0</v>
      </c>
      <c r="V175" s="24">
        <f ca="1">IFERROR(__xludf.DUMMYFUNCTION("""COMPUTED_VALUE"""),0)</f>
        <v>0</v>
      </c>
      <c r="W175" s="24">
        <f ca="1">IFERROR(__xludf.DUMMYFUNCTION("""COMPUTED_VALUE"""),0.0300000000002)</f>
        <v>3.0000000000199999E-2</v>
      </c>
      <c r="X175" s="24">
        <f ca="1">IFERROR(__xludf.DUMMYFUNCTION("""COMPUTED_VALUE"""),79.35)</f>
        <v>79.349999999999994</v>
      </c>
      <c r="Y175" s="24">
        <f t="shared" ca="1" si="3"/>
        <v>3.0000000000199999E-2</v>
      </c>
      <c r="Z175" s="20">
        <f t="shared" ca="1" si="4"/>
        <v>1507.11</v>
      </c>
      <c r="AA175" s="20"/>
      <c r="AB175" s="24">
        <f ca="1">IFERROR(__xludf.DUMMYFUNCTION("""COMPUTED_VALUE"""),0)</f>
        <v>0</v>
      </c>
      <c r="AC175" s="24">
        <f ca="1">IFERROR(__xludf.DUMMYFUNCTION("""COMPUTED_VALUE"""),1507.11)</f>
        <v>1507.11</v>
      </c>
      <c r="AD175" s="94">
        <f t="shared" ca="1" si="5"/>
        <v>0.99998009474899463</v>
      </c>
      <c r="AE175" s="20"/>
      <c r="AF175" s="20"/>
      <c r="AG175" s="20"/>
      <c r="AH175" s="20"/>
      <c r="AI175" s="20"/>
      <c r="AJ175" s="20"/>
      <c r="AK175" s="20"/>
      <c r="AL175" s="20"/>
      <c r="AM175" s="20"/>
      <c r="AN175" s="20"/>
      <c r="AO175" s="20"/>
      <c r="AP175" s="20"/>
      <c r="AQ175" s="20"/>
      <c r="AR175" s="20"/>
      <c r="AS175" s="20"/>
      <c r="AT175" s="20"/>
    </row>
    <row r="176" spans="1:46" ht="84" x14ac:dyDescent="0.2">
      <c r="A176" s="20"/>
      <c r="B176" s="93"/>
      <c r="C17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6" s="20" t="str">
        <f ca="1">IFERROR(__xludf.DUMMYFUNCTION("""COMPUTED_VALUE"""),"МинЖКХ")</f>
        <v>МинЖКХ</v>
      </c>
      <c r="E176" s="20" t="str">
        <f ca="1">IFERROR(__xludf.DUMMYFUNCTION("""COMPUTED_VALUE"""),"Приобретение, монтаж и ввод в эксплуатацию станции  очистки воды на ВЗУ в п. Запрудный, Коломенский г.о.")</f>
        <v>Приобретение, монтаж и ввод в эксплуатацию станции  очистки воды на ВЗУ в п. Запрудный, Коломенский г.о.</v>
      </c>
      <c r="F176" s="20" t="str">
        <f ca="1">IFERROR(__xludf.DUMMYFUNCTION("""COMPUTED_VALUE"""),"Приобретение, монтаж")</f>
        <v>Приобретение, монтаж</v>
      </c>
      <c r="G176" s="20" t="str">
        <f ca="1">IFERROR(__xludf.DUMMYFUNCTION("""COMPUTED_VALUE"""),"г.о. Коломенский")</f>
        <v>г.о. Коломенский</v>
      </c>
      <c r="H176" s="20">
        <f ca="1">IFERROR(__xludf.DUMMYFUNCTION("""COMPUTED_VALUE"""),2020)</f>
        <v>2020</v>
      </c>
      <c r="I176" s="20" t="str">
        <f ca="1">IFERROR(__xludf.DUMMYFUNCTION("""COMPUTED_VALUE"""),"10 1 02 60330")</f>
        <v>10 1 02 60330</v>
      </c>
      <c r="J176" s="20">
        <f ca="1">IFERROR(__xludf.DUMMYFUNCTION("""COMPUTED_VALUE"""),520)</f>
        <v>520</v>
      </c>
      <c r="K176" s="24">
        <f t="shared" ca="1" si="1"/>
        <v>2715.33</v>
      </c>
      <c r="L176" s="24">
        <f ca="1">IFERROR(__xludf.DUMMYFUNCTION("""COMPUTED_VALUE"""),0)</f>
        <v>0</v>
      </c>
      <c r="M176" s="24">
        <f ca="1">IFERROR(__xludf.DUMMYFUNCTION("""COMPUTED_VALUE"""),0)</f>
        <v>0</v>
      </c>
      <c r="N176" s="24">
        <f ca="1">IFERROR(__xludf.DUMMYFUNCTION("""COMPUTED_VALUE"""),2579.5)</f>
        <v>2579.5</v>
      </c>
      <c r="O176" s="24">
        <f ca="1">IFERROR(__xludf.DUMMYFUNCTION("""COMPUTED_VALUE"""),135.83)</f>
        <v>135.83000000000001</v>
      </c>
      <c r="P176" s="24">
        <f t="shared" ca="1" si="2"/>
        <v>2579.5</v>
      </c>
      <c r="Q176" s="23">
        <f ca="1">IFERROR(__xludf.DUMMYFUNCTION("""COMPUTED_VALUE"""),0.5)</f>
        <v>0.5</v>
      </c>
      <c r="R176" s="20"/>
      <c r="S176" s="24">
        <f ca="1">IFERROR(__xludf.DUMMYFUNCTION("""COMPUTED_VALUE"""),1723.52)</f>
        <v>1723.52</v>
      </c>
      <c r="T176" s="24">
        <f ca="1">IFERROR(__xludf.DUMMYFUNCTION("""COMPUTED_VALUE"""),991.81)</f>
        <v>991.81</v>
      </c>
      <c r="U176" s="24">
        <f ca="1">IFERROR(__xludf.DUMMYFUNCTION("""COMPUTED_VALUE"""),0)</f>
        <v>0</v>
      </c>
      <c r="V176" s="24">
        <f ca="1">IFERROR(__xludf.DUMMYFUNCTION("""COMPUTED_VALUE"""),0)</f>
        <v>0</v>
      </c>
      <c r="W176" s="24">
        <f ca="1">IFERROR(__xludf.DUMMYFUNCTION("""COMPUTED_VALUE"""),855.98)</f>
        <v>855.98</v>
      </c>
      <c r="X176" s="24">
        <f ca="1">IFERROR(__xludf.DUMMYFUNCTION("""COMPUTED_VALUE"""),135.83)</f>
        <v>135.83000000000001</v>
      </c>
      <c r="Y176" s="24">
        <f t="shared" ca="1" si="3"/>
        <v>855.98</v>
      </c>
      <c r="Z176" s="20">
        <f t="shared" ca="1" si="4"/>
        <v>1723.52</v>
      </c>
      <c r="AA176" s="20"/>
      <c r="AB176" s="24">
        <f ca="1">IFERROR(__xludf.DUMMYFUNCTION("""COMPUTED_VALUE"""),0)</f>
        <v>0</v>
      </c>
      <c r="AC176" s="24">
        <f ca="1">IFERROR(__xludf.DUMMYFUNCTION("""COMPUTED_VALUE"""),1723.52)</f>
        <v>1723.52</v>
      </c>
      <c r="AD176" s="94">
        <f t="shared" ca="1" si="5"/>
        <v>0.66816049622019769</v>
      </c>
      <c r="AE176" s="20"/>
      <c r="AF176" s="20"/>
      <c r="AG176" s="20"/>
      <c r="AH176" s="20"/>
      <c r="AI176" s="20"/>
      <c r="AJ176" s="20"/>
      <c r="AK176" s="20"/>
      <c r="AL176" s="20"/>
      <c r="AM176" s="20"/>
      <c r="AN176" s="20"/>
      <c r="AO176" s="20"/>
      <c r="AP176" s="20"/>
      <c r="AQ176" s="20"/>
      <c r="AR176" s="20"/>
      <c r="AS176" s="20"/>
      <c r="AT176" s="20"/>
    </row>
    <row r="177" spans="1:46" ht="84" x14ac:dyDescent="0.2">
      <c r="A177" s="20"/>
      <c r="B177" s="93"/>
      <c r="C17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7" s="20" t="str">
        <f ca="1">IFERROR(__xludf.DUMMYFUNCTION("""COMPUTED_VALUE"""),"МинЖКХ")</f>
        <v>МинЖКХ</v>
      </c>
      <c r="E177" s="20" t="str">
        <f ca="1">IFERROR(__xludf.DUMMYFUNCTION("""COMPUTED_VALUE"""),"Приобретение, монтаж и ввод в эксплуатацию станции  очистки воды на ВЗУ в с. Горки, Коломенский г.о.")</f>
        <v>Приобретение, монтаж и ввод в эксплуатацию станции  очистки воды на ВЗУ в с. Горки, Коломенский г.о.</v>
      </c>
      <c r="F177" s="20" t="str">
        <f ca="1">IFERROR(__xludf.DUMMYFUNCTION("""COMPUTED_VALUE"""),"Приобретение, монтаж")</f>
        <v>Приобретение, монтаж</v>
      </c>
      <c r="G177" s="20" t="str">
        <f ca="1">IFERROR(__xludf.DUMMYFUNCTION("""COMPUTED_VALUE"""),"г.о. Коломенский")</f>
        <v>г.о. Коломенский</v>
      </c>
      <c r="H177" s="20">
        <f ca="1">IFERROR(__xludf.DUMMYFUNCTION("""COMPUTED_VALUE"""),2020)</f>
        <v>2020</v>
      </c>
      <c r="I177" s="20" t="str">
        <f ca="1">IFERROR(__xludf.DUMMYFUNCTION("""COMPUTED_VALUE"""),"10 1 02 60330")</f>
        <v>10 1 02 60330</v>
      </c>
      <c r="J177" s="20">
        <f ca="1">IFERROR(__xludf.DUMMYFUNCTION("""COMPUTED_VALUE"""),520)</f>
        <v>520</v>
      </c>
      <c r="K177" s="24">
        <f t="shared" ca="1" si="1"/>
        <v>2748.6699999999996</v>
      </c>
      <c r="L177" s="24">
        <f ca="1">IFERROR(__xludf.DUMMYFUNCTION("""COMPUTED_VALUE"""),0)</f>
        <v>0</v>
      </c>
      <c r="M177" s="24">
        <f ca="1">IFERROR(__xludf.DUMMYFUNCTION("""COMPUTED_VALUE"""),0)</f>
        <v>0</v>
      </c>
      <c r="N177" s="24">
        <f ca="1">IFERROR(__xludf.DUMMYFUNCTION("""COMPUTED_VALUE"""),2611.2)</f>
        <v>2611.1999999999998</v>
      </c>
      <c r="O177" s="24">
        <f ca="1">IFERROR(__xludf.DUMMYFUNCTION("""COMPUTED_VALUE"""),137.47)</f>
        <v>137.47</v>
      </c>
      <c r="P177" s="24">
        <f t="shared" ca="1" si="2"/>
        <v>2611.1999999999998</v>
      </c>
      <c r="Q177" s="23">
        <f ca="1">IFERROR(__xludf.DUMMYFUNCTION("""COMPUTED_VALUE"""),0.8)</f>
        <v>0.8</v>
      </c>
      <c r="R177" s="20"/>
      <c r="S177" s="24">
        <f ca="1">IFERROR(__xludf.DUMMYFUNCTION("""COMPUTED_VALUE"""),1723.39)</f>
        <v>1723.39</v>
      </c>
      <c r="T177" s="24">
        <f ca="1">IFERROR(__xludf.DUMMYFUNCTION("""COMPUTED_VALUE"""),1025.27999999999)</f>
        <v>1025.27999999999</v>
      </c>
      <c r="U177" s="24">
        <f ca="1">IFERROR(__xludf.DUMMYFUNCTION("""COMPUTED_VALUE"""),0)</f>
        <v>0</v>
      </c>
      <c r="V177" s="24">
        <f ca="1">IFERROR(__xludf.DUMMYFUNCTION("""COMPUTED_VALUE"""),0)</f>
        <v>0</v>
      </c>
      <c r="W177" s="24">
        <f ca="1">IFERROR(__xludf.DUMMYFUNCTION("""COMPUTED_VALUE"""),887.809999999999)</f>
        <v>887.80999999999904</v>
      </c>
      <c r="X177" s="24">
        <f ca="1">IFERROR(__xludf.DUMMYFUNCTION("""COMPUTED_VALUE"""),137.47)</f>
        <v>137.47</v>
      </c>
      <c r="Y177" s="24">
        <f t="shared" ca="1" si="3"/>
        <v>887.80999999999904</v>
      </c>
      <c r="Z177" s="20">
        <f t="shared" ca="1" si="4"/>
        <v>1723.39</v>
      </c>
      <c r="AA177" s="20"/>
      <c r="AB177" s="24">
        <f ca="1">IFERROR(__xludf.DUMMYFUNCTION("""COMPUTED_VALUE"""),0)</f>
        <v>0</v>
      </c>
      <c r="AC177" s="24">
        <f ca="1">IFERROR(__xludf.DUMMYFUNCTION("""COMPUTED_VALUE"""),1723.39)</f>
        <v>1723.39</v>
      </c>
      <c r="AD177" s="94">
        <f t="shared" ca="1" si="5"/>
        <v>0.65999923406862748</v>
      </c>
      <c r="AE177" s="20"/>
      <c r="AF177" s="20"/>
      <c r="AG177" s="20"/>
      <c r="AH177" s="20"/>
      <c r="AI177" s="20"/>
      <c r="AJ177" s="20"/>
      <c r="AK177" s="20"/>
      <c r="AL177" s="20"/>
      <c r="AM177" s="20"/>
      <c r="AN177" s="20"/>
      <c r="AO177" s="20"/>
      <c r="AP177" s="20"/>
      <c r="AQ177" s="20"/>
      <c r="AR177" s="20"/>
      <c r="AS177" s="20"/>
      <c r="AT177" s="20"/>
    </row>
    <row r="178" spans="1:46" ht="84" x14ac:dyDescent="0.2">
      <c r="A178" s="20"/>
      <c r="B178" s="93"/>
      <c r="C17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8" s="20" t="str">
        <f ca="1">IFERROR(__xludf.DUMMYFUNCTION("""COMPUTED_VALUE"""),"МинЖКХ")</f>
        <v>МинЖКХ</v>
      </c>
      <c r="E178" s="20" t="str">
        <f ca="1">IFERROR(__xludf.DUMMYFUNCTION("""COMPUTED_VALUE"""),"Приобретение, монтаж и ввод в эксплуатацию станции  очистки воды на ВЗУ в с. Макшеево, Коломенский г.о.")</f>
        <v>Приобретение, монтаж и ввод в эксплуатацию станции  очистки воды на ВЗУ в с. Макшеево, Коломенский г.о.</v>
      </c>
      <c r="F178" s="20" t="str">
        <f ca="1">IFERROR(__xludf.DUMMYFUNCTION("""COMPUTED_VALUE"""),"Приобретение, монтаж")</f>
        <v>Приобретение, монтаж</v>
      </c>
      <c r="G178" s="20" t="str">
        <f ca="1">IFERROR(__xludf.DUMMYFUNCTION("""COMPUTED_VALUE"""),"г.о. Коломенский")</f>
        <v>г.о. Коломенский</v>
      </c>
      <c r="H178" s="20">
        <f ca="1">IFERROR(__xludf.DUMMYFUNCTION("""COMPUTED_VALUE"""),2020)</f>
        <v>2020</v>
      </c>
      <c r="I178" s="20" t="str">
        <f ca="1">IFERROR(__xludf.DUMMYFUNCTION("""COMPUTED_VALUE"""),"10 1 02 60330")</f>
        <v>10 1 02 60330</v>
      </c>
      <c r="J178" s="20">
        <f ca="1">IFERROR(__xludf.DUMMYFUNCTION("""COMPUTED_VALUE"""),520)</f>
        <v>520</v>
      </c>
      <c r="K178" s="24">
        <f t="shared" ca="1" si="1"/>
        <v>2715.36</v>
      </c>
      <c r="L178" s="24">
        <f ca="1">IFERROR(__xludf.DUMMYFUNCTION("""COMPUTED_VALUE"""),0)</f>
        <v>0</v>
      </c>
      <c r="M178" s="24">
        <f ca="1">IFERROR(__xludf.DUMMYFUNCTION("""COMPUTED_VALUE"""),0)</f>
        <v>0</v>
      </c>
      <c r="N178" s="24">
        <f ca="1">IFERROR(__xludf.DUMMYFUNCTION("""COMPUTED_VALUE"""),2579.54)</f>
        <v>2579.54</v>
      </c>
      <c r="O178" s="24">
        <f ca="1">IFERROR(__xludf.DUMMYFUNCTION("""COMPUTED_VALUE"""),135.82)</f>
        <v>135.82</v>
      </c>
      <c r="P178" s="24">
        <f t="shared" ca="1" si="2"/>
        <v>2579.54</v>
      </c>
      <c r="Q178" s="23">
        <f ca="1">IFERROR(__xludf.DUMMYFUNCTION("""COMPUTED_VALUE"""),0.8)</f>
        <v>0.8</v>
      </c>
      <c r="R178" s="20"/>
      <c r="S178" s="24">
        <f ca="1">IFERROR(__xludf.DUMMYFUNCTION("""COMPUTED_VALUE"""),1728.28)</f>
        <v>1728.28</v>
      </c>
      <c r="T178" s="24">
        <f ca="1">IFERROR(__xludf.DUMMYFUNCTION("""COMPUTED_VALUE"""),987.08)</f>
        <v>987.08</v>
      </c>
      <c r="U178" s="24">
        <f ca="1">IFERROR(__xludf.DUMMYFUNCTION("""COMPUTED_VALUE"""),0)</f>
        <v>0</v>
      </c>
      <c r="V178" s="24">
        <f ca="1">IFERROR(__xludf.DUMMYFUNCTION("""COMPUTED_VALUE"""),0)</f>
        <v>0</v>
      </c>
      <c r="W178" s="24">
        <f ca="1">IFERROR(__xludf.DUMMYFUNCTION("""COMPUTED_VALUE"""),851.26)</f>
        <v>851.26</v>
      </c>
      <c r="X178" s="24">
        <f ca="1">IFERROR(__xludf.DUMMYFUNCTION("""COMPUTED_VALUE"""),135.82)</f>
        <v>135.82</v>
      </c>
      <c r="Y178" s="24">
        <f t="shared" ca="1" si="3"/>
        <v>851.26</v>
      </c>
      <c r="Z178" s="20">
        <f t="shared" ca="1" si="4"/>
        <v>1728.28</v>
      </c>
      <c r="AA178" s="20"/>
      <c r="AB178" s="24">
        <f ca="1">IFERROR(__xludf.DUMMYFUNCTION("""COMPUTED_VALUE"""),0)</f>
        <v>0</v>
      </c>
      <c r="AC178" s="24">
        <f ca="1">IFERROR(__xludf.DUMMYFUNCTION("""COMPUTED_VALUE"""),1728.28)</f>
        <v>1728.28</v>
      </c>
      <c r="AD178" s="94">
        <f t="shared" ca="1" si="5"/>
        <v>0.6699954255409879</v>
      </c>
      <c r="AE178" s="20"/>
      <c r="AF178" s="20"/>
      <c r="AG178" s="20"/>
      <c r="AH178" s="20"/>
      <c r="AI178" s="20"/>
      <c r="AJ178" s="20"/>
      <c r="AK178" s="20"/>
      <c r="AL178" s="20"/>
      <c r="AM178" s="20"/>
      <c r="AN178" s="20"/>
      <c r="AO178" s="20"/>
      <c r="AP178" s="20"/>
      <c r="AQ178" s="20"/>
      <c r="AR178" s="20"/>
      <c r="AS178" s="20"/>
      <c r="AT178" s="20"/>
    </row>
    <row r="179" spans="1:46" ht="84" x14ac:dyDescent="0.2">
      <c r="A179" s="20"/>
      <c r="B179" s="93"/>
      <c r="C17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9" s="20" t="str">
        <f ca="1">IFERROR(__xludf.DUMMYFUNCTION("""COMPUTED_VALUE"""),"МинЖКХ")</f>
        <v>МинЖКХ</v>
      </c>
      <c r="E179" s="20" t="str">
        <f ca="1">IFERROR(__xludf.DUMMYFUNCTION("""COMPUTED_VALUE"""),"Приобретение, монтаж и ввод в эксплуатацию станции  очистки воды на ВЗУ в д. Молитвино, Коломенский г.о.")</f>
        <v>Приобретение, монтаж и ввод в эксплуатацию станции  очистки воды на ВЗУ в д. Молитвино, Коломенский г.о.</v>
      </c>
      <c r="F179" s="20" t="str">
        <f ca="1">IFERROR(__xludf.DUMMYFUNCTION("""COMPUTED_VALUE"""),"Приобретение, монтаж")</f>
        <v>Приобретение, монтаж</v>
      </c>
      <c r="G179" s="20" t="str">
        <f ca="1">IFERROR(__xludf.DUMMYFUNCTION("""COMPUTED_VALUE"""),"г.о. Коломенский")</f>
        <v>г.о. Коломенский</v>
      </c>
      <c r="H179" s="20">
        <f ca="1">IFERROR(__xludf.DUMMYFUNCTION("""COMPUTED_VALUE"""),2020)</f>
        <v>2020</v>
      </c>
      <c r="I179" s="20" t="str">
        <f ca="1">IFERROR(__xludf.DUMMYFUNCTION("""COMPUTED_VALUE"""),"10 1 02 60330")</f>
        <v>10 1 02 60330</v>
      </c>
      <c r="J179" s="20">
        <f ca="1">IFERROR(__xludf.DUMMYFUNCTION("""COMPUTED_VALUE"""),520)</f>
        <v>520</v>
      </c>
      <c r="K179" s="24">
        <f t="shared" ca="1" si="1"/>
        <v>2851.4</v>
      </c>
      <c r="L179" s="24">
        <f ca="1">IFERROR(__xludf.DUMMYFUNCTION("""COMPUTED_VALUE"""),0)</f>
        <v>0</v>
      </c>
      <c r="M179" s="24">
        <f ca="1">IFERROR(__xludf.DUMMYFUNCTION("""COMPUTED_VALUE"""),0)</f>
        <v>0</v>
      </c>
      <c r="N179" s="24">
        <f ca="1">IFERROR(__xludf.DUMMYFUNCTION("""COMPUTED_VALUE"""),2708.83)</f>
        <v>2708.83</v>
      </c>
      <c r="O179" s="24">
        <f ca="1">IFERROR(__xludf.DUMMYFUNCTION("""COMPUTED_VALUE"""),142.57)</f>
        <v>142.57</v>
      </c>
      <c r="P179" s="24">
        <f t="shared" ca="1" si="2"/>
        <v>2708.83</v>
      </c>
      <c r="Q179" s="23">
        <f ca="1">IFERROR(__xludf.DUMMYFUNCTION("""COMPUTED_VALUE"""),0.5)</f>
        <v>0.5</v>
      </c>
      <c r="R179" s="20"/>
      <c r="S179" s="24">
        <f ca="1">IFERROR(__xludf.DUMMYFUNCTION("""COMPUTED_VALUE"""),1637.04)</f>
        <v>1637.04</v>
      </c>
      <c r="T179" s="24">
        <f ca="1">IFERROR(__xludf.DUMMYFUNCTION("""COMPUTED_VALUE"""),1214.36)</f>
        <v>1214.3599999999999</v>
      </c>
      <c r="U179" s="24">
        <f ca="1">IFERROR(__xludf.DUMMYFUNCTION("""COMPUTED_VALUE"""),0)</f>
        <v>0</v>
      </c>
      <c r="V179" s="24">
        <f ca="1">IFERROR(__xludf.DUMMYFUNCTION("""COMPUTED_VALUE"""),0)</f>
        <v>0</v>
      </c>
      <c r="W179" s="24">
        <f ca="1">IFERROR(__xludf.DUMMYFUNCTION("""COMPUTED_VALUE"""),1071.79)</f>
        <v>1071.79</v>
      </c>
      <c r="X179" s="24">
        <f ca="1">IFERROR(__xludf.DUMMYFUNCTION("""COMPUTED_VALUE"""),142.57)</f>
        <v>142.57</v>
      </c>
      <c r="Y179" s="24">
        <f t="shared" ca="1" si="3"/>
        <v>1071.79</v>
      </c>
      <c r="Z179" s="20">
        <f t="shared" ca="1" si="4"/>
        <v>1637.04</v>
      </c>
      <c r="AA179" s="20"/>
      <c r="AB179" s="24">
        <f ca="1">IFERROR(__xludf.DUMMYFUNCTION("""COMPUTED_VALUE"""),0)</f>
        <v>0</v>
      </c>
      <c r="AC179" s="24">
        <f ca="1">IFERROR(__xludf.DUMMYFUNCTION("""COMPUTED_VALUE"""),1637.04)</f>
        <v>1637.04</v>
      </c>
      <c r="AD179" s="94">
        <f t="shared" ca="1" si="5"/>
        <v>0.60433471277267303</v>
      </c>
      <c r="AE179" s="20"/>
      <c r="AF179" s="20"/>
      <c r="AG179" s="20"/>
      <c r="AH179" s="20"/>
      <c r="AI179" s="20"/>
      <c r="AJ179" s="20"/>
      <c r="AK179" s="20"/>
      <c r="AL179" s="20"/>
      <c r="AM179" s="20"/>
      <c r="AN179" s="20"/>
      <c r="AO179" s="20"/>
      <c r="AP179" s="20"/>
      <c r="AQ179" s="20"/>
      <c r="AR179" s="20"/>
      <c r="AS179" s="20"/>
      <c r="AT179" s="20"/>
    </row>
    <row r="180" spans="1:46" ht="84" x14ac:dyDescent="0.2">
      <c r="A180" s="20"/>
      <c r="B180" s="95"/>
      <c r="C18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0" s="20" t="str">
        <f ca="1">IFERROR(__xludf.DUMMYFUNCTION("""COMPUTED_VALUE"""),"МинЖКХ")</f>
        <v>МинЖКХ</v>
      </c>
      <c r="E180" s="20" t="str">
        <f ca="1">IFERROR(__xludf.DUMMYFUNCTION("""COMPUTED_VALUE"""),"Приобретение, монтаж и ввод в эксплуатацию станции  очистки воды на ВЗУ в с. Андреевское, Коломенский г.о.")</f>
        <v>Приобретение, монтаж и ввод в эксплуатацию станции  очистки воды на ВЗУ в с. Андреевское, Коломенский г.о.</v>
      </c>
      <c r="F180" s="20" t="str">
        <f ca="1">IFERROR(__xludf.DUMMYFUNCTION("""COMPUTED_VALUE"""),"Приобретение, монтаж")</f>
        <v>Приобретение, монтаж</v>
      </c>
      <c r="G180" s="20" t="str">
        <f ca="1">IFERROR(__xludf.DUMMYFUNCTION("""COMPUTED_VALUE"""),"г.о. Коломенский")</f>
        <v>г.о. Коломенский</v>
      </c>
      <c r="H180" s="20">
        <f ca="1">IFERROR(__xludf.DUMMYFUNCTION("""COMPUTED_VALUE"""),2020)</f>
        <v>2020</v>
      </c>
      <c r="I180" s="20" t="str">
        <f ca="1">IFERROR(__xludf.DUMMYFUNCTION("""COMPUTED_VALUE"""),"10 1 02 60330")</f>
        <v>10 1 02 60330</v>
      </c>
      <c r="J180" s="20">
        <f ca="1">IFERROR(__xludf.DUMMYFUNCTION("""COMPUTED_VALUE"""),520)</f>
        <v>520</v>
      </c>
      <c r="K180" s="24">
        <f t="shared" ca="1" si="1"/>
        <v>2782</v>
      </c>
      <c r="L180" s="24">
        <f ca="1">IFERROR(__xludf.DUMMYFUNCTION("""COMPUTED_VALUE"""),0)</f>
        <v>0</v>
      </c>
      <c r="M180" s="24">
        <f ca="1">IFERROR(__xludf.DUMMYFUNCTION("""COMPUTED_VALUE"""),0)</f>
        <v>0</v>
      </c>
      <c r="N180" s="24">
        <f ca="1">IFERROR(__xludf.DUMMYFUNCTION("""COMPUTED_VALUE"""),2642.78)</f>
        <v>2642.78</v>
      </c>
      <c r="O180" s="24">
        <f ca="1">IFERROR(__xludf.DUMMYFUNCTION("""COMPUTED_VALUE"""),139.22)</f>
        <v>139.22</v>
      </c>
      <c r="P180" s="24">
        <f t="shared" ca="1" si="2"/>
        <v>2642.78</v>
      </c>
      <c r="Q180" s="23">
        <f ca="1">IFERROR(__xludf.DUMMYFUNCTION("""COMPUTED_VALUE"""),0.8)</f>
        <v>0.8</v>
      </c>
      <c r="R180" s="20"/>
      <c r="S180" s="24">
        <f ca="1">IFERROR(__xludf.DUMMYFUNCTION("""COMPUTED_VALUE"""),1757.36)</f>
        <v>1757.36</v>
      </c>
      <c r="T180" s="24">
        <f ca="1">IFERROR(__xludf.DUMMYFUNCTION("""COMPUTED_VALUE"""),1024.64)</f>
        <v>1024.6400000000001</v>
      </c>
      <c r="U180" s="24">
        <f ca="1">IFERROR(__xludf.DUMMYFUNCTION("""COMPUTED_VALUE"""),0)</f>
        <v>0</v>
      </c>
      <c r="V180" s="24">
        <f ca="1">IFERROR(__xludf.DUMMYFUNCTION("""COMPUTED_VALUE"""),0)</f>
        <v>0</v>
      </c>
      <c r="W180" s="24">
        <f ca="1">IFERROR(__xludf.DUMMYFUNCTION("""COMPUTED_VALUE"""),885.42)</f>
        <v>885.42</v>
      </c>
      <c r="X180" s="24">
        <f ca="1">IFERROR(__xludf.DUMMYFUNCTION("""COMPUTED_VALUE"""),139.22)</f>
        <v>139.22</v>
      </c>
      <c r="Y180" s="24">
        <f t="shared" ca="1" si="3"/>
        <v>885.42</v>
      </c>
      <c r="Z180" s="20">
        <f t="shared" ca="1" si="4"/>
        <v>1757.36</v>
      </c>
      <c r="AA180" s="20"/>
      <c r="AB180" s="24">
        <f ca="1">IFERROR(__xludf.DUMMYFUNCTION("""COMPUTED_VALUE"""),0)</f>
        <v>0</v>
      </c>
      <c r="AC180" s="24">
        <f ca="1">IFERROR(__xludf.DUMMYFUNCTION("""COMPUTED_VALUE"""),1757.36)</f>
        <v>1757.36</v>
      </c>
      <c r="AD180" s="94">
        <f t="shared" ca="1" si="5"/>
        <v>0.66496643685815682</v>
      </c>
      <c r="AE180" s="20"/>
      <c r="AF180" s="20"/>
      <c r="AG180" s="20"/>
      <c r="AH180" s="20"/>
      <c r="AI180" s="20"/>
      <c r="AJ180" s="20"/>
      <c r="AK180" s="20"/>
      <c r="AL180" s="20"/>
      <c r="AM180" s="20"/>
      <c r="AN180" s="20"/>
      <c r="AO180" s="20"/>
      <c r="AP180" s="20"/>
      <c r="AQ180" s="20"/>
      <c r="AR180" s="20"/>
      <c r="AS180" s="20"/>
      <c r="AT180" s="20"/>
    </row>
    <row r="181" spans="1:46" ht="84" hidden="1" x14ac:dyDescent="0.2">
      <c r="A181" s="67"/>
      <c r="B181" s="96"/>
      <c r="C18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1" s="20" t="str">
        <f ca="1">IFERROR(__xludf.DUMMYFUNCTION("""COMPUTED_VALUE"""),"МинЖКХ")</f>
        <v>МинЖКХ</v>
      </c>
      <c r="E181" s="20" t="str">
        <f ca="1">IFERROR(__xludf.DUMMYFUNCTION("""COMPUTED_VALUE"""),"Приобретение, монтаж и ввод в эксплуатацию станции  очистки воды на ВЗУ в д. Новая, Коломенский г.о.")</f>
        <v>Приобретение, монтаж и ввод в эксплуатацию станции  очистки воды на ВЗУ в д. Новая, Коломенский г.о.</v>
      </c>
      <c r="F181" s="67" t="str">
        <f ca="1">IFERROR(__xludf.DUMMYFUNCTION("""COMPUTED_VALUE"""),"Приобретение, монтаж")</f>
        <v>Приобретение, монтаж</v>
      </c>
      <c r="G181" s="67" t="str">
        <f ca="1">IFERROR(__xludf.DUMMYFUNCTION("""COMPUTED_VALUE"""),"г.о. Коломенский")</f>
        <v>г.о. Коломенский</v>
      </c>
      <c r="H181" s="67">
        <f ca="1">IFERROR(__xludf.DUMMYFUNCTION("""COMPUTED_VALUE"""),2020)</f>
        <v>2020</v>
      </c>
      <c r="I181" s="67" t="str">
        <f ca="1">IFERROR(__xludf.DUMMYFUNCTION("""COMPUTED_VALUE"""),"10 1 02 60330")</f>
        <v>10 1 02 60330</v>
      </c>
      <c r="J181" s="67">
        <f ca="1">IFERROR(__xludf.DUMMYFUNCTION("""COMPUTED_VALUE"""),520)</f>
        <v>520</v>
      </c>
      <c r="K181" s="97">
        <f t="shared" ca="1" si="1"/>
        <v>0</v>
      </c>
      <c r="L181" s="97">
        <f ca="1">IFERROR(__xludf.DUMMYFUNCTION("""COMPUTED_VALUE"""),0)</f>
        <v>0</v>
      </c>
      <c r="M181" s="97">
        <f ca="1">IFERROR(__xludf.DUMMYFUNCTION("""COMPUTED_VALUE"""),0)</f>
        <v>0</v>
      </c>
      <c r="N181" s="97">
        <f ca="1">IFERROR(__xludf.DUMMYFUNCTION("""COMPUTED_VALUE"""),0)</f>
        <v>0</v>
      </c>
      <c r="O181" s="97">
        <f ca="1">IFERROR(__xludf.DUMMYFUNCTION("""COMPUTED_VALUE"""),0)</f>
        <v>0</v>
      </c>
      <c r="P181" s="97">
        <f t="shared" ca="1" si="2"/>
        <v>0</v>
      </c>
      <c r="Q181" s="67"/>
      <c r="R181" s="67"/>
      <c r="S181" s="97">
        <f ca="1">IFERROR(__xludf.DUMMYFUNCTION("""COMPUTED_VALUE"""),0)</f>
        <v>0</v>
      </c>
      <c r="T181" s="97">
        <f ca="1">IFERROR(__xludf.DUMMYFUNCTION("""COMPUTED_VALUE"""),2703.37)</f>
        <v>2703.37</v>
      </c>
      <c r="U181" s="97">
        <f ca="1">IFERROR(__xludf.DUMMYFUNCTION("""COMPUTED_VALUE"""),0)</f>
        <v>0</v>
      </c>
      <c r="V181" s="97">
        <f ca="1">IFERROR(__xludf.DUMMYFUNCTION("""COMPUTED_VALUE"""),0)</f>
        <v>0</v>
      </c>
      <c r="W181" s="97">
        <f ca="1">IFERROR(__xludf.DUMMYFUNCTION("""COMPUTED_VALUE"""),0)</f>
        <v>0</v>
      </c>
      <c r="X181" s="97">
        <f ca="1">IFERROR(__xludf.DUMMYFUNCTION("""COMPUTED_VALUE"""),0)</f>
        <v>0</v>
      </c>
      <c r="Y181" s="97">
        <f t="shared" ca="1" si="3"/>
        <v>0</v>
      </c>
      <c r="Z181" s="67">
        <f t="shared" si="4"/>
        <v>0</v>
      </c>
      <c r="AA181" s="67"/>
      <c r="AB181" s="67"/>
      <c r="AC181" s="67"/>
      <c r="AD181" s="99" t="e">
        <f t="shared" ca="1" si="5"/>
        <v>#DIV/0!</v>
      </c>
      <c r="AE181" s="67"/>
      <c r="AF181" s="67"/>
      <c r="AG181" s="67"/>
      <c r="AH181" s="67"/>
      <c r="AI181" s="67"/>
      <c r="AJ181" s="67"/>
      <c r="AK181" s="67"/>
      <c r="AL181" s="67"/>
      <c r="AM181" s="67"/>
      <c r="AN181" s="67"/>
      <c r="AO181" s="67"/>
      <c r="AP181" s="67"/>
      <c r="AQ181" s="67"/>
      <c r="AR181" s="67"/>
      <c r="AS181" s="67"/>
      <c r="AT181" s="67"/>
    </row>
    <row r="182" spans="1:46" ht="84" hidden="1" x14ac:dyDescent="0.2">
      <c r="A182" s="67"/>
      <c r="B182" s="100"/>
      <c r="C18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2" s="20" t="str">
        <f ca="1">IFERROR(__xludf.DUMMYFUNCTION("""COMPUTED_VALUE"""),"МинЖКХ")</f>
        <v>МинЖКХ</v>
      </c>
      <c r="E182" s="20" t="str">
        <f ca="1">IFERROR(__xludf.DUMMYFUNCTION("""COMPUTED_VALUE"""),"Приобретение, монтаж и ввод в эксплуатацию станции  очистки воды на ВЗУ в д. Молодинки (Новопокровское), Коломенский г.о.")</f>
        <v>Приобретение, монтаж и ввод в эксплуатацию станции  очистки воды на ВЗУ в д. Молодинки (Новопокровское), Коломенский г.о.</v>
      </c>
      <c r="F182" s="67" t="str">
        <f ca="1">IFERROR(__xludf.DUMMYFUNCTION("""COMPUTED_VALUE"""),"Приобретение, монтаж")</f>
        <v>Приобретение, монтаж</v>
      </c>
      <c r="G182" s="67" t="str">
        <f ca="1">IFERROR(__xludf.DUMMYFUNCTION("""COMPUTED_VALUE"""),"г.о. Коломенский")</f>
        <v>г.о. Коломенский</v>
      </c>
      <c r="H182" s="67">
        <f ca="1">IFERROR(__xludf.DUMMYFUNCTION("""COMPUTED_VALUE"""),2020)</f>
        <v>2020</v>
      </c>
      <c r="I182" s="67" t="str">
        <f ca="1">IFERROR(__xludf.DUMMYFUNCTION("""COMPUTED_VALUE"""),"10 1 02 60330")</f>
        <v>10 1 02 60330</v>
      </c>
      <c r="J182" s="67">
        <f ca="1">IFERROR(__xludf.DUMMYFUNCTION("""COMPUTED_VALUE"""),520)</f>
        <v>520</v>
      </c>
      <c r="K182" s="97">
        <f t="shared" ca="1" si="1"/>
        <v>0</v>
      </c>
      <c r="L182" s="97">
        <f ca="1">IFERROR(__xludf.DUMMYFUNCTION("""COMPUTED_VALUE"""),0)</f>
        <v>0</v>
      </c>
      <c r="M182" s="97">
        <f ca="1">IFERROR(__xludf.DUMMYFUNCTION("""COMPUTED_VALUE"""),0)</f>
        <v>0</v>
      </c>
      <c r="N182" s="97">
        <f ca="1">IFERROR(__xludf.DUMMYFUNCTION("""COMPUTED_VALUE"""),0)</f>
        <v>0</v>
      </c>
      <c r="O182" s="97">
        <f ca="1">IFERROR(__xludf.DUMMYFUNCTION("""COMPUTED_VALUE"""),0)</f>
        <v>0</v>
      </c>
      <c r="P182" s="97">
        <f t="shared" ca="1" si="2"/>
        <v>0</v>
      </c>
      <c r="Q182" s="67"/>
      <c r="R182" s="67"/>
      <c r="S182" s="97">
        <f ca="1">IFERROR(__xludf.DUMMYFUNCTION("""COMPUTED_VALUE"""),0)</f>
        <v>0</v>
      </c>
      <c r="T182" s="97">
        <f ca="1">IFERROR(__xludf.DUMMYFUNCTION("""COMPUTED_VALUE"""),1600)</f>
        <v>1600</v>
      </c>
      <c r="U182" s="97">
        <f ca="1">IFERROR(__xludf.DUMMYFUNCTION("""COMPUTED_VALUE"""),0)</f>
        <v>0</v>
      </c>
      <c r="V182" s="97">
        <f ca="1">IFERROR(__xludf.DUMMYFUNCTION("""COMPUTED_VALUE"""),0)</f>
        <v>0</v>
      </c>
      <c r="W182" s="97">
        <f ca="1">IFERROR(__xludf.DUMMYFUNCTION("""COMPUTED_VALUE"""),0)</f>
        <v>0</v>
      </c>
      <c r="X182" s="97">
        <f ca="1">IFERROR(__xludf.DUMMYFUNCTION("""COMPUTED_VALUE"""),0)</f>
        <v>0</v>
      </c>
      <c r="Y182" s="97">
        <f t="shared" ca="1" si="3"/>
        <v>0</v>
      </c>
      <c r="Z182" s="67">
        <f t="shared" si="4"/>
        <v>0</v>
      </c>
      <c r="AA182" s="67"/>
      <c r="AB182" s="67"/>
      <c r="AC182" s="67"/>
      <c r="AD182" s="99" t="e">
        <f t="shared" ca="1" si="5"/>
        <v>#DIV/0!</v>
      </c>
      <c r="AE182" s="67"/>
      <c r="AF182" s="67"/>
      <c r="AG182" s="67"/>
      <c r="AH182" s="67"/>
      <c r="AI182" s="67"/>
      <c r="AJ182" s="67"/>
      <c r="AK182" s="67"/>
      <c r="AL182" s="67"/>
      <c r="AM182" s="67"/>
      <c r="AN182" s="67"/>
      <c r="AO182" s="67"/>
      <c r="AP182" s="67"/>
      <c r="AQ182" s="67"/>
      <c r="AR182" s="67"/>
      <c r="AS182" s="67"/>
      <c r="AT182" s="67"/>
    </row>
    <row r="183" spans="1:46" ht="84" x14ac:dyDescent="0.2">
      <c r="A183" s="20"/>
      <c r="B183" s="93"/>
      <c r="C18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3" s="20" t="str">
        <f ca="1">IFERROR(__xludf.DUMMYFUNCTION("""COMPUTED_VALUE"""),"МинЖКХ")</f>
        <v>МинЖКХ</v>
      </c>
      <c r="E183" s="20" t="str">
        <f ca="1">IFERROR(__xludf.DUMMYFUNCTION("""COMPUTED_VALUE"""),"Приобретение, монтаж и ввод в эксплуатацию станции  очистки воды на ВЗУ в д. Колодкино, Коломенский г.о.")</f>
        <v>Приобретение, монтаж и ввод в эксплуатацию станции  очистки воды на ВЗУ в д. Колодкино, Коломенский г.о.</v>
      </c>
      <c r="F183" s="20" t="str">
        <f ca="1">IFERROR(__xludf.DUMMYFUNCTION("""COMPUTED_VALUE"""),"Приобретение, монтаж")</f>
        <v>Приобретение, монтаж</v>
      </c>
      <c r="G183" s="20" t="str">
        <f ca="1">IFERROR(__xludf.DUMMYFUNCTION("""COMPUTED_VALUE"""),"г.о. Коломенский")</f>
        <v>г.о. Коломенский</v>
      </c>
      <c r="H183" s="20">
        <f ca="1">IFERROR(__xludf.DUMMYFUNCTION("""COMPUTED_VALUE"""),2020)</f>
        <v>2020</v>
      </c>
      <c r="I183" s="20" t="str">
        <f ca="1">IFERROR(__xludf.DUMMYFUNCTION("""COMPUTED_VALUE"""),"10 1 02 60330")</f>
        <v>10 1 02 60330</v>
      </c>
      <c r="J183" s="20">
        <f ca="1">IFERROR(__xludf.DUMMYFUNCTION("""COMPUTED_VALUE"""),520)</f>
        <v>520</v>
      </c>
      <c r="K183" s="24">
        <f t="shared" ca="1" si="1"/>
        <v>2715.33</v>
      </c>
      <c r="L183" s="24">
        <f ca="1">IFERROR(__xludf.DUMMYFUNCTION("""COMPUTED_VALUE"""),0)</f>
        <v>0</v>
      </c>
      <c r="M183" s="24">
        <f ca="1">IFERROR(__xludf.DUMMYFUNCTION("""COMPUTED_VALUE"""),0)</f>
        <v>0</v>
      </c>
      <c r="N183" s="24">
        <f ca="1">IFERROR(__xludf.DUMMYFUNCTION("""COMPUTED_VALUE"""),2579.5)</f>
        <v>2579.5</v>
      </c>
      <c r="O183" s="24">
        <f ca="1">IFERROR(__xludf.DUMMYFUNCTION("""COMPUTED_VALUE"""),135.83)</f>
        <v>135.83000000000001</v>
      </c>
      <c r="P183" s="24">
        <f t="shared" ca="1" si="2"/>
        <v>2579.5</v>
      </c>
      <c r="Q183" s="23">
        <f ca="1">IFERROR(__xludf.DUMMYFUNCTION("""COMPUTED_VALUE"""),0.6)</f>
        <v>0.6</v>
      </c>
      <c r="R183" s="20"/>
      <c r="S183" s="24">
        <f ca="1">IFERROR(__xludf.DUMMYFUNCTION("""COMPUTED_VALUE"""),1715.37)</f>
        <v>1715.37</v>
      </c>
      <c r="T183" s="24">
        <f ca="1">IFERROR(__xludf.DUMMYFUNCTION("""COMPUTED_VALUE"""),999.96)</f>
        <v>999.96</v>
      </c>
      <c r="U183" s="24">
        <f ca="1">IFERROR(__xludf.DUMMYFUNCTION("""COMPUTED_VALUE"""),0)</f>
        <v>0</v>
      </c>
      <c r="V183" s="24">
        <f ca="1">IFERROR(__xludf.DUMMYFUNCTION("""COMPUTED_VALUE"""),0)</f>
        <v>0</v>
      </c>
      <c r="W183" s="24">
        <f ca="1">IFERROR(__xludf.DUMMYFUNCTION("""COMPUTED_VALUE"""),864.13)</f>
        <v>864.13</v>
      </c>
      <c r="X183" s="24">
        <f ca="1">IFERROR(__xludf.DUMMYFUNCTION("""COMPUTED_VALUE"""),135.83)</f>
        <v>135.83000000000001</v>
      </c>
      <c r="Y183" s="24">
        <f t="shared" ca="1" si="3"/>
        <v>864.13</v>
      </c>
      <c r="Z183" s="20">
        <f t="shared" ca="1" si="4"/>
        <v>1715.37</v>
      </c>
      <c r="AA183" s="20"/>
      <c r="AB183" s="24">
        <f ca="1">IFERROR(__xludf.DUMMYFUNCTION("""COMPUTED_VALUE"""),0)</f>
        <v>0</v>
      </c>
      <c r="AC183" s="24">
        <f ca="1">IFERROR(__xludf.DUMMYFUNCTION("""COMPUTED_VALUE"""),1715.37)</f>
        <v>1715.37</v>
      </c>
      <c r="AD183" s="94">
        <f t="shared" ca="1" si="5"/>
        <v>0.66500096918007356</v>
      </c>
      <c r="AE183" s="20"/>
      <c r="AF183" s="20"/>
      <c r="AG183" s="20"/>
      <c r="AH183" s="20"/>
      <c r="AI183" s="20"/>
      <c r="AJ183" s="20"/>
      <c r="AK183" s="20"/>
      <c r="AL183" s="20"/>
      <c r="AM183" s="20"/>
      <c r="AN183" s="20"/>
      <c r="AO183" s="20"/>
      <c r="AP183" s="20"/>
      <c r="AQ183" s="20"/>
      <c r="AR183" s="20"/>
      <c r="AS183" s="20"/>
      <c r="AT183" s="20"/>
    </row>
    <row r="184" spans="1:46" ht="84" x14ac:dyDescent="0.2">
      <c r="A184" s="20"/>
      <c r="B184" s="93"/>
      <c r="C18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4" s="20" t="str">
        <f ca="1">IFERROR(__xludf.DUMMYFUNCTION("""COMPUTED_VALUE"""),"МинЖКХ")</f>
        <v>МинЖКХ</v>
      </c>
      <c r="E184" s="20" t="str">
        <f ca="1">IFERROR(__xludf.DUMMYFUNCTION("""COMPUTED_VALUE"""),"Приобретение, монтаж и ввод в эксплуатацию станции  очистки воды на ВЗУ в д. Туменское, Коломенский г.о.")</f>
        <v>Приобретение, монтаж и ввод в эксплуатацию станции  очистки воды на ВЗУ в д. Туменское, Коломенский г.о.</v>
      </c>
      <c r="F184" s="20" t="str">
        <f ca="1">IFERROR(__xludf.DUMMYFUNCTION("""COMPUTED_VALUE"""),"Приобретение, монтаж")</f>
        <v>Приобретение, монтаж</v>
      </c>
      <c r="G184" s="20" t="str">
        <f ca="1">IFERROR(__xludf.DUMMYFUNCTION("""COMPUTED_VALUE"""),"г.о. Коломенский")</f>
        <v>г.о. Коломенский</v>
      </c>
      <c r="H184" s="20">
        <f ca="1">IFERROR(__xludf.DUMMYFUNCTION("""COMPUTED_VALUE"""),2020)</f>
        <v>2020</v>
      </c>
      <c r="I184" s="20" t="str">
        <f ca="1">IFERROR(__xludf.DUMMYFUNCTION("""COMPUTED_VALUE"""),"10 1 02 60330")</f>
        <v>10 1 02 60330</v>
      </c>
      <c r="J184" s="20">
        <f ca="1">IFERROR(__xludf.DUMMYFUNCTION("""COMPUTED_VALUE"""),520)</f>
        <v>520</v>
      </c>
      <c r="K184" s="24">
        <f t="shared" ca="1" si="1"/>
        <v>2605.0300000000002</v>
      </c>
      <c r="L184" s="24">
        <f ca="1">IFERROR(__xludf.DUMMYFUNCTION("""COMPUTED_VALUE"""),0)</f>
        <v>0</v>
      </c>
      <c r="M184" s="24">
        <f ca="1">IFERROR(__xludf.DUMMYFUNCTION("""COMPUTED_VALUE"""),0)</f>
        <v>0</v>
      </c>
      <c r="N184" s="24">
        <f ca="1">IFERROR(__xludf.DUMMYFUNCTION("""COMPUTED_VALUE"""),2474.67)</f>
        <v>2474.67</v>
      </c>
      <c r="O184" s="24">
        <f ca="1">IFERROR(__xludf.DUMMYFUNCTION("""COMPUTED_VALUE"""),130.36)</f>
        <v>130.36000000000001</v>
      </c>
      <c r="P184" s="24">
        <f t="shared" ca="1" si="2"/>
        <v>2474.67</v>
      </c>
      <c r="Q184" s="23">
        <f ca="1">IFERROR(__xludf.DUMMYFUNCTION("""COMPUTED_VALUE"""),0.5)</f>
        <v>0.5</v>
      </c>
      <c r="R184" s="20"/>
      <c r="S184" s="24">
        <f ca="1">IFERROR(__xludf.DUMMYFUNCTION("""COMPUTED_VALUE"""),1633.28)</f>
        <v>1633.28</v>
      </c>
      <c r="T184" s="24">
        <f ca="1">IFERROR(__xludf.DUMMYFUNCTION("""COMPUTED_VALUE"""),971.75)</f>
        <v>971.75</v>
      </c>
      <c r="U184" s="24">
        <f ca="1">IFERROR(__xludf.DUMMYFUNCTION("""COMPUTED_VALUE"""),0)</f>
        <v>0</v>
      </c>
      <c r="V184" s="24">
        <f ca="1">IFERROR(__xludf.DUMMYFUNCTION("""COMPUTED_VALUE"""),0)</f>
        <v>0</v>
      </c>
      <c r="W184" s="24">
        <f ca="1">IFERROR(__xludf.DUMMYFUNCTION("""COMPUTED_VALUE"""),841.39)</f>
        <v>841.39</v>
      </c>
      <c r="X184" s="24">
        <f ca="1">IFERROR(__xludf.DUMMYFUNCTION("""COMPUTED_VALUE"""),130.36)</f>
        <v>130.36000000000001</v>
      </c>
      <c r="Y184" s="24">
        <f t="shared" ca="1" si="3"/>
        <v>841.39</v>
      </c>
      <c r="Z184" s="20">
        <f t="shared" ca="1" si="4"/>
        <v>1633.28</v>
      </c>
      <c r="AA184" s="20"/>
      <c r="AB184" s="24">
        <f ca="1">IFERROR(__xludf.DUMMYFUNCTION("""COMPUTED_VALUE"""),0)</f>
        <v>0</v>
      </c>
      <c r="AC184" s="24">
        <f ca="1">IFERROR(__xludf.DUMMYFUNCTION("""COMPUTED_VALUE"""),1633.28)</f>
        <v>1633.28</v>
      </c>
      <c r="AD184" s="94">
        <f t="shared" ca="1" si="5"/>
        <v>0.6599991109925768</v>
      </c>
      <c r="AE184" s="20"/>
      <c r="AF184" s="20"/>
      <c r="AG184" s="20"/>
      <c r="AH184" s="20"/>
      <c r="AI184" s="20"/>
      <c r="AJ184" s="20"/>
      <c r="AK184" s="20"/>
      <c r="AL184" s="20"/>
      <c r="AM184" s="20"/>
      <c r="AN184" s="20"/>
      <c r="AO184" s="20"/>
      <c r="AP184" s="20"/>
      <c r="AQ184" s="20"/>
      <c r="AR184" s="20"/>
      <c r="AS184" s="20"/>
      <c r="AT184" s="20"/>
    </row>
    <row r="185" spans="1:46" ht="84" x14ac:dyDescent="0.2">
      <c r="A185" s="20"/>
      <c r="B185" s="93"/>
      <c r="C18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5" s="20" t="str">
        <f ca="1">IFERROR(__xludf.DUMMYFUNCTION("""COMPUTED_VALUE"""),"МинЖКХ")</f>
        <v>МинЖКХ</v>
      </c>
      <c r="E185" s="20" t="str">
        <f ca="1">IFERROR(__xludf.DUMMYFUNCTION("""COMPUTED_VALUE"""),"Приобретение, монтаж и ввод в эксплуатацию станции  очистки воды на ВЗУ в с. Никульское, Коломенский г.о.")</f>
        <v>Приобретение, монтаж и ввод в эксплуатацию станции  очистки воды на ВЗУ в с. Никульское, Коломенский г.о.</v>
      </c>
      <c r="F185" s="20" t="str">
        <f ca="1">IFERROR(__xludf.DUMMYFUNCTION("""COMPUTED_VALUE"""),"Приобретение, монтаж")</f>
        <v>Приобретение, монтаж</v>
      </c>
      <c r="G185" s="20" t="str">
        <f ca="1">IFERROR(__xludf.DUMMYFUNCTION("""COMPUTED_VALUE"""),"г.о. Коломенский")</f>
        <v>г.о. Коломенский</v>
      </c>
      <c r="H185" s="20">
        <f ca="1">IFERROR(__xludf.DUMMYFUNCTION("""COMPUTED_VALUE"""),2020)</f>
        <v>2020</v>
      </c>
      <c r="I185" s="20" t="str">
        <f ca="1">IFERROR(__xludf.DUMMYFUNCTION("""COMPUTED_VALUE"""),"10 1 02 60330")</f>
        <v>10 1 02 60330</v>
      </c>
      <c r="J185" s="20">
        <f ca="1">IFERROR(__xludf.DUMMYFUNCTION("""COMPUTED_VALUE"""),520)</f>
        <v>520</v>
      </c>
      <c r="K185" s="24">
        <f t="shared" ca="1" si="1"/>
        <v>1572.39</v>
      </c>
      <c r="L185" s="24">
        <f ca="1">IFERROR(__xludf.DUMMYFUNCTION("""COMPUTED_VALUE"""),0)</f>
        <v>0</v>
      </c>
      <c r="M185" s="24">
        <f ca="1">IFERROR(__xludf.DUMMYFUNCTION("""COMPUTED_VALUE"""),0)</f>
        <v>0</v>
      </c>
      <c r="N185" s="24">
        <f ca="1">IFERROR(__xludf.DUMMYFUNCTION("""COMPUTED_VALUE"""),1493.74)</f>
        <v>1493.74</v>
      </c>
      <c r="O185" s="24">
        <f ca="1">IFERROR(__xludf.DUMMYFUNCTION("""COMPUTED_VALUE"""),78.65)</f>
        <v>78.650000000000006</v>
      </c>
      <c r="P185" s="24">
        <f t="shared" ca="1" si="2"/>
        <v>1493.74</v>
      </c>
      <c r="Q185" s="23">
        <f ca="1">IFERROR(__xludf.DUMMYFUNCTION("""COMPUTED_VALUE"""),0.95)</f>
        <v>0.95</v>
      </c>
      <c r="R185" s="20"/>
      <c r="S185" s="24">
        <f ca="1">IFERROR(__xludf.DUMMYFUNCTION("""COMPUTED_VALUE"""),1493.71)</f>
        <v>1493.71</v>
      </c>
      <c r="T185" s="24">
        <f ca="1">IFERROR(__xludf.DUMMYFUNCTION("""COMPUTED_VALUE"""),78.68)</f>
        <v>78.680000000000007</v>
      </c>
      <c r="U185" s="24">
        <f ca="1">IFERROR(__xludf.DUMMYFUNCTION("""COMPUTED_VALUE"""),0)</f>
        <v>0</v>
      </c>
      <c r="V185" s="24">
        <f ca="1">IFERROR(__xludf.DUMMYFUNCTION("""COMPUTED_VALUE"""),0)</f>
        <v>0</v>
      </c>
      <c r="W185" s="24">
        <f ca="1">IFERROR(__xludf.DUMMYFUNCTION("""COMPUTED_VALUE"""),0.0299999999999727)</f>
        <v>2.9999999999972701E-2</v>
      </c>
      <c r="X185" s="24">
        <f ca="1">IFERROR(__xludf.DUMMYFUNCTION("""COMPUTED_VALUE"""),78.65)</f>
        <v>78.650000000000006</v>
      </c>
      <c r="Y185" s="24">
        <f t="shared" ca="1" si="3"/>
        <v>2.9999999999972701E-2</v>
      </c>
      <c r="Z185" s="20">
        <f t="shared" ca="1" si="4"/>
        <v>1493.71</v>
      </c>
      <c r="AA185" s="20"/>
      <c r="AB185" s="24">
        <f ca="1">IFERROR(__xludf.DUMMYFUNCTION("""COMPUTED_VALUE"""),0)</f>
        <v>0</v>
      </c>
      <c r="AC185" s="24">
        <f ca="1">IFERROR(__xludf.DUMMYFUNCTION("""COMPUTED_VALUE"""),1493.71)</f>
        <v>1493.71</v>
      </c>
      <c r="AD185" s="94">
        <f t="shared" ca="1" si="5"/>
        <v>0.99997991618353932</v>
      </c>
      <c r="AE185" s="20"/>
      <c r="AF185" s="20"/>
      <c r="AG185" s="20"/>
      <c r="AH185" s="20"/>
      <c r="AI185" s="20"/>
      <c r="AJ185" s="20"/>
      <c r="AK185" s="20"/>
      <c r="AL185" s="20"/>
      <c r="AM185" s="20"/>
      <c r="AN185" s="20"/>
      <c r="AO185" s="20"/>
      <c r="AP185" s="20"/>
      <c r="AQ185" s="20"/>
      <c r="AR185" s="20"/>
      <c r="AS185" s="20"/>
      <c r="AT185" s="20"/>
    </row>
    <row r="186" spans="1:46" ht="84" x14ac:dyDescent="0.2">
      <c r="A186" s="20"/>
      <c r="B186" s="93"/>
      <c r="C18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6" s="20" t="str">
        <f ca="1">IFERROR(__xludf.DUMMYFUNCTION("""COMPUTED_VALUE"""),"МинЖКХ")</f>
        <v>МинЖКХ</v>
      </c>
      <c r="E186" s="20" t="str">
        <f ca="1">IFERROR(__xludf.DUMMYFUNCTION("""COMPUTED_VALUE"""),"Приобретение, монтаж и ввод в эксплуатацию станции  очистки воды на ВЗУ в д. Лыково, Коломенский г.о.")</f>
        <v>Приобретение, монтаж и ввод в эксплуатацию станции  очистки воды на ВЗУ в д. Лыково, Коломенский г.о.</v>
      </c>
      <c r="F186" s="20" t="str">
        <f ca="1">IFERROR(__xludf.DUMMYFUNCTION("""COMPUTED_VALUE"""),"Приобретение, монтаж")</f>
        <v>Приобретение, монтаж</v>
      </c>
      <c r="G186" s="20" t="str">
        <f ca="1">IFERROR(__xludf.DUMMYFUNCTION("""COMPUTED_VALUE"""),"г.о. Коломенский")</f>
        <v>г.о. Коломенский</v>
      </c>
      <c r="H186" s="20">
        <f ca="1">IFERROR(__xludf.DUMMYFUNCTION("""COMPUTED_VALUE"""),2020)</f>
        <v>2020</v>
      </c>
      <c r="I186" s="20" t="str">
        <f ca="1">IFERROR(__xludf.DUMMYFUNCTION("""COMPUTED_VALUE"""),"10 1 02 60330")</f>
        <v>10 1 02 60330</v>
      </c>
      <c r="J186" s="20">
        <f ca="1">IFERROR(__xludf.DUMMYFUNCTION("""COMPUTED_VALUE"""),520)</f>
        <v>520</v>
      </c>
      <c r="K186" s="24">
        <f t="shared" ca="1" si="1"/>
        <v>2748.64</v>
      </c>
      <c r="L186" s="24">
        <f ca="1">IFERROR(__xludf.DUMMYFUNCTION("""COMPUTED_VALUE"""),0)</f>
        <v>0</v>
      </c>
      <c r="M186" s="24">
        <f ca="1">IFERROR(__xludf.DUMMYFUNCTION("""COMPUTED_VALUE"""),0)</f>
        <v>0</v>
      </c>
      <c r="N186" s="24">
        <f ca="1">IFERROR(__xludf.DUMMYFUNCTION("""COMPUTED_VALUE"""),2611.17)</f>
        <v>2611.17</v>
      </c>
      <c r="O186" s="24">
        <f ca="1">IFERROR(__xludf.DUMMYFUNCTION("""COMPUTED_VALUE"""),137.47)</f>
        <v>137.47</v>
      </c>
      <c r="P186" s="24">
        <f t="shared" ca="1" si="2"/>
        <v>2611.17</v>
      </c>
      <c r="Q186" s="23">
        <f ca="1">IFERROR(__xludf.DUMMYFUNCTION("""COMPUTED_VALUE"""),0.5)</f>
        <v>0.5</v>
      </c>
      <c r="R186" s="20"/>
      <c r="S186" s="24">
        <f ca="1">IFERROR(__xludf.DUMMYFUNCTION("""COMPUTED_VALUE"""),1721.91)</f>
        <v>1721.91</v>
      </c>
      <c r="T186" s="24">
        <f ca="1">IFERROR(__xludf.DUMMYFUNCTION("""COMPUTED_VALUE"""),1026.72999999999)</f>
        <v>1026.72999999999</v>
      </c>
      <c r="U186" s="24">
        <f ca="1">IFERROR(__xludf.DUMMYFUNCTION("""COMPUTED_VALUE"""),0)</f>
        <v>0</v>
      </c>
      <c r="V186" s="24">
        <f ca="1">IFERROR(__xludf.DUMMYFUNCTION("""COMPUTED_VALUE"""),0)</f>
        <v>0</v>
      </c>
      <c r="W186" s="24">
        <f ca="1">IFERROR(__xludf.DUMMYFUNCTION("""COMPUTED_VALUE"""),889.26)</f>
        <v>889.26</v>
      </c>
      <c r="X186" s="24">
        <f ca="1">IFERROR(__xludf.DUMMYFUNCTION("""COMPUTED_VALUE"""),137.47)</f>
        <v>137.47</v>
      </c>
      <c r="Y186" s="24">
        <f t="shared" ca="1" si="3"/>
        <v>889.26</v>
      </c>
      <c r="Z186" s="20">
        <f t="shared" ca="1" si="4"/>
        <v>1721.91</v>
      </c>
      <c r="AA186" s="20"/>
      <c r="AB186" s="24">
        <f ca="1">IFERROR(__xludf.DUMMYFUNCTION("""COMPUTED_VALUE"""),0)</f>
        <v>0</v>
      </c>
      <c r="AC186" s="24">
        <f ca="1">IFERROR(__xludf.DUMMYFUNCTION("""COMPUTED_VALUE"""),1721.91)</f>
        <v>1721.91</v>
      </c>
      <c r="AD186" s="94">
        <f t="shared" ca="1" si="5"/>
        <v>0.65944002113994882</v>
      </c>
      <c r="AE186" s="20"/>
      <c r="AF186" s="20"/>
      <c r="AG186" s="20"/>
      <c r="AH186" s="20"/>
      <c r="AI186" s="20"/>
      <c r="AJ186" s="20"/>
      <c r="AK186" s="20"/>
      <c r="AL186" s="20"/>
      <c r="AM186" s="20"/>
      <c r="AN186" s="20"/>
      <c r="AO186" s="20"/>
      <c r="AP186" s="20"/>
      <c r="AQ186" s="20"/>
      <c r="AR186" s="20"/>
      <c r="AS186" s="20"/>
      <c r="AT186" s="20"/>
    </row>
    <row r="187" spans="1:46" ht="84" x14ac:dyDescent="0.2">
      <c r="A187" s="20"/>
      <c r="B187" s="93"/>
      <c r="C18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7" s="20" t="str">
        <f ca="1">IFERROR(__xludf.DUMMYFUNCTION("""COMPUTED_VALUE"""),"МинЖКХ")</f>
        <v>МинЖКХ</v>
      </c>
      <c r="E187" s="20" t="str">
        <f ca="1">IFERROR(__xludf.DUMMYFUNCTION("""COMPUTED_VALUE"""),"Приобретение, монтаж и ввод в эксплуатацию станции водоочистки на ВЗУ №9, по ажресу: Московская обл., г. Пушкино, мкр. Серебрянка")</f>
        <v>Приобретение, монтаж и ввод в эксплуатацию станции водоочистки на ВЗУ №9, по ажресу: Московская обл., г. Пушкино, мкр. Серебрянка</v>
      </c>
      <c r="F187" s="20" t="str">
        <f ca="1">IFERROR(__xludf.DUMMYFUNCTION("""COMPUTED_VALUE"""),"Приобретение, монтаж")</f>
        <v>Приобретение, монтаж</v>
      </c>
      <c r="G187" s="20" t="str">
        <f ca="1">IFERROR(__xludf.DUMMYFUNCTION("""COMPUTED_VALUE"""),"г.о. Пушкинский")</f>
        <v>г.о. Пушкинский</v>
      </c>
      <c r="H187" s="20">
        <f ca="1">IFERROR(__xludf.DUMMYFUNCTION("""COMPUTED_VALUE"""),2020)</f>
        <v>2020</v>
      </c>
      <c r="I187" s="20" t="str">
        <f ca="1">IFERROR(__xludf.DUMMYFUNCTION("""COMPUTED_VALUE"""),"10 1 02 60330")</f>
        <v>10 1 02 60330</v>
      </c>
      <c r="J187" s="20">
        <f ca="1">IFERROR(__xludf.DUMMYFUNCTION("""COMPUTED_VALUE"""),520)</f>
        <v>520</v>
      </c>
      <c r="K187" s="24">
        <f t="shared" ca="1" si="1"/>
        <v>7450.5</v>
      </c>
      <c r="L187" s="24">
        <f ca="1">IFERROR(__xludf.DUMMYFUNCTION("""COMPUTED_VALUE"""),5632.58)</f>
        <v>5632.58</v>
      </c>
      <c r="M187" s="24">
        <f ca="1">IFERROR(__xludf.DUMMYFUNCTION("""COMPUTED_VALUE"""),0)</f>
        <v>0</v>
      </c>
      <c r="N187" s="24">
        <f ca="1">IFERROR(__xludf.DUMMYFUNCTION("""COMPUTED_VALUE"""),0)</f>
        <v>0</v>
      </c>
      <c r="O187" s="24">
        <f ca="1">IFERROR(__xludf.DUMMYFUNCTION("""COMPUTED_VALUE"""),1817.92)</f>
        <v>1817.92</v>
      </c>
      <c r="P187" s="24">
        <f t="shared" ca="1" si="2"/>
        <v>5632.58</v>
      </c>
      <c r="Q187" s="23">
        <f ca="1">IFERROR(__xludf.DUMMYFUNCTION("""COMPUTED_VALUE"""),0.7)</f>
        <v>0.7</v>
      </c>
      <c r="R187" s="20"/>
      <c r="S187" s="24">
        <f ca="1">IFERROR(__xludf.DUMMYFUNCTION("""COMPUTED_VALUE"""),7450.5)</f>
        <v>7450.5</v>
      </c>
      <c r="T187" s="24">
        <f ca="1">IFERROR(__xludf.DUMMYFUNCTION("""COMPUTED_VALUE"""),0)</f>
        <v>0</v>
      </c>
      <c r="U187" s="24">
        <f ca="1">IFERROR(__xludf.DUMMYFUNCTION("""COMPUTED_VALUE"""),0)</f>
        <v>0</v>
      </c>
      <c r="V187" s="24">
        <f ca="1">IFERROR(__xludf.DUMMYFUNCTION("""COMPUTED_VALUE"""),0)</f>
        <v>0</v>
      </c>
      <c r="W187" s="24">
        <f ca="1">IFERROR(__xludf.DUMMYFUNCTION("""COMPUTED_VALUE"""),0)</f>
        <v>0</v>
      </c>
      <c r="X187" s="24">
        <f ca="1">IFERROR(__xludf.DUMMYFUNCTION("""COMPUTED_VALUE"""),0)</f>
        <v>0</v>
      </c>
      <c r="Y187" s="24">
        <f t="shared" ca="1" si="3"/>
        <v>0</v>
      </c>
      <c r="Z187" s="20">
        <f t="shared" ca="1" si="4"/>
        <v>5632.58</v>
      </c>
      <c r="AA187" s="20"/>
      <c r="AB187" s="24">
        <f ca="1">IFERROR(__xludf.DUMMYFUNCTION("""COMPUTED_VALUE"""),5632.58)</f>
        <v>5632.58</v>
      </c>
      <c r="AC187" s="20"/>
      <c r="AD187" s="94">
        <f t="shared" ca="1" si="5"/>
        <v>1</v>
      </c>
      <c r="AE187" s="20"/>
      <c r="AF187" s="20"/>
      <c r="AG187" s="20"/>
      <c r="AH187" s="20"/>
      <c r="AI187" s="20"/>
      <c r="AJ187" s="20"/>
      <c r="AK187" s="20"/>
      <c r="AL187" s="20"/>
      <c r="AM187" s="20"/>
      <c r="AN187" s="20"/>
      <c r="AO187" s="20"/>
      <c r="AP187" s="20"/>
      <c r="AQ187" s="20"/>
      <c r="AR187" s="20"/>
      <c r="AS187" s="20"/>
      <c r="AT187" s="20"/>
    </row>
    <row r="188" spans="1:46" ht="84" x14ac:dyDescent="0.2">
      <c r="A188" s="20"/>
      <c r="B188" s="93"/>
      <c r="C18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8" s="20" t="str">
        <f ca="1">IFERROR(__xludf.DUMMYFUNCTION("""COMPUTED_VALUE"""),"МинЖКХ")</f>
        <v>МинЖКХ</v>
      </c>
      <c r="E188" s="20" t="str">
        <f ca="1">IFERROR(__xludf.DUMMYFUNCTION("""COMPUTED_VALUE"""),"Приобретение, монтаж и ввод в эксплуатацию станции водоочистки на ВЗУв д. Лидино, Рузский г.о.")</f>
        <v>Приобретение, монтаж и ввод в эксплуатацию станции водоочистки на ВЗУв д. Лидино, Рузский г.о.</v>
      </c>
      <c r="F188" s="20" t="str">
        <f ca="1">IFERROR(__xludf.DUMMYFUNCTION("""COMPUTED_VALUE"""),"Приобретение, монтаж")</f>
        <v>Приобретение, монтаж</v>
      </c>
      <c r="G188" s="20" t="str">
        <f ca="1">IFERROR(__xludf.DUMMYFUNCTION("""COMPUTED_VALUE"""),"г.о. Рузский")</f>
        <v>г.о. Рузский</v>
      </c>
      <c r="H188" s="20">
        <f ca="1">IFERROR(__xludf.DUMMYFUNCTION("""COMPUTED_VALUE"""),2020)</f>
        <v>2020</v>
      </c>
      <c r="I188" s="20" t="str">
        <f ca="1">IFERROR(__xludf.DUMMYFUNCTION("""COMPUTED_VALUE"""),"10 1 02 60330")</f>
        <v>10 1 02 60330</v>
      </c>
      <c r="J188" s="20">
        <f ca="1">IFERROR(__xludf.DUMMYFUNCTION("""COMPUTED_VALUE"""),520)</f>
        <v>520</v>
      </c>
      <c r="K188" s="24">
        <f t="shared" ca="1" si="1"/>
        <v>2489.25</v>
      </c>
      <c r="L188" s="24">
        <f ca="1">IFERROR(__xludf.DUMMYFUNCTION("""COMPUTED_VALUE"""),1874.4)</f>
        <v>1874.4</v>
      </c>
      <c r="M188" s="24">
        <f ca="1">IFERROR(__xludf.DUMMYFUNCTION("""COMPUTED_VALUE"""),0)</f>
        <v>0</v>
      </c>
      <c r="N188" s="24">
        <f ca="1">IFERROR(__xludf.DUMMYFUNCTION("""COMPUTED_VALUE"""),0)</f>
        <v>0</v>
      </c>
      <c r="O188" s="24">
        <f ca="1">IFERROR(__xludf.DUMMYFUNCTION("""COMPUTED_VALUE"""),614.85)</f>
        <v>614.85</v>
      </c>
      <c r="P188" s="24">
        <f t="shared" ca="1" si="2"/>
        <v>1874.4</v>
      </c>
      <c r="Q188" s="23">
        <f ca="1">IFERROR(__xludf.DUMMYFUNCTION("""COMPUTED_VALUE"""),1)</f>
        <v>1</v>
      </c>
      <c r="R188" s="20"/>
      <c r="S188" s="24">
        <f ca="1">IFERROR(__xludf.DUMMYFUNCTION("""COMPUTED_VALUE"""),2489)</f>
        <v>2489</v>
      </c>
      <c r="T188" s="24">
        <f ca="1">IFERROR(__xludf.DUMMYFUNCTION("""COMPUTED_VALUE"""),0.25)</f>
        <v>0.25</v>
      </c>
      <c r="U188" s="24">
        <f ca="1">IFERROR(__xludf.DUMMYFUNCTION("""COMPUTED_VALUE"""),0.180000000000063)</f>
        <v>0.180000000000063</v>
      </c>
      <c r="V188" s="24">
        <f ca="1">IFERROR(__xludf.DUMMYFUNCTION("""COMPUTED_VALUE"""),0)</f>
        <v>0</v>
      </c>
      <c r="W188" s="24">
        <f ca="1">IFERROR(__xludf.DUMMYFUNCTION("""COMPUTED_VALUE"""),0)</f>
        <v>0</v>
      </c>
      <c r="X188" s="24">
        <f ca="1">IFERROR(__xludf.DUMMYFUNCTION("""COMPUTED_VALUE"""),0.07000000000005)</f>
        <v>7.0000000000049994E-2</v>
      </c>
      <c r="Y188" s="24">
        <f t="shared" ca="1" si="3"/>
        <v>0.180000000000063</v>
      </c>
      <c r="Z188" s="20">
        <f t="shared" ca="1" si="4"/>
        <v>1874.22</v>
      </c>
      <c r="AA188" s="20"/>
      <c r="AB188" s="24">
        <f ca="1">IFERROR(__xludf.DUMMYFUNCTION("""COMPUTED_VALUE"""),1874.22)</f>
        <v>1874.22</v>
      </c>
      <c r="AC188" s="20"/>
      <c r="AD188" s="94">
        <f t="shared" ca="1" si="5"/>
        <v>0.99990396927016645</v>
      </c>
      <c r="AE188" s="20"/>
      <c r="AF188" s="20"/>
      <c r="AG188" s="20"/>
      <c r="AH188" s="20"/>
      <c r="AI188" s="20"/>
      <c r="AJ188" s="20"/>
      <c r="AK188" s="20"/>
      <c r="AL188" s="20"/>
      <c r="AM188" s="20"/>
      <c r="AN188" s="20"/>
      <c r="AO188" s="20"/>
      <c r="AP188" s="20"/>
      <c r="AQ188" s="20"/>
      <c r="AR188" s="20"/>
      <c r="AS188" s="20"/>
      <c r="AT188" s="20"/>
    </row>
    <row r="189" spans="1:46" ht="84" x14ac:dyDescent="0.2">
      <c r="A189" s="20"/>
      <c r="B189" s="95"/>
      <c r="C18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9" s="20" t="str">
        <f ca="1">IFERROR(__xludf.DUMMYFUNCTION("""COMPUTED_VALUE"""),"МинЖКХ")</f>
        <v>МинЖКХ</v>
      </c>
      <c r="E189" s="20" t="str">
        <f ca="1">IFERROR(__xludf.DUMMYFUNCTION("""COMPUTED_VALUE"""),"Приобретение, монтаж и ввод в эксплуатацию станции водоочистки на ВЗУв с. Никольское, соор.64,, Рузский г.о.")</f>
        <v>Приобретение, монтаж и ввод в эксплуатацию станции водоочистки на ВЗУв с. Никольское, соор.64,, Рузский г.о.</v>
      </c>
      <c r="F189" s="20" t="str">
        <f ca="1">IFERROR(__xludf.DUMMYFUNCTION("""COMPUTED_VALUE"""),"Приобретение, монтаж")</f>
        <v>Приобретение, монтаж</v>
      </c>
      <c r="G189" s="20" t="str">
        <f ca="1">IFERROR(__xludf.DUMMYFUNCTION("""COMPUTED_VALUE"""),"г.о. Рузский")</f>
        <v>г.о. Рузский</v>
      </c>
      <c r="H189" s="20">
        <f ca="1">IFERROR(__xludf.DUMMYFUNCTION("""COMPUTED_VALUE"""),2020)</f>
        <v>2020</v>
      </c>
      <c r="I189" s="20" t="str">
        <f ca="1">IFERROR(__xludf.DUMMYFUNCTION("""COMPUTED_VALUE"""),"10 1 02 60330")</f>
        <v>10 1 02 60330</v>
      </c>
      <c r="J189" s="20">
        <f ca="1">IFERROR(__xludf.DUMMYFUNCTION("""COMPUTED_VALUE"""),520)</f>
        <v>520</v>
      </c>
      <c r="K189" s="24">
        <f t="shared" ca="1" si="1"/>
        <v>2448.5299999999997</v>
      </c>
      <c r="L189" s="24">
        <f ca="1">IFERROR(__xludf.DUMMYFUNCTION("""COMPUTED_VALUE"""),1843.74)</f>
        <v>1843.74</v>
      </c>
      <c r="M189" s="24">
        <f ca="1">IFERROR(__xludf.DUMMYFUNCTION("""COMPUTED_VALUE"""),0)</f>
        <v>0</v>
      </c>
      <c r="N189" s="24">
        <f ca="1">IFERROR(__xludf.DUMMYFUNCTION("""COMPUTED_VALUE"""),0)</f>
        <v>0</v>
      </c>
      <c r="O189" s="24">
        <f ca="1">IFERROR(__xludf.DUMMYFUNCTION("""COMPUTED_VALUE"""),604.79)</f>
        <v>604.79</v>
      </c>
      <c r="P189" s="24">
        <f t="shared" ca="1" si="2"/>
        <v>1843.74</v>
      </c>
      <c r="Q189" s="23">
        <f ca="1">IFERROR(__xludf.DUMMYFUNCTION("""COMPUTED_VALUE"""),1)</f>
        <v>1</v>
      </c>
      <c r="R189" s="20"/>
      <c r="S189" s="24">
        <f ca="1">IFERROR(__xludf.DUMMYFUNCTION("""COMPUTED_VALUE"""),2448.52999999999)</f>
        <v>2448.5299999999902</v>
      </c>
      <c r="T189" s="24">
        <f ca="1">IFERROR(__xludf.DUMMYFUNCTION("""COMPUTED_VALUE"""),0)</f>
        <v>0</v>
      </c>
      <c r="U189" s="24">
        <f ca="1">IFERROR(__xludf.DUMMYFUNCTION("""COMPUTED_VALUE"""),0)</f>
        <v>0</v>
      </c>
      <c r="V189" s="24">
        <f ca="1">IFERROR(__xludf.DUMMYFUNCTION("""COMPUTED_VALUE"""),0)</f>
        <v>0</v>
      </c>
      <c r="W189" s="24">
        <f ca="1">IFERROR(__xludf.DUMMYFUNCTION("""COMPUTED_VALUE"""),0)</f>
        <v>0</v>
      </c>
      <c r="X189" s="24">
        <f ca="1">IFERROR(__xludf.DUMMYFUNCTION("""COMPUTED_VALUE"""),0)</f>
        <v>0</v>
      </c>
      <c r="Y189" s="24">
        <f t="shared" ca="1" si="3"/>
        <v>0</v>
      </c>
      <c r="Z189" s="20">
        <f t="shared" ca="1" si="4"/>
        <v>1843.74</v>
      </c>
      <c r="AA189" s="20"/>
      <c r="AB189" s="24">
        <f ca="1">IFERROR(__xludf.DUMMYFUNCTION("""COMPUTED_VALUE"""),1843.74)</f>
        <v>1843.74</v>
      </c>
      <c r="AC189" s="20"/>
      <c r="AD189" s="94">
        <f t="shared" ca="1" si="5"/>
        <v>1</v>
      </c>
      <c r="AE189" s="20"/>
      <c r="AF189" s="20"/>
      <c r="AG189" s="20"/>
      <c r="AH189" s="20"/>
      <c r="AI189" s="20"/>
      <c r="AJ189" s="20"/>
      <c r="AK189" s="20"/>
      <c r="AL189" s="20"/>
      <c r="AM189" s="20"/>
      <c r="AN189" s="20"/>
      <c r="AO189" s="20"/>
      <c r="AP189" s="20"/>
      <c r="AQ189" s="20"/>
      <c r="AR189" s="20"/>
      <c r="AS189" s="20"/>
      <c r="AT189" s="20"/>
    </row>
    <row r="190" spans="1:46" ht="84" hidden="1" x14ac:dyDescent="0.2">
      <c r="A190" s="67"/>
      <c r="B190" s="96"/>
      <c r="C19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0" s="20" t="str">
        <f ca="1">IFERROR(__xludf.DUMMYFUNCTION("""COMPUTED_VALUE"""),"МинЖКХ")</f>
        <v>МинЖКХ</v>
      </c>
      <c r="E190" s="20" t="str">
        <f ca="1">IFERROR(__xludf.DUMMYFUNCTION("""COMPUTED_VALUE"""),"Приобретение, монтаж и ввод в эксплуатацию станции водоочистки на ВЗУв д. Колодкино, ул. Верейская д.176, Рузский г.о.")</f>
        <v>Приобретение, монтаж и ввод в эксплуатацию станции водоочистки на ВЗУв д. Колодкино, ул. Верейская д.176, Рузский г.о.</v>
      </c>
      <c r="F190" s="67" t="str">
        <f ca="1">IFERROR(__xludf.DUMMYFUNCTION("""COMPUTED_VALUE"""),"Приобретение, монтаж")</f>
        <v>Приобретение, монтаж</v>
      </c>
      <c r="G190" s="67" t="str">
        <f ca="1">IFERROR(__xludf.DUMMYFUNCTION("""COMPUTED_VALUE"""),"г.о. Рузский")</f>
        <v>г.о. Рузский</v>
      </c>
      <c r="H190" s="67">
        <f ca="1">IFERROR(__xludf.DUMMYFUNCTION("""COMPUTED_VALUE"""),2021)</f>
        <v>2021</v>
      </c>
      <c r="I190" s="67" t="str">
        <f ca="1">IFERROR(__xludf.DUMMYFUNCTION("""COMPUTED_VALUE"""),"10 1 02 60330")</f>
        <v>10 1 02 60330</v>
      </c>
      <c r="J190" s="67">
        <f ca="1">IFERROR(__xludf.DUMMYFUNCTION("""COMPUTED_VALUE"""),520)</f>
        <v>520</v>
      </c>
      <c r="K190" s="97">
        <f t="shared" ca="1" si="1"/>
        <v>0</v>
      </c>
      <c r="L190" s="97">
        <f ca="1">IFERROR(__xludf.DUMMYFUNCTION("""COMPUTED_VALUE"""),0)</f>
        <v>0</v>
      </c>
      <c r="M190" s="97">
        <f ca="1">IFERROR(__xludf.DUMMYFUNCTION("""COMPUTED_VALUE"""),0)</f>
        <v>0</v>
      </c>
      <c r="N190" s="97">
        <f ca="1">IFERROR(__xludf.DUMMYFUNCTION("""COMPUTED_VALUE"""),0)</f>
        <v>0</v>
      </c>
      <c r="O190" s="97">
        <f ca="1">IFERROR(__xludf.DUMMYFUNCTION("""COMPUTED_VALUE"""),0)</f>
        <v>0</v>
      </c>
      <c r="P190" s="97">
        <f t="shared" ca="1" si="2"/>
        <v>0</v>
      </c>
      <c r="Q190" s="67"/>
      <c r="R190" s="67"/>
      <c r="S190" s="97">
        <f ca="1">IFERROR(__xludf.DUMMYFUNCTION("""COMPUTED_VALUE"""),0)</f>
        <v>0</v>
      </c>
      <c r="T190" s="97">
        <f ca="1">IFERROR(__xludf.DUMMYFUNCTION("""COMPUTED_VALUE"""),0)</f>
        <v>0</v>
      </c>
      <c r="U190" s="97">
        <f ca="1">IFERROR(__xludf.DUMMYFUNCTION("""COMPUTED_VALUE"""),0)</f>
        <v>0</v>
      </c>
      <c r="V190" s="97">
        <f ca="1">IFERROR(__xludf.DUMMYFUNCTION("""COMPUTED_VALUE"""),0)</f>
        <v>0</v>
      </c>
      <c r="W190" s="97">
        <f ca="1">IFERROR(__xludf.DUMMYFUNCTION("""COMPUTED_VALUE"""),0)</f>
        <v>0</v>
      </c>
      <c r="X190" s="97">
        <f ca="1">IFERROR(__xludf.DUMMYFUNCTION("""COMPUTED_VALUE"""),0)</f>
        <v>0</v>
      </c>
      <c r="Y190" s="97">
        <f t="shared" ca="1" si="3"/>
        <v>0</v>
      </c>
      <c r="Z190" s="67">
        <f t="shared" si="4"/>
        <v>0</v>
      </c>
      <c r="AA190" s="67"/>
      <c r="AB190" s="67"/>
      <c r="AC190" s="67"/>
      <c r="AD190" s="99" t="e">
        <f t="shared" ca="1" si="5"/>
        <v>#DIV/0!</v>
      </c>
      <c r="AE190" s="67"/>
      <c r="AF190" s="67"/>
      <c r="AG190" s="67"/>
      <c r="AH190" s="67"/>
      <c r="AI190" s="67"/>
      <c r="AJ190" s="67"/>
      <c r="AK190" s="67"/>
      <c r="AL190" s="67"/>
      <c r="AM190" s="67"/>
      <c r="AN190" s="67"/>
      <c r="AO190" s="67"/>
      <c r="AP190" s="67"/>
      <c r="AQ190" s="67"/>
      <c r="AR190" s="67"/>
      <c r="AS190" s="67"/>
      <c r="AT190" s="67"/>
    </row>
    <row r="191" spans="1:46" ht="84" hidden="1" x14ac:dyDescent="0.2">
      <c r="A191" s="67"/>
      <c r="B191" s="96"/>
      <c r="C19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1" s="20" t="str">
        <f ca="1">IFERROR(__xludf.DUMMYFUNCTION("""COMPUTED_VALUE"""),"МинЖКХ")</f>
        <v>МинЖКХ</v>
      </c>
      <c r="E191" s="20" t="str">
        <f ca="1">IFERROR(__xludf.DUMMYFUNCTION("""COMPUTED_VALUE"""),"Приобретение, монтаж и ввод в эксплуатацию станции водоочистки на ВЗУв д. Грибцово, ул. Больничная д.138, Рузский г.о.")</f>
        <v>Приобретение, монтаж и ввод в эксплуатацию станции водоочистки на ВЗУв д. Грибцово, ул. Больничная д.138, Рузский г.о.</v>
      </c>
      <c r="F191" s="67" t="str">
        <f ca="1">IFERROR(__xludf.DUMMYFUNCTION("""COMPUTED_VALUE"""),"Приобретение, монтаж")</f>
        <v>Приобретение, монтаж</v>
      </c>
      <c r="G191" s="67" t="str">
        <f ca="1">IFERROR(__xludf.DUMMYFUNCTION("""COMPUTED_VALUE"""),"г.о. Рузский")</f>
        <v>г.о. Рузский</v>
      </c>
      <c r="H191" s="67">
        <f ca="1">IFERROR(__xludf.DUMMYFUNCTION("""COMPUTED_VALUE"""),2021)</f>
        <v>2021</v>
      </c>
      <c r="I191" s="67" t="str">
        <f ca="1">IFERROR(__xludf.DUMMYFUNCTION("""COMPUTED_VALUE"""),"10 1 02 60330")</f>
        <v>10 1 02 60330</v>
      </c>
      <c r="J191" s="67">
        <f ca="1">IFERROR(__xludf.DUMMYFUNCTION("""COMPUTED_VALUE"""),520)</f>
        <v>520</v>
      </c>
      <c r="K191" s="97">
        <f t="shared" ca="1" si="1"/>
        <v>0</v>
      </c>
      <c r="L191" s="97">
        <f ca="1">IFERROR(__xludf.DUMMYFUNCTION("""COMPUTED_VALUE"""),0)</f>
        <v>0</v>
      </c>
      <c r="M191" s="97">
        <f ca="1">IFERROR(__xludf.DUMMYFUNCTION("""COMPUTED_VALUE"""),0)</f>
        <v>0</v>
      </c>
      <c r="N191" s="97">
        <f ca="1">IFERROR(__xludf.DUMMYFUNCTION("""COMPUTED_VALUE"""),0)</f>
        <v>0</v>
      </c>
      <c r="O191" s="97">
        <f ca="1">IFERROR(__xludf.DUMMYFUNCTION("""COMPUTED_VALUE"""),0)</f>
        <v>0</v>
      </c>
      <c r="P191" s="97">
        <f t="shared" ca="1" si="2"/>
        <v>0</v>
      </c>
      <c r="Q191" s="67"/>
      <c r="R191" s="67"/>
      <c r="S191" s="97">
        <f ca="1">IFERROR(__xludf.DUMMYFUNCTION("""COMPUTED_VALUE"""),0)</f>
        <v>0</v>
      </c>
      <c r="T191" s="97">
        <f ca="1">IFERROR(__xludf.DUMMYFUNCTION("""COMPUTED_VALUE"""),0)</f>
        <v>0</v>
      </c>
      <c r="U191" s="97">
        <f ca="1">IFERROR(__xludf.DUMMYFUNCTION("""COMPUTED_VALUE"""),0)</f>
        <v>0</v>
      </c>
      <c r="V191" s="97">
        <f ca="1">IFERROR(__xludf.DUMMYFUNCTION("""COMPUTED_VALUE"""),0)</f>
        <v>0</v>
      </c>
      <c r="W191" s="97">
        <f ca="1">IFERROR(__xludf.DUMMYFUNCTION("""COMPUTED_VALUE"""),0)</f>
        <v>0</v>
      </c>
      <c r="X191" s="97">
        <f ca="1">IFERROR(__xludf.DUMMYFUNCTION("""COMPUTED_VALUE"""),0)</f>
        <v>0</v>
      </c>
      <c r="Y191" s="97">
        <f t="shared" ca="1" si="3"/>
        <v>0</v>
      </c>
      <c r="Z191" s="67">
        <f t="shared" si="4"/>
        <v>0</v>
      </c>
      <c r="AA191" s="67"/>
      <c r="AB191" s="67"/>
      <c r="AC191" s="67"/>
      <c r="AD191" s="99" t="e">
        <f t="shared" ca="1" si="5"/>
        <v>#DIV/0!</v>
      </c>
      <c r="AE191" s="67"/>
      <c r="AF191" s="67"/>
      <c r="AG191" s="67"/>
      <c r="AH191" s="67"/>
      <c r="AI191" s="67"/>
      <c r="AJ191" s="67"/>
      <c r="AK191" s="67"/>
      <c r="AL191" s="67"/>
      <c r="AM191" s="67"/>
      <c r="AN191" s="67"/>
      <c r="AO191" s="67"/>
      <c r="AP191" s="67"/>
      <c r="AQ191" s="67"/>
      <c r="AR191" s="67"/>
      <c r="AS191" s="67"/>
      <c r="AT191" s="67"/>
    </row>
    <row r="192" spans="1:46" ht="84" hidden="1" x14ac:dyDescent="0.2">
      <c r="A192" s="67"/>
      <c r="B192" s="96"/>
      <c r="C19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2" s="20" t="str">
        <f ca="1">IFERROR(__xludf.DUMMYFUNCTION("""COMPUTED_VALUE"""),"МинЖКХ")</f>
        <v>МинЖКХ</v>
      </c>
      <c r="E192" s="20" t="str">
        <f ca="1">IFERROR(__xludf.DUMMYFUNCTION("""COMPUTED_VALUE"""),"Приобретение, монтаж и ввод в эксплуатацию станции водоочистки на ВЗУв д. Новоивановское,  д.81, Рузский г.о.")</f>
        <v>Приобретение, монтаж и ввод в эксплуатацию станции водоочистки на ВЗУв д. Новоивановское,  д.81, Рузский г.о.</v>
      </c>
      <c r="F192" s="67" t="str">
        <f ca="1">IFERROR(__xludf.DUMMYFUNCTION("""COMPUTED_VALUE"""),"Приобретение, монтаж")</f>
        <v>Приобретение, монтаж</v>
      </c>
      <c r="G192" s="67" t="str">
        <f ca="1">IFERROR(__xludf.DUMMYFUNCTION("""COMPUTED_VALUE"""),"г.о. Рузский")</f>
        <v>г.о. Рузский</v>
      </c>
      <c r="H192" s="67">
        <f ca="1">IFERROR(__xludf.DUMMYFUNCTION("""COMPUTED_VALUE"""),2021)</f>
        <v>2021</v>
      </c>
      <c r="I192" s="67" t="str">
        <f ca="1">IFERROR(__xludf.DUMMYFUNCTION("""COMPUTED_VALUE"""),"10 1 02 60330")</f>
        <v>10 1 02 60330</v>
      </c>
      <c r="J192" s="67">
        <f ca="1">IFERROR(__xludf.DUMMYFUNCTION("""COMPUTED_VALUE"""),520)</f>
        <v>520</v>
      </c>
      <c r="K192" s="97">
        <f t="shared" ca="1" si="1"/>
        <v>0</v>
      </c>
      <c r="L192" s="97">
        <f ca="1">IFERROR(__xludf.DUMMYFUNCTION("""COMPUTED_VALUE"""),0)</f>
        <v>0</v>
      </c>
      <c r="M192" s="97">
        <f ca="1">IFERROR(__xludf.DUMMYFUNCTION("""COMPUTED_VALUE"""),0)</f>
        <v>0</v>
      </c>
      <c r="N192" s="97">
        <f ca="1">IFERROR(__xludf.DUMMYFUNCTION("""COMPUTED_VALUE"""),0)</f>
        <v>0</v>
      </c>
      <c r="O192" s="97">
        <f ca="1">IFERROR(__xludf.DUMMYFUNCTION("""COMPUTED_VALUE"""),0)</f>
        <v>0</v>
      </c>
      <c r="P192" s="97">
        <f t="shared" ca="1" si="2"/>
        <v>0</v>
      </c>
      <c r="Q192" s="67"/>
      <c r="R192" s="67"/>
      <c r="S192" s="97">
        <f ca="1">IFERROR(__xludf.DUMMYFUNCTION("""COMPUTED_VALUE"""),0)</f>
        <v>0</v>
      </c>
      <c r="T192" s="97">
        <f ca="1">IFERROR(__xludf.DUMMYFUNCTION("""COMPUTED_VALUE"""),0)</f>
        <v>0</v>
      </c>
      <c r="U192" s="97">
        <f ca="1">IFERROR(__xludf.DUMMYFUNCTION("""COMPUTED_VALUE"""),0)</f>
        <v>0</v>
      </c>
      <c r="V192" s="97">
        <f ca="1">IFERROR(__xludf.DUMMYFUNCTION("""COMPUTED_VALUE"""),0)</f>
        <v>0</v>
      </c>
      <c r="W192" s="97">
        <f ca="1">IFERROR(__xludf.DUMMYFUNCTION("""COMPUTED_VALUE"""),0)</f>
        <v>0</v>
      </c>
      <c r="X192" s="97">
        <f ca="1">IFERROR(__xludf.DUMMYFUNCTION("""COMPUTED_VALUE"""),0)</f>
        <v>0</v>
      </c>
      <c r="Y192" s="97">
        <f t="shared" ca="1" si="3"/>
        <v>0</v>
      </c>
      <c r="Z192" s="67">
        <f t="shared" si="4"/>
        <v>0</v>
      </c>
      <c r="AA192" s="67"/>
      <c r="AB192" s="67"/>
      <c r="AC192" s="67"/>
      <c r="AD192" s="99" t="e">
        <f t="shared" ca="1" si="5"/>
        <v>#DIV/0!</v>
      </c>
      <c r="AE192" s="67"/>
      <c r="AF192" s="67"/>
      <c r="AG192" s="67"/>
      <c r="AH192" s="67"/>
      <c r="AI192" s="67"/>
      <c r="AJ192" s="67"/>
      <c r="AK192" s="67"/>
      <c r="AL192" s="67"/>
      <c r="AM192" s="67"/>
      <c r="AN192" s="67"/>
      <c r="AO192" s="67"/>
      <c r="AP192" s="67"/>
      <c r="AQ192" s="67"/>
      <c r="AR192" s="67"/>
      <c r="AS192" s="67"/>
      <c r="AT192" s="67"/>
    </row>
    <row r="193" spans="1:46" ht="84" hidden="1" x14ac:dyDescent="0.2">
      <c r="A193" s="67"/>
      <c r="B193" s="100"/>
      <c r="C19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3" s="20" t="str">
        <f ca="1">IFERROR(__xludf.DUMMYFUNCTION("""COMPUTED_VALUE"""),"МинЖКХ")</f>
        <v>МинЖКХ</v>
      </c>
      <c r="E193" s="20" t="str">
        <f ca="1">IFERROR(__xludf.DUMMYFUNCTION("""COMPUTED_VALUE"""),"Приобретение, монтаж и ввод в эксплуатацию станции водоочистки на ВЗУв д. Филатово  д.1, стр.2, Рузский г.о.")</f>
        <v>Приобретение, монтаж и ввод в эксплуатацию станции водоочистки на ВЗУв д. Филатово  д.1, стр.2, Рузский г.о.</v>
      </c>
      <c r="F193" s="67" t="str">
        <f ca="1">IFERROR(__xludf.DUMMYFUNCTION("""COMPUTED_VALUE"""),"Приобретение, монтаж")</f>
        <v>Приобретение, монтаж</v>
      </c>
      <c r="G193" s="67" t="str">
        <f ca="1">IFERROR(__xludf.DUMMYFUNCTION("""COMPUTED_VALUE"""),"г.о. Рузский")</f>
        <v>г.о. Рузский</v>
      </c>
      <c r="H193" s="67">
        <f ca="1">IFERROR(__xludf.DUMMYFUNCTION("""COMPUTED_VALUE"""),2021)</f>
        <v>2021</v>
      </c>
      <c r="I193" s="67" t="str">
        <f ca="1">IFERROR(__xludf.DUMMYFUNCTION("""COMPUTED_VALUE"""),"10 1 02 60330")</f>
        <v>10 1 02 60330</v>
      </c>
      <c r="J193" s="67">
        <f ca="1">IFERROR(__xludf.DUMMYFUNCTION("""COMPUTED_VALUE"""),520)</f>
        <v>520</v>
      </c>
      <c r="K193" s="97">
        <f t="shared" ca="1" si="1"/>
        <v>0</v>
      </c>
      <c r="L193" s="97">
        <f ca="1">IFERROR(__xludf.DUMMYFUNCTION("""COMPUTED_VALUE"""),0)</f>
        <v>0</v>
      </c>
      <c r="M193" s="97">
        <f ca="1">IFERROR(__xludf.DUMMYFUNCTION("""COMPUTED_VALUE"""),0)</f>
        <v>0</v>
      </c>
      <c r="N193" s="97">
        <f ca="1">IFERROR(__xludf.DUMMYFUNCTION("""COMPUTED_VALUE"""),0)</f>
        <v>0</v>
      </c>
      <c r="O193" s="97">
        <f ca="1">IFERROR(__xludf.DUMMYFUNCTION("""COMPUTED_VALUE"""),0)</f>
        <v>0</v>
      </c>
      <c r="P193" s="97">
        <f t="shared" ca="1" si="2"/>
        <v>0</v>
      </c>
      <c r="Q193" s="67"/>
      <c r="R193" s="67"/>
      <c r="S193" s="97">
        <f ca="1">IFERROR(__xludf.DUMMYFUNCTION("""COMPUTED_VALUE"""),0)</f>
        <v>0</v>
      </c>
      <c r="T193" s="97">
        <f ca="1">IFERROR(__xludf.DUMMYFUNCTION("""COMPUTED_VALUE"""),0)</f>
        <v>0</v>
      </c>
      <c r="U193" s="97">
        <f ca="1">IFERROR(__xludf.DUMMYFUNCTION("""COMPUTED_VALUE"""),0)</f>
        <v>0</v>
      </c>
      <c r="V193" s="97">
        <f ca="1">IFERROR(__xludf.DUMMYFUNCTION("""COMPUTED_VALUE"""),0)</f>
        <v>0</v>
      </c>
      <c r="W193" s="97">
        <f ca="1">IFERROR(__xludf.DUMMYFUNCTION("""COMPUTED_VALUE"""),0)</f>
        <v>0</v>
      </c>
      <c r="X193" s="97">
        <f ca="1">IFERROR(__xludf.DUMMYFUNCTION("""COMPUTED_VALUE"""),0)</f>
        <v>0</v>
      </c>
      <c r="Y193" s="97">
        <f t="shared" ca="1" si="3"/>
        <v>0</v>
      </c>
      <c r="Z193" s="67">
        <f t="shared" si="4"/>
        <v>0</v>
      </c>
      <c r="AA193" s="67"/>
      <c r="AB193" s="67"/>
      <c r="AC193" s="67"/>
      <c r="AD193" s="99" t="e">
        <f t="shared" ca="1" si="5"/>
        <v>#DIV/0!</v>
      </c>
      <c r="AE193" s="67"/>
      <c r="AF193" s="67"/>
      <c r="AG193" s="67"/>
      <c r="AH193" s="67"/>
      <c r="AI193" s="67"/>
      <c r="AJ193" s="67"/>
      <c r="AK193" s="67"/>
      <c r="AL193" s="67"/>
      <c r="AM193" s="67"/>
      <c r="AN193" s="67"/>
      <c r="AO193" s="67"/>
      <c r="AP193" s="67"/>
      <c r="AQ193" s="67"/>
      <c r="AR193" s="67"/>
      <c r="AS193" s="67"/>
      <c r="AT193" s="67"/>
    </row>
    <row r="194" spans="1:46" ht="84" x14ac:dyDescent="0.2">
      <c r="A194" s="20"/>
      <c r="B194" s="93"/>
      <c r="C19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4" s="20" t="str">
        <f ca="1">IFERROR(__xludf.DUMMYFUNCTION("""COMPUTED_VALUE"""),"МинЖКХ")</f>
        <v>МинЖКХ</v>
      </c>
      <c r="E194" s="20" t="str">
        <f ca="1">IFERROR(__xludf.DUMMYFUNCTION("""COMPUTED_VALUE"""),"Приобретение, монтаж и ввод в эксплуатацию станции водоочистки на ВЗУв д. Леньково  д.2, стр.2, Рузский г.о.")</f>
        <v>Приобретение, монтаж и ввод в эксплуатацию станции водоочистки на ВЗУв д. Леньково  д.2, стр.2, Рузский г.о.</v>
      </c>
      <c r="F194" s="20" t="str">
        <f ca="1">IFERROR(__xludf.DUMMYFUNCTION("""COMPUTED_VALUE"""),"Приобретение, монтаж")</f>
        <v>Приобретение, монтаж</v>
      </c>
      <c r="G194" s="20" t="str">
        <f ca="1">IFERROR(__xludf.DUMMYFUNCTION("""COMPUTED_VALUE"""),"г.о. Рузский")</f>
        <v>г.о. Рузский</v>
      </c>
      <c r="H194" s="20">
        <f ca="1">IFERROR(__xludf.DUMMYFUNCTION("""COMPUTED_VALUE"""),2020)</f>
        <v>2020</v>
      </c>
      <c r="I194" s="20" t="str">
        <f ca="1">IFERROR(__xludf.DUMMYFUNCTION("""COMPUTED_VALUE"""),"10 1 02 60330")</f>
        <v>10 1 02 60330</v>
      </c>
      <c r="J194" s="20">
        <f ca="1">IFERROR(__xludf.DUMMYFUNCTION("""COMPUTED_VALUE"""),520)</f>
        <v>520</v>
      </c>
      <c r="K194" s="24">
        <f t="shared" ca="1" si="1"/>
        <v>793.25</v>
      </c>
      <c r="L194" s="24">
        <f ca="1">IFERROR(__xludf.DUMMYFUNCTION("""COMPUTED_VALUE"""),597.42)</f>
        <v>597.41999999999996</v>
      </c>
      <c r="M194" s="24">
        <f ca="1">IFERROR(__xludf.DUMMYFUNCTION("""COMPUTED_VALUE"""),0)</f>
        <v>0</v>
      </c>
      <c r="N194" s="24">
        <f ca="1">IFERROR(__xludf.DUMMYFUNCTION("""COMPUTED_VALUE"""),0)</f>
        <v>0</v>
      </c>
      <c r="O194" s="24">
        <f ca="1">IFERROR(__xludf.DUMMYFUNCTION("""COMPUTED_VALUE"""),195.83)</f>
        <v>195.83</v>
      </c>
      <c r="P194" s="24">
        <f t="shared" ca="1" si="2"/>
        <v>597.41999999999996</v>
      </c>
      <c r="Q194" s="23">
        <f ca="1">IFERROR(__xludf.DUMMYFUNCTION("""COMPUTED_VALUE"""),1)</f>
        <v>1</v>
      </c>
      <c r="R194" s="20"/>
      <c r="S194" s="24">
        <f ca="1">IFERROR(__xludf.DUMMYFUNCTION("""COMPUTED_VALUE"""),430.07)</f>
        <v>430.07</v>
      </c>
      <c r="T194" s="24">
        <f ca="1">IFERROR(__xludf.DUMMYFUNCTION("""COMPUTED_VALUE"""),363.18)</f>
        <v>363.18</v>
      </c>
      <c r="U194" s="24">
        <f ca="1">IFERROR(__xludf.DUMMYFUNCTION("""COMPUTED_VALUE"""),167.349999999999)</f>
        <v>167.349999999999</v>
      </c>
      <c r="V194" s="24">
        <f ca="1">IFERROR(__xludf.DUMMYFUNCTION("""COMPUTED_VALUE"""),0)</f>
        <v>0</v>
      </c>
      <c r="W194" s="24">
        <f ca="1">IFERROR(__xludf.DUMMYFUNCTION("""COMPUTED_VALUE"""),0)</f>
        <v>0</v>
      </c>
      <c r="X194" s="24">
        <f ca="1">IFERROR(__xludf.DUMMYFUNCTION("""COMPUTED_VALUE"""),195.83)</f>
        <v>195.83</v>
      </c>
      <c r="Y194" s="24">
        <f t="shared" ca="1" si="3"/>
        <v>167.349999999999</v>
      </c>
      <c r="Z194" s="20">
        <f t="shared" ca="1" si="4"/>
        <v>430.07</v>
      </c>
      <c r="AA194" s="20"/>
      <c r="AB194" s="24">
        <f ca="1">IFERROR(__xludf.DUMMYFUNCTION("""COMPUTED_VALUE"""),430.07)</f>
        <v>430.07</v>
      </c>
      <c r="AC194" s="20"/>
      <c r="AD194" s="94">
        <f t="shared" ca="1" si="5"/>
        <v>0.71987881222590477</v>
      </c>
      <c r="AE194" s="20"/>
      <c r="AF194" s="20"/>
      <c r="AG194" s="20"/>
      <c r="AH194" s="20"/>
      <c r="AI194" s="20"/>
      <c r="AJ194" s="20"/>
      <c r="AK194" s="20"/>
      <c r="AL194" s="20"/>
      <c r="AM194" s="20"/>
      <c r="AN194" s="20"/>
      <c r="AO194" s="20"/>
      <c r="AP194" s="20"/>
      <c r="AQ194" s="20"/>
      <c r="AR194" s="20"/>
      <c r="AS194" s="20"/>
      <c r="AT194" s="20"/>
    </row>
    <row r="195" spans="1:46" ht="84" x14ac:dyDescent="0.2">
      <c r="A195" s="20"/>
      <c r="B195" s="93"/>
      <c r="C19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5" s="20" t="str">
        <f ca="1">IFERROR(__xludf.DUMMYFUNCTION("""COMPUTED_VALUE"""),"МинЖКХ")</f>
        <v>МинЖКХ</v>
      </c>
      <c r="E195" s="20" t="str">
        <f ca="1">IFERROR(__xludf.DUMMYFUNCTION("""COMPUTED_VALUE"""),"Приобретение, монтаж и ввод в эксплуатацию станции водоочистки на ВЗУв д. Лихачево  д.108, Рузский г.о.")</f>
        <v>Приобретение, монтаж и ввод в эксплуатацию станции водоочистки на ВЗУв д. Лихачево  д.108, Рузский г.о.</v>
      </c>
      <c r="F195" s="20" t="str">
        <f ca="1">IFERROR(__xludf.DUMMYFUNCTION("""COMPUTED_VALUE"""),"Приобретение, монтаж")</f>
        <v>Приобретение, монтаж</v>
      </c>
      <c r="G195" s="20" t="str">
        <f ca="1">IFERROR(__xludf.DUMMYFUNCTION("""COMPUTED_VALUE"""),"г.о. Рузский")</f>
        <v>г.о. Рузский</v>
      </c>
      <c r="H195" s="20">
        <f ca="1">IFERROR(__xludf.DUMMYFUNCTION("""COMPUTED_VALUE"""),2020)</f>
        <v>2020</v>
      </c>
      <c r="I195" s="20" t="str">
        <f ca="1">IFERROR(__xludf.DUMMYFUNCTION("""COMPUTED_VALUE"""),"10 1 02 60330")</f>
        <v>10 1 02 60330</v>
      </c>
      <c r="J195" s="20">
        <f ca="1">IFERROR(__xludf.DUMMYFUNCTION("""COMPUTED_VALUE"""),520)</f>
        <v>520</v>
      </c>
      <c r="K195" s="24">
        <f t="shared" ca="1" si="1"/>
        <v>2326.0300000000002</v>
      </c>
      <c r="L195" s="24">
        <f ca="1">IFERROR(__xludf.DUMMYFUNCTION("""COMPUTED_VALUE"""),1752.42)</f>
        <v>1752.42</v>
      </c>
      <c r="M195" s="24">
        <f ca="1">IFERROR(__xludf.DUMMYFUNCTION("""COMPUTED_VALUE"""),0)</f>
        <v>0</v>
      </c>
      <c r="N195" s="24">
        <f ca="1">IFERROR(__xludf.DUMMYFUNCTION("""COMPUTED_VALUE"""),0)</f>
        <v>0</v>
      </c>
      <c r="O195" s="24">
        <f ca="1">IFERROR(__xludf.DUMMYFUNCTION("""COMPUTED_VALUE"""),573.61)</f>
        <v>573.61</v>
      </c>
      <c r="P195" s="24">
        <f t="shared" ca="1" si="2"/>
        <v>1752.42</v>
      </c>
      <c r="Q195" s="23">
        <f ca="1">IFERROR(__xludf.DUMMYFUNCTION("""COMPUTED_VALUE"""),0.9)</f>
        <v>0.9</v>
      </c>
      <c r="R195" s="20"/>
      <c r="S195" s="24">
        <f ca="1">IFERROR(__xludf.DUMMYFUNCTION("""COMPUTED_VALUE"""),1560.09)</f>
        <v>1560.09</v>
      </c>
      <c r="T195" s="24">
        <f ca="1">IFERROR(__xludf.DUMMYFUNCTION("""COMPUTED_VALUE"""),765.94)</f>
        <v>765.94</v>
      </c>
      <c r="U195" s="24">
        <f ca="1">IFERROR(__xludf.DUMMYFUNCTION("""COMPUTED_VALUE"""),192.33)</f>
        <v>192.33</v>
      </c>
      <c r="V195" s="24">
        <f ca="1">IFERROR(__xludf.DUMMYFUNCTION("""COMPUTED_VALUE"""),0)</f>
        <v>0</v>
      </c>
      <c r="W195" s="24">
        <f ca="1">IFERROR(__xludf.DUMMYFUNCTION("""COMPUTED_VALUE"""),0)</f>
        <v>0</v>
      </c>
      <c r="X195" s="24">
        <f ca="1">IFERROR(__xludf.DUMMYFUNCTION("""COMPUTED_VALUE"""),573.61)</f>
        <v>573.61</v>
      </c>
      <c r="Y195" s="24">
        <f t="shared" ca="1" si="3"/>
        <v>192.33</v>
      </c>
      <c r="Z195" s="20">
        <f t="shared" ca="1" si="4"/>
        <v>1560.09</v>
      </c>
      <c r="AA195" s="20"/>
      <c r="AB195" s="24">
        <f ca="1">IFERROR(__xludf.DUMMYFUNCTION("""COMPUTED_VALUE"""),1560.09)</f>
        <v>1560.09</v>
      </c>
      <c r="AC195" s="20"/>
      <c r="AD195" s="94">
        <f t="shared" ca="1" si="5"/>
        <v>0.89024891293183128</v>
      </c>
      <c r="AE195" s="20"/>
      <c r="AF195" s="20"/>
      <c r="AG195" s="20"/>
      <c r="AH195" s="20"/>
      <c r="AI195" s="20"/>
      <c r="AJ195" s="20"/>
      <c r="AK195" s="20"/>
      <c r="AL195" s="20"/>
      <c r="AM195" s="20"/>
      <c r="AN195" s="20"/>
      <c r="AO195" s="20"/>
      <c r="AP195" s="20"/>
      <c r="AQ195" s="20"/>
      <c r="AR195" s="20"/>
      <c r="AS195" s="20"/>
      <c r="AT195" s="20"/>
    </row>
    <row r="196" spans="1:46" ht="84" x14ac:dyDescent="0.2">
      <c r="A196" s="20"/>
      <c r="B196" s="95"/>
      <c r="C19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6" s="20" t="str">
        <f ca="1">IFERROR(__xludf.DUMMYFUNCTION("""COMPUTED_VALUE"""),"МинЖКХ")</f>
        <v>МинЖКХ</v>
      </c>
      <c r="E196" s="20" t="str">
        <f ca="1">IFERROR(__xludf.DUMMYFUNCTION("""COMPUTED_VALUE"""),"Приобретение, монтаж и ввод в эксплуатацию станции водоочистки на ВЗУв д. Ивойлово, соор.19, Рузский г.о.")</f>
        <v>Приобретение, монтаж и ввод в эксплуатацию станции водоочистки на ВЗУв д. Ивойлово, соор.19, Рузский г.о.</v>
      </c>
      <c r="F196" s="20" t="str">
        <f ca="1">IFERROR(__xludf.DUMMYFUNCTION("""COMPUTED_VALUE"""),"Приобретение, монтаж")</f>
        <v>Приобретение, монтаж</v>
      </c>
      <c r="G196" s="20" t="str">
        <f ca="1">IFERROR(__xludf.DUMMYFUNCTION("""COMPUTED_VALUE"""),"г.о. Рузский")</f>
        <v>г.о. Рузский</v>
      </c>
      <c r="H196" s="20">
        <f ca="1">IFERROR(__xludf.DUMMYFUNCTION("""COMPUTED_VALUE"""),2020)</f>
        <v>2020</v>
      </c>
      <c r="I196" s="20" t="str">
        <f ca="1">IFERROR(__xludf.DUMMYFUNCTION("""COMPUTED_VALUE"""),"10 1 02 60330")</f>
        <v>10 1 02 60330</v>
      </c>
      <c r="J196" s="20">
        <f ca="1">IFERROR(__xludf.DUMMYFUNCTION("""COMPUTED_VALUE"""),520)</f>
        <v>520</v>
      </c>
      <c r="K196" s="24">
        <f t="shared" ca="1" si="1"/>
        <v>2338.91</v>
      </c>
      <c r="L196" s="24">
        <f ca="1">IFERROR(__xludf.DUMMYFUNCTION("""COMPUTED_VALUE"""),1761.42)</f>
        <v>1761.42</v>
      </c>
      <c r="M196" s="24">
        <f ca="1">IFERROR(__xludf.DUMMYFUNCTION("""COMPUTED_VALUE"""),0)</f>
        <v>0</v>
      </c>
      <c r="N196" s="24">
        <f ca="1">IFERROR(__xludf.DUMMYFUNCTION("""COMPUTED_VALUE"""),0)</f>
        <v>0</v>
      </c>
      <c r="O196" s="24">
        <f ca="1">IFERROR(__xludf.DUMMYFUNCTION("""COMPUTED_VALUE"""),577.49)</f>
        <v>577.49</v>
      </c>
      <c r="P196" s="24">
        <f t="shared" ca="1" si="2"/>
        <v>1761.42</v>
      </c>
      <c r="Q196" s="23">
        <f ca="1">IFERROR(__xludf.DUMMYFUNCTION("""COMPUTED_VALUE"""),0.9)</f>
        <v>0.9</v>
      </c>
      <c r="R196" s="20"/>
      <c r="S196" s="24">
        <f ca="1">IFERROR(__xludf.DUMMYFUNCTION("""COMPUTED_VALUE"""),1559.39)</f>
        <v>1559.39</v>
      </c>
      <c r="T196" s="24">
        <f ca="1">IFERROR(__xludf.DUMMYFUNCTION("""COMPUTED_VALUE"""),779.519999999999)</f>
        <v>779.51999999999896</v>
      </c>
      <c r="U196" s="24">
        <f ca="1">IFERROR(__xludf.DUMMYFUNCTION("""COMPUTED_VALUE"""),202.029999999999)</f>
        <v>202.02999999999901</v>
      </c>
      <c r="V196" s="24">
        <f ca="1">IFERROR(__xludf.DUMMYFUNCTION("""COMPUTED_VALUE"""),0)</f>
        <v>0</v>
      </c>
      <c r="W196" s="24">
        <f ca="1">IFERROR(__xludf.DUMMYFUNCTION("""COMPUTED_VALUE"""),0)</f>
        <v>0</v>
      </c>
      <c r="X196" s="24">
        <f ca="1">IFERROR(__xludf.DUMMYFUNCTION("""COMPUTED_VALUE"""),577.49)</f>
        <v>577.49</v>
      </c>
      <c r="Y196" s="24">
        <f t="shared" ca="1" si="3"/>
        <v>202.02999999999901</v>
      </c>
      <c r="Z196" s="20">
        <f t="shared" ca="1" si="4"/>
        <v>1559.39</v>
      </c>
      <c r="AA196" s="20"/>
      <c r="AB196" s="24">
        <f ca="1">IFERROR(__xludf.DUMMYFUNCTION("""COMPUTED_VALUE"""),1559.39)</f>
        <v>1559.39</v>
      </c>
      <c r="AC196" s="20"/>
      <c r="AD196" s="94">
        <f t="shared" ca="1" si="5"/>
        <v>0.88530276708564681</v>
      </c>
      <c r="AE196" s="20"/>
      <c r="AF196" s="20"/>
      <c r="AG196" s="20"/>
      <c r="AH196" s="20"/>
      <c r="AI196" s="20"/>
      <c r="AJ196" s="20"/>
      <c r="AK196" s="20"/>
      <c r="AL196" s="20"/>
      <c r="AM196" s="20"/>
      <c r="AN196" s="20"/>
      <c r="AO196" s="20"/>
      <c r="AP196" s="20"/>
      <c r="AQ196" s="20"/>
      <c r="AR196" s="20"/>
      <c r="AS196" s="20"/>
      <c r="AT196" s="20"/>
    </row>
    <row r="197" spans="1:46" ht="84" hidden="1" x14ac:dyDescent="0.2">
      <c r="A197" s="67"/>
      <c r="B197" s="96"/>
      <c r="C19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7" s="20" t="str">
        <f ca="1">IFERROR(__xludf.DUMMYFUNCTION("""COMPUTED_VALUE"""),"МинЖКХ")</f>
        <v>МинЖКХ</v>
      </c>
      <c r="E197" s="20" t="str">
        <f ca="1">IFERROR(__xludf.DUMMYFUNCTION("""COMPUTED_VALUE"""),"Приобретение, монтаж и ввод в эксплуатацию станции водоочистки на ВЗУв д. Комлево,  Рузский г.о.")</f>
        <v>Приобретение, монтаж и ввод в эксплуатацию станции водоочистки на ВЗУв д. Комлево,  Рузский г.о.</v>
      </c>
      <c r="F197" s="67" t="str">
        <f ca="1">IFERROR(__xludf.DUMMYFUNCTION("""COMPUTED_VALUE"""),"Приобретение, монтаж")</f>
        <v>Приобретение, монтаж</v>
      </c>
      <c r="G197" s="67" t="str">
        <f ca="1">IFERROR(__xludf.DUMMYFUNCTION("""COMPUTED_VALUE"""),"г.о. Рузский")</f>
        <v>г.о. Рузский</v>
      </c>
      <c r="H197" s="67">
        <f ca="1">IFERROR(__xludf.DUMMYFUNCTION("""COMPUTED_VALUE"""),2021)</f>
        <v>2021</v>
      </c>
      <c r="I197" s="67" t="str">
        <f ca="1">IFERROR(__xludf.DUMMYFUNCTION("""COMPUTED_VALUE"""),"10 1 02 60330")</f>
        <v>10 1 02 60330</v>
      </c>
      <c r="J197" s="67">
        <f ca="1">IFERROR(__xludf.DUMMYFUNCTION("""COMPUTED_VALUE"""),520)</f>
        <v>520</v>
      </c>
      <c r="K197" s="97">
        <f t="shared" ca="1" si="1"/>
        <v>0</v>
      </c>
      <c r="L197" s="97">
        <f ca="1">IFERROR(__xludf.DUMMYFUNCTION("""COMPUTED_VALUE"""),0)</f>
        <v>0</v>
      </c>
      <c r="M197" s="97">
        <f ca="1">IFERROR(__xludf.DUMMYFUNCTION("""COMPUTED_VALUE"""),0)</f>
        <v>0</v>
      </c>
      <c r="N197" s="97">
        <f ca="1">IFERROR(__xludf.DUMMYFUNCTION("""COMPUTED_VALUE"""),0)</f>
        <v>0</v>
      </c>
      <c r="O197" s="97">
        <f ca="1">IFERROR(__xludf.DUMMYFUNCTION("""COMPUTED_VALUE"""),0)</f>
        <v>0</v>
      </c>
      <c r="P197" s="97">
        <f t="shared" ca="1" si="2"/>
        <v>0</v>
      </c>
      <c r="Q197" s="67"/>
      <c r="R197" s="67"/>
      <c r="S197" s="97">
        <f ca="1">IFERROR(__xludf.DUMMYFUNCTION("""COMPUTED_VALUE"""),0)</f>
        <v>0</v>
      </c>
      <c r="T197" s="97">
        <f ca="1">IFERROR(__xludf.DUMMYFUNCTION("""COMPUTED_VALUE"""),0)</f>
        <v>0</v>
      </c>
      <c r="U197" s="97">
        <f ca="1">IFERROR(__xludf.DUMMYFUNCTION("""COMPUTED_VALUE"""),0)</f>
        <v>0</v>
      </c>
      <c r="V197" s="97">
        <f ca="1">IFERROR(__xludf.DUMMYFUNCTION("""COMPUTED_VALUE"""),0)</f>
        <v>0</v>
      </c>
      <c r="W197" s="97">
        <f ca="1">IFERROR(__xludf.DUMMYFUNCTION("""COMPUTED_VALUE"""),0)</f>
        <v>0</v>
      </c>
      <c r="X197" s="97">
        <f ca="1">IFERROR(__xludf.DUMMYFUNCTION("""COMPUTED_VALUE"""),0)</f>
        <v>0</v>
      </c>
      <c r="Y197" s="97">
        <f t="shared" ca="1" si="3"/>
        <v>0</v>
      </c>
      <c r="Z197" s="67">
        <f t="shared" si="4"/>
        <v>0</v>
      </c>
      <c r="AA197" s="67"/>
      <c r="AB197" s="67"/>
      <c r="AC197" s="67"/>
      <c r="AD197" s="99" t="e">
        <f t="shared" ca="1" si="5"/>
        <v>#DIV/0!</v>
      </c>
      <c r="AE197" s="67"/>
      <c r="AF197" s="67"/>
      <c r="AG197" s="67"/>
      <c r="AH197" s="67"/>
      <c r="AI197" s="67"/>
      <c r="AJ197" s="67"/>
      <c r="AK197" s="67"/>
      <c r="AL197" s="67"/>
      <c r="AM197" s="67"/>
      <c r="AN197" s="67"/>
      <c r="AO197" s="67"/>
      <c r="AP197" s="67"/>
      <c r="AQ197" s="67"/>
      <c r="AR197" s="67"/>
      <c r="AS197" s="67"/>
      <c r="AT197" s="67"/>
    </row>
    <row r="198" spans="1:46" ht="84" hidden="1" x14ac:dyDescent="0.2">
      <c r="A198" s="67"/>
      <c r="B198" s="100"/>
      <c r="C19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8" s="20" t="str">
        <f ca="1">IFERROR(__xludf.DUMMYFUNCTION("""COMPUTED_VALUE"""),"МинЖКХ")</f>
        <v>МинЖКХ</v>
      </c>
      <c r="E198" s="20" t="str">
        <f ca="1">IFERROR(__xludf.DUMMYFUNCTION("""COMPUTED_VALUE"""),"Приобретение, монтаж и ввод в эксплуатацию станции водоочистки на ВЗУв д. Городище, п/ст151, соор.2В,  Рузский г.о.")</f>
        <v>Приобретение, монтаж и ввод в эксплуатацию станции водоочистки на ВЗУв д. Городище, п/ст151, соор.2В,  Рузский г.о.</v>
      </c>
      <c r="F198" s="67" t="str">
        <f ca="1">IFERROR(__xludf.DUMMYFUNCTION("""COMPUTED_VALUE"""),"Приобретение, монтаж")</f>
        <v>Приобретение, монтаж</v>
      </c>
      <c r="G198" s="67" t="str">
        <f ca="1">IFERROR(__xludf.DUMMYFUNCTION("""COMPUTED_VALUE"""),"г.о. Рузский")</f>
        <v>г.о. Рузский</v>
      </c>
      <c r="H198" s="67">
        <f ca="1">IFERROR(__xludf.DUMMYFUNCTION("""COMPUTED_VALUE"""),2021)</f>
        <v>2021</v>
      </c>
      <c r="I198" s="67" t="str">
        <f ca="1">IFERROR(__xludf.DUMMYFUNCTION("""COMPUTED_VALUE"""),"10 1 02 60330")</f>
        <v>10 1 02 60330</v>
      </c>
      <c r="J198" s="67">
        <f ca="1">IFERROR(__xludf.DUMMYFUNCTION("""COMPUTED_VALUE"""),520)</f>
        <v>520</v>
      </c>
      <c r="K198" s="97">
        <f t="shared" ca="1" si="1"/>
        <v>0</v>
      </c>
      <c r="L198" s="97">
        <f ca="1">IFERROR(__xludf.DUMMYFUNCTION("""COMPUTED_VALUE"""),0)</f>
        <v>0</v>
      </c>
      <c r="M198" s="97">
        <f ca="1">IFERROR(__xludf.DUMMYFUNCTION("""COMPUTED_VALUE"""),0)</f>
        <v>0</v>
      </c>
      <c r="N198" s="97">
        <f ca="1">IFERROR(__xludf.DUMMYFUNCTION("""COMPUTED_VALUE"""),0)</f>
        <v>0</v>
      </c>
      <c r="O198" s="97">
        <f ca="1">IFERROR(__xludf.DUMMYFUNCTION("""COMPUTED_VALUE"""),0)</f>
        <v>0</v>
      </c>
      <c r="P198" s="97">
        <f t="shared" ca="1" si="2"/>
        <v>0</v>
      </c>
      <c r="Q198" s="67"/>
      <c r="R198" s="67"/>
      <c r="S198" s="97">
        <f ca="1">IFERROR(__xludf.DUMMYFUNCTION("""COMPUTED_VALUE"""),0)</f>
        <v>0</v>
      </c>
      <c r="T198" s="97">
        <f ca="1">IFERROR(__xludf.DUMMYFUNCTION("""COMPUTED_VALUE"""),0)</f>
        <v>0</v>
      </c>
      <c r="U198" s="97">
        <f ca="1">IFERROR(__xludf.DUMMYFUNCTION("""COMPUTED_VALUE"""),0)</f>
        <v>0</v>
      </c>
      <c r="V198" s="97">
        <f ca="1">IFERROR(__xludf.DUMMYFUNCTION("""COMPUTED_VALUE"""),0)</f>
        <v>0</v>
      </c>
      <c r="W198" s="97">
        <f ca="1">IFERROR(__xludf.DUMMYFUNCTION("""COMPUTED_VALUE"""),0)</f>
        <v>0</v>
      </c>
      <c r="X198" s="97">
        <f ca="1">IFERROR(__xludf.DUMMYFUNCTION("""COMPUTED_VALUE"""),0)</f>
        <v>0</v>
      </c>
      <c r="Y198" s="97">
        <f t="shared" ca="1" si="3"/>
        <v>0</v>
      </c>
      <c r="Z198" s="67">
        <f t="shared" si="4"/>
        <v>0</v>
      </c>
      <c r="AA198" s="67"/>
      <c r="AB198" s="67"/>
      <c r="AC198" s="67"/>
      <c r="AD198" s="99" t="e">
        <f t="shared" ca="1" si="5"/>
        <v>#DIV/0!</v>
      </c>
      <c r="AE198" s="67"/>
      <c r="AF198" s="67"/>
      <c r="AG198" s="67"/>
      <c r="AH198" s="67"/>
      <c r="AI198" s="67"/>
      <c r="AJ198" s="67"/>
      <c r="AK198" s="67"/>
      <c r="AL198" s="67"/>
      <c r="AM198" s="67"/>
      <c r="AN198" s="67"/>
      <c r="AO198" s="67"/>
      <c r="AP198" s="67"/>
      <c r="AQ198" s="67"/>
      <c r="AR198" s="67"/>
      <c r="AS198" s="67"/>
      <c r="AT198" s="67"/>
    </row>
    <row r="199" spans="1:46" ht="84" x14ac:dyDescent="0.2">
      <c r="A199" s="20"/>
      <c r="B199" s="95"/>
      <c r="C19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9" s="20" t="str">
        <f ca="1">IFERROR(__xludf.DUMMYFUNCTION("""COMPUTED_VALUE"""),"МинЖКХ")</f>
        <v>МинЖКХ</v>
      </c>
      <c r="E199" s="20" t="str">
        <f ca="1">IFERROR(__xludf.DUMMYFUNCTION("""COMPUTED_VALUE"""),"Приобретение, монтаж и ввод в эксплуатацию станции водоочистки на ВЗУв с. Покровское, ДОХБ, соор.22,  Рузский г.о.")</f>
        <v>Приобретение, монтаж и ввод в эксплуатацию станции водоочистки на ВЗУв с. Покровское, ДОХБ, соор.22,  Рузский г.о.</v>
      </c>
      <c r="F199" s="20" t="str">
        <f ca="1">IFERROR(__xludf.DUMMYFUNCTION("""COMPUTED_VALUE"""),"Приобретение, монтаж")</f>
        <v>Приобретение, монтаж</v>
      </c>
      <c r="G199" s="20" t="str">
        <f ca="1">IFERROR(__xludf.DUMMYFUNCTION("""COMPUTED_VALUE"""),"г.о. Рузский")</f>
        <v>г.о. Рузский</v>
      </c>
      <c r="H199" s="20">
        <f ca="1">IFERROR(__xludf.DUMMYFUNCTION("""COMPUTED_VALUE"""),2020)</f>
        <v>2020</v>
      </c>
      <c r="I199" s="20" t="str">
        <f ca="1">IFERROR(__xludf.DUMMYFUNCTION("""COMPUTED_VALUE"""),"10 1 02 60330")</f>
        <v>10 1 02 60330</v>
      </c>
      <c r="J199" s="20">
        <f ca="1">IFERROR(__xludf.DUMMYFUNCTION("""COMPUTED_VALUE"""),520)</f>
        <v>520</v>
      </c>
      <c r="K199" s="24">
        <f t="shared" ca="1" si="1"/>
        <v>2489.25</v>
      </c>
      <c r="L199" s="24">
        <f ca="1">IFERROR(__xludf.DUMMYFUNCTION("""COMPUTED_VALUE"""),1874.4)</f>
        <v>1874.4</v>
      </c>
      <c r="M199" s="24">
        <f ca="1">IFERROR(__xludf.DUMMYFUNCTION("""COMPUTED_VALUE"""),0)</f>
        <v>0</v>
      </c>
      <c r="N199" s="24">
        <f ca="1">IFERROR(__xludf.DUMMYFUNCTION("""COMPUTED_VALUE"""),0)</f>
        <v>0</v>
      </c>
      <c r="O199" s="24">
        <f ca="1">IFERROR(__xludf.DUMMYFUNCTION("""COMPUTED_VALUE"""),614.85)</f>
        <v>614.85</v>
      </c>
      <c r="P199" s="24">
        <f t="shared" ca="1" si="2"/>
        <v>1874.4</v>
      </c>
      <c r="Q199" s="23">
        <f ca="1">IFERROR(__xludf.DUMMYFUNCTION("""COMPUTED_VALUE"""),1)</f>
        <v>1</v>
      </c>
      <c r="R199" s="20"/>
      <c r="S199" s="24">
        <f ca="1">IFERROR(__xludf.DUMMYFUNCTION("""COMPUTED_VALUE"""),2489)</f>
        <v>2489</v>
      </c>
      <c r="T199" s="24">
        <f ca="1">IFERROR(__xludf.DUMMYFUNCTION("""COMPUTED_VALUE"""),0.25)</f>
        <v>0.25</v>
      </c>
      <c r="U199" s="24">
        <f ca="1">IFERROR(__xludf.DUMMYFUNCTION("""COMPUTED_VALUE"""),0.180000000000063)</f>
        <v>0.180000000000063</v>
      </c>
      <c r="V199" s="24">
        <f ca="1">IFERROR(__xludf.DUMMYFUNCTION("""COMPUTED_VALUE"""),0)</f>
        <v>0</v>
      </c>
      <c r="W199" s="24">
        <f ca="1">IFERROR(__xludf.DUMMYFUNCTION("""COMPUTED_VALUE"""),0)</f>
        <v>0</v>
      </c>
      <c r="X199" s="24">
        <f ca="1">IFERROR(__xludf.DUMMYFUNCTION("""COMPUTED_VALUE"""),0.07000000000005)</f>
        <v>7.0000000000049994E-2</v>
      </c>
      <c r="Y199" s="24">
        <f t="shared" ca="1" si="3"/>
        <v>0.180000000000063</v>
      </c>
      <c r="Z199" s="20">
        <f t="shared" ca="1" si="4"/>
        <v>1874.22</v>
      </c>
      <c r="AA199" s="20"/>
      <c r="AB199" s="24">
        <f ca="1">IFERROR(__xludf.DUMMYFUNCTION("""COMPUTED_VALUE"""),1874.22)</f>
        <v>1874.22</v>
      </c>
      <c r="AC199" s="20"/>
      <c r="AD199" s="94">
        <f t="shared" ca="1" si="5"/>
        <v>0.99990396927016645</v>
      </c>
      <c r="AE199" s="20"/>
      <c r="AF199" s="20"/>
      <c r="AG199" s="20"/>
      <c r="AH199" s="20"/>
      <c r="AI199" s="20"/>
      <c r="AJ199" s="20"/>
      <c r="AK199" s="20"/>
      <c r="AL199" s="20"/>
      <c r="AM199" s="20"/>
      <c r="AN199" s="20"/>
      <c r="AO199" s="20"/>
      <c r="AP199" s="20"/>
      <c r="AQ199" s="20"/>
      <c r="AR199" s="20"/>
      <c r="AS199" s="20"/>
      <c r="AT199" s="20"/>
    </row>
    <row r="200" spans="1:46" ht="84" hidden="1" x14ac:dyDescent="0.2">
      <c r="A200" s="67"/>
      <c r="B200" s="96"/>
      <c r="C20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0" s="20" t="str">
        <f ca="1">IFERROR(__xludf.DUMMYFUNCTION("""COMPUTED_VALUE"""),"МинЖКХ")</f>
        <v>МинЖКХ</v>
      </c>
      <c r="E200" s="20" t="str">
        <f ca="1">IFERROR(__xludf.DUMMYFUNCTION("""COMPUTED_VALUE"""),"Приобретение, монтаж и ввод в эксплуатацию станции водоочистки на ВЗУв д. Маврино, г.о. Шатура")</f>
        <v>Приобретение, монтаж и ввод в эксплуатацию станции водоочистки на ВЗУв д. Маврино, г.о. Шатура</v>
      </c>
      <c r="F200" s="67" t="str">
        <f ca="1">IFERROR(__xludf.DUMMYFUNCTION("""COMPUTED_VALUE"""),"Приобретение, монтаж")</f>
        <v>Приобретение, монтаж</v>
      </c>
      <c r="G200" s="67" t="str">
        <f ca="1">IFERROR(__xludf.DUMMYFUNCTION("""COMPUTED_VALUE"""),"г.о. Шатура")</f>
        <v>г.о. Шатура</v>
      </c>
      <c r="H200" s="67">
        <f ca="1">IFERROR(__xludf.DUMMYFUNCTION("""COMPUTED_VALUE"""),2021)</f>
        <v>2021</v>
      </c>
      <c r="I200" s="67" t="str">
        <f ca="1">IFERROR(__xludf.DUMMYFUNCTION("""COMPUTED_VALUE"""),"10 1 02 60330")</f>
        <v>10 1 02 60330</v>
      </c>
      <c r="J200" s="67">
        <f ca="1">IFERROR(__xludf.DUMMYFUNCTION("""COMPUTED_VALUE"""),520)</f>
        <v>520</v>
      </c>
      <c r="K200" s="97">
        <f t="shared" ca="1" si="1"/>
        <v>0</v>
      </c>
      <c r="L200" s="97">
        <f ca="1">IFERROR(__xludf.DUMMYFUNCTION("""COMPUTED_VALUE"""),0)</f>
        <v>0</v>
      </c>
      <c r="M200" s="97">
        <f ca="1">IFERROR(__xludf.DUMMYFUNCTION("""COMPUTED_VALUE"""),0)</f>
        <v>0</v>
      </c>
      <c r="N200" s="97">
        <f ca="1">IFERROR(__xludf.DUMMYFUNCTION("""COMPUTED_VALUE"""),0)</f>
        <v>0</v>
      </c>
      <c r="O200" s="97">
        <f ca="1">IFERROR(__xludf.DUMMYFUNCTION("""COMPUTED_VALUE"""),0)</f>
        <v>0</v>
      </c>
      <c r="P200" s="97">
        <f t="shared" ca="1" si="2"/>
        <v>0</v>
      </c>
      <c r="Q200" s="67"/>
      <c r="R200" s="67"/>
      <c r="S200" s="97">
        <f ca="1">IFERROR(__xludf.DUMMYFUNCTION("""COMPUTED_VALUE"""),0)</f>
        <v>0</v>
      </c>
      <c r="T200" s="97">
        <f ca="1">IFERROR(__xludf.DUMMYFUNCTION("""COMPUTED_VALUE"""),0)</f>
        <v>0</v>
      </c>
      <c r="U200" s="97">
        <f ca="1">IFERROR(__xludf.DUMMYFUNCTION("""COMPUTED_VALUE"""),0)</f>
        <v>0</v>
      </c>
      <c r="V200" s="97">
        <f ca="1">IFERROR(__xludf.DUMMYFUNCTION("""COMPUTED_VALUE"""),0)</f>
        <v>0</v>
      </c>
      <c r="W200" s="97">
        <f ca="1">IFERROR(__xludf.DUMMYFUNCTION("""COMPUTED_VALUE"""),0)</f>
        <v>0</v>
      </c>
      <c r="X200" s="97">
        <f ca="1">IFERROR(__xludf.DUMMYFUNCTION("""COMPUTED_VALUE"""),0)</f>
        <v>0</v>
      </c>
      <c r="Y200" s="97">
        <f t="shared" ca="1" si="3"/>
        <v>0</v>
      </c>
      <c r="Z200" s="67">
        <f t="shared" si="4"/>
        <v>0</v>
      </c>
      <c r="AA200" s="67"/>
      <c r="AB200" s="67"/>
      <c r="AC200" s="67"/>
      <c r="AD200" s="99" t="e">
        <f t="shared" ca="1" si="5"/>
        <v>#DIV/0!</v>
      </c>
      <c r="AE200" s="67"/>
      <c r="AF200" s="67"/>
      <c r="AG200" s="67"/>
      <c r="AH200" s="67"/>
      <c r="AI200" s="67"/>
      <c r="AJ200" s="67"/>
      <c r="AK200" s="67"/>
      <c r="AL200" s="67"/>
      <c r="AM200" s="67"/>
      <c r="AN200" s="67"/>
      <c r="AO200" s="67"/>
      <c r="AP200" s="67"/>
      <c r="AQ200" s="67"/>
      <c r="AR200" s="67"/>
      <c r="AS200" s="67"/>
      <c r="AT200" s="67"/>
    </row>
    <row r="201" spans="1:46" ht="84" hidden="1" x14ac:dyDescent="0.2">
      <c r="A201" s="67"/>
      <c r="B201" s="96"/>
      <c r="C20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1" s="20" t="str">
        <f ca="1">IFERROR(__xludf.DUMMYFUNCTION("""COMPUTED_VALUE"""),"МинЖКХ")</f>
        <v>МинЖКХ</v>
      </c>
      <c r="E201" s="20" t="str">
        <f ca="1">IFERROR(__xludf.DUMMYFUNCTION("""COMPUTED_VALUE"""),"Приобретение, монтаж и ввод в эксплуатацию станции водоочистки на ВЗУв д. Самойлиха, г.о. Шатура")</f>
        <v>Приобретение, монтаж и ввод в эксплуатацию станции водоочистки на ВЗУв д. Самойлиха, г.о. Шатура</v>
      </c>
      <c r="F201" s="67" t="str">
        <f ca="1">IFERROR(__xludf.DUMMYFUNCTION("""COMPUTED_VALUE"""),"Приобретение, монтаж")</f>
        <v>Приобретение, монтаж</v>
      </c>
      <c r="G201" s="67" t="str">
        <f ca="1">IFERROR(__xludf.DUMMYFUNCTION("""COMPUTED_VALUE"""),"г.о. Шатура")</f>
        <v>г.о. Шатура</v>
      </c>
      <c r="H201" s="67">
        <f ca="1">IFERROR(__xludf.DUMMYFUNCTION("""COMPUTED_VALUE"""),2021)</f>
        <v>2021</v>
      </c>
      <c r="I201" s="67" t="str">
        <f ca="1">IFERROR(__xludf.DUMMYFUNCTION("""COMPUTED_VALUE"""),"10 1 02 60330")</f>
        <v>10 1 02 60330</v>
      </c>
      <c r="J201" s="67">
        <f ca="1">IFERROR(__xludf.DUMMYFUNCTION("""COMPUTED_VALUE"""),520)</f>
        <v>520</v>
      </c>
      <c r="K201" s="97">
        <f t="shared" ca="1" si="1"/>
        <v>0</v>
      </c>
      <c r="L201" s="97">
        <f ca="1">IFERROR(__xludf.DUMMYFUNCTION("""COMPUTED_VALUE"""),0)</f>
        <v>0</v>
      </c>
      <c r="M201" s="97">
        <f ca="1">IFERROR(__xludf.DUMMYFUNCTION("""COMPUTED_VALUE"""),0)</f>
        <v>0</v>
      </c>
      <c r="N201" s="97">
        <f ca="1">IFERROR(__xludf.DUMMYFUNCTION("""COMPUTED_VALUE"""),0)</f>
        <v>0</v>
      </c>
      <c r="O201" s="97">
        <f ca="1">IFERROR(__xludf.DUMMYFUNCTION("""COMPUTED_VALUE"""),0)</f>
        <v>0</v>
      </c>
      <c r="P201" s="97">
        <f t="shared" ca="1" si="2"/>
        <v>0</v>
      </c>
      <c r="Q201" s="67"/>
      <c r="R201" s="67"/>
      <c r="S201" s="97">
        <f ca="1">IFERROR(__xludf.DUMMYFUNCTION("""COMPUTED_VALUE"""),0)</f>
        <v>0</v>
      </c>
      <c r="T201" s="97">
        <f ca="1">IFERROR(__xludf.DUMMYFUNCTION("""COMPUTED_VALUE"""),0)</f>
        <v>0</v>
      </c>
      <c r="U201" s="97">
        <f ca="1">IFERROR(__xludf.DUMMYFUNCTION("""COMPUTED_VALUE"""),0)</f>
        <v>0</v>
      </c>
      <c r="V201" s="97">
        <f ca="1">IFERROR(__xludf.DUMMYFUNCTION("""COMPUTED_VALUE"""),0)</f>
        <v>0</v>
      </c>
      <c r="W201" s="97">
        <f ca="1">IFERROR(__xludf.DUMMYFUNCTION("""COMPUTED_VALUE"""),0)</f>
        <v>0</v>
      </c>
      <c r="X201" s="97">
        <f ca="1">IFERROR(__xludf.DUMMYFUNCTION("""COMPUTED_VALUE"""),0)</f>
        <v>0</v>
      </c>
      <c r="Y201" s="97">
        <f t="shared" ca="1" si="3"/>
        <v>0</v>
      </c>
      <c r="Z201" s="67">
        <f t="shared" si="4"/>
        <v>0</v>
      </c>
      <c r="AA201" s="67"/>
      <c r="AB201" s="67"/>
      <c r="AC201" s="67"/>
      <c r="AD201" s="99" t="e">
        <f t="shared" ca="1" si="5"/>
        <v>#DIV/0!</v>
      </c>
      <c r="AE201" s="67"/>
      <c r="AF201" s="67"/>
      <c r="AG201" s="67"/>
      <c r="AH201" s="67"/>
      <c r="AI201" s="67"/>
      <c r="AJ201" s="67"/>
      <c r="AK201" s="67"/>
      <c r="AL201" s="67"/>
      <c r="AM201" s="67"/>
      <c r="AN201" s="67"/>
      <c r="AO201" s="67"/>
      <c r="AP201" s="67"/>
      <c r="AQ201" s="67"/>
      <c r="AR201" s="67"/>
      <c r="AS201" s="67"/>
      <c r="AT201" s="67"/>
    </row>
    <row r="202" spans="1:46" ht="84" hidden="1" x14ac:dyDescent="0.2">
      <c r="A202" s="67"/>
      <c r="B202" s="100"/>
      <c r="C20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2" s="20" t="str">
        <f ca="1">IFERROR(__xludf.DUMMYFUNCTION("""COMPUTED_VALUE"""),"МинЖКХ")</f>
        <v>МинЖКХ</v>
      </c>
      <c r="E202" s="20" t="str">
        <f ca="1">IFERROR(__xludf.DUMMYFUNCTION("""COMPUTED_VALUE"""),"Приобретение, монтаж и ввод в эксплуатацию станции водоочистки на ВЗУв с. Иванисово, ул. Центральная усадьба, д.1, г.о. Электросталь")</f>
        <v>Приобретение, монтаж и ввод в эксплуатацию станции водоочистки на ВЗУв с. Иванисово, ул. Центральная усадьба, д.1, г.о. Электросталь</v>
      </c>
      <c r="F202" s="67" t="str">
        <f ca="1">IFERROR(__xludf.DUMMYFUNCTION("""COMPUTED_VALUE"""),"Приобретение, монтаж")</f>
        <v>Приобретение, монтаж</v>
      </c>
      <c r="G202" s="67" t="str">
        <f ca="1">IFERROR(__xludf.DUMMYFUNCTION("""COMPUTED_VALUE"""),"г.о. Электросталь")</f>
        <v>г.о. Электросталь</v>
      </c>
      <c r="H202" s="67">
        <f ca="1">IFERROR(__xludf.DUMMYFUNCTION("""COMPUTED_VALUE"""),2021)</f>
        <v>2021</v>
      </c>
      <c r="I202" s="67" t="str">
        <f ca="1">IFERROR(__xludf.DUMMYFUNCTION("""COMPUTED_VALUE"""),"10 1 02 60330")</f>
        <v>10 1 02 60330</v>
      </c>
      <c r="J202" s="67">
        <f ca="1">IFERROR(__xludf.DUMMYFUNCTION("""COMPUTED_VALUE"""),520)</f>
        <v>520</v>
      </c>
      <c r="K202" s="97">
        <f t="shared" ca="1" si="1"/>
        <v>0</v>
      </c>
      <c r="L202" s="97">
        <f ca="1">IFERROR(__xludf.DUMMYFUNCTION("""COMPUTED_VALUE"""),0)</f>
        <v>0</v>
      </c>
      <c r="M202" s="97">
        <f ca="1">IFERROR(__xludf.DUMMYFUNCTION("""COMPUTED_VALUE"""),0)</f>
        <v>0</v>
      </c>
      <c r="N202" s="97">
        <f ca="1">IFERROR(__xludf.DUMMYFUNCTION("""COMPUTED_VALUE"""),0)</f>
        <v>0</v>
      </c>
      <c r="O202" s="97">
        <f ca="1">IFERROR(__xludf.DUMMYFUNCTION("""COMPUTED_VALUE"""),0)</f>
        <v>0</v>
      </c>
      <c r="P202" s="97">
        <f t="shared" ca="1" si="2"/>
        <v>0</v>
      </c>
      <c r="Q202" s="67"/>
      <c r="R202" s="67"/>
      <c r="S202" s="97">
        <f ca="1">IFERROR(__xludf.DUMMYFUNCTION("""COMPUTED_VALUE"""),0)</f>
        <v>0</v>
      </c>
      <c r="T202" s="97">
        <f ca="1">IFERROR(__xludf.DUMMYFUNCTION("""COMPUTED_VALUE"""),0)</f>
        <v>0</v>
      </c>
      <c r="U202" s="97">
        <f ca="1">IFERROR(__xludf.DUMMYFUNCTION("""COMPUTED_VALUE"""),0)</f>
        <v>0</v>
      </c>
      <c r="V202" s="97">
        <f ca="1">IFERROR(__xludf.DUMMYFUNCTION("""COMPUTED_VALUE"""),0)</f>
        <v>0</v>
      </c>
      <c r="W202" s="97">
        <f ca="1">IFERROR(__xludf.DUMMYFUNCTION("""COMPUTED_VALUE"""),0)</f>
        <v>0</v>
      </c>
      <c r="X202" s="97">
        <f ca="1">IFERROR(__xludf.DUMMYFUNCTION("""COMPUTED_VALUE"""),0)</f>
        <v>0</v>
      </c>
      <c r="Y202" s="97">
        <f t="shared" ca="1" si="3"/>
        <v>0</v>
      </c>
      <c r="Z202" s="67">
        <f t="shared" si="4"/>
        <v>0</v>
      </c>
      <c r="AA202" s="67"/>
      <c r="AB202" s="67"/>
      <c r="AC202" s="67"/>
      <c r="AD202" s="99" t="e">
        <f t="shared" ca="1" si="5"/>
        <v>#DIV/0!</v>
      </c>
      <c r="AE202" s="67"/>
      <c r="AF202" s="67"/>
      <c r="AG202" s="67"/>
      <c r="AH202" s="67"/>
      <c r="AI202" s="67"/>
      <c r="AJ202" s="67"/>
      <c r="AK202" s="67"/>
      <c r="AL202" s="67"/>
      <c r="AM202" s="67"/>
      <c r="AN202" s="67"/>
      <c r="AO202" s="67"/>
      <c r="AP202" s="67"/>
      <c r="AQ202" s="67"/>
      <c r="AR202" s="67"/>
      <c r="AS202" s="67"/>
      <c r="AT202" s="67"/>
    </row>
    <row r="203" spans="1:46" ht="132" x14ac:dyDescent="0.2">
      <c r="A203" s="20"/>
      <c r="B203" s="95"/>
      <c r="C20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3" s="20" t="str">
        <f ca="1">IFERROR(__xludf.DUMMYFUNCTION("""COMPUTED_VALUE"""),"МинЖКХ")</f>
        <v>МинЖКХ</v>
      </c>
      <c r="E203" s="20" t="str">
        <f ca="1">IFERROR(__xludf.DUMMYFUNCTION("""COMPUTED_VALUE"""),"Приобретение,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тыс.ру"&amp;"б. средства бюджета Московской области)")</f>
        <v>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тыс.руб. средства бюджета Московской области)</v>
      </c>
      <c r="F203" s="20" t="str">
        <f ca="1">IFERROR(__xludf.DUMMYFUNCTION("""COMPUTED_VALUE"""),"Приобретение, монтаж")</f>
        <v>Приобретение, монтаж</v>
      </c>
      <c r="G203" s="20" t="str">
        <f ca="1">IFERROR(__xludf.DUMMYFUNCTION("""COMPUTED_VALUE"""),"г.о. Воскресенск")</f>
        <v>г.о. Воскресенск</v>
      </c>
      <c r="H203" s="20">
        <f ca="1">IFERROR(__xludf.DUMMYFUNCTION("""COMPUTED_VALUE"""),2020)</f>
        <v>2020</v>
      </c>
      <c r="I203" s="20" t="str">
        <f ca="1">IFERROR(__xludf.DUMMYFUNCTION("""COMPUTED_VALUE"""),"10 1 02 60330")</f>
        <v>10 1 02 60330</v>
      </c>
      <c r="J203" s="20">
        <f ca="1">IFERROR(__xludf.DUMMYFUNCTION("""COMPUTED_VALUE"""),520)</f>
        <v>520</v>
      </c>
      <c r="K203" s="24">
        <f t="shared" ca="1" si="1"/>
        <v>7943</v>
      </c>
      <c r="L203" s="24">
        <f ca="1">IFERROR(__xludf.DUMMYFUNCTION("""COMPUTED_VALUE"""),7943)</f>
        <v>7943</v>
      </c>
      <c r="M203" s="24">
        <f ca="1">IFERROR(__xludf.DUMMYFUNCTION("""COMPUTED_VALUE"""),0)</f>
        <v>0</v>
      </c>
      <c r="N203" s="24">
        <f ca="1">IFERROR(__xludf.DUMMYFUNCTION("""COMPUTED_VALUE"""),0)</f>
        <v>0</v>
      </c>
      <c r="O203" s="24">
        <f ca="1">IFERROR(__xludf.DUMMYFUNCTION("""COMPUTED_VALUE"""),0)</f>
        <v>0</v>
      </c>
      <c r="P203" s="24">
        <f t="shared" ca="1" si="2"/>
        <v>7943</v>
      </c>
      <c r="Q203" s="23">
        <f ca="1">IFERROR(__xludf.DUMMYFUNCTION("""COMPUTED_VALUE"""),1)</f>
        <v>1</v>
      </c>
      <c r="R203" s="20"/>
      <c r="S203" s="24">
        <f ca="1">IFERROR(__xludf.DUMMYFUNCTION("""COMPUTED_VALUE"""),7943)</f>
        <v>7943</v>
      </c>
      <c r="T203" s="24">
        <f ca="1">IFERROR(__xludf.DUMMYFUNCTION("""COMPUTED_VALUE"""),0)</f>
        <v>0</v>
      </c>
      <c r="U203" s="24">
        <f ca="1">IFERROR(__xludf.DUMMYFUNCTION("""COMPUTED_VALUE"""),0)</f>
        <v>0</v>
      </c>
      <c r="V203" s="24">
        <f ca="1">IFERROR(__xludf.DUMMYFUNCTION("""COMPUTED_VALUE"""),0)</f>
        <v>0</v>
      </c>
      <c r="W203" s="24">
        <f ca="1">IFERROR(__xludf.DUMMYFUNCTION("""COMPUTED_VALUE"""),0)</f>
        <v>0</v>
      </c>
      <c r="X203" s="24">
        <f ca="1">IFERROR(__xludf.DUMMYFUNCTION("""COMPUTED_VALUE"""),0)</f>
        <v>0</v>
      </c>
      <c r="Y203" s="24">
        <f t="shared" ca="1" si="3"/>
        <v>0</v>
      </c>
      <c r="Z203" s="20">
        <f t="shared" ca="1" si="4"/>
        <v>7943</v>
      </c>
      <c r="AA203" s="20"/>
      <c r="AB203" s="24">
        <f ca="1">IFERROR(__xludf.DUMMYFUNCTION("""COMPUTED_VALUE"""),7943)</f>
        <v>7943</v>
      </c>
      <c r="AC203" s="20"/>
      <c r="AD203" s="94">
        <f t="shared" ca="1" si="5"/>
        <v>1</v>
      </c>
      <c r="AE203" s="20"/>
      <c r="AF203" s="20"/>
      <c r="AG203" s="20"/>
      <c r="AH203" s="20"/>
      <c r="AI203" s="20"/>
      <c r="AJ203" s="20"/>
      <c r="AK203" s="20"/>
      <c r="AL203" s="20"/>
      <c r="AM203" s="20"/>
      <c r="AN203" s="20"/>
      <c r="AO203" s="20"/>
      <c r="AP203" s="20"/>
      <c r="AQ203" s="20"/>
      <c r="AR203" s="20"/>
      <c r="AS203" s="20"/>
      <c r="AT203" s="20"/>
    </row>
    <row r="204" spans="1:46" ht="84" hidden="1" x14ac:dyDescent="0.2">
      <c r="A204" s="67"/>
      <c r="B204" s="96"/>
      <c r="C20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4" s="20" t="str">
        <f ca="1">IFERROR(__xludf.DUMMYFUNCTION("""COMPUTED_VALUE"""),"МинЖКХ")</f>
        <v>МинЖКХ</v>
      </c>
      <c r="E204" s="20" t="str">
        <f ca="1">IFERROR(__xludf.DUMMYFUNCTION("""COMPUTED_VALUE"""),"Приобретение, монтаж и ввод в эксплуатцию станций водоочистки на ВЗУ по адресу: п. Зарайский, г.о. Зарайск")</f>
        <v>Приобретение, монтаж и ввод в эксплуатцию станций водоочистки на ВЗУ по адресу: п. Зарайский, г.о. Зарайск</v>
      </c>
      <c r="F204" s="67" t="str">
        <f ca="1">IFERROR(__xludf.DUMMYFUNCTION("""COMPUTED_VALUE"""),"Приобретение, монтаж")</f>
        <v>Приобретение, монтаж</v>
      </c>
      <c r="G204" s="67" t="str">
        <f ca="1">IFERROR(__xludf.DUMMYFUNCTION("""COMPUTED_VALUE"""),"г.о. Зарайск")</f>
        <v>г.о. Зарайск</v>
      </c>
      <c r="H204" s="67">
        <f ca="1">IFERROR(__xludf.DUMMYFUNCTION("""COMPUTED_VALUE"""),2021)</f>
        <v>2021</v>
      </c>
      <c r="I204" s="67" t="str">
        <f ca="1">IFERROR(__xludf.DUMMYFUNCTION("""COMPUTED_VALUE"""),"10 1 02 60330")</f>
        <v>10 1 02 60330</v>
      </c>
      <c r="J204" s="67">
        <f ca="1">IFERROR(__xludf.DUMMYFUNCTION("""COMPUTED_VALUE"""),520)</f>
        <v>520</v>
      </c>
      <c r="K204" s="97">
        <f t="shared" ca="1" si="1"/>
        <v>0</v>
      </c>
      <c r="L204" s="97">
        <f ca="1">IFERROR(__xludf.DUMMYFUNCTION("""COMPUTED_VALUE"""),0)</f>
        <v>0</v>
      </c>
      <c r="M204" s="97">
        <f ca="1">IFERROR(__xludf.DUMMYFUNCTION("""COMPUTED_VALUE"""),0)</f>
        <v>0</v>
      </c>
      <c r="N204" s="97">
        <f ca="1">IFERROR(__xludf.DUMMYFUNCTION("""COMPUTED_VALUE"""),0)</f>
        <v>0</v>
      </c>
      <c r="O204" s="97">
        <f ca="1">IFERROR(__xludf.DUMMYFUNCTION("""COMPUTED_VALUE"""),0)</f>
        <v>0</v>
      </c>
      <c r="P204" s="97">
        <f t="shared" ca="1" si="2"/>
        <v>0</v>
      </c>
      <c r="Q204" s="67"/>
      <c r="R204" s="67"/>
      <c r="S204" s="97">
        <f ca="1">IFERROR(__xludf.DUMMYFUNCTION("""COMPUTED_VALUE"""),0)</f>
        <v>0</v>
      </c>
      <c r="T204" s="97">
        <f ca="1">IFERROR(__xludf.DUMMYFUNCTION("""COMPUTED_VALUE"""),0)</f>
        <v>0</v>
      </c>
      <c r="U204" s="97">
        <f ca="1">IFERROR(__xludf.DUMMYFUNCTION("""COMPUTED_VALUE"""),0)</f>
        <v>0</v>
      </c>
      <c r="V204" s="97">
        <f ca="1">IFERROR(__xludf.DUMMYFUNCTION("""COMPUTED_VALUE"""),0)</f>
        <v>0</v>
      </c>
      <c r="W204" s="97">
        <f ca="1">IFERROR(__xludf.DUMMYFUNCTION("""COMPUTED_VALUE"""),0)</f>
        <v>0</v>
      </c>
      <c r="X204" s="97">
        <f ca="1">IFERROR(__xludf.DUMMYFUNCTION("""COMPUTED_VALUE"""),0)</f>
        <v>0</v>
      </c>
      <c r="Y204" s="97">
        <f t="shared" ca="1" si="3"/>
        <v>0</v>
      </c>
      <c r="Z204" s="67">
        <f t="shared" si="4"/>
        <v>0</v>
      </c>
      <c r="AA204" s="67"/>
      <c r="AB204" s="67"/>
      <c r="AC204" s="67"/>
      <c r="AD204" s="99" t="e">
        <f t="shared" ca="1" si="5"/>
        <v>#DIV/0!</v>
      </c>
      <c r="AE204" s="67"/>
      <c r="AF204" s="67"/>
      <c r="AG204" s="67"/>
      <c r="AH204" s="67"/>
      <c r="AI204" s="67"/>
      <c r="AJ204" s="67"/>
      <c r="AK204" s="67"/>
      <c r="AL204" s="67"/>
      <c r="AM204" s="67"/>
      <c r="AN204" s="67"/>
      <c r="AO204" s="67"/>
      <c r="AP204" s="67"/>
      <c r="AQ204" s="67"/>
      <c r="AR204" s="67"/>
      <c r="AS204" s="67"/>
      <c r="AT204" s="67"/>
    </row>
    <row r="205" spans="1:46" ht="84" hidden="1" x14ac:dyDescent="0.2">
      <c r="A205" s="67"/>
      <c r="B205" s="96"/>
      <c r="C20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5" s="20" t="str">
        <f ca="1">IFERROR(__xludf.DUMMYFUNCTION("""COMPUTED_VALUE"""),"МинЖКХ")</f>
        <v>МинЖКХ</v>
      </c>
      <c r="E205" s="20" t="str">
        <f ca="1">IFERROR(__xludf.DUMMYFUNCTION("""COMPUTED_VALUE"""),"Приобретение, монтаж и ввод в эксплуатцию станций водоочистки на ВЗУ по адресу: 2-е отделение с/з Зарайский г.о. Зарайск")</f>
        <v>Приобретение, монтаж и ввод в эксплуатцию станций водоочистки на ВЗУ по адресу: 2-е отделение с/з Зарайский г.о. Зарайск</v>
      </c>
      <c r="F205" s="67" t="str">
        <f ca="1">IFERROR(__xludf.DUMMYFUNCTION("""COMPUTED_VALUE"""),"Приобретение, монтаж")</f>
        <v>Приобретение, монтаж</v>
      </c>
      <c r="G205" s="67" t="str">
        <f ca="1">IFERROR(__xludf.DUMMYFUNCTION("""COMPUTED_VALUE"""),"г.о. Зарайск")</f>
        <v>г.о. Зарайск</v>
      </c>
      <c r="H205" s="67">
        <f ca="1">IFERROR(__xludf.DUMMYFUNCTION("""COMPUTED_VALUE"""),2021)</f>
        <v>2021</v>
      </c>
      <c r="I205" s="67" t="str">
        <f ca="1">IFERROR(__xludf.DUMMYFUNCTION("""COMPUTED_VALUE"""),"10 1 02 60330")</f>
        <v>10 1 02 60330</v>
      </c>
      <c r="J205" s="67">
        <f ca="1">IFERROR(__xludf.DUMMYFUNCTION("""COMPUTED_VALUE"""),520)</f>
        <v>520</v>
      </c>
      <c r="K205" s="97">
        <f t="shared" ca="1" si="1"/>
        <v>0</v>
      </c>
      <c r="L205" s="97">
        <f ca="1">IFERROR(__xludf.DUMMYFUNCTION("""COMPUTED_VALUE"""),0)</f>
        <v>0</v>
      </c>
      <c r="M205" s="97">
        <f ca="1">IFERROR(__xludf.DUMMYFUNCTION("""COMPUTED_VALUE"""),0)</f>
        <v>0</v>
      </c>
      <c r="N205" s="97">
        <f ca="1">IFERROR(__xludf.DUMMYFUNCTION("""COMPUTED_VALUE"""),0)</f>
        <v>0</v>
      </c>
      <c r="O205" s="97">
        <f ca="1">IFERROR(__xludf.DUMMYFUNCTION("""COMPUTED_VALUE"""),0)</f>
        <v>0</v>
      </c>
      <c r="P205" s="97">
        <f t="shared" ca="1" si="2"/>
        <v>0</v>
      </c>
      <c r="Q205" s="67"/>
      <c r="R205" s="67"/>
      <c r="S205" s="97">
        <f ca="1">IFERROR(__xludf.DUMMYFUNCTION("""COMPUTED_VALUE"""),0)</f>
        <v>0</v>
      </c>
      <c r="T205" s="97">
        <f ca="1">IFERROR(__xludf.DUMMYFUNCTION("""COMPUTED_VALUE"""),0)</f>
        <v>0</v>
      </c>
      <c r="U205" s="97">
        <f ca="1">IFERROR(__xludf.DUMMYFUNCTION("""COMPUTED_VALUE"""),0)</f>
        <v>0</v>
      </c>
      <c r="V205" s="97">
        <f ca="1">IFERROR(__xludf.DUMMYFUNCTION("""COMPUTED_VALUE"""),0)</f>
        <v>0</v>
      </c>
      <c r="W205" s="97">
        <f ca="1">IFERROR(__xludf.DUMMYFUNCTION("""COMPUTED_VALUE"""),0)</f>
        <v>0</v>
      </c>
      <c r="X205" s="97">
        <f ca="1">IFERROR(__xludf.DUMMYFUNCTION("""COMPUTED_VALUE"""),0)</f>
        <v>0</v>
      </c>
      <c r="Y205" s="97">
        <f t="shared" ca="1" si="3"/>
        <v>0</v>
      </c>
      <c r="Z205" s="67">
        <f t="shared" si="4"/>
        <v>0</v>
      </c>
      <c r="AA205" s="67"/>
      <c r="AB205" s="67"/>
      <c r="AC205" s="67"/>
      <c r="AD205" s="99" t="e">
        <f t="shared" ca="1" si="5"/>
        <v>#DIV/0!</v>
      </c>
      <c r="AE205" s="67"/>
      <c r="AF205" s="67"/>
      <c r="AG205" s="67"/>
      <c r="AH205" s="67"/>
      <c r="AI205" s="67"/>
      <c r="AJ205" s="67"/>
      <c r="AK205" s="67"/>
      <c r="AL205" s="67"/>
      <c r="AM205" s="67"/>
      <c r="AN205" s="67"/>
      <c r="AO205" s="67"/>
      <c r="AP205" s="67"/>
      <c r="AQ205" s="67"/>
      <c r="AR205" s="67"/>
      <c r="AS205" s="67"/>
      <c r="AT205" s="67"/>
    </row>
    <row r="206" spans="1:46" ht="84" hidden="1" x14ac:dyDescent="0.2">
      <c r="A206" s="67"/>
      <c r="B206" s="100"/>
      <c r="C20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6" s="20" t="str">
        <f ca="1">IFERROR(__xludf.DUMMYFUNCTION("""COMPUTED_VALUE"""),"МинЖКХ")</f>
        <v>МинЖКХ</v>
      </c>
      <c r="E206" s="20" t="str">
        <f ca="1">IFERROR(__xludf.DUMMYFUNCTION("""COMPUTED_VALUE"""),"Приобретение, монтаж и ввод в эксплуатцию станций водоочистки на ВЗУ в д. Титово г.о. Зарайск")</f>
        <v>Приобретение, монтаж и ввод в эксплуатцию станций водоочистки на ВЗУ в д. Титово г.о. Зарайск</v>
      </c>
      <c r="F206" s="67" t="str">
        <f ca="1">IFERROR(__xludf.DUMMYFUNCTION("""COMPUTED_VALUE"""),"Приобретение, монтаж")</f>
        <v>Приобретение, монтаж</v>
      </c>
      <c r="G206" s="67" t="str">
        <f ca="1">IFERROR(__xludf.DUMMYFUNCTION("""COMPUTED_VALUE"""),"г.о. Зарайск")</f>
        <v>г.о. Зарайск</v>
      </c>
      <c r="H206" s="67">
        <f ca="1">IFERROR(__xludf.DUMMYFUNCTION("""COMPUTED_VALUE"""),2021)</f>
        <v>2021</v>
      </c>
      <c r="I206" s="67" t="str">
        <f ca="1">IFERROR(__xludf.DUMMYFUNCTION("""COMPUTED_VALUE"""),"10 1 02 60330")</f>
        <v>10 1 02 60330</v>
      </c>
      <c r="J206" s="67">
        <f ca="1">IFERROR(__xludf.DUMMYFUNCTION("""COMPUTED_VALUE"""),520)</f>
        <v>520</v>
      </c>
      <c r="K206" s="97">
        <f t="shared" ca="1" si="1"/>
        <v>0</v>
      </c>
      <c r="L206" s="97">
        <f ca="1">IFERROR(__xludf.DUMMYFUNCTION("""COMPUTED_VALUE"""),0)</f>
        <v>0</v>
      </c>
      <c r="M206" s="97">
        <f ca="1">IFERROR(__xludf.DUMMYFUNCTION("""COMPUTED_VALUE"""),0)</f>
        <v>0</v>
      </c>
      <c r="N206" s="97">
        <f ca="1">IFERROR(__xludf.DUMMYFUNCTION("""COMPUTED_VALUE"""),0)</f>
        <v>0</v>
      </c>
      <c r="O206" s="97">
        <f ca="1">IFERROR(__xludf.DUMMYFUNCTION("""COMPUTED_VALUE"""),0)</f>
        <v>0</v>
      </c>
      <c r="P206" s="97">
        <f t="shared" ca="1" si="2"/>
        <v>0</v>
      </c>
      <c r="Q206" s="67"/>
      <c r="R206" s="67"/>
      <c r="S206" s="97">
        <f ca="1">IFERROR(__xludf.DUMMYFUNCTION("""COMPUTED_VALUE"""),0)</f>
        <v>0</v>
      </c>
      <c r="T206" s="97">
        <f ca="1">IFERROR(__xludf.DUMMYFUNCTION("""COMPUTED_VALUE"""),0)</f>
        <v>0</v>
      </c>
      <c r="U206" s="97">
        <f ca="1">IFERROR(__xludf.DUMMYFUNCTION("""COMPUTED_VALUE"""),0)</f>
        <v>0</v>
      </c>
      <c r="V206" s="97">
        <f ca="1">IFERROR(__xludf.DUMMYFUNCTION("""COMPUTED_VALUE"""),0)</f>
        <v>0</v>
      </c>
      <c r="W206" s="97">
        <f ca="1">IFERROR(__xludf.DUMMYFUNCTION("""COMPUTED_VALUE"""),0)</f>
        <v>0</v>
      </c>
      <c r="X206" s="97">
        <f ca="1">IFERROR(__xludf.DUMMYFUNCTION("""COMPUTED_VALUE"""),0)</f>
        <v>0</v>
      </c>
      <c r="Y206" s="97">
        <f t="shared" ca="1" si="3"/>
        <v>0</v>
      </c>
      <c r="Z206" s="67">
        <f t="shared" si="4"/>
        <v>0</v>
      </c>
      <c r="AA206" s="67"/>
      <c r="AB206" s="67"/>
      <c r="AC206" s="67"/>
      <c r="AD206" s="99" t="e">
        <f t="shared" ca="1" si="5"/>
        <v>#DIV/0!</v>
      </c>
      <c r="AE206" s="67"/>
      <c r="AF206" s="67"/>
      <c r="AG206" s="67"/>
      <c r="AH206" s="67"/>
      <c r="AI206" s="67"/>
      <c r="AJ206" s="67"/>
      <c r="AK206" s="67"/>
      <c r="AL206" s="67"/>
      <c r="AM206" s="67"/>
      <c r="AN206" s="67"/>
      <c r="AO206" s="67"/>
      <c r="AP206" s="67"/>
      <c r="AQ206" s="67"/>
      <c r="AR206" s="67"/>
      <c r="AS206" s="67"/>
      <c r="AT206" s="67"/>
    </row>
    <row r="207" spans="1:46" ht="84" x14ac:dyDescent="0.2">
      <c r="A207" s="20"/>
      <c r="B207" s="95"/>
      <c r="C20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7" s="20" t="str">
        <f ca="1">IFERROR(__xludf.DUMMYFUNCTION("""COMPUTED_VALUE"""),"МинЖКХ")</f>
        <v>МинЖКХ</v>
      </c>
      <c r="E207" s="20" t="str">
        <f ca="1">IFERROR(__xludf.DUMMYFUNCTION("""COMPUTED_VALUE"""),"Приобретение, монтаж и ввод в эксплуатацию станции обезжелезивания на ВЗУ, п. Павлово, г.о.  Егорьевск")</f>
        <v>Приобретение, монтаж и ввод в эксплуатацию станции обезжелезивания на ВЗУ, п. Павлово, г.о.  Егорьевск</v>
      </c>
      <c r="F207" s="20" t="str">
        <f ca="1">IFERROR(__xludf.DUMMYFUNCTION("""COMPUTED_VALUE"""),"Приобретение, монтаж")</f>
        <v>Приобретение, монтаж</v>
      </c>
      <c r="G207" s="20" t="str">
        <f ca="1">IFERROR(__xludf.DUMMYFUNCTION("""COMPUTED_VALUE"""),"г.о. Егорьевск")</f>
        <v>г.о. Егорьевск</v>
      </c>
      <c r="H207" s="20">
        <f ca="1">IFERROR(__xludf.DUMMYFUNCTION("""COMPUTED_VALUE"""),2020)</f>
        <v>2020</v>
      </c>
      <c r="I207" s="20" t="str">
        <f ca="1">IFERROR(__xludf.DUMMYFUNCTION("""COMPUTED_VALUE"""),"10 1 02 60330")</f>
        <v>10 1 02 60330</v>
      </c>
      <c r="J207" s="20">
        <f ca="1">IFERROR(__xludf.DUMMYFUNCTION("""COMPUTED_VALUE"""),520)</f>
        <v>520</v>
      </c>
      <c r="K207" s="24">
        <f t="shared" ca="1" si="1"/>
        <v>4650</v>
      </c>
      <c r="L207" s="24">
        <f ca="1">IFERROR(__xludf.DUMMYFUNCTION("""COMPUTED_VALUE"""),0)</f>
        <v>0</v>
      </c>
      <c r="M207" s="24">
        <f ca="1">IFERROR(__xludf.DUMMYFUNCTION("""COMPUTED_VALUE"""),0)</f>
        <v>0</v>
      </c>
      <c r="N207" s="24">
        <f ca="1">IFERROR(__xludf.DUMMYFUNCTION("""COMPUTED_VALUE"""),4264)</f>
        <v>4264</v>
      </c>
      <c r="O207" s="24">
        <f ca="1">IFERROR(__xludf.DUMMYFUNCTION("""COMPUTED_VALUE"""),386)</f>
        <v>386</v>
      </c>
      <c r="P207" s="24">
        <f t="shared" ca="1" si="2"/>
        <v>4264</v>
      </c>
      <c r="Q207" s="23">
        <f ca="1">IFERROR(__xludf.DUMMYFUNCTION("""COMPUTED_VALUE"""),0.7)</f>
        <v>0.7</v>
      </c>
      <c r="R207" s="20"/>
      <c r="S207" s="24">
        <f ca="1">IFERROR(__xludf.DUMMYFUNCTION("""COMPUTED_VALUE"""),3710.65)</f>
        <v>3710.65</v>
      </c>
      <c r="T207" s="24">
        <f ca="1">IFERROR(__xludf.DUMMYFUNCTION("""COMPUTED_VALUE"""),939.349999999999)</f>
        <v>939.349999999999</v>
      </c>
      <c r="U207" s="24">
        <f ca="1">IFERROR(__xludf.DUMMYFUNCTION("""COMPUTED_VALUE"""),0)</f>
        <v>0</v>
      </c>
      <c r="V207" s="24">
        <f ca="1">IFERROR(__xludf.DUMMYFUNCTION("""COMPUTED_VALUE"""),0)</f>
        <v>0</v>
      </c>
      <c r="W207" s="24">
        <f ca="1">IFERROR(__xludf.DUMMYFUNCTION("""COMPUTED_VALUE"""),553.349999999999)</f>
        <v>553.349999999999</v>
      </c>
      <c r="X207" s="24">
        <f ca="1">IFERROR(__xludf.DUMMYFUNCTION("""COMPUTED_VALUE"""),386)</f>
        <v>386</v>
      </c>
      <c r="Y207" s="24">
        <f t="shared" ca="1" si="3"/>
        <v>553.349999999999</v>
      </c>
      <c r="Z207" s="20">
        <f t="shared" ca="1" si="4"/>
        <v>3710.65</v>
      </c>
      <c r="AA207" s="20"/>
      <c r="AB207" s="20"/>
      <c r="AC207" s="24">
        <f ca="1">IFERROR(__xludf.DUMMYFUNCTION("""COMPUTED_VALUE"""),3710.65)</f>
        <v>3710.65</v>
      </c>
      <c r="AD207" s="94">
        <f t="shared" ca="1" si="5"/>
        <v>0.87022748592870547</v>
      </c>
      <c r="AE207" s="20"/>
      <c r="AF207" s="20"/>
      <c r="AG207" s="20"/>
      <c r="AH207" s="20"/>
      <c r="AI207" s="20"/>
      <c r="AJ207" s="20"/>
      <c r="AK207" s="20"/>
      <c r="AL207" s="20"/>
      <c r="AM207" s="20"/>
      <c r="AN207" s="20"/>
      <c r="AO207" s="20"/>
      <c r="AP207" s="20"/>
      <c r="AQ207" s="20"/>
      <c r="AR207" s="20"/>
      <c r="AS207" s="20"/>
      <c r="AT207" s="20"/>
    </row>
    <row r="208" spans="1:46" ht="84" hidden="1" x14ac:dyDescent="0.2">
      <c r="A208" s="67"/>
      <c r="B208" s="100"/>
      <c r="C20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8" s="20" t="str">
        <f ca="1">IFERROR(__xludf.DUMMYFUNCTION("""COMPUTED_VALUE"""),"МинЖКХ")</f>
        <v>МинЖКХ</v>
      </c>
      <c r="E208" s="20" t="str">
        <f ca="1">IFERROR(__xludf.DUMMYFUNCTION("""COMPUTED_VALUE"""),"Приобретение, монтаж и ввод в эксплуатацию станции обезжелезивания на ВЗУ, п. Шувое, г.о. Егорьевск")</f>
        <v>Приобретение, монтаж и ввод в эксплуатацию станции обезжелезивания на ВЗУ, п. Шувое, г.о. Егорьевск</v>
      </c>
      <c r="F208" s="67" t="str">
        <f ca="1">IFERROR(__xludf.DUMMYFUNCTION("""COMPUTED_VALUE"""),"Приобретение, монтаж")</f>
        <v>Приобретение, монтаж</v>
      </c>
      <c r="G208" s="67" t="str">
        <f ca="1">IFERROR(__xludf.DUMMYFUNCTION("""COMPUTED_VALUE"""),"г.о. Егорьевск")</f>
        <v>г.о. Егорьевск</v>
      </c>
      <c r="H208" s="67" t="str">
        <f ca="1">IFERROR(__xludf.DUMMYFUNCTION("""COMPUTED_VALUE"""),"Н/Л")</f>
        <v>Н/Л</v>
      </c>
      <c r="I208" s="67" t="str">
        <f ca="1">IFERROR(__xludf.DUMMYFUNCTION("""COMPUTED_VALUE"""),"10 1 02 60330")</f>
        <v>10 1 02 60330</v>
      </c>
      <c r="J208" s="67">
        <f ca="1">IFERROR(__xludf.DUMMYFUNCTION("""COMPUTED_VALUE"""),520)</f>
        <v>520</v>
      </c>
      <c r="K208" s="97">
        <f t="shared" ca="1" si="1"/>
        <v>0</v>
      </c>
      <c r="L208" s="97">
        <f ca="1">IFERROR(__xludf.DUMMYFUNCTION("""COMPUTED_VALUE"""),0)</f>
        <v>0</v>
      </c>
      <c r="M208" s="97">
        <f ca="1">IFERROR(__xludf.DUMMYFUNCTION("""COMPUTED_VALUE"""),0)</f>
        <v>0</v>
      </c>
      <c r="N208" s="97">
        <f ca="1">IFERROR(__xludf.DUMMYFUNCTION("""COMPUTED_VALUE"""),0)</f>
        <v>0</v>
      </c>
      <c r="O208" s="97">
        <f ca="1">IFERROR(__xludf.DUMMYFUNCTION("""COMPUTED_VALUE"""),0)</f>
        <v>0</v>
      </c>
      <c r="P208" s="97">
        <f t="shared" ca="1" si="2"/>
        <v>0</v>
      </c>
      <c r="Q208" s="67"/>
      <c r="R208" s="67"/>
      <c r="S208" s="97">
        <f ca="1">IFERROR(__xludf.DUMMYFUNCTION("""COMPUTED_VALUE"""),0)</f>
        <v>0</v>
      </c>
      <c r="T208" s="97">
        <f ca="1">IFERROR(__xludf.DUMMYFUNCTION("""COMPUTED_VALUE"""),0)</f>
        <v>0</v>
      </c>
      <c r="U208" s="97">
        <f ca="1">IFERROR(__xludf.DUMMYFUNCTION("""COMPUTED_VALUE"""),0)</f>
        <v>0</v>
      </c>
      <c r="V208" s="97">
        <f ca="1">IFERROR(__xludf.DUMMYFUNCTION("""COMPUTED_VALUE"""),0)</f>
        <v>0</v>
      </c>
      <c r="W208" s="97">
        <f ca="1">IFERROR(__xludf.DUMMYFUNCTION("""COMPUTED_VALUE"""),0)</f>
        <v>0</v>
      </c>
      <c r="X208" s="97">
        <f ca="1">IFERROR(__xludf.DUMMYFUNCTION("""COMPUTED_VALUE"""),0)</f>
        <v>0</v>
      </c>
      <c r="Y208" s="97">
        <f t="shared" ca="1" si="3"/>
        <v>0</v>
      </c>
      <c r="Z208" s="67">
        <f t="shared" si="4"/>
        <v>0</v>
      </c>
      <c r="AA208" s="67"/>
      <c r="AB208" s="67"/>
      <c r="AC208" s="67"/>
      <c r="AD208" s="99" t="e">
        <f t="shared" ca="1" si="5"/>
        <v>#DIV/0!</v>
      </c>
      <c r="AE208" s="67"/>
      <c r="AF208" s="67"/>
      <c r="AG208" s="67"/>
      <c r="AH208" s="67"/>
      <c r="AI208" s="67"/>
      <c r="AJ208" s="67"/>
      <c r="AK208" s="67"/>
      <c r="AL208" s="67"/>
      <c r="AM208" s="67"/>
      <c r="AN208" s="67"/>
      <c r="AO208" s="67"/>
      <c r="AP208" s="67"/>
      <c r="AQ208" s="67"/>
      <c r="AR208" s="67"/>
      <c r="AS208" s="67"/>
      <c r="AT208" s="67"/>
    </row>
    <row r="209" spans="1:46" ht="84" x14ac:dyDescent="0.2">
      <c r="A209" s="20"/>
      <c r="B209" s="95"/>
      <c r="C20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9" s="20" t="str">
        <f ca="1">IFERROR(__xludf.DUMMYFUNCTION("""COMPUTED_VALUE"""),"МинЖКХ")</f>
        <v>МинЖКХ</v>
      </c>
      <c r="E209" s="20" t="str">
        <f ca="1">IFERROR(__xludf.DUMMYFUNCTION("""COMPUTED_VALUE"""),"Приобретение, монтаж и ввод в эксплуатацию станции  очистки воды на ВЗУ в п. Лесной, Коломенский г.о.")</f>
        <v>Приобретение, монтаж и ввод в эксплуатацию станции  очистки воды на ВЗУ в п. Лесной, Коломенский г.о.</v>
      </c>
      <c r="F209" s="20" t="str">
        <f ca="1">IFERROR(__xludf.DUMMYFUNCTION("""COMPUTED_VALUE"""),"Приобретение, монтаж")</f>
        <v>Приобретение, монтаж</v>
      </c>
      <c r="G209" s="20" t="str">
        <f ca="1">IFERROR(__xludf.DUMMYFUNCTION("""COMPUTED_VALUE"""),"г.о. Коломенский")</f>
        <v>г.о. Коломенский</v>
      </c>
      <c r="H209" s="20">
        <f ca="1">IFERROR(__xludf.DUMMYFUNCTION("""COMPUTED_VALUE"""),2020)</f>
        <v>2020</v>
      </c>
      <c r="I209" s="20" t="str">
        <f ca="1">IFERROR(__xludf.DUMMYFUNCTION("""COMPUTED_VALUE"""),"10 1 02 60330")</f>
        <v>10 1 02 60330</v>
      </c>
      <c r="J209" s="20">
        <f ca="1">IFERROR(__xludf.DUMMYFUNCTION("""COMPUTED_VALUE"""),520)</f>
        <v>520</v>
      </c>
      <c r="K209" s="24">
        <f t="shared" ca="1" si="1"/>
        <v>3678.95</v>
      </c>
      <c r="L209" s="24">
        <f ca="1">IFERROR(__xludf.DUMMYFUNCTION("""COMPUTED_VALUE"""),0)</f>
        <v>0</v>
      </c>
      <c r="M209" s="24">
        <f ca="1">IFERROR(__xludf.DUMMYFUNCTION("""COMPUTED_VALUE"""),0)</f>
        <v>0</v>
      </c>
      <c r="N209" s="24">
        <f ca="1">IFERROR(__xludf.DUMMYFUNCTION("""COMPUTED_VALUE"""),3495)</f>
        <v>3495</v>
      </c>
      <c r="O209" s="24">
        <f ca="1">IFERROR(__xludf.DUMMYFUNCTION("""COMPUTED_VALUE"""),183.95)</f>
        <v>183.95</v>
      </c>
      <c r="P209" s="24">
        <f t="shared" ca="1" si="2"/>
        <v>3495</v>
      </c>
      <c r="Q209" s="23">
        <f ca="1">IFERROR(__xludf.DUMMYFUNCTION("""COMPUTED_VALUE"""),1)</f>
        <v>1</v>
      </c>
      <c r="R209" s="20"/>
      <c r="S209" s="24">
        <f ca="1">IFERROR(__xludf.DUMMYFUNCTION("""COMPUTED_VALUE"""),3110.16)</f>
        <v>3110.16</v>
      </c>
      <c r="T209" s="24">
        <f ca="1">IFERROR(__xludf.DUMMYFUNCTION("""COMPUTED_VALUE"""),568.79)</f>
        <v>568.79</v>
      </c>
      <c r="U209" s="24">
        <f ca="1">IFERROR(__xludf.DUMMYFUNCTION("""COMPUTED_VALUE"""),0)</f>
        <v>0</v>
      </c>
      <c r="V209" s="24">
        <f ca="1">IFERROR(__xludf.DUMMYFUNCTION("""COMPUTED_VALUE"""),0)</f>
        <v>0</v>
      </c>
      <c r="W209" s="24">
        <f ca="1">IFERROR(__xludf.DUMMYFUNCTION("""COMPUTED_VALUE"""),384.84)</f>
        <v>384.84</v>
      </c>
      <c r="X209" s="24">
        <f ca="1">IFERROR(__xludf.DUMMYFUNCTION("""COMPUTED_VALUE"""),183.95)</f>
        <v>183.95</v>
      </c>
      <c r="Y209" s="24">
        <f t="shared" ca="1" si="3"/>
        <v>384.84</v>
      </c>
      <c r="Z209" s="20">
        <f t="shared" ca="1" si="4"/>
        <v>3110.16</v>
      </c>
      <c r="AA209" s="20"/>
      <c r="AB209" s="24">
        <f ca="1">IFERROR(__xludf.DUMMYFUNCTION("""COMPUTED_VALUE"""),0)</f>
        <v>0</v>
      </c>
      <c r="AC209" s="24">
        <f ca="1">IFERROR(__xludf.DUMMYFUNCTION("""COMPUTED_VALUE"""),3110.16)</f>
        <v>3110.16</v>
      </c>
      <c r="AD209" s="94">
        <f t="shared" ca="1" si="5"/>
        <v>0.88988841201716729</v>
      </c>
      <c r="AE209" s="20"/>
      <c r="AF209" s="20"/>
      <c r="AG209" s="20"/>
      <c r="AH209" s="20"/>
      <c r="AI209" s="20"/>
      <c r="AJ209" s="20"/>
      <c r="AK209" s="20"/>
      <c r="AL209" s="20"/>
      <c r="AM209" s="20"/>
      <c r="AN209" s="20"/>
      <c r="AO209" s="20"/>
      <c r="AP209" s="20"/>
      <c r="AQ209" s="20"/>
      <c r="AR209" s="20"/>
      <c r="AS209" s="20"/>
      <c r="AT209" s="20"/>
    </row>
    <row r="210" spans="1:46" ht="84" hidden="1" x14ac:dyDescent="0.2">
      <c r="A210" s="67"/>
      <c r="B210" s="96"/>
      <c r="C21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0" s="20" t="str">
        <f ca="1">IFERROR(__xludf.DUMMYFUNCTION("""COMPUTED_VALUE"""),"МинЖКХ")</f>
        <v>МинЖКХ</v>
      </c>
      <c r="E210" s="20" t="str">
        <f ca="1">IFERROR(__xludf.DUMMYFUNCTION("""COMPUTED_VALUE"""),"Приобретение, монтаж и ввод в эксплуатацию станций водоочитски ВЗУ д. Алехново  г.о. Истра")</f>
        <v>Приобретение, монтаж и ввод в эксплуатацию станций водоочитски ВЗУ д. Алехново  г.о. Истра</v>
      </c>
      <c r="F210" s="67" t="str">
        <f ca="1">IFERROR(__xludf.DUMMYFUNCTION("""COMPUTED_VALUE"""),"Приобретение, монтаж")</f>
        <v>Приобретение, монтаж</v>
      </c>
      <c r="G210" s="67" t="str">
        <f ca="1">IFERROR(__xludf.DUMMYFUNCTION("""COMPUTED_VALUE"""),"г.о. Истра")</f>
        <v>г.о. Истра</v>
      </c>
      <c r="H210" s="67" t="str">
        <f ca="1">IFERROR(__xludf.DUMMYFUNCTION("""COMPUTED_VALUE"""),"Н/Л")</f>
        <v>Н/Л</v>
      </c>
      <c r="I210" s="67" t="str">
        <f ca="1">IFERROR(__xludf.DUMMYFUNCTION("""COMPUTED_VALUE"""),"10 1 02 60330")</f>
        <v>10 1 02 60330</v>
      </c>
      <c r="J210" s="67">
        <f ca="1">IFERROR(__xludf.DUMMYFUNCTION("""COMPUTED_VALUE"""),520)</f>
        <v>520</v>
      </c>
      <c r="K210" s="97">
        <f t="shared" ca="1" si="1"/>
        <v>0</v>
      </c>
      <c r="L210" s="97">
        <f ca="1">IFERROR(__xludf.DUMMYFUNCTION("""COMPUTED_VALUE"""),0)</f>
        <v>0</v>
      </c>
      <c r="M210" s="97">
        <f ca="1">IFERROR(__xludf.DUMMYFUNCTION("""COMPUTED_VALUE"""),0)</f>
        <v>0</v>
      </c>
      <c r="N210" s="97">
        <f ca="1">IFERROR(__xludf.DUMMYFUNCTION("""COMPUTED_VALUE"""),0)</f>
        <v>0</v>
      </c>
      <c r="O210" s="97">
        <f ca="1">IFERROR(__xludf.DUMMYFUNCTION("""COMPUTED_VALUE"""),0)</f>
        <v>0</v>
      </c>
      <c r="P210" s="97">
        <f t="shared" ca="1" si="2"/>
        <v>0</v>
      </c>
      <c r="Q210" s="67"/>
      <c r="R210" s="67"/>
      <c r="S210" s="97">
        <f ca="1">IFERROR(__xludf.DUMMYFUNCTION("""COMPUTED_VALUE"""),0)</f>
        <v>0</v>
      </c>
      <c r="T210" s="97">
        <f ca="1">IFERROR(__xludf.DUMMYFUNCTION("""COMPUTED_VALUE"""),0)</f>
        <v>0</v>
      </c>
      <c r="U210" s="97">
        <f ca="1">IFERROR(__xludf.DUMMYFUNCTION("""COMPUTED_VALUE"""),0)</f>
        <v>0</v>
      </c>
      <c r="V210" s="97">
        <f ca="1">IFERROR(__xludf.DUMMYFUNCTION("""COMPUTED_VALUE"""),0)</f>
        <v>0</v>
      </c>
      <c r="W210" s="97">
        <f ca="1">IFERROR(__xludf.DUMMYFUNCTION("""COMPUTED_VALUE"""),0)</f>
        <v>0</v>
      </c>
      <c r="X210" s="97">
        <f ca="1">IFERROR(__xludf.DUMMYFUNCTION("""COMPUTED_VALUE"""),0)</f>
        <v>0</v>
      </c>
      <c r="Y210" s="97">
        <f t="shared" ca="1" si="3"/>
        <v>0</v>
      </c>
      <c r="Z210" s="67">
        <f t="shared" si="4"/>
        <v>0</v>
      </c>
      <c r="AA210" s="67"/>
      <c r="AB210" s="67"/>
      <c r="AC210" s="67"/>
      <c r="AD210" s="99" t="e">
        <f t="shared" ca="1" si="5"/>
        <v>#DIV/0!</v>
      </c>
      <c r="AE210" s="67"/>
      <c r="AF210" s="67"/>
      <c r="AG210" s="67"/>
      <c r="AH210" s="67"/>
      <c r="AI210" s="67"/>
      <c r="AJ210" s="67"/>
      <c r="AK210" s="67"/>
      <c r="AL210" s="67"/>
      <c r="AM210" s="67"/>
      <c r="AN210" s="67"/>
      <c r="AO210" s="67"/>
      <c r="AP210" s="67"/>
      <c r="AQ210" s="67"/>
      <c r="AR210" s="67"/>
      <c r="AS210" s="67"/>
      <c r="AT210" s="67"/>
    </row>
    <row r="211" spans="1:46" ht="84" hidden="1" x14ac:dyDescent="0.2">
      <c r="A211" s="67"/>
      <c r="B211" s="96"/>
      <c r="C21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1" s="20" t="str">
        <f ca="1">IFERROR(__xludf.DUMMYFUNCTION("""COMPUTED_VALUE"""),"МинЖКХ")</f>
        <v>МинЖКХ</v>
      </c>
      <c r="E211" s="20" t="str">
        <f ca="1">IFERROR(__xludf.DUMMYFUNCTION("""COMPUTED_VALUE"""),"Приобретение, монтаж и ввод в эксплуатацию станций водоочитски ВЗУ д. Лечищево  г.о. Истра")</f>
        <v>Приобретение, монтаж и ввод в эксплуатацию станций водоочитски ВЗУ д. Лечищево  г.о. Истра</v>
      </c>
      <c r="F211" s="67" t="str">
        <f ca="1">IFERROR(__xludf.DUMMYFUNCTION("""COMPUTED_VALUE"""),"Приобретение, монтаж")</f>
        <v>Приобретение, монтаж</v>
      </c>
      <c r="G211" s="67" t="str">
        <f ca="1">IFERROR(__xludf.DUMMYFUNCTION("""COMPUTED_VALUE"""),"г.о. Истра")</f>
        <v>г.о. Истра</v>
      </c>
      <c r="H211" s="67" t="str">
        <f ca="1">IFERROR(__xludf.DUMMYFUNCTION("""COMPUTED_VALUE"""),"Н/Л")</f>
        <v>Н/Л</v>
      </c>
      <c r="I211" s="67" t="str">
        <f ca="1">IFERROR(__xludf.DUMMYFUNCTION("""COMPUTED_VALUE"""),"10 1 02 60330")</f>
        <v>10 1 02 60330</v>
      </c>
      <c r="J211" s="67">
        <f ca="1">IFERROR(__xludf.DUMMYFUNCTION("""COMPUTED_VALUE"""),520)</f>
        <v>520</v>
      </c>
      <c r="K211" s="97">
        <f t="shared" ca="1" si="1"/>
        <v>0</v>
      </c>
      <c r="L211" s="97">
        <f ca="1">IFERROR(__xludf.DUMMYFUNCTION("""COMPUTED_VALUE"""),0)</f>
        <v>0</v>
      </c>
      <c r="M211" s="97">
        <f ca="1">IFERROR(__xludf.DUMMYFUNCTION("""COMPUTED_VALUE"""),0)</f>
        <v>0</v>
      </c>
      <c r="N211" s="97">
        <f ca="1">IFERROR(__xludf.DUMMYFUNCTION("""COMPUTED_VALUE"""),0)</f>
        <v>0</v>
      </c>
      <c r="O211" s="97">
        <f ca="1">IFERROR(__xludf.DUMMYFUNCTION("""COMPUTED_VALUE"""),0)</f>
        <v>0</v>
      </c>
      <c r="P211" s="97">
        <f t="shared" ca="1" si="2"/>
        <v>0</v>
      </c>
      <c r="Q211" s="67"/>
      <c r="R211" s="67"/>
      <c r="S211" s="97">
        <f ca="1">IFERROR(__xludf.DUMMYFUNCTION("""COMPUTED_VALUE"""),0)</f>
        <v>0</v>
      </c>
      <c r="T211" s="97">
        <f ca="1">IFERROR(__xludf.DUMMYFUNCTION("""COMPUTED_VALUE"""),0)</f>
        <v>0</v>
      </c>
      <c r="U211" s="97">
        <f ca="1">IFERROR(__xludf.DUMMYFUNCTION("""COMPUTED_VALUE"""),0)</f>
        <v>0</v>
      </c>
      <c r="V211" s="97">
        <f ca="1">IFERROR(__xludf.DUMMYFUNCTION("""COMPUTED_VALUE"""),0)</f>
        <v>0</v>
      </c>
      <c r="W211" s="97">
        <f ca="1">IFERROR(__xludf.DUMMYFUNCTION("""COMPUTED_VALUE"""),0)</f>
        <v>0</v>
      </c>
      <c r="X211" s="97">
        <f ca="1">IFERROR(__xludf.DUMMYFUNCTION("""COMPUTED_VALUE"""),0)</f>
        <v>0</v>
      </c>
      <c r="Y211" s="97">
        <f t="shared" ca="1" si="3"/>
        <v>0</v>
      </c>
      <c r="Z211" s="67">
        <f t="shared" si="4"/>
        <v>0</v>
      </c>
      <c r="AA211" s="67"/>
      <c r="AB211" s="67"/>
      <c r="AC211" s="67"/>
      <c r="AD211" s="99" t="e">
        <f t="shared" ca="1" si="5"/>
        <v>#DIV/0!</v>
      </c>
      <c r="AE211" s="67"/>
      <c r="AF211" s="67"/>
      <c r="AG211" s="67"/>
      <c r="AH211" s="67"/>
      <c r="AI211" s="67"/>
      <c r="AJ211" s="67"/>
      <c r="AK211" s="67"/>
      <c r="AL211" s="67"/>
      <c r="AM211" s="67"/>
      <c r="AN211" s="67"/>
      <c r="AO211" s="67"/>
      <c r="AP211" s="67"/>
      <c r="AQ211" s="67"/>
      <c r="AR211" s="67"/>
      <c r="AS211" s="67"/>
      <c r="AT211" s="67"/>
    </row>
    <row r="212" spans="1:46" ht="84" hidden="1" x14ac:dyDescent="0.2">
      <c r="A212" s="67"/>
      <c r="B212" s="96"/>
      <c r="C21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2" s="20" t="str">
        <f ca="1">IFERROR(__xludf.DUMMYFUNCTION("""COMPUTED_VALUE"""),"МинЖКХ")</f>
        <v>МинЖКХ</v>
      </c>
      <c r="E212" s="20" t="str">
        <f ca="1">IFERROR(__xludf.DUMMYFUNCTION("""COMPUTED_VALUE"""),"Приобретение, монтаж и ввод в эксплуатацию станций водоочитски ВЗУ п. Румянцево, ул. Садовая  г.о. Истра")</f>
        <v>Приобретение, монтаж и ввод в эксплуатацию станций водоочитски ВЗУ п. Румянцево, ул. Садовая  г.о. Истра</v>
      </c>
      <c r="F212" s="67" t="str">
        <f ca="1">IFERROR(__xludf.DUMMYFUNCTION("""COMPUTED_VALUE"""),"Приобретение, монтаж")</f>
        <v>Приобретение, монтаж</v>
      </c>
      <c r="G212" s="67" t="str">
        <f ca="1">IFERROR(__xludf.DUMMYFUNCTION("""COMPUTED_VALUE"""),"г.о. Истра")</f>
        <v>г.о. Истра</v>
      </c>
      <c r="H212" s="67" t="str">
        <f ca="1">IFERROR(__xludf.DUMMYFUNCTION("""COMPUTED_VALUE"""),"Н/Л")</f>
        <v>Н/Л</v>
      </c>
      <c r="I212" s="67" t="str">
        <f ca="1">IFERROR(__xludf.DUMMYFUNCTION("""COMPUTED_VALUE"""),"10 1 02 60330")</f>
        <v>10 1 02 60330</v>
      </c>
      <c r="J212" s="67">
        <f ca="1">IFERROR(__xludf.DUMMYFUNCTION("""COMPUTED_VALUE"""),520)</f>
        <v>520</v>
      </c>
      <c r="K212" s="97">
        <f t="shared" ca="1" si="1"/>
        <v>0</v>
      </c>
      <c r="L212" s="97">
        <f ca="1">IFERROR(__xludf.DUMMYFUNCTION("""COMPUTED_VALUE"""),0)</f>
        <v>0</v>
      </c>
      <c r="M212" s="97">
        <f ca="1">IFERROR(__xludf.DUMMYFUNCTION("""COMPUTED_VALUE"""),0)</f>
        <v>0</v>
      </c>
      <c r="N212" s="97">
        <f ca="1">IFERROR(__xludf.DUMMYFUNCTION("""COMPUTED_VALUE"""),0)</f>
        <v>0</v>
      </c>
      <c r="O212" s="97">
        <f ca="1">IFERROR(__xludf.DUMMYFUNCTION("""COMPUTED_VALUE"""),0)</f>
        <v>0</v>
      </c>
      <c r="P212" s="97">
        <f t="shared" ca="1" si="2"/>
        <v>0</v>
      </c>
      <c r="Q212" s="67"/>
      <c r="R212" s="67"/>
      <c r="S212" s="97">
        <f ca="1">IFERROR(__xludf.DUMMYFUNCTION("""COMPUTED_VALUE"""),0)</f>
        <v>0</v>
      </c>
      <c r="T212" s="97">
        <f ca="1">IFERROR(__xludf.DUMMYFUNCTION("""COMPUTED_VALUE"""),0)</f>
        <v>0</v>
      </c>
      <c r="U212" s="97">
        <f ca="1">IFERROR(__xludf.DUMMYFUNCTION("""COMPUTED_VALUE"""),0)</f>
        <v>0</v>
      </c>
      <c r="V212" s="97">
        <f ca="1">IFERROR(__xludf.DUMMYFUNCTION("""COMPUTED_VALUE"""),0)</f>
        <v>0</v>
      </c>
      <c r="W212" s="97">
        <f ca="1">IFERROR(__xludf.DUMMYFUNCTION("""COMPUTED_VALUE"""),0)</f>
        <v>0</v>
      </c>
      <c r="X212" s="97">
        <f ca="1">IFERROR(__xludf.DUMMYFUNCTION("""COMPUTED_VALUE"""),0)</f>
        <v>0</v>
      </c>
      <c r="Y212" s="97">
        <f t="shared" ca="1" si="3"/>
        <v>0</v>
      </c>
      <c r="Z212" s="67">
        <f t="shared" si="4"/>
        <v>0</v>
      </c>
      <c r="AA212" s="67"/>
      <c r="AB212" s="67"/>
      <c r="AC212" s="67"/>
      <c r="AD212" s="99" t="e">
        <f t="shared" ca="1" si="5"/>
        <v>#DIV/0!</v>
      </c>
      <c r="AE212" s="67"/>
      <c r="AF212" s="67"/>
      <c r="AG212" s="67"/>
      <c r="AH212" s="67"/>
      <c r="AI212" s="67"/>
      <c r="AJ212" s="67"/>
      <c r="AK212" s="67"/>
      <c r="AL212" s="67"/>
      <c r="AM212" s="67"/>
      <c r="AN212" s="67"/>
      <c r="AO212" s="67"/>
      <c r="AP212" s="67"/>
      <c r="AQ212" s="67"/>
      <c r="AR212" s="67"/>
      <c r="AS212" s="67"/>
      <c r="AT212" s="67"/>
    </row>
    <row r="213" spans="1:46" ht="84" hidden="1" x14ac:dyDescent="0.2">
      <c r="A213" s="67"/>
      <c r="B213" s="96"/>
      <c r="C21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3" s="20" t="str">
        <f ca="1">IFERROR(__xludf.DUMMYFUNCTION("""COMPUTED_VALUE"""),"МинЖКХ")</f>
        <v>МинЖКХ</v>
      </c>
      <c r="E213" s="20" t="str">
        <f ca="1">IFERROR(__xludf.DUMMYFUNCTION("""COMPUTED_VALUE"""),"Приобретение, монтаж и ввод в эксплуатацию станций водоочитски ВЗУ д. Дарна  г.о. Истра")</f>
        <v>Приобретение, монтаж и ввод в эксплуатацию станций водоочитски ВЗУ д. Дарна  г.о. Истра</v>
      </c>
      <c r="F213" s="67" t="str">
        <f ca="1">IFERROR(__xludf.DUMMYFUNCTION("""COMPUTED_VALUE"""),"Приобретение, монтаж")</f>
        <v>Приобретение, монтаж</v>
      </c>
      <c r="G213" s="67" t="str">
        <f ca="1">IFERROR(__xludf.DUMMYFUNCTION("""COMPUTED_VALUE"""),"г.о. Истра")</f>
        <v>г.о. Истра</v>
      </c>
      <c r="H213" s="67" t="str">
        <f ca="1">IFERROR(__xludf.DUMMYFUNCTION("""COMPUTED_VALUE"""),"Н/Л")</f>
        <v>Н/Л</v>
      </c>
      <c r="I213" s="67" t="str">
        <f ca="1">IFERROR(__xludf.DUMMYFUNCTION("""COMPUTED_VALUE"""),"10 1 02 60330")</f>
        <v>10 1 02 60330</v>
      </c>
      <c r="J213" s="67">
        <f ca="1">IFERROR(__xludf.DUMMYFUNCTION("""COMPUTED_VALUE"""),520)</f>
        <v>520</v>
      </c>
      <c r="K213" s="97">
        <f t="shared" ca="1" si="1"/>
        <v>0</v>
      </c>
      <c r="L213" s="97">
        <f ca="1">IFERROR(__xludf.DUMMYFUNCTION("""COMPUTED_VALUE"""),0)</f>
        <v>0</v>
      </c>
      <c r="M213" s="97">
        <f ca="1">IFERROR(__xludf.DUMMYFUNCTION("""COMPUTED_VALUE"""),0)</f>
        <v>0</v>
      </c>
      <c r="N213" s="97">
        <f ca="1">IFERROR(__xludf.DUMMYFUNCTION("""COMPUTED_VALUE"""),0)</f>
        <v>0</v>
      </c>
      <c r="O213" s="97">
        <f ca="1">IFERROR(__xludf.DUMMYFUNCTION("""COMPUTED_VALUE"""),0)</f>
        <v>0</v>
      </c>
      <c r="P213" s="97">
        <f t="shared" ca="1" si="2"/>
        <v>0</v>
      </c>
      <c r="Q213" s="67"/>
      <c r="R213" s="67"/>
      <c r="S213" s="97">
        <f ca="1">IFERROR(__xludf.DUMMYFUNCTION("""COMPUTED_VALUE"""),0)</f>
        <v>0</v>
      </c>
      <c r="T213" s="97">
        <f ca="1">IFERROR(__xludf.DUMMYFUNCTION("""COMPUTED_VALUE"""),0)</f>
        <v>0</v>
      </c>
      <c r="U213" s="97">
        <f ca="1">IFERROR(__xludf.DUMMYFUNCTION("""COMPUTED_VALUE"""),0)</f>
        <v>0</v>
      </c>
      <c r="V213" s="97">
        <f ca="1">IFERROR(__xludf.DUMMYFUNCTION("""COMPUTED_VALUE"""),0)</f>
        <v>0</v>
      </c>
      <c r="W213" s="97">
        <f ca="1">IFERROR(__xludf.DUMMYFUNCTION("""COMPUTED_VALUE"""),0)</f>
        <v>0</v>
      </c>
      <c r="X213" s="97">
        <f ca="1">IFERROR(__xludf.DUMMYFUNCTION("""COMPUTED_VALUE"""),0)</f>
        <v>0</v>
      </c>
      <c r="Y213" s="97">
        <f t="shared" ca="1" si="3"/>
        <v>0</v>
      </c>
      <c r="Z213" s="67">
        <f t="shared" si="4"/>
        <v>0</v>
      </c>
      <c r="AA213" s="67"/>
      <c r="AB213" s="67"/>
      <c r="AC213" s="67"/>
      <c r="AD213" s="99" t="e">
        <f t="shared" ca="1" si="5"/>
        <v>#DIV/0!</v>
      </c>
      <c r="AE213" s="67"/>
      <c r="AF213" s="67"/>
      <c r="AG213" s="67"/>
      <c r="AH213" s="67"/>
      <c r="AI213" s="67"/>
      <c r="AJ213" s="67"/>
      <c r="AK213" s="67"/>
      <c r="AL213" s="67"/>
      <c r="AM213" s="67"/>
      <c r="AN213" s="67"/>
      <c r="AO213" s="67"/>
      <c r="AP213" s="67"/>
      <c r="AQ213" s="67"/>
      <c r="AR213" s="67"/>
      <c r="AS213" s="67"/>
      <c r="AT213" s="67"/>
    </row>
    <row r="214" spans="1:46" ht="84" hidden="1" x14ac:dyDescent="0.2">
      <c r="A214" s="67"/>
      <c r="B214" s="100"/>
      <c r="C21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4" s="20" t="str">
        <f ca="1">IFERROR(__xludf.DUMMYFUNCTION("""COMPUTED_VALUE"""),"МинЖКХ")</f>
        <v>МинЖКХ</v>
      </c>
      <c r="E214" s="20" t="str">
        <f ca="1">IFERROR(__xludf.DUMMYFUNCTION("""COMPUTED_VALUE"""),"Приобретение, монтаж и ввод в эксплуатацию станций водоочитски на ВЗУ д. Буньково г.о. Истра")</f>
        <v>Приобретение, монтаж и ввод в эксплуатацию станций водоочитски на ВЗУ д. Буньково г.о. Истра</v>
      </c>
      <c r="F214" s="67" t="str">
        <f ca="1">IFERROR(__xludf.DUMMYFUNCTION("""COMPUTED_VALUE"""),"Приобретение, монтаж")</f>
        <v>Приобретение, монтаж</v>
      </c>
      <c r="G214" s="67" t="str">
        <f ca="1">IFERROR(__xludf.DUMMYFUNCTION("""COMPUTED_VALUE"""),"г.о. Истра")</f>
        <v>г.о. Истра</v>
      </c>
      <c r="H214" s="67" t="str">
        <f ca="1">IFERROR(__xludf.DUMMYFUNCTION("""COMPUTED_VALUE"""),"Н/Л")</f>
        <v>Н/Л</v>
      </c>
      <c r="I214" s="67" t="str">
        <f ca="1">IFERROR(__xludf.DUMMYFUNCTION("""COMPUTED_VALUE"""),"10 1 02 60330")</f>
        <v>10 1 02 60330</v>
      </c>
      <c r="J214" s="67">
        <f ca="1">IFERROR(__xludf.DUMMYFUNCTION("""COMPUTED_VALUE"""),520)</f>
        <v>520</v>
      </c>
      <c r="K214" s="97">
        <f t="shared" ca="1" si="1"/>
        <v>0</v>
      </c>
      <c r="L214" s="97">
        <f ca="1">IFERROR(__xludf.DUMMYFUNCTION("""COMPUTED_VALUE"""),0)</f>
        <v>0</v>
      </c>
      <c r="M214" s="97">
        <f ca="1">IFERROR(__xludf.DUMMYFUNCTION("""COMPUTED_VALUE"""),0)</f>
        <v>0</v>
      </c>
      <c r="N214" s="97">
        <f ca="1">IFERROR(__xludf.DUMMYFUNCTION("""COMPUTED_VALUE"""),0)</f>
        <v>0</v>
      </c>
      <c r="O214" s="97">
        <f ca="1">IFERROR(__xludf.DUMMYFUNCTION("""COMPUTED_VALUE"""),0)</f>
        <v>0</v>
      </c>
      <c r="P214" s="97">
        <f t="shared" ca="1" si="2"/>
        <v>0</v>
      </c>
      <c r="Q214" s="67"/>
      <c r="R214" s="67"/>
      <c r="S214" s="97">
        <f ca="1">IFERROR(__xludf.DUMMYFUNCTION("""COMPUTED_VALUE"""),0)</f>
        <v>0</v>
      </c>
      <c r="T214" s="97">
        <f ca="1">IFERROR(__xludf.DUMMYFUNCTION("""COMPUTED_VALUE"""),0)</f>
        <v>0</v>
      </c>
      <c r="U214" s="97">
        <f ca="1">IFERROR(__xludf.DUMMYFUNCTION("""COMPUTED_VALUE"""),0)</f>
        <v>0</v>
      </c>
      <c r="V214" s="97">
        <f ca="1">IFERROR(__xludf.DUMMYFUNCTION("""COMPUTED_VALUE"""),0)</f>
        <v>0</v>
      </c>
      <c r="W214" s="97">
        <f ca="1">IFERROR(__xludf.DUMMYFUNCTION("""COMPUTED_VALUE"""),0)</f>
        <v>0</v>
      </c>
      <c r="X214" s="97">
        <f ca="1">IFERROR(__xludf.DUMMYFUNCTION("""COMPUTED_VALUE"""),0)</f>
        <v>0</v>
      </c>
      <c r="Y214" s="97">
        <f t="shared" ca="1" si="3"/>
        <v>0</v>
      </c>
      <c r="Z214" s="67">
        <f t="shared" si="4"/>
        <v>0</v>
      </c>
      <c r="AA214" s="67"/>
      <c r="AB214" s="67"/>
      <c r="AC214" s="67"/>
      <c r="AD214" s="99" t="e">
        <f t="shared" ca="1" si="5"/>
        <v>#DIV/0!</v>
      </c>
      <c r="AE214" s="67"/>
      <c r="AF214" s="67"/>
      <c r="AG214" s="67"/>
      <c r="AH214" s="67"/>
      <c r="AI214" s="67"/>
      <c r="AJ214" s="67"/>
      <c r="AK214" s="67"/>
      <c r="AL214" s="67"/>
      <c r="AM214" s="67"/>
      <c r="AN214" s="67"/>
      <c r="AO214" s="67"/>
      <c r="AP214" s="67"/>
      <c r="AQ214" s="67"/>
      <c r="AR214" s="67"/>
      <c r="AS214" s="67"/>
      <c r="AT214" s="67"/>
    </row>
    <row r="215" spans="1:46" ht="84" x14ac:dyDescent="0.2">
      <c r="A215" s="20"/>
      <c r="B215" s="93"/>
      <c r="C21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5" s="20" t="str">
        <f ca="1">IFERROR(__xludf.DUMMYFUNCTION("""COMPUTED_VALUE"""),"МинЖКХ")</f>
        <v>МинЖКХ</v>
      </c>
      <c r="E215" s="20" t="str">
        <f ca="1">IFERROR(__xludf.DUMMYFUNCTION("""COMPUTED_VALUE"""),"Приобретение, монтаж и ввод в эксплуатацию станции водоочистки на ВЗУ №27 по адресу: Московская область, Пушкинский городской округ, р.п. Софрино, ул. Сетевая")</f>
        <v>Приобретение, монтаж и ввод в эксплуатацию станции водоочистки на ВЗУ №27 по адресу: Московская область, Пушкинский городской округ, р.п. Софрино, ул. Сетевая</v>
      </c>
      <c r="F215" s="20" t="str">
        <f ca="1">IFERROR(__xludf.DUMMYFUNCTION("""COMPUTED_VALUE"""),"Приобретение, монтаж")</f>
        <v>Приобретение, монтаж</v>
      </c>
      <c r="G215" s="20" t="str">
        <f ca="1">IFERROR(__xludf.DUMMYFUNCTION("""COMPUTED_VALUE"""),"г.о. Пушкинский")</f>
        <v>г.о. Пушкинский</v>
      </c>
      <c r="H215" s="20">
        <f ca="1">IFERROR(__xludf.DUMMYFUNCTION("""COMPUTED_VALUE"""),2020)</f>
        <v>2020</v>
      </c>
      <c r="I215" s="20" t="str">
        <f ca="1">IFERROR(__xludf.DUMMYFUNCTION("""COMPUTED_VALUE"""),"10 1 02 60330")</f>
        <v>10 1 02 60330</v>
      </c>
      <c r="J215" s="20">
        <f ca="1">IFERROR(__xludf.DUMMYFUNCTION("""COMPUTED_VALUE"""),520)</f>
        <v>520</v>
      </c>
      <c r="K215" s="24">
        <f t="shared" ca="1" si="1"/>
        <v>3988</v>
      </c>
      <c r="L215" s="24">
        <f ca="1">IFERROR(__xludf.DUMMYFUNCTION("""COMPUTED_VALUE"""),3015)</f>
        <v>3015</v>
      </c>
      <c r="M215" s="24">
        <f ca="1">IFERROR(__xludf.DUMMYFUNCTION("""COMPUTED_VALUE"""),0)</f>
        <v>0</v>
      </c>
      <c r="N215" s="24">
        <f ca="1">IFERROR(__xludf.DUMMYFUNCTION("""COMPUTED_VALUE"""),0)</f>
        <v>0</v>
      </c>
      <c r="O215" s="24">
        <f ca="1">IFERROR(__xludf.DUMMYFUNCTION("""COMPUTED_VALUE"""),973)</f>
        <v>973</v>
      </c>
      <c r="P215" s="24">
        <f t="shared" ca="1" si="2"/>
        <v>3015</v>
      </c>
      <c r="Q215" s="23">
        <f ca="1">IFERROR(__xludf.DUMMYFUNCTION("""COMPUTED_VALUE"""),1)</f>
        <v>1</v>
      </c>
      <c r="R215" s="20"/>
      <c r="S215" s="24">
        <f ca="1">IFERROR(__xludf.DUMMYFUNCTION("""COMPUTED_VALUE"""),3987.93)</f>
        <v>3987.93</v>
      </c>
      <c r="T215" s="24">
        <f ca="1">IFERROR(__xludf.DUMMYFUNCTION("""COMPUTED_VALUE"""),0.0700000000001637)</f>
        <v>7.0000000000163695E-2</v>
      </c>
      <c r="U215" s="24">
        <f ca="1">IFERROR(__xludf.DUMMYFUNCTION("""COMPUTED_VALUE"""),0.0700000000001637)</f>
        <v>7.0000000000163695E-2</v>
      </c>
      <c r="V215" s="24">
        <f ca="1">IFERROR(__xludf.DUMMYFUNCTION("""COMPUTED_VALUE"""),0)</f>
        <v>0</v>
      </c>
      <c r="W215" s="24">
        <f ca="1">IFERROR(__xludf.DUMMYFUNCTION("""COMPUTED_VALUE"""),0)</f>
        <v>0</v>
      </c>
      <c r="X215" s="24">
        <f ca="1">IFERROR(__xludf.DUMMYFUNCTION("""COMPUTED_VALUE"""),0)</f>
        <v>0</v>
      </c>
      <c r="Y215" s="24">
        <f t="shared" ca="1" si="3"/>
        <v>7.0000000000163695E-2</v>
      </c>
      <c r="Z215" s="20">
        <f t="shared" ca="1" si="4"/>
        <v>3014.93</v>
      </c>
      <c r="AA215" s="20"/>
      <c r="AB215" s="24">
        <f ca="1">IFERROR(__xludf.DUMMYFUNCTION("""COMPUTED_VALUE"""),3014.93)</f>
        <v>3014.93</v>
      </c>
      <c r="AC215" s="20"/>
      <c r="AD215" s="94">
        <f t="shared" ca="1" si="5"/>
        <v>0.99997678275290214</v>
      </c>
      <c r="AE215" s="20"/>
      <c r="AF215" s="20"/>
      <c r="AG215" s="20"/>
      <c r="AH215" s="20"/>
      <c r="AI215" s="20"/>
      <c r="AJ215" s="20"/>
      <c r="AK215" s="20"/>
      <c r="AL215" s="20"/>
      <c r="AM215" s="20"/>
      <c r="AN215" s="20"/>
      <c r="AO215" s="20"/>
      <c r="AP215" s="20"/>
      <c r="AQ215" s="20"/>
      <c r="AR215" s="20"/>
      <c r="AS215" s="20"/>
      <c r="AT215" s="20"/>
    </row>
    <row r="216" spans="1:46" ht="48" x14ac:dyDescent="0.2">
      <c r="A216" s="20"/>
      <c r="B216" s="93"/>
      <c r="C216"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6" s="20" t="str">
        <f ca="1">IFERROR(__xludf.DUMMYFUNCTION("""COMPUTED_VALUE"""),"МинЖКХ")</f>
        <v>МинЖКХ</v>
      </c>
      <c r="E216" s="20" t="str">
        <f ca="1">IFERROR(__xludf.DUMMYFUNCTION("""COMPUTED_VALUE"""),"Реконструкция ВЗУ, расположенного по адресу: Московская область, Можайский район, с. Тропарево  (в т.ч. ПИР)")</f>
        <v>Реконструкция ВЗУ, расположенного по адресу: Московская область, Можайский район, с. Тропарево  (в т.ч. ПИР)</v>
      </c>
      <c r="F216" s="20" t="str">
        <f ca="1">IFERROR(__xludf.DUMMYFUNCTION("""COMPUTED_VALUE"""),"СМР")</f>
        <v>СМР</v>
      </c>
      <c r="G216" s="20" t="str">
        <f ca="1">IFERROR(__xludf.DUMMYFUNCTION("""COMPUTED_VALUE"""),"МинЖКХ г.о. Можайск")</f>
        <v>МинЖКХ г.о. Можайск</v>
      </c>
      <c r="H216" s="20" t="str">
        <f ca="1">IFERROR(__xludf.DUMMYFUNCTION("""COMPUTED_VALUE"""),"2020-2022")</f>
        <v>2020-2022</v>
      </c>
      <c r="I216" s="20" t="str">
        <f ca="1">IFERROR(__xludf.DUMMYFUNCTION("""COMPUTED_VALUE"""),"10 2 01 40010")</f>
        <v>10 2 01 40010</v>
      </c>
      <c r="J216" s="20">
        <f ca="1">IFERROR(__xludf.DUMMYFUNCTION("""COMPUTED_VALUE"""),414)</f>
        <v>414</v>
      </c>
      <c r="K216" s="24">
        <f t="shared" ca="1" si="1"/>
        <v>4790</v>
      </c>
      <c r="L216" s="24">
        <f ca="1">IFERROR(__xludf.DUMMYFUNCTION("""COMPUTED_VALUE"""),4790)</f>
        <v>4790</v>
      </c>
      <c r="M216" s="24">
        <f ca="1">IFERROR(__xludf.DUMMYFUNCTION("""COMPUTED_VALUE"""),0)</f>
        <v>0</v>
      </c>
      <c r="N216" s="24">
        <f ca="1">IFERROR(__xludf.DUMMYFUNCTION("""COMPUTED_VALUE"""),0)</f>
        <v>0</v>
      </c>
      <c r="O216" s="24">
        <f ca="1">IFERROR(__xludf.DUMMYFUNCTION("""COMPUTED_VALUE"""),0)</f>
        <v>0</v>
      </c>
      <c r="P216" s="24">
        <f t="shared" ca="1" si="2"/>
        <v>4790</v>
      </c>
      <c r="Q216" s="23">
        <f ca="1">IFERROR(__xludf.DUMMYFUNCTION("""COMPUTED_VALUE"""),0)</f>
        <v>0</v>
      </c>
      <c r="R216" s="20"/>
      <c r="S216" s="24">
        <f ca="1">IFERROR(__xludf.DUMMYFUNCTION("""COMPUTED_VALUE"""),4790)</f>
        <v>4790</v>
      </c>
      <c r="T216" s="24">
        <f ca="1">IFERROR(__xludf.DUMMYFUNCTION("""COMPUTED_VALUE"""),0)</f>
        <v>0</v>
      </c>
      <c r="U216" s="24">
        <f ca="1">IFERROR(__xludf.DUMMYFUNCTION("""COMPUTED_VALUE"""),0)</f>
        <v>0</v>
      </c>
      <c r="V216" s="24">
        <f ca="1">IFERROR(__xludf.DUMMYFUNCTION("""COMPUTED_VALUE"""),0)</f>
        <v>0</v>
      </c>
      <c r="W216" s="24">
        <f ca="1">IFERROR(__xludf.DUMMYFUNCTION("""COMPUTED_VALUE"""),0)</f>
        <v>0</v>
      </c>
      <c r="X216" s="24">
        <f ca="1">IFERROR(__xludf.DUMMYFUNCTION("""COMPUTED_VALUE"""),0)</f>
        <v>0</v>
      </c>
      <c r="Y216" s="24">
        <f t="shared" ca="1" si="3"/>
        <v>0</v>
      </c>
      <c r="Z216" s="20">
        <f t="shared" ca="1" si="4"/>
        <v>4790</v>
      </c>
      <c r="AA216" s="20"/>
      <c r="AB216" s="24">
        <f ca="1">IFERROR(__xludf.DUMMYFUNCTION("""COMPUTED_VALUE"""),4790)</f>
        <v>4790</v>
      </c>
      <c r="AC216" s="20"/>
      <c r="AD216" s="94">
        <f t="shared" ca="1" si="5"/>
        <v>1</v>
      </c>
      <c r="AE216" s="20"/>
      <c r="AF216" s="20"/>
      <c r="AG216" s="20"/>
      <c r="AH216" s="20"/>
      <c r="AI216" s="20"/>
      <c r="AJ216" s="20"/>
      <c r="AK216" s="20"/>
      <c r="AL216" s="20"/>
      <c r="AM216" s="20"/>
      <c r="AN216" s="20"/>
      <c r="AO216" s="20"/>
      <c r="AP216" s="20"/>
      <c r="AQ216" s="20"/>
      <c r="AR216" s="20"/>
      <c r="AS216" s="20"/>
      <c r="AT216" s="20"/>
    </row>
    <row r="217" spans="1:46" ht="48" x14ac:dyDescent="0.2">
      <c r="A217" s="20"/>
      <c r="B217" s="93"/>
      <c r="C217"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7" s="20" t="str">
        <f ca="1">IFERROR(__xludf.DUMMYFUNCTION("""COMPUTED_VALUE"""),"МинЖКХ")</f>
        <v>МинЖКХ</v>
      </c>
      <c r="E217" s="20" t="str">
        <f ca="1">IFERROR(__xludf.DUMMYFUNCTION("""COMPUTED_VALUE"""),"Реконструкция   ВЗУ, расположенного по адресу: Московская область, Можайский район, Красный Балтиец  (в т.ч. ПИР)")</f>
        <v>Реконструкция   ВЗУ, расположенного по адресу: Московская область, Можайский район, Красный Балтиец  (в т.ч. ПИР)</v>
      </c>
      <c r="F217" s="20" t="str">
        <f ca="1">IFERROR(__xludf.DUMMYFUNCTION("""COMPUTED_VALUE"""),"СМР")</f>
        <v>СМР</v>
      </c>
      <c r="G217" s="20" t="str">
        <f ca="1">IFERROR(__xludf.DUMMYFUNCTION("""COMPUTED_VALUE"""),"МинЖКХ г.о. Можайск")</f>
        <v>МинЖКХ г.о. Можайск</v>
      </c>
      <c r="H217" s="20">
        <f ca="1">IFERROR(__xludf.DUMMYFUNCTION("""COMPUTED_VALUE"""),2020)</f>
        <v>2020</v>
      </c>
      <c r="I217" s="20" t="str">
        <f ca="1">IFERROR(__xludf.DUMMYFUNCTION("""COMPUTED_VALUE"""),"10 1 02 40010")</f>
        <v>10 1 02 40010</v>
      </c>
      <c r="J217" s="20">
        <f ca="1">IFERROR(__xludf.DUMMYFUNCTION("""COMPUTED_VALUE"""),414)</f>
        <v>414</v>
      </c>
      <c r="K217" s="24">
        <f t="shared" ca="1" si="1"/>
        <v>30025</v>
      </c>
      <c r="L217" s="24">
        <f ca="1">IFERROR(__xludf.DUMMYFUNCTION("""COMPUTED_VALUE"""),30025)</f>
        <v>30025</v>
      </c>
      <c r="M217" s="24">
        <f ca="1">IFERROR(__xludf.DUMMYFUNCTION("""COMPUTED_VALUE"""),0)</f>
        <v>0</v>
      </c>
      <c r="N217" s="24">
        <f ca="1">IFERROR(__xludf.DUMMYFUNCTION("""COMPUTED_VALUE"""),0)</f>
        <v>0</v>
      </c>
      <c r="O217" s="24">
        <f ca="1">IFERROR(__xludf.DUMMYFUNCTION("""COMPUTED_VALUE"""),0)</f>
        <v>0</v>
      </c>
      <c r="P217" s="24">
        <f t="shared" ca="1" si="2"/>
        <v>30025</v>
      </c>
      <c r="Q217" s="23">
        <f ca="1">IFERROR(__xludf.DUMMYFUNCTION("""COMPUTED_VALUE"""),0.6)</f>
        <v>0.6</v>
      </c>
      <c r="R217" s="20"/>
      <c r="S217" s="24">
        <f ca="1">IFERROR(__xludf.DUMMYFUNCTION("""COMPUTED_VALUE"""),0)</f>
        <v>0</v>
      </c>
      <c r="T217" s="24">
        <f ca="1">IFERROR(__xludf.DUMMYFUNCTION("""COMPUTED_VALUE"""),30025)</f>
        <v>30025</v>
      </c>
      <c r="U217" s="24">
        <f ca="1">IFERROR(__xludf.DUMMYFUNCTION("""COMPUTED_VALUE"""),30025)</f>
        <v>30025</v>
      </c>
      <c r="V217" s="24">
        <f ca="1">IFERROR(__xludf.DUMMYFUNCTION("""COMPUTED_VALUE"""),0)</f>
        <v>0</v>
      </c>
      <c r="W217" s="24">
        <f ca="1">IFERROR(__xludf.DUMMYFUNCTION("""COMPUTED_VALUE"""),0)</f>
        <v>0</v>
      </c>
      <c r="X217" s="24">
        <f ca="1">IFERROR(__xludf.DUMMYFUNCTION("""COMPUTED_VALUE"""),0)</f>
        <v>0</v>
      </c>
      <c r="Y217" s="24">
        <f t="shared" ca="1" si="3"/>
        <v>30025</v>
      </c>
      <c r="Z217" s="20">
        <f t="shared" ca="1" si="4"/>
        <v>0</v>
      </c>
      <c r="AA217" s="20"/>
      <c r="AB217" s="24">
        <f ca="1">IFERROR(__xludf.DUMMYFUNCTION("""COMPUTED_VALUE"""),0)</f>
        <v>0</v>
      </c>
      <c r="AC217" s="20"/>
      <c r="AD217" s="94">
        <f t="shared" ca="1" si="5"/>
        <v>0</v>
      </c>
      <c r="AE217" s="20"/>
      <c r="AF217" s="20"/>
      <c r="AG217" s="20"/>
      <c r="AH217" s="20"/>
      <c r="AI217" s="20"/>
      <c r="AJ217" s="20"/>
      <c r="AK217" s="20"/>
      <c r="AL217" s="20"/>
      <c r="AM217" s="20"/>
      <c r="AN217" s="20"/>
      <c r="AO217" s="20"/>
      <c r="AP217" s="20"/>
      <c r="AQ217" s="20"/>
      <c r="AR217" s="20"/>
      <c r="AS217" s="20"/>
      <c r="AT217" s="20"/>
    </row>
    <row r="218" spans="1:46" ht="48" x14ac:dyDescent="0.2">
      <c r="A218" s="20"/>
      <c r="B218" s="93"/>
      <c r="C218"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8" s="20" t="str">
        <f ca="1">IFERROR(__xludf.DUMMYFUNCTION("""COMPUTED_VALUE"""),"МинЖКХ")</f>
        <v>МинЖКХ</v>
      </c>
      <c r="E218" s="20" t="str">
        <f ca="1">IFERROR(__xludf.DUMMYFUNCTION("""COMPUTED_VALUE"""),"Реконструкция   ВЗУ, расположенного по адресу: Московская область, Можайский район, п.Колычево  (в т.ч. ПИР)")</f>
        <v>Реконструкция   ВЗУ, расположенного по адресу: Московская область, Можайский район, п.Колычево  (в т.ч. ПИР)</v>
      </c>
      <c r="F218" s="20" t="str">
        <f ca="1">IFERROR(__xludf.DUMMYFUNCTION("""COMPUTED_VALUE"""),"СМР")</f>
        <v>СМР</v>
      </c>
      <c r="G218" s="20" t="str">
        <f ca="1">IFERROR(__xludf.DUMMYFUNCTION("""COMPUTED_VALUE"""),"МинЖКХ г.о. Можайск")</f>
        <v>МинЖКХ г.о. Можайск</v>
      </c>
      <c r="H218" s="20">
        <f ca="1">IFERROR(__xludf.DUMMYFUNCTION("""COMPUTED_VALUE"""),2020)</f>
        <v>2020</v>
      </c>
      <c r="I218" s="20" t="str">
        <f ca="1">IFERROR(__xludf.DUMMYFUNCTION("""COMPUTED_VALUE"""),"10 1 02 40010")</f>
        <v>10 1 02 40010</v>
      </c>
      <c r="J218" s="20">
        <f ca="1">IFERROR(__xludf.DUMMYFUNCTION("""COMPUTED_VALUE"""),414)</f>
        <v>414</v>
      </c>
      <c r="K218" s="24">
        <f t="shared" ca="1" si="1"/>
        <v>53524</v>
      </c>
      <c r="L218" s="24">
        <f ca="1">IFERROR(__xludf.DUMMYFUNCTION("""COMPUTED_VALUE"""),53524)</f>
        <v>53524</v>
      </c>
      <c r="M218" s="24">
        <f ca="1">IFERROR(__xludf.DUMMYFUNCTION("""COMPUTED_VALUE"""),0)</f>
        <v>0</v>
      </c>
      <c r="N218" s="24">
        <f ca="1">IFERROR(__xludf.DUMMYFUNCTION("""COMPUTED_VALUE"""),0)</f>
        <v>0</v>
      </c>
      <c r="O218" s="24">
        <f ca="1">IFERROR(__xludf.DUMMYFUNCTION("""COMPUTED_VALUE"""),0)</f>
        <v>0</v>
      </c>
      <c r="P218" s="24">
        <f t="shared" ca="1" si="2"/>
        <v>53524</v>
      </c>
      <c r="Q218" s="23">
        <f ca="1">IFERROR(__xludf.DUMMYFUNCTION("""COMPUTED_VALUE"""),0.7)</f>
        <v>0.7</v>
      </c>
      <c r="R218" s="20"/>
      <c r="S218" s="24">
        <f ca="1">IFERROR(__xludf.DUMMYFUNCTION("""COMPUTED_VALUE"""),42100.43)</f>
        <v>42100.43</v>
      </c>
      <c r="T218" s="24">
        <f ca="1">IFERROR(__xludf.DUMMYFUNCTION("""COMPUTED_VALUE"""),11423.57)</f>
        <v>11423.57</v>
      </c>
      <c r="U218" s="24">
        <f ca="1">IFERROR(__xludf.DUMMYFUNCTION("""COMPUTED_VALUE"""),11423.57)</f>
        <v>11423.57</v>
      </c>
      <c r="V218" s="24">
        <f ca="1">IFERROR(__xludf.DUMMYFUNCTION("""COMPUTED_VALUE"""),0)</f>
        <v>0</v>
      </c>
      <c r="W218" s="24">
        <f ca="1">IFERROR(__xludf.DUMMYFUNCTION("""COMPUTED_VALUE"""),0)</f>
        <v>0</v>
      </c>
      <c r="X218" s="24">
        <f ca="1">IFERROR(__xludf.DUMMYFUNCTION("""COMPUTED_VALUE"""),0)</f>
        <v>0</v>
      </c>
      <c r="Y218" s="24">
        <f t="shared" ca="1" si="3"/>
        <v>11423.57</v>
      </c>
      <c r="Z218" s="20">
        <f t="shared" ca="1" si="4"/>
        <v>42100.43</v>
      </c>
      <c r="AA218" s="20"/>
      <c r="AB218" s="24">
        <f ca="1">IFERROR(__xludf.DUMMYFUNCTION("""COMPUTED_VALUE"""),42100.43)</f>
        <v>42100.43</v>
      </c>
      <c r="AC218" s="20"/>
      <c r="AD218" s="94">
        <f t="shared" ca="1" si="5"/>
        <v>0.78657107092145584</v>
      </c>
      <c r="AE218" s="20"/>
      <c r="AF218" s="20"/>
      <c r="AG218" s="20"/>
      <c r="AH218" s="20"/>
      <c r="AI218" s="20"/>
      <c r="AJ218" s="20"/>
      <c r="AK218" s="20"/>
      <c r="AL218" s="20"/>
      <c r="AM218" s="20"/>
      <c r="AN218" s="20"/>
      <c r="AO218" s="20"/>
      <c r="AP218" s="20"/>
      <c r="AQ218" s="20"/>
      <c r="AR218" s="20"/>
      <c r="AS218" s="20"/>
      <c r="AT218" s="20"/>
    </row>
    <row r="219" spans="1:46" ht="48" x14ac:dyDescent="0.2">
      <c r="A219" s="20"/>
      <c r="B219" s="95"/>
      <c r="C219"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9" s="20" t="str">
        <f ca="1">IFERROR(__xludf.DUMMYFUNCTION("""COMPUTED_VALUE"""),"МинЖКХ")</f>
        <v>МинЖКХ</v>
      </c>
      <c r="E219" s="20" t="str">
        <f ca="1">IFERROR(__xludf.DUMMYFUNCTION("""COMPUTED_VALUE"""),"Реконструкция  ВЗУ,  расположенного по адресу: Московская область, Можайский район, п.Поречье  (в т.ч. ПИР)")</f>
        <v>Реконструкция  ВЗУ,  расположенного по адресу: Московская область, Можайский район, п.Поречье  (в т.ч. ПИР)</v>
      </c>
      <c r="F219" s="20" t="str">
        <f ca="1">IFERROR(__xludf.DUMMYFUNCTION("""COMPUTED_VALUE"""),"СМР")</f>
        <v>СМР</v>
      </c>
      <c r="G219" s="20" t="str">
        <f ca="1">IFERROR(__xludf.DUMMYFUNCTION("""COMPUTED_VALUE"""),"МинЖКХ г.о. Можайск")</f>
        <v>МинЖКХ г.о. Можайск</v>
      </c>
      <c r="H219" s="20">
        <f ca="1">IFERROR(__xludf.DUMMYFUNCTION("""COMPUTED_VALUE"""),2020)</f>
        <v>2020</v>
      </c>
      <c r="I219" s="20" t="str">
        <f ca="1">IFERROR(__xludf.DUMMYFUNCTION("""COMPUTED_VALUE"""),"10 1 02 40010")</f>
        <v>10 1 02 40010</v>
      </c>
      <c r="J219" s="20">
        <f ca="1">IFERROR(__xludf.DUMMYFUNCTION("""COMPUTED_VALUE"""),414)</f>
        <v>414</v>
      </c>
      <c r="K219" s="24">
        <f t="shared" ca="1" si="1"/>
        <v>21260</v>
      </c>
      <c r="L219" s="24">
        <f ca="1">IFERROR(__xludf.DUMMYFUNCTION("""COMPUTED_VALUE"""),21260)</f>
        <v>21260</v>
      </c>
      <c r="M219" s="24">
        <f ca="1">IFERROR(__xludf.DUMMYFUNCTION("""COMPUTED_VALUE"""),0)</f>
        <v>0</v>
      </c>
      <c r="N219" s="24">
        <f ca="1">IFERROR(__xludf.DUMMYFUNCTION("""COMPUTED_VALUE"""),0)</f>
        <v>0</v>
      </c>
      <c r="O219" s="24">
        <f ca="1">IFERROR(__xludf.DUMMYFUNCTION("""COMPUTED_VALUE"""),0)</f>
        <v>0</v>
      </c>
      <c r="P219" s="24">
        <f t="shared" ca="1" si="2"/>
        <v>21260</v>
      </c>
      <c r="Q219" s="23">
        <f ca="1">IFERROR(__xludf.DUMMYFUNCTION("""COMPUTED_VALUE"""),0.4)</f>
        <v>0.4</v>
      </c>
      <c r="R219" s="20"/>
      <c r="S219" s="24">
        <f ca="1">IFERROR(__xludf.DUMMYFUNCTION("""COMPUTED_VALUE"""),20700)</f>
        <v>20700</v>
      </c>
      <c r="T219" s="24">
        <f ca="1">IFERROR(__xludf.DUMMYFUNCTION("""COMPUTED_VALUE"""),560)</f>
        <v>560</v>
      </c>
      <c r="U219" s="24">
        <f ca="1">IFERROR(__xludf.DUMMYFUNCTION("""COMPUTED_VALUE"""),560)</f>
        <v>560</v>
      </c>
      <c r="V219" s="24">
        <f ca="1">IFERROR(__xludf.DUMMYFUNCTION("""COMPUTED_VALUE"""),0)</f>
        <v>0</v>
      </c>
      <c r="W219" s="24">
        <f ca="1">IFERROR(__xludf.DUMMYFUNCTION("""COMPUTED_VALUE"""),0)</f>
        <v>0</v>
      </c>
      <c r="X219" s="24">
        <f ca="1">IFERROR(__xludf.DUMMYFUNCTION("""COMPUTED_VALUE"""),0)</f>
        <v>0</v>
      </c>
      <c r="Y219" s="24">
        <f t="shared" ca="1" si="3"/>
        <v>560</v>
      </c>
      <c r="Z219" s="20">
        <f t="shared" ca="1" si="4"/>
        <v>20700</v>
      </c>
      <c r="AA219" s="20"/>
      <c r="AB219" s="24">
        <f ca="1">IFERROR(__xludf.DUMMYFUNCTION("""COMPUTED_VALUE"""),20700)</f>
        <v>20700</v>
      </c>
      <c r="AC219" s="20"/>
      <c r="AD219" s="94">
        <f t="shared" ca="1" si="5"/>
        <v>0.97365945437441204</v>
      </c>
      <c r="AE219" s="20"/>
      <c r="AF219" s="20"/>
      <c r="AG219" s="20"/>
      <c r="AH219" s="20"/>
      <c r="AI219" s="20"/>
      <c r="AJ219" s="20"/>
      <c r="AK219" s="20"/>
      <c r="AL219" s="20"/>
      <c r="AM219" s="20"/>
      <c r="AN219" s="20"/>
      <c r="AO219" s="20"/>
      <c r="AP219" s="20"/>
      <c r="AQ219" s="20"/>
      <c r="AR219" s="20"/>
      <c r="AS219" s="20"/>
      <c r="AT219" s="20"/>
    </row>
    <row r="220" spans="1:46" ht="48" hidden="1" x14ac:dyDescent="0.2">
      <c r="A220" s="67"/>
      <c r="B220" s="100"/>
      <c r="C220" s="20" t="str">
        <f ca="1">IFERROR(__xludf.DUMMYFUNCTION("""COMPUTED_VALUE"""),"Мероприятие 5 - Финансовое обеспечение (возмещение) затрат, связанных с капитальным ремонтом объектов водоснабжения")</f>
        <v>Мероприятие 5 - Финансовое обеспечение (возмещение) затрат, связанных с капитальным ремонтом объектов водоснабжения</v>
      </c>
      <c r="D220" s="20" t="str">
        <f ca="1">IFERROR(__xludf.DUMMYFUNCTION("""COMPUTED_VALUE"""),"МинЖКХ")</f>
        <v>МинЖКХ</v>
      </c>
      <c r="E220" s="20" t="str">
        <f ca="1">IFERROR(__xludf.DUMMYFUNCTION("""COMPUTED_VALUE"""),"Капитальный ремонт   ВЗУ расположенного по адресу: Московская область, Можайский г.о., п. Бородинское поле")</f>
        <v>Капитальный ремонт   ВЗУ расположенного по адресу: Московская область, Можайский г.о., п. Бородинское поле</v>
      </c>
      <c r="F220" s="67" t="str">
        <f ca="1">IFERROR(__xludf.DUMMYFUNCTION("""COMPUTED_VALUE"""),"СМР")</f>
        <v>СМР</v>
      </c>
      <c r="G220" s="67" t="str">
        <f ca="1">IFERROR(__xludf.DUMMYFUNCTION("""COMPUTED_VALUE"""),"г.о. Можайск")</f>
        <v>г.о. Можайск</v>
      </c>
      <c r="H220" s="67" t="str">
        <f ca="1">IFERROR(__xludf.DUMMYFUNCTION("""COMPUTED_VALUE"""),"Н/Л")</f>
        <v>Н/Л</v>
      </c>
      <c r="I220" s="67" t="str">
        <f ca="1">IFERROR(__xludf.DUMMYFUNCTION("""COMPUTED_VALUE"""),"10 1 01 00080")</f>
        <v>10 1 01 00080</v>
      </c>
      <c r="J220" s="67">
        <f ca="1">IFERROR(__xludf.DUMMYFUNCTION("""COMPUTED_VALUE"""),812)</f>
        <v>812</v>
      </c>
      <c r="K220" s="97">
        <f t="shared" ca="1" si="1"/>
        <v>0</v>
      </c>
      <c r="L220" s="97">
        <f ca="1">IFERROR(__xludf.DUMMYFUNCTION("""COMPUTED_VALUE"""),0)</f>
        <v>0</v>
      </c>
      <c r="M220" s="97">
        <f ca="1">IFERROR(__xludf.DUMMYFUNCTION("""COMPUTED_VALUE"""),0)</f>
        <v>0</v>
      </c>
      <c r="N220" s="97">
        <f ca="1">IFERROR(__xludf.DUMMYFUNCTION("""COMPUTED_VALUE"""),0)</f>
        <v>0</v>
      </c>
      <c r="O220" s="97">
        <f ca="1">IFERROR(__xludf.DUMMYFUNCTION("""COMPUTED_VALUE"""),0)</f>
        <v>0</v>
      </c>
      <c r="P220" s="97">
        <f t="shared" ca="1" si="2"/>
        <v>0</v>
      </c>
      <c r="Q220" s="67"/>
      <c r="R220" s="67"/>
      <c r="S220" s="97">
        <f ca="1">IFERROR(__xludf.DUMMYFUNCTION("""COMPUTED_VALUE"""),0)</f>
        <v>0</v>
      </c>
      <c r="T220" s="97">
        <f ca="1">IFERROR(__xludf.DUMMYFUNCTION("""COMPUTED_VALUE"""),0)</f>
        <v>0</v>
      </c>
      <c r="U220" s="97">
        <f ca="1">IFERROR(__xludf.DUMMYFUNCTION("""COMPUTED_VALUE"""),0)</f>
        <v>0</v>
      </c>
      <c r="V220" s="97">
        <f ca="1">IFERROR(__xludf.DUMMYFUNCTION("""COMPUTED_VALUE"""),0)</f>
        <v>0</v>
      </c>
      <c r="W220" s="97">
        <f ca="1">IFERROR(__xludf.DUMMYFUNCTION("""COMPUTED_VALUE"""),0)</f>
        <v>0</v>
      </c>
      <c r="X220" s="97">
        <f ca="1">IFERROR(__xludf.DUMMYFUNCTION("""COMPUTED_VALUE"""),0)</f>
        <v>0</v>
      </c>
      <c r="Y220" s="97">
        <f t="shared" ca="1" si="3"/>
        <v>0</v>
      </c>
      <c r="Z220" s="67">
        <f t="shared" si="4"/>
        <v>0</v>
      </c>
      <c r="AA220" s="67"/>
      <c r="AB220" s="67"/>
      <c r="AC220" s="67"/>
      <c r="AD220" s="99" t="e">
        <f t="shared" ca="1" si="5"/>
        <v>#DIV/0!</v>
      </c>
      <c r="AE220" s="67"/>
      <c r="AF220" s="67"/>
      <c r="AG220" s="67"/>
      <c r="AH220" s="67"/>
      <c r="AI220" s="67"/>
      <c r="AJ220" s="67"/>
      <c r="AK220" s="67"/>
      <c r="AL220" s="67"/>
      <c r="AM220" s="67"/>
      <c r="AN220" s="67"/>
      <c r="AO220" s="67"/>
      <c r="AP220" s="67"/>
      <c r="AQ220" s="67"/>
      <c r="AR220" s="67"/>
      <c r="AS220" s="67"/>
      <c r="AT220" s="67"/>
    </row>
    <row r="221" spans="1:46" ht="96" x14ac:dyDescent="0.2">
      <c r="A221" s="20" t="str">
        <f ca="1">IFERROR(__xludf.DUMMYFUNCTION("""COMPUTED_VALUE"""),"Проведён аукцион. Плановая дата заключения контракта 30.11.2020. Выплата аванса до 10.12.2020")</f>
        <v>Проведён аукцион. Плановая дата заключения контракта 30.11.2020. Выплата аванса до 10.12.2020</v>
      </c>
      <c r="B221" s="93"/>
      <c r="C22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1" s="20" t="str">
        <f ca="1">IFERROR(__xludf.DUMMYFUNCTION("""COMPUTED_VALUE"""),"МинЖКХ")</f>
        <v>МинЖКХ</v>
      </c>
      <c r="E221" s="20" t="str">
        <f ca="1">IFERROR(__xludf.DUMMYFUNCTION("""COMPUTED_VALUE"""),"Строительство городских канализационных очистных сооружений в г. Лыткарино производительностью 30 000 м куб. в сутки")</f>
        <v>Строительство городских канализационных очистных сооружений в г. Лыткарино производительностью 30 000 м куб. в сутки</v>
      </c>
      <c r="F221" s="20" t="str">
        <f ca="1">IFERROR(__xludf.DUMMYFUNCTION("""COMPUTED_VALUE"""),"СМР")</f>
        <v>СМР</v>
      </c>
      <c r="G221" s="20" t="str">
        <f ca="1">IFERROR(__xludf.DUMMYFUNCTION("""COMPUTED_VALUE"""),"г.о. Лыткарино")</f>
        <v>г.о. Лыткарино</v>
      </c>
      <c r="H221" s="20" t="str">
        <f ca="1">IFERROR(__xludf.DUMMYFUNCTION("""COMPUTED_VALUE"""),"2020-2022")</f>
        <v>2020-2022</v>
      </c>
      <c r="I221" s="20" t="str">
        <f ca="1">IFERROR(__xludf.DUMMYFUNCTION("""COMPUTED_VALUE"""),"10 2 G6 50130")</f>
        <v>10 2 G6 50130</v>
      </c>
      <c r="J221" s="20">
        <f ca="1">IFERROR(__xludf.DUMMYFUNCTION("""COMPUTED_VALUE"""),522)</f>
        <v>522</v>
      </c>
      <c r="K221" s="24">
        <f t="shared" ca="1" si="1"/>
        <v>869636.9</v>
      </c>
      <c r="L221" s="24">
        <f ca="1">IFERROR(__xludf.DUMMYFUNCTION("""COMPUTED_VALUE"""),215235.13)</f>
        <v>215235.13</v>
      </c>
      <c r="M221" s="24">
        <f ca="1">IFERROR(__xludf.DUMMYFUNCTION("""COMPUTED_VALUE"""),645705.4)</f>
        <v>645705.4</v>
      </c>
      <c r="N221" s="24">
        <f ca="1">IFERROR(__xludf.DUMMYFUNCTION("""COMPUTED_VALUE"""),0)</f>
        <v>0</v>
      </c>
      <c r="O221" s="24">
        <f ca="1">IFERROR(__xludf.DUMMYFUNCTION("""COMPUTED_VALUE"""),8696.37)</f>
        <v>8696.3700000000008</v>
      </c>
      <c r="P221" s="24">
        <f t="shared" ca="1" si="2"/>
        <v>860940.53</v>
      </c>
      <c r="Q221" s="20">
        <f ca="1">IFERROR(__xludf.DUMMYFUNCTION("""COMPUTED_VALUE"""),0)</f>
        <v>0</v>
      </c>
      <c r="R221" s="20"/>
      <c r="S221" s="24">
        <f ca="1">IFERROR(__xludf.DUMMYFUNCTION("""COMPUTED_VALUE"""),860870.65)</f>
        <v>860870.65</v>
      </c>
      <c r="T221" s="24">
        <f ca="1">IFERROR(__xludf.DUMMYFUNCTION("""COMPUTED_VALUE"""),8766.25)</f>
        <v>8766.25</v>
      </c>
      <c r="U221" s="24">
        <f ca="1">IFERROR(__xludf.DUMMYFUNCTION("""COMPUTED_VALUE"""),17.4700000000011)</f>
        <v>17.4700000000011</v>
      </c>
      <c r="V221" s="24">
        <f ca="1">IFERROR(__xludf.DUMMYFUNCTION("""COMPUTED_VALUE"""),52.4100000000325)</f>
        <v>52.410000000032497</v>
      </c>
      <c r="W221" s="24">
        <f ca="1">IFERROR(__xludf.DUMMYFUNCTION("""COMPUTED_VALUE"""),0)</f>
        <v>0</v>
      </c>
      <c r="X221" s="24">
        <f ca="1">IFERROR(__xludf.DUMMYFUNCTION("""COMPUTED_VALUE"""),8696.37)</f>
        <v>8696.3700000000008</v>
      </c>
      <c r="Y221" s="24">
        <f t="shared" ca="1" si="3"/>
        <v>69.88000000003359</v>
      </c>
      <c r="Z221" s="24">
        <f t="shared" ca="1" si="4"/>
        <v>860870.65</v>
      </c>
      <c r="AA221" s="24">
        <f ca="1">IFERROR(__xludf.DUMMYFUNCTION("""COMPUTED_VALUE"""),645652.99)</f>
        <v>645652.99</v>
      </c>
      <c r="AB221" s="24">
        <f ca="1">IFERROR(__xludf.DUMMYFUNCTION("""COMPUTED_VALUE"""),215217.66)</f>
        <v>215217.66</v>
      </c>
      <c r="AC221" s="24">
        <f ca="1">IFERROR(__xludf.DUMMYFUNCTION("""COMPUTED_VALUE"""),0)</f>
        <v>0</v>
      </c>
      <c r="AD221" s="94">
        <f t="shared" ca="1" si="5"/>
        <v>0.99991883295353745</v>
      </c>
      <c r="AE221" s="20"/>
      <c r="AF221" s="20"/>
      <c r="AG221" s="20"/>
      <c r="AH221" s="20"/>
      <c r="AI221" s="20"/>
      <c r="AJ221" s="20"/>
      <c r="AK221" s="20"/>
      <c r="AL221" s="20"/>
      <c r="AM221" s="20"/>
      <c r="AN221" s="20"/>
      <c r="AO221" s="20"/>
      <c r="AP221" s="20"/>
      <c r="AQ221" s="20"/>
      <c r="AR221" s="20"/>
      <c r="AS221" s="20"/>
      <c r="AT221" s="20"/>
    </row>
    <row r="222" spans="1:46" ht="96" x14ac:dyDescent="0.2">
      <c r="A222" s="20"/>
      <c r="B222" s="93"/>
      <c r="C22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2" s="20" t="str">
        <f ca="1">IFERROR(__xludf.DUMMYFUNCTION("""COMPUTED_VALUE"""),"МинЖКХ")</f>
        <v>МинЖКХ</v>
      </c>
      <c r="E222" s="20" t="str">
        <f ca="1">IFERROR(__xludf.DUMMYFUNCTION("""COMPUTED_VALUE"""),"Реконструкция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f>
        <v>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v>
      </c>
      <c r="F222" s="20" t="str">
        <f ca="1">IFERROR(__xludf.DUMMYFUNCTION("""COMPUTED_VALUE"""),"СМР")</f>
        <v>СМР</v>
      </c>
      <c r="G222" s="20" t="str">
        <f ca="1">IFERROR(__xludf.DUMMYFUNCTION("""COMPUTED_VALUE"""),"г.о. Подольск")</f>
        <v>г.о. Подольск</v>
      </c>
      <c r="H222" s="20" t="str">
        <f ca="1">IFERROR(__xludf.DUMMYFUNCTION("""COMPUTED_VALUE"""),"2019-2020")</f>
        <v>2019-2020</v>
      </c>
      <c r="I222" s="20" t="str">
        <f ca="1">IFERROR(__xludf.DUMMYFUNCTION("""COMPUTED_VALUE"""),"10 2 G6 50130")</f>
        <v>10 2 G6 50130</v>
      </c>
      <c r="J222" s="20">
        <f ca="1">IFERROR(__xludf.DUMMYFUNCTION("""COMPUTED_VALUE"""),522)</f>
        <v>522</v>
      </c>
      <c r="K222" s="24">
        <f t="shared" ca="1" si="1"/>
        <v>770285.91</v>
      </c>
      <c r="L222" s="24">
        <f ca="1">IFERROR(__xludf.DUMMYFUNCTION("""COMPUTED_VALUE"""),0)</f>
        <v>0</v>
      </c>
      <c r="M222" s="24">
        <f ca="1">IFERROR(__xludf.DUMMYFUNCTION("""COMPUTED_VALUE"""),571937.29)</f>
        <v>571937.29</v>
      </c>
      <c r="N222" s="24">
        <f ca="1">IFERROR(__xludf.DUMMYFUNCTION("""COMPUTED_VALUE"""),190645.76)</f>
        <v>190645.76000000001</v>
      </c>
      <c r="O222" s="24">
        <f ca="1">IFERROR(__xludf.DUMMYFUNCTION("""COMPUTED_VALUE"""),7702.86)</f>
        <v>7702.86</v>
      </c>
      <c r="P222" s="24">
        <f t="shared" ca="1" si="2"/>
        <v>762583.05</v>
      </c>
      <c r="Q222" s="20">
        <f ca="1">IFERROR(__xludf.DUMMYFUNCTION("""COMPUTED_VALUE"""),100)</f>
        <v>100</v>
      </c>
      <c r="R222" s="20"/>
      <c r="S222" s="24">
        <f ca="1">IFERROR(__xludf.DUMMYFUNCTION("""COMPUTED_VALUE"""),755444.168)</f>
        <v>755444.16799999995</v>
      </c>
      <c r="T222" s="24">
        <f ca="1">IFERROR(__xludf.DUMMYFUNCTION("""COMPUTED_VALUE"""),14841.7419999999)</f>
        <v>14841.7419999999</v>
      </c>
      <c r="U222" s="24">
        <f ca="1">IFERROR(__xludf.DUMMYFUNCTION("""COMPUTED_VALUE"""),0)</f>
        <v>0</v>
      </c>
      <c r="V222" s="24">
        <f ca="1">IFERROR(__xludf.DUMMYFUNCTION("""COMPUTED_VALUE"""),9369.90000000002)</f>
        <v>9369.9000000000196</v>
      </c>
      <c r="W222" s="24">
        <f ca="1">IFERROR(__xludf.DUMMYFUNCTION("""COMPUTED_VALUE"""),3123.30000000001)</f>
        <v>3123.3000000000102</v>
      </c>
      <c r="X222" s="24">
        <f ca="1">IFERROR(__xludf.DUMMYFUNCTION("""COMPUTED_VALUE"""),2348.54199999999)</f>
        <v>2348.5419999999899</v>
      </c>
      <c r="Y222" s="24">
        <f t="shared" ca="1" si="3"/>
        <v>12493.20000000003</v>
      </c>
      <c r="Z222" s="24">
        <f t="shared" ca="1" si="4"/>
        <v>750089.85</v>
      </c>
      <c r="AA222" s="24">
        <f ca="1">IFERROR(__xludf.DUMMYFUNCTION("""COMPUTED_VALUE"""),562567.39)</f>
        <v>562567.39</v>
      </c>
      <c r="AB222" s="24">
        <f ca="1">IFERROR(__xludf.DUMMYFUNCTION("""COMPUTED_VALUE"""),0)</f>
        <v>0</v>
      </c>
      <c r="AC222" s="24">
        <f ca="1">IFERROR(__xludf.DUMMYFUNCTION("""COMPUTED_VALUE"""),187522.46)</f>
        <v>187522.46</v>
      </c>
      <c r="AD222" s="94">
        <f t="shared" ca="1" si="5"/>
        <v>0.98361725978567183</v>
      </c>
      <c r="AE222" s="20"/>
      <c r="AF222" s="20"/>
      <c r="AG222" s="20"/>
      <c r="AH222" s="20"/>
      <c r="AI222" s="20"/>
      <c r="AJ222" s="20"/>
      <c r="AK222" s="20"/>
      <c r="AL222" s="20"/>
      <c r="AM222" s="20"/>
      <c r="AN222" s="20"/>
      <c r="AO222" s="20"/>
      <c r="AP222" s="20"/>
      <c r="AQ222" s="20"/>
      <c r="AR222" s="20"/>
      <c r="AS222" s="20"/>
      <c r="AT222" s="20"/>
    </row>
    <row r="223" spans="1:46" ht="96" x14ac:dyDescent="0.2">
      <c r="A223" s="20"/>
      <c r="B223" s="93"/>
      <c r="C22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3" s="20" t="str">
        <f ca="1">IFERROR(__xludf.DUMMYFUNCTION("""COMPUTED_VALUE"""),"МинЖКХ")</f>
        <v>МинЖКХ</v>
      </c>
      <c r="E223" s="20" t="str">
        <f ca="1">IFERROR(__xludf.DUMMYFUNCTION("""COMPUTED_VALUE"""),"Канализационный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f>
        <v>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v>
      </c>
      <c r="F223" s="20" t="str">
        <f ca="1">IFERROR(__xludf.DUMMYFUNCTION("""COMPUTED_VALUE"""),"СМР")</f>
        <v>СМР</v>
      </c>
      <c r="G223" s="20" t="str">
        <f ca="1">IFERROR(__xludf.DUMMYFUNCTION("""COMPUTED_VALUE"""),"г.о. Подольск")</f>
        <v>г.о. Подольск</v>
      </c>
      <c r="H223" s="20" t="str">
        <f ca="1">IFERROR(__xludf.DUMMYFUNCTION("""COMPUTED_VALUE"""),"2019-2020")</f>
        <v>2019-2020</v>
      </c>
      <c r="I223" s="20" t="str">
        <f ca="1">IFERROR(__xludf.DUMMYFUNCTION("""COMPUTED_VALUE"""),"10 2 G6 50130")</f>
        <v>10 2 G6 50130</v>
      </c>
      <c r="J223" s="20">
        <f ca="1">IFERROR(__xludf.DUMMYFUNCTION("""COMPUTED_VALUE"""),522)</f>
        <v>522</v>
      </c>
      <c r="K223" s="24">
        <f t="shared" ca="1" si="1"/>
        <v>375404.04</v>
      </c>
      <c r="L223" s="24">
        <f ca="1">IFERROR(__xludf.DUMMYFUNCTION("""COMPUTED_VALUE"""),0)</f>
        <v>0</v>
      </c>
      <c r="M223" s="24">
        <f ca="1">IFERROR(__xludf.DUMMYFUNCTION("""COMPUTED_VALUE"""),278737.5)</f>
        <v>278737.5</v>
      </c>
      <c r="N223" s="24">
        <f ca="1">IFERROR(__xludf.DUMMYFUNCTION("""COMPUTED_VALUE"""),92912.5)</f>
        <v>92912.5</v>
      </c>
      <c r="O223" s="24">
        <f ca="1">IFERROR(__xludf.DUMMYFUNCTION("""COMPUTED_VALUE"""),3754.04)</f>
        <v>3754.04</v>
      </c>
      <c r="P223" s="24">
        <f t="shared" ca="1" si="2"/>
        <v>371650</v>
      </c>
      <c r="Q223" s="20">
        <f ca="1">IFERROR(__xludf.DUMMYFUNCTION("""COMPUTED_VALUE"""),100)</f>
        <v>100</v>
      </c>
      <c r="R223" s="20"/>
      <c r="S223" s="24">
        <f ca="1">IFERROR(__xludf.DUMMYFUNCTION("""COMPUTED_VALUE"""),349881.93)</f>
        <v>349881.93</v>
      </c>
      <c r="T223" s="24">
        <f ca="1">IFERROR(__xludf.DUMMYFUNCTION("""COMPUTED_VALUE"""),25522.1099999999)</f>
        <v>25522.109999999899</v>
      </c>
      <c r="U223" s="24">
        <f ca="1">IFERROR(__xludf.DUMMYFUNCTION("""COMPUTED_VALUE"""),0)</f>
        <v>0</v>
      </c>
      <c r="V223" s="24">
        <f ca="1">IFERROR(__xludf.DUMMYFUNCTION("""COMPUTED_VALUE"""),18948.72)</f>
        <v>18948.72</v>
      </c>
      <c r="W223" s="24">
        <f ca="1">IFERROR(__xludf.DUMMYFUNCTION("""COMPUTED_VALUE"""),6316.24)</f>
        <v>6316.24</v>
      </c>
      <c r="X223" s="24">
        <f ca="1">IFERROR(__xludf.DUMMYFUNCTION("""COMPUTED_VALUE"""),257.15)</f>
        <v>257.14999999999998</v>
      </c>
      <c r="Y223" s="24">
        <f t="shared" ca="1" si="3"/>
        <v>25264.959999999999</v>
      </c>
      <c r="Z223" s="24">
        <f t="shared" ca="1" si="4"/>
        <v>346385.04</v>
      </c>
      <c r="AA223" s="24">
        <f ca="1">IFERROR(__xludf.DUMMYFUNCTION("""COMPUTED_VALUE"""),259788.78)</f>
        <v>259788.78</v>
      </c>
      <c r="AB223" s="24">
        <f ca="1">IFERROR(__xludf.DUMMYFUNCTION("""COMPUTED_VALUE"""),0)</f>
        <v>0</v>
      </c>
      <c r="AC223" s="24">
        <f ca="1">IFERROR(__xludf.DUMMYFUNCTION("""COMPUTED_VALUE"""),86596.26)</f>
        <v>86596.26</v>
      </c>
      <c r="AD223" s="94">
        <f t="shared" ca="1" si="5"/>
        <v>0.93201948069420149</v>
      </c>
      <c r="AE223" s="20"/>
      <c r="AF223" s="20"/>
      <c r="AG223" s="20"/>
      <c r="AH223" s="20"/>
      <c r="AI223" s="20"/>
      <c r="AJ223" s="20"/>
      <c r="AK223" s="20"/>
      <c r="AL223" s="20"/>
      <c r="AM223" s="20"/>
      <c r="AN223" s="20"/>
      <c r="AO223" s="20"/>
      <c r="AP223" s="20"/>
      <c r="AQ223" s="20"/>
      <c r="AR223" s="20"/>
      <c r="AS223" s="20"/>
      <c r="AT223" s="20"/>
    </row>
    <row r="224" spans="1:46" ht="96" x14ac:dyDescent="0.2">
      <c r="A224" s="20" t="str">
        <f ca="1">IFERROR(__xludf.DUMMYFUNCTION("""COMPUTED_VALUE"""),"Перенос средств 2020 в размере 339 653,89 на ЩМОС в связи с риском неосвоения. Видео камеры не установлены. 18.11.2020 загрузили документацию в ИСОГД. 20.11.2020 получены замечания. ")</f>
        <v xml:space="preserve">Перенос средств 2020 в размере 339 653,89 на ЩМОС в связи с риском неосвоения. Видео камеры не установлены. 18.11.2020 загрузили документацию в ИСОГД. 20.11.2020 получены замечания. </v>
      </c>
      <c r="B224" s="93"/>
      <c r="C22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4" s="20" t="str">
        <f ca="1">IFERROR(__xludf.DUMMYFUNCTION("""COMPUTED_VALUE"""),"МинЖКХ")</f>
        <v>МинЖКХ</v>
      </c>
      <c r="E224" s="20" t="str">
        <f ca="1">IFERROR(__xludf.DUMMYFUNCTION("""COMPUTED_VALUE"""),"Строительство очистных сооружений г. Шатура ул. Малькина Грива ")</f>
        <v xml:space="preserve">Строительство очистных сооружений г. Шатура ул. Малькина Грива </v>
      </c>
      <c r="F224" s="20" t="str">
        <f ca="1">IFERROR(__xludf.DUMMYFUNCTION("""COMPUTED_VALUE"""),"СМР")</f>
        <v>СМР</v>
      </c>
      <c r="G224" s="20" t="str">
        <f ca="1">IFERROR(__xludf.DUMMYFUNCTION("""COMPUTED_VALUE"""),"г.о. Шатура")</f>
        <v>г.о. Шатура</v>
      </c>
      <c r="H224" s="20" t="str">
        <f ca="1">IFERROR(__xludf.DUMMYFUNCTION("""COMPUTED_VALUE"""),"2020-2021")</f>
        <v>2020-2021</v>
      </c>
      <c r="I224" s="20" t="str">
        <f ca="1">IFERROR(__xludf.DUMMYFUNCTION("""COMPUTED_VALUE"""),"10 2 G6 50130")</f>
        <v>10 2 G6 50130</v>
      </c>
      <c r="J224" s="20">
        <f ca="1">IFERROR(__xludf.DUMMYFUNCTION("""COMPUTED_VALUE"""),522)</f>
        <v>522</v>
      </c>
      <c r="K224" s="24">
        <f t="shared" ca="1" si="1"/>
        <v>487977.08</v>
      </c>
      <c r="L224" s="24">
        <f ca="1">IFERROR(__xludf.DUMMYFUNCTION("""COMPUTED_VALUE"""),120774.38)</f>
        <v>120774.38</v>
      </c>
      <c r="M224" s="24">
        <f ca="1">IFERROR(__xludf.DUMMYFUNCTION("""COMPUTED_VALUE"""),362322.9)</f>
        <v>362322.9</v>
      </c>
      <c r="N224" s="24">
        <f ca="1">IFERROR(__xludf.DUMMYFUNCTION("""COMPUTED_VALUE"""),0)</f>
        <v>0</v>
      </c>
      <c r="O224" s="24">
        <f ca="1">IFERROR(__xludf.DUMMYFUNCTION("""COMPUTED_VALUE"""),4879.8)</f>
        <v>4879.8</v>
      </c>
      <c r="P224" s="24">
        <f t="shared" ca="1" si="2"/>
        <v>483097.28</v>
      </c>
      <c r="Q224" s="20">
        <f ca="1">IFERROR(__xludf.DUMMYFUNCTION("""COMPUTED_VALUE"""),0)</f>
        <v>0</v>
      </c>
      <c r="R224" s="20"/>
      <c r="S224" s="24">
        <f ca="1">IFERROR(__xludf.DUMMYFUNCTION("""COMPUTED_VALUE"""),487089.829999999)</f>
        <v>487089.82999999903</v>
      </c>
      <c r="T224" s="24">
        <f ca="1">IFERROR(__xludf.DUMMYFUNCTION("""COMPUTED_VALUE"""),887.250000000058)</f>
        <v>887.25000000005798</v>
      </c>
      <c r="U224" s="24">
        <f ca="1">IFERROR(__xludf.DUMMYFUNCTION("""COMPUTED_VALUE"""),119.010000000009)</f>
        <v>119.010000000009</v>
      </c>
      <c r="V224" s="24">
        <f ca="1">IFERROR(__xludf.DUMMYFUNCTION("""COMPUTED_VALUE"""),356.790000000037)</f>
        <v>356.79000000003703</v>
      </c>
      <c r="W224" s="24">
        <f ca="1">IFERROR(__xludf.DUMMYFUNCTION("""COMPUTED_VALUE"""),0)</f>
        <v>0</v>
      </c>
      <c r="X224" s="24">
        <f ca="1">IFERROR(__xludf.DUMMYFUNCTION("""COMPUTED_VALUE"""),411.449999999999)</f>
        <v>411.44999999999902</v>
      </c>
      <c r="Y224" s="24">
        <f t="shared" ca="1" si="3"/>
        <v>475.800000000046</v>
      </c>
      <c r="Z224" s="24">
        <f t="shared" ca="1" si="4"/>
        <v>482621.48</v>
      </c>
      <c r="AA224" s="24">
        <f ca="1">IFERROR(__xludf.DUMMYFUNCTION("""COMPUTED_VALUE"""),361966.11)</f>
        <v>361966.11</v>
      </c>
      <c r="AB224" s="24">
        <f ca="1">IFERROR(__xludf.DUMMYFUNCTION("""COMPUTED_VALUE"""),120655.37)</f>
        <v>120655.37</v>
      </c>
      <c r="AC224" s="24">
        <f ca="1">IFERROR(__xludf.DUMMYFUNCTION("""COMPUTED_VALUE"""),0)</f>
        <v>0</v>
      </c>
      <c r="AD224" s="94">
        <f t="shared" ca="1" si="5"/>
        <v>0.99901510519785985</v>
      </c>
      <c r="AE224" s="20"/>
      <c r="AF224" s="20"/>
      <c r="AG224" s="20"/>
      <c r="AH224" s="20"/>
      <c r="AI224" s="20"/>
      <c r="AJ224" s="20"/>
      <c r="AK224" s="20"/>
      <c r="AL224" s="20"/>
      <c r="AM224" s="20"/>
      <c r="AN224" s="20"/>
      <c r="AO224" s="20"/>
      <c r="AP224" s="20"/>
      <c r="AQ224" s="20"/>
      <c r="AR224" s="20"/>
      <c r="AS224" s="20"/>
      <c r="AT224" s="20"/>
    </row>
    <row r="225" spans="1:46" ht="60" x14ac:dyDescent="0.2">
      <c r="A225" s="20"/>
      <c r="B225" s="95"/>
      <c r="C225" s="20" t="str">
        <f ca="1">IFERROR(__xludf.DUMMYFUNCTION("""COMPUTED_VALUE"""),"Субсидия  государственным унитарным предприятиям Московской области на осуществление строительства (реконструкции) объектов очистки сточных вод")</f>
        <v>Субсидия  государственным унитарным предприятиям Московской области на осуществление строительства (реконструкции) объектов очистки сточных вод</v>
      </c>
      <c r="D225" s="20" t="str">
        <f ca="1">IFERROR(__xludf.DUMMYFUNCTION("""COMPUTED_VALUE"""),"МинЖКХ")</f>
        <v>МинЖКХ</v>
      </c>
      <c r="E225" s="20" t="str">
        <f ca="1">IFERROR(__xludf.DUMMYFUNCTION("""COMPUTED_VALUE"""),"Реконструкция Щелковских межрайонных очистных сооружений ")</f>
        <v xml:space="preserve">Реконструкция Щелковских межрайонных очистных сооружений </v>
      </c>
      <c r="F225" s="20" t="str">
        <f ca="1">IFERROR(__xludf.DUMMYFUNCTION("""COMPUTED_VALUE"""),"СМР")</f>
        <v>СМР</v>
      </c>
      <c r="G225" s="20" t="str">
        <f ca="1">IFERROR(__xludf.DUMMYFUNCTION("""COMPUTED_VALUE"""),"КСМО")</f>
        <v>КСМО</v>
      </c>
      <c r="H225" s="20" t="str">
        <f ca="1">IFERROR(__xludf.DUMMYFUNCTION("""COMPUTED_VALUE"""),"2019-2024")</f>
        <v>2019-2024</v>
      </c>
      <c r="I225" s="20" t="str">
        <f ca="1">IFERROR(__xludf.DUMMYFUNCTION("""COMPUTED_VALUE"""),"10 2 G6 50130")</f>
        <v>10 2 G6 50130</v>
      </c>
      <c r="J225" s="20">
        <f ca="1">IFERROR(__xludf.DUMMYFUNCTION("""COMPUTED_VALUE"""),466)</f>
        <v>466</v>
      </c>
      <c r="K225" s="24">
        <f t="shared" ca="1" si="1"/>
        <v>3234474.67</v>
      </c>
      <c r="L225" s="24">
        <f ca="1">IFERROR(__xludf.DUMMYFUNCTION("""COMPUTED_VALUE"""),533862)</f>
        <v>533862</v>
      </c>
      <c r="M225" s="24">
        <f ca="1">IFERROR(__xludf.DUMMYFUNCTION("""COMPUTED_VALUE"""),2167296.5)</f>
        <v>2167296.5</v>
      </c>
      <c r="N225" s="24">
        <f ca="1">IFERROR(__xludf.DUMMYFUNCTION("""COMPUTED_VALUE"""),533316.17)</f>
        <v>533316.17000000004</v>
      </c>
      <c r="O225" s="24">
        <f ca="1">IFERROR(__xludf.DUMMYFUNCTION("""COMPUTED_VALUE"""),0)</f>
        <v>0</v>
      </c>
      <c r="P225" s="24">
        <f t="shared" ca="1" si="2"/>
        <v>3234474.67</v>
      </c>
      <c r="Q225" s="20">
        <f ca="1">IFERROR(__xludf.DUMMYFUNCTION("""COMPUTED_VALUE"""),6)</f>
        <v>6</v>
      </c>
      <c r="R225" s="20"/>
      <c r="S225" s="24">
        <f ca="1">IFERROR(__xludf.DUMMYFUNCTION("""COMPUTED_VALUE"""),3234474.67)</f>
        <v>3234474.67</v>
      </c>
      <c r="T225" s="24">
        <f ca="1">IFERROR(__xludf.DUMMYFUNCTION("""COMPUTED_VALUE"""),0)</f>
        <v>0</v>
      </c>
      <c r="U225" s="24">
        <f ca="1">IFERROR(__xludf.DUMMYFUNCTION("""COMPUTED_VALUE"""),0)</f>
        <v>0</v>
      </c>
      <c r="V225" s="24">
        <f ca="1">IFERROR(__xludf.DUMMYFUNCTION("""COMPUTED_VALUE"""),0)</f>
        <v>0</v>
      </c>
      <c r="W225" s="24">
        <f ca="1">IFERROR(__xludf.DUMMYFUNCTION("""COMPUTED_VALUE"""),0)</f>
        <v>0</v>
      </c>
      <c r="X225" s="24">
        <f ca="1">IFERROR(__xludf.DUMMYFUNCTION("""COMPUTED_VALUE"""),0)</f>
        <v>0</v>
      </c>
      <c r="Y225" s="24">
        <f t="shared" ca="1" si="3"/>
        <v>0</v>
      </c>
      <c r="Z225" s="24">
        <f t="shared" ca="1" si="4"/>
        <v>3234474.67</v>
      </c>
      <c r="AA225" s="24">
        <f ca="1">IFERROR(__xludf.DUMMYFUNCTION("""COMPUTED_VALUE"""),2167296.5)</f>
        <v>2167296.5</v>
      </c>
      <c r="AB225" s="24">
        <f ca="1">IFERROR(__xludf.DUMMYFUNCTION("""COMPUTED_VALUE"""),533862)</f>
        <v>533862</v>
      </c>
      <c r="AC225" s="24">
        <f ca="1">IFERROR(__xludf.DUMMYFUNCTION("""COMPUTED_VALUE"""),533316.17)</f>
        <v>533316.17000000004</v>
      </c>
      <c r="AD225" s="94">
        <f t="shared" ca="1" si="5"/>
        <v>1</v>
      </c>
      <c r="AE225" s="20"/>
      <c r="AF225" s="20"/>
      <c r="AG225" s="20"/>
      <c r="AH225" s="20"/>
      <c r="AI225" s="20"/>
      <c r="AJ225" s="20"/>
      <c r="AK225" s="20"/>
      <c r="AL225" s="20"/>
      <c r="AM225" s="20"/>
      <c r="AN225" s="20"/>
      <c r="AO225" s="20"/>
      <c r="AP225" s="20"/>
      <c r="AQ225" s="20"/>
      <c r="AR225" s="20"/>
      <c r="AS225" s="20"/>
      <c r="AT225" s="20"/>
    </row>
    <row r="226" spans="1:46" ht="72" hidden="1" x14ac:dyDescent="0.2">
      <c r="A226" s="67"/>
      <c r="B226" s="100"/>
      <c r="C2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6" s="20" t="str">
        <f ca="1">IFERROR(__xludf.DUMMYFUNCTION("""COMPUTED_VALUE"""),"МинЖКХ")</f>
        <v>МинЖКХ</v>
      </c>
      <c r="E226" s="20" t="str">
        <f ca="1">IFERROR(__xludf.DUMMYFUNCTION("""COMPUTED_VALUE"""),"Реконструкция очистных сооружений биологической очистки, мощностью 500 м. куб. в сутки. дер. Степанщино, Воскресенский м.р. (в том числе ПИР)          ")</f>
        <v xml:space="preserve">Реконструкция очистных сооружений биологической очистки, мощностью 500 м. куб. в сутки. дер. Степанщино, Воскресенский м.р. (в том числе ПИР)          </v>
      </c>
      <c r="F226" s="67" t="str">
        <f ca="1">IFERROR(__xludf.DUMMYFUNCTION("""COMPUTED_VALUE"""),"СМР")</f>
        <v>СМР</v>
      </c>
      <c r="G226" s="67" t="str">
        <f ca="1">IFERROR(__xludf.DUMMYFUNCTION("""COMPUTED_VALUE"""),"г.о. Воскресенск")</f>
        <v>г.о. Воскресенск</v>
      </c>
      <c r="H226" s="67" t="str">
        <f ca="1">IFERROR(__xludf.DUMMYFUNCTION("""COMPUTED_VALUE"""),"2022-2023")</f>
        <v>2022-2023</v>
      </c>
      <c r="I226" s="67" t="str">
        <f ca="1">IFERROR(__xludf.DUMMYFUNCTION("""COMPUTED_VALUE"""),"10 2 01 64020")</f>
        <v>10 2 01 64020</v>
      </c>
      <c r="J226" s="67">
        <f ca="1">IFERROR(__xludf.DUMMYFUNCTION("""COMPUTED_VALUE"""),522)</f>
        <v>522</v>
      </c>
      <c r="K226" s="97">
        <f t="shared" ca="1" si="1"/>
        <v>0</v>
      </c>
      <c r="L226" s="97">
        <f ca="1">IFERROR(__xludf.DUMMYFUNCTION("""COMPUTED_VALUE"""),0)</f>
        <v>0</v>
      </c>
      <c r="M226" s="97">
        <f ca="1">IFERROR(__xludf.DUMMYFUNCTION("""COMPUTED_VALUE"""),0)</f>
        <v>0</v>
      </c>
      <c r="N226" s="97">
        <f ca="1">IFERROR(__xludf.DUMMYFUNCTION("""COMPUTED_VALUE"""),0)</f>
        <v>0</v>
      </c>
      <c r="O226" s="97">
        <f ca="1">IFERROR(__xludf.DUMMYFUNCTION("""COMPUTED_VALUE"""),0)</f>
        <v>0</v>
      </c>
      <c r="P226" s="97">
        <f t="shared" ca="1" si="2"/>
        <v>0</v>
      </c>
      <c r="Q226" s="67"/>
      <c r="R226" s="67"/>
      <c r="S226" s="97">
        <f ca="1">IFERROR(__xludf.DUMMYFUNCTION("""COMPUTED_VALUE"""),0)</f>
        <v>0</v>
      </c>
      <c r="T226" s="97">
        <f ca="1">IFERROR(__xludf.DUMMYFUNCTION("""COMPUTED_VALUE"""),0)</f>
        <v>0</v>
      </c>
      <c r="U226" s="97">
        <f ca="1">IFERROR(__xludf.DUMMYFUNCTION("""COMPUTED_VALUE"""),0)</f>
        <v>0</v>
      </c>
      <c r="V226" s="97">
        <f ca="1">IFERROR(__xludf.DUMMYFUNCTION("""COMPUTED_VALUE"""),0)</f>
        <v>0</v>
      </c>
      <c r="W226" s="97">
        <f ca="1">IFERROR(__xludf.DUMMYFUNCTION("""COMPUTED_VALUE"""),0)</f>
        <v>0</v>
      </c>
      <c r="X226" s="97">
        <f ca="1">IFERROR(__xludf.DUMMYFUNCTION("""COMPUTED_VALUE"""),0)</f>
        <v>0</v>
      </c>
      <c r="Y226" s="97">
        <f t="shared" ca="1" si="3"/>
        <v>0</v>
      </c>
      <c r="Z226" s="67">
        <f t="shared" si="4"/>
        <v>0</v>
      </c>
      <c r="AA226" s="67"/>
      <c r="AB226" s="67"/>
      <c r="AC226" s="67"/>
      <c r="AD226" s="99" t="e">
        <f t="shared" ca="1" si="5"/>
        <v>#DIV/0!</v>
      </c>
      <c r="AE226" s="67"/>
      <c r="AF226" s="67"/>
      <c r="AG226" s="67"/>
      <c r="AH226" s="67"/>
      <c r="AI226" s="67"/>
      <c r="AJ226" s="67"/>
      <c r="AK226" s="67"/>
      <c r="AL226" s="67"/>
      <c r="AM226" s="67"/>
      <c r="AN226" s="67"/>
      <c r="AO226" s="67"/>
      <c r="AP226" s="67"/>
      <c r="AQ226" s="67"/>
      <c r="AR226" s="67"/>
      <c r="AS226" s="67"/>
      <c r="AT226" s="67"/>
    </row>
    <row r="227" spans="1:46" ht="72" x14ac:dyDescent="0.2">
      <c r="A227" s="20"/>
      <c r="B227" s="93"/>
      <c r="C2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7" s="20" t="str">
        <f ca="1">IFERROR(__xludf.DUMMYFUNCTION("""COMPUTED_VALUE"""),"МинЖКХ")</f>
        <v>МинЖКХ</v>
      </c>
      <c r="E227" s="20" t="str">
        <f ca="1">IFERROR(__xludf.DUMMYFUNCTION("""COMPUTED_VALUE"""),"Реконструкция очистных сооружений, с. Непецино (в том числе ПИР) г.о. Коломенский")</f>
        <v>Реконструкция очистных сооружений, с. Непецино (в том числе ПИР) г.о. Коломенский</v>
      </c>
      <c r="F227" s="20" t="str">
        <f ca="1">IFERROR(__xludf.DUMMYFUNCTION("""COMPUTED_VALUE"""),"ПИР")</f>
        <v>ПИР</v>
      </c>
      <c r="G227" s="20" t="str">
        <f ca="1">IFERROR(__xludf.DUMMYFUNCTION("""COMPUTED_VALUE"""),"г.о. Коломенский")</f>
        <v>г.о. Коломенский</v>
      </c>
      <c r="H227" s="20" t="str">
        <f ca="1">IFERROR(__xludf.DUMMYFUNCTION("""COMPUTED_VALUE"""),"2020-2022")</f>
        <v>2020-2022</v>
      </c>
      <c r="I227" s="20" t="str">
        <f ca="1">IFERROR(__xludf.DUMMYFUNCTION("""COMPUTED_VALUE"""),"10 2 01 64020")</f>
        <v>10 2 01 64020</v>
      </c>
      <c r="J227" s="20">
        <f ca="1">IFERROR(__xludf.DUMMYFUNCTION("""COMPUTED_VALUE"""),522)</f>
        <v>522</v>
      </c>
      <c r="K227" s="24">
        <f t="shared" ca="1" si="1"/>
        <v>7752.61</v>
      </c>
      <c r="L227" s="24">
        <f ca="1">IFERROR(__xludf.DUMMYFUNCTION("""COMPUTED_VALUE"""),7365)</f>
        <v>7365</v>
      </c>
      <c r="M227" s="24">
        <f ca="1">IFERROR(__xludf.DUMMYFUNCTION("""COMPUTED_VALUE"""),0)</f>
        <v>0</v>
      </c>
      <c r="N227" s="24">
        <f ca="1">IFERROR(__xludf.DUMMYFUNCTION("""COMPUTED_VALUE"""),0)</f>
        <v>0</v>
      </c>
      <c r="O227" s="24">
        <f ca="1">IFERROR(__xludf.DUMMYFUNCTION("""COMPUTED_VALUE"""),387.61)</f>
        <v>387.61</v>
      </c>
      <c r="P227" s="24">
        <f t="shared" ca="1" si="2"/>
        <v>7365</v>
      </c>
      <c r="Q227" s="20">
        <f ca="1">IFERROR(__xludf.DUMMYFUNCTION("""COMPUTED_VALUE"""),100)</f>
        <v>100</v>
      </c>
      <c r="R227" s="20"/>
      <c r="S227" s="24">
        <f ca="1">IFERROR(__xludf.DUMMYFUNCTION("""COMPUTED_VALUE"""),7752.61)</f>
        <v>7752.61</v>
      </c>
      <c r="T227" s="24">
        <f ca="1">IFERROR(__xludf.DUMMYFUNCTION("""COMPUTED_VALUE"""),0)</f>
        <v>0</v>
      </c>
      <c r="U227" s="24">
        <f ca="1">IFERROR(__xludf.DUMMYFUNCTION("""COMPUTED_VALUE"""),0)</f>
        <v>0</v>
      </c>
      <c r="V227" s="24">
        <f ca="1">IFERROR(__xludf.DUMMYFUNCTION("""COMPUTED_VALUE"""),0)</f>
        <v>0</v>
      </c>
      <c r="W227" s="24">
        <f ca="1">IFERROR(__xludf.DUMMYFUNCTION("""COMPUTED_VALUE"""),0)</f>
        <v>0</v>
      </c>
      <c r="X227" s="24">
        <f ca="1">IFERROR(__xludf.DUMMYFUNCTION("""COMPUTED_VALUE"""),0)</f>
        <v>0</v>
      </c>
      <c r="Y227" s="24">
        <f t="shared" ca="1" si="3"/>
        <v>0</v>
      </c>
      <c r="Z227" s="20">
        <f t="shared" ca="1" si="4"/>
        <v>7365</v>
      </c>
      <c r="AA227" s="20"/>
      <c r="AB227" s="24">
        <f ca="1">IFERROR(__xludf.DUMMYFUNCTION("""COMPUTED_VALUE"""),7365)</f>
        <v>7365</v>
      </c>
      <c r="AC227" s="20"/>
      <c r="AD227" s="94">
        <f t="shared" ca="1" si="5"/>
        <v>1</v>
      </c>
      <c r="AE227" s="20"/>
      <c r="AF227" s="20"/>
      <c r="AG227" s="20"/>
      <c r="AH227" s="20"/>
      <c r="AI227" s="20"/>
      <c r="AJ227" s="20"/>
      <c r="AK227" s="20"/>
      <c r="AL227" s="20"/>
      <c r="AM227" s="20"/>
      <c r="AN227" s="20"/>
      <c r="AO227" s="20"/>
      <c r="AP227" s="20"/>
      <c r="AQ227" s="20"/>
      <c r="AR227" s="20"/>
      <c r="AS227" s="20"/>
      <c r="AT227" s="20"/>
    </row>
    <row r="228" spans="1:46" ht="72" x14ac:dyDescent="0.2">
      <c r="A228" s="20"/>
      <c r="B228" s="95"/>
      <c r="C2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8" s="20" t="str">
        <f ca="1">IFERROR(__xludf.DUMMYFUNCTION("""COMPUTED_VALUE"""),"МинЖКХ")</f>
        <v>МинЖКХ</v>
      </c>
      <c r="E228" s="20" t="str">
        <f ca="1">IFERROR(__xludf.DUMMYFUNCTION("""COMPUTED_VALUE"""),"Реконструкция очистных сооружений близ пос. Сергиевский Коломенского городского округа (ПИР) ")</f>
        <v xml:space="preserve">Реконструкция очистных сооружений близ пос. Сергиевский Коломенского городского округа (ПИР) </v>
      </c>
      <c r="F228" s="20" t="str">
        <f ca="1">IFERROR(__xludf.DUMMYFUNCTION("""COMPUTED_VALUE"""),"ПИР")</f>
        <v>ПИР</v>
      </c>
      <c r="G228" s="20" t="str">
        <f ca="1">IFERROR(__xludf.DUMMYFUNCTION("""COMPUTED_VALUE"""),"г.о. Коломенский")</f>
        <v>г.о. Коломенский</v>
      </c>
      <c r="H228" s="20">
        <f ca="1">IFERROR(__xludf.DUMMYFUNCTION("""COMPUTED_VALUE"""),2020)</f>
        <v>2020</v>
      </c>
      <c r="I228" s="20" t="str">
        <f ca="1">IFERROR(__xludf.DUMMYFUNCTION("""COMPUTED_VALUE"""),"10 2 01 64020")</f>
        <v>10 2 01 64020</v>
      </c>
      <c r="J228" s="20">
        <f ca="1">IFERROR(__xludf.DUMMYFUNCTION("""COMPUTED_VALUE"""),522)</f>
        <v>522</v>
      </c>
      <c r="K228" s="24">
        <f t="shared" ca="1" si="1"/>
        <v>55556</v>
      </c>
      <c r="L228" s="24">
        <f ca="1">IFERROR(__xludf.DUMMYFUNCTION("""COMPUTED_VALUE"""),0)</f>
        <v>0</v>
      </c>
      <c r="M228" s="24">
        <f ca="1">IFERROR(__xludf.DUMMYFUNCTION("""COMPUTED_VALUE"""),0)</f>
        <v>0</v>
      </c>
      <c r="N228" s="24">
        <f ca="1">IFERROR(__xludf.DUMMYFUNCTION("""COMPUTED_VALUE"""),52778)</f>
        <v>52778</v>
      </c>
      <c r="O228" s="24">
        <f ca="1">IFERROR(__xludf.DUMMYFUNCTION("""COMPUTED_VALUE"""),2778)</f>
        <v>2778</v>
      </c>
      <c r="P228" s="24">
        <f t="shared" ca="1" si="2"/>
        <v>52778</v>
      </c>
      <c r="Q228" s="20">
        <f ca="1">IFERROR(__xludf.DUMMYFUNCTION("""COMPUTED_VALUE"""),100)</f>
        <v>100</v>
      </c>
      <c r="R228" s="20"/>
      <c r="S228" s="24">
        <f ca="1">IFERROR(__xludf.DUMMYFUNCTION("""COMPUTED_VALUE"""),55556)</f>
        <v>55556</v>
      </c>
      <c r="T228" s="24">
        <f ca="1">IFERROR(__xludf.DUMMYFUNCTION("""COMPUTED_VALUE"""),0)</f>
        <v>0</v>
      </c>
      <c r="U228" s="24">
        <f ca="1">IFERROR(__xludf.DUMMYFUNCTION("""COMPUTED_VALUE"""),0)</f>
        <v>0</v>
      </c>
      <c r="V228" s="24">
        <f ca="1">IFERROR(__xludf.DUMMYFUNCTION("""COMPUTED_VALUE"""),0)</f>
        <v>0</v>
      </c>
      <c r="W228" s="24">
        <f ca="1">IFERROR(__xludf.DUMMYFUNCTION("""COMPUTED_VALUE"""),0)</f>
        <v>0</v>
      </c>
      <c r="X228" s="24">
        <f ca="1">IFERROR(__xludf.DUMMYFUNCTION("""COMPUTED_VALUE"""),0)</f>
        <v>0</v>
      </c>
      <c r="Y228" s="24">
        <f t="shared" ca="1" si="3"/>
        <v>0</v>
      </c>
      <c r="Z228" s="20">
        <f t="shared" ca="1" si="4"/>
        <v>52778</v>
      </c>
      <c r="AA228" s="20"/>
      <c r="AB228" s="20"/>
      <c r="AC228" s="24">
        <f ca="1">IFERROR(__xludf.DUMMYFUNCTION("""COMPUTED_VALUE"""),52778)</f>
        <v>52778</v>
      </c>
      <c r="AD228" s="94">
        <f t="shared" ca="1" si="5"/>
        <v>1</v>
      </c>
      <c r="AE228" s="20"/>
      <c r="AF228" s="20"/>
      <c r="AG228" s="20"/>
      <c r="AH228" s="20"/>
      <c r="AI228" s="20"/>
      <c r="AJ228" s="20"/>
      <c r="AK228" s="20"/>
      <c r="AL228" s="20"/>
      <c r="AM228" s="20"/>
      <c r="AN228" s="20"/>
      <c r="AO228" s="20"/>
      <c r="AP228" s="20"/>
      <c r="AQ228" s="20"/>
      <c r="AR228" s="20"/>
      <c r="AS228" s="20"/>
      <c r="AT228" s="20"/>
    </row>
    <row r="229" spans="1:46" ht="72" hidden="1" x14ac:dyDescent="0.2">
      <c r="A229" s="67"/>
      <c r="B229" s="100"/>
      <c r="C2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9" s="20" t="str">
        <f ca="1">IFERROR(__xludf.DUMMYFUNCTION("""COMPUTED_VALUE"""),"МинЖКХ")</f>
        <v>МинЖКХ</v>
      </c>
      <c r="E229" s="20" t="str">
        <f ca="1">IFERROR(__xludf.DUMMYFUNCTION("""COMPUTED_VALUE"""),"Строительство блочно-модульной станции очистки хозяйственно-бытовых сточных вод, Серпуховский м.р., с. Райсеменовское ( в том числе ПИР) ")</f>
        <v xml:space="preserve">Строительство блочно-модульной станции очистки хозяйственно-бытовых сточных вод, Серпуховский м.р., с. Райсеменовское ( в том числе ПИР) </v>
      </c>
      <c r="F229" s="67" t="str">
        <f ca="1">IFERROR(__xludf.DUMMYFUNCTION("""COMPUTED_VALUE"""),"СМР")</f>
        <v>СМР</v>
      </c>
      <c r="G229" s="67" t="str">
        <f ca="1">IFERROR(__xludf.DUMMYFUNCTION("""COMPUTED_VALUE"""),"г.о. Серпухов")</f>
        <v>г.о. Серпухов</v>
      </c>
      <c r="H229" s="67" t="str">
        <f ca="1">IFERROR(__xludf.DUMMYFUNCTION("""COMPUTED_VALUE"""),"2022-2024")</f>
        <v>2022-2024</v>
      </c>
      <c r="I229" s="67" t="str">
        <f ca="1">IFERROR(__xludf.DUMMYFUNCTION("""COMPUTED_VALUE"""),"10 2 01 64020")</f>
        <v>10 2 01 64020</v>
      </c>
      <c r="J229" s="67">
        <f ca="1">IFERROR(__xludf.DUMMYFUNCTION("""COMPUTED_VALUE"""),522)</f>
        <v>522</v>
      </c>
      <c r="K229" s="97">
        <f t="shared" ca="1" si="1"/>
        <v>0</v>
      </c>
      <c r="L229" s="97">
        <f ca="1">IFERROR(__xludf.DUMMYFUNCTION("""COMPUTED_VALUE"""),0)</f>
        <v>0</v>
      </c>
      <c r="M229" s="97">
        <f ca="1">IFERROR(__xludf.DUMMYFUNCTION("""COMPUTED_VALUE"""),0)</f>
        <v>0</v>
      </c>
      <c r="N229" s="97">
        <f ca="1">IFERROR(__xludf.DUMMYFUNCTION("""COMPUTED_VALUE"""),0)</f>
        <v>0</v>
      </c>
      <c r="O229" s="97">
        <f ca="1">IFERROR(__xludf.DUMMYFUNCTION("""COMPUTED_VALUE"""),0)</f>
        <v>0</v>
      </c>
      <c r="P229" s="97">
        <f t="shared" ca="1" si="2"/>
        <v>0</v>
      </c>
      <c r="Q229" s="67"/>
      <c r="R229" s="67"/>
      <c r="S229" s="97">
        <f ca="1">IFERROR(__xludf.DUMMYFUNCTION("""COMPUTED_VALUE"""),0)</f>
        <v>0</v>
      </c>
      <c r="T229" s="97">
        <f ca="1">IFERROR(__xludf.DUMMYFUNCTION("""COMPUTED_VALUE"""),0)</f>
        <v>0</v>
      </c>
      <c r="U229" s="97">
        <f ca="1">IFERROR(__xludf.DUMMYFUNCTION("""COMPUTED_VALUE"""),0)</f>
        <v>0</v>
      </c>
      <c r="V229" s="97">
        <f ca="1">IFERROR(__xludf.DUMMYFUNCTION("""COMPUTED_VALUE"""),0)</f>
        <v>0</v>
      </c>
      <c r="W229" s="97">
        <f ca="1">IFERROR(__xludf.DUMMYFUNCTION("""COMPUTED_VALUE"""),0)</f>
        <v>0</v>
      </c>
      <c r="X229" s="97">
        <f ca="1">IFERROR(__xludf.DUMMYFUNCTION("""COMPUTED_VALUE"""),0)</f>
        <v>0</v>
      </c>
      <c r="Y229" s="97">
        <f t="shared" ca="1" si="3"/>
        <v>0</v>
      </c>
      <c r="Z229" s="67">
        <f t="shared" si="4"/>
        <v>0</v>
      </c>
      <c r="AA229" s="67"/>
      <c r="AB229" s="67"/>
      <c r="AC229" s="67"/>
      <c r="AD229" s="99" t="e">
        <f t="shared" ca="1" si="5"/>
        <v>#DIV/0!</v>
      </c>
      <c r="AE229" s="67"/>
      <c r="AF229" s="67"/>
      <c r="AG229" s="67"/>
      <c r="AH229" s="67"/>
      <c r="AI229" s="67"/>
      <c r="AJ229" s="67"/>
      <c r="AK229" s="67"/>
      <c r="AL229" s="67"/>
      <c r="AM229" s="67"/>
      <c r="AN229" s="67"/>
      <c r="AO229" s="67"/>
      <c r="AP229" s="67"/>
      <c r="AQ229" s="67"/>
      <c r="AR229" s="67"/>
      <c r="AS229" s="67"/>
      <c r="AT229" s="67"/>
    </row>
    <row r="230" spans="1:46" ht="84" x14ac:dyDescent="0.2">
      <c r="A230" s="20" t="str">
        <f ca="1">IFERROR(__xludf.DUMMYFUNCTION("""COMPUTED_VALUE"""),"Риск неосвоения оставшейся части лимитов. Документация направлена в МОГЭ на корректировку. Увеличение стоимости мероприятия до 650 млн. руб. Админстрацией направлено письмо о переносе средств на 2021 г. в размере 140 млн. руб")</f>
        <v>Риск неосвоения оставшейся части лимитов. Документация направлена в МОГЭ на корректировку. Увеличение стоимости мероприятия до 650 млн. руб. Админстрацией направлено письмо о переносе средств на 2021 г. в размере 140 млн. руб</v>
      </c>
      <c r="B230" s="93"/>
      <c r="C2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0" s="20" t="str">
        <f ca="1">IFERROR(__xludf.DUMMYFUNCTION("""COMPUTED_VALUE"""),"МинЖКХ")</f>
        <v>МинЖКХ</v>
      </c>
      <c r="E230" s="20" t="str">
        <f ca="1">IFERROR(__xludf.DUMMYFUNCTION("""COMPUTED_VALUE"""),"Реконструкция очистных сооружений пос. Горки 10 Одинцовского г.о. ")</f>
        <v xml:space="preserve">Реконструкция очистных сооружений пос. Горки 10 Одинцовского г.о. </v>
      </c>
      <c r="F230" s="20" t="str">
        <f ca="1">IFERROR(__xludf.DUMMYFUNCTION("""COMPUTED_VALUE"""),"СМР")</f>
        <v>СМР</v>
      </c>
      <c r="G230" s="20" t="str">
        <f ca="1">IFERROR(__xludf.DUMMYFUNCTION("""COMPUTED_VALUE"""),"г.о. Одинцово")</f>
        <v>г.о. Одинцово</v>
      </c>
      <c r="H230" s="20" t="str">
        <f ca="1">IFERROR(__xludf.DUMMYFUNCTION("""COMPUTED_VALUE"""),"2020-2021")</f>
        <v>2020-2021</v>
      </c>
      <c r="I230" s="20" t="str">
        <f ca="1">IFERROR(__xludf.DUMMYFUNCTION("""COMPUTED_VALUE"""),"10 2 01 64020")</f>
        <v>10 2 01 64020</v>
      </c>
      <c r="J230" s="20">
        <f ca="1">IFERROR(__xludf.DUMMYFUNCTION("""COMPUTED_VALUE"""),522)</f>
        <v>522</v>
      </c>
      <c r="K230" s="24">
        <f t="shared" ca="1" si="1"/>
        <v>373104.77</v>
      </c>
      <c r="L230" s="24">
        <f ca="1">IFERROR(__xludf.DUMMYFUNCTION("""COMPUTED_VALUE"""),94968.98)</f>
        <v>94968.98</v>
      </c>
      <c r="M230" s="24">
        <f ca="1">IFERROR(__xludf.DUMMYFUNCTION("""COMPUTED_VALUE"""),0)</f>
        <v>0</v>
      </c>
      <c r="N230" s="24">
        <f ca="1">IFERROR(__xludf.DUMMYFUNCTION("""COMPUTED_VALUE"""),138222)</f>
        <v>138222</v>
      </c>
      <c r="O230" s="24">
        <f ca="1">IFERROR(__xludf.DUMMYFUNCTION("""COMPUTED_VALUE"""),139913.79)</f>
        <v>139913.79</v>
      </c>
      <c r="P230" s="24">
        <f t="shared" ca="1" si="2"/>
        <v>233190.97999999998</v>
      </c>
      <c r="Q230" s="20">
        <f ca="1">IFERROR(__xludf.DUMMYFUNCTION("""COMPUTED_VALUE"""),25)</f>
        <v>25</v>
      </c>
      <c r="R230" s="20"/>
      <c r="S230" s="24">
        <f ca="1">IFERROR(__xludf.DUMMYFUNCTION("""COMPUTED_VALUE"""),197117.289999999)</f>
        <v>197117.28999999899</v>
      </c>
      <c r="T230" s="24">
        <f ca="1">IFERROR(__xludf.DUMMYFUNCTION("""COMPUTED_VALUE"""),175987.48)</f>
        <v>175987.48</v>
      </c>
      <c r="U230" s="24">
        <f ca="1">IFERROR(__xludf.DUMMYFUNCTION("""COMPUTED_VALUE"""),0)</f>
        <v>0</v>
      </c>
      <c r="V230" s="24">
        <f ca="1">IFERROR(__xludf.DUMMYFUNCTION("""COMPUTED_VALUE"""),0)</f>
        <v>0</v>
      </c>
      <c r="W230" s="24">
        <f ca="1">IFERROR(__xludf.DUMMYFUNCTION("""COMPUTED_VALUE"""),36073.69)</f>
        <v>36073.69</v>
      </c>
      <c r="X230" s="24">
        <f ca="1">IFERROR(__xludf.DUMMYFUNCTION("""COMPUTED_VALUE"""),139913.79)</f>
        <v>139913.79</v>
      </c>
      <c r="Y230" s="24">
        <f t="shared" ca="1" si="3"/>
        <v>36073.69</v>
      </c>
      <c r="Z230" s="20">
        <f t="shared" ca="1" si="4"/>
        <v>197117.28999999998</v>
      </c>
      <c r="AA230" s="20"/>
      <c r="AB230" s="24">
        <f ca="1">IFERROR(__xludf.DUMMYFUNCTION("""COMPUTED_VALUE"""),94968.98)</f>
        <v>94968.98</v>
      </c>
      <c r="AC230" s="24">
        <f ca="1">IFERROR(__xludf.DUMMYFUNCTION("""COMPUTED_VALUE"""),102148.31)</f>
        <v>102148.31</v>
      </c>
      <c r="AD230" s="94">
        <f t="shared" ca="1" si="5"/>
        <v>0.84530409366605863</v>
      </c>
      <c r="AE230" s="20"/>
      <c r="AF230" s="20"/>
      <c r="AG230" s="20"/>
      <c r="AH230" s="20"/>
      <c r="AI230" s="20"/>
      <c r="AJ230" s="20"/>
      <c r="AK230" s="20"/>
      <c r="AL230" s="20"/>
      <c r="AM230" s="20"/>
      <c r="AN230" s="20"/>
      <c r="AO230" s="20"/>
      <c r="AP230" s="20"/>
      <c r="AQ230" s="20"/>
      <c r="AR230" s="20"/>
      <c r="AS230" s="20"/>
      <c r="AT230" s="20"/>
    </row>
    <row r="231" spans="1:46" ht="72" x14ac:dyDescent="0.2">
      <c r="A231" s="20" t="str">
        <f ca="1">IFERROR(__xludf.DUMMYFUNCTION("""COMPUTED_VALUE"""),"Низкий темп реализации, гарантийные письма не представлены, договора на оборудование отсутвуют. 
Низкий темп выполнения работ.
 Не представлена ДК согласованная с ДСРПИИ.")</f>
        <v>Низкий темп реализации, гарантийные письма не представлены, договора на оборудование отсутвуют. 
Низкий темп выполнения работ.
 Не представлена ДК согласованная с ДСРПИИ.</v>
      </c>
      <c r="B231" s="95"/>
      <c r="C23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1" s="20" t="str">
        <f ca="1">IFERROR(__xludf.DUMMYFUNCTION("""COMPUTED_VALUE"""),"МинЖКХ")</f>
        <v>МинЖКХ</v>
      </c>
      <c r="E231" s="20" t="str">
        <f ca="1">IFERROR(__xludf.DUMMYFUNCTION("""COMPUTED_VALUE"""),"Реконструкция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f>
        <v xml:space="preserv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v>
      </c>
      <c r="F231" s="20" t="str">
        <f ca="1">IFERROR(__xludf.DUMMYFUNCTION("""COMPUTED_VALUE"""),"СМР")</f>
        <v>СМР</v>
      </c>
      <c r="G231" s="20" t="str">
        <f ca="1">IFERROR(__xludf.DUMMYFUNCTION("""COMPUTED_VALUE"""),"г.о. Коломенский")</f>
        <v>г.о. Коломенский</v>
      </c>
      <c r="H231" s="20" t="str">
        <f ca="1">IFERROR(__xludf.DUMMYFUNCTION("""COMPUTED_VALUE"""),"2020-2021")</f>
        <v>2020-2021</v>
      </c>
      <c r="I231" s="20" t="str">
        <f ca="1">IFERROR(__xludf.DUMMYFUNCTION("""COMPUTED_VALUE"""),"10 2 01 64020")</f>
        <v>10 2 01 64020</v>
      </c>
      <c r="J231" s="20">
        <f ca="1">IFERROR(__xludf.DUMMYFUNCTION("""COMPUTED_VALUE"""),522)</f>
        <v>522</v>
      </c>
      <c r="K231" s="24">
        <f t="shared" ca="1" si="1"/>
        <v>68897.510000000009</v>
      </c>
      <c r="L231" s="24">
        <f ca="1">IFERROR(__xludf.DUMMYFUNCTION("""COMPUTED_VALUE"""),63059.3)</f>
        <v>63059.3</v>
      </c>
      <c r="M231" s="24">
        <f ca="1">IFERROR(__xludf.DUMMYFUNCTION("""COMPUTED_VALUE"""),0)</f>
        <v>0</v>
      </c>
      <c r="N231" s="24">
        <f ca="1">IFERROR(__xludf.DUMMYFUNCTION("""COMPUTED_VALUE"""),0)</f>
        <v>0</v>
      </c>
      <c r="O231" s="24">
        <f ca="1">IFERROR(__xludf.DUMMYFUNCTION("""COMPUTED_VALUE"""),5838.21)</f>
        <v>5838.21</v>
      </c>
      <c r="P231" s="24">
        <f t="shared" ca="1" si="2"/>
        <v>63059.3</v>
      </c>
      <c r="Q231" s="20">
        <f ca="1">IFERROR(__xludf.DUMMYFUNCTION("""COMPUTED_VALUE"""),30)</f>
        <v>30</v>
      </c>
      <c r="R231" s="20"/>
      <c r="S231" s="24">
        <f ca="1">IFERROR(__xludf.DUMMYFUNCTION("""COMPUTED_VALUE"""),31644.1)</f>
        <v>31644.1</v>
      </c>
      <c r="T231" s="24">
        <f ca="1">IFERROR(__xludf.DUMMYFUNCTION("""COMPUTED_VALUE"""),37253.41)</f>
        <v>37253.410000000003</v>
      </c>
      <c r="U231" s="24">
        <f ca="1">IFERROR(__xludf.DUMMYFUNCTION("""COMPUTED_VALUE"""),31415.2)</f>
        <v>31415.200000000001</v>
      </c>
      <c r="V231" s="24">
        <f ca="1">IFERROR(__xludf.DUMMYFUNCTION("""COMPUTED_VALUE"""),0)</f>
        <v>0</v>
      </c>
      <c r="W231" s="24">
        <f ca="1">IFERROR(__xludf.DUMMYFUNCTION("""COMPUTED_VALUE"""),0)</f>
        <v>0</v>
      </c>
      <c r="X231" s="24">
        <f ca="1">IFERROR(__xludf.DUMMYFUNCTION("""COMPUTED_VALUE"""),5838.21)</f>
        <v>5838.21</v>
      </c>
      <c r="Y231" s="24">
        <f t="shared" ca="1" si="3"/>
        <v>31415.200000000001</v>
      </c>
      <c r="Z231" s="20">
        <f t="shared" ca="1" si="4"/>
        <v>31644.1</v>
      </c>
      <c r="AA231" s="20"/>
      <c r="AB231" s="24">
        <f ca="1">IFERROR(__xludf.DUMMYFUNCTION("""COMPUTED_VALUE"""),31644.1)</f>
        <v>31644.1</v>
      </c>
      <c r="AC231" s="20"/>
      <c r="AD231" s="94">
        <f t="shared" ca="1" si="5"/>
        <v>0.50181495830115463</v>
      </c>
      <c r="AE231" s="20"/>
      <c r="AF231" s="20"/>
      <c r="AG231" s="20"/>
      <c r="AH231" s="20"/>
      <c r="AI231" s="20"/>
      <c r="AJ231" s="20"/>
      <c r="AK231" s="20"/>
      <c r="AL231" s="20"/>
      <c r="AM231" s="20"/>
      <c r="AN231" s="20"/>
      <c r="AO231" s="20"/>
      <c r="AP231" s="20"/>
      <c r="AQ231" s="20"/>
      <c r="AR231" s="20"/>
      <c r="AS231" s="20"/>
      <c r="AT231" s="20"/>
    </row>
    <row r="232" spans="1:46" ht="72" hidden="1" x14ac:dyDescent="0.2">
      <c r="A232" s="67"/>
      <c r="B232" s="96"/>
      <c r="C23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2" s="20" t="str">
        <f ca="1">IFERROR(__xludf.DUMMYFUNCTION("""COMPUTED_VALUE"""),"МинЖКХ")</f>
        <v>МинЖКХ</v>
      </c>
      <c r="E232" s="20" t="str">
        <f ca="1">IFERROR(__xludf.DUMMYFUNCTION("""COMPUTED_VALUE"""),"Реконструкция биологических очистных сооружений канализации по адресу: городской округ Электросталь, пос. Фрязево (в том числе ПИР)")</f>
        <v>Реконструкция биологических очистных сооружений канализации по адресу: городской округ Электросталь, пос. Фрязево (в том числе ПИР)</v>
      </c>
      <c r="F232" s="67" t="str">
        <f ca="1">IFERROR(__xludf.DUMMYFUNCTION("""COMPUTED_VALUE"""),"СМР")</f>
        <v>СМР</v>
      </c>
      <c r="G232" s="67" t="str">
        <f ca="1">IFERROR(__xludf.DUMMYFUNCTION("""COMPUTED_VALUE"""),"г.о. Электросталь")</f>
        <v>г.о. Электросталь</v>
      </c>
      <c r="H232" s="67" t="str">
        <f ca="1">IFERROR(__xludf.DUMMYFUNCTION("""COMPUTED_VALUE"""),"2021-2023")</f>
        <v>2021-2023</v>
      </c>
      <c r="I232" s="67" t="str">
        <f ca="1">IFERROR(__xludf.DUMMYFUNCTION("""COMPUTED_VALUE"""),"10 2 01 64020")</f>
        <v>10 2 01 64020</v>
      </c>
      <c r="J232" s="67">
        <f ca="1">IFERROR(__xludf.DUMMYFUNCTION("""COMPUTED_VALUE"""),522)</f>
        <v>522</v>
      </c>
      <c r="K232" s="97">
        <f t="shared" ca="1" si="1"/>
        <v>0</v>
      </c>
      <c r="L232" s="97">
        <f ca="1">IFERROR(__xludf.DUMMYFUNCTION("""COMPUTED_VALUE"""),0)</f>
        <v>0</v>
      </c>
      <c r="M232" s="97">
        <f ca="1">IFERROR(__xludf.DUMMYFUNCTION("""COMPUTED_VALUE"""),0)</f>
        <v>0</v>
      </c>
      <c r="N232" s="97">
        <f ca="1">IFERROR(__xludf.DUMMYFUNCTION("""COMPUTED_VALUE"""),0)</f>
        <v>0</v>
      </c>
      <c r="O232" s="97">
        <f ca="1">IFERROR(__xludf.DUMMYFUNCTION("""COMPUTED_VALUE"""),0)</f>
        <v>0</v>
      </c>
      <c r="P232" s="97">
        <f t="shared" ca="1" si="2"/>
        <v>0</v>
      </c>
      <c r="Q232" s="67"/>
      <c r="R232" s="67"/>
      <c r="S232" s="97">
        <f ca="1">IFERROR(__xludf.DUMMYFUNCTION("""COMPUTED_VALUE"""),0)</f>
        <v>0</v>
      </c>
      <c r="T232" s="97">
        <f ca="1">IFERROR(__xludf.DUMMYFUNCTION("""COMPUTED_VALUE"""),0)</f>
        <v>0</v>
      </c>
      <c r="U232" s="97">
        <f ca="1">IFERROR(__xludf.DUMMYFUNCTION("""COMPUTED_VALUE"""),0)</f>
        <v>0</v>
      </c>
      <c r="V232" s="97">
        <f ca="1">IFERROR(__xludf.DUMMYFUNCTION("""COMPUTED_VALUE"""),0)</f>
        <v>0</v>
      </c>
      <c r="W232" s="97">
        <f ca="1">IFERROR(__xludf.DUMMYFUNCTION("""COMPUTED_VALUE"""),0)</f>
        <v>0</v>
      </c>
      <c r="X232" s="97">
        <f ca="1">IFERROR(__xludf.DUMMYFUNCTION("""COMPUTED_VALUE"""),0)</f>
        <v>0</v>
      </c>
      <c r="Y232" s="97">
        <f t="shared" ca="1" si="3"/>
        <v>0</v>
      </c>
      <c r="Z232" s="67">
        <f t="shared" si="4"/>
        <v>0</v>
      </c>
      <c r="AA232" s="67"/>
      <c r="AB232" s="67"/>
      <c r="AC232" s="67"/>
      <c r="AD232" s="99" t="e">
        <f t="shared" ca="1" si="5"/>
        <v>#DIV/0!</v>
      </c>
      <c r="AE232" s="67"/>
      <c r="AF232" s="67"/>
      <c r="AG232" s="67"/>
      <c r="AH232" s="67"/>
      <c r="AI232" s="67"/>
      <c r="AJ232" s="67"/>
      <c r="AK232" s="67"/>
      <c r="AL232" s="67"/>
      <c r="AM232" s="67"/>
      <c r="AN232" s="67"/>
      <c r="AO232" s="67"/>
      <c r="AP232" s="67"/>
      <c r="AQ232" s="67"/>
      <c r="AR232" s="67"/>
      <c r="AS232" s="67"/>
      <c r="AT232" s="67"/>
    </row>
    <row r="233" spans="1:46" ht="72" hidden="1" x14ac:dyDescent="0.2">
      <c r="A233" s="67"/>
      <c r="B233" s="96"/>
      <c r="C23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3" s="20" t="str">
        <f ca="1">IFERROR(__xludf.DUMMYFUNCTION("""COMPUTED_VALUE"""),"МинЖКХ")</f>
        <v>МинЖКХ</v>
      </c>
      <c r="E233" s="20" t="str">
        <f ca="1">IFERROR(__xludf.DUMMYFUNCTION("""COMPUTED_VALUE"""),"Строительство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f>
        <v>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v>
      </c>
      <c r="F233" s="67" t="str">
        <f ca="1">IFERROR(__xludf.DUMMYFUNCTION("""COMPUTED_VALUE"""),"СМР")</f>
        <v>СМР</v>
      </c>
      <c r="G233" s="67" t="str">
        <f ca="1">IFERROR(__xludf.DUMMYFUNCTION("""COMPUTED_VALUE"""),"г.о. Подольск")</f>
        <v>г.о. Подольск</v>
      </c>
      <c r="H233" s="67" t="str">
        <f ca="1">IFERROR(__xludf.DUMMYFUNCTION("""COMPUTED_VALUE"""),"2021-2022")</f>
        <v>2021-2022</v>
      </c>
      <c r="I233" s="67" t="str">
        <f ca="1">IFERROR(__xludf.DUMMYFUNCTION("""COMPUTED_VALUE"""),"10 2 01 64020")</f>
        <v>10 2 01 64020</v>
      </c>
      <c r="J233" s="67">
        <f ca="1">IFERROR(__xludf.DUMMYFUNCTION("""COMPUTED_VALUE"""),522)</f>
        <v>522</v>
      </c>
      <c r="K233" s="97">
        <f t="shared" ca="1" si="1"/>
        <v>0</v>
      </c>
      <c r="L233" s="97">
        <f ca="1">IFERROR(__xludf.DUMMYFUNCTION("""COMPUTED_VALUE"""),0)</f>
        <v>0</v>
      </c>
      <c r="M233" s="97">
        <f ca="1">IFERROR(__xludf.DUMMYFUNCTION("""COMPUTED_VALUE"""),0)</f>
        <v>0</v>
      </c>
      <c r="N233" s="97">
        <f ca="1">IFERROR(__xludf.DUMMYFUNCTION("""COMPUTED_VALUE"""),0)</f>
        <v>0</v>
      </c>
      <c r="O233" s="97">
        <f ca="1">IFERROR(__xludf.DUMMYFUNCTION("""COMPUTED_VALUE"""),0)</f>
        <v>0</v>
      </c>
      <c r="P233" s="97">
        <f t="shared" ca="1" si="2"/>
        <v>0</v>
      </c>
      <c r="Q233" s="67"/>
      <c r="R233" s="67"/>
      <c r="S233" s="97">
        <f ca="1">IFERROR(__xludf.DUMMYFUNCTION("""COMPUTED_VALUE"""),0)</f>
        <v>0</v>
      </c>
      <c r="T233" s="97">
        <f ca="1">IFERROR(__xludf.DUMMYFUNCTION("""COMPUTED_VALUE"""),0)</f>
        <v>0</v>
      </c>
      <c r="U233" s="97">
        <f ca="1">IFERROR(__xludf.DUMMYFUNCTION("""COMPUTED_VALUE"""),0)</f>
        <v>0</v>
      </c>
      <c r="V233" s="97">
        <f ca="1">IFERROR(__xludf.DUMMYFUNCTION("""COMPUTED_VALUE"""),0)</f>
        <v>0</v>
      </c>
      <c r="W233" s="97">
        <f ca="1">IFERROR(__xludf.DUMMYFUNCTION("""COMPUTED_VALUE"""),0)</f>
        <v>0</v>
      </c>
      <c r="X233" s="97">
        <f ca="1">IFERROR(__xludf.DUMMYFUNCTION("""COMPUTED_VALUE"""),0)</f>
        <v>0</v>
      </c>
      <c r="Y233" s="97">
        <f t="shared" ca="1" si="3"/>
        <v>0</v>
      </c>
      <c r="Z233" s="67">
        <f t="shared" si="4"/>
        <v>0</v>
      </c>
      <c r="AA233" s="67"/>
      <c r="AB233" s="67"/>
      <c r="AC233" s="67"/>
      <c r="AD233" s="99" t="e">
        <f t="shared" ca="1" si="5"/>
        <v>#DIV/0!</v>
      </c>
      <c r="AE233" s="67"/>
      <c r="AF233" s="67"/>
      <c r="AG233" s="67"/>
      <c r="AH233" s="67"/>
      <c r="AI233" s="67"/>
      <c r="AJ233" s="67"/>
      <c r="AK233" s="67"/>
      <c r="AL233" s="67"/>
      <c r="AM233" s="67"/>
      <c r="AN233" s="67"/>
      <c r="AO233" s="67"/>
      <c r="AP233" s="67"/>
      <c r="AQ233" s="67"/>
      <c r="AR233" s="67"/>
      <c r="AS233" s="67"/>
      <c r="AT233" s="67"/>
    </row>
    <row r="234" spans="1:46" ht="72" hidden="1" x14ac:dyDescent="0.2">
      <c r="A234" s="67"/>
      <c r="B234" s="100"/>
      <c r="C23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4" s="20" t="str">
        <f ca="1">IFERROR(__xludf.DUMMYFUNCTION("""COMPUTED_VALUE"""),"МинЖКХ")</f>
        <v>МинЖКХ</v>
      </c>
      <c r="E234" s="20" t="str">
        <f ca="1">IFERROR(__xludf.DUMMYFUNCTION("""COMPUTED_VALUE"""),"Строительство  очистных сооружений канализации д. Корпуса  (в том числе ПИР) г.о. Лосино-Петровский")</f>
        <v>Строительство  очистных сооружений канализации д. Корпуса  (в том числе ПИР) г.о. Лосино-Петровский</v>
      </c>
      <c r="F234" s="67" t="str">
        <f ca="1">IFERROR(__xludf.DUMMYFUNCTION("""COMPUTED_VALUE"""),"СМР")</f>
        <v>СМР</v>
      </c>
      <c r="G234" s="67" t="str">
        <f ca="1">IFERROR(__xludf.DUMMYFUNCTION("""COMPUTED_VALUE"""),"г.о. Лосино-Петровский")</f>
        <v>г.о. Лосино-Петровский</v>
      </c>
      <c r="H234" s="67" t="str">
        <f ca="1">IFERROR(__xludf.DUMMYFUNCTION("""COMPUTED_VALUE"""),"2022-2023")</f>
        <v>2022-2023</v>
      </c>
      <c r="I234" s="67" t="str">
        <f ca="1">IFERROR(__xludf.DUMMYFUNCTION("""COMPUTED_VALUE"""),"10 2 01 64020")</f>
        <v>10 2 01 64020</v>
      </c>
      <c r="J234" s="67">
        <f ca="1">IFERROR(__xludf.DUMMYFUNCTION("""COMPUTED_VALUE"""),522)</f>
        <v>522</v>
      </c>
      <c r="K234" s="97">
        <f t="shared" ca="1" si="1"/>
        <v>0</v>
      </c>
      <c r="L234" s="97">
        <f ca="1">IFERROR(__xludf.DUMMYFUNCTION("""COMPUTED_VALUE"""),0)</f>
        <v>0</v>
      </c>
      <c r="M234" s="97">
        <f ca="1">IFERROR(__xludf.DUMMYFUNCTION("""COMPUTED_VALUE"""),0)</f>
        <v>0</v>
      </c>
      <c r="N234" s="97">
        <f ca="1">IFERROR(__xludf.DUMMYFUNCTION("""COMPUTED_VALUE"""),0)</f>
        <v>0</v>
      </c>
      <c r="O234" s="97">
        <f ca="1">IFERROR(__xludf.DUMMYFUNCTION("""COMPUTED_VALUE"""),0)</f>
        <v>0</v>
      </c>
      <c r="P234" s="97">
        <f t="shared" ca="1" si="2"/>
        <v>0</v>
      </c>
      <c r="Q234" s="67"/>
      <c r="R234" s="67"/>
      <c r="S234" s="97">
        <f ca="1">IFERROR(__xludf.DUMMYFUNCTION("""COMPUTED_VALUE"""),0)</f>
        <v>0</v>
      </c>
      <c r="T234" s="97">
        <f ca="1">IFERROR(__xludf.DUMMYFUNCTION("""COMPUTED_VALUE"""),0)</f>
        <v>0</v>
      </c>
      <c r="U234" s="97">
        <f ca="1">IFERROR(__xludf.DUMMYFUNCTION("""COMPUTED_VALUE"""),0)</f>
        <v>0</v>
      </c>
      <c r="V234" s="97">
        <f ca="1">IFERROR(__xludf.DUMMYFUNCTION("""COMPUTED_VALUE"""),0)</f>
        <v>0</v>
      </c>
      <c r="W234" s="97">
        <f ca="1">IFERROR(__xludf.DUMMYFUNCTION("""COMPUTED_VALUE"""),0)</f>
        <v>0</v>
      </c>
      <c r="X234" s="97">
        <f ca="1">IFERROR(__xludf.DUMMYFUNCTION("""COMPUTED_VALUE"""),0)</f>
        <v>0</v>
      </c>
      <c r="Y234" s="97">
        <f t="shared" ca="1" si="3"/>
        <v>0</v>
      </c>
      <c r="Z234" s="67">
        <f t="shared" si="4"/>
        <v>0</v>
      </c>
      <c r="AA234" s="67"/>
      <c r="AB234" s="67"/>
      <c r="AC234" s="67"/>
      <c r="AD234" s="99" t="e">
        <f t="shared" ca="1" si="5"/>
        <v>#DIV/0!</v>
      </c>
      <c r="AE234" s="67"/>
      <c r="AF234" s="67"/>
      <c r="AG234" s="67"/>
      <c r="AH234" s="67"/>
      <c r="AI234" s="67"/>
      <c r="AJ234" s="67"/>
      <c r="AK234" s="67"/>
      <c r="AL234" s="67"/>
      <c r="AM234" s="67"/>
      <c r="AN234" s="67"/>
      <c r="AO234" s="67"/>
      <c r="AP234" s="67"/>
      <c r="AQ234" s="67"/>
      <c r="AR234" s="67"/>
      <c r="AS234" s="67"/>
      <c r="AT234" s="67"/>
    </row>
    <row r="235" spans="1:46" ht="72" x14ac:dyDescent="0.2">
      <c r="A235" s="20" t="str">
        <f ca="1">IFERROR(__xludf.DUMMYFUNCTION("""COMPUTED_VALUE"""),"Подрядчиком подготовлены и нарпавлены 10.11.2020 Акты выполненых работ по 8 из 10 этапам на общую сумму 47,5 млн.руб. ")</f>
        <v xml:space="preserve">Подрядчиком подготовлены и нарпавлены 10.11.2020 Акты выполненых работ по 8 из 10 этапам на общую сумму 47,5 млн.руб. </v>
      </c>
      <c r="B235" s="93"/>
      <c r="C23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5" s="20" t="str">
        <f ca="1">IFERROR(__xludf.DUMMYFUNCTION("""COMPUTED_VALUE"""),"МинЖКХ")</f>
        <v>МинЖКХ</v>
      </c>
      <c r="E235" s="20" t="str">
        <f ca="1">IFERROR(__xludf.DUMMYFUNCTION("""COMPUTED_VALUE"""),"Реконструкция очистных сооружений  г. Серпухов пер. Безымянный д.1 ( ПИР) ")</f>
        <v xml:space="preserve">Реконструкция очистных сооружений  г. Серпухов пер. Безымянный д.1 ( ПИР) </v>
      </c>
      <c r="F235" s="20" t="str">
        <f ca="1">IFERROR(__xludf.DUMMYFUNCTION("""COMPUTED_VALUE"""),"ПИР")</f>
        <v>ПИР</v>
      </c>
      <c r="G235" s="20" t="str">
        <f ca="1">IFERROR(__xludf.DUMMYFUNCTION("""COMPUTED_VALUE"""),"г.о. Серпухов")</f>
        <v>г.о. Серпухов</v>
      </c>
      <c r="H235" s="20">
        <f ca="1">IFERROR(__xludf.DUMMYFUNCTION("""COMPUTED_VALUE"""),2020)</f>
        <v>2020</v>
      </c>
      <c r="I235" s="20" t="str">
        <f ca="1">IFERROR(__xludf.DUMMYFUNCTION("""COMPUTED_VALUE"""),"10 2 01 64020")</f>
        <v>10 2 01 64020</v>
      </c>
      <c r="J235" s="20">
        <f ca="1">IFERROR(__xludf.DUMMYFUNCTION("""COMPUTED_VALUE"""),522)</f>
        <v>522</v>
      </c>
      <c r="K235" s="24">
        <f t="shared" ca="1" si="1"/>
        <v>68180.5</v>
      </c>
      <c r="L235" s="24">
        <f ca="1">IFERROR(__xludf.DUMMYFUNCTION("""COMPUTED_VALUE"""),0)</f>
        <v>0</v>
      </c>
      <c r="M235" s="24">
        <f ca="1">IFERROR(__xludf.DUMMYFUNCTION("""COMPUTED_VALUE"""),0)</f>
        <v>0</v>
      </c>
      <c r="N235" s="24">
        <f ca="1">IFERROR(__xludf.DUMMYFUNCTION("""COMPUTED_VALUE"""),64772)</f>
        <v>64772</v>
      </c>
      <c r="O235" s="24">
        <f ca="1">IFERROR(__xludf.DUMMYFUNCTION("""COMPUTED_VALUE"""),3408.5)</f>
        <v>3408.5</v>
      </c>
      <c r="P235" s="24">
        <f t="shared" ca="1" si="2"/>
        <v>64772</v>
      </c>
      <c r="Q235" s="20">
        <f ca="1">IFERROR(__xludf.DUMMYFUNCTION("""COMPUTED_VALUE"""),0)</f>
        <v>0</v>
      </c>
      <c r="R235" s="20"/>
      <c r="S235" s="24">
        <f ca="1">IFERROR(__xludf.DUMMYFUNCTION("""COMPUTED_VALUE"""),51817.18)</f>
        <v>51817.18</v>
      </c>
      <c r="T235" s="24">
        <f ca="1">IFERROR(__xludf.DUMMYFUNCTION("""COMPUTED_VALUE"""),16363.32)</f>
        <v>16363.32</v>
      </c>
      <c r="U235" s="24">
        <f ca="1">IFERROR(__xludf.DUMMYFUNCTION("""COMPUTED_VALUE"""),0)</f>
        <v>0</v>
      </c>
      <c r="V235" s="24">
        <f ca="1">IFERROR(__xludf.DUMMYFUNCTION("""COMPUTED_VALUE"""),0)</f>
        <v>0</v>
      </c>
      <c r="W235" s="24">
        <f ca="1">IFERROR(__xludf.DUMMYFUNCTION("""COMPUTED_VALUE"""),12954.82)</f>
        <v>12954.82</v>
      </c>
      <c r="X235" s="24">
        <f ca="1">IFERROR(__xludf.DUMMYFUNCTION("""COMPUTED_VALUE"""),3408.5)</f>
        <v>3408.5</v>
      </c>
      <c r="Y235" s="24">
        <f t="shared" ca="1" si="3"/>
        <v>12954.82</v>
      </c>
      <c r="Z235" s="20">
        <f t="shared" ca="1" si="4"/>
        <v>51817.18</v>
      </c>
      <c r="AA235" s="20"/>
      <c r="AB235" s="24">
        <f ca="1">IFERROR(__xludf.DUMMYFUNCTION("""COMPUTED_VALUE"""),0)</f>
        <v>0</v>
      </c>
      <c r="AC235" s="24">
        <f ca="1">IFERROR(__xludf.DUMMYFUNCTION("""COMPUTED_VALUE"""),51817.18)</f>
        <v>51817.18</v>
      </c>
      <c r="AD235" s="94">
        <f t="shared" ca="1" si="5"/>
        <v>0.79999351571666766</v>
      </c>
      <c r="AE235" s="20"/>
      <c r="AF235" s="20"/>
      <c r="AG235" s="20"/>
      <c r="AH235" s="20"/>
      <c r="AI235" s="20"/>
      <c r="AJ235" s="20"/>
      <c r="AK235" s="20"/>
      <c r="AL235" s="20"/>
      <c r="AM235" s="20"/>
      <c r="AN235" s="20"/>
      <c r="AO235" s="20"/>
      <c r="AP235" s="20"/>
      <c r="AQ235" s="20"/>
      <c r="AR235" s="20"/>
      <c r="AS235" s="20"/>
      <c r="AT235" s="20"/>
    </row>
    <row r="236" spans="1:46" ht="72" x14ac:dyDescent="0.2">
      <c r="A236" s="20"/>
      <c r="B236" s="93"/>
      <c r="C23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6" s="20" t="str">
        <f ca="1">IFERROR(__xludf.DUMMYFUNCTION("""COMPUTED_VALUE"""),"МинЖКХ")</f>
        <v>МинЖКХ</v>
      </c>
      <c r="E236" s="20" t="str">
        <f ca="1">IFERROR(__xludf.DUMMYFUNCTION("""COMPUTED_VALUE"""),"Реконструкция очистных сооружений  г. Павловский Посад пер. Интернациональный д. 28 Б (ПИР)")</f>
        <v>Реконструкция очистных сооружений  г. Павловский Посад пер. Интернациональный д. 28 Б (ПИР)</v>
      </c>
      <c r="F236" s="20" t="str">
        <f ca="1">IFERROR(__xludf.DUMMYFUNCTION("""COMPUTED_VALUE"""),"ПИР")</f>
        <v>ПИР</v>
      </c>
      <c r="G236" s="20" t="str">
        <f ca="1">IFERROR(__xludf.DUMMYFUNCTION("""COMPUTED_VALUE"""),"г.о. Павловский Посад")</f>
        <v>г.о. Павловский Посад</v>
      </c>
      <c r="H236" s="20">
        <f ca="1">IFERROR(__xludf.DUMMYFUNCTION("""COMPUTED_VALUE"""),2020)</f>
        <v>2020</v>
      </c>
      <c r="I236" s="20" t="str">
        <f ca="1">IFERROR(__xludf.DUMMYFUNCTION("""COMPUTED_VALUE"""),"10 2 01 64020")</f>
        <v>10 2 01 64020</v>
      </c>
      <c r="J236" s="20">
        <f ca="1">IFERROR(__xludf.DUMMYFUNCTION("""COMPUTED_VALUE"""),522)</f>
        <v>522</v>
      </c>
      <c r="K236" s="24">
        <f t="shared" ca="1" si="1"/>
        <v>53937.979999999996</v>
      </c>
      <c r="L236" s="24">
        <f ca="1">IFERROR(__xludf.DUMMYFUNCTION("""COMPUTED_VALUE"""),0)</f>
        <v>0</v>
      </c>
      <c r="M236" s="24">
        <f ca="1">IFERROR(__xludf.DUMMYFUNCTION("""COMPUTED_VALUE"""),0)</f>
        <v>0</v>
      </c>
      <c r="N236" s="24">
        <f ca="1">IFERROR(__xludf.DUMMYFUNCTION("""COMPUTED_VALUE"""),50136.64)</f>
        <v>50136.639999999999</v>
      </c>
      <c r="O236" s="24">
        <f ca="1">IFERROR(__xludf.DUMMYFUNCTION("""COMPUTED_VALUE"""),3801.34)</f>
        <v>3801.34</v>
      </c>
      <c r="P236" s="24">
        <f t="shared" ca="1" si="2"/>
        <v>50136.639999999999</v>
      </c>
      <c r="Q236" s="20">
        <f ca="1">IFERROR(__xludf.DUMMYFUNCTION("""COMPUTED_VALUE"""),0)</f>
        <v>0</v>
      </c>
      <c r="R236" s="20"/>
      <c r="S236" s="24">
        <f ca="1">IFERROR(__xludf.DUMMYFUNCTION("""COMPUTED_VALUE"""),0)</f>
        <v>0</v>
      </c>
      <c r="T236" s="24">
        <f ca="1">IFERROR(__xludf.DUMMYFUNCTION("""COMPUTED_VALUE"""),53937.9799999999)</f>
        <v>53937.979999999901</v>
      </c>
      <c r="U236" s="24">
        <f ca="1">IFERROR(__xludf.DUMMYFUNCTION("""COMPUTED_VALUE"""),0)</f>
        <v>0</v>
      </c>
      <c r="V236" s="24">
        <f ca="1">IFERROR(__xludf.DUMMYFUNCTION("""COMPUTED_VALUE"""),0)</f>
        <v>0</v>
      </c>
      <c r="W236" s="24">
        <f ca="1">IFERROR(__xludf.DUMMYFUNCTION("""COMPUTED_VALUE"""),50136.64)</f>
        <v>50136.639999999999</v>
      </c>
      <c r="X236" s="24">
        <f ca="1">IFERROR(__xludf.DUMMYFUNCTION("""COMPUTED_VALUE"""),3801.34)</f>
        <v>3801.34</v>
      </c>
      <c r="Y236" s="24">
        <f t="shared" ca="1" si="3"/>
        <v>50136.639999999999</v>
      </c>
      <c r="Z236" s="20">
        <f t="shared" ca="1" si="4"/>
        <v>0</v>
      </c>
      <c r="AA236" s="20"/>
      <c r="AB236" s="24">
        <f ca="1">IFERROR(__xludf.DUMMYFUNCTION("""COMPUTED_VALUE"""),0)</f>
        <v>0</v>
      </c>
      <c r="AC236" s="20"/>
      <c r="AD236" s="94">
        <f t="shared" ca="1" si="5"/>
        <v>0</v>
      </c>
      <c r="AE236" s="20"/>
      <c r="AF236" s="20"/>
      <c r="AG236" s="20"/>
      <c r="AH236" s="20"/>
      <c r="AI236" s="20"/>
      <c r="AJ236" s="20"/>
      <c r="AK236" s="20"/>
      <c r="AL236" s="20"/>
      <c r="AM236" s="20"/>
      <c r="AN236" s="20"/>
      <c r="AO236" s="20"/>
      <c r="AP236" s="20"/>
      <c r="AQ236" s="20"/>
      <c r="AR236" s="20"/>
      <c r="AS236" s="20"/>
      <c r="AT236" s="20"/>
    </row>
    <row r="237" spans="1:46" ht="72" x14ac:dyDescent="0.2">
      <c r="A237" s="20"/>
      <c r="B237" s="93"/>
      <c r="C23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7" s="20" t="str">
        <f ca="1">IFERROR(__xludf.DUMMYFUNCTION("""COMPUTED_VALUE"""),"МинЖКХ")</f>
        <v>МинЖКХ</v>
      </c>
      <c r="E237" s="20" t="str">
        <f ca="1">IFERROR(__xludf.DUMMYFUNCTION("""COMPUTED_VALUE"""),"Реконструкция очистных сооружений   г.п. Солнечногорск, д. Осипово (ПИР)")</f>
        <v>Реконструкция очистных сооружений   г.п. Солнечногорск, д. Осипово (ПИР)</v>
      </c>
      <c r="F237" s="20" t="str">
        <f ca="1">IFERROR(__xludf.DUMMYFUNCTION("""COMPUTED_VALUE"""),"ПИР")</f>
        <v>ПИР</v>
      </c>
      <c r="G237" s="20" t="str">
        <f ca="1">IFERROR(__xludf.DUMMYFUNCTION("""COMPUTED_VALUE"""),"г.о. Солнечногорск")</f>
        <v>г.о. Солнечногорск</v>
      </c>
      <c r="H237" s="20">
        <f ca="1">IFERROR(__xludf.DUMMYFUNCTION("""COMPUTED_VALUE"""),2020)</f>
        <v>2020</v>
      </c>
      <c r="I237" s="20" t="str">
        <f ca="1">IFERROR(__xludf.DUMMYFUNCTION("""COMPUTED_VALUE"""),"10 2 01 64020")</f>
        <v>10 2 01 64020</v>
      </c>
      <c r="J237" s="20">
        <f ca="1">IFERROR(__xludf.DUMMYFUNCTION("""COMPUTED_VALUE"""),522)</f>
        <v>522</v>
      </c>
      <c r="K237" s="24">
        <f t="shared" ca="1" si="1"/>
        <v>17955</v>
      </c>
      <c r="L237" s="24">
        <f ca="1">IFERROR(__xludf.DUMMYFUNCTION("""COMPUTED_VALUE"""),0)</f>
        <v>0</v>
      </c>
      <c r="M237" s="24">
        <f ca="1">IFERROR(__xludf.DUMMYFUNCTION("""COMPUTED_VALUE"""),0)</f>
        <v>0</v>
      </c>
      <c r="N237" s="24">
        <f ca="1">IFERROR(__xludf.DUMMYFUNCTION("""COMPUTED_VALUE"""),17057.25)</f>
        <v>17057.25</v>
      </c>
      <c r="O237" s="24">
        <f ca="1">IFERROR(__xludf.DUMMYFUNCTION("""COMPUTED_VALUE"""),897.75)</f>
        <v>897.75</v>
      </c>
      <c r="P237" s="24">
        <f t="shared" ca="1" si="2"/>
        <v>17057.25</v>
      </c>
      <c r="Q237" s="20">
        <f ca="1">IFERROR(__xludf.DUMMYFUNCTION("""COMPUTED_VALUE"""),0)</f>
        <v>0</v>
      </c>
      <c r="R237" s="20"/>
      <c r="S237" s="24">
        <f ca="1">IFERROR(__xludf.DUMMYFUNCTION("""COMPUTED_VALUE"""),17057.25)</f>
        <v>17057.25</v>
      </c>
      <c r="T237" s="24">
        <f ca="1">IFERROR(__xludf.DUMMYFUNCTION("""COMPUTED_VALUE"""),897.75)</f>
        <v>897.75</v>
      </c>
      <c r="U237" s="24">
        <f ca="1">IFERROR(__xludf.DUMMYFUNCTION("""COMPUTED_VALUE"""),0)</f>
        <v>0</v>
      </c>
      <c r="V237" s="24">
        <f ca="1">IFERROR(__xludf.DUMMYFUNCTION("""COMPUTED_VALUE"""),0)</f>
        <v>0</v>
      </c>
      <c r="W237" s="24">
        <f ca="1">IFERROR(__xludf.DUMMYFUNCTION("""COMPUTED_VALUE"""),0)</f>
        <v>0</v>
      </c>
      <c r="X237" s="24">
        <f ca="1">IFERROR(__xludf.DUMMYFUNCTION("""COMPUTED_VALUE"""),897.75)</f>
        <v>897.75</v>
      </c>
      <c r="Y237" s="24">
        <f t="shared" ca="1" si="3"/>
        <v>0</v>
      </c>
      <c r="Z237" s="20">
        <f t="shared" ca="1" si="4"/>
        <v>17057.25</v>
      </c>
      <c r="AA237" s="20"/>
      <c r="AB237" s="24">
        <f ca="1">IFERROR(__xludf.DUMMYFUNCTION("""COMPUTED_VALUE"""),0)</f>
        <v>0</v>
      </c>
      <c r="AC237" s="24">
        <f ca="1">IFERROR(__xludf.DUMMYFUNCTION("""COMPUTED_VALUE"""),17057.25)</f>
        <v>17057.25</v>
      </c>
      <c r="AD237" s="94">
        <f t="shared" ca="1" si="5"/>
        <v>1</v>
      </c>
      <c r="AE237" s="20"/>
      <c r="AF237" s="20"/>
      <c r="AG237" s="20"/>
      <c r="AH237" s="20"/>
      <c r="AI237" s="20"/>
      <c r="AJ237" s="20"/>
      <c r="AK237" s="20"/>
      <c r="AL237" s="20"/>
      <c r="AM237" s="20"/>
      <c r="AN237" s="20"/>
      <c r="AO237" s="20"/>
      <c r="AP237" s="20"/>
      <c r="AQ237" s="20"/>
      <c r="AR237" s="20"/>
      <c r="AS237" s="20"/>
      <c r="AT237" s="20"/>
    </row>
    <row r="238" spans="1:46" ht="72" x14ac:dyDescent="0.2">
      <c r="A238" s="20"/>
      <c r="B238" s="93"/>
      <c r="C23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8" s="20" t="str">
        <f ca="1">IFERROR(__xludf.DUMMYFUNCTION("""COMPUTED_VALUE"""),"МинЖКХ")</f>
        <v>МинЖКХ</v>
      </c>
      <c r="E238" s="20" t="str">
        <f ca="1">IFERROR(__xludf.DUMMYFUNCTION("""COMPUTED_VALUE"""),"Строительство очистных сооружений г. Наро-Фоминск ул. Профсоюзная  (ПИР) ")</f>
        <v xml:space="preserve">Строительство очистных сооружений г. Наро-Фоминск ул. Профсоюзная  (ПИР) </v>
      </c>
      <c r="F238" s="20" t="str">
        <f ca="1">IFERROR(__xludf.DUMMYFUNCTION("""COMPUTED_VALUE"""),"ПИР")</f>
        <v>ПИР</v>
      </c>
      <c r="G238" s="20" t="str">
        <f ca="1">IFERROR(__xludf.DUMMYFUNCTION("""COMPUTED_VALUE"""),"г.о. Наро-Фоминск")</f>
        <v>г.о. Наро-Фоминск</v>
      </c>
      <c r="H238" s="20">
        <f ca="1">IFERROR(__xludf.DUMMYFUNCTION("""COMPUTED_VALUE"""),2020)</f>
        <v>2020</v>
      </c>
      <c r="I238" s="20" t="str">
        <f ca="1">IFERROR(__xludf.DUMMYFUNCTION("""COMPUTED_VALUE"""),"10 2 01 64020")</f>
        <v>10 2 01 64020</v>
      </c>
      <c r="J238" s="20">
        <f ca="1">IFERROR(__xludf.DUMMYFUNCTION("""COMPUTED_VALUE"""),522)</f>
        <v>522</v>
      </c>
      <c r="K238" s="24">
        <f t="shared" ca="1" si="1"/>
        <v>34079.089999999997</v>
      </c>
      <c r="L238" s="24">
        <f ca="1">IFERROR(__xludf.DUMMYFUNCTION("""COMPUTED_VALUE"""),0)</f>
        <v>0</v>
      </c>
      <c r="M238" s="24">
        <f ca="1">IFERROR(__xludf.DUMMYFUNCTION("""COMPUTED_VALUE"""),0)</f>
        <v>0</v>
      </c>
      <c r="N238" s="24">
        <f ca="1">IFERROR(__xludf.DUMMYFUNCTION("""COMPUTED_VALUE"""),32375)</f>
        <v>32375</v>
      </c>
      <c r="O238" s="24">
        <f ca="1">IFERROR(__xludf.DUMMYFUNCTION("""COMPUTED_VALUE"""),1704.09)</f>
        <v>1704.09</v>
      </c>
      <c r="P238" s="24">
        <f t="shared" ca="1" si="2"/>
        <v>32375</v>
      </c>
      <c r="Q238" s="20">
        <f ca="1">IFERROR(__xludf.DUMMYFUNCTION("""COMPUTED_VALUE"""),0)</f>
        <v>0</v>
      </c>
      <c r="R238" s="20"/>
      <c r="S238" s="24">
        <f ca="1">IFERROR(__xludf.DUMMYFUNCTION("""COMPUTED_VALUE"""),32374.99)</f>
        <v>32374.99</v>
      </c>
      <c r="T238" s="24">
        <f ca="1">IFERROR(__xludf.DUMMYFUNCTION("""COMPUTED_VALUE"""),1704.09999999999)</f>
        <v>1704.0999999999899</v>
      </c>
      <c r="U238" s="24">
        <f ca="1">IFERROR(__xludf.DUMMYFUNCTION("""COMPUTED_VALUE"""),0)</f>
        <v>0</v>
      </c>
      <c r="V238" s="24">
        <f ca="1">IFERROR(__xludf.DUMMYFUNCTION("""COMPUTED_VALUE"""),0)</f>
        <v>0</v>
      </c>
      <c r="W238" s="24">
        <f ca="1">IFERROR(__xludf.DUMMYFUNCTION("""COMPUTED_VALUE"""),0.00999999999839929)</f>
        <v>9.9999999983992893E-3</v>
      </c>
      <c r="X238" s="24">
        <f ca="1">IFERROR(__xludf.DUMMYFUNCTION("""COMPUTED_VALUE"""),1704.09)</f>
        <v>1704.09</v>
      </c>
      <c r="Y238" s="24">
        <f t="shared" ca="1" si="3"/>
        <v>9.9999999983992893E-3</v>
      </c>
      <c r="Z238" s="20">
        <f t="shared" ca="1" si="4"/>
        <v>32374.99</v>
      </c>
      <c r="AA238" s="20"/>
      <c r="AB238" s="24">
        <f ca="1">IFERROR(__xludf.DUMMYFUNCTION("""COMPUTED_VALUE"""),0)</f>
        <v>0</v>
      </c>
      <c r="AC238" s="24">
        <f ca="1">IFERROR(__xludf.DUMMYFUNCTION("""COMPUTED_VALUE"""),32374.99)</f>
        <v>32374.99</v>
      </c>
      <c r="AD238" s="94">
        <f t="shared" ca="1" si="5"/>
        <v>0.99999969111969111</v>
      </c>
      <c r="AE238" s="20"/>
      <c r="AF238" s="20"/>
      <c r="AG238" s="20"/>
      <c r="AH238" s="20"/>
      <c r="AI238" s="20"/>
      <c r="AJ238" s="20"/>
      <c r="AK238" s="20"/>
      <c r="AL238" s="20"/>
      <c r="AM238" s="20"/>
      <c r="AN238" s="20"/>
      <c r="AO238" s="20"/>
      <c r="AP238" s="20"/>
      <c r="AQ238" s="20"/>
      <c r="AR238" s="20"/>
      <c r="AS238" s="20"/>
      <c r="AT238" s="20"/>
    </row>
    <row r="239" spans="1:46" ht="72" x14ac:dyDescent="0.2">
      <c r="A239" s="20"/>
      <c r="B239" s="93"/>
      <c r="C23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9" s="20" t="str">
        <f ca="1">IFERROR(__xludf.DUMMYFUNCTION("""COMPUTED_VALUE"""),"МинЖКХ")</f>
        <v>МинЖКХ</v>
      </c>
      <c r="E239" s="20" t="str">
        <f ca="1">IFERROR(__xludf.DUMMYFUNCTION("""COMPUTED_VALUE"""),"Строительство очистных сооружений канализации г.п. Сергиев-Посад мощностью 40 тыс. куб.м/сут. (ПИР)")</f>
        <v>Строительство очистных сооружений канализации г.п. Сергиев-Посад мощностью 40 тыс. куб.м/сут. (ПИР)</v>
      </c>
      <c r="F239" s="20" t="str">
        <f ca="1">IFERROR(__xludf.DUMMYFUNCTION("""COMPUTED_VALUE"""),"ПИР")</f>
        <v>ПИР</v>
      </c>
      <c r="G239" s="20" t="str">
        <f ca="1">IFERROR(__xludf.DUMMYFUNCTION("""COMPUTED_VALUE"""),"г.о. Сергиев Посад")</f>
        <v>г.о. Сергиев Посад</v>
      </c>
      <c r="H239" s="20">
        <f ca="1">IFERROR(__xludf.DUMMYFUNCTION("""COMPUTED_VALUE"""),2020)</f>
        <v>2020</v>
      </c>
      <c r="I239" s="20" t="str">
        <f ca="1">IFERROR(__xludf.DUMMYFUNCTION("""COMPUTED_VALUE"""),"10 2 01 64020")</f>
        <v>10 2 01 64020</v>
      </c>
      <c r="J239" s="20">
        <f ca="1">IFERROR(__xludf.DUMMYFUNCTION("""COMPUTED_VALUE"""),522)</f>
        <v>522</v>
      </c>
      <c r="K239" s="24">
        <f t="shared" ca="1" si="1"/>
        <v>34000</v>
      </c>
      <c r="L239" s="24">
        <f ca="1">IFERROR(__xludf.DUMMYFUNCTION("""COMPUTED_VALUE"""),0)</f>
        <v>0</v>
      </c>
      <c r="M239" s="24">
        <f ca="1">IFERROR(__xludf.DUMMYFUNCTION("""COMPUTED_VALUE"""),0)</f>
        <v>0</v>
      </c>
      <c r="N239" s="24">
        <f ca="1">IFERROR(__xludf.DUMMYFUNCTION("""COMPUTED_VALUE"""),32300)</f>
        <v>32300</v>
      </c>
      <c r="O239" s="24">
        <f ca="1">IFERROR(__xludf.DUMMYFUNCTION("""COMPUTED_VALUE"""),1700)</f>
        <v>1700</v>
      </c>
      <c r="P239" s="24">
        <f t="shared" ca="1" si="2"/>
        <v>32300</v>
      </c>
      <c r="Q239" s="20">
        <f ca="1">IFERROR(__xludf.DUMMYFUNCTION("""COMPUTED_VALUE"""),25)</f>
        <v>25</v>
      </c>
      <c r="R239" s="20"/>
      <c r="S239" s="24">
        <f ca="1">IFERROR(__xludf.DUMMYFUNCTION("""COMPUTED_VALUE"""),34000)</f>
        <v>34000</v>
      </c>
      <c r="T239" s="24">
        <f ca="1">IFERROR(__xludf.DUMMYFUNCTION("""COMPUTED_VALUE"""),0)</f>
        <v>0</v>
      </c>
      <c r="U239" s="24">
        <f ca="1">IFERROR(__xludf.DUMMYFUNCTION("""COMPUTED_VALUE"""),0)</f>
        <v>0</v>
      </c>
      <c r="V239" s="24">
        <f ca="1">IFERROR(__xludf.DUMMYFUNCTION("""COMPUTED_VALUE"""),0)</f>
        <v>0</v>
      </c>
      <c r="W239" s="24">
        <f ca="1">IFERROR(__xludf.DUMMYFUNCTION("""COMPUTED_VALUE"""),0)</f>
        <v>0</v>
      </c>
      <c r="X239" s="24">
        <f ca="1">IFERROR(__xludf.DUMMYFUNCTION("""COMPUTED_VALUE"""),0)</f>
        <v>0</v>
      </c>
      <c r="Y239" s="24">
        <f t="shared" ca="1" si="3"/>
        <v>0</v>
      </c>
      <c r="Z239" s="20">
        <f t="shared" ca="1" si="4"/>
        <v>32300</v>
      </c>
      <c r="AA239" s="20"/>
      <c r="AB239" s="20"/>
      <c r="AC239" s="24">
        <f ca="1">IFERROR(__xludf.DUMMYFUNCTION("""COMPUTED_VALUE"""),32300)</f>
        <v>32300</v>
      </c>
      <c r="AD239" s="94">
        <f t="shared" ca="1" si="5"/>
        <v>1</v>
      </c>
      <c r="AE239" s="20"/>
      <c r="AF239" s="20"/>
      <c r="AG239" s="20"/>
      <c r="AH239" s="20"/>
      <c r="AI239" s="20"/>
      <c r="AJ239" s="20"/>
      <c r="AK239" s="20"/>
      <c r="AL239" s="20"/>
      <c r="AM239" s="20"/>
      <c r="AN239" s="20"/>
      <c r="AO239" s="20"/>
      <c r="AP239" s="20"/>
      <c r="AQ239" s="20"/>
      <c r="AR239" s="20"/>
      <c r="AS239" s="20"/>
      <c r="AT239" s="20"/>
    </row>
    <row r="240" spans="1:46" ht="96" x14ac:dyDescent="0.2">
      <c r="A240" s="20"/>
      <c r="B240" s="93"/>
      <c r="C24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0" s="20" t="str">
        <f ca="1">IFERROR(__xludf.DUMMYFUNCTION("""COMPUTED_VALUE"""),"МинЖКХ")</f>
        <v>МинЖКХ</v>
      </c>
      <c r="E240" s="20" t="str">
        <f ca="1">IFERROR(__xludf.DUMMYFUNCTION("""COMPUTED_VALUE"""),"Строительство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f>
        <v>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v>
      </c>
      <c r="F240" s="20" t="str">
        <f ca="1">IFERROR(__xludf.DUMMYFUNCTION("""COMPUTED_VALUE"""),"ПИР")</f>
        <v>ПИР</v>
      </c>
      <c r="G240" s="20" t="str">
        <f ca="1">IFERROR(__xludf.DUMMYFUNCTION("""COMPUTED_VALUE"""),"г.о. Дмитровский")</f>
        <v>г.о. Дмитровский</v>
      </c>
      <c r="H240" s="20">
        <f ca="1">IFERROR(__xludf.DUMMYFUNCTION("""COMPUTED_VALUE"""),2020)</f>
        <v>2020</v>
      </c>
      <c r="I240" s="20" t="str">
        <f ca="1">IFERROR(__xludf.DUMMYFUNCTION("""COMPUTED_VALUE"""),"10 2 01 64020")</f>
        <v>10 2 01 64020</v>
      </c>
      <c r="J240" s="20">
        <f ca="1">IFERROR(__xludf.DUMMYFUNCTION("""COMPUTED_VALUE"""),522)</f>
        <v>522</v>
      </c>
      <c r="K240" s="24">
        <f t="shared" ca="1" si="1"/>
        <v>8049.41</v>
      </c>
      <c r="L240" s="24">
        <f ca="1">IFERROR(__xludf.DUMMYFUNCTION("""COMPUTED_VALUE"""),0)</f>
        <v>0</v>
      </c>
      <c r="M240" s="24">
        <f ca="1">IFERROR(__xludf.DUMMYFUNCTION("""COMPUTED_VALUE"""),0)</f>
        <v>0</v>
      </c>
      <c r="N240" s="24">
        <f ca="1">IFERROR(__xludf.DUMMYFUNCTION("""COMPUTED_VALUE"""),7970.03)</f>
        <v>7970.03</v>
      </c>
      <c r="O240" s="24">
        <f ca="1">IFERROR(__xludf.DUMMYFUNCTION("""COMPUTED_VALUE"""),79.38)</f>
        <v>79.38</v>
      </c>
      <c r="P240" s="24">
        <f t="shared" ca="1" si="2"/>
        <v>7970.03</v>
      </c>
      <c r="Q240" s="20">
        <f ca="1">IFERROR(__xludf.DUMMYFUNCTION("""COMPUTED_VALUE"""),100)</f>
        <v>100</v>
      </c>
      <c r="R240" s="20"/>
      <c r="S240" s="24">
        <f ca="1">IFERROR(__xludf.DUMMYFUNCTION("""COMPUTED_VALUE"""),7970.03)</f>
        <v>7970.03</v>
      </c>
      <c r="T240" s="24">
        <f ca="1">IFERROR(__xludf.DUMMYFUNCTION("""COMPUTED_VALUE"""),79.3800000000001)</f>
        <v>79.380000000000095</v>
      </c>
      <c r="U240" s="24">
        <f ca="1">IFERROR(__xludf.DUMMYFUNCTION("""COMPUTED_VALUE"""),0)</f>
        <v>0</v>
      </c>
      <c r="V240" s="24">
        <f ca="1">IFERROR(__xludf.DUMMYFUNCTION("""COMPUTED_VALUE"""),0)</f>
        <v>0</v>
      </c>
      <c r="W240" s="24">
        <f ca="1">IFERROR(__xludf.DUMMYFUNCTION("""COMPUTED_VALUE"""),0)</f>
        <v>0</v>
      </c>
      <c r="X240" s="24">
        <f ca="1">IFERROR(__xludf.DUMMYFUNCTION("""COMPUTED_VALUE"""),79.38)</f>
        <v>79.38</v>
      </c>
      <c r="Y240" s="24">
        <f t="shared" ca="1" si="3"/>
        <v>0</v>
      </c>
      <c r="Z240" s="20">
        <f t="shared" ca="1" si="4"/>
        <v>7970.03</v>
      </c>
      <c r="AA240" s="20"/>
      <c r="AB240" s="24">
        <f ca="1">IFERROR(__xludf.DUMMYFUNCTION("""COMPUTED_VALUE"""),0)</f>
        <v>0</v>
      </c>
      <c r="AC240" s="24">
        <f ca="1">IFERROR(__xludf.DUMMYFUNCTION("""COMPUTED_VALUE"""),7970.03)</f>
        <v>7970.03</v>
      </c>
      <c r="AD240" s="94">
        <f t="shared" ca="1" si="5"/>
        <v>1</v>
      </c>
      <c r="AE240" s="20"/>
      <c r="AF240" s="20"/>
      <c r="AG240" s="20"/>
      <c r="AH240" s="20"/>
      <c r="AI240" s="20"/>
      <c r="AJ240" s="20"/>
      <c r="AK240" s="20"/>
      <c r="AL240" s="20"/>
      <c r="AM240" s="20"/>
      <c r="AN240" s="20"/>
      <c r="AO240" s="20"/>
      <c r="AP240" s="20"/>
      <c r="AQ240" s="20"/>
      <c r="AR240" s="20"/>
      <c r="AS240" s="20"/>
      <c r="AT240" s="20"/>
    </row>
    <row r="241" spans="1:46" ht="72" x14ac:dyDescent="0.2">
      <c r="A241" s="20"/>
      <c r="B241" s="93"/>
      <c r="C24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1" s="20" t="str">
        <f ca="1">IFERROR(__xludf.DUMMYFUNCTION("""COMPUTED_VALUE"""),"МинЖКХ")</f>
        <v>МинЖКХ</v>
      </c>
      <c r="E241" s="20" t="str">
        <f ca="1">IFERROR(__xludf.DUMMYFUNCTION("""COMPUTED_VALUE"""),"Строительство очисных сооружений г. Кашира д. Терново-1 (ПИР)")</f>
        <v>Строительство очисных сооружений г. Кашира д. Терново-1 (ПИР)</v>
      </c>
      <c r="F241" s="20" t="str">
        <f ca="1">IFERROR(__xludf.DUMMYFUNCTION("""COMPUTED_VALUE"""),"ПИР")</f>
        <v>ПИР</v>
      </c>
      <c r="G241" s="20" t="str">
        <f ca="1">IFERROR(__xludf.DUMMYFUNCTION("""COMPUTED_VALUE"""),"г.о. Кашира")</f>
        <v>г.о. Кашира</v>
      </c>
      <c r="H241" s="20">
        <f ca="1">IFERROR(__xludf.DUMMYFUNCTION("""COMPUTED_VALUE"""),2020)</f>
        <v>2020</v>
      </c>
      <c r="I241" s="20" t="str">
        <f ca="1">IFERROR(__xludf.DUMMYFUNCTION("""COMPUTED_VALUE"""),"10 2 01 64020")</f>
        <v>10 2 01 64020</v>
      </c>
      <c r="J241" s="20">
        <f ca="1">IFERROR(__xludf.DUMMYFUNCTION("""COMPUTED_VALUE"""),522)</f>
        <v>522</v>
      </c>
      <c r="K241" s="24">
        <f t="shared" ca="1" si="1"/>
        <v>6900</v>
      </c>
      <c r="L241" s="24">
        <f ca="1">IFERROR(__xludf.DUMMYFUNCTION("""COMPUTED_VALUE"""),0)</f>
        <v>0</v>
      </c>
      <c r="M241" s="24">
        <f ca="1">IFERROR(__xludf.DUMMYFUNCTION("""COMPUTED_VALUE"""),0)</f>
        <v>0</v>
      </c>
      <c r="N241" s="24">
        <f ca="1">IFERROR(__xludf.DUMMYFUNCTION("""COMPUTED_VALUE"""),6555)</f>
        <v>6555</v>
      </c>
      <c r="O241" s="24">
        <f ca="1">IFERROR(__xludf.DUMMYFUNCTION("""COMPUTED_VALUE"""),345)</f>
        <v>345</v>
      </c>
      <c r="P241" s="24">
        <f t="shared" ca="1" si="2"/>
        <v>6555</v>
      </c>
      <c r="Q241" s="20">
        <f ca="1">IFERROR(__xludf.DUMMYFUNCTION("""COMPUTED_VALUE"""),100)</f>
        <v>100</v>
      </c>
      <c r="R241" s="20"/>
      <c r="S241" s="24">
        <f ca="1">IFERROR(__xludf.DUMMYFUNCTION("""COMPUTED_VALUE"""),6900)</f>
        <v>6900</v>
      </c>
      <c r="T241" s="24">
        <f ca="1">IFERROR(__xludf.DUMMYFUNCTION("""COMPUTED_VALUE"""),0)</f>
        <v>0</v>
      </c>
      <c r="U241" s="24">
        <f ca="1">IFERROR(__xludf.DUMMYFUNCTION("""COMPUTED_VALUE"""),0)</f>
        <v>0</v>
      </c>
      <c r="V241" s="24">
        <f ca="1">IFERROR(__xludf.DUMMYFUNCTION("""COMPUTED_VALUE"""),0)</f>
        <v>0</v>
      </c>
      <c r="W241" s="24">
        <f ca="1">IFERROR(__xludf.DUMMYFUNCTION("""COMPUTED_VALUE"""),0)</f>
        <v>0</v>
      </c>
      <c r="X241" s="24">
        <f ca="1">IFERROR(__xludf.DUMMYFUNCTION("""COMPUTED_VALUE"""),0)</f>
        <v>0</v>
      </c>
      <c r="Y241" s="24">
        <f t="shared" ca="1" si="3"/>
        <v>0</v>
      </c>
      <c r="Z241" s="20">
        <f t="shared" ca="1" si="4"/>
        <v>6555</v>
      </c>
      <c r="AA241" s="20"/>
      <c r="AB241" s="20"/>
      <c r="AC241" s="24">
        <f ca="1">IFERROR(__xludf.DUMMYFUNCTION("""COMPUTED_VALUE"""),6555)</f>
        <v>6555</v>
      </c>
      <c r="AD241" s="94">
        <f t="shared" ca="1" si="5"/>
        <v>1</v>
      </c>
      <c r="AE241" s="20"/>
      <c r="AF241" s="20"/>
      <c r="AG241" s="20"/>
      <c r="AH241" s="20"/>
      <c r="AI241" s="20"/>
      <c r="AJ241" s="20"/>
      <c r="AK241" s="20"/>
      <c r="AL241" s="20"/>
      <c r="AM241" s="20"/>
      <c r="AN241" s="20"/>
      <c r="AO241" s="20"/>
      <c r="AP241" s="20"/>
      <c r="AQ241" s="20"/>
      <c r="AR241" s="20"/>
      <c r="AS241" s="20"/>
      <c r="AT241" s="20"/>
    </row>
    <row r="242" spans="1:46" ht="72" x14ac:dyDescent="0.2">
      <c r="A242" s="20"/>
      <c r="B242" s="93"/>
      <c r="C24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2" s="20" t="str">
        <f ca="1">IFERROR(__xludf.DUMMYFUNCTION("""COMPUTED_VALUE"""),"МинЖКХ")</f>
        <v>МинЖКХ</v>
      </c>
      <c r="E242" s="20" t="str">
        <f ca="1">IFERROR(__xludf.DUMMYFUNCTION("""COMPUTED_VALUE"""),"Строительство очистных сооружений,  г. Шатура, ул. Малькина Грива  (ПИР)")</f>
        <v>Строительство очистных сооружений,  г. Шатура, ул. Малькина Грива  (ПИР)</v>
      </c>
      <c r="F242" s="20" t="str">
        <f ca="1">IFERROR(__xludf.DUMMYFUNCTION("""COMPUTED_VALUE"""),"ПИР")</f>
        <v>ПИР</v>
      </c>
      <c r="G242" s="20" t="str">
        <f ca="1">IFERROR(__xludf.DUMMYFUNCTION("""COMPUTED_VALUE"""),"г.о. Шатура")</f>
        <v>г.о. Шатура</v>
      </c>
      <c r="H242" s="20">
        <f ca="1">IFERROR(__xludf.DUMMYFUNCTION("""COMPUTED_VALUE"""),2020)</f>
        <v>2020</v>
      </c>
      <c r="I242" s="20" t="str">
        <f ca="1">IFERROR(__xludf.DUMMYFUNCTION("""COMPUTED_VALUE"""),"10 2 01 64020")</f>
        <v>10 2 01 64020</v>
      </c>
      <c r="J242" s="20">
        <f ca="1">IFERROR(__xludf.DUMMYFUNCTION("""COMPUTED_VALUE"""),522)</f>
        <v>522</v>
      </c>
      <c r="K242" s="24">
        <f t="shared" ca="1" si="1"/>
        <v>23950.5</v>
      </c>
      <c r="L242" s="24">
        <f ca="1">IFERROR(__xludf.DUMMYFUNCTION("""COMPUTED_VALUE"""),0)</f>
        <v>0</v>
      </c>
      <c r="M242" s="24">
        <f ca="1">IFERROR(__xludf.DUMMYFUNCTION("""COMPUTED_VALUE"""),0)</f>
        <v>0</v>
      </c>
      <c r="N242" s="24">
        <f ca="1">IFERROR(__xludf.DUMMYFUNCTION("""COMPUTED_VALUE"""),23950.49)</f>
        <v>23950.49</v>
      </c>
      <c r="O242" s="24">
        <f ca="1">IFERROR(__xludf.DUMMYFUNCTION("""COMPUTED_VALUE"""),0.01)</f>
        <v>0.01</v>
      </c>
      <c r="P242" s="24">
        <f t="shared" ca="1" si="2"/>
        <v>23950.49</v>
      </c>
      <c r="Q242" s="20">
        <f ca="1">IFERROR(__xludf.DUMMYFUNCTION("""COMPUTED_VALUE"""),100)</f>
        <v>100</v>
      </c>
      <c r="R242" s="20"/>
      <c r="S242" s="24">
        <f ca="1">IFERROR(__xludf.DUMMYFUNCTION("""COMPUTED_VALUE"""),23950.5)</f>
        <v>23950.5</v>
      </c>
      <c r="T242" s="24">
        <f ca="1">IFERROR(__xludf.DUMMYFUNCTION("""COMPUTED_VALUE"""),0)</f>
        <v>0</v>
      </c>
      <c r="U242" s="24">
        <f ca="1">IFERROR(__xludf.DUMMYFUNCTION("""COMPUTED_VALUE"""),0)</f>
        <v>0</v>
      </c>
      <c r="V242" s="24">
        <f ca="1">IFERROR(__xludf.DUMMYFUNCTION("""COMPUTED_VALUE"""),0)</f>
        <v>0</v>
      </c>
      <c r="W242" s="24">
        <f ca="1">IFERROR(__xludf.DUMMYFUNCTION("""COMPUTED_VALUE"""),0)</f>
        <v>0</v>
      </c>
      <c r="X242" s="24">
        <f ca="1">IFERROR(__xludf.DUMMYFUNCTION("""COMPUTED_VALUE"""),0)</f>
        <v>0</v>
      </c>
      <c r="Y242" s="24">
        <f t="shared" ca="1" si="3"/>
        <v>0</v>
      </c>
      <c r="Z242" s="20">
        <f t="shared" ca="1" si="4"/>
        <v>23950.49</v>
      </c>
      <c r="AA242" s="20"/>
      <c r="AB242" s="20"/>
      <c r="AC242" s="24">
        <f ca="1">IFERROR(__xludf.DUMMYFUNCTION("""COMPUTED_VALUE"""),23950.49)</f>
        <v>23950.49</v>
      </c>
      <c r="AD242" s="94">
        <f t="shared" ca="1" si="5"/>
        <v>1</v>
      </c>
      <c r="AE242" s="20"/>
      <c r="AF242" s="20"/>
      <c r="AG242" s="20"/>
      <c r="AH242" s="20"/>
      <c r="AI242" s="20"/>
      <c r="AJ242" s="20"/>
      <c r="AK242" s="20"/>
      <c r="AL242" s="20"/>
      <c r="AM242" s="20"/>
      <c r="AN242" s="20"/>
      <c r="AO242" s="20"/>
      <c r="AP242" s="20"/>
      <c r="AQ242" s="20"/>
      <c r="AR242" s="20"/>
      <c r="AS242" s="20"/>
      <c r="AT242" s="20"/>
    </row>
    <row r="243" spans="1:46" ht="72" x14ac:dyDescent="0.2">
      <c r="A243" s="20" t="str">
        <f ca="1">IFERROR(__xludf.DUMMYFUNCTION("""COMPUTED_VALUE"""),"Направлена заявка на опалту 11.11.2020. Акт от УТНКР с замечаниями.  ")</f>
        <v xml:space="preserve">Направлена заявка на опалту 11.11.2020. Акт от УТНКР с замечаниями.  </v>
      </c>
      <c r="B243" s="93"/>
      <c r="C24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3" s="20" t="str">
        <f ca="1">IFERROR(__xludf.DUMMYFUNCTION("""COMPUTED_VALUE"""),"МинЖКХ")</f>
        <v>МинЖКХ</v>
      </c>
      <c r="E243" s="20" t="str">
        <f ca="1">IFERROR(__xludf.DUMMYFUNCTION("""COMPUTED_VALUE"""),"Комплексные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f>
        <v>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v>
      </c>
      <c r="F243" s="20" t="str">
        <f ca="1">IFERROR(__xludf.DUMMYFUNCTION("""COMPUTED_VALUE"""),"СМР")</f>
        <v>СМР</v>
      </c>
      <c r="G243" s="20" t="str">
        <f ca="1">IFERROR(__xludf.DUMMYFUNCTION("""COMPUTED_VALUE"""),"г.о. Истра")</f>
        <v>г.о. Истра</v>
      </c>
      <c r="H243" s="20" t="str">
        <f ca="1">IFERROR(__xludf.DUMMYFUNCTION("""COMPUTED_VALUE"""),"2020-2021")</f>
        <v>2020-2021</v>
      </c>
      <c r="I243" s="20" t="str">
        <f ca="1">IFERROR(__xludf.DUMMYFUNCTION("""COMPUTED_VALUE"""),"10 2 01 64020")</f>
        <v>10 2 01 64020</v>
      </c>
      <c r="J243" s="20">
        <f ca="1">IFERROR(__xludf.DUMMYFUNCTION("""COMPUTED_VALUE"""),522)</f>
        <v>522</v>
      </c>
      <c r="K243" s="24">
        <f t="shared" ca="1" si="1"/>
        <v>60019.43</v>
      </c>
      <c r="L243" s="24">
        <f ca="1">IFERROR(__xludf.DUMMYFUNCTION("""COMPUTED_VALUE"""),41833.54)</f>
        <v>41833.54</v>
      </c>
      <c r="M243" s="24">
        <f ca="1">IFERROR(__xludf.DUMMYFUNCTION("""COMPUTED_VALUE"""),0)</f>
        <v>0</v>
      </c>
      <c r="N243" s="24">
        <f ca="1">IFERROR(__xludf.DUMMYFUNCTION("""COMPUTED_VALUE"""),0)</f>
        <v>0</v>
      </c>
      <c r="O243" s="24">
        <f ca="1">IFERROR(__xludf.DUMMYFUNCTION("""COMPUTED_VALUE"""),18185.89)</f>
        <v>18185.89</v>
      </c>
      <c r="P243" s="24">
        <f t="shared" ca="1" si="2"/>
        <v>41833.54</v>
      </c>
      <c r="Q243" s="20">
        <f ca="1">IFERROR(__xludf.DUMMYFUNCTION("""COMPUTED_VALUE"""),3)</f>
        <v>3</v>
      </c>
      <c r="R243" s="20"/>
      <c r="S243" s="24">
        <f ca="1">IFERROR(__xludf.DUMMYFUNCTION("""COMPUTED_VALUE"""),30827.66)</f>
        <v>30827.66</v>
      </c>
      <c r="T243" s="24">
        <f ca="1">IFERROR(__xludf.DUMMYFUNCTION("""COMPUTED_VALUE"""),29191.77)</f>
        <v>29191.77</v>
      </c>
      <c r="U243" s="24">
        <f ca="1">IFERROR(__xludf.DUMMYFUNCTION("""COMPUTED_VALUE"""),11005.88)</f>
        <v>11005.88</v>
      </c>
      <c r="V243" s="24">
        <f ca="1">IFERROR(__xludf.DUMMYFUNCTION("""COMPUTED_VALUE"""),0)</f>
        <v>0</v>
      </c>
      <c r="W243" s="24">
        <f ca="1">IFERROR(__xludf.DUMMYFUNCTION("""COMPUTED_VALUE"""),0)</f>
        <v>0</v>
      </c>
      <c r="X243" s="24">
        <f ca="1">IFERROR(__xludf.DUMMYFUNCTION("""COMPUTED_VALUE"""),18185.89)</f>
        <v>18185.89</v>
      </c>
      <c r="Y243" s="24">
        <f t="shared" ca="1" si="3"/>
        <v>11005.88</v>
      </c>
      <c r="Z243" s="20">
        <f t="shared" ca="1" si="4"/>
        <v>30827.66</v>
      </c>
      <c r="AA243" s="20"/>
      <c r="AB243" s="24">
        <f ca="1">IFERROR(__xludf.DUMMYFUNCTION("""COMPUTED_VALUE"""),30827.66)</f>
        <v>30827.66</v>
      </c>
      <c r="AC243" s="20"/>
      <c r="AD243" s="94">
        <f t="shared" ca="1" si="5"/>
        <v>0.73691253477472862</v>
      </c>
      <c r="AE243" s="20"/>
      <c r="AF243" s="20"/>
      <c r="AG243" s="20"/>
      <c r="AH243" s="20"/>
      <c r="AI243" s="20"/>
      <c r="AJ243" s="20"/>
      <c r="AK243" s="20"/>
      <c r="AL243" s="20"/>
      <c r="AM243" s="20"/>
      <c r="AN243" s="20"/>
      <c r="AO243" s="20"/>
      <c r="AP243" s="20"/>
      <c r="AQ243" s="20"/>
      <c r="AR243" s="20"/>
      <c r="AS243" s="20"/>
      <c r="AT243" s="20"/>
    </row>
    <row r="244" spans="1:46" ht="96" x14ac:dyDescent="0.2">
      <c r="A244" s="20" t="str">
        <f ca="1">IFERROR(__xludf.DUMMYFUNCTION("""COMPUTED_VALUE"""),"Необходимы изменения софинансиования , заключения допсолгашениий")</f>
        <v>Необходимы изменения софинансиования , заключения допсолгашениий</v>
      </c>
      <c r="B244" s="93"/>
      <c r="C24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4" s="20" t="str">
        <f ca="1">IFERROR(__xludf.DUMMYFUNCTION("""COMPUTED_VALUE"""),"МинЖКХ")</f>
        <v>МинЖКХ</v>
      </c>
      <c r="E244" s="20" t="str">
        <f ca="1">IFERROR(__xludf.DUMMYFUNCTION("""COMPUTED_VALUE"""),"Реконструкция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f>
        <v>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v>
      </c>
      <c r="F244" s="20" t="str">
        <f ca="1">IFERROR(__xludf.DUMMYFUNCTION("""COMPUTED_VALUE"""),"СМР")</f>
        <v>СМР</v>
      </c>
      <c r="G244" s="20" t="str">
        <f ca="1">IFERROR(__xludf.DUMMYFUNCTION("""COMPUTED_VALUE"""),"г.о. Мытищи")</f>
        <v>г.о. Мытищи</v>
      </c>
      <c r="H244" s="20" t="str">
        <f ca="1">IFERROR(__xludf.DUMMYFUNCTION("""COMPUTED_VALUE"""),"2020-2021")</f>
        <v>2020-2021</v>
      </c>
      <c r="I244" s="20" t="str">
        <f ca="1">IFERROR(__xludf.DUMMYFUNCTION("""COMPUTED_VALUE"""),"10 2 01 64020")</f>
        <v>10 2 01 64020</v>
      </c>
      <c r="J244" s="20">
        <f ca="1">IFERROR(__xludf.DUMMYFUNCTION("""COMPUTED_VALUE"""),522)</f>
        <v>522</v>
      </c>
      <c r="K244" s="24">
        <f t="shared" ca="1" si="1"/>
        <v>98865.15</v>
      </c>
      <c r="L244" s="24">
        <f ca="1">IFERROR(__xludf.DUMMYFUNCTION("""COMPUTED_VALUE"""),61790.72)</f>
        <v>61790.720000000001</v>
      </c>
      <c r="M244" s="24">
        <f ca="1">IFERROR(__xludf.DUMMYFUNCTION("""COMPUTED_VALUE"""),0)</f>
        <v>0</v>
      </c>
      <c r="N244" s="24">
        <f ca="1">IFERROR(__xludf.DUMMYFUNCTION("""COMPUTED_VALUE"""),0)</f>
        <v>0</v>
      </c>
      <c r="O244" s="24">
        <f ca="1">IFERROR(__xludf.DUMMYFUNCTION("""COMPUTED_VALUE"""),37074.43)</f>
        <v>37074.43</v>
      </c>
      <c r="P244" s="24">
        <f t="shared" ca="1" si="2"/>
        <v>61790.720000000001</v>
      </c>
      <c r="Q244" s="20">
        <f ca="1">IFERROR(__xludf.DUMMYFUNCTION("""COMPUTED_VALUE"""),3)</f>
        <v>3</v>
      </c>
      <c r="R244" s="20"/>
      <c r="S244" s="24">
        <f ca="1">IFERROR(__xludf.DUMMYFUNCTION("""COMPUTED_VALUE"""),61556.48)</f>
        <v>61556.480000000003</v>
      </c>
      <c r="T244" s="24">
        <f ca="1">IFERROR(__xludf.DUMMYFUNCTION("""COMPUTED_VALUE"""),37308.6699999999)</f>
        <v>37308.669999999896</v>
      </c>
      <c r="U244" s="24">
        <f ca="1">IFERROR(__xludf.DUMMYFUNCTION("""COMPUTED_VALUE"""),234.239999999997)</f>
        <v>234.239999999997</v>
      </c>
      <c r="V244" s="24">
        <f ca="1">IFERROR(__xludf.DUMMYFUNCTION("""COMPUTED_VALUE"""),0)</f>
        <v>0</v>
      </c>
      <c r="W244" s="24">
        <f ca="1">IFERROR(__xludf.DUMMYFUNCTION("""COMPUTED_VALUE"""),0)</f>
        <v>0</v>
      </c>
      <c r="X244" s="24">
        <f ca="1">IFERROR(__xludf.DUMMYFUNCTION("""COMPUTED_VALUE"""),37074.43)</f>
        <v>37074.43</v>
      </c>
      <c r="Y244" s="24">
        <f t="shared" ca="1" si="3"/>
        <v>234.239999999997</v>
      </c>
      <c r="Z244" s="20">
        <f t="shared" ca="1" si="4"/>
        <v>61556.480000000003</v>
      </c>
      <c r="AA244" s="20"/>
      <c r="AB244" s="24">
        <f ca="1">IFERROR(__xludf.DUMMYFUNCTION("""COMPUTED_VALUE"""),61556.48)</f>
        <v>61556.480000000003</v>
      </c>
      <c r="AC244" s="20"/>
      <c r="AD244" s="94">
        <f t="shared" ca="1" si="5"/>
        <v>0.99620913949538059</v>
      </c>
      <c r="AE244" s="20"/>
      <c r="AF244" s="20"/>
      <c r="AG244" s="20"/>
      <c r="AH244" s="20"/>
      <c r="AI244" s="20"/>
      <c r="AJ244" s="20"/>
      <c r="AK244" s="20"/>
      <c r="AL244" s="20"/>
      <c r="AM244" s="20"/>
      <c r="AN244" s="20"/>
      <c r="AO244" s="20"/>
      <c r="AP244" s="20"/>
      <c r="AQ244" s="20"/>
      <c r="AR244" s="20"/>
      <c r="AS244" s="20"/>
      <c r="AT244" s="20"/>
    </row>
    <row r="245" spans="1:46" ht="84" x14ac:dyDescent="0.2">
      <c r="A245" s="20"/>
      <c r="B245" s="95"/>
      <c r="C245"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5" s="20" t="str">
        <f ca="1">IFERROR(__xludf.DUMMYFUNCTION("""COMPUTED_VALUE"""),"МинЖКХ")</f>
        <v>МинЖКХ</v>
      </c>
      <c r="E245" s="20" t="str">
        <f ca="1">IFERROR(__xludf.DUMMYFUNCTION("""COMPUTED_VALUE"""),"Аварийно-восстановительные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f>
        <v>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v>
      </c>
      <c r="F245" s="20" t="str">
        <f ca="1">IFERROR(__xludf.DUMMYFUNCTION("""COMPUTED_VALUE"""),"СМР")</f>
        <v>СМР</v>
      </c>
      <c r="G245" s="20" t="str">
        <f ca="1">IFERROR(__xludf.DUMMYFUNCTION("""COMPUTED_VALUE"""),"г.о. Зарайск")</f>
        <v>г.о. Зарайск</v>
      </c>
      <c r="H245" s="20">
        <f ca="1">IFERROR(__xludf.DUMMYFUNCTION("""COMPUTED_VALUE"""),2020)</f>
        <v>2020</v>
      </c>
      <c r="I245" s="20" t="str">
        <f ca="1">IFERROR(__xludf.DUMMYFUNCTION("""COMPUTED_VALUE"""),"10 2 01 60350")</f>
        <v>10 2 01 60350</v>
      </c>
      <c r="J245" s="20">
        <f ca="1">IFERROR(__xludf.DUMMYFUNCTION("""COMPUTED_VALUE"""),522)</f>
        <v>522</v>
      </c>
      <c r="K245" s="24">
        <f t="shared" ca="1" si="1"/>
        <v>40641.480000000003</v>
      </c>
      <c r="L245" s="24">
        <f ca="1">IFERROR(__xludf.DUMMYFUNCTION("""COMPUTED_VALUE"""),37431)</f>
        <v>37431</v>
      </c>
      <c r="M245" s="24">
        <f ca="1">IFERROR(__xludf.DUMMYFUNCTION("""COMPUTED_VALUE"""),0)</f>
        <v>0</v>
      </c>
      <c r="N245" s="24">
        <f ca="1">IFERROR(__xludf.DUMMYFUNCTION("""COMPUTED_VALUE"""),0)</f>
        <v>0</v>
      </c>
      <c r="O245" s="24">
        <f ca="1">IFERROR(__xludf.DUMMYFUNCTION("""COMPUTED_VALUE"""),3210.48)</f>
        <v>3210.48</v>
      </c>
      <c r="P245" s="24">
        <f t="shared" ca="1" si="2"/>
        <v>37431</v>
      </c>
      <c r="Q245" s="20">
        <f ca="1">IFERROR(__xludf.DUMMYFUNCTION("""COMPUTED_VALUE"""),100)</f>
        <v>100</v>
      </c>
      <c r="R245" s="20"/>
      <c r="S245" s="24">
        <f ca="1">IFERROR(__xludf.DUMMYFUNCTION("""COMPUTED_VALUE"""),35860.76)</f>
        <v>35860.76</v>
      </c>
      <c r="T245" s="24">
        <f ca="1">IFERROR(__xludf.DUMMYFUNCTION("""COMPUTED_VALUE"""),4780.72)</f>
        <v>4780.72</v>
      </c>
      <c r="U245" s="24">
        <f ca="1">IFERROR(__xludf.DUMMYFUNCTION("""COMPUTED_VALUE"""),1570.23999999999)</f>
        <v>1570.23999999999</v>
      </c>
      <c r="V245" s="24">
        <f ca="1">IFERROR(__xludf.DUMMYFUNCTION("""COMPUTED_VALUE"""),0)</f>
        <v>0</v>
      </c>
      <c r="W245" s="24">
        <f ca="1">IFERROR(__xludf.DUMMYFUNCTION("""COMPUTED_VALUE"""),0)</f>
        <v>0</v>
      </c>
      <c r="X245" s="24">
        <f ca="1">IFERROR(__xludf.DUMMYFUNCTION("""COMPUTED_VALUE"""),3210.48)</f>
        <v>3210.48</v>
      </c>
      <c r="Y245" s="24">
        <f t="shared" ca="1" si="3"/>
        <v>1570.23999999999</v>
      </c>
      <c r="Z245" s="20">
        <f t="shared" ca="1" si="4"/>
        <v>35860.76</v>
      </c>
      <c r="AA245" s="20"/>
      <c r="AB245" s="24">
        <f ca="1">IFERROR(__xludf.DUMMYFUNCTION("""COMPUTED_VALUE"""),35860.76)</f>
        <v>35860.76</v>
      </c>
      <c r="AC245" s="20"/>
      <c r="AD245" s="94">
        <f t="shared" ca="1" si="5"/>
        <v>0.95804974486388295</v>
      </c>
      <c r="AE245" s="20"/>
      <c r="AF245" s="20"/>
      <c r="AG245" s="20"/>
      <c r="AH245" s="20"/>
      <c r="AI245" s="20"/>
      <c r="AJ245" s="20"/>
      <c r="AK245" s="20"/>
      <c r="AL245" s="20"/>
      <c r="AM245" s="20"/>
      <c r="AN245" s="20"/>
      <c r="AO245" s="20"/>
      <c r="AP245" s="20"/>
      <c r="AQ245" s="20"/>
      <c r="AR245" s="20"/>
      <c r="AS245" s="20"/>
      <c r="AT245" s="20"/>
    </row>
    <row r="246" spans="1:46" ht="72" hidden="1" x14ac:dyDescent="0.2">
      <c r="A246" s="67"/>
      <c r="B246" s="100"/>
      <c r="C246"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6" s="20" t="str">
        <f ca="1">IFERROR(__xludf.DUMMYFUNCTION("""COMPUTED_VALUE"""),"МинЖКХ")</f>
        <v>МинЖКХ</v>
      </c>
      <c r="E246" s="20" t="str">
        <f ca="1">IFERROR(__xludf.DUMMYFUNCTION("""COMPUTED_VALUE"""),"Капитальный ремонт очистных сооружений канализации пос. Фряново, г.о. Щелково производительностью 3000 тыс. м3/сут. (в т.ч. ПИР)")</f>
        <v>Капитальный ремонт очистных сооружений канализации пос. Фряново, г.о. Щелково производительностью 3000 тыс. м3/сут. (в т.ч. ПИР)</v>
      </c>
      <c r="F246" s="67" t="str">
        <f ca="1">IFERROR(__xludf.DUMMYFUNCTION("""COMPUTED_VALUE"""),"СМР")</f>
        <v>СМР</v>
      </c>
      <c r="G246" s="67" t="str">
        <f ca="1">IFERROR(__xludf.DUMMYFUNCTION("""COMPUTED_VALUE"""),"г.о. Фряново")</f>
        <v>г.о. Фряново</v>
      </c>
      <c r="H246" s="67" t="str">
        <f ca="1">IFERROR(__xludf.DUMMYFUNCTION("""COMPUTED_VALUE"""),"2021-2023")</f>
        <v>2021-2023</v>
      </c>
      <c r="I246" s="67" t="str">
        <f ca="1">IFERROR(__xludf.DUMMYFUNCTION("""COMPUTED_VALUE"""),"10 2 01 60350")</f>
        <v>10 2 01 60350</v>
      </c>
      <c r="J246" s="67">
        <f ca="1">IFERROR(__xludf.DUMMYFUNCTION("""COMPUTED_VALUE"""),522)</f>
        <v>522</v>
      </c>
      <c r="K246" s="97">
        <f t="shared" ca="1" si="1"/>
        <v>0</v>
      </c>
      <c r="L246" s="97">
        <f ca="1">IFERROR(__xludf.DUMMYFUNCTION("""COMPUTED_VALUE"""),0)</f>
        <v>0</v>
      </c>
      <c r="M246" s="97">
        <f ca="1">IFERROR(__xludf.DUMMYFUNCTION("""COMPUTED_VALUE"""),0)</f>
        <v>0</v>
      </c>
      <c r="N246" s="97">
        <f ca="1">IFERROR(__xludf.DUMMYFUNCTION("""COMPUTED_VALUE"""),0)</f>
        <v>0</v>
      </c>
      <c r="O246" s="97">
        <f ca="1">IFERROR(__xludf.DUMMYFUNCTION("""COMPUTED_VALUE"""),0)</f>
        <v>0</v>
      </c>
      <c r="P246" s="97">
        <f t="shared" ca="1" si="2"/>
        <v>0</v>
      </c>
      <c r="Q246" s="67"/>
      <c r="R246" s="67"/>
      <c r="S246" s="97">
        <f ca="1">IFERROR(__xludf.DUMMYFUNCTION("""COMPUTED_VALUE"""),0)</f>
        <v>0</v>
      </c>
      <c r="T246" s="97">
        <f ca="1">IFERROR(__xludf.DUMMYFUNCTION("""COMPUTED_VALUE"""),0)</f>
        <v>0</v>
      </c>
      <c r="U246" s="97">
        <f ca="1">IFERROR(__xludf.DUMMYFUNCTION("""COMPUTED_VALUE"""),0)</f>
        <v>0</v>
      </c>
      <c r="V246" s="97">
        <f ca="1">IFERROR(__xludf.DUMMYFUNCTION("""COMPUTED_VALUE"""),0)</f>
        <v>0</v>
      </c>
      <c r="W246" s="97">
        <f ca="1">IFERROR(__xludf.DUMMYFUNCTION("""COMPUTED_VALUE"""),0)</f>
        <v>0</v>
      </c>
      <c r="X246" s="97">
        <f ca="1">IFERROR(__xludf.DUMMYFUNCTION("""COMPUTED_VALUE"""),0)</f>
        <v>0</v>
      </c>
      <c r="Y246" s="97">
        <f t="shared" ca="1" si="3"/>
        <v>0</v>
      </c>
      <c r="Z246" s="67">
        <f t="shared" si="4"/>
        <v>0</v>
      </c>
      <c r="AA246" s="67"/>
      <c r="AB246" s="67"/>
      <c r="AC246" s="67"/>
      <c r="AD246" s="99" t="e">
        <f t="shared" ca="1" si="5"/>
        <v>#DIV/0!</v>
      </c>
      <c r="AE246" s="67"/>
      <c r="AF246" s="67"/>
      <c r="AG246" s="67"/>
      <c r="AH246" s="67"/>
      <c r="AI246" s="67"/>
      <c r="AJ246" s="67"/>
      <c r="AK246" s="67"/>
      <c r="AL246" s="67"/>
      <c r="AM246" s="67"/>
      <c r="AN246" s="67"/>
      <c r="AO246" s="67"/>
      <c r="AP246" s="67"/>
      <c r="AQ246" s="67"/>
      <c r="AR246" s="67"/>
      <c r="AS246" s="67"/>
      <c r="AT246" s="67"/>
    </row>
    <row r="247" spans="1:46" ht="72" x14ac:dyDescent="0.2">
      <c r="A247" s="20" t="str">
        <f ca="1">IFERROR(__xludf.DUMMYFUNCTION("""COMPUTED_VALUE"""),"Направлены замечания по конкурсной документации. Исправленный комплект документов повторно не направлен. В законе о бюджете и ГП указаны разные получатели субсидий (Шатура и Рошаль). ")</f>
        <v xml:space="preserve">Направлены замечания по конкурсной документации. Исправленный комплект документов повторно не направлен. В законе о бюджете и ГП указаны разные получатели субсидий (Шатура и Рошаль). </v>
      </c>
      <c r="B247" s="93"/>
      <c r="C247"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7" s="20" t="str">
        <f ca="1">IFERROR(__xludf.DUMMYFUNCTION("""COMPUTED_VALUE"""),"МинЖКХ")</f>
        <v>МинЖКХ</v>
      </c>
      <c r="E247" s="20" t="str">
        <f ca="1">IFERROR(__xludf.DUMMYFUNCTION("""COMPUTED_VALUE"""),"Приобретение, монтаж и ввод в эксплуатацию 2-х воздуходувок на очистных сооружениях в г. Рошаль г.о. Шатура")</f>
        <v>Приобретение, монтаж и ввод в эксплуатацию 2-х воздуходувок на очистных сооружениях в г. Рошаль г.о. Шатура</v>
      </c>
      <c r="F247" s="20" t="str">
        <f ca="1">IFERROR(__xludf.DUMMYFUNCTION("""COMPUTED_VALUE"""),"СМР")</f>
        <v>СМР</v>
      </c>
      <c r="G247" s="20" t="str">
        <f ca="1">IFERROR(__xludf.DUMMYFUNCTION("""COMPUTED_VALUE"""),"г.о. Рошаль")</f>
        <v>г.о. Рошаль</v>
      </c>
      <c r="H247" s="20">
        <f ca="1">IFERROR(__xludf.DUMMYFUNCTION("""COMPUTED_VALUE"""),2020)</f>
        <v>2020</v>
      </c>
      <c r="I247" s="20" t="str">
        <f ca="1">IFERROR(__xludf.DUMMYFUNCTION("""COMPUTED_VALUE"""),"10 2 01 60350")</f>
        <v>10 2 01 60350</v>
      </c>
      <c r="J247" s="20">
        <f ca="1">IFERROR(__xludf.DUMMYFUNCTION("""COMPUTED_VALUE"""),522)</f>
        <v>522</v>
      </c>
      <c r="K247" s="24">
        <f t="shared" ca="1" si="1"/>
        <v>3000</v>
      </c>
      <c r="L247" s="24">
        <f ca="1">IFERROR(__xludf.DUMMYFUNCTION("""COMPUTED_VALUE"""),0)</f>
        <v>0</v>
      </c>
      <c r="M247" s="24">
        <f ca="1">IFERROR(__xludf.DUMMYFUNCTION("""COMPUTED_VALUE"""),0)</f>
        <v>0</v>
      </c>
      <c r="N247" s="24">
        <f ca="1">IFERROR(__xludf.DUMMYFUNCTION("""COMPUTED_VALUE"""),2820)</f>
        <v>2820</v>
      </c>
      <c r="O247" s="24">
        <f ca="1">IFERROR(__xludf.DUMMYFUNCTION("""COMPUTED_VALUE"""),180)</f>
        <v>180</v>
      </c>
      <c r="P247" s="24">
        <f t="shared" ca="1" si="2"/>
        <v>2820</v>
      </c>
      <c r="Q247" s="20">
        <f ca="1">IFERROR(__xludf.DUMMYFUNCTION("""COMPUTED_VALUE"""),0)</f>
        <v>0</v>
      </c>
      <c r="R247" s="20"/>
      <c r="S247" s="24">
        <f ca="1">IFERROR(__xludf.DUMMYFUNCTION("""COMPUTED_VALUE"""),0)</f>
        <v>0</v>
      </c>
      <c r="T247" s="24">
        <f ca="1">IFERROR(__xludf.DUMMYFUNCTION("""COMPUTED_VALUE"""),3000)</f>
        <v>3000</v>
      </c>
      <c r="U247" s="24">
        <f ca="1">IFERROR(__xludf.DUMMYFUNCTION("""COMPUTED_VALUE"""),0)</f>
        <v>0</v>
      </c>
      <c r="V247" s="24">
        <f ca="1">IFERROR(__xludf.DUMMYFUNCTION("""COMPUTED_VALUE"""),0)</f>
        <v>0</v>
      </c>
      <c r="W247" s="24">
        <f ca="1">IFERROR(__xludf.DUMMYFUNCTION("""COMPUTED_VALUE"""),2820)</f>
        <v>2820</v>
      </c>
      <c r="X247" s="24">
        <f ca="1">IFERROR(__xludf.DUMMYFUNCTION("""COMPUTED_VALUE"""),180)</f>
        <v>180</v>
      </c>
      <c r="Y247" s="24">
        <f t="shared" ca="1" si="3"/>
        <v>2820</v>
      </c>
      <c r="Z247" s="20">
        <f t="shared" ca="1" si="4"/>
        <v>0</v>
      </c>
      <c r="AA247" s="20"/>
      <c r="AB247" s="24">
        <f ca="1">IFERROR(__xludf.DUMMYFUNCTION("""COMPUTED_VALUE"""),0)</f>
        <v>0</v>
      </c>
      <c r="AC247" s="20"/>
      <c r="AD247" s="94">
        <f t="shared" ca="1" si="5"/>
        <v>0</v>
      </c>
      <c r="AE247" s="20"/>
      <c r="AF247" s="20"/>
      <c r="AG247" s="20"/>
      <c r="AH247" s="20"/>
      <c r="AI247" s="20"/>
      <c r="AJ247" s="20"/>
      <c r="AK247" s="20"/>
      <c r="AL247" s="20"/>
      <c r="AM247" s="20"/>
      <c r="AN247" s="20"/>
      <c r="AO247" s="20"/>
      <c r="AP247" s="20"/>
      <c r="AQ247" s="20"/>
      <c r="AR247" s="20"/>
      <c r="AS247" s="20"/>
      <c r="AT247" s="20"/>
    </row>
    <row r="248" spans="1:46" ht="48" x14ac:dyDescent="0.2">
      <c r="A248" s="20"/>
      <c r="B248" s="93"/>
      <c r="C248" s="20" t="str">
        <f ca="1">IFERROR(__xludf.DUMMYFUNCTION("""COMPUTED_VALUE"""),"Мероприятие 4 - Бюджетные инвестиции в объекты капитального строительства государственной собственности Московской области")</f>
        <v>Мероприятие 4 - Бюджетные инвестиции в объекты капитального строительства государственной собственности Московской области</v>
      </c>
      <c r="D248" s="20" t="str">
        <f ca="1">IFERROR(__xludf.DUMMYFUNCTION("""COMPUTED_VALUE"""),"МинЖКХ")</f>
        <v>МинЖКХ</v>
      </c>
      <c r="E248" s="20" t="str">
        <f ca="1">IFERROR(__xludf.DUMMYFUNCTION("""COMPUTED_VALUE"""),"Реконструкция очистных сооружений г. Можайск (в том числе ПИР), кадастровый номер 50:180030307:1016 от 20.11.2018")</f>
        <v>Реконструкция очистных сооружений г. Можайск (в том числе ПИР), кадастровый номер 50:180030307:1016 от 20.11.2018</v>
      </c>
      <c r="F248" s="20" t="str">
        <f ca="1">IFERROR(__xludf.DUMMYFUNCTION("""COMPUTED_VALUE"""),"СМР")</f>
        <v>СМР</v>
      </c>
      <c r="G248" s="20" t="str">
        <f ca="1">IFERROR(__xludf.DUMMYFUNCTION("""COMPUTED_VALUE"""),"МинЖКХ г.о. Можайск")</f>
        <v>МинЖКХ г.о. Можайск</v>
      </c>
      <c r="H248" s="20">
        <f ca="1">IFERROR(__xludf.DUMMYFUNCTION("""COMPUTED_VALUE"""),2020)</f>
        <v>2020</v>
      </c>
      <c r="I248" s="20" t="str">
        <f ca="1">IFERROR(__xludf.DUMMYFUNCTION("""COMPUTED_VALUE"""),"10 2 01 40010")</f>
        <v>10 2 01 40010</v>
      </c>
      <c r="J248" s="20">
        <f ca="1">IFERROR(__xludf.DUMMYFUNCTION("""COMPUTED_VALUE"""),414)</f>
        <v>414</v>
      </c>
      <c r="K248" s="24">
        <f t="shared" ca="1" si="1"/>
        <v>34403</v>
      </c>
      <c r="L248" s="24">
        <f ca="1">IFERROR(__xludf.DUMMYFUNCTION("""COMPUTED_VALUE"""),0)</f>
        <v>0</v>
      </c>
      <c r="M248" s="24">
        <f ca="1">IFERROR(__xludf.DUMMYFUNCTION("""COMPUTED_VALUE"""),0)</f>
        <v>0</v>
      </c>
      <c r="N248" s="24">
        <f ca="1">IFERROR(__xludf.DUMMYFUNCTION("""COMPUTED_VALUE"""),34403)</f>
        <v>34403</v>
      </c>
      <c r="O248" s="24">
        <f ca="1">IFERROR(__xludf.DUMMYFUNCTION("""COMPUTED_VALUE"""),0)</f>
        <v>0</v>
      </c>
      <c r="P248" s="24">
        <f t="shared" ca="1" si="2"/>
        <v>34403</v>
      </c>
      <c r="Q248" s="20">
        <f ca="1">IFERROR(__xludf.DUMMYFUNCTION("""COMPUTED_VALUE"""),0)</f>
        <v>0</v>
      </c>
      <c r="R248" s="20"/>
      <c r="S248" s="24">
        <f ca="1">IFERROR(__xludf.DUMMYFUNCTION("""COMPUTED_VALUE"""),0)</f>
        <v>0</v>
      </c>
      <c r="T248" s="24">
        <f ca="1">IFERROR(__xludf.DUMMYFUNCTION("""COMPUTED_VALUE"""),34403)</f>
        <v>34403</v>
      </c>
      <c r="U248" s="24">
        <f ca="1">IFERROR(__xludf.DUMMYFUNCTION("""COMPUTED_VALUE"""),0)</f>
        <v>0</v>
      </c>
      <c r="V248" s="24">
        <f ca="1">IFERROR(__xludf.DUMMYFUNCTION("""COMPUTED_VALUE"""),0)</f>
        <v>0</v>
      </c>
      <c r="W248" s="24">
        <f ca="1">IFERROR(__xludf.DUMMYFUNCTION("""COMPUTED_VALUE"""),34403)</f>
        <v>34403</v>
      </c>
      <c r="X248" s="24">
        <f ca="1">IFERROR(__xludf.DUMMYFUNCTION("""COMPUTED_VALUE"""),0)</f>
        <v>0</v>
      </c>
      <c r="Y248" s="24">
        <f t="shared" ca="1" si="3"/>
        <v>34403</v>
      </c>
      <c r="Z248" s="20">
        <f t="shared" ca="1" si="4"/>
        <v>0</v>
      </c>
      <c r="AA248" s="20"/>
      <c r="AB248" s="24">
        <f ca="1">IFERROR(__xludf.DUMMYFUNCTION("""COMPUTED_VALUE"""),0)</f>
        <v>0</v>
      </c>
      <c r="AC248" s="20"/>
      <c r="AD248" s="94">
        <f t="shared" ca="1" si="5"/>
        <v>0</v>
      </c>
      <c r="AE248" s="20"/>
      <c r="AF248" s="20"/>
      <c r="AG248" s="20"/>
      <c r="AH248" s="20"/>
      <c r="AI248" s="20"/>
      <c r="AJ248" s="20"/>
      <c r="AK248" s="20"/>
      <c r="AL248" s="20"/>
      <c r="AM248" s="20"/>
      <c r="AN248" s="20"/>
      <c r="AO248" s="20"/>
      <c r="AP248" s="20"/>
      <c r="AQ248" s="20"/>
      <c r="AR248" s="20"/>
      <c r="AS248" s="20"/>
      <c r="AT248" s="20"/>
    </row>
    <row r="249" spans="1:46" ht="84" hidden="1" x14ac:dyDescent="0.2">
      <c r="A249" s="67"/>
      <c r="B249" s="100"/>
      <c r="C24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49" s="20" t="str">
        <f ca="1">IFERROR(__xludf.DUMMYFUNCTION("""COMPUTED_VALUE"""),"МинЖКХ")</f>
        <v>МинЖКХ</v>
      </c>
      <c r="E249" s="20" t="str">
        <f ca="1">IFERROR(__xludf.DUMMYFUNCTION("""COMPUTED_VALUE"""),"Реконструкция самотечного канализационного коллектора по адресу: г. Воскресенск, от жилого дома № 23 по ул. Мичурина до КНС, ул. Коломенская, д.10")</f>
        <v>Реконструкция самотечного канализационного коллектора по адресу: г. Воскресенск, от жилого дома № 23 по ул. Мичурина до КНС, ул. Коломенская, д.10</v>
      </c>
      <c r="F249" s="67" t="str">
        <f ca="1">IFERROR(__xludf.DUMMYFUNCTION("""COMPUTED_VALUE"""),"СМР")</f>
        <v>СМР</v>
      </c>
      <c r="G249" s="67" t="str">
        <f ca="1">IFERROR(__xludf.DUMMYFUNCTION("""COMPUTED_VALUE"""),"г.о. Воскресенск")</f>
        <v>г.о. Воскресенск</v>
      </c>
      <c r="H249" s="67" t="str">
        <f ca="1">IFERROR(__xludf.DUMMYFUNCTION("""COMPUTED_VALUE"""),"2020-2021")</f>
        <v>2020-2021</v>
      </c>
      <c r="I249" s="67" t="str">
        <f ca="1">IFERROR(__xludf.DUMMYFUNCTION("""COMPUTED_VALUE"""),"10 2 02 64030")</f>
        <v>10 2 02 64030</v>
      </c>
      <c r="J249" s="67">
        <f ca="1">IFERROR(__xludf.DUMMYFUNCTION("""COMPUTED_VALUE"""),522)</f>
        <v>522</v>
      </c>
      <c r="K249" s="97">
        <f t="shared" ca="1" si="1"/>
        <v>0</v>
      </c>
      <c r="L249" s="97">
        <f ca="1">IFERROR(__xludf.DUMMYFUNCTION("""COMPUTED_VALUE"""),0)</f>
        <v>0</v>
      </c>
      <c r="M249" s="97">
        <f ca="1">IFERROR(__xludf.DUMMYFUNCTION("""COMPUTED_VALUE"""),0)</f>
        <v>0</v>
      </c>
      <c r="N249" s="97">
        <f ca="1">IFERROR(__xludf.DUMMYFUNCTION("""COMPUTED_VALUE"""),0)</f>
        <v>0</v>
      </c>
      <c r="O249" s="97">
        <f ca="1">IFERROR(__xludf.DUMMYFUNCTION("""COMPUTED_VALUE"""),0)</f>
        <v>0</v>
      </c>
      <c r="P249" s="97">
        <f t="shared" ca="1" si="2"/>
        <v>0</v>
      </c>
      <c r="Q249" s="67">
        <f ca="1">IFERROR(__xludf.DUMMYFUNCTION("""COMPUTED_VALUE"""),0)</f>
        <v>0</v>
      </c>
      <c r="R249" s="67"/>
      <c r="S249" s="97">
        <f ca="1">IFERROR(__xludf.DUMMYFUNCTION("""COMPUTED_VALUE"""),0)</f>
        <v>0</v>
      </c>
      <c r="T249" s="97">
        <f ca="1">IFERROR(__xludf.DUMMYFUNCTION("""COMPUTED_VALUE"""),0)</f>
        <v>0</v>
      </c>
      <c r="U249" s="97">
        <f ca="1">IFERROR(__xludf.DUMMYFUNCTION("""COMPUTED_VALUE"""),0)</f>
        <v>0</v>
      </c>
      <c r="V249" s="97">
        <f ca="1">IFERROR(__xludf.DUMMYFUNCTION("""COMPUTED_VALUE"""),0)</f>
        <v>0</v>
      </c>
      <c r="W249" s="97">
        <f ca="1">IFERROR(__xludf.DUMMYFUNCTION("""COMPUTED_VALUE"""),0)</f>
        <v>0</v>
      </c>
      <c r="X249" s="97">
        <f ca="1">IFERROR(__xludf.DUMMYFUNCTION("""COMPUTED_VALUE"""),0)</f>
        <v>0</v>
      </c>
      <c r="Y249" s="97">
        <f t="shared" ca="1" si="3"/>
        <v>0</v>
      </c>
      <c r="Z249" s="67">
        <f t="shared" ca="1" si="4"/>
        <v>0</v>
      </c>
      <c r="AA249" s="67"/>
      <c r="AB249" s="97">
        <f ca="1">IFERROR(__xludf.DUMMYFUNCTION("""COMPUTED_VALUE"""),0)</f>
        <v>0</v>
      </c>
      <c r="AC249" s="67"/>
      <c r="AD249" s="99" t="e">
        <f t="shared" ca="1" si="5"/>
        <v>#DIV/0!</v>
      </c>
      <c r="AE249" s="67"/>
      <c r="AF249" s="67"/>
      <c r="AG249" s="67"/>
      <c r="AH249" s="67"/>
      <c r="AI249" s="67"/>
      <c r="AJ249" s="67"/>
      <c r="AK249" s="67"/>
      <c r="AL249" s="67"/>
      <c r="AM249" s="67"/>
      <c r="AN249" s="67"/>
      <c r="AO249" s="67"/>
      <c r="AP249" s="67"/>
      <c r="AQ249" s="67"/>
      <c r="AR249" s="67"/>
      <c r="AS249" s="67"/>
      <c r="AT249" s="67"/>
    </row>
    <row r="250" spans="1:46" ht="84" x14ac:dyDescent="0.2">
      <c r="A250" s="20"/>
      <c r="B250" s="95"/>
      <c r="C25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0" s="20" t="str">
        <f ca="1">IFERROR(__xludf.DUMMYFUNCTION("""COMPUTED_VALUE"""),"МинЖКХ")</f>
        <v>МинЖКХ</v>
      </c>
      <c r="E250" s="20" t="str">
        <f ca="1">IFERROR(__xludf.DUMMYFUNCTION("""COMPUTED_VALUE"""),"Реконструкция самотечного канализационного коллектора по адресу: г. Воскресенск, от жилого дома № 28 ул. Маркина  до КНС, ул. Центральная, д. 32а ")</f>
        <v xml:space="preserve">Реконструкция самотечного канализационного коллектора по адресу: г. Воскресенск, от жилого дома № 28 ул. Маркина  до КНС, ул. Центральная, д. 32а </v>
      </c>
      <c r="F250" s="20" t="str">
        <f ca="1">IFERROR(__xludf.DUMMYFUNCTION("""COMPUTED_VALUE"""),"СМР")</f>
        <v>СМР</v>
      </c>
      <c r="G250" s="20" t="str">
        <f ca="1">IFERROR(__xludf.DUMMYFUNCTION("""COMPUTED_VALUE"""),"г.о. Воскресенск")</f>
        <v>г.о. Воскресенск</v>
      </c>
      <c r="H250" s="20" t="str">
        <f ca="1">IFERROR(__xludf.DUMMYFUNCTION("""COMPUTED_VALUE"""),"2020-2021")</f>
        <v>2020-2021</v>
      </c>
      <c r="I250" s="20" t="str">
        <f ca="1">IFERROR(__xludf.DUMMYFUNCTION("""COMPUTED_VALUE"""),"10 2 02 64030")</f>
        <v>10 2 02 64030</v>
      </c>
      <c r="J250" s="20">
        <f ca="1">IFERROR(__xludf.DUMMYFUNCTION("""COMPUTED_VALUE"""),522)</f>
        <v>522</v>
      </c>
      <c r="K250" s="24">
        <f t="shared" ca="1" si="1"/>
        <v>26241.190000000002</v>
      </c>
      <c r="L250" s="24">
        <f ca="1">IFERROR(__xludf.DUMMYFUNCTION("""COMPUTED_VALUE"""),20442.06)</f>
        <v>20442.060000000001</v>
      </c>
      <c r="M250" s="24">
        <f ca="1">IFERROR(__xludf.DUMMYFUNCTION("""COMPUTED_VALUE"""),0)</f>
        <v>0</v>
      </c>
      <c r="N250" s="24">
        <f ca="1">IFERROR(__xludf.DUMMYFUNCTION("""COMPUTED_VALUE"""),0)</f>
        <v>0</v>
      </c>
      <c r="O250" s="24">
        <f ca="1">IFERROR(__xludf.DUMMYFUNCTION("""COMPUTED_VALUE"""),5799.13)</f>
        <v>5799.13</v>
      </c>
      <c r="P250" s="24">
        <f t="shared" ca="1" si="2"/>
        <v>20442.060000000001</v>
      </c>
      <c r="Q250" s="20">
        <f ca="1">IFERROR(__xludf.DUMMYFUNCTION("""COMPUTED_VALUE"""),0)</f>
        <v>0</v>
      </c>
      <c r="R250" s="20"/>
      <c r="S250" s="24">
        <f ca="1">IFERROR(__xludf.DUMMYFUNCTION("""COMPUTED_VALUE"""),17287.54)</f>
        <v>17287.54</v>
      </c>
      <c r="T250" s="24">
        <f ca="1">IFERROR(__xludf.DUMMYFUNCTION("""COMPUTED_VALUE"""),8953.65)</f>
        <v>8953.65</v>
      </c>
      <c r="U250" s="24">
        <f ca="1">IFERROR(__xludf.DUMMYFUNCTION("""COMPUTED_VALUE"""),3154.52)</f>
        <v>3154.52</v>
      </c>
      <c r="V250" s="24">
        <f ca="1">IFERROR(__xludf.DUMMYFUNCTION("""COMPUTED_VALUE"""),0)</f>
        <v>0</v>
      </c>
      <c r="W250" s="24">
        <f ca="1">IFERROR(__xludf.DUMMYFUNCTION("""COMPUTED_VALUE"""),0)</f>
        <v>0</v>
      </c>
      <c r="X250" s="24">
        <f ca="1">IFERROR(__xludf.DUMMYFUNCTION("""COMPUTED_VALUE"""),5799.13)</f>
        <v>5799.13</v>
      </c>
      <c r="Y250" s="24">
        <f t="shared" ca="1" si="3"/>
        <v>3154.52</v>
      </c>
      <c r="Z250" s="20">
        <f t="shared" ca="1" si="4"/>
        <v>17287.54</v>
      </c>
      <c r="AA250" s="20"/>
      <c r="AB250" s="24">
        <f ca="1">IFERROR(__xludf.DUMMYFUNCTION("""COMPUTED_VALUE"""),17287.54)</f>
        <v>17287.54</v>
      </c>
      <c r="AC250" s="20"/>
      <c r="AD250" s="94">
        <f t="shared" ca="1" si="5"/>
        <v>0.8456848282413808</v>
      </c>
      <c r="AE250" s="20"/>
      <c r="AF250" s="20"/>
      <c r="AG250" s="20"/>
      <c r="AH250" s="20"/>
      <c r="AI250" s="20"/>
      <c r="AJ250" s="20"/>
      <c r="AK250" s="20"/>
      <c r="AL250" s="20"/>
      <c r="AM250" s="20"/>
      <c r="AN250" s="20"/>
      <c r="AO250" s="20"/>
      <c r="AP250" s="20"/>
      <c r="AQ250" s="20"/>
      <c r="AR250" s="20"/>
      <c r="AS250" s="20"/>
      <c r="AT250" s="20"/>
    </row>
    <row r="251" spans="1:46" ht="84" hidden="1" x14ac:dyDescent="0.2">
      <c r="A251" s="67"/>
      <c r="B251" s="96"/>
      <c r="C25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1" s="20" t="str">
        <f ca="1">IFERROR(__xludf.DUMMYFUNCTION("""COMPUTED_VALUE"""),"МинЖКХ")</f>
        <v>МинЖКХ</v>
      </c>
      <c r="E251" s="20" t="str">
        <f ca="1">IFERROR(__xludf.DUMMYFUNCTION("""COMPUTED_VALUE"""),"Реконструкция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f>
        <v xml:space="preserv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v>
      </c>
      <c r="F251" s="67" t="str">
        <f ca="1">IFERROR(__xludf.DUMMYFUNCTION("""COMPUTED_VALUE"""),"СМР")</f>
        <v>СМР</v>
      </c>
      <c r="G251" s="67" t="str">
        <f ca="1">IFERROR(__xludf.DUMMYFUNCTION("""COMPUTED_VALUE"""),"г.о. Воскресенск")</f>
        <v>г.о. Воскресенск</v>
      </c>
      <c r="H251" s="67">
        <f ca="1">IFERROR(__xludf.DUMMYFUNCTION("""COMPUTED_VALUE"""),2022)</f>
        <v>2022</v>
      </c>
      <c r="I251" s="67" t="str">
        <f ca="1">IFERROR(__xludf.DUMMYFUNCTION("""COMPUTED_VALUE"""),"10 2 02 64030")</f>
        <v>10 2 02 64030</v>
      </c>
      <c r="J251" s="67">
        <f ca="1">IFERROR(__xludf.DUMMYFUNCTION("""COMPUTED_VALUE"""),522)</f>
        <v>522</v>
      </c>
      <c r="K251" s="97">
        <f t="shared" ca="1" si="1"/>
        <v>0</v>
      </c>
      <c r="L251" s="97">
        <f ca="1">IFERROR(__xludf.DUMMYFUNCTION("""COMPUTED_VALUE"""),0)</f>
        <v>0</v>
      </c>
      <c r="M251" s="97">
        <f ca="1">IFERROR(__xludf.DUMMYFUNCTION("""COMPUTED_VALUE"""),0)</f>
        <v>0</v>
      </c>
      <c r="N251" s="97">
        <f ca="1">IFERROR(__xludf.DUMMYFUNCTION("""COMPUTED_VALUE"""),0)</f>
        <v>0</v>
      </c>
      <c r="O251" s="97">
        <f ca="1">IFERROR(__xludf.DUMMYFUNCTION("""COMPUTED_VALUE"""),0)</f>
        <v>0</v>
      </c>
      <c r="P251" s="97">
        <f t="shared" ca="1" si="2"/>
        <v>0</v>
      </c>
      <c r="Q251" s="67"/>
      <c r="R251" s="67"/>
      <c r="S251" s="97">
        <f ca="1">IFERROR(__xludf.DUMMYFUNCTION("""COMPUTED_VALUE"""),0)</f>
        <v>0</v>
      </c>
      <c r="T251" s="97">
        <f ca="1">IFERROR(__xludf.DUMMYFUNCTION("""COMPUTED_VALUE"""),0)</f>
        <v>0</v>
      </c>
      <c r="U251" s="97">
        <f ca="1">IFERROR(__xludf.DUMMYFUNCTION("""COMPUTED_VALUE"""),0)</f>
        <v>0</v>
      </c>
      <c r="V251" s="97">
        <f ca="1">IFERROR(__xludf.DUMMYFUNCTION("""COMPUTED_VALUE"""),0)</f>
        <v>0</v>
      </c>
      <c r="W251" s="97">
        <f ca="1">IFERROR(__xludf.DUMMYFUNCTION("""COMPUTED_VALUE"""),0)</f>
        <v>0</v>
      </c>
      <c r="X251" s="97">
        <f ca="1">IFERROR(__xludf.DUMMYFUNCTION("""COMPUTED_VALUE"""),0)</f>
        <v>0</v>
      </c>
      <c r="Y251" s="97">
        <f t="shared" ca="1" si="3"/>
        <v>0</v>
      </c>
      <c r="Z251" s="67">
        <f t="shared" si="4"/>
        <v>0</v>
      </c>
      <c r="AA251" s="67"/>
      <c r="AB251" s="67"/>
      <c r="AC251" s="67"/>
      <c r="AD251" s="99" t="e">
        <f t="shared" ca="1" si="5"/>
        <v>#DIV/0!</v>
      </c>
      <c r="AE251" s="67"/>
      <c r="AF251" s="67"/>
      <c r="AG251" s="67"/>
      <c r="AH251" s="67"/>
      <c r="AI251" s="67"/>
      <c r="AJ251" s="67"/>
      <c r="AK251" s="67"/>
      <c r="AL251" s="67"/>
      <c r="AM251" s="67"/>
      <c r="AN251" s="67"/>
      <c r="AO251" s="67"/>
      <c r="AP251" s="67"/>
      <c r="AQ251" s="67"/>
      <c r="AR251" s="67"/>
      <c r="AS251" s="67"/>
      <c r="AT251" s="67"/>
    </row>
    <row r="252" spans="1:46" ht="84" hidden="1" x14ac:dyDescent="0.2">
      <c r="A252" s="67"/>
      <c r="B252" s="96"/>
      <c r="C25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2" s="20" t="str">
        <f ca="1">IFERROR(__xludf.DUMMYFUNCTION("""COMPUTED_VALUE"""),"МинЖКХ")</f>
        <v>МинЖКХ</v>
      </c>
      <c r="E252" s="20" t="str">
        <f ca="1">IFERROR(__xludf.DUMMYFUNCTION("""COMPUTED_VALUE"""),"Реконструкция КНС по адресу: г. Воскресенск, ул. Лермонтова, д.7а ")</f>
        <v xml:space="preserve">Реконструкция КНС по адресу: г. Воскресенск, ул. Лермонтова, д.7а </v>
      </c>
      <c r="F252" s="67" t="str">
        <f ca="1">IFERROR(__xludf.DUMMYFUNCTION("""COMPUTED_VALUE"""),"СМР")</f>
        <v>СМР</v>
      </c>
      <c r="G252" s="67" t="str">
        <f ca="1">IFERROR(__xludf.DUMMYFUNCTION("""COMPUTED_VALUE"""),"г.о. Воскресенск")</f>
        <v>г.о. Воскресенск</v>
      </c>
      <c r="H252" s="67">
        <f ca="1">IFERROR(__xludf.DUMMYFUNCTION("""COMPUTED_VALUE"""),2023)</f>
        <v>2023</v>
      </c>
      <c r="I252" s="67" t="str">
        <f ca="1">IFERROR(__xludf.DUMMYFUNCTION("""COMPUTED_VALUE"""),"10 2 02 64030")</f>
        <v>10 2 02 64030</v>
      </c>
      <c r="J252" s="67">
        <f ca="1">IFERROR(__xludf.DUMMYFUNCTION("""COMPUTED_VALUE"""),522)</f>
        <v>522</v>
      </c>
      <c r="K252" s="97">
        <f t="shared" ca="1" si="1"/>
        <v>0</v>
      </c>
      <c r="L252" s="97">
        <f ca="1">IFERROR(__xludf.DUMMYFUNCTION("""COMPUTED_VALUE"""),0)</f>
        <v>0</v>
      </c>
      <c r="M252" s="97">
        <f ca="1">IFERROR(__xludf.DUMMYFUNCTION("""COMPUTED_VALUE"""),0)</f>
        <v>0</v>
      </c>
      <c r="N252" s="97">
        <f ca="1">IFERROR(__xludf.DUMMYFUNCTION("""COMPUTED_VALUE"""),0)</f>
        <v>0</v>
      </c>
      <c r="O252" s="97">
        <f ca="1">IFERROR(__xludf.DUMMYFUNCTION("""COMPUTED_VALUE"""),0)</f>
        <v>0</v>
      </c>
      <c r="P252" s="97">
        <f t="shared" ca="1" si="2"/>
        <v>0</v>
      </c>
      <c r="Q252" s="67"/>
      <c r="R252" s="67"/>
      <c r="S252" s="97">
        <f ca="1">IFERROR(__xludf.DUMMYFUNCTION("""COMPUTED_VALUE"""),0)</f>
        <v>0</v>
      </c>
      <c r="T252" s="97">
        <f ca="1">IFERROR(__xludf.DUMMYFUNCTION("""COMPUTED_VALUE"""),0)</f>
        <v>0</v>
      </c>
      <c r="U252" s="97">
        <f ca="1">IFERROR(__xludf.DUMMYFUNCTION("""COMPUTED_VALUE"""),0)</f>
        <v>0</v>
      </c>
      <c r="V252" s="97">
        <f ca="1">IFERROR(__xludf.DUMMYFUNCTION("""COMPUTED_VALUE"""),0)</f>
        <v>0</v>
      </c>
      <c r="W252" s="97">
        <f ca="1">IFERROR(__xludf.DUMMYFUNCTION("""COMPUTED_VALUE"""),0)</f>
        <v>0</v>
      </c>
      <c r="X252" s="97">
        <f ca="1">IFERROR(__xludf.DUMMYFUNCTION("""COMPUTED_VALUE"""),0)</f>
        <v>0</v>
      </c>
      <c r="Y252" s="97">
        <f t="shared" ca="1" si="3"/>
        <v>0</v>
      </c>
      <c r="Z252" s="67">
        <f t="shared" si="4"/>
        <v>0</v>
      </c>
      <c r="AA252" s="67"/>
      <c r="AB252" s="67"/>
      <c r="AC252" s="67"/>
      <c r="AD252" s="99" t="e">
        <f t="shared" ca="1" si="5"/>
        <v>#DIV/0!</v>
      </c>
      <c r="AE252" s="67"/>
      <c r="AF252" s="67"/>
      <c r="AG252" s="67"/>
      <c r="AH252" s="67"/>
      <c r="AI252" s="67"/>
      <c r="AJ252" s="67"/>
      <c r="AK252" s="67"/>
      <c r="AL252" s="67"/>
      <c r="AM252" s="67"/>
      <c r="AN252" s="67"/>
      <c r="AO252" s="67"/>
      <c r="AP252" s="67"/>
      <c r="AQ252" s="67"/>
      <c r="AR252" s="67"/>
      <c r="AS252" s="67"/>
      <c r="AT252" s="67"/>
    </row>
    <row r="253" spans="1:46" ht="84" hidden="1" x14ac:dyDescent="0.2">
      <c r="A253" s="67"/>
      <c r="B253" s="100"/>
      <c r="C25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3" s="20" t="str">
        <f ca="1">IFERROR(__xludf.DUMMYFUNCTION("""COMPUTED_VALUE"""),"МинЖКХ")</f>
        <v>МинЖКХ</v>
      </c>
      <c r="E253" s="20" t="str">
        <f ca="1">IFERROR(__xludf.DUMMYFUNCTION("""COMPUTED_VALUE"""),"Строительство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f>
        <v>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v>
      </c>
      <c r="F253" s="67" t="str">
        <f ca="1">IFERROR(__xludf.DUMMYFUNCTION("""COMPUTED_VALUE"""),"СМР")</f>
        <v>СМР</v>
      </c>
      <c r="G253" s="67" t="str">
        <f ca="1">IFERROR(__xludf.DUMMYFUNCTION("""COMPUTED_VALUE"""),"г.о. Богородский")</f>
        <v>г.о. Богородский</v>
      </c>
      <c r="H253" s="67" t="str">
        <f ca="1">IFERROR(__xludf.DUMMYFUNCTION("""COMPUTED_VALUE"""),"2021-2023")</f>
        <v>2021-2023</v>
      </c>
      <c r="I253" s="67" t="str">
        <f ca="1">IFERROR(__xludf.DUMMYFUNCTION("""COMPUTED_VALUE"""),"10 2 02 64030")</f>
        <v>10 2 02 64030</v>
      </c>
      <c r="J253" s="67">
        <f ca="1">IFERROR(__xludf.DUMMYFUNCTION("""COMPUTED_VALUE"""),522)</f>
        <v>522</v>
      </c>
      <c r="K253" s="97">
        <f t="shared" ca="1" si="1"/>
        <v>0</v>
      </c>
      <c r="L253" s="97">
        <f ca="1">IFERROR(__xludf.DUMMYFUNCTION("""COMPUTED_VALUE"""),0)</f>
        <v>0</v>
      </c>
      <c r="M253" s="97">
        <f ca="1">IFERROR(__xludf.DUMMYFUNCTION("""COMPUTED_VALUE"""),0)</f>
        <v>0</v>
      </c>
      <c r="N253" s="97">
        <f ca="1">IFERROR(__xludf.DUMMYFUNCTION("""COMPUTED_VALUE"""),0)</f>
        <v>0</v>
      </c>
      <c r="O253" s="97">
        <f ca="1">IFERROR(__xludf.DUMMYFUNCTION("""COMPUTED_VALUE"""),0)</f>
        <v>0</v>
      </c>
      <c r="P253" s="97">
        <f t="shared" ca="1" si="2"/>
        <v>0</v>
      </c>
      <c r="Q253" s="67"/>
      <c r="R253" s="67"/>
      <c r="S253" s="97">
        <f ca="1">IFERROR(__xludf.DUMMYFUNCTION("""COMPUTED_VALUE"""),0)</f>
        <v>0</v>
      </c>
      <c r="T253" s="97">
        <f ca="1">IFERROR(__xludf.DUMMYFUNCTION("""COMPUTED_VALUE"""),0)</f>
        <v>0</v>
      </c>
      <c r="U253" s="97">
        <f ca="1">IFERROR(__xludf.DUMMYFUNCTION("""COMPUTED_VALUE"""),0)</f>
        <v>0</v>
      </c>
      <c r="V253" s="97">
        <f ca="1">IFERROR(__xludf.DUMMYFUNCTION("""COMPUTED_VALUE"""),0)</f>
        <v>0</v>
      </c>
      <c r="W253" s="97">
        <f ca="1">IFERROR(__xludf.DUMMYFUNCTION("""COMPUTED_VALUE"""),0)</f>
        <v>0</v>
      </c>
      <c r="X253" s="97">
        <f ca="1">IFERROR(__xludf.DUMMYFUNCTION("""COMPUTED_VALUE"""),0)</f>
        <v>0</v>
      </c>
      <c r="Y253" s="97">
        <f t="shared" ca="1" si="3"/>
        <v>0</v>
      </c>
      <c r="Z253" s="67">
        <f t="shared" si="4"/>
        <v>0</v>
      </c>
      <c r="AA253" s="67"/>
      <c r="AB253" s="67"/>
      <c r="AC253" s="67"/>
      <c r="AD253" s="99" t="e">
        <f t="shared" ca="1" si="5"/>
        <v>#DIV/0!</v>
      </c>
      <c r="AE253" s="67"/>
      <c r="AF253" s="67"/>
      <c r="AG253" s="67"/>
      <c r="AH253" s="67"/>
      <c r="AI253" s="67"/>
      <c r="AJ253" s="67"/>
      <c r="AK253" s="67"/>
      <c r="AL253" s="67"/>
      <c r="AM253" s="67"/>
      <c r="AN253" s="67"/>
      <c r="AO253" s="67"/>
      <c r="AP253" s="67"/>
      <c r="AQ253" s="67"/>
      <c r="AR253" s="67"/>
      <c r="AS253" s="67"/>
      <c r="AT253" s="67"/>
    </row>
    <row r="254" spans="1:46" ht="132" x14ac:dyDescent="0.2">
      <c r="A254" s="20" t="str">
        <f ca="1">IFERROR(__xludf.DUMMYFUNCTION("""COMPUTED_VALUE"""),"Подготовленная рабочая документация не учитывает всего объема выполненых работ, в связи с чем сумму к оплате не может быт ьсформирована в полном объеме. В целях увелечения объемов финансирования рассматривается вопрос включения в КС закупки оборудования. "&amp;" 
Подписано доп. соглашение 
на увеличение аванса на сумму 82 млн. руб. не утверждена мун. программа округа.")</f>
        <v>Подготовленная рабочая документация не учитывает всего объема выполненых работ, в связи с чем сумму к оплате не может быт ьсформирована в полном объеме. В целях увелечения объемов финансирования рассматривается вопрос включения в КС закупки оборудования.  
Подписано доп. соглашение 
на увеличение аванса на сумму 82 млн. руб. не утверждена мун. программа округа.</v>
      </c>
      <c r="B254" s="93"/>
      <c r="C25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4" s="20" t="str">
        <f ca="1">IFERROR(__xludf.DUMMYFUNCTION("""COMPUTED_VALUE"""),"МинЖКХ")</f>
        <v>МинЖКХ</v>
      </c>
      <c r="E254" s="20" t="str">
        <f ca="1">IFERROR(__xludf.DUMMYFUNCTION("""COMPUTED_VALUE"""),"Модернизация КНС ""Соколовская"" г.Щелково, в том числе:")</f>
        <v>Модернизация КНС "Соколовская" г.Щелково, в том числе:</v>
      </c>
      <c r="F254" s="20" t="str">
        <f ca="1">IFERROR(__xludf.DUMMYFUNCTION("""COMPUTED_VALUE"""),"СМР")</f>
        <v>СМР</v>
      </c>
      <c r="G254" s="20" t="str">
        <f ca="1">IFERROR(__xludf.DUMMYFUNCTION("""COMPUTED_VALUE"""),"г.о. Щелково")</f>
        <v>г.о. Щелково</v>
      </c>
      <c r="H254" s="20" t="str">
        <f ca="1">IFERROR(__xludf.DUMMYFUNCTION("""COMPUTED_VALUE"""),"2020-2021")</f>
        <v>2020-2021</v>
      </c>
      <c r="I254" s="20" t="str">
        <f ca="1">IFERROR(__xludf.DUMMYFUNCTION("""COMPUTED_VALUE"""),"10 2 02 64030")</f>
        <v>10 2 02 64030</v>
      </c>
      <c r="J254" s="20">
        <f ca="1">IFERROR(__xludf.DUMMYFUNCTION("""COMPUTED_VALUE"""),522)</f>
        <v>522</v>
      </c>
      <c r="K254" s="24">
        <f t="shared" ca="1" si="1"/>
        <v>341833.68</v>
      </c>
      <c r="L254" s="24">
        <f ca="1">IFERROR(__xludf.DUMMYFUNCTION("""COMPUTED_VALUE"""),71394)</f>
        <v>71394</v>
      </c>
      <c r="M254" s="24">
        <f ca="1">IFERROR(__xludf.DUMMYFUNCTION("""COMPUTED_VALUE"""),0)</f>
        <v>0</v>
      </c>
      <c r="N254" s="24">
        <f ca="1">IFERROR(__xludf.DUMMYFUNCTION("""COMPUTED_VALUE"""),253348)</f>
        <v>253348</v>
      </c>
      <c r="O254" s="24">
        <f ca="1">IFERROR(__xludf.DUMMYFUNCTION("""COMPUTED_VALUE"""),17091.68)</f>
        <v>17091.68</v>
      </c>
      <c r="P254" s="24">
        <f t="shared" ca="1" si="2"/>
        <v>324742</v>
      </c>
      <c r="Q254" s="20">
        <f ca="1">IFERROR(__xludf.DUMMYFUNCTION("""COMPUTED_VALUE"""),30)</f>
        <v>30</v>
      </c>
      <c r="R254" s="20"/>
      <c r="S254" s="24">
        <f ca="1">IFERROR(__xludf.DUMMYFUNCTION("""COMPUTED_VALUE"""),330177.56)</f>
        <v>330177.56</v>
      </c>
      <c r="T254" s="24">
        <f ca="1">IFERROR(__xludf.DUMMYFUNCTION("""COMPUTED_VALUE"""),11656.1199999999)</f>
        <v>11656.119999999901</v>
      </c>
      <c r="U254" s="24">
        <f ca="1">IFERROR(__xludf.DUMMYFUNCTION("""COMPUTED_VALUE"""),0)</f>
        <v>0</v>
      </c>
      <c r="V254" s="24">
        <f ca="1">IFERROR(__xludf.DUMMYFUNCTION("""COMPUTED_VALUE"""),0)</f>
        <v>0</v>
      </c>
      <c r="W254" s="24">
        <f ca="1">IFERROR(__xludf.DUMMYFUNCTION("""COMPUTED_VALUE"""),1776.64999999999)</f>
        <v>1776.6499999999901</v>
      </c>
      <c r="X254" s="24">
        <f ca="1">IFERROR(__xludf.DUMMYFUNCTION("""COMPUTED_VALUE"""),9879.47)</f>
        <v>9879.4699999999993</v>
      </c>
      <c r="Y254" s="24">
        <f t="shared" ca="1" si="3"/>
        <v>1776.6499999999901</v>
      </c>
      <c r="Z254" s="20">
        <f t="shared" ca="1" si="4"/>
        <v>322965.34999999998</v>
      </c>
      <c r="AA254" s="20"/>
      <c r="AB254" s="24">
        <f ca="1">IFERROR(__xludf.DUMMYFUNCTION("""COMPUTED_VALUE"""),71394)</f>
        <v>71394</v>
      </c>
      <c r="AC254" s="24">
        <f ca="1">IFERROR(__xludf.DUMMYFUNCTION("""COMPUTED_VALUE"""),251571.35)</f>
        <v>251571.35</v>
      </c>
      <c r="AD254" s="94">
        <f t="shared" ca="1" si="5"/>
        <v>0.99452904151603416</v>
      </c>
      <c r="AE254" s="20"/>
      <c r="AF254" s="20"/>
      <c r="AG254" s="20"/>
      <c r="AH254" s="20"/>
      <c r="AI254" s="20"/>
      <c r="AJ254" s="20"/>
      <c r="AK254" s="20"/>
      <c r="AL254" s="20"/>
      <c r="AM254" s="20"/>
      <c r="AN254" s="20"/>
      <c r="AO254" s="20"/>
      <c r="AP254" s="20"/>
      <c r="AQ254" s="20"/>
      <c r="AR254" s="20"/>
      <c r="AS254" s="20"/>
      <c r="AT254" s="20"/>
    </row>
    <row r="255" spans="1:46" ht="84" hidden="1" x14ac:dyDescent="0.2">
      <c r="A255" s="20"/>
      <c r="B255" s="93"/>
      <c r="C25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5" s="20" t="str">
        <f ca="1">IFERROR(__xludf.DUMMYFUNCTION("""COMPUTED_VALUE"""),"МинЖКХ")</f>
        <v>МинЖКХ</v>
      </c>
      <c r="E255" s="20" t="str">
        <f ca="1">IFERROR(__xludf.DUMMYFUNCTION("""COMPUTED_VALUE"""),"В том числе проектно-изыскательские работы
 (к объекту Модернизация КНС ""Соколовская"" г.Щелково - включено в общую стоимость работ))")</f>
        <v>В том числе проектно-изыскательские работы
 (к объекту Модернизация КНС "Соколовская" г.Щелково - включено в общую стоимость работ))</v>
      </c>
      <c r="F255" s="20" t="str">
        <f ca="1">IFERROR(__xludf.DUMMYFUNCTION("""COMPUTED_VALUE"""),"ПИР")</f>
        <v>ПИР</v>
      </c>
      <c r="G255" s="20" t="str">
        <f ca="1">IFERROR(__xludf.DUMMYFUNCTION("""COMPUTED_VALUE"""),"г.о. Щелково")</f>
        <v>г.о. Щелково</v>
      </c>
      <c r="H255" s="20" t="str">
        <f ca="1">IFERROR(__xludf.DUMMYFUNCTION("""COMPUTED_VALUE"""),"Н/Л")</f>
        <v>Н/Л</v>
      </c>
      <c r="I255" s="20" t="str">
        <f ca="1">IFERROR(__xludf.DUMMYFUNCTION("""COMPUTED_VALUE"""),"10 2 02 64030")</f>
        <v>10 2 02 64030</v>
      </c>
      <c r="J255" s="20">
        <f ca="1">IFERROR(__xludf.DUMMYFUNCTION("""COMPUTED_VALUE"""),522)</f>
        <v>522</v>
      </c>
      <c r="K255" s="24">
        <f t="shared" ca="1" si="1"/>
        <v>0</v>
      </c>
      <c r="L255" s="24">
        <f ca="1">IFERROR(__xludf.DUMMYFUNCTION("""COMPUTED_VALUE"""),0)</f>
        <v>0</v>
      </c>
      <c r="M255" s="24">
        <f ca="1">IFERROR(__xludf.DUMMYFUNCTION("""COMPUTED_VALUE"""),0)</f>
        <v>0</v>
      </c>
      <c r="N255" s="24">
        <f ca="1">IFERROR(__xludf.DUMMYFUNCTION("""COMPUTED_VALUE"""),0)</f>
        <v>0</v>
      </c>
      <c r="O255" s="24">
        <f ca="1">IFERROR(__xludf.DUMMYFUNCTION("""COMPUTED_VALUE"""),0)</f>
        <v>0</v>
      </c>
      <c r="P255" s="24">
        <f t="shared" ca="1" si="2"/>
        <v>0</v>
      </c>
      <c r="Q255" s="20" t="str">
        <f ca="1">IFERROR(__xludf.DUMMYFUNCTION("""COMPUTED_VALUE"""),"-")</f>
        <v>-</v>
      </c>
      <c r="R255" s="20"/>
      <c r="S255" s="24">
        <f ca="1">IFERROR(__xludf.DUMMYFUNCTION("""COMPUTED_VALUE"""),0)</f>
        <v>0</v>
      </c>
      <c r="T255" s="24">
        <f ca="1">IFERROR(__xludf.DUMMYFUNCTION("""COMPUTED_VALUE"""),0)</f>
        <v>0</v>
      </c>
      <c r="U255" s="24">
        <f ca="1">IFERROR(__xludf.DUMMYFUNCTION("""COMPUTED_VALUE"""),0)</f>
        <v>0</v>
      </c>
      <c r="V255" s="24">
        <f ca="1">IFERROR(__xludf.DUMMYFUNCTION("""COMPUTED_VALUE"""),0)</f>
        <v>0</v>
      </c>
      <c r="W255" s="24">
        <f ca="1">IFERROR(__xludf.DUMMYFUNCTION("""COMPUTED_VALUE"""),0)</f>
        <v>0</v>
      </c>
      <c r="X255" s="24">
        <f ca="1">IFERROR(__xludf.DUMMYFUNCTION("""COMPUTED_VALUE"""),0)</f>
        <v>0</v>
      </c>
      <c r="Y255" s="24">
        <f t="shared" ca="1" si="3"/>
        <v>0</v>
      </c>
      <c r="Z255" s="20">
        <f t="shared" ca="1" si="4"/>
        <v>0</v>
      </c>
      <c r="AA255" s="20"/>
      <c r="AB255" s="24">
        <f ca="1">IFERROR(__xludf.DUMMYFUNCTION("""COMPUTED_VALUE"""),0)</f>
        <v>0</v>
      </c>
      <c r="AC255" s="20"/>
      <c r="AD255" s="94" t="e">
        <f t="shared" ca="1" si="5"/>
        <v>#DIV/0!</v>
      </c>
      <c r="AE255" s="20"/>
      <c r="AF255" s="20"/>
      <c r="AG255" s="20"/>
      <c r="AH255" s="20"/>
      <c r="AI255" s="20"/>
      <c r="AJ255" s="20"/>
      <c r="AK255" s="20"/>
      <c r="AL255" s="20"/>
      <c r="AM255" s="20"/>
      <c r="AN255" s="20"/>
      <c r="AO255" s="20"/>
      <c r="AP255" s="20"/>
      <c r="AQ255" s="20"/>
      <c r="AR255" s="20"/>
      <c r="AS255" s="20"/>
      <c r="AT255" s="20"/>
    </row>
    <row r="256" spans="1:46" ht="120" x14ac:dyDescent="0.2">
      <c r="A256" s="20" t="str">
        <f ca="1">IFERROR(__xludf.DUMMYFUNCTION("""COMPUTED_VALUE"""),"
экономия по СМР 9 млн. руб")</f>
        <v xml:space="preserve">
экономия по СМР 9 млн. руб</v>
      </c>
      <c r="B256" s="95"/>
      <c r="C25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6" s="20" t="str">
        <f ca="1">IFERROR(__xludf.DUMMYFUNCTION("""COMPUTED_VALUE"""),"МинЖКХ")</f>
        <v>МинЖКХ</v>
      </c>
      <c r="E256" s="20" t="str">
        <f ca="1">IFERROR(__xludf.DUMMYFUNCTION("""COMPUTED_VALUE"""),"Реконструкция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пр"&amp;"авом берегу с дюкерным переходом через реку Москву")</f>
        <v>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правом берегу с дюкерным переходом через реку Москву</v>
      </c>
      <c r="F256" s="20" t="str">
        <f ca="1">IFERROR(__xludf.DUMMYFUNCTION("""COMPUTED_VALUE"""),"СМР")</f>
        <v>СМР</v>
      </c>
      <c r="G256" s="20" t="str">
        <f ca="1">IFERROR(__xludf.DUMMYFUNCTION("""COMPUTED_VALUE"""),"г.о. Красногорск")</f>
        <v>г.о. Красногорск</v>
      </c>
      <c r="H256" s="20" t="str">
        <f ca="1">IFERROR(__xludf.DUMMYFUNCTION("""COMPUTED_VALUE"""),"2019-2020")</f>
        <v>2019-2020</v>
      </c>
      <c r="I256" s="20" t="str">
        <f ca="1">IFERROR(__xludf.DUMMYFUNCTION("""COMPUTED_VALUE"""),"10 2 02 64030")</f>
        <v>10 2 02 64030</v>
      </c>
      <c r="J256" s="20">
        <f ca="1">IFERROR(__xludf.DUMMYFUNCTION("""COMPUTED_VALUE"""),522)</f>
        <v>522</v>
      </c>
      <c r="K256" s="24">
        <f t="shared" ca="1" si="1"/>
        <v>121550.43</v>
      </c>
      <c r="L256" s="24">
        <f ca="1">IFERROR(__xludf.DUMMYFUNCTION("""COMPUTED_VALUE"""),0)</f>
        <v>0</v>
      </c>
      <c r="M256" s="24">
        <f ca="1">IFERROR(__xludf.DUMMYFUNCTION("""COMPUTED_VALUE"""),0)</f>
        <v>0</v>
      </c>
      <c r="N256" s="24">
        <f ca="1">IFERROR(__xludf.DUMMYFUNCTION("""COMPUTED_VALUE"""),82782)</f>
        <v>82782</v>
      </c>
      <c r="O256" s="24">
        <f ca="1">IFERROR(__xludf.DUMMYFUNCTION("""COMPUTED_VALUE"""),38768.43)</f>
        <v>38768.43</v>
      </c>
      <c r="P256" s="24">
        <f t="shared" ca="1" si="2"/>
        <v>82782</v>
      </c>
      <c r="Q256" s="20">
        <f ca="1">IFERROR(__xludf.DUMMYFUNCTION("""COMPUTED_VALUE"""),100)</f>
        <v>100</v>
      </c>
      <c r="R256" s="20"/>
      <c r="S256" s="24">
        <f ca="1">IFERROR(__xludf.DUMMYFUNCTION("""COMPUTED_VALUE"""),75061.19)</f>
        <v>75061.19</v>
      </c>
      <c r="T256" s="24">
        <f ca="1">IFERROR(__xludf.DUMMYFUNCTION("""COMPUTED_VALUE"""),46489.2399999999)</f>
        <v>46489.239999999903</v>
      </c>
      <c r="U256" s="24">
        <f ca="1">IFERROR(__xludf.DUMMYFUNCTION("""COMPUTED_VALUE"""),0)</f>
        <v>0</v>
      </c>
      <c r="V256" s="24">
        <f ca="1">IFERROR(__xludf.DUMMYFUNCTION("""COMPUTED_VALUE"""),0)</f>
        <v>0</v>
      </c>
      <c r="W256" s="24">
        <f ca="1">IFERROR(__xludf.DUMMYFUNCTION("""COMPUTED_VALUE"""),7720.80999999999)</f>
        <v>7720.8099999999904</v>
      </c>
      <c r="X256" s="24">
        <f ca="1">IFERROR(__xludf.DUMMYFUNCTION("""COMPUTED_VALUE"""),38768.43)</f>
        <v>38768.43</v>
      </c>
      <c r="Y256" s="24">
        <f t="shared" ca="1" si="3"/>
        <v>7720.8099999999904</v>
      </c>
      <c r="Z256" s="20">
        <f t="shared" ca="1" si="4"/>
        <v>75061.19</v>
      </c>
      <c r="AA256" s="20"/>
      <c r="AB256" s="20"/>
      <c r="AC256" s="24">
        <f ca="1">IFERROR(__xludf.DUMMYFUNCTION("""COMPUTED_VALUE"""),75061.19)</f>
        <v>75061.19</v>
      </c>
      <c r="AD256" s="94">
        <f t="shared" ca="1" si="5"/>
        <v>0.90673322703003068</v>
      </c>
      <c r="AE256" s="20"/>
      <c r="AF256" s="20"/>
      <c r="AG256" s="20"/>
      <c r="AH256" s="20"/>
      <c r="AI256" s="20"/>
      <c r="AJ256" s="20"/>
      <c r="AK256" s="20"/>
      <c r="AL256" s="20"/>
      <c r="AM256" s="20"/>
      <c r="AN256" s="20"/>
      <c r="AO256" s="20"/>
      <c r="AP256" s="20"/>
      <c r="AQ256" s="20"/>
      <c r="AR256" s="20"/>
      <c r="AS256" s="20"/>
      <c r="AT256" s="20"/>
    </row>
    <row r="257" spans="1:46" ht="144" hidden="1" x14ac:dyDescent="0.2">
      <c r="A257" s="67"/>
      <c r="B257" s="100"/>
      <c r="C25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7" s="20" t="str">
        <f ca="1">IFERROR(__xludf.DUMMYFUNCTION("""COMPUTED_VALUE"""),"МинЖКХ")</f>
        <v>МинЖКХ</v>
      </c>
      <c r="E257" s="20" t="str">
        <f ca="1">IFERROR(__xludf.DUMMYFUNCTION("""COMPUTED_VALUE"""),"Строительство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р"&amp;"аботы, выполненные в предшествующие годы: 2015 г. – 14258,99 тыс. руб.), в том числе: корректировка проекта")</f>
        <v>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работы, выполненные в предшествующие годы: 2015 г. – 14258,99 тыс. руб.), в том числе: корректировка проекта</v>
      </c>
      <c r="F257" s="67" t="str">
        <f ca="1">IFERROR(__xludf.DUMMYFUNCTION("""COMPUTED_VALUE"""),"СМР")</f>
        <v>СМР</v>
      </c>
      <c r="G257" s="67" t="str">
        <f ca="1">IFERROR(__xludf.DUMMYFUNCTION("""COMPUTED_VALUE"""),"г.о. Подольск")</f>
        <v>г.о. Подольск</v>
      </c>
      <c r="H257" s="67" t="str">
        <f ca="1">IFERROR(__xludf.DUMMYFUNCTION("""COMPUTED_VALUE"""),"2021-2022")</f>
        <v>2021-2022</v>
      </c>
      <c r="I257" s="67" t="str">
        <f ca="1">IFERROR(__xludf.DUMMYFUNCTION("""COMPUTED_VALUE"""),"10 2 02 64030")</f>
        <v>10 2 02 64030</v>
      </c>
      <c r="J257" s="67">
        <f ca="1">IFERROR(__xludf.DUMMYFUNCTION("""COMPUTED_VALUE"""),522)</f>
        <v>522</v>
      </c>
      <c r="K257" s="97">
        <f t="shared" ca="1" si="1"/>
        <v>0</v>
      </c>
      <c r="L257" s="97">
        <f ca="1">IFERROR(__xludf.DUMMYFUNCTION("""COMPUTED_VALUE"""),0)</f>
        <v>0</v>
      </c>
      <c r="M257" s="97">
        <f ca="1">IFERROR(__xludf.DUMMYFUNCTION("""COMPUTED_VALUE"""),0)</f>
        <v>0</v>
      </c>
      <c r="N257" s="97">
        <f ca="1">IFERROR(__xludf.DUMMYFUNCTION("""COMPUTED_VALUE"""),0)</f>
        <v>0</v>
      </c>
      <c r="O257" s="97">
        <f ca="1">IFERROR(__xludf.DUMMYFUNCTION("""COMPUTED_VALUE"""),0)</f>
        <v>0</v>
      </c>
      <c r="P257" s="97">
        <f t="shared" ca="1" si="2"/>
        <v>0</v>
      </c>
      <c r="Q257" s="67"/>
      <c r="R257" s="67"/>
      <c r="S257" s="97">
        <f ca="1">IFERROR(__xludf.DUMMYFUNCTION("""COMPUTED_VALUE"""),0)</f>
        <v>0</v>
      </c>
      <c r="T257" s="97">
        <f ca="1">IFERROR(__xludf.DUMMYFUNCTION("""COMPUTED_VALUE"""),0)</f>
        <v>0</v>
      </c>
      <c r="U257" s="97">
        <f ca="1">IFERROR(__xludf.DUMMYFUNCTION("""COMPUTED_VALUE"""),0)</f>
        <v>0</v>
      </c>
      <c r="V257" s="97">
        <f ca="1">IFERROR(__xludf.DUMMYFUNCTION("""COMPUTED_VALUE"""),0)</f>
        <v>0</v>
      </c>
      <c r="W257" s="97">
        <f ca="1">IFERROR(__xludf.DUMMYFUNCTION("""COMPUTED_VALUE"""),0)</f>
        <v>0</v>
      </c>
      <c r="X257" s="97">
        <f ca="1">IFERROR(__xludf.DUMMYFUNCTION("""COMPUTED_VALUE"""),0)</f>
        <v>0</v>
      </c>
      <c r="Y257" s="97">
        <f t="shared" ca="1" si="3"/>
        <v>0</v>
      </c>
      <c r="Z257" s="67">
        <f t="shared" si="4"/>
        <v>0</v>
      </c>
      <c r="AA257" s="67"/>
      <c r="AB257" s="67"/>
      <c r="AC257" s="67"/>
      <c r="AD257" s="99" t="e">
        <f t="shared" ca="1" si="5"/>
        <v>#DIV/0!</v>
      </c>
      <c r="AE257" s="67"/>
      <c r="AF257" s="67"/>
      <c r="AG257" s="67"/>
      <c r="AH257" s="67"/>
      <c r="AI257" s="67"/>
      <c r="AJ257" s="67"/>
      <c r="AK257" s="67"/>
      <c r="AL257" s="67"/>
      <c r="AM257" s="67"/>
      <c r="AN257" s="67"/>
      <c r="AO257" s="67"/>
      <c r="AP257" s="67"/>
      <c r="AQ257" s="67"/>
      <c r="AR257" s="67"/>
      <c r="AS257" s="67"/>
      <c r="AT257" s="67"/>
    </row>
    <row r="258" spans="1:46" ht="84" hidden="1" x14ac:dyDescent="0.2">
      <c r="A258" s="67" t="str">
        <f ca="1">IFERROR(__xludf.DUMMYFUNCTION("""COMPUTED_VALUE"""),"ПСД в МОГЭ. В связи с поздней контрактацией мероприятия освоения средства 2020 года не будут освоены. Письмо от ОМСУ о переносе средств на 2021 г.")</f>
        <v>ПСД в МОГЭ. В связи с поздней контрактацией мероприятия освоения средства 2020 года не будут освоены. Письмо от ОМСУ о переносе средств на 2021 г.</v>
      </c>
      <c r="B258" s="96"/>
      <c r="C25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8" s="20" t="str">
        <f ca="1">IFERROR(__xludf.DUMMYFUNCTION("""COMPUTED_VALUE"""),"МинЖКХ")</f>
        <v>МинЖКХ</v>
      </c>
      <c r="E258" s="20" t="str">
        <f ca="1">IFERROR(__xludf.DUMMYFUNCTION("""COMPUTED_VALUE"""),"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f>
        <v xml:space="preserv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v>
      </c>
      <c r="F258" s="67" t="str">
        <f ca="1">IFERROR(__xludf.DUMMYFUNCTION("""COMPUTED_VALUE"""),"СМР")</f>
        <v>СМР</v>
      </c>
      <c r="G258" s="67" t="str">
        <f ca="1">IFERROR(__xludf.DUMMYFUNCTION("""COMPUTED_VALUE"""),"г.о. Одинцово")</f>
        <v>г.о. Одинцово</v>
      </c>
      <c r="H258" s="67">
        <f ca="1">IFERROR(__xludf.DUMMYFUNCTION("""COMPUTED_VALUE"""),2021)</f>
        <v>2021</v>
      </c>
      <c r="I258" s="67" t="str">
        <f ca="1">IFERROR(__xludf.DUMMYFUNCTION("""COMPUTED_VALUE"""),"10 2 02 64030")</f>
        <v>10 2 02 64030</v>
      </c>
      <c r="J258" s="67">
        <f ca="1">IFERROR(__xludf.DUMMYFUNCTION("""COMPUTED_VALUE"""),522)</f>
        <v>522</v>
      </c>
      <c r="K258" s="97">
        <f t="shared" ca="1" si="1"/>
        <v>0</v>
      </c>
      <c r="L258" s="97">
        <f ca="1">IFERROR(__xludf.DUMMYFUNCTION("""COMPUTED_VALUE"""),0)</f>
        <v>0</v>
      </c>
      <c r="M258" s="97">
        <f ca="1">IFERROR(__xludf.DUMMYFUNCTION("""COMPUTED_VALUE"""),0)</f>
        <v>0</v>
      </c>
      <c r="N258" s="97">
        <f ca="1">IFERROR(__xludf.DUMMYFUNCTION("""COMPUTED_VALUE"""),0)</f>
        <v>0</v>
      </c>
      <c r="O258" s="97">
        <f ca="1">IFERROR(__xludf.DUMMYFUNCTION("""COMPUTED_VALUE"""),0)</f>
        <v>0</v>
      </c>
      <c r="P258" s="97">
        <f t="shared" ca="1" si="2"/>
        <v>0</v>
      </c>
      <c r="Q258" s="67">
        <f ca="1">IFERROR(__xludf.DUMMYFUNCTION("""COMPUTED_VALUE"""),0)</f>
        <v>0</v>
      </c>
      <c r="R258" s="67"/>
      <c r="S258" s="97">
        <f ca="1">IFERROR(__xludf.DUMMYFUNCTION("""COMPUTED_VALUE"""),0)</f>
        <v>0</v>
      </c>
      <c r="T258" s="97">
        <f ca="1">IFERROR(__xludf.DUMMYFUNCTION("""COMPUTED_VALUE"""),0)</f>
        <v>0</v>
      </c>
      <c r="U258" s="97">
        <f ca="1">IFERROR(__xludf.DUMMYFUNCTION("""COMPUTED_VALUE"""),0)</f>
        <v>0</v>
      </c>
      <c r="V258" s="97">
        <f ca="1">IFERROR(__xludf.DUMMYFUNCTION("""COMPUTED_VALUE"""),0)</f>
        <v>0</v>
      </c>
      <c r="W258" s="97">
        <f ca="1">IFERROR(__xludf.DUMMYFUNCTION("""COMPUTED_VALUE"""),0)</f>
        <v>0</v>
      </c>
      <c r="X258" s="97">
        <f ca="1">IFERROR(__xludf.DUMMYFUNCTION("""COMPUTED_VALUE"""),0)</f>
        <v>0</v>
      </c>
      <c r="Y258" s="97">
        <f t="shared" ca="1" si="3"/>
        <v>0</v>
      </c>
      <c r="Z258" s="67">
        <f t="shared" ca="1" si="4"/>
        <v>0</v>
      </c>
      <c r="AA258" s="67"/>
      <c r="AB258" s="97">
        <f ca="1">IFERROR(__xludf.DUMMYFUNCTION("""COMPUTED_VALUE"""),0)</f>
        <v>0</v>
      </c>
      <c r="AC258" s="67"/>
      <c r="AD258" s="99" t="e">
        <f t="shared" ca="1" si="5"/>
        <v>#DIV/0!</v>
      </c>
      <c r="AE258" s="67"/>
      <c r="AF258" s="67"/>
      <c r="AG258" s="67"/>
      <c r="AH258" s="67"/>
      <c r="AI258" s="67"/>
      <c r="AJ258" s="67"/>
      <c r="AK258" s="67"/>
      <c r="AL258" s="67"/>
      <c r="AM258" s="67"/>
      <c r="AN258" s="67"/>
      <c r="AO258" s="67"/>
      <c r="AP258" s="67"/>
      <c r="AQ258" s="67"/>
      <c r="AR258" s="67"/>
      <c r="AS258" s="67"/>
      <c r="AT258" s="67"/>
    </row>
    <row r="259" spans="1:46" ht="84" hidden="1" x14ac:dyDescent="0.2">
      <c r="A259" s="67"/>
      <c r="B259" s="100"/>
      <c r="C25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9" s="20" t="str">
        <f ca="1">IFERROR(__xludf.DUMMYFUNCTION("""COMPUTED_VALUE"""),"МинЖКХ")</f>
        <v>МинЖКХ</v>
      </c>
      <c r="E259" s="20" t="str">
        <f ca="1">IFERROR(__xludf.DUMMYFUNCTION("""COMPUTED_VALUE"""),"Реконструкция канализационного коллектора с Д-400 на Д-800 мм, г.п. Солнечногорск (в том числе ПИР)")</f>
        <v>Реконструкция канализационного коллектора с Д-400 на Д-800 мм, г.п. Солнечногорск (в том числе ПИР)</v>
      </c>
      <c r="F259" s="67" t="str">
        <f ca="1">IFERROR(__xludf.DUMMYFUNCTION("""COMPUTED_VALUE"""),"СМР")</f>
        <v>СМР</v>
      </c>
      <c r="G259" s="67" t="str">
        <f ca="1">IFERROR(__xludf.DUMMYFUNCTION("""COMPUTED_VALUE"""),"г.о. Солнечногорск")</f>
        <v>г.о. Солнечногорск</v>
      </c>
      <c r="H259" s="67">
        <f ca="1">IFERROR(__xludf.DUMMYFUNCTION("""COMPUTED_VALUE"""),2022)</f>
        <v>2022</v>
      </c>
      <c r="I259" s="67" t="str">
        <f ca="1">IFERROR(__xludf.DUMMYFUNCTION("""COMPUTED_VALUE"""),"10 2 02 64030")</f>
        <v>10 2 02 64030</v>
      </c>
      <c r="J259" s="67">
        <f ca="1">IFERROR(__xludf.DUMMYFUNCTION("""COMPUTED_VALUE"""),522)</f>
        <v>522</v>
      </c>
      <c r="K259" s="97">
        <f t="shared" ca="1" si="1"/>
        <v>0</v>
      </c>
      <c r="L259" s="97">
        <f ca="1">IFERROR(__xludf.DUMMYFUNCTION("""COMPUTED_VALUE"""),0)</f>
        <v>0</v>
      </c>
      <c r="M259" s="97">
        <f ca="1">IFERROR(__xludf.DUMMYFUNCTION("""COMPUTED_VALUE"""),0)</f>
        <v>0</v>
      </c>
      <c r="N259" s="97">
        <f ca="1">IFERROR(__xludf.DUMMYFUNCTION("""COMPUTED_VALUE"""),0)</f>
        <v>0</v>
      </c>
      <c r="O259" s="97">
        <f ca="1">IFERROR(__xludf.DUMMYFUNCTION("""COMPUTED_VALUE"""),0)</f>
        <v>0</v>
      </c>
      <c r="P259" s="97">
        <f t="shared" ca="1" si="2"/>
        <v>0</v>
      </c>
      <c r="Q259" s="67"/>
      <c r="R259" s="67"/>
      <c r="S259" s="97">
        <f ca="1">IFERROR(__xludf.DUMMYFUNCTION("""COMPUTED_VALUE"""),0)</f>
        <v>0</v>
      </c>
      <c r="T259" s="97">
        <f ca="1">IFERROR(__xludf.DUMMYFUNCTION("""COMPUTED_VALUE"""),0)</f>
        <v>0</v>
      </c>
      <c r="U259" s="97">
        <f ca="1">IFERROR(__xludf.DUMMYFUNCTION("""COMPUTED_VALUE"""),0)</f>
        <v>0</v>
      </c>
      <c r="V259" s="97">
        <f ca="1">IFERROR(__xludf.DUMMYFUNCTION("""COMPUTED_VALUE"""),0)</f>
        <v>0</v>
      </c>
      <c r="W259" s="97">
        <f ca="1">IFERROR(__xludf.DUMMYFUNCTION("""COMPUTED_VALUE"""),0)</f>
        <v>0</v>
      </c>
      <c r="X259" s="97">
        <f ca="1">IFERROR(__xludf.DUMMYFUNCTION("""COMPUTED_VALUE"""),0)</f>
        <v>0</v>
      </c>
      <c r="Y259" s="97">
        <f t="shared" ca="1" si="3"/>
        <v>0</v>
      </c>
      <c r="Z259" s="67">
        <f t="shared" si="4"/>
        <v>0</v>
      </c>
      <c r="AA259" s="67"/>
      <c r="AB259" s="67"/>
      <c r="AC259" s="67"/>
      <c r="AD259" s="99" t="e">
        <f t="shared" ca="1" si="5"/>
        <v>#DIV/0!</v>
      </c>
      <c r="AE259" s="67"/>
      <c r="AF259" s="67"/>
      <c r="AG259" s="67"/>
      <c r="AH259" s="67"/>
      <c r="AI259" s="67"/>
      <c r="AJ259" s="67"/>
      <c r="AK259" s="67"/>
      <c r="AL259" s="67"/>
      <c r="AM259" s="67"/>
      <c r="AN259" s="67"/>
      <c r="AO259" s="67"/>
      <c r="AP259" s="67"/>
      <c r="AQ259" s="67"/>
      <c r="AR259" s="67"/>
      <c r="AS259" s="67"/>
      <c r="AT259" s="67"/>
    </row>
    <row r="260" spans="1:46" ht="96" x14ac:dyDescent="0.2">
      <c r="A260" s="20" t="str">
        <f ca="1">IFERROR(__xludf.DUMMYFUNCTION("""COMPUTED_VALUE"""),"Лимиты 2020 не будут Освоены 
Заключение получено, не присвоен номер. В связи с поздним выходом из МОГЭ риск неосвоения лимитов 2020 года. Направлено письмо от ОМСУ о переносе лимитов на 2021.")</f>
        <v>Лимиты 2020 не будут Освоены 
Заключение получено, не присвоен номер. В связи с поздним выходом из МОГЭ риск неосвоения лимитов 2020 года. Направлено письмо от ОМСУ о переносе лимитов на 2021.</v>
      </c>
      <c r="B260" s="95"/>
      <c r="C26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60" s="20" t="str">
        <f ca="1">IFERROR(__xludf.DUMMYFUNCTION("""COMPUTED_VALUE"""),"МинЖКХ")</f>
        <v>МинЖКХ</v>
      </c>
      <c r="E260" s="20" t="str">
        <f ca="1">IFERROR(__xludf.DUMMYFUNCTION("""COMPUTED_VALUE"""),"Реконструкция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f>
        <v>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v>
      </c>
      <c r="F260" s="20" t="str">
        <f ca="1">IFERROR(__xludf.DUMMYFUNCTION("""COMPUTED_VALUE"""),"СМР")</f>
        <v>СМР</v>
      </c>
      <c r="G260" s="20" t="str">
        <f ca="1">IFERROR(__xludf.DUMMYFUNCTION("""COMPUTED_VALUE"""),"г.о. Сергиев Посад")</f>
        <v>г.о. Сергиев Посад</v>
      </c>
      <c r="H260" s="20" t="str">
        <f ca="1">IFERROR(__xludf.DUMMYFUNCTION("""COMPUTED_VALUE"""),"2020-2021")</f>
        <v>2020-2021</v>
      </c>
      <c r="I260" s="20" t="str">
        <f ca="1">IFERROR(__xludf.DUMMYFUNCTION("""COMPUTED_VALUE"""),"10 2 02 64030")</f>
        <v>10 2 02 64030</v>
      </c>
      <c r="J260" s="20">
        <f ca="1">IFERROR(__xludf.DUMMYFUNCTION("""COMPUTED_VALUE"""),522)</f>
        <v>522</v>
      </c>
      <c r="K260" s="24">
        <f t="shared" ca="1" si="1"/>
        <v>95994.95</v>
      </c>
      <c r="L260" s="24">
        <f ca="1">IFERROR(__xludf.DUMMYFUNCTION("""COMPUTED_VALUE"""),0)</f>
        <v>0</v>
      </c>
      <c r="M260" s="24">
        <f ca="1">IFERROR(__xludf.DUMMYFUNCTION("""COMPUTED_VALUE"""),0)</f>
        <v>0</v>
      </c>
      <c r="N260" s="24">
        <f ca="1">IFERROR(__xludf.DUMMYFUNCTION("""COMPUTED_VALUE"""),95035)</f>
        <v>95035</v>
      </c>
      <c r="O260" s="24">
        <f ca="1">IFERROR(__xludf.DUMMYFUNCTION("""COMPUTED_VALUE"""),959.95)</f>
        <v>959.95</v>
      </c>
      <c r="P260" s="24">
        <f t="shared" ca="1" si="2"/>
        <v>95035</v>
      </c>
      <c r="Q260" s="20">
        <f ca="1">IFERROR(__xludf.DUMMYFUNCTION("""COMPUTED_VALUE"""),0)</f>
        <v>0</v>
      </c>
      <c r="R260" s="20"/>
      <c r="S260" s="24">
        <f ca="1">IFERROR(__xludf.DUMMYFUNCTION("""COMPUTED_VALUE"""),77388.97)</f>
        <v>77388.97</v>
      </c>
      <c r="T260" s="24">
        <f ca="1">IFERROR(__xludf.DUMMYFUNCTION("""COMPUTED_VALUE"""),18605.9799999999)</f>
        <v>18605.979999999901</v>
      </c>
      <c r="U260" s="24">
        <f ca="1">IFERROR(__xludf.DUMMYFUNCTION("""COMPUTED_VALUE"""),0)</f>
        <v>0</v>
      </c>
      <c r="V260" s="24">
        <f ca="1">IFERROR(__xludf.DUMMYFUNCTION("""COMPUTED_VALUE"""),0)</f>
        <v>0</v>
      </c>
      <c r="W260" s="24">
        <f ca="1">IFERROR(__xludf.DUMMYFUNCTION("""COMPUTED_VALUE"""),17646.03)</f>
        <v>17646.03</v>
      </c>
      <c r="X260" s="24">
        <f ca="1">IFERROR(__xludf.DUMMYFUNCTION("""COMPUTED_VALUE"""),959.95)</f>
        <v>959.95</v>
      </c>
      <c r="Y260" s="24">
        <f t="shared" ca="1" si="3"/>
        <v>17646.03</v>
      </c>
      <c r="Z260" s="20">
        <f t="shared" ca="1" si="4"/>
        <v>77388.97</v>
      </c>
      <c r="AA260" s="20"/>
      <c r="AB260" s="20"/>
      <c r="AC260" s="24">
        <f ca="1">IFERROR(__xludf.DUMMYFUNCTION("""COMPUTED_VALUE"""),77388.97)</f>
        <v>77388.97</v>
      </c>
      <c r="AD260" s="94">
        <f t="shared" ca="1" si="5"/>
        <v>0.81432072394381017</v>
      </c>
      <c r="AE260" s="20"/>
      <c r="AF260" s="20"/>
      <c r="AG260" s="20"/>
      <c r="AH260" s="20"/>
      <c r="AI260" s="20"/>
      <c r="AJ260" s="20"/>
      <c r="AK260" s="20"/>
      <c r="AL260" s="20"/>
      <c r="AM260" s="20"/>
      <c r="AN260" s="20"/>
      <c r="AO260" s="20"/>
      <c r="AP260" s="20"/>
      <c r="AQ260" s="20"/>
      <c r="AR260" s="20"/>
      <c r="AS260" s="20"/>
      <c r="AT260" s="20"/>
    </row>
    <row r="261" spans="1:46" ht="84" hidden="1" x14ac:dyDescent="0.2">
      <c r="A261" s="67"/>
      <c r="B261" s="96"/>
      <c r="C26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61" s="20" t="str">
        <f ca="1">IFERROR(__xludf.DUMMYFUNCTION("""COMPUTED_VALUE"""),"МинЖКХ")</f>
        <v>МинЖКХ</v>
      </c>
      <c r="E261" s="20" t="str">
        <f ca="1">IFERROR(__xludf.DUMMYFUNCTION("""COMPUTED_VALUE"""),"Строительство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f>
        <v>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v>
      </c>
      <c r="F261" s="67" t="str">
        <f ca="1">IFERROR(__xludf.DUMMYFUNCTION("""COMPUTED_VALUE"""),"СМР")</f>
        <v>СМР</v>
      </c>
      <c r="G261" s="67" t="str">
        <f ca="1">IFERROR(__xludf.DUMMYFUNCTION("""COMPUTED_VALUE"""),"г.о. Ленинский")</f>
        <v>г.о. Ленинский</v>
      </c>
      <c r="H261" s="67" t="str">
        <f ca="1">IFERROR(__xludf.DUMMYFUNCTION("""COMPUTED_VALUE"""),"2022-2023")</f>
        <v>2022-2023</v>
      </c>
      <c r="I261" s="67" t="str">
        <f ca="1">IFERROR(__xludf.DUMMYFUNCTION("""COMPUTED_VALUE"""),"10 2 02 64030")</f>
        <v>10 2 02 64030</v>
      </c>
      <c r="J261" s="67">
        <f ca="1">IFERROR(__xludf.DUMMYFUNCTION("""COMPUTED_VALUE"""),522)</f>
        <v>522</v>
      </c>
      <c r="K261" s="97">
        <f t="shared" ca="1" si="1"/>
        <v>0</v>
      </c>
      <c r="L261" s="97">
        <f ca="1">IFERROR(__xludf.DUMMYFUNCTION("""COMPUTED_VALUE"""),0)</f>
        <v>0</v>
      </c>
      <c r="M261" s="97">
        <f ca="1">IFERROR(__xludf.DUMMYFUNCTION("""COMPUTED_VALUE"""),0)</f>
        <v>0</v>
      </c>
      <c r="N261" s="97">
        <f ca="1">IFERROR(__xludf.DUMMYFUNCTION("""COMPUTED_VALUE"""),0)</f>
        <v>0</v>
      </c>
      <c r="O261" s="97">
        <f ca="1">IFERROR(__xludf.DUMMYFUNCTION("""COMPUTED_VALUE"""),0)</f>
        <v>0</v>
      </c>
      <c r="P261" s="97">
        <f t="shared" ca="1" si="2"/>
        <v>0</v>
      </c>
      <c r="Q261" s="67"/>
      <c r="R261" s="67"/>
      <c r="S261" s="97">
        <f ca="1">IFERROR(__xludf.DUMMYFUNCTION("""COMPUTED_VALUE"""),0)</f>
        <v>0</v>
      </c>
      <c r="T261" s="97">
        <f ca="1">IFERROR(__xludf.DUMMYFUNCTION("""COMPUTED_VALUE"""),0)</f>
        <v>0</v>
      </c>
      <c r="U261" s="97">
        <f ca="1">IFERROR(__xludf.DUMMYFUNCTION("""COMPUTED_VALUE"""),0)</f>
        <v>0</v>
      </c>
      <c r="V261" s="97">
        <f ca="1">IFERROR(__xludf.DUMMYFUNCTION("""COMPUTED_VALUE"""),0)</f>
        <v>0</v>
      </c>
      <c r="W261" s="97">
        <f ca="1">IFERROR(__xludf.DUMMYFUNCTION("""COMPUTED_VALUE"""),0)</f>
        <v>0</v>
      </c>
      <c r="X261" s="97">
        <f ca="1">IFERROR(__xludf.DUMMYFUNCTION("""COMPUTED_VALUE"""),0)</f>
        <v>0</v>
      </c>
      <c r="Y261" s="97">
        <f t="shared" ca="1" si="3"/>
        <v>0</v>
      </c>
      <c r="Z261" s="67">
        <f t="shared" si="4"/>
        <v>0</v>
      </c>
      <c r="AA261" s="67"/>
      <c r="AB261" s="67"/>
      <c r="AC261" s="67"/>
      <c r="AD261" s="99" t="e">
        <f t="shared" ca="1" si="5"/>
        <v>#DIV/0!</v>
      </c>
      <c r="AE261" s="67"/>
      <c r="AF261" s="67"/>
      <c r="AG261" s="67"/>
      <c r="AH261" s="67"/>
      <c r="AI261" s="67"/>
      <c r="AJ261" s="67"/>
      <c r="AK261" s="67"/>
      <c r="AL261" s="67"/>
      <c r="AM261" s="67"/>
      <c r="AN261" s="67"/>
      <c r="AO261" s="67"/>
      <c r="AP261" s="67"/>
      <c r="AQ261" s="67"/>
      <c r="AR261" s="67"/>
      <c r="AS261" s="67"/>
      <c r="AT261" s="67"/>
    </row>
    <row r="262" spans="1:46" ht="84" hidden="1" x14ac:dyDescent="0.2">
      <c r="A262" s="67"/>
      <c r="B262" s="96"/>
      <c r="C26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2" s="20" t="str">
        <f ca="1">IFERROR(__xludf.DUMMYFUNCTION("""COMPUTED_VALUE"""),"МинЖКХ")</f>
        <v>МинЖКХ</v>
      </c>
      <c r="E262" s="20" t="str">
        <f ca="1">IFERROR(__xludf.DUMMYFUNCTION("""COMPUTED_VALUE"""),"Капитальный ремонт КНС в с. Непецино, Коломенский г.о. (в т.ч. ПИР) ")</f>
        <v xml:space="preserve">Капитальный ремонт КНС в с. Непецино, Коломенский г.о. (в т.ч. ПИР) </v>
      </c>
      <c r="F262" s="67" t="str">
        <f ca="1">IFERROR(__xludf.DUMMYFUNCTION("""COMPUTED_VALUE"""),"СМР")</f>
        <v>СМР</v>
      </c>
      <c r="G262" s="67" t="str">
        <f ca="1">IFERROR(__xludf.DUMMYFUNCTION("""COMPUTED_VALUE"""),"г.о. Коломенский")</f>
        <v>г.о. Коломенский</v>
      </c>
      <c r="H262" s="67">
        <f ca="1">IFERROR(__xludf.DUMMYFUNCTION("""COMPUTED_VALUE"""),2022)</f>
        <v>2022</v>
      </c>
      <c r="I262" s="67" t="str">
        <f ca="1">IFERROR(__xludf.DUMMYFUNCTION("""COMPUTED_VALUE"""),"10 2 02 60310")</f>
        <v>10 2 02 60310</v>
      </c>
      <c r="J262" s="67">
        <f ca="1">IFERROR(__xludf.DUMMYFUNCTION("""COMPUTED_VALUE"""),521)</f>
        <v>521</v>
      </c>
      <c r="K262" s="97">
        <f t="shared" ca="1" si="1"/>
        <v>0</v>
      </c>
      <c r="L262" s="97">
        <f ca="1">IFERROR(__xludf.DUMMYFUNCTION("""COMPUTED_VALUE"""),0)</f>
        <v>0</v>
      </c>
      <c r="M262" s="97">
        <f ca="1">IFERROR(__xludf.DUMMYFUNCTION("""COMPUTED_VALUE"""),0)</f>
        <v>0</v>
      </c>
      <c r="N262" s="97">
        <f ca="1">IFERROR(__xludf.DUMMYFUNCTION("""COMPUTED_VALUE"""),0)</f>
        <v>0</v>
      </c>
      <c r="O262" s="97">
        <f ca="1">IFERROR(__xludf.DUMMYFUNCTION("""COMPUTED_VALUE"""),0)</f>
        <v>0</v>
      </c>
      <c r="P262" s="97">
        <f t="shared" ca="1" si="2"/>
        <v>0</v>
      </c>
      <c r="Q262" s="67"/>
      <c r="R262" s="67"/>
      <c r="S262" s="97">
        <f ca="1">IFERROR(__xludf.DUMMYFUNCTION("""COMPUTED_VALUE"""),0)</f>
        <v>0</v>
      </c>
      <c r="T262" s="97">
        <f ca="1">IFERROR(__xludf.DUMMYFUNCTION("""COMPUTED_VALUE"""),0)</f>
        <v>0</v>
      </c>
      <c r="U262" s="97">
        <f ca="1">IFERROR(__xludf.DUMMYFUNCTION("""COMPUTED_VALUE"""),0)</f>
        <v>0</v>
      </c>
      <c r="V262" s="97">
        <f ca="1">IFERROR(__xludf.DUMMYFUNCTION("""COMPUTED_VALUE"""),0)</f>
        <v>0</v>
      </c>
      <c r="W262" s="97">
        <f ca="1">IFERROR(__xludf.DUMMYFUNCTION("""COMPUTED_VALUE"""),0)</f>
        <v>0</v>
      </c>
      <c r="X262" s="97">
        <f ca="1">IFERROR(__xludf.DUMMYFUNCTION("""COMPUTED_VALUE"""),0)</f>
        <v>0</v>
      </c>
      <c r="Y262" s="97">
        <f t="shared" ca="1" si="3"/>
        <v>0</v>
      </c>
      <c r="Z262" s="67">
        <f t="shared" si="4"/>
        <v>0</v>
      </c>
      <c r="AA262" s="67"/>
      <c r="AB262" s="67"/>
      <c r="AC262" s="67"/>
      <c r="AD262" s="99" t="e">
        <f t="shared" ca="1" si="5"/>
        <v>#DIV/0!</v>
      </c>
      <c r="AE262" s="67"/>
      <c r="AF262" s="67"/>
      <c r="AG262" s="67"/>
      <c r="AH262" s="67"/>
      <c r="AI262" s="67"/>
      <c r="AJ262" s="67"/>
      <c r="AK262" s="67"/>
      <c r="AL262" s="67"/>
      <c r="AM262" s="67"/>
      <c r="AN262" s="67"/>
      <c r="AO262" s="67"/>
      <c r="AP262" s="67"/>
      <c r="AQ262" s="67"/>
      <c r="AR262" s="67"/>
      <c r="AS262" s="67"/>
      <c r="AT262" s="67"/>
    </row>
    <row r="263" spans="1:46" ht="84" hidden="1" x14ac:dyDescent="0.2">
      <c r="A263" s="67"/>
      <c r="B263" s="100"/>
      <c r="C26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3" s="20" t="str">
        <f ca="1">IFERROR(__xludf.DUMMYFUNCTION("""COMPUTED_VALUE"""),"МинЖКХ")</f>
        <v>МинЖКХ</v>
      </c>
      <c r="E263" s="20" t="str">
        <f ca="1">IFERROR(__xludf.DUMMYFUNCTION("""COMPUTED_VALUE"""),"Капитальный ремонт КНС в с. Непецино ул. Тимохина, Коломенский г.о. (в том числе ПИР) ")</f>
        <v xml:space="preserve">Капитальный ремонт КНС в с. Непецино ул. Тимохина, Коломенский г.о. (в том числе ПИР) </v>
      </c>
      <c r="F263" s="67" t="str">
        <f ca="1">IFERROR(__xludf.DUMMYFUNCTION("""COMPUTED_VALUE"""),"СМР")</f>
        <v>СМР</v>
      </c>
      <c r="G263" s="67" t="str">
        <f ca="1">IFERROR(__xludf.DUMMYFUNCTION("""COMPUTED_VALUE"""),"г.о. Коломенский")</f>
        <v>г.о. Коломенский</v>
      </c>
      <c r="H263" s="67">
        <f ca="1">IFERROR(__xludf.DUMMYFUNCTION("""COMPUTED_VALUE"""),2022)</f>
        <v>2022</v>
      </c>
      <c r="I263" s="67" t="str">
        <f ca="1">IFERROR(__xludf.DUMMYFUNCTION("""COMPUTED_VALUE"""),"10 2 02 60310")</f>
        <v>10 2 02 60310</v>
      </c>
      <c r="J263" s="67">
        <f ca="1">IFERROR(__xludf.DUMMYFUNCTION("""COMPUTED_VALUE"""),521)</f>
        <v>521</v>
      </c>
      <c r="K263" s="97">
        <f t="shared" ca="1" si="1"/>
        <v>0</v>
      </c>
      <c r="L263" s="97">
        <f ca="1">IFERROR(__xludf.DUMMYFUNCTION("""COMPUTED_VALUE"""),0)</f>
        <v>0</v>
      </c>
      <c r="M263" s="97">
        <f ca="1">IFERROR(__xludf.DUMMYFUNCTION("""COMPUTED_VALUE"""),0)</f>
        <v>0</v>
      </c>
      <c r="N263" s="97">
        <f ca="1">IFERROR(__xludf.DUMMYFUNCTION("""COMPUTED_VALUE"""),0)</f>
        <v>0</v>
      </c>
      <c r="O263" s="97">
        <f ca="1">IFERROR(__xludf.DUMMYFUNCTION("""COMPUTED_VALUE"""),0)</f>
        <v>0</v>
      </c>
      <c r="P263" s="97">
        <f t="shared" ca="1" si="2"/>
        <v>0</v>
      </c>
      <c r="Q263" s="67"/>
      <c r="R263" s="67"/>
      <c r="S263" s="97">
        <f ca="1">IFERROR(__xludf.DUMMYFUNCTION("""COMPUTED_VALUE"""),0)</f>
        <v>0</v>
      </c>
      <c r="T263" s="97">
        <f ca="1">IFERROR(__xludf.DUMMYFUNCTION("""COMPUTED_VALUE"""),0)</f>
        <v>0</v>
      </c>
      <c r="U263" s="97">
        <f ca="1">IFERROR(__xludf.DUMMYFUNCTION("""COMPUTED_VALUE"""),0)</f>
        <v>0</v>
      </c>
      <c r="V263" s="97">
        <f ca="1">IFERROR(__xludf.DUMMYFUNCTION("""COMPUTED_VALUE"""),0)</f>
        <v>0</v>
      </c>
      <c r="W263" s="97">
        <f ca="1">IFERROR(__xludf.DUMMYFUNCTION("""COMPUTED_VALUE"""),0)</f>
        <v>0</v>
      </c>
      <c r="X263" s="97">
        <f ca="1">IFERROR(__xludf.DUMMYFUNCTION("""COMPUTED_VALUE"""),0)</f>
        <v>0</v>
      </c>
      <c r="Y263" s="97">
        <f t="shared" ca="1" si="3"/>
        <v>0</v>
      </c>
      <c r="Z263" s="67">
        <f t="shared" si="4"/>
        <v>0</v>
      </c>
      <c r="AA263" s="67"/>
      <c r="AB263" s="67"/>
      <c r="AC263" s="67"/>
      <c r="AD263" s="99" t="e">
        <f t="shared" ca="1" si="5"/>
        <v>#DIV/0!</v>
      </c>
      <c r="AE263" s="67"/>
      <c r="AF263" s="67"/>
      <c r="AG263" s="67"/>
      <c r="AH263" s="67"/>
      <c r="AI263" s="67"/>
      <c r="AJ263" s="67"/>
      <c r="AK263" s="67"/>
      <c r="AL263" s="67"/>
      <c r="AM263" s="67"/>
      <c r="AN263" s="67"/>
      <c r="AO263" s="67"/>
      <c r="AP263" s="67"/>
      <c r="AQ263" s="67"/>
      <c r="AR263" s="67"/>
      <c r="AS263" s="67"/>
      <c r="AT263" s="67"/>
    </row>
    <row r="264" spans="1:46" ht="84" x14ac:dyDescent="0.2">
      <c r="A264" s="20"/>
      <c r="B264" s="93"/>
      <c r="C26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4" s="20" t="str">
        <f ca="1">IFERROR(__xludf.DUMMYFUNCTION("""COMPUTED_VALUE"""),"МинЖКХ")</f>
        <v>МинЖКХ</v>
      </c>
      <c r="E264" s="20" t="str">
        <f ca="1">IFERROR(__xludf.DUMMYFUNCTION("""COMPUTED_VALUE"""),"Капитальный ремонт самотечного каналиационного коллектора Д=500мм в п. Оболенск, Серпуховский м.р.")</f>
        <v>Капитальный ремонт самотечного каналиационного коллектора Д=500мм в п. Оболенск, Серпуховский м.р.</v>
      </c>
      <c r="F264" s="20" t="str">
        <f ca="1">IFERROR(__xludf.DUMMYFUNCTION("""COMPUTED_VALUE"""),"СМР")</f>
        <v>СМР</v>
      </c>
      <c r="G264" s="20" t="str">
        <f ca="1">IFERROR(__xludf.DUMMYFUNCTION("""COMPUTED_VALUE"""),"г.о. Серпухов")</f>
        <v>г.о. Серпухов</v>
      </c>
      <c r="H264" s="20">
        <f ca="1">IFERROR(__xludf.DUMMYFUNCTION("""COMPUTED_VALUE"""),2020)</f>
        <v>2020</v>
      </c>
      <c r="I264" s="20" t="str">
        <f ca="1">IFERROR(__xludf.DUMMYFUNCTION("""COMPUTED_VALUE"""),"10 2 02 60310")</f>
        <v>10 2 02 60310</v>
      </c>
      <c r="J264" s="20">
        <f ca="1">IFERROR(__xludf.DUMMYFUNCTION("""COMPUTED_VALUE"""),521)</f>
        <v>521</v>
      </c>
      <c r="K264" s="24">
        <f t="shared" ca="1" si="1"/>
        <v>1773.49</v>
      </c>
      <c r="L264" s="24">
        <f ca="1">IFERROR(__xludf.DUMMYFUNCTION("""COMPUTED_VALUE"""),1472)</f>
        <v>1472</v>
      </c>
      <c r="M264" s="24">
        <f ca="1">IFERROR(__xludf.DUMMYFUNCTION("""COMPUTED_VALUE"""),0)</f>
        <v>0</v>
      </c>
      <c r="N264" s="24">
        <f ca="1">IFERROR(__xludf.DUMMYFUNCTION("""COMPUTED_VALUE"""),0)</f>
        <v>0</v>
      </c>
      <c r="O264" s="24">
        <f ca="1">IFERROR(__xludf.DUMMYFUNCTION("""COMPUTED_VALUE"""),301.49)</f>
        <v>301.49</v>
      </c>
      <c r="P264" s="24">
        <f t="shared" ca="1" si="2"/>
        <v>1472</v>
      </c>
      <c r="Q264" s="20">
        <f ca="1">IFERROR(__xludf.DUMMYFUNCTION("""COMPUTED_VALUE"""),100)</f>
        <v>100</v>
      </c>
      <c r="R264" s="20"/>
      <c r="S264" s="24">
        <f ca="1">IFERROR(__xludf.DUMMYFUNCTION("""COMPUTED_VALUE"""),1707.25)</f>
        <v>1707.25</v>
      </c>
      <c r="T264" s="24">
        <f ca="1">IFERROR(__xludf.DUMMYFUNCTION("""COMPUTED_VALUE"""),66.24)</f>
        <v>66.239999999999995</v>
      </c>
      <c r="U264" s="24">
        <f ca="1">IFERROR(__xludf.DUMMYFUNCTION("""COMPUTED_VALUE"""),66.24)</f>
        <v>66.239999999999995</v>
      </c>
      <c r="V264" s="24">
        <f ca="1">IFERROR(__xludf.DUMMYFUNCTION("""COMPUTED_VALUE"""),0)</f>
        <v>0</v>
      </c>
      <c r="W264" s="24">
        <f ca="1">IFERROR(__xludf.DUMMYFUNCTION("""COMPUTED_VALUE"""),0)</f>
        <v>0</v>
      </c>
      <c r="X264" s="24">
        <f ca="1">IFERROR(__xludf.DUMMYFUNCTION("""COMPUTED_VALUE"""),0)</f>
        <v>0</v>
      </c>
      <c r="Y264" s="24">
        <f t="shared" ca="1" si="3"/>
        <v>66.239999999999995</v>
      </c>
      <c r="Z264" s="20">
        <f t="shared" ca="1" si="4"/>
        <v>1405.76</v>
      </c>
      <c r="AA264" s="20"/>
      <c r="AB264" s="24">
        <f ca="1">IFERROR(__xludf.DUMMYFUNCTION("""COMPUTED_VALUE"""),1405.76)</f>
        <v>1405.76</v>
      </c>
      <c r="AC264" s="20"/>
      <c r="AD264" s="94">
        <f t="shared" ca="1" si="5"/>
        <v>0.95499999999999996</v>
      </c>
      <c r="AE264" s="20"/>
      <c r="AF264" s="20"/>
      <c r="AG264" s="20"/>
      <c r="AH264" s="20"/>
      <c r="AI264" s="20"/>
      <c r="AJ264" s="20"/>
      <c r="AK264" s="20"/>
      <c r="AL264" s="20"/>
      <c r="AM264" s="20"/>
      <c r="AN264" s="20"/>
      <c r="AO264" s="20"/>
      <c r="AP264" s="20"/>
      <c r="AQ264" s="20"/>
      <c r="AR264" s="20"/>
      <c r="AS264" s="20"/>
      <c r="AT264" s="20"/>
    </row>
    <row r="265" spans="1:46" ht="84" x14ac:dyDescent="0.2">
      <c r="A265" s="20"/>
      <c r="B265" s="93"/>
      <c r="C26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5" s="20" t="str">
        <f ca="1">IFERROR(__xludf.DUMMYFUNCTION("""COMPUTED_VALUE"""),"МинЖКХ")</f>
        <v>МинЖКХ</v>
      </c>
      <c r="E265" s="20" t="str">
        <f ca="1">IFERROR(__xludf.DUMMYFUNCTION("""COMPUTED_VALUE"""),"Капитальный ремонт коллектора 2Д=1200мм (две нитки), проходящего в железобетонном дюкере по дну реки Клязьма и в прилегающей береговой зоне,  Щелковский м.р. ")</f>
        <v xml:space="preserve">Капитальный ремонт коллектора 2Д=1200мм (две нитки), проходящего в железобетонном дюкере по дну реки Клязьма и в прилегающей береговой зоне,  Щелковский м.р. </v>
      </c>
      <c r="F265" s="20" t="str">
        <f ca="1">IFERROR(__xludf.DUMMYFUNCTION("""COMPUTED_VALUE"""),"СМР")</f>
        <v>СМР</v>
      </c>
      <c r="G265" s="20" t="str">
        <f ca="1">IFERROR(__xludf.DUMMYFUNCTION("""COMPUTED_VALUE"""),"г.о. Щелково")</f>
        <v>г.о. Щелково</v>
      </c>
      <c r="H265" s="20" t="str">
        <f ca="1">IFERROR(__xludf.DUMMYFUNCTION("""COMPUTED_VALUE"""),"2020-2021")</f>
        <v>2020-2021</v>
      </c>
      <c r="I265" s="20" t="str">
        <f ca="1">IFERROR(__xludf.DUMMYFUNCTION("""COMPUTED_VALUE"""),"10 2 02 60310")</f>
        <v>10 2 02 60310</v>
      </c>
      <c r="J265" s="20">
        <f ca="1">IFERROR(__xludf.DUMMYFUNCTION("""COMPUTED_VALUE"""),521)</f>
        <v>521</v>
      </c>
      <c r="K265" s="24">
        <f t="shared" ca="1" si="1"/>
        <v>175229.8</v>
      </c>
      <c r="L265" s="24">
        <f ca="1">IFERROR(__xludf.DUMMYFUNCTION("""COMPUTED_VALUE"""),85219)</f>
        <v>85219</v>
      </c>
      <c r="M265" s="24">
        <f ca="1">IFERROR(__xludf.DUMMYFUNCTION("""COMPUTED_VALUE"""),0)</f>
        <v>0</v>
      </c>
      <c r="N265" s="24">
        <f ca="1">IFERROR(__xludf.DUMMYFUNCTION("""COMPUTED_VALUE"""),81249)</f>
        <v>81249</v>
      </c>
      <c r="O265" s="24">
        <f ca="1">IFERROR(__xludf.DUMMYFUNCTION("""COMPUTED_VALUE"""),8761.8)</f>
        <v>8761.7999999999993</v>
      </c>
      <c r="P265" s="24">
        <f t="shared" ca="1" si="2"/>
        <v>166468</v>
      </c>
      <c r="Q265" s="20">
        <f ca="1">IFERROR(__xludf.DUMMYFUNCTION("""COMPUTED_VALUE"""),88)</f>
        <v>88</v>
      </c>
      <c r="R265" s="20"/>
      <c r="S265" s="24">
        <f ca="1">IFERROR(__xludf.DUMMYFUNCTION("""COMPUTED_VALUE"""),166273)</f>
        <v>166273</v>
      </c>
      <c r="T265" s="24">
        <f ca="1">IFERROR(__xludf.DUMMYFUNCTION("""COMPUTED_VALUE"""),8956.79999999998)</f>
        <v>8956.7999999999793</v>
      </c>
      <c r="U265" s="24">
        <f ca="1">IFERROR(__xludf.DUMMYFUNCTION("""COMPUTED_VALUE"""),-161.839999999996)</f>
        <v>-161.839999999996</v>
      </c>
      <c r="V265" s="24">
        <f ca="1">IFERROR(__xludf.DUMMYFUNCTION("""COMPUTED_VALUE"""),0)</f>
        <v>0</v>
      </c>
      <c r="W265" s="24">
        <f ca="1">IFERROR(__xludf.DUMMYFUNCTION("""COMPUTED_VALUE"""),356.839999999996)</f>
        <v>356.839999999996</v>
      </c>
      <c r="X265" s="24">
        <f ca="1">IFERROR(__xludf.DUMMYFUNCTION("""COMPUTED_VALUE"""),8761.8)</f>
        <v>8761.7999999999993</v>
      </c>
      <c r="Y265" s="24">
        <f t="shared" ca="1" si="3"/>
        <v>195</v>
      </c>
      <c r="Z265" s="20">
        <f t="shared" ca="1" si="4"/>
        <v>166273</v>
      </c>
      <c r="AA265" s="20"/>
      <c r="AB265" s="24">
        <f ca="1">IFERROR(__xludf.DUMMYFUNCTION("""COMPUTED_VALUE"""),85380.84)</f>
        <v>85380.84</v>
      </c>
      <c r="AC265" s="24">
        <f ca="1">IFERROR(__xludf.DUMMYFUNCTION("""COMPUTED_VALUE"""),80892.16)</f>
        <v>80892.160000000003</v>
      </c>
      <c r="AD265" s="94">
        <f t="shared" ca="1" si="5"/>
        <v>0.99882860369560511</v>
      </c>
      <c r="AE265" s="20"/>
      <c r="AF265" s="20"/>
      <c r="AG265" s="20"/>
      <c r="AH265" s="20"/>
      <c r="AI265" s="20"/>
      <c r="AJ265" s="20"/>
      <c r="AK265" s="20"/>
      <c r="AL265" s="20"/>
      <c r="AM265" s="20"/>
      <c r="AN265" s="20"/>
      <c r="AO265" s="20"/>
      <c r="AP265" s="20"/>
      <c r="AQ265" s="20"/>
      <c r="AR265" s="20"/>
      <c r="AS265" s="20"/>
      <c r="AT265" s="20"/>
    </row>
    <row r="266" spans="1:46" ht="96" x14ac:dyDescent="0.2">
      <c r="A266" s="20" t="str">
        <f ca="1">IFERROR(__xludf.DUMMYFUNCTION("""COMPUTED_VALUE"""),"Низкий темп выполнения работ. Задержки в поставке оборудования. Средства 2020 года в полном объёме освоены не будут. Поставка 4 насосов в фервале-марте 2021.Заказчиком подписаны КС на сумму 8,3 млн. руб. направление заявки на оплату в размере 6,9 млн. до "&amp;"26.11.2020. Риск не освония 30 млн. руб.")</f>
        <v>Низкий темп выполнения работ. Задержки в поставке оборудования. Средства 2020 года в полном объёме освоены не будут. Поставка 4 насосов в фервале-марте 2021.Заказчиком подписаны КС на сумму 8,3 млн. руб. направление заявки на оплату в размере 6,9 млн. до 26.11.2020. Риск не освония 30 млн. руб.</v>
      </c>
      <c r="B266" s="93"/>
      <c r="C26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6" s="20" t="str">
        <f ca="1">IFERROR(__xludf.DUMMYFUNCTION("""COMPUTED_VALUE"""),"МинЖКХ")</f>
        <v>МинЖКХ</v>
      </c>
      <c r="E266" s="20" t="str">
        <f ca="1">IFERROR(__xludf.DUMMYFUNCTION("""COMPUTED_VALUE"""),"Капитальный ремонт Фенинской районной канализационной насосной станции, г.о. Балашиха ")</f>
        <v xml:space="preserve">Капитальный ремонт Фенинской районной канализационной насосной станции, г.о. Балашиха </v>
      </c>
      <c r="F266" s="20" t="str">
        <f ca="1">IFERROR(__xludf.DUMMYFUNCTION("""COMPUTED_VALUE"""),"СМР")</f>
        <v>СМР</v>
      </c>
      <c r="G266" s="20" t="str">
        <f ca="1">IFERROR(__xludf.DUMMYFUNCTION("""COMPUTED_VALUE"""),"г.о. Балашиха")</f>
        <v>г.о. Балашиха</v>
      </c>
      <c r="H266" s="20">
        <f ca="1">IFERROR(__xludf.DUMMYFUNCTION("""COMPUTED_VALUE"""),2020)</f>
        <v>2020</v>
      </c>
      <c r="I266" s="20" t="str">
        <f ca="1">IFERROR(__xludf.DUMMYFUNCTION("""COMPUTED_VALUE"""),"10 2 02 60310")</f>
        <v>10 2 02 60310</v>
      </c>
      <c r="J266" s="20">
        <f ca="1">IFERROR(__xludf.DUMMYFUNCTION("""COMPUTED_VALUE"""),521)</f>
        <v>521</v>
      </c>
      <c r="K266" s="24">
        <f t="shared" ca="1" si="1"/>
        <v>106486.33</v>
      </c>
      <c r="L266" s="24">
        <f ca="1">IFERROR(__xludf.DUMMYFUNCTION("""COMPUTED_VALUE"""),76025)</f>
        <v>76025</v>
      </c>
      <c r="M266" s="24">
        <f ca="1">IFERROR(__xludf.DUMMYFUNCTION("""COMPUTED_VALUE"""),0)</f>
        <v>0</v>
      </c>
      <c r="N266" s="24">
        <f ca="1">IFERROR(__xludf.DUMMYFUNCTION("""COMPUTED_VALUE"""),0)</f>
        <v>0</v>
      </c>
      <c r="O266" s="24">
        <f ca="1">IFERROR(__xludf.DUMMYFUNCTION("""COMPUTED_VALUE"""),30461.33)</f>
        <v>30461.33</v>
      </c>
      <c r="P266" s="24">
        <f t="shared" ca="1" si="2"/>
        <v>76025</v>
      </c>
      <c r="Q266" s="20">
        <f ca="1">IFERROR(__xludf.DUMMYFUNCTION("""COMPUTED_VALUE"""),42)</f>
        <v>42</v>
      </c>
      <c r="R266" s="20"/>
      <c r="S266" s="24">
        <f ca="1">IFERROR(__xludf.DUMMYFUNCTION("""COMPUTED_VALUE"""),36409.39)</f>
        <v>36409.39</v>
      </c>
      <c r="T266" s="24">
        <f ca="1">IFERROR(__xludf.DUMMYFUNCTION("""COMPUTED_VALUE"""),70076.94)</f>
        <v>70076.94</v>
      </c>
      <c r="U266" s="24">
        <f ca="1">IFERROR(__xludf.DUMMYFUNCTION("""COMPUTED_VALUE"""),39615.61)</f>
        <v>39615.61</v>
      </c>
      <c r="V266" s="24">
        <f ca="1">IFERROR(__xludf.DUMMYFUNCTION("""COMPUTED_VALUE"""),0)</f>
        <v>0</v>
      </c>
      <c r="W266" s="24">
        <f ca="1">IFERROR(__xludf.DUMMYFUNCTION("""COMPUTED_VALUE"""),0)</f>
        <v>0</v>
      </c>
      <c r="X266" s="24">
        <f ca="1">IFERROR(__xludf.DUMMYFUNCTION("""COMPUTED_VALUE"""),30461.33)</f>
        <v>30461.33</v>
      </c>
      <c r="Y266" s="24">
        <f t="shared" ca="1" si="3"/>
        <v>39615.61</v>
      </c>
      <c r="Z266" s="20">
        <f t="shared" ca="1" si="4"/>
        <v>36409.39</v>
      </c>
      <c r="AA266" s="20"/>
      <c r="AB266" s="24">
        <f ca="1">IFERROR(__xludf.DUMMYFUNCTION("""COMPUTED_VALUE"""),36409.39)</f>
        <v>36409.39</v>
      </c>
      <c r="AC266" s="20"/>
      <c r="AD266" s="94">
        <f t="shared" ca="1" si="5"/>
        <v>0.47891338375534365</v>
      </c>
      <c r="AE266" s="20"/>
      <c r="AF266" s="20"/>
      <c r="AG266" s="20"/>
      <c r="AH266" s="20"/>
      <c r="AI266" s="20"/>
      <c r="AJ266" s="20"/>
      <c r="AK266" s="20"/>
      <c r="AL266" s="20"/>
      <c r="AM266" s="20"/>
      <c r="AN266" s="20"/>
      <c r="AO266" s="20"/>
      <c r="AP266" s="20"/>
      <c r="AQ266" s="20"/>
      <c r="AR266" s="20"/>
      <c r="AS266" s="20"/>
      <c r="AT266" s="20"/>
    </row>
    <row r="267" spans="1:46" ht="84" x14ac:dyDescent="0.2">
      <c r="A267" s="20"/>
      <c r="B267" s="95"/>
      <c r="C26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7" s="20" t="str">
        <f ca="1">IFERROR(__xludf.DUMMYFUNCTION("""COMPUTED_VALUE"""),"МинЖКХ")</f>
        <v>МинЖКХ</v>
      </c>
      <c r="E267" s="20" t="str">
        <f ca="1">IFERROR(__xludf.DUMMYFUNCTION("""COMPUTED_VALUE"""),"Капитальный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f>
        <v>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v>
      </c>
      <c r="F267" s="20" t="str">
        <f ca="1">IFERROR(__xludf.DUMMYFUNCTION("""COMPUTED_VALUE"""),"СМР")</f>
        <v>СМР</v>
      </c>
      <c r="G267" s="20" t="str">
        <f ca="1">IFERROR(__xludf.DUMMYFUNCTION("""COMPUTED_VALUE"""),"г.о. Щелково")</f>
        <v>г.о. Щелково</v>
      </c>
      <c r="H267" s="20">
        <f ca="1">IFERROR(__xludf.DUMMYFUNCTION("""COMPUTED_VALUE"""),2020)</f>
        <v>2020</v>
      </c>
      <c r="I267" s="20" t="str">
        <f ca="1">IFERROR(__xludf.DUMMYFUNCTION("""COMPUTED_VALUE"""),"10 2 02 60310")</f>
        <v>10 2 02 60310</v>
      </c>
      <c r="J267" s="20">
        <f ca="1">IFERROR(__xludf.DUMMYFUNCTION("""COMPUTED_VALUE"""),521)</f>
        <v>521</v>
      </c>
      <c r="K267" s="24">
        <f t="shared" ca="1" si="1"/>
        <v>89349.6</v>
      </c>
      <c r="L267" s="24">
        <f ca="1">IFERROR(__xludf.DUMMYFUNCTION("""COMPUTED_VALUE"""),80414)</f>
        <v>80414</v>
      </c>
      <c r="M267" s="24">
        <f ca="1">IFERROR(__xludf.DUMMYFUNCTION("""COMPUTED_VALUE"""),0)</f>
        <v>0</v>
      </c>
      <c r="N267" s="24">
        <f ca="1">IFERROR(__xludf.DUMMYFUNCTION("""COMPUTED_VALUE"""),0)</f>
        <v>0</v>
      </c>
      <c r="O267" s="24">
        <f ca="1">IFERROR(__xludf.DUMMYFUNCTION("""COMPUTED_VALUE"""),8935.6)</f>
        <v>8935.6</v>
      </c>
      <c r="P267" s="24">
        <f t="shared" ca="1" si="2"/>
        <v>80414</v>
      </c>
      <c r="Q267" s="20"/>
      <c r="R267" s="20"/>
      <c r="S267" s="24">
        <f ca="1">IFERROR(__xludf.DUMMYFUNCTION("""COMPUTED_VALUE"""),88574.64209)</f>
        <v>88574.642089999994</v>
      </c>
      <c r="T267" s="24">
        <f ca="1">IFERROR(__xludf.DUMMYFUNCTION("""COMPUTED_VALUE"""),774.957909999997)</f>
        <v>774.95790999999701</v>
      </c>
      <c r="U267" s="24">
        <f ca="1">IFERROR(__xludf.DUMMYFUNCTION("""COMPUTED_VALUE"""),661.729999999995)</f>
        <v>661.72999999999502</v>
      </c>
      <c r="V267" s="24">
        <f ca="1">IFERROR(__xludf.DUMMYFUNCTION("""COMPUTED_VALUE"""),0)</f>
        <v>0</v>
      </c>
      <c r="W267" s="24">
        <f ca="1">IFERROR(__xludf.DUMMYFUNCTION("""COMPUTED_VALUE"""),0)</f>
        <v>0</v>
      </c>
      <c r="X267" s="24">
        <f ca="1">IFERROR(__xludf.DUMMYFUNCTION("""COMPUTED_VALUE"""),113.227909999999)</f>
        <v>113.227909999999</v>
      </c>
      <c r="Y267" s="24">
        <f t="shared" ca="1" si="3"/>
        <v>661.72999999999502</v>
      </c>
      <c r="Z267" s="20">
        <f t="shared" ca="1" si="4"/>
        <v>79752.27</v>
      </c>
      <c r="AA267" s="20"/>
      <c r="AB267" s="24">
        <f ca="1">IFERROR(__xludf.DUMMYFUNCTION("""COMPUTED_VALUE"""),79752.27)</f>
        <v>79752.27</v>
      </c>
      <c r="AC267" s="20"/>
      <c r="AD267" s="94">
        <f t="shared" ca="1" si="5"/>
        <v>0.99177096028054823</v>
      </c>
      <c r="AE267" s="20"/>
      <c r="AF267" s="20"/>
      <c r="AG267" s="20"/>
      <c r="AH267" s="20"/>
      <c r="AI267" s="20"/>
      <c r="AJ267" s="20"/>
      <c r="AK267" s="20"/>
      <c r="AL267" s="20"/>
      <c r="AM267" s="20"/>
      <c r="AN267" s="20"/>
      <c r="AO267" s="20"/>
      <c r="AP267" s="20"/>
      <c r="AQ267" s="20"/>
      <c r="AR267" s="20"/>
      <c r="AS267" s="20"/>
      <c r="AT267" s="20"/>
    </row>
    <row r="268" spans="1:46" ht="84" hidden="1" x14ac:dyDescent="0.2">
      <c r="A268" s="67"/>
      <c r="B268" s="100"/>
      <c r="C26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8" s="20" t="str">
        <f ca="1">IFERROR(__xludf.DUMMYFUNCTION("""COMPUTED_VALUE"""),"МинЖКХ")</f>
        <v>МинЖКХ</v>
      </c>
      <c r="E268" s="20" t="str">
        <f ca="1">IFERROR(__xludf.DUMMYFUNCTION("""COMPUTED_VALUE"""),"Капитальный ремонт напорного канализационного коллектора от КНС д. Новое до ОАО ""Куровские очистные сооружения"" (в т.ч. ПИР), Орехово-Зуевский г.о.")</f>
        <v>Капитальный ремонт напорного канализационного коллектора от КНС д. Новое до ОАО "Куровские очистные сооружения" (в т.ч. ПИР), Орехово-Зуевский г.о.</v>
      </c>
      <c r="F268" s="67" t="str">
        <f ca="1">IFERROR(__xludf.DUMMYFUNCTION("""COMPUTED_VALUE"""),"СМР")</f>
        <v>СМР</v>
      </c>
      <c r="G268" s="67" t="str">
        <f ca="1">IFERROR(__xludf.DUMMYFUNCTION("""COMPUTED_VALUE"""),"г.о. Ликино-Дулево")</f>
        <v>г.о. Ликино-Дулево</v>
      </c>
      <c r="H268" s="67" t="str">
        <f ca="1">IFERROR(__xludf.DUMMYFUNCTION("""COMPUTED_VALUE"""),"2021-2022")</f>
        <v>2021-2022</v>
      </c>
      <c r="I268" s="67" t="str">
        <f ca="1">IFERROR(__xludf.DUMMYFUNCTION("""COMPUTED_VALUE"""),"10 2 02 60310")</f>
        <v>10 2 02 60310</v>
      </c>
      <c r="J268" s="67">
        <f ca="1">IFERROR(__xludf.DUMMYFUNCTION("""COMPUTED_VALUE"""),521)</f>
        <v>521</v>
      </c>
      <c r="K268" s="97">
        <f t="shared" ca="1" si="1"/>
        <v>0</v>
      </c>
      <c r="L268" s="97">
        <f ca="1">IFERROR(__xludf.DUMMYFUNCTION("""COMPUTED_VALUE"""),0)</f>
        <v>0</v>
      </c>
      <c r="M268" s="97">
        <f ca="1">IFERROR(__xludf.DUMMYFUNCTION("""COMPUTED_VALUE"""),0)</f>
        <v>0</v>
      </c>
      <c r="N268" s="97">
        <f ca="1">IFERROR(__xludf.DUMMYFUNCTION("""COMPUTED_VALUE"""),0)</f>
        <v>0</v>
      </c>
      <c r="O268" s="97">
        <f ca="1">IFERROR(__xludf.DUMMYFUNCTION("""COMPUTED_VALUE"""),0)</f>
        <v>0</v>
      </c>
      <c r="P268" s="97">
        <f t="shared" ca="1" si="2"/>
        <v>0</v>
      </c>
      <c r="Q268" s="67"/>
      <c r="R268" s="67"/>
      <c r="S268" s="97">
        <f ca="1">IFERROR(__xludf.DUMMYFUNCTION("""COMPUTED_VALUE"""),0)</f>
        <v>0</v>
      </c>
      <c r="T268" s="97">
        <f ca="1">IFERROR(__xludf.DUMMYFUNCTION("""COMPUTED_VALUE"""),0)</f>
        <v>0</v>
      </c>
      <c r="U268" s="97">
        <f ca="1">IFERROR(__xludf.DUMMYFUNCTION("""COMPUTED_VALUE"""),0)</f>
        <v>0</v>
      </c>
      <c r="V268" s="97">
        <f ca="1">IFERROR(__xludf.DUMMYFUNCTION("""COMPUTED_VALUE"""),0)</f>
        <v>0</v>
      </c>
      <c r="W268" s="97">
        <f ca="1">IFERROR(__xludf.DUMMYFUNCTION("""COMPUTED_VALUE"""),0)</f>
        <v>0</v>
      </c>
      <c r="X268" s="97">
        <f ca="1">IFERROR(__xludf.DUMMYFUNCTION("""COMPUTED_VALUE"""),0)</f>
        <v>0</v>
      </c>
      <c r="Y268" s="97">
        <f t="shared" ca="1" si="3"/>
        <v>0</v>
      </c>
      <c r="Z268" s="67">
        <f t="shared" ca="1" si="4"/>
        <v>0</v>
      </c>
      <c r="AA268" s="67"/>
      <c r="AB268" s="97">
        <f ca="1">IFERROR(__xludf.DUMMYFUNCTION("""COMPUTED_VALUE"""),0)</f>
        <v>0</v>
      </c>
      <c r="AC268" s="67"/>
      <c r="AD268" s="99" t="e">
        <f t="shared" ca="1" si="5"/>
        <v>#DIV/0!</v>
      </c>
      <c r="AE268" s="67"/>
      <c r="AF268" s="67"/>
      <c r="AG268" s="67"/>
      <c r="AH268" s="67"/>
      <c r="AI268" s="67"/>
      <c r="AJ268" s="67"/>
      <c r="AK268" s="67"/>
      <c r="AL268" s="67"/>
      <c r="AM268" s="67"/>
      <c r="AN268" s="67"/>
      <c r="AO268" s="67"/>
      <c r="AP268" s="67"/>
      <c r="AQ268" s="67"/>
      <c r="AR268" s="67"/>
      <c r="AS268" s="67"/>
      <c r="AT268" s="67"/>
    </row>
    <row r="269" spans="1:46" ht="144" x14ac:dyDescent="0.2">
      <c r="A269" s="20"/>
      <c r="B269" s="93"/>
      <c r="C26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9" s="20" t="str">
        <f ca="1">IFERROR(__xludf.DUMMYFUNCTION("""COMPUTED_VALUE"""),"МинЖКХ")</f>
        <v>МинЖКХ</v>
      </c>
      <c r="E269" s="20" t="str">
        <f ca="1">IFERROR(__xludf.DUMMYFUNCTION("""COMPUTED_VALUE"""),"Капитальный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н"&amp;"их средства бюджета Московской области – 5 500,02 тыс.руб., средства бюджета муниципального образования -2 203,09 тыс.руб.)")</f>
        <v>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них средства бюджета Московской области – 5 500,02 тыс.руб., средства бюджета муниципального образования -2 203,09 тыс.руб.)</v>
      </c>
      <c r="F269" s="20" t="str">
        <f ca="1">IFERROR(__xludf.DUMMYFUNCTION("""COMPUTED_VALUE"""),"СМР")</f>
        <v>СМР</v>
      </c>
      <c r="G269" s="20" t="str">
        <f ca="1">IFERROR(__xludf.DUMMYFUNCTION("""COMPUTED_VALUE"""),"г.о. Балашиха")</f>
        <v>г.о. Балашиха</v>
      </c>
      <c r="H269" s="20">
        <f ca="1">IFERROR(__xludf.DUMMYFUNCTION("""COMPUTED_VALUE"""),2020)</f>
        <v>2020</v>
      </c>
      <c r="I269" s="20" t="str">
        <f ca="1">IFERROR(__xludf.DUMMYFUNCTION("""COMPUTED_VALUE"""),"10 2 02 60310")</f>
        <v>10 2 02 60310</v>
      </c>
      <c r="J269" s="20">
        <f ca="1">IFERROR(__xludf.DUMMYFUNCTION("""COMPUTED_VALUE"""),521)</f>
        <v>521</v>
      </c>
      <c r="K269" s="24">
        <f t="shared" ca="1" si="1"/>
        <v>48409.47</v>
      </c>
      <c r="L269" s="24">
        <f ca="1">IFERROR(__xludf.DUMMYFUNCTION("""COMPUTED_VALUE"""),34613)</f>
        <v>34613</v>
      </c>
      <c r="M269" s="24">
        <f ca="1">IFERROR(__xludf.DUMMYFUNCTION("""COMPUTED_VALUE"""),0)</f>
        <v>0</v>
      </c>
      <c r="N269" s="24">
        <f ca="1">IFERROR(__xludf.DUMMYFUNCTION("""COMPUTED_VALUE"""),0)</f>
        <v>0</v>
      </c>
      <c r="O269" s="24">
        <f ca="1">IFERROR(__xludf.DUMMYFUNCTION("""COMPUTED_VALUE"""),13796.47)</f>
        <v>13796.47</v>
      </c>
      <c r="P269" s="24">
        <f t="shared" ca="1" si="2"/>
        <v>34613</v>
      </c>
      <c r="Q269" s="20">
        <f ca="1">IFERROR(__xludf.DUMMYFUNCTION("""COMPUTED_VALUE"""),86)</f>
        <v>86</v>
      </c>
      <c r="R269" s="20"/>
      <c r="S269" s="24">
        <f ca="1">IFERROR(__xludf.DUMMYFUNCTION("""COMPUTED_VALUE"""),34612.74)</f>
        <v>34612.74</v>
      </c>
      <c r="T269" s="24">
        <f ca="1">IFERROR(__xludf.DUMMYFUNCTION("""COMPUTED_VALUE"""),13796.7299999999)</f>
        <v>13796.7299999999</v>
      </c>
      <c r="U269" s="24">
        <f ca="1">IFERROR(__xludf.DUMMYFUNCTION("""COMPUTED_VALUE"""),0.259999999994761)</f>
        <v>0.25999999999476098</v>
      </c>
      <c r="V269" s="24">
        <f ca="1">IFERROR(__xludf.DUMMYFUNCTION("""COMPUTED_VALUE"""),0)</f>
        <v>0</v>
      </c>
      <c r="W269" s="24">
        <f ca="1">IFERROR(__xludf.DUMMYFUNCTION("""COMPUTED_VALUE"""),0)</f>
        <v>0</v>
      </c>
      <c r="X269" s="24">
        <f ca="1">IFERROR(__xludf.DUMMYFUNCTION("""COMPUTED_VALUE"""),13796.47)</f>
        <v>13796.47</v>
      </c>
      <c r="Y269" s="24">
        <f t="shared" ca="1" si="3"/>
        <v>0.25999999999476098</v>
      </c>
      <c r="Z269" s="20">
        <f t="shared" ca="1" si="4"/>
        <v>34612.74</v>
      </c>
      <c r="AA269" s="20"/>
      <c r="AB269" s="24">
        <f ca="1">IFERROR(__xludf.DUMMYFUNCTION("""COMPUTED_VALUE"""),34612.74)</f>
        <v>34612.74</v>
      </c>
      <c r="AC269" s="20"/>
      <c r="AD269" s="94">
        <f t="shared" ca="1" si="5"/>
        <v>0.99999248837142107</v>
      </c>
      <c r="AE269" s="20"/>
      <c r="AF269" s="20"/>
      <c r="AG269" s="20"/>
      <c r="AH269" s="20"/>
      <c r="AI269" s="20"/>
      <c r="AJ269" s="20"/>
      <c r="AK269" s="20"/>
      <c r="AL269" s="20"/>
      <c r="AM269" s="20"/>
      <c r="AN269" s="20"/>
      <c r="AO269" s="20"/>
      <c r="AP269" s="20"/>
      <c r="AQ269" s="20"/>
      <c r="AR269" s="20"/>
      <c r="AS269" s="20"/>
      <c r="AT269" s="20"/>
    </row>
    <row r="270" spans="1:46" ht="120" x14ac:dyDescent="0.2">
      <c r="A270" s="20"/>
      <c r="B270" s="93"/>
      <c r="C27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0" s="20" t="str">
        <f ca="1">IFERROR(__xludf.DUMMYFUNCTION("""COMPUTED_VALUE"""),"МинЖКХ")</f>
        <v>МинЖКХ</v>
      </c>
      <c r="E270" s="20" t="str">
        <f ca="1">IFERROR(__xludf.DUMMYFUNCTION("""COMPUTED_VALUE"""),"Капитальный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3"&amp;" 962,00 тыс.руб. средства бюджета Московской области)  ")</f>
        <v xml:space="preserv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3 962,00 тыс.руб. средства бюджета Московской области)  </v>
      </c>
      <c r="F270" s="20" t="str">
        <f ca="1">IFERROR(__xludf.DUMMYFUNCTION("""COMPUTED_VALUE"""),"СМР")</f>
        <v>СМР</v>
      </c>
      <c r="G270" s="20" t="str">
        <f ca="1">IFERROR(__xludf.DUMMYFUNCTION("""COMPUTED_VALUE"""),"г.о. Раменский")</f>
        <v>г.о. Раменский</v>
      </c>
      <c r="H270" s="20">
        <f ca="1">IFERROR(__xludf.DUMMYFUNCTION("""COMPUTED_VALUE"""),2020)</f>
        <v>2020</v>
      </c>
      <c r="I270" s="20" t="str">
        <f ca="1">IFERROR(__xludf.DUMMYFUNCTION("""COMPUTED_VALUE"""),"10 2 02 60310")</f>
        <v>10 2 02 60310</v>
      </c>
      <c r="J270" s="20">
        <f ca="1">IFERROR(__xludf.DUMMYFUNCTION("""COMPUTED_VALUE"""),521)</f>
        <v>521</v>
      </c>
      <c r="K270" s="24">
        <f t="shared" ca="1" si="1"/>
        <v>3962</v>
      </c>
      <c r="L270" s="24">
        <f ca="1">IFERROR(__xludf.DUMMYFUNCTION("""COMPUTED_VALUE"""),3962)</f>
        <v>3962</v>
      </c>
      <c r="M270" s="24">
        <f ca="1">IFERROR(__xludf.DUMMYFUNCTION("""COMPUTED_VALUE"""),0)</f>
        <v>0</v>
      </c>
      <c r="N270" s="24">
        <f ca="1">IFERROR(__xludf.DUMMYFUNCTION("""COMPUTED_VALUE"""),0)</f>
        <v>0</v>
      </c>
      <c r="O270" s="24">
        <f ca="1">IFERROR(__xludf.DUMMYFUNCTION("""COMPUTED_VALUE"""),0)</f>
        <v>0</v>
      </c>
      <c r="P270" s="24">
        <f t="shared" ca="1" si="2"/>
        <v>3962</v>
      </c>
      <c r="Q270" s="20">
        <f ca="1">IFERROR(__xludf.DUMMYFUNCTION("""COMPUTED_VALUE"""),100)</f>
        <v>100</v>
      </c>
      <c r="R270" s="20"/>
      <c r="S270" s="24">
        <f ca="1">IFERROR(__xludf.DUMMYFUNCTION("""COMPUTED_VALUE"""),3962)</f>
        <v>3962</v>
      </c>
      <c r="T270" s="24">
        <f ca="1">IFERROR(__xludf.DUMMYFUNCTION("""COMPUTED_VALUE"""),0)</f>
        <v>0</v>
      </c>
      <c r="U270" s="24">
        <f ca="1">IFERROR(__xludf.DUMMYFUNCTION("""COMPUTED_VALUE"""),0)</f>
        <v>0</v>
      </c>
      <c r="V270" s="24">
        <f ca="1">IFERROR(__xludf.DUMMYFUNCTION("""COMPUTED_VALUE"""),0)</f>
        <v>0</v>
      </c>
      <c r="W270" s="24">
        <f ca="1">IFERROR(__xludf.DUMMYFUNCTION("""COMPUTED_VALUE"""),0)</f>
        <v>0</v>
      </c>
      <c r="X270" s="24">
        <f ca="1">IFERROR(__xludf.DUMMYFUNCTION("""COMPUTED_VALUE"""),0)</f>
        <v>0</v>
      </c>
      <c r="Y270" s="24">
        <f t="shared" ca="1" si="3"/>
        <v>0</v>
      </c>
      <c r="Z270" s="20">
        <f t="shared" ca="1" si="4"/>
        <v>3962</v>
      </c>
      <c r="AA270" s="20"/>
      <c r="AB270" s="24">
        <f ca="1">IFERROR(__xludf.DUMMYFUNCTION("""COMPUTED_VALUE"""),3962)</f>
        <v>3962</v>
      </c>
      <c r="AC270" s="20"/>
      <c r="AD270" s="94">
        <f t="shared" ca="1" si="5"/>
        <v>1</v>
      </c>
      <c r="AE270" s="20"/>
      <c r="AF270" s="20"/>
      <c r="AG270" s="20"/>
      <c r="AH270" s="20"/>
      <c r="AI270" s="20"/>
      <c r="AJ270" s="20"/>
      <c r="AK270" s="20"/>
      <c r="AL270" s="20"/>
      <c r="AM270" s="20"/>
      <c r="AN270" s="20"/>
      <c r="AO270" s="20"/>
      <c r="AP270" s="20"/>
      <c r="AQ270" s="20"/>
      <c r="AR270" s="20"/>
      <c r="AS270" s="20"/>
      <c r="AT270" s="20"/>
    </row>
    <row r="271" spans="1:46" ht="96" x14ac:dyDescent="0.2">
      <c r="A271" s="20"/>
      <c r="B271" s="95"/>
      <c r="C27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1" s="20" t="str">
        <f ca="1">IFERROR(__xludf.DUMMYFUNCTION("""COMPUTED_VALUE"""),"МинЖКХ")</f>
        <v>МинЖКХ</v>
      </c>
      <c r="E271" s="20" t="str">
        <f ca="1">IFERROR(__xludf.DUMMYFUNCTION("""COMPUTED_VALUE"""),"Капитальный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f>
        <v>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v>
      </c>
      <c r="F271" s="20" t="str">
        <f ca="1">IFERROR(__xludf.DUMMYFUNCTION("""COMPUTED_VALUE"""),"СМР")</f>
        <v>СМР</v>
      </c>
      <c r="G271" s="20" t="str">
        <f ca="1">IFERROR(__xludf.DUMMYFUNCTION("""COMPUTED_VALUE"""),"г.о. Орехово-Зуево")</f>
        <v>г.о. Орехово-Зуево</v>
      </c>
      <c r="H271" s="20" t="str">
        <f ca="1">IFERROR(__xludf.DUMMYFUNCTION("""COMPUTED_VALUE"""),"2020-2021")</f>
        <v>2020-2021</v>
      </c>
      <c r="I271" s="20" t="str">
        <f ca="1">IFERROR(__xludf.DUMMYFUNCTION("""COMPUTED_VALUE"""),"10 2 02 60310")</f>
        <v>10 2 02 60310</v>
      </c>
      <c r="J271" s="20">
        <f ca="1">IFERROR(__xludf.DUMMYFUNCTION("""COMPUTED_VALUE"""),521)</f>
        <v>521</v>
      </c>
      <c r="K271" s="24">
        <f t="shared" ca="1" si="1"/>
        <v>129720.72</v>
      </c>
      <c r="L271" s="24">
        <f ca="1">IFERROR(__xludf.DUMMYFUNCTION("""COMPUTED_VALUE"""),0)</f>
        <v>0</v>
      </c>
      <c r="M271" s="24">
        <f ca="1">IFERROR(__xludf.DUMMYFUNCTION("""COMPUTED_VALUE"""),0)</f>
        <v>0</v>
      </c>
      <c r="N271" s="24">
        <f ca="1">IFERROR(__xludf.DUMMYFUNCTION("""COMPUTED_VALUE"""),123235)</f>
        <v>123235</v>
      </c>
      <c r="O271" s="24">
        <f ca="1">IFERROR(__xludf.DUMMYFUNCTION("""COMPUTED_VALUE"""),6485.72)</f>
        <v>6485.72</v>
      </c>
      <c r="P271" s="24">
        <f t="shared" ca="1" si="2"/>
        <v>123235</v>
      </c>
      <c r="Q271" s="20">
        <f ca="1">IFERROR(__xludf.DUMMYFUNCTION("""COMPUTED_VALUE"""),30)</f>
        <v>30</v>
      </c>
      <c r="R271" s="20"/>
      <c r="S271" s="24">
        <f ca="1">IFERROR(__xludf.DUMMYFUNCTION("""COMPUTED_VALUE"""),119537.64)</f>
        <v>119537.64</v>
      </c>
      <c r="T271" s="24">
        <f ca="1">IFERROR(__xludf.DUMMYFUNCTION("""COMPUTED_VALUE"""),10183.08)</f>
        <v>10183.08</v>
      </c>
      <c r="U271" s="24">
        <f ca="1">IFERROR(__xludf.DUMMYFUNCTION("""COMPUTED_VALUE"""),0)</f>
        <v>0</v>
      </c>
      <c r="V271" s="24">
        <f ca="1">IFERROR(__xludf.DUMMYFUNCTION("""COMPUTED_VALUE"""),0)</f>
        <v>0</v>
      </c>
      <c r="W271" s="24">
        <f ca="1">IFERROR(__xludf.DUMMYFUNCTION("""COMPUTED_VALUE"""),3697.36)</f>
        <v>3697.36</v>
      </c>
      <c r="X271" s="24">
        <f ca="1">IFERROR(__xludf.DUMMYFUNCTION("""COMPUTED_VALUE"""),6485.72)</f>
        <v>6485.72</v>
      </c>
      <c r="Y271" s="24">
        <f t="shared" ca="1" si="3"/>
        <v>3697.36</v>
      </c>
      <c r="Z271" s="20">
        <f t="shared" ca="1" si="4"/>
        <v>119537.64</v>
      </c>
      <c r="AA271" s="20"/>
      <c r="AB271" s="20"/>
      <c r="AC271" s="24">
        <f ca="1">IFERROR(__xludf.DUMMYFUNCTION("""COMPUTED_VALUE"""),119537.64)</f>
        <v>119537.64</v>
      </c>
      <c r="AD271" s="94">
        <f t="shared" ca="1" si="5"/>
        <v>0.96999748448086986</v>
      </c>
      <c r="AE271" s="20"/>
      <c r="AF271" s="20"/>
      <c r="AG271" s="20"/>
      <c r="AH271" s="20"/>
      <c r="AI271" s="20"/>
      <c r="AJ271" s="20"/>
      <c r="AK271" s="20"/>
      <c r="AL271" s="20"/>
      <c r="AM271" s="20"/>
      <c r="AN271" s="20"/>
      <c r="AO271" s="20"/>
      <c r="AP271" s="20"/>
      <c r="AQ271" s="20"/>
      <c r="AR271" s="20"/>
      <c r="AS271" s="20"/>
      <c r="AT271" s="20"/>
    </row>
    <row r="272" spans="1:46" ht="84" hidden="1" x14ac:dyDescent="0.2">
      <c r="A272" s="67"/>
      <c r="B272" s="100"/>
      <c r="C27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2" s="20" t="str">
        <f ca="1">IFERROR(__xludf.DUMMYFUNCTION("""COMPUTED_VALUE"""),"МинЖКХ")</f>
        <v>МинЖКХ</v>
      </c>
      <c r="E272" s="20" t="str">
        <f ca="1">IFERROR(__xludf.DUMMYFUNCTION("""COMPUTED_VALUE"""),"Капитальный ремонт самотечного  канализационного коллектора в районе д. Малиновые луга, Орехово-Зувский городской округ (в том числе ПИР)")</f>
        <v>Капитальный ремонт самотечного  канализационного коллектора в районе д. Малиновые луга, Орехово-Зувский городской округ (в том числе ПИР)</v>
      </c>
      <c r="F272" s="67" t="str">
        <f ca="1">IFERROR(__xludf.DUMMYFUNCTION("""COMPUTED_VALUE"""),"СМР")</f>
        <v>СМР</v>
      </c>
      <c r="G272" s="67" t="str">
        <f ca="1">IFERROR(__xludf.DUMMYFUNCTION("""COMPUTED_VALUE"""),"г.о. Ликино-Дулево")</f>
        <v>г.о. Ликино-Дулево</v>
      </c>
      <c r="H272" s="67" t="str">
        <f ca="1">IFERROR(__xludf.DUMMYFUNCTION("""COMPUTED_VALUE"""),"2021-2022")</f>
        <v>2021-2022</v>
      </c>
      <c r="I272" s="67" t="str">
        <f ca="1">IFERROR(__xludf.DUMMYFUNCTION("""COMPUTED_VALUE"""),"10 2 02 60310")</f>
        <v>10 2 02 60310</v>
      </c>
      <c r="J272" s="67">
        <f ca="1">IFERROR(__xludf.DUMMYFUNCTION("""COMPUTED_VALUE"""),521)</f>
        <v>521</v>
      </c>
      <c r="K272" s="97">
        <f t="shared" ca="1" si="1"/>
        <v>0</v>
      </c>
      <c r="L272" s="97">
        <f ca="1">IFERROR(__xludf.DUMMYFUNCTION("""COMPUTED_VALUE"""),0)</f>
        <v>0</v>
      </c>
      <c r="M272" s="97">
        <f ca="1">IFERROR(__xludf.DUMMYFUNCTION("""COMPUTED_VALUE"""),0)</f>
        <v>0</v>
      </c>
      <c r="N272" s="97">
        <f ca="1">IFERROR(__xludf.DUMMYFUNCTION("""COMPUTED_VALUE"""),0)</f>
        <v>0</v>
      </c>
      <c r="O272" s="97">
        <f ca="1">IFERROR(__xludf.DUMMYFUNCTION("""COMPUTED_VALUE"""),0)</f>
        <v>0</v>
      </c>
      <c r="P272" s="97">
        <f t="shared" ca="1" si="2"/>
        <v>0</v>
      </c>
      <c r="Q272" s="67"/>
      <c r="R272" s="67"/>
      <c r="S272" s="97">
        <f ca="1">IFERROR(__xludf.DUMMYFUNCTION("""COMPUTED_VALUE"""),0)</f>
        <v>0</v>
      </c>
      <c r="T272" s="97">
        <f ca="1">IFERROR(__xludf.DUMMYFUNCTION("""COMPUTED_VALUE"""),0)</f>
        <v>0</v>
      </c>
      <c r="U272" s="97">
        <f ca="1">IFERROR(__xludf.DUMMYFUNCTION("""COMPUTED_VALUE"""),0)</f>
        <v>0</v>
      </c>
      <c r="V272" s="97">
        <f ca="1">IFERROR(__xludf.DUMMYFUNCTION("""COMPUTED_VALUE"""),0)</f>
        <v>0</v>
      </c>
      <c r="W272" s="97">
        <f ca="1">IFERROR(__xludf.DUMMYFUNCTION("""COMPUTED_VALUE"""),0)</f>
        <v>0</v>
      </c>
      <c r="X272" s="97">
        <f ca="1">IFERROR(__xludf.DUMMYFUNCTION("""COMPUTED_VALUE"""),0)</f>
        <v>0</v>
      </c>
      <c r="Y272" s="97">
        <f t="shared" ca="1" si="3"/>
        <v>0</v>
      </c>
      <c r="Z272" s="67">
        <f t="shared" si="4"/>
        <v>0</v>
      </c>
      <c r="AA272" s="67"/>
      <c r="AB272" s="67"/>
      <c r="AC272" s="67"/>
      <c r="AD272" s="99" t="e">
        <f t="shared" ca="1" si="5"/>
        <v>#DIV/0!</v>
      </c>
      <c r="AE272" s="67"/>
      <c r="AF272" s="67"/>
      <c r="AG272" s="67"/>
      <c r="AH272" s="67"/>
      <c r="AI272" s="67"/>
      <c r="AJ272" s="67"/>
      <c r="AK272" s="67"/>
      <c r="AL272" s="67"/>
      <c r="AM272" s="67"/>
      <c r="AN272" s="67"/>
      <c r="AO272" s="67"/>
      <c r="AP272" s="67"/>
      <c r="AQ272" s="67"/>
      <c r="AR272" s="67"/>
      <c r="AS272" s="67"/>
      <c r="AT272" s="67"/>
    </row>
    <row r="273" spans="1:46" ht="84" hidden="1" x14ac:dyDescent="0.2">
      <c r="A273" s="67" t="str">
        <f ca="1">IFERROR(__xludf.DUMMYFUNCTION("""COMPUTED_VALUE"""),"Блокировка МЭФ перенос средств на 2022")</f>
        <v>Блокировка МЭФ перенос средств на 2022</v>
      </c>
      <c r="B273" s="100"/>
      <c r="C27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3" s="20" t="str">
        <f ca="1">IFERROR(__xludf.DUMMYFUNCTION("""COMPUTED_VALUE"""),"МинЖКХ")</f>
        <v>МинЖКХ</v>
      </c>
      <c r="E273" s="20" t="str">
        <f ca="1">IFERROR(__xludf.DUMMYFUNCTION("""COMPUTED_VALUE"""),"Капитальный ремонт канализационного коллектора мкрн. Березки, д.Жуково, г.о. Солнечногорск")</f>
        <v>Капитальный ремонт канализационного коллектора мкрн. Березки, д.Жуково, г.о. Солнечногорск</v>
      </c>
      <c r="F273" s="67" t="str">
        <f ca="1">IFERROR(__xludf.DUMMYFUNCTION("""COMPUTED_VALUE"""),"СМР")</f>
        <v>СМР</v>
      </c>
      <c r="G273" s="67" t="str">
        <f ca="1">IFERROR(__xludf.DUMMYFUNCTION("""COMPUTED_VALUE"""),"г.о. Солнечногорск")</f>
        <v>г.о. Солнечногорск</v>
      </c>
      <c r="H273" s="67">
        <f ca="1">IFERROR(__xludf.DUMMYFUNCTION("""COMPUTED_VALUE"""),2020)</f>
        <v>2020</v>
      </c>
      <c r="I273" s="67" t="str">
        <f ca="1">IFERROR(__xludf.DUMMYFUNCTION("""COMPUTED_VALUE"""),"10 2 02 60310")</f>
        <v>10 2 02 60310</v>
      </c>
      <c r="J273" s="67">
        <f ca="1">IFERROR(__xludf.DUMMYFUNCTION("""COMPUTED_VALUE"""),521)</f>
        <v>521</v>
      </c>
      <c r="K273" s="97">
        <f t="shared" ca="1" si="1"/>
        <v>0</v>
      </c>
      <c r="L273" s="97">
        <f ca="1">IFERROR(__xludf.DUMMYFUNCTION("""COMPUTED_VALUE"""),0)</f>
        <v>0</v>
      </c>
      <c r="M273" s="97">
        <f ca="1">IFERROR(__xludf.DUMMYFUNCTION("""COMPUTED_VALUE"""),0)</f>
        <v>0</v>
      </c>
      <c r="N273" s="97">
        <f ca="1">IFERROR(__xludf.DUMMYFUNCTION("""COMPUTED_VALUE"""),0)</f>
        <v>0</v>
      </c>
      <c r="O273" s="97">
        <f ca="1">IFERROR(__xludf.DUMMYFUNCTION("""COMPUTED_VALUE"""),0)</f>
        <v>0</v>
      </c>
      <c r="P273" s="97">
        <f t="shared" ca="1" si="2"/>
        <v>0</v>
      </c>
      <c r="Q273" s="67"/>
      <c r="R273" s="67"/>
      <c r="S273" s="97">
        <f ca="1">IFERROR(__xludf.DUMMYFUNCTION("""COMPUTED_VALUE"""),0)</f>
        <v>0</v>
      </c>
      <c r="T273" s="97">
        <f ca="1">IFERROR(__xludf.DUMMYFUNCTION("""COMPUTED_VALUE"""),0)</f>
        <v>0</v>
      </c>
      <c r="U273" s="97">
        <f ca="1">IFERROR(__xludf.DUMMYFUNCTION("""COMPUTED_VALUE"""),0)</f>
        <v>0</v>
      </c>
      <c r="V273" s="97">
        <f ca="1">IFERROR(__xludf.DUMMYFUNCTION("""COMPUTED_VALUE"""),0)</f>
        <v>0</v>
      </c>
      <c r="W273" s="97">
        <f ca="1">IFERROR(__xludf.DUMMYFUNCTION("""COMPUTED_VALUE"""),0)</f>
        <v>0</v>
      </c>
      <c r="X273" s="97">
        <f ca="1">IFERROR(__xludf.DUMMYFUNCTION("""COMPUTED_VALUE"""),0)</f>
        <v>0</v>
      </c>
      <c r="Y273" s="97">
        <f t="shared" ca="1" si="3"/>
        <v>0</v>
      </c>
      <c r="Z273" s="67">
        <f t="shared" ca="1" si="4"/>
        <v>0</v>
      </c>
      <c r="AA273" s="67"/>
      <c r="AB273" s="97">
        <f ca="1">IFERROR(__xludf.DUMMYFUNCTION("""COMPUTED_VALUE"""),0)</f>
        <v>0</v>
      </c>
      <c r="AC273" s="67"/>
      <c r="AD273" s="99" t="e">
        <f t="shared" ca="1" si="5"/>
        <v>#DIV/0!</v>
      </c>
      <c r="AE273" s="67"/>
      <c r="AF273" s="67"/>
      <c r="AG273" s="67"/>
      <c r="AH273" s="67"/>
      <c r="AI273" s="67"/>
      <c r="AJ273" s="67"/>
      <c r="AK273" s="67"/>
      <c r="AL273" s="67"/>
      <c r="AM273" s="67"/>
      <c r="AN273" s="67"/>
      <c r="AO273" s="67"/>
      <c r="AP273" s="67"/>
      <c r="AQ273" s="67"/>
      <c r="AR273" s="67"/>
      <c r="AS273" s="67"/>
      <c r="AT273" s="67"/>
    </row>
    <row r="274" spans="1:46" ht="84" x14ac:dyDescent="0.2">
      <c r="A274" s="20"/>
      <c r="B274" s="95"/>
      <c r="C274" s="20" t="str">
        <f ca="1">IFERROR(__xludf.DUMMYFUNCTION("""COMPUTED_VALUE"""),"Мероприятие 3 - Предоставление субсидий государственным унитарным предприятиям Московской области на осуществление строительства (реконструкции) канализационных коллекторов  (участков)")</f>
        <v>Мероприятие 3 - Предоставление субсидий государственным унитарным предприятиям Московской области на осуществление строительства (реконструкции) канализационных коллекторов  (участков)</v>
      </c>
      <c r="D274" s="20" t="str">
        <f ca="1">IFERROR(__xludf.DUMMYFUNCTION("""COMPUTED_VALUE"""),"МинЖКХ")</f>
        <v>МинЖКХ</v>
      </c>
      <c r="E274" s="20" t="str">
        <f ca="1">IFERROR(__xludf.DUMMYFUNCTION("""COMPUTED_VALUE"""),"Реконструкция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f>
        <v xml:space="preserv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v>
      </c>
      <c r="F274" s="20" t="str">
        <f ca="1">IFERROR(__xludf.DUMMYFUNCTION("""COMPUTED_VALUE"""),"СМР")</f>
        <v>СМР</v>
      </c>
      <c r="G274" s="20" t="str">
        <f ca="1">IFERROR(__xludf.DUMMYFUNCTION("""COMPUTED_VALUE"""),"КСМО")</f>
        <v>КСМО</v>
      </c>
      <c r="H274" s="20" t="str">
        <f ca="1">IFERROR(__xludf.DUMMYFUNCTION("""COMPUTED_VALUE"""),"2020-2024")</f>
        <v>2020-2024</v>
      </c>
      <c r="I274" s="20" t="str">
        <f ca="1">IFERROR(__xludf.DUMMYFUNCTION("""COMPUTED_VALUE"""),"10 2 02 42260")</f>
        <v>10 2 02 42260</v>
      </c>
      <c r="J274" s="20">
        <f ca="1">IFERROR(__xludf.DUMMYFUNCTION("""COMPUTED_VALUE"""),466)</f>
        <v>466</v>
      </c>
      <c r="K274" s="24">
        <f t="shared" ca="1" si="1"/>
        <v>480</v>
      </c>
      <c r="L274" s="24">
        <f ca="1">IFERROR(__xludf.DUMMYFUNCTION("""COMPUTED_VALUE"""),480)</f>
        <v>480</v>
      </c>
      <c r="M274" s="24">
        <f ca="1">IFERROR(__xludf.DUMMYFUNCTION("""COMPUTED_VALUE"""),0)</f>
        <v>0</v>
      </c>
      <c r="N274" s="24">
        <f ca="1">IFERROR(__xludf.DUMMYFUNCTION("""COMPUTED_VALUE"""),0)</f>
        <v>0</v>
      </c>
      <c r="O274" s="24">
        <f ca="1">IFERROR(__xludf.DUMMYFUNCTION("""COMPUTED_VALUE"""),0)</f>
        <v>0</v>
      </c>
      <c r="P274" s="24">
        <f t="shared" ca="1" si="2"/>
        <v>480</v>
      </c>
      <c r="Q274" s="20"/>
      <c r="R274" s="20"/>
      <c r="S274" s="24">
        <f ca="1">IFERROR(__xludf.DUMMYFUNCTION("""COMPUTED_VALUE"""),480)</f>
        <v>480</v>
      </c>
      <c r="T274" s="24">
        <f ca="1">IFERROR(__xludf.DUMMYFUNCTION("""COMPUTED_VALUE"""),0)</f>
        <v>0</v>
      </c>
      <c r="U274" s="24">
        <f ca="1">IFERROR(__xludf.DUMMYFUNCTION("""COMPUTED_VALUE"""),0)</f>
        <v>0</v>
      </c>
      <c r="V274" s="24">
        <f ca="1">IFERROR(__xludf.DUMMYFUNCTION("""COMPUTED_VALUE"""),0)</f>
        <v>0</v>
      </c>
      <c r="W274" s="24">
        <f ca="1">IFERROR(__xludf.DUMMYFUNCTION("""COMPUTED_VALUE"""),0)</f>
        <v>0</v>
      </c>
      <c r="X274" s="24">
        <f ca="1">IFERROR(__xludf.DUMMYFUNCTION("""COMPUTED_VALUE"""),0)</f>
        <v>0</v>
      </c>
      <c r="Y274" s="24">
        <f t="shared" ca="1" si="3"/>
        <v>0</v>
      </c>
      <c r="Z274" s="20">
        <f t="shared" ca="1" si="4"/>
        <v>480</v>
      </c>
      <c r="AA274" s="20"/>
      <c r="AB274" s="24">
        <f ca="1">IFERROR(__xludf.DUMMYFUNCTION("""COMPUTED_VALUE"""),480)</f>
        <v>480</v>
      </c>
      <c r="AC274" s="20"/>
      <c r="AD274" s="94">
        <f t="shared" ca="1" si="5"/>
        <v>1</v>
      </c>
      <c r="AE274" s="20"/>
      <c r="AF274" s="20"/>
      <c r="AG274" s="20"/>
      <c r="AH274" s="20"/>
      <c r="AI274" s="20"/>
      <c r="AJ274" s="20"/>
      <c r="AK274" s="20"/>
      <c r="AL274" s="20"/>
      <c r="AM274" s="20"/>
      <c r="AN274" s="20"/>
      <c r="AO274" s="20"/>
      <c r="AP274" s="20"/>
      <c r="AQ274" s="20"/>
      <c r="AR274" s="20"/>
      <c r="AS274" s="20"/>
      <c r="AT274" s="20"/>
    </row>
    <row r="275" spans="1:46" ht="72" hidden="1" x14ac:dyDescent="0.2">
      <c r="A275" s="67"/>
      <c r="B275" s="96"/>
      <c r="C27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5" s="20" t="str">
        <f ca="1">IFERROR(__xludf.DUMMYFUNCTION("""COMPUTED_VALUE"""),"МинЖКХ")</f>
        <v>МинЖКХ</v>
      </c>
      <c r="E275" s="20" t="str">
        <f ca="1">IFERROR(__xludf.DUMMYFUNCTION("""COMPUTED_VALUE"""),"Строительство газовой котельной 20 Мвт в мкр. Ольгино г. Балашиха (в том числе ПИР) ")</f>
        <v xml:space="preserve">Строительство газовой котельной 20 Мвт в мкр. Ольгино г. Балашиха (в том числе ПИР) </v>
      </c>
      <c r="F275" s="67" t="str">
        <f ca="1">IFERROR(__xludf.DUMMYFUNCTION("""COMPUTED_VALUE"""),"СМР")</f>
        <v>СМР</v>
      </c>
      <c r="G275" s="67" t="str">
        <f ca="1">IFERROR(__xludf.DUMMYFUNCTION("""COMPUTED_VALUE"""),"г.о. Балашиха")</f>
        <v>г.о. Балашиха</v>
      </c>
      <c r="H275" s="67" t="str">
        <f ca="1">IFERROR(__xludf.DUMMYFUNCTION("""COMPUTED_VALUE"""),"2021-2022")</f>
        <v>2021-2022</v>
      </c>
      <c r="I275" s="67" t="str">
        <f ca="1">IFERROR(__xludf.DUMMYFUNCTION("""COMPUTED_VALUE"""),"10 3 02 64080")</f>
        <v>10 3 02 64080</v>
      </c>
      <c r="J275" s="67">
        <f ca="1">IFERROR(__xludf.DUMMYFUNCTION("""COMPUTED_VALUE"""),522)</f>
        <v>522</v>
      </c>
      <c r="K275" s="97">
        <f t="shared" ca="1" si="1"/>
        <v>0</v>
      </c>
      <c r="L275" s="97">
        <f ca="1">IFERROR(__xludf.DUMMYFUNCTION("""COMPUTED_VALUE"""),0)</f>
        <v>0</v>
      </c>
      <c r="M275" s="97">
        <f ca="1">IFERROR(__xludf.DUMMYFUNCTION("""COMPUTED_VALUE"""),0)</f>
        <v>0</v>
      </c>
      <c r="N275" s="97">
        <f ca="1">IFERROR(__xludf.DUMMYFUNCTION("""COMPUTED_VALUE"""),0)</f>
        <v>0</v>
      </c>
      <c r="O275" s="97">
        <f ca="1">IFERROR(__xludf.DUMMYFUNCTION("""COMPUTED_VALUE"""),0)</f>
        <v>0</v>
      </c>
      <c r="P275" s="97">
        <f t="shared" ca="1" si="2"/>
        <v>0</v>
      </c>
      <c r="Q275" s="67"/>
      <c r="R275" s="67"/>
      <c r="S275" s="97">
        <f ca="1">IFERROR(__xludf.DUMMYFUNCTION("""COMPUTED_VALUE"""),0)</f>
        <v>0</v>
      </c>
      <c r="T275" s="97">
        <f ca="1">IFERROR(__xludf.DUMMYFUNCTION("""COMPUTED_VALUE"""),0)</f>
        <v>0</v>
      </c>
      <c r="U275" s="97">
        <f ca="1">IFERROR(__xludf.DUMMYFUNCTION("""COMPUTED_VALUE"""),0)</f>
        <v>0</v>
      </c>
      <c r="V275" s="97">
        <f ca="1">IFERROR(__xludf.DUMMYFUNCTION("""COMPUTED_VALUE"""),0)</f>
        <v>0</v>
      </c>
      <c r="W275" s="97">
        <f ca="1">IFERROR(__xludf.DUMMYFUNCTION("""COMPUTED_VALUE"""),0)</f>
        <v>0</v>
      </c>
      <c r="X275" s="97">
        <f ca="1">IFERROR(__xludf.DUMMYFUNCTION("""COMPUTED_VALUE"""),0)</f>
        <v>0</v>
      </c>
      <c r="Y275" s="97">
        <f t="shared" ca="1" si="3"/>
        <v>0</v>
      </c>
      <c r="Z275" s="67">
        <f t="shared" si="4"/>
        <v>0</v>
      </c>
      <c r="AA275" s="67"/>
      <c r="AB275" s="67"/>
      <c r="AC275" s="67"/>
      <c r="AD275" s="99" t="e">
        <f t="shared" ca="1" si="5"/>
        <v>#DIV/0!</v>
      </c>
      <c r="AE275" s="67"/>
      <c r="AF275" s="67"/>
      <c r="AG275" s="67"/>
      <c r="AH275" s="67"/>
      <c r="AI275" s="67"/>
      <c r="AJ275" s="67"/>
      <c r="AK275" s="67"/>
      <c r="AL275" s="67"/>
      <c r="AM275" s="67"/>
      <c r="AN275" s="67"/>
      <c r="AO275" s="67"/>
      <c r="AP275" s="67"/>
      <c r="AQ275" s="67"/>
      <c r="AR275" s="67"/>
      <c r="AS275" s="67"/>
      <c r="AT275" s="67"/>
    </row>
    <row r="276" spans="1:46" ht="72" hidden="1" x14ac:dyDescent="0.2">
      <c r="A276" s="67"/>
      <c r="B276" s="96"/>
      <c r="C27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6" s="20" t="str">
        <f ca="1">IFERROR(__xludf.DUMMYFUNCTION("""COMPUTED_VALUE"""),"МинЖКХ")</f>
        <v>МинЖКХ</v>
      </c>
      <c r="E276" s="20" t="str">
        <f ca="1">IFERROR(__xludf.DUMMYFUNCTION("""COMPUTED_VALUE"""),"Строительство сетей водоснабжения по адресу: Московская обл., г. Дзержинский (ПИР)")</f>
        <v>Строительство сетей водоснабжения по адресу: Московская обл., г. Дзержинский (ПИР)</v>
      </c>
      <c r="F276" s="67" t="str">
        <f ca="1">IFERROR(__xludf.DUMMYFUNCTION("""COMPUTED_VALUE"""),"ПИР")</f>
        <v>ПИР</v>
      </c>
      <c r="G276" s="67" t="str">
        <f ca="1">IFERROR(__xludf.DUMMYFUNCTION("""COMPUTED_VALUE"""),"г.о. Дзержинский")</f>
        <v>г.о. Дзержинский</v>
      </c>
      <c r="H276" s="67">
        <f ca="1">IFERROR(__xludf.DUMMYFUNCTION("""COMPUTED_VALUE"""),2021)</f>
        <v>2021</v>
      </c>
      <c r="I276" s="67"/>
      <c r="J276" s="67"/>
      <c r="K276" s="97">
        <f t="shared" ca="1" si="1"/>
        <v>4000</v>
      </c>
      <c r="L276" s="97">
        <f ca="1">IFERROR(__xludf.DUMMYFUNCTION("""COMPUTED_VALUE"""),0)</f>
        <v>0</v>
      </c>
      <c r="M276" s="97">
        <f ca="1">IFERROR(__xludf.DUMMYFUNCTION("""COMPUTED_VALUE"""),0)</f>
        <v>0</v>
      </c>
      <c r="N276" s="97">
        <f ca="1">IFERROR(__xludf.DUMMYFUNCTION("""COMPUTED_VALUE"""),0)</f>
        <v>0</v>
      </c>
      <c r="O276" s="97">
        <f ca="1">IFERROR(__xludf.DUMMYFUNCTION("""COMPUTED_VALUE"""),4000)</f>
        <v>4000</v>
      </c>
      <c r="P276" s="97">
        <f t="shared" ca="1" si="2"/>
        <v>0</v>
      </c>
      <c r="Q276" s="67"/>
      <c r="R276" s="67"/>
      <c r="S276" s="97">
        <f ca="1">IFERROR(__xludf.DUMMYFUNCTION("""COMPUTED_VALUE"""),0)</f>
        <v>0</v>
      </c>
      <c r="T276" s="97">
        <f ca="1">IFERROR(__xludf.DUMMYFUNCTION("""COMPUTED_VALUE"""),4000)</f>
        <v>4000</v>
      </c>
      <c r="U276" s="97">
        <f ca="1">IFERROR(__xludf.DUMMYFUNCTION("""COMPUTED_VALUE"""),0)</f>
        <v>0</v>
      </c>
      <c r="V276" s="97">
        <f ca="1">IFERROR(__xludf.DUMMYFUNCTION("""COMPUTED_VALUE"""),0)</f>
        <v>0</v>
      </c>
      <c r="W276" s="97">
        <f ca="1">IFERROR(__xludf.DUMMYFUNCTION("""COMPUTED_VALUE"""),0)</f>
        <v>0</v>
      </c>
      <c r="X276" s="97">
        <f ca="1">IFERROR(__xludf.DUMMYFUNCTION("""COMPUTED_VALUE"""),4000)</f>
        <v>4000</v>
      </c>
      <c r="Y276" s="97">
        <f t="shared" ca="1" si="3"/>
        <v>0</v>
      </c>
      <c r="Z276" s="67">
        <f t="shared" si="4"/>
        <v>0</v>
      </c>
      <c r="AA276" s="67"/>
      <c r="AB276" s="67"/>
      <c r="AC276" s="67"/>
      <c r="AD276" s="99" t="e">
        <f t="shared" ca="1" si="5"/>
        <v>#DIV/0!</v>
      </c>
      <c r="AE276" s="67"/>
      <c r="AF276" s="67"/>
      <c r="AG276" s="67"/>
      <c r="AH276" s="67"/>
      <c r="AI276" s="67"/>
      <c r="AJ276" s="67"/>
      <c r="AK276" s="67"/>
      <c r="AL276" s="67"/>
      <c r="AM276" s="67"/>
      <c r="AN276" s="67"/>
      <c r="AO276" s="67"/>
      <c r="AP276" s="67"/>
      <c r="AQ276" s="67"/>
      <c r="AR276" s="67"/>
      <c r="AS276" s="67"/>
      <c r="AT276" s="67"/>
    </row>
    <row r="277" spans="1:46" ht="72" hidden="1" x14ac:dyDescent="0.2">
      <c r="A277" s="67"/>
      <c r="B277" s="96"/>
      <c r="C27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7" s="20" t="str">
        <f ca="1">IFERROR(__xludf.DUMMYFUNCTION("""COMPUTED_VALUE"""),"МинЖКХ")</f>
        <v>МинЖКХ</v>
      </c>
      <c r="E277" s="20" t="str">
        <f ca="1">IFERROR(__xludf.DUMMYFUNCTION("""COMPUTED_VALUE"""),"Строительство сетей водоснабжения, в д. Глазово, Серпуховский м.р. (в т.ч. ПИР)")</f>
        <v>Строительство сетей водоснабжения, в д. Глазово, Серпуховский м.р. (в т.ч. ПИР)</v>
      </c>
      <c r="F277" s="67" t="str">
        <f ca="1">IFERROR(__xludf.DUMMYFUNCTION("""COMPUTED_VALUE"""),"СМР")</f>
        <v>СМР</v>
      </c>
      <c r="G277" s="67" t="str">
        <f ca="1">IFERROR(__xludf.DUMMYFUNCTION("""COMPUTED_VALUE"""),"г.о. Серпухов")</f>
        <v>г.о. Серпухов</v>
      </c>
      <c r="H277" s="67">
        <f ca="1">IFERROR(__xludf.DUMMYFUNCTION("""COMPUTED_VALUE"""),2023)</f>
        <v>2023</v>
      </c>
      <c r="I277" s="67" t="str">
        <f ca="1">IFERROR(__xludf.DUMMYFUNCTION("""COMPUTED_VALUE"""),"10 3 02 64080")</f>
        <v>10 3 02 64080</v>
      </c>
      <c r="J277" s="67">
        <f ca="1">IFERROR(__xludf.DUMMYFUNCTION("""COMPUTED_VALUE"""),522)</f>
        <v>522</v>
      </c>
      <c r="K277" s="97">
        <f t="shared" ca="1" si="1"/>
        <v>0</v>
      </c>
      <c r="L277" s="97">
        <f ca="1">IFERROR(__xludf.DUMMYFUNCTION("""COMPUTED_VALUE"""),0)</f>
        <v>0</v>
      </c>
      <c r="M277" s="97">
        <f ca="1">IFERROR(__xludf.DUMMYFUNCTION("""COMPUTED_VALUE"""),0)</f>
        <v>0</v>
      </c>
      <c r="N277" s="97">
        <f ca="1">IFERROR(__xludf.DUMMYFUNCTION("""COMPUTED_VALUE"""),0)</f>
        <v>0</v>
      </c>
      <c r="O277" s="97">
        <f ca="1">IFERROR(__xludf.DUMMYFUNCTION("""COMPUTED_VALUE"""),0)</f>
        <v>0</v>
      </c>
      <c r="P277" s="97">
        <f t="shared" ca="1" si="2"/>
        <v>0</v>
      </c>
      <c r="Q277" s="67"/>
      <c r="R277" s="67"/>
      <c r="S277" s="97">
        <f ca="1">IFERROR(__xludf.DUMMYFUNCTION("""COMPUTED_VALUE"""),0)</f>
        <v>0</v>
      </c>
      <c r="T277" s="97">
        <f ca="1">IFERROR(__xludf.DUMMYFUNCTION("""COMPUTED_VALUE"""),0)</f>
        <v>0</v>
      </c>
      <c r="U277" s="97">
        <f ca="1">IFERROR(__xludf.DUMMYFUNCTION("""COMPUTED_VALUE"""),0)</f>
        <v>0</v>
      </c>
      <c r="V277" s="97">
        <f ca="1">IFERROR(__xludf.DUMMYFUNCTION("""COMPUTED_VALUE"""),0)</f>
        <v>0</v>
      </c>
      <c r="W277" s="97">
        <f ca="1">IFERROR(__xludf.DUMMYFUNCTION("""COMPUTED_VALUE"""),0)</f>
        <v>0</v>
      </c>
      <c r="X277" s="97">
        <f ca="1">IFERROR(__xludf.DUMMYFUNCTION("""COMPUTED_VALUE"""),0)</f>
        <v>0</v>
      </c>
      <c r="Y277" s="97">
        <f t="shared" ca="1" si="3"/>
        <v>0</v>
      </c>
      <c r="Z277" s="67">
        <f t="shared" si="4"/>
        <v>0</v>
      </c>
      <c r="AA277" s="67"/>
      <c r="AB277" s="67"/>
      <c r="AC277" s="67"/>
      <c r="AD277" s="99" t="e">
        <f t="shared" ca="1" si="5"/>
        <v>#DIV/0!</v>
      </c>
      <c r="AE277" s="67"/>
      <c r="AF277" s="67"/>
      <c r="AG277" s="67"/>
      <c r="AH277" s="67"/>
      <c r="AI277" s="67"/>
      <c r="AJ277" s="67"/>
      <c r="AK277" s="67"/>
      <c r="AL277" s="67"/>
      <c r="AM277" s="67"/>
      <c r="AN277" s="67"/>
      <c r="AO277" s="67"/>
      <c r="AP277" s="67"/>
      <c r="AQ277" s="67"/>
      <c r="AR277" s="67"/>
      <c r="AS277" s="67"/>
      <c r="AT277" s="67"/>
    </row>
    <row r="278" spans="1:46" ht="72" hidden="1" x14ac:dyDescent="0.2">
      <c r="A278" s="67"/>
      <c r="B278" s="96"/>
      <c r="C27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8" s="20" t="str">
        <f ca="1">IFERROR(__xludf.DUMMYFUNCTION("""COMPUTED_VALUE"""),"МинЖКХ")</f>
        <v>МинЖКХ</v>
      </c>
      <c r="E278" s="20" t="str">
        <f ca="1">IFERROR(__xludf.DUMMYFUNCTION("""COMPUTED_VALUE"""),"Строительство  сетей водоснабжения в д. Селино, д. Вечери, Серпуховский м.р. (в т.ч. ПИР)")</f>
        <v>Строительство  сетей водоснабжения в д. Селино, д. Вечери, Серпуховский м.р. (в т.ч. ПИР)</v>
      </c>
      <c r="F278" s="67" t="str">
        <f ca="1">IFERROR(__xludf.DUMMYFUNCTION("""COMPUTED_VALUE"""),"СМР")</f>
        <v>СМР</v>
      </c>
      <c r="G278" s="67" t="str">
        <f ca="1">IFERROR(__xludf.DUMMYFUNCTION("""COMPUTED_VALUE"""),"г.о. Серпухов")</f>
        <v>г.о. Серпухов</v>
      </c>
      <c r="H278" s="67">
        <f ca="1">IFERROR(__xludf.DUMMYFUNCTION("""COMPUTED_VALUE"""),2023)</f>
        <v>2023</v>
      </c>
      <c r="I278" s="67" t="str">
        <f ca="1">IFERROR(__xludf.DUMMYFUNCTION("""COMPUTED_VALUE"""),"10 3 02 64080")</f>
        <v>10 3 02 64080</v>
      </c>
      <c r="J278" s="67">
        <f ca="1">IFERROR(__xludf.DUMMYFUNCTION("""COMPUTED_VALUE"""),522)</f>
        <v>522</v>
      </c>
      <c r="K278" s="97">
        <f t="shared" ca="1" si="1"/>
        <v>0</v>
      </c>
      <c r="L278" s="97">
        <f ca="1">IFERROR(__xludf.DUMMYFUNCTION("""COMPUTED_VALUE"""),0)</f>
        <v>0</v>
      </c>
      <c r="M278" s="97">
        <f ca="1">IFERROR(__xludf.DUMMYFUNCTION("""COMPUTED_VALUE"""),0)</f>
        <v>0</v>
      </c>
      <c r="N278" s="97">
        <f ca="1">IFERROR(__xludf.DUMMYFUNCTION("""COMPUTED_VALUE"""),0)</f>
        <v>0</v>
      </c>
      <c r="O278" s="97">
        <f ca="1">IFERROR(__xludf.DUMMYFUNCTION("""COMPUTED_VALUE"""),0)</f>
        <v>0</v>
      </c>
      <c r="P278" s="97">
        <f t="shared" ca="1" si="2"/>
        <v>0</v>
      </c>
      <c r="Q278" s="67"/>
      <c r="R278" s="67"/>
      <c r="S278" s="97">
        <f ca="1">IFERROR(__xludf.DUMMYFUNCTION("""COMPUTED_VALUE"""),0)</f>
        <v>0</v>
      </c>
      <c r="T278" s="97">
        <f ca="1">IFERROR(__xludf.DUMMYFUNCTION("""COMPUTED_VALUE"""),0)</f>
        <v>0</v>
      </c>
      <c r="U278" s="97">
        <f ca="1">IFERROR(__xludf.DUMMYFUNCTION("""COMPUTED_VALUE"""),0)</f>
        <v>0</v>
      </c>
      <c r="V278" s="97">
        <f ca="1">IFERROR(__xludf.DUMMYFUNCTION("""COMPUTED_VALUE"""),0)</f>
        <v>0</v>
      </c>
      <c r="W278" s="97">
        <f ca="1">IFERROR(__xludf.DUMMYFUNCTION("""COMPUTED_VALUE"""),0)</f>
        <v>0</v>
      </c>
      <c r="X278" s="97">
        <f ca="1">IFERROR(__xludf.DUMMYFUNCTION("""COMPUTED_VALUE"""),0)</f>
        <v>0</v>
      </c>
      <c r="Y278" s="97">
        <f t="shared" ca="1" si="3"/>
        <v>0</v>
      </c>
      <c r="Z278" s="67">
        <f t="shared" si="4"/>
        <v>0</v>
      </c>
      <c r="AA278" s="67"/>
      <c r="AB278" s="67"/>
      <c r="AC278" s="67"/>
      <c r="AD278" s="99" t="e">
        <f t="shared" ca="1" si="5"/>
        <v>#DIV/0!</v>
      </c>
      <c r="AE278" s="67"/>
      <c r="AF278" s="67"/>
      <c r="AG278" s="67"/>
      <c r="AH278" s="67"/>
      <c r="AI278" s="67"/>
      <c r="AJ278" s="67"/>
      <c r="AK278" s="67"/>
      <c r="AL278" s="67"/>
      <c r="AM278" s="67"/>
      <c r="AN278" s="67"/>
      <c r="AO278" s="67"/>
      <c r="AP278" s="67"/>
      <c r="AQ278" s="67"/>
      <c r="AR278" s="67"/>
      <c r="AS278" s="67"/>
      <c r="AT278" s="67"/>
    </row>
    <row r="279" spans="1:46" ht="72" hidden="1" x14ac:dyDescent="0.2">
      <c r="A279" s="67"/>
      <c r="B279" s="96"/>
      <c r="C27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9" s="20" t="str">
        <f ca="1">IFERROR(__xludf.DUMMYFUNCTION("""COMPUTED_VALUE"""),"МинЖКХ")</f>
        <v>МинЖКХ</v>
      </c>
      <c r="E279" s="20" t="str">
        <f ca="1">IFERROR(__xludf.DUMMYFUNCTION("""COMPUTED_VALUE"""),"Строительство сетей водоснабжения в д. Б. Грызлово, Серпуховский м.р. (в т.ч. ПИР)")</f>
        <v>Строительство сетей водоснабжения в д. Б. Грызлово, Серпуховский м.р. (в т.ч. ПИР)</v>
      </c>
      <c r="F279" s="67" t="str">
        <f ca="1">IFERROR(__xludf.DUMMYFUNCTION("""COMPUTED_VALUE"""),"СМР")</f>
        <v>СМР</v>
      </c>
      <c r="G279" s="67" t="str">
        <f ca="1">IFERROR(__xludf.DUMMYFUNCTION("""COMPUTED_VALUE"""),"г.о. Серпухов")</f>
        <v>г.о. Серпухов</v>
      </c>
      <c r="H279" s="67">
        <f ca="1">IFERROR(__xludf.DUMMYFUNCTION("""COMPUTED_VALUE"""),2023)</f>
        <v>2023</v>
      </c>
      <c r="I279" s="67" t="str">
        <f ca="1">IFERROR(__xludf.DUMMYFUNCTION("""COMPUTED_VALUE"""),"10 3 02 64080")</f>
        <v>10 3 02 64080</v>
      </c>
      <c r="J279" s="67">
        <f ca="1">IFERROR(__xludf.DUMMYFUNCTION("""COMPUTED_VALUE"""),522)</f>
        <v>522</v>
      </c>
      <c r="K279" s="97">
        <f t="shared" ca="1" si="1"/>
        <v>0</v>
      </c>
      <c r="L279" s="97">
        <f ca="1">IFERROR(__xludf.DUMMYFUNCTION("""COMPUTED_VALUE"""),0)</f>
        <v>0</v>
      </c>
      <c r="M279" s="97">
        <f ca="1">IFERROR(__xludf.DUMMYFUNCTION("""COMPUTED_VALUE"""),0)</f>
        <v>0</v>
      </c>
      <c r="N279" s="97">
        <f ca="1">IFERROR(__xludf.DUMMYFUNCTION("""COMPUTED_VALUE"""),0)</f>
        <v>0</v>
      </c>
      <c r="O279" s="97">
        <f ca="1">IFERROR(__xludf.DUMMYFUNCTION("""COMPUTED_VALUE"""),0)</f>
        <v>0</v>
      </c>
      <c r="P279" s="97">
        <f t="shared" ca="1" si="2"/>
        <v>0</v>
      </c>
      <c r="Q279" s="67"/>
      <c r="R279" s="67"/>
      <c r="S279" s="97">
        <f ca="1">IFERROR(__xludf.DUMMYFUNCTION("""COMPUTED_VALUE"""),0)</f>
        <v>0</v>
      </c>
      <c r="T279" s="97">
        <f ca="1">IFERROR(__xludf.DUMMYFUNCTION("""COMPUTED_VALUE"""),0)</f>
        <v>0</v>
      </c>
      <c r="U279" s="97">
        <f ca="1">IFERROR(__xludf.DUMMYFUNCTION("""COMPUTED_VALUE"""),0)</f>
        <v>0</v>
      </c>
      <c r="V279" s="97">
        <f ca="1">IFERROR(__xludf.DUMMYFUNCTION("""COMPUTED_VALUE"""),0)</f>
        <v>0</v>
      </c>
      <c r="W279" s="97">
        <f ca="1">IFERROR(__xludf.DUMMYFUNCTION("""COMPUTED_VALUE"""),0)</f>
        <v>0</v>
      </c>
      <c r="X279" s="97">
        <f ca="1">IFERROR(__xludf.DUMMYFUNCTION("""COMPUTED_VALUE"""),0)</f>
        <v>0</v>
      </c>
      <c r="Y279" s="97">
        <f t="shared" ca="1" si="3"/>
        <v>0</v>
      </c>
      <c r="Z279" s="67">
        <f t="shared" si="4"/>
        <v>0</v>
      </c>
      <c r="AA279" s="67"/>
      <c r="AB279" s="67"/>
      <c r="AC279" s="67"/>
      <c r="AD279" s="99" t="e">
        <f t="shared" ca="1" si="5"/>
        <v>#DIV/0!</v>
      </c>
      <c r="AE279" s="67"/>
      <c r="AF279" s="67"/>
      <c r="AG279" s="67"/>
      <c r="AH279" s="67"/>
      <c r="AI279" s="67"/>
      <c r="AJ279" s="67"/>
      <c r="AK279" s="67"/>
      <c r="AL279" s="67"/>
      <c r="AM279" s="67"/>
      <c r="AN279" s="67"/>
      <c r="AO279" s="67"/>
      <c r="AP279" s="67"/>
      <c r="AQ279" s="67"/>
      <c r="AR279" s="67"/>
      <c r="AS279" s="67"/>
      <c r="AT279" s="67"/>
    </row>
    <row r="280" spans="1:46" ht="72" hidden="1" x14ac:dyDescent="0.2">
      <c r="A280" s="67"/>
      <c r="B280" s="96"/>
      <c r="C28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0" s="20" t="str">
        <f ca="1">IFERROR(__xludf.DUMMYFUNCTION("""COMPUTED_VALUE"""),"МинЖКХ")</f>
        <v>МинЖКХ</v>
      </c>
      <c r="E280" s="20" t="str">
        <f ca="1">IFERROR(__xludf.DUMMYFUNCTION("""COMPUTED_VALUE"""),"Строительство сетей водоснабжения в д. Калугино, Серпуховский м.р. (в т.ч. ПИР)")</f>
        <v>Строительство сетей водоснабжения в д. Калугино, Серпуховский м.р. (в т.ч. ПИР)</v>
      </c>
      <c r="F280" s="67" t="str">
        <f ca="1">IFERROR(__xludf.DUMMYFUNCTION("""COMPUTED_VALUE"""),"СМР")</f>
        <v>СМР</v>
      </c>
      <c r="G280" s="67" t="str">
        <f ca="1">IFERROR(__xludf.DUMMYFUNCTION("""COMPUTED_VALUE"""),"г.о. Серпухов")</f>
        <v>г.о. Серпухов</v>
      </c>
      <c r="H280" s="67">
        <f ca="1">IFERROR(__xludf.DUMMYFUNCTION("""COMPUTED_VALUE"""),2023)</f>
        <v>2023</v>
      </c>
      <c r="I280" s="67" t="str">
        <f ca="1">IFERROR(__xludf.DUMMYFUNCTION("""COMPUTED_VALUE"""),"10 3 02 64080")</f>
        <v>10 3 02 64080</v>
      </c>
      <c r="J280" s="67">
        <f ca="1">IFERROR(__xludf.DUMMYFUNCTION("""COMPUTED_VALUE"""),522)</f>
        <v>522</v>
      </c>
      <c r="K280" s="97">
        <f t="shared" ca="1" si="1"/>
        <v>0</v>
      </c>
      <c r="L280" s="97">
        <f ca="1">IFERROR(__xludf.DUMMYFUNCTION("""COMPUTED_VALUE"""),0)</f>
        <v>0</v>
      </c>
      <c r="M280" s="97">
        <f ca="1">IFERROR(__xludf.DUMMYFUNCTION("""COMPUTED_VALUE"""),0)</f>
        <v>0</v>
      </c>
      <c r="N280" s="97">
        <f ca="1">IFERROR(__xludf.DUMMYFUNCTION("""COMPUTED_VALUE"""),0)</f>
        <v>0</v>
      </c>
      <c r="O280" s="97">
        <f ca="1">IFERROR(__xludf.DUMMYFUNCTION("""COMPUTED_VALUE"""),0)</f>
        <v>0</v>
      </c>
      <c r="P280" s="97">
        <f t="shared" ca="1" si="2"/>
        <v>0</v>
      </c>
      <c r="Q280" s="67"/>
      <c r="R280" s="67"/>
      <c r="S280" s="97">
        <f ca="1">IFERROR(__xludf.DUMMYFUNCTION("""COMPUTED_VALUE"""),0)</f>
        <v>0</v>
      </c>
      <c r="T280" s="97">
        <f ca="1">IFERROR(__xludf.DUMMYFUNCTION("""COMPUTED_VALUE"""),0)</f>
        <v>0</v>
      </c>
      <c r="U280" s="97">
        <f ca="1">IFERROR(__xludf.DUMMYFUNCTION("""COMPUTED_VALUE"""),0)</f>
        <v>0</v>
      </c>
      <c r="V280" s="97">
        <f ca="1">IFERROR(__xludf.DUMMYFUNCTION("""COMPUTED_VALUE"""),0)</f>
        <v>0</v>
      </c>
      <c r="W280" s="97">
        <f ca="1">IFERROR(__xludf.DUMMYFUNCTION("""COMPUTED_VALUE"""),0)</f>
        <v>0</v>
      </c>
      <c r="X280" s="97">
        <f ca="1">IFERROR(__xludf.DUMMYFUNCTION("""COMPUTED_VALUE"""),0)</f>
        <v>0</v>
      </c>
      <c r="Y280" s="97">
        <f t="shared" ca="1" si="3"/>
        <v>0</v>
      </c>
      <c r="Z280" s="67">
        <f t="shared" si="4"/>
        <v>0</v>
      </c>
      <c r="AA280" s="67"/>
      <c r="AB280" s="67"/>
      <c r="AC280" s="67"/>
      <c r="AD280" s="99" t="e">
        <f t="shared" ca="1" si="5"/>
        <v>#DIV/0!</v>
      </c>
      <c r="AE280" s="67"/>
      <c r="AF280" s="67"/>
      <c r="AG280" s="67"/>
      <c r="AH280" s="67"/>
      <c r="AI280" s="67"/>
      <c r="AJ280" s="67"/>
      <c r="AK280" s="67"/>
      <c r="AL280" s="67"/>
      <c r="AM280" s="67"/>
      <c r="AN280" s="67"/>
      <c r="AO280" s="67"/>
      <c r="AP280" s="67"/>
      <c r="AQ280" s="67"/>
      <c r="AR280" s="67"/>
      <c r="AS280" s="67"/>
      <c r="AT280" s="67"/>
    </row>
    <row r="281" spans="1:46" ht="72" hidden="1" x14ac:dyDescent="0.2">
      <c r="A281" s="67"/>
      <c r="B281" s="96"/>
      <c r="C28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1" s="20" t="str">
        <f ca="1">IFERROR(__xludf.DUMMYFUNCTION("""COMPUTED_VALUE"""),"МинЖКХ")</f>
        <v>МинЖКХ</v>
      </c>
      <c r="E281" s="20" t="str">
        <f ca="1">IFERROR(__xludf.DUMMYFUNCTION("""COMPUTED_VALUE"""),"Строительство БМК мощностью 1,2 МВт , д. Щемилово, г.о. Богородский")</f>
        <v>Строительство БМК мощностью 1,2 МВт , д. Щемилово, г.о. Богородский</v>
      </c>
      <c r="F281" s="67" t="str">
        <f ca="1">IFERROR(__xludf.DUMMYFUNCTION("""COMPUTED_VALUE"""),"СМР")</f>
        <v>СМР</v>
      </c>
      <c r="G281" s="67" t="str">
        <f ca="1">IFERROR(__xludf.DUMMYFUNCTION("""COMPUTED_VALUE"""),"г.о. Богородский")</f>
        <v>г.о. Богородский</v>
      </c>
      <c r="H281" s="67">
        <f ca="1">IFERROR(__xludf.DUMMYFUNCTION("""COMPUTED_VALUE"""),2022)</f>
        <v>2022</v>
      </c>
      <c r="I281" s="67" t="str">
        <f ca="1">IFERROR(__xludf.DUMMYFUNCTION("""COMPUTED_VALUE"""),"10 3 02 64080")</f>
        <v>10 3 02 64080</v>
      </c>
      <c r="J281" s="67">
        <f ca="1">IFERROR(__xludf.DUMMYFUNCTION("""COMPUTED_VALUE"""),522)</f>
        <v>522</v>
      </c>
      <c r="K281" s="97">
        <f t="shared" ca="1" si="1"/>
        <v>0</v>
      </c>
      <c r="L281" s="97">
        <f ca="1">IFERROR(__xludf.DUMMYFUNCTION("""COMPUTED_VALUE"""),0)</f>
        <v>0</v>
      </c>
      <c r="M281" s="97">
        <f ca="1">IFERROR(__xludf.DUMMYFUNCTION("""COMPUTED_VALUE"""),0)</f>
        <v>0</v>
      </c>
      <c r="N281" s="97">
        <f ca="1">IFERROR(__xludf.DUMMYFUNCTION("""COMPUTED_VALUE"""),0)</f>
        <v>0</v>
      </c>
      <c r="O281" s="97">
        <f ca="1">IFERROR(__xludf.DUMMYFUNCTION("""COMPUTED_VALUE"""),0)</f>
        <v>0</v>
      </c>
      <c r="P281" s="97">
        <f t="shared" ca="1" si="2"/>
        <v>0</v>
      </c>
      <c r="Q281" s="67"/>
      <c r="R281" s="67"/>
      <c r="S281" s="97">
        <f ca="1">IFERROR(__xludf.DUMMYFUNCTION("""COMPUTED_VALUE"""),0)</f>
        <v>0</v>
      </c>
      <c r="T281" s="97">
        <f ca="1">IFERROR(__xludf.DUMMYFUNCTION("""COMPUTED_VALUE"""),0)</f>
        <v>0</v>
      </c>
      <c r="U281" s="97">
        <f ca="1">IFERROR(__xludf.DUMMYFUNCTION("""COMPUTED_VALUE"""),0)</f>
        <v>0</v>
      </c>
      <c r="V281" s="97">
        <f ca="1">IFERROR(__xludf.DUMMYFUNCTION("""COMPUTED_VALUE"""),0)</f>
        <v>0</v>
      </c>
      <c r="W281" s="97">
        <f ca="1">IFERROR(__xludf.DUMMYFUNCTION("""COMPUTED_VALUE"""),0)</f>
        <v>0</v>
      </c>
      <c r="X281" s="97">
        <f ca="1">IFERROR(__xludf.DUMMYFUNCTION("""COMPUTED_VALUE"""),0)</f>
        <v>0</v>
      </c>
      <c r="Y281" s="97">
        <f t="shared" ca="1" si="3"/>
        <v>0</v>
      </c>
      <c r="Z281" s="67">
        <f t="shared" si="4"/>
        <v>0</v>
      </c>
      <c r="AA281" s="67"/>
      <c r="AB281" s="67"/>
      <c r="AC281" s="67"/>
      <c r="AD281" s="99" t="e">
        <f t="shared" ca="1" si="5"/>
        <v>#DIV/0!</v>
      </c>
      <c r="AE281" s="67"/>
      <c r="AF281" s="67"/>
      <c r="AG281" s="67"/>
      <c r="AH281" s="67"/>
      <c r="AI281" s="67"/>
      <c r="AJ281" s="67"/>
      <c r="AK281" s="67"/>
      <c r="AL281" s="67"/>
      <c r="AM281" s="67"/>
      <c r="AN281" s="67"/>
      <c r="AO281" s="67"/>
      <c r="AP281" s="67"/>
      <c r="AQ281" s="67"/>
      <c r="AR281" s="67"/>
      <c r="AS281" s="67"/>
      <c r="AT281" s="67"/>
    </row>
    <row r="282" spans="1:46" ht="72" hidden="1" x14ac:dyDescent="0.2">
      <c r="A282" s="67"/>
      <c r="B282" s="100"/>
      <c r="C28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2" s="20" t="str">
        <f ca="1">IFERROR(__xludf.DUMMYFUNCTION("""COMPUTED_VALUE"""),"МинЖКХ")</f>
        <v>МинЖКХ</v>
      </c>
      <c r="E282" s="20" t="str">
        <f ca="1">IFERROR(__xludf.DUMMYFUNCTION("""COMPUTED_VALUE"""),"Строительство БМК мощностью 1 МВт , д. Щемилово, г.о. Богородский")</f>
        <v>Строительство БМК мощностью 1 МВт , д. Щемилово, г.о. Богородский</v>
      </c>
      <c r="F282" s="67" t="str">
        <f ca="1">IFERROR(__xludf.DUMMYFUNCTION("""COMPUTED_VALUE"""),"СМР")</f>
        <v>СМР</v>
      </c>
      <c r="G282" s="67" t="str">
        <f ca="1">IFERROR(__xludf.DUMMYFUNCTION("""COMPUTED_VALUE"""),"г.о. Богородский")</f>
        <v>г.о. Богородский</v>
      </c>
      <c r="H282" s="67">
        <f ca="1">IFERROR(__xludf.DUMMYFUNCTION("""COMPUTED_VALUE"""),2022)</f>
        <v>2022</v>
      </c>
      <c r="I282" s="67" t="str">
        <f ca="1">IFERROR(__xludf.DUMMYFUNCTION("""COMPUTED_VALUE"""),"10 3 02 64080")</f>
        <v>10 3 02 64080</v>
      </c>
      <c r="J282" s="67">
        <f ca="1">IFERROR(__xludf.DUMMYFUNCTION("""COMPUTED_VALUE"""),522)</f>
        <v>522</v>
      </c>
      <c r="K282" s="97">
        <f t="shared" ca="1" si="1"/>
        <v>0</v>
      </c>
      <c r="L282" s="97">
        <f ca="1">IFERROR(__xludf.DUMMYFUNCTION("""COMPUTED_VALUE"""),0)</f>
        <v>0</v>
      </c>
      <c r="M282" s="97">
        <f ca="1">IFERROR(__xludf.DUMMYFUNCTION("""COMPUTED_VALUE"""),0)</f>
        <v>0</v>
      </c>
      <c r="N282" s="97">
        <f ca="1">IFERROR(__xludf.DUMMYFUNCTION("""COMPUTED_VALUE"""),0)</f>
        <v>0</v>
      </c>
      <c r="O282" s="97">
        <f ca="1">IFERROR(__xludf.DUMMYFUNCTION("""COMPUTED_VALUE"""),0)</f>
        <v>0</v>
      </c>
      <c r="P282" s="97">
        <f t="shared" ca="1" si="2"/>
        <v>0</v>
      </c>
      <c r="Q282" s="67"/>
      <c r="R282" s="67"/>
      <c r="S282" s="97">
        <f ca="1">IFERROR(__xludf.DUMMYFUNCTION("""COMPUTED_VALUE"""),0)</f>
        <v>0</v>
      </c>
      <c r="T282" s="97">
        <f ca="1">IFERROR(__xludf.DUMMYFUNCTION("""COMPUTED_VALUE"""),0)</f>
        <v>0</v>
      </c>
      <c r="U282" s="97">
        <f ca="1">IFERROR(__xludf.DUMMYFUNCTION("""COMPUTED_VALUE"""),0)</f>
        <v>0</v>
      </c>
      <c r="V282" s="97">
        <f ca="1">IFERROR(__xludf.DUMMYFUNCTION("""COMPUTED_VALUE"""),0)</f>
        <v>0</v>
      </c>
      <c r="W282" s="97">
        <f ca="1">IFERROR(__xludf.DUMMYFUNCTION("""COMPUTED_VALUE"""),0)</f>
        <v>0</v>
      </c>
      <c r="X282" s="97">
        <f ca="1">IFERROR(__xludf.DUMMYFUNCTION("""COMPUTED_VALUE"""),0)</f>
        <v>0</v>
      </c>
      <c r="Y282" s="97">
        <f t="shared" ca="1" si="3"/>
        <v>0</v>
      </c>
      <c r="Z282" s="67">
        <f t="shared" si="4"/>
        <v>0</v>
      </c>
      <c r="AA282" s="67"/>
      <c r="AB282" s="67"/>
      <c r="AC282" s="67"/>
      <c r="AD282" s="99" t="e">
        <f t="shared" ca="1" si="5"/>
        <v>#DIV/0!</v>
      </c>
      <c r="AE282" s="67"/>
      <c r="AF282" s="67"/>
      <c r="AG282" s="67"/>
      <c r="AH282" s="67"/>
      <c r="AI282" s="67"/>
      <c r="AJ282" s="67"/>
      <c r="AK282" s="67"/>
      <c r="AL282" s="67"/>
      <c r="AM282" s="67"/>
      <c r="AN282" s="67"/>
      <c r="AO282" s="67"/>
      <c r="AP282" s="67"/>
      <c r="AQ282" s="67"/>
      <c r="AR282" s="67"/>
      <c r="AS282" s="67"/>
      <c r="AT282" s="67"/>
    </row>
    <row r="283" spans="1:46" ht="84" x14ac:dyDescent="0.2">
      <c r="A283" s="20" t="str">
        <f ca="1">IFERROR(__xludf.DUMMYFUNCTION("""COMPUTED_VALUE"""),"Заключение МОГЭ не получено. ДК в соответствии с запросом № 12Исх/З-1458 не представлена.
В связи с отсутсвием положительного заключения государственной экспертизы реализации второго этапа, присутствует риск не освоения лимитов 2020 года.")</f>
        <v>Заключение МОГЭ не получено. ДК в соответствии с запросом № 12Исх/З-1458 не представлена.
В связи с отсутсвием положительного заключения государственной экспертизы реализации второго этапа, присутствует риск не освоения лимитов 2020 года.</v>
      </c>
      <c r="B283" s="95"/>
      <c r="C283"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3" s="20" t="str">
        <f ca="1">IFERROR(__xludf.DUMMYFUNCTION("""COMPUTED_VALUE"""),"МинЖКХ")</f>
        <v>МинЖКХ</v>
      </c>
      <c r="E283" s="20" t="str">
        <f ca="1">IFERROR(__xludf.DUMMYFUNCTION("""COMPUTED_VALUE"""),"Капитальный ремонт сетей водоснабжения мкр. Железнодорожный, г.о. Балашиха (1 и 2 этапы) ")</f>
        <v xml:space="preserve">Капитальный ремонт сетей водоснабжения мкр. Железнодорожный, г.о. Балашиха (1 и 2 этапы) </v>
      </c>
      <c r="F283" s="20" t="str">
        <f ca="1">IFERROR(__xludf.DUMMYFUNCTION("""COMPUTED_VALUE"""),"СМР")</f>
        <v>СМР</v>
      </c>
      <c r="G283" s="20" t="str">
        <f ca="1">IFERROR(__xludf.DUMMYFUNCTION("""COMPUTED_VALUE"""),"г.о. Балашиха")</f>
        <v>г.о. Балашиха</v>
      </c>
      <c r="H283" s="20" t="str">
        <f ca="1">IFERROR(__xludf.DUMMYFUNCTION("""COMPUTED_VALUE"""),"2020-2021")</f>
        <v>2020-2021</v>
      </c>
      <c r="I283" s="20" t="str">
        <f ca="1">IFERROR(__xludf.DUMMYFUNCTION("""COMPUTED_VALUE"""),"10 3 02 60320")</f>
        <v>10 3 02 60320</v>
      </c>
      <c r="J283" s="20">
        <f ca="1">IFERROR(__xludf.DUMMYFUNCTION("""COMPUTED_VALUE"""),521)</f>
        <v>521</v>
      </c>
      <c r="K283" s="24">
        <f t="shared" ca="1" si="1"/>
        <v>150960</v>
      </c>
      <c r="L283" s="24">
        <f ca="1">IFERROR(__xludf.DUMMYFUNCTION("""COMPUTED_VALUE"""),0)</f>
        <v>0</v>
      </c>
      <c r="M283" s="24">
        <f ca="1">IFERROR(__xludf.DUMMYFUNCTION("""COMPUTED_VALUE"""),0)</f>
        <v>0</v>
      </c>
      <c r="N283" s="24">
        <f ca="1">IFERROR(__xludf.DUMMYFUNCTION("""COMPUTED_VALUE"""),117296)</f>
        <v>117296</v>
      </c>
      <c r="O283" s="24">
        <f ca="1">IFERROR(__xludf.DUMMYFUNCTION("""COMPUTED_VALUE"""),33664)</f>
        <v>33664</v>
      </c>
      <c r="P283" s="24">
        <f t="shared" ca="1" si="2"/>
        <v>117296</v>
      </c>
      <c r="Q283" s="20"/>
      <c r="R283" s="20"/>
      <c r="S283" s="24">
        <f ca="1">IFERROR(__xludf.DUMMYFUNCTION("""COMPUTED_VALUE"""),57248.62)</f>
        <v>57248.62</v>
      </c>
      <c r="T283" s="24">
        <f ca="1">IFERROR(__xludf.DUMMYFUNCTION("""COMPUTED_VALUE"""),93711.38)</f>
        <v>93711.38</v>
      </c>
      <c r="U283" s="24">
        <f ca="1">IFERROR(__xludf.DUMMYFUNCTION("""COMPUTED_VALUE"""),0)</f>
        <v>0</v>
      </c>
      <c r="V283" s="24">
        <f ca="1">IFERROR(__xludf.DUMMYFUNCTION("""COMPUTED_VALUE"""),0)</f>
        <v>0</v>
      </c>
      <c r="W283" s="24">
        <f ca="1">IFERROR(__xludf.DUMMYFUNCTION("""COMPUTED_VALUE"""),60047.38)</f>
        <v>60047.38</v>
      </c>
      <c r="X283" s="24">
        <f ca="1">IFERROR(__xludf.DUMMYFUNCTION("""COMPUTED_VALUE"""),33664)</f>
        <v>33664</v>
      </c>
      <c r="Y283" s="24">
        <f t="shared" ca="1" si="3"/>
        <v>60047.38</v>
      </c>
      <c r="Z283" s="20">
        <f t="shared" ca="1" si="4"/>
        <v>57248.62</v>
      </c>
      <c r="AA283" s="20"/>
      <c r="AB283" s="24">
        <f ca="1">IFERROR(__xludf.DUMMYFUNCTION("""COMPUTED_VALUE"""),0)</f>
        <v>0</v>
      </c>
      <c r="AC283" s="24">
        <f ca="1">IFERROR(__xludf.DUMMYFUNCTION("""COMPUTED_VALUE"""),57248.62)</f>
        <v>57248.62</v>
      </c>
      <c r="AD283" s="94">
        <f t="shared" ca="1" si="5"/>
        <v>0.48806966989496658</v>
      </c>
      <c r="AE283" s="20"/>
      <c r="AF283" s="20"/>
      <c r="AG283" s="20"/>
      <c r="AH283" s="20"/>
      <c r="AI283" s="20"/>
      <c r="AJ283" s="20"/>
      <c r="AK283" s="20"/>
      <c r="AL283" s="20"/>
      <c r="AM283" s="20"/>
      <c r="AN283" s="20"/>
      <c r="AO283" s="20"/>
      <c r="AP283" s="20"/>
      <c r="AQ283" s="20"/>
      <c r="AR283" s="20"/>
      <c r="AS283" s="20"/>
      <c r="AT283" s="20"/>
    </row>
    <row r="284" spans="1:46" ht="72" hidden="1" x14ac:dyDescent="0.2">
      <c r="A284" s="67"/>
      <c r="B284" s="100"/>
      <c r="C28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4" s="20" t="str">
        <f ca="1">IFERROR(__xludf.DUMMYFUNCTION("""COMPUTED_VALUE"""),"МинЖКХ")</f>
        <v>МинЖКХ</v>
      </c>
      <c r="E284" s="20" t="str">
        <f ca="1">IFERROR(__xludf.DUMMYFUNCTION("""COMPUTED_VALUE"""),"Реконструкция котельной, расположенной по адресу: г. Долгопрудный, ул. Спортивная, д. 3а  (в т.ч. ПИР) ")</f>
        <v xml:space="preserve">Реконструкция котельной, расположенной по адресу: г. Долгопрудный, ул. Спортивная, д. 3а  (в т.ч. ПИР) </v>
      </c>
      <c r="F284" s="67" t="str">
        <f ca="1">IFERROR(__xludf.DUMMYFUNCTION("""COMPUTED_VALUE"""),"СМР")</f>
        <v>СМР</v>
      </c>
      <c r="G284" s="67" t="str">
        <f ca="1">IFERROR(__xludf.DUMMYFUNCTION("""COMPUTED_VALUE"""),"г.о. Долгопрудный")</f>
        <v>г.о. Долгопрудный</v>
      </c>
      <c r="H284" s="67" t="str">
        <f ca="1">IFERROR(__xludf.DUMMYFUNCTION("""COMPUTED_VALUE"""),"2021-2022")</f>
        <v>2021-2022</v>
      </c>
      <c r="I284" s="67" t="str">
        <f ca="1">IFERROR(__xludf.DUMMYFUNCTION("""COMPUTED_VALUE"""),"10 3 02 64080")</f>
        <v>10 3 02 64080</v>
      </c>
      <c r="J284" s="67">
        <f ca="1">IFERROR(__xludf.DUMMYFUNCTION("""COMPUTED_VALUE"""),522)</f>
        <v>522</v>
      </c>
      <c r="K284" s="97">
        <f t="shared" ca="1" si="1"/>
        <v>0</v>
      </c>
      <c r="L284" s="97">
        <f ca="1">IFERROR(__xludf.DUMMYFUNCTION("""COMPUTED_VALUE"""),0)</f>
        <v>0</v>
      </c>
      <c r="M284" s="97">
        <f ca="1">IFERROR(__xludf.DUMMYFUNCTION("""COMPUTED_VALUE"""),0)</f>
        <v>0</v>
      </c>
      <c r="N284" s="97">
        <f ca="1">IFERROR(__xludf.DUMMYFUNCTION("""COMPUTED_VALUE"""),0)</f>
        <v>0</v>
      </c>
      <c r="O284" s="97">
        <f ca="1">IFERROR(__xludf.DUMMYFUNCTION("""COMPUTED_VALUE"""),0)</f>
        <v>0</v>
      </c>
      <c r="P284" s="97">
        <f t="shared" ca="1" si="2"/>
        <v>0</v>
      </c>
      <c r="Q284" s="67"/>
      <c r="R284" s="67"/>
      <c r="S284" s="97">
        <f ca="1">IFERROR(__xludf.DUMMYFUNCTION("""COMPUTED_VALUE"""),0)</f>
        <v>0</v>
      </c>
      <c r="T284" s="97">
        <f ca="1">IFERROR(__xludf.DUMMYFUNCTION("""COMPUTED_VALUE"""),0)</f>
        <v>0</v>
      </c>
      <c r="U284" s="97">
        <f ca="1">IFERROR(__xludf.DUMMYFUNCTION("""COMPUTED_VALUE"""),0)</f>
        <v>0</v>
      </c>
      <c r="V284" s="97">
        <f ca="1">IFERROR(__xludf.DUMMYFUNCTION("""COMPUTED_VALUE"""),0)</f>
        <v>0</v>
      </c>
      <c r="W284" s="97">
        <f ca="1">IFERROR(__xludf.DUMMYFUNCTION("""COMPUTED_VALUE"""),0)</f>
        <v>0</v>
      </c>
      <c r="X284" s="97">
        <f ca="1">IFERROR(__xludf.DUMMYFUNCTION("""COMPUTED_VALUE"""),0)</f>
        <v>0</v>
      </c>
      <c r="Y284" s="97">
        <f t="shared" ca="1" si="3"/>
        <v>0</v>
      </c>
      <c r="Z284" s="67">
        <f t="shared" si="4"/>
        <v>0</v>
      </c>
      <c r="AA284" s="67"/>
      <c r="AB284" s="67"/>
      <c r="AC284" s="67"/>
      <c r="AD284" s="99" t="e">
        <f t="shared" ca="1" si="5"/>
        <v>#DIV/0!</v>
      </c>
      <c r="AE284" s="67"/>
      <c r="AF284" s="67"/>
      <c r="AG284" s="67"/>
      <c r="AH284" s="67"/>
      <c r="AI284" s="67"/>
      <c r="AJ284" s="67"/>
      <c r="AK284" s="67"/>
      <c r="AL284" s="67"/>
      <c r="AM284" s="67"/>
      <c r="AN284" s="67"/>
      <c r="AO284" s="67"/>
      <c r="AP284" s="67"/>
      <c r="AQ284" s="67"/>
      <c r="AR284" s="67"/>
      <c r="AS284" s="67"/>
      <c r="AT284" s="67"/>
    </row>
    <row r="285" spans="1:46" ht="72" hidden="1" x14ac:dyDescent="0.2">
      <c r="A285" s="67"/>
      <c r="B285" s="100"/>
      <c r="C28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5" s="20" t="str">
        <f ca="1">IFERROR(__xludf.DUMMYFUNCTION("""COMPUTED_VALUE"""),"МинЖКХ")</f>
        <v>МинЖКХ</v>
      </c>
      <c r="E285" s="20" t="str">
        <f ca="1">IFERROR(__xludf.DUMMYFUNCTION("""COMPUTED_VALUE"""),"Строительство котельной по адресу: д. Судниково сельского поселения Спасское (в том числе ПИР) ")</f>
        <v xml:space="preserve">Строительство котельной по адресу: д. Судниково сельского поселения Спасское (в том числе ПИР) </v>
      </c>
      <c r="F285" s="67" t="str">
        <f ca="1">IFERROR(__xludf.DUMMYFUNCTION("""COMPUTED_VALUE"""),"СМР")</f>
        <v>СМР</v>
      </c>
      <c r="G285" s="67" t="str">
        <f ca="1">IFERROR(__xludf.DUMMYFUNCTION("""COMPUTED_VALUE"""),"г.о. Волоколамский")</f>
        <v>г.о. Волоколамский</v>
      </c>
      <c r="H285" s="67" t="str">
        <f ca="1">IFERROR(__xludf.DUMMYFUNCTION("""COMPUTED_VALUE"""),"2020-2021")</f>
        <v>2020-2021</v>
      </c>
      <c r="I285" s="67" t="str">
        <f ca="1">IFERROR(__xludf.DUMMYFUNCTION("""COMPUTED_VALUE"""),"10 3 02 64080")</f>
        <v>10 3 02 64080</v>
      </c>
      <c r="J285" s="67">
        <f ca="1">IFERROR(__xludf.DUMMYFUNCTION("""COMPUTED_VALUE"""),522)</f>
        <v>522</v>
      </c>
      <c r="K285" s="97">
        <f t="shared" ca="1" si="1"/>
        <v>0</v>
      </c>
      <c r="L285" s="97">
        <f ca="1">IFERROR(__xludf.DUMMYFUNCTION("""COMPUTED_VALUE"""),0)</f>
        <v>0</v>
      </c>
      <c r="M285" s="97">
        <f ca="1">IFERROR(__xludf.DUMMYFUNCTION("""COMPUTED_VALUE"""),0)</f>
        <v>0</v>
      </c>
      <c r="N285" s="97">
        <f ca="1">IFERROR(__xludf.DUMMYFUNCTION("""COMPUTED_VALUE"""),0)</f>
        <v>0</v>
      </c>
      <c r="O285" s="97">
        <f ca="1">IFERROR(__xludf.DUMMYFUNCTION("""COMPUTED_VALUE"""),0)</f>
        <v>0</v>
      </c>
      <c r="P285" s="97">
        <f t="shared" ca="1" si="2"/>
        <v>0</v>
      </c>
      <c r="Q285" s="67"/>
      <c r="R285" s="67"/>
      <c r="S285" s="97">
        <f ca="1">IFERROR(__xludf.DUMMYFUNCTION("""COMPUTED_VALUE"""),0)</f>
        <v>0</v>
      </c>
      <c r="T285" s="97">
        <f ca="1">IFERROR(__xludf.DUMMYFUNCTION("""COMPUTED_VALUE"""),0)</f>
        <v>0</v>
      </c>
      <c r="U285" s="97">
        <f ca="1">IFERROR(__xludf.DUMMYFUNCTION("""COMPUTED_VALUE"""),0)</f>
        <v>0</v>
      </c>
      <c r="V285" s="97">
        <f ca="1">IFERROR(__xludf.DUMMYFUNCTION("""COMPUTED_VALUE"""),0)</f>
        <v>0</v>
      </c>
      <c r="W285" s="97">
        <f ca="1">IFERROR(__xludf.DUMMYFUNCTION("""COMPUTED_VALUE"""),0)</f>
        <v>0</v>
      </c>
      <c r="X285" s="97">
        <f ca="1">IFERROR(__xludf.DUMMYFUNCTION("""COMPUTED_VALUE"""),0)</f>
        <v>0</v>
      </c>
      <c r="Y285" s="97">
        <f t="shared" ca="1" si="3"/>
        <v>0</v>
      </c>
      <c r="Z285" s="67">
        <f t="shared" ca="1" si="4"/>
        <v>0</v>
      </c>
      <c r="AA285" s="67"/>
      <c r="AB285" s="97">
        <f ca="1">IFERROR(__xludf.DUMMYFUNCTION("""COMPUTED_VALUE"""),0)</f>
        <v>0</v>
      </c>
      <c r="AC285" s="67"/>
      <c r="AD285" s="99" t="e">
        <f t="shared" ca="1" si="5"/>
        <v>#DIV/0!</v>
      </c>
      <c r="AE285" s="67"/>
      <c r="AF285" s="67"/>
      <c r="AG285" s="67"/>
      <c r="AH285" s="67"/>
      <c r="AI285" s="67"/>
      <c r="AJ285" s="67"/>
      <c r="AK285" s="67"/>
      <c r="AL285" s="67"/>
      <c r="AM285" s="67"/>
      <c r="AN285" s="67"/>
      <c r="AO285" s="67"/>
      <c r="AP285" s="67"/>
      <c r="AQ285" s="67"/>
      <c r="AR285" s="67"/>
      <c r="AS285" s="67"/>
      <c r="AT285" s="67"/>
    </row>
    <row r="286" spans="1:46" ht="72" hidden="1" x14ac:dyDescent="0.2">
      <c r="A286" s="67"/>
      <c r="B286" s="96"/>
      <c r="C28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6" s="20" t="str">
        <f ca="1">IFERROR(__xludf.DUMMYFUNCTION("""COMPUTED_VALUE"""),"МинЖКХ")</f>
        <v>МинЖКХ</v>
      </c>
      <c r="E286" s="20" t="str">
        <f ca="1">IFERROR(__xludf.DUMMYFUNCTION("""COMPUTED_VALUE"""),"Строительство сетей теплоснабжения от котельной до потребителей в д. Судниково (ПИР)")</f>
        <v>Строительство сетей теплоснабжения от котельной до потребителей в д. Судниково (ПИР)</v>
      </c>
      <c r="F286" s="67" t="str">
        <f ca="1">IFERROR(__xludf.DUMMYFUNCTION("""COMPUTED_VALUE"""),"ПИР")</f>
        <v>ПИР</v>
      </c>
      <c r="G286" s="67" t="str">
        <f ca="1">IFERROR(__xludf.DUMMYFUNCTION("""COMPUTED_VALUE"""),"г.о. Волоколамский")</f>
        <v>г.о. Волоколамский</v>
      </c>
      <c r="H286" s="67">
        <f ca="1">IFERROR(__xludf.DUMMYFUNCTION("""COMPUTED_VALUE"""),2020)</f>
        <v>2020</v>
      </c>
      <c r="I286" s="67" t="str">
        <f ca="1">IFERROR(__xludf.DUMMYFUNCTION("""COMPUTED_VALUE"""),"10 3 02 64080")</f>
        <v>10 3 02 64080</v>
      </c>
      <c r="J286" s="67">
        <f ca="1">IFERROR(__xludf.DUMMYFUNCTION("""COMPUTED_VALUE"""),522)</f>
        <v>522</v>
      </c>
      <c r="K286" s="97">
        <f t="shared" ca="1" si="1"/>
        <v>0</v>
      </c>
      <c r="L286" s="97">
        <f ca="1">IFERROR(__xludf.DUMMYFUNCTION("""COMPUTED_VALUE"""),0)</f>
        <v>0</v>
      </c>
      <c r="M286" s="97">
        <f ca="1">IFERROR(__xludf.DUMMYFUNCTION("""COMPUTED_VALUE"""),0)</f>
        <v>0</v>
      </c>
      <c r="N286" s="97">
        <f ca="1">IFERROR(__xludf.DUMMYFUNCTION("""COMPUTED_VALUE"""),0)</f>
        <v>0</v>
      </c>
      <c r="O286" s="97">
        <f ca="1">IFERROR(__xludf.DUMMYFUNCTION("""COMPUTED_VALUE"""),0)</f>
        <v>0</v>
      </c>
      <c r="P286" s="97">
        <f t="shared" ca="1" si="2"/>
        <v>0</v>
      </c>
      <c r="Q286" s="67"/>
      <c r="R286" s="67"/>
      <c r="S286" s="97">
        <f ca="1">IFERROR(__xludf.DUMMYFUNCTION("""COMPUTED_VALUE"""),0)</f>
        <v>0</v>
      </c>
      <c r="T286" s="97">
        <f ca="1">IFERROR(__xludf.DUMMYFUNCTION("""COMPUTED_VALUE"""),0)</f>
        <v>0</v>
      </c>
      <c r="U286" s="97">
        <f ca="1">IFERROR(__xludf.DUMMYFUNCTION("""COMPUTED_VALUE"""),0)</f>
        <v>0</v>
      </c>
      <c r="V286" s="97">
        <f ca="1">IFERROR(__xludf.DUMMYFUNCTION("""COMPUTED_VALUE"""),0)</f>
        <v>0</v>
      </c>
      <c r="W286" s="97">
        <f ca="1">IFERROR(__xludf.DUMMYFUNCTION("""COMPUTED_VALUE"""),0)</f>
        <v>0</v>
      </c>
      <c r="X286" s="97">
        <f ca="1">IFERROR(__xludf.DUMMYFUNCTION("""COMPUTED_VALUE"""),0)</f>
        <v>0</v>
      </c>
      <c r="Y286" s="97">
        <f t="shared" ca="1" si="3"/>
        <v>0</v>
      </c>
      <c r="Z286" s="67">
        <f t="shared" ca="1" si="4"/>
        <v>0</v>
      </c>
      <c r="AA286" s="67"/>
      <c r="AB286" s="97">
        <f ca="1">IFERROR(__xludf.DUMMYFUNCTION("""COMPUTED_VALUE"""),0)</f>
        <v>0</v>
      </c>
      <c r="AC286" s="67"/>
      <c r="AD286" s="99" t="e">
        <f t="shared" ca="1" si="5"/>
        <v>#DIV/0!</v>
      </c>
      <c r="AE286" s="67"/>
      <c r="AF286" s="67"/>
      <c r="AG286" s="67"/>
      <c r="AH286" s="67"/>
      <c r="AI286" s="67"/>
      <c r="AJ286" s="67"/>
      <c r="AK286" s="67"/>
      <c r="AL286" s="67"/>
      <c r="AM286" s="67"/>
      <c r="AN286" s="67"/>
      <c r="AO286" s="67"/>
      <c r="AP286" s="67"/>
      <c r="AQ286" s="67"/>
      <c r="AR286" s="67"/>
      <c r="AS286" s="67"/>
      <c r="AT286" s="67"/>
    </row>
    <row r="287" spans="1:46" ht="72" hidden="1" x14ac:dyDescent="0.2">
      <c r="A287" s="67"/>
      <c r="B287" s="100"/>
      <c r="C28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7" s="20" t="str">
        <f ca="1">IFERROR(__xludf.DUMMYFUNCTION("""COMPUTED_VALUE"""),"МинЖКХ")</f>
        <v>МинЖКХ</v>
      </c>
      <c r="E287" s="20" t="str">
        <f ca="1">IFERROR(__xludf.DUMMYFUNCTION("""COMPUTED_VALUE"""),"Строительство автоматизированной блочно-модульной котельной производительностью 11,0 МВт по адресу: Талдомский район, р.п. Северный, ул. Садовая,  д. 12 ")</f>
        <v xml:space="preserve">Строительство автоматизированной блочно-модульной котельной производительностью 11,0 МВт по адресу: Талдомский район, р.п. Северный, ул. Садовая,  д. 12 </v>
      </c>
      <c r="F287" s="67" t="str">
        <f ca="1">IFERROR(__xludf.DUMMYFUNCTION("""COMPUTED_VALUE"""),"СМР")</f>
        <v>СМР</v>
      </c>
      <c r="G287" s="67" t="str">
        <f ca="1">IFERROR(__xludf.DUMMYFUNCTION("""COMPUTED_VALUE"""),"г.о. Талдомский")</f>
        <v>г.о. Талдомский</v>
      </c>
      <c r="H287" s="67">
        <f ca="1">IFERROR(__xludf.DUMMYFUNCTION("""COMPUTED_VALUE"""),2022)</f>
        <v>2022</v>
      </c>
      <c r="I287" s="67" t="str">
        <f ca="1">IFERROR(__xludf.DUMMYFUNCTION("""COMPUTED_VALUE"""),"10 3 02 64080")</f>
        <v>10 3 02 64080</v>
      </c>
      <c r="J287" s="67">
        <f ca="1">IFERROR(__xludf.DUMMYFUNCTION("""COMPUTED_VALUE"""),522)</f>
        <v>522</v>
      </c>
      <c r="K287" s="97">
        <f t="shared" ca="1" si="1"/>
        <v>0</v>
      </c>
      <c r="L287" s="97">
        <f ca="1">IFERROR(__xludf.DUMMYFUNCTION("""COMPUTED_VALUE"""),0)</f>
        <v>0</v>
      </c>
      <c r="M287" s="97">
        <f ca="1">IFERROR(__xludf.DUMMYFUNCTION("""COMPUTED_VALUE"""),0)</f>
        <v>0</v>
      </c>
      <c r="N287" s="97">
        <f ca="1">IFERROR(__xludf.DUMMYFUNCTION("""COMPUTED_VALUE"""),0)</f>
        <v>0</v>
      </c>
      <c r="O287" s="97">
        <f ca="1">IFERROR(__xludf.DUMMYFUNCTION("""COMPUTED_VALUE"""),0)</f>
        <v>0</v>
      </c>
      <c r="P287" s="97">
        <f t="shared" ca="1" si="2"/>
        <v>0</v>
      </c>
      <c r="Q287" s="67"/>
      <c r="R287" s="67"/>
      <c r="S287" s="97">
        <f ca="1">IFERROR(__xludf.DUMMYFUNCTION("""COMPUTED_VALUE"""),0)</f>
        <v>0</v>
      </c>
      <c r="T287" s="97">
        <f ca="1">IFERROR(__xludf.DUMMYFUNCTION("""COMPUTED_VALUE"""),0)</f>
        <v>0</v>
      </c>
      <c r="U287" s="97">
        <f ca="1">IFERROR(__xludf.DUMMYFUNCTION("""COMPUTED_VALUE"""),0)</f>
        <v>0</v>
      </c>
      <c r="V287" s="97">
        <f ca="1">IFERROR(__xludf.DUMMYFUNCTION("""COMPUTED_VALUE"""),0)</f>
        <v>0</v>
      </c>
      <c r="W287" s="97">
        <f ca="1">IFERROR(__xludf.DUMMYFUNCTION("""COMPUTED_VALUE"""),0)</f>
        <v>0</v>
      </c>
      <c r="X287" s="97">
        <f ca="1">IFERROR(__xludf.DUMMYFUNCTION("""COMPUTED_VALUE"""),0)</f>
        <v>0</v>
      </c>
      <c r="Y287" s="97">
        <f t="shared" ca="1" si="3"/>
        <v>0</v>
      </c>
      <c r="Z287" s="67">
        <f t="shared" si="4"/>
        <v>0</v>
      </c>
      <c r="AA287" s="67"/>
      <c r="AB287" s="67"/>
      <c r="AC287" s="67"/>
      <c r="AD287" s="99" t="e">
        <f t="shared" ca="1" si="5"/>
        <v>#DIV/0!</v>
      </c>
      <c r="AE287" s="67"/>
      <c r="AF287" s="67"/>
      <c r="AG287" s="67"/>
      <c r="AH287" s="67"/>
      <c r="AI287" s="67"/>
      <c r="AJ287" s="67"/>
      <c r="AK287" s="67"/>
      <c r="AL287" s="67"/>
      <c r="AM287" s="67"/>
      <c r="AN287" s="67"/>
      <c r="AO287" s="67"/>
      <c r="AP287" s="67"/>
      <c r="AQ287" s="67"/>
      <c r="AR287" s="67"/>
      <c r="AS287" s="67"/>
      <c r="AT287" s="67"/>
    </row>
    <row r="288" spans="1:46" ht="72" x14ac:dyDescent="0.2">
      <c r="A288" s="20" t="str">
        <f ca="1">IFERROR(__xludf.DUMMYFUNCTION("""COMPUTED_VALUE"""),"Нарушен срок получения положительного заключения государственной экспертизы.")</f>
        <v>Нарушен срок получения положительного заключения государственной экспертизы.</v>
      </c>
      <c r="B288" s="93"/>
      <c r="C28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8" s="20" t="str">
        <f ca="1">IFERROR(__xludf.DUMMYFUNCTION("""COMPUTED_VALUE"""),"МинЖКХ")</f>
        <v>МинЖКХ</v>
      </c>
      <c r="E288" s="20" t="str">
        <f ca="1">IFERROR(__xludf.DUMMYFUNCTION("""COMPUTED_VALUE"""),"Строительство сетей водоснабжения от д. Поповская к д. Круги, д. Соломаево и д. Поцелуево г.о. Егорьевск (ПИР)")</f>
        <v>Строительство сетей водоснабжения от д. Поповская к д. Круги, д. Соломаево и д. Поцелуево г.о. Егорьевск (ПИР)</v>
      </c>
      <c r="F288" s="20" t="str">
        <f ca="1">IFERROR(__xludf.DUMMYFUNCTION("""COMPUTED_VALUE"""),"ПИР")</f>
        <v>ПИР</v>
      </c>
      <c r="G288" s="20" t="str">
        <f ca="1">IFERROR(__xludf.DUMMYFUNCTION("""COMPUTED_VALUE"""),"г.о. Егорьевск")</f>
        <v>г.о. Егорьевск</v>
      </c>
      <c r="H288" s="20">
        <f ca="1">IFERROR(__xludf.DUMMYFUNCTION("""COMPUTED_VALUE"""),2020)</f>
        <v>2020</v>
      </c>
      <c r="I288" s="20" t="str">
        <f ca="1">IFERROR(__xludf.DUMMYFUNCTION("""COMPUTED_VALUE"""),"10 3 02 64080")</f>
        <v>10 3 02 64080</v>
      </c>
      <c r="J288" s="20">
        <f ca="1">IFERROR(__xludf.DUMMYFUNCTION("""COMPUTED_VALUE"""),522)</f>
        <v>522</v>
      </c>
      <c r="K288" s="24">
        <f t="shared" ca="1" si="1"/>
        <v>5128.5199999999995</v>
      </c>
      <c r="L288" s="24">
        <f ca="1">IFERROR(__xludf.DUMMYFUNCTION("""COMPUTED_VALUE"""),4702.4)</f>
        <v>4702.3999999999996</v>
      </c>
      <c r="M288" s="24">
        <f ca="1">IFERROR(__xludf.DUMMYFUNCTION("""COMPUTED_VALUE"""),0)</f>
        <v>0</v>
      </c>
      <c r="N288" s="24">
        <f ca="1">IFERROR(__xludf.DUMMYFUNCTION("""COMPUTED_VALUE"""),0)</f>
        <v>0</v>
      </c>
      <c r="O288" s="24">
        <f ca="1">IFERROR(__xludf.DUMMYFUNCTION("""COMPUTED_VALUE"""),426.12)</f>
        <v>426.12</v>
      </c>
      <c r="P288" s="24">
        <f t="shared" ca="1" si="2"/>
        <v>4702.3999999999996</v>
      </c>
      <c r="Q288" s="20"/>
      <c r="R288" s="20"/>
      <c r="S288" s="24">
        <f ca="1">IFERROR(__xludf.DUMMYFUNCTION("""COMPUTED_VALUE"""),0)</f>
        <v>0</v>
      </c>
      <c r="T288" s="24">
        <f ca="1">IFERROR(__xludf.DUMMYFUNCTION("""COMPUTED_VALUE"""),5128.51999999999)</f>
        <v>5128.5199999999904</v>
      </c>
      <c r="U288" s="24">
        <f ca="1">IFERROR(__xludf.DUMMYFUNCTION("""COMPUTED_VALUE"""),4702.4)</f>
        <v>4702.3999999999996</v>
      </c>
      <c r="V288" s="24">
        <f ca="1">IFERROR(__xludf.DUMMYFUNCTION("""COMPUTED_VALUE"""),0)</f>
        <v>0</v>
      </c>
      <c r="W288" s="24">
        <f ca="1">IFERROR(__xludf.DUMMYFUNCTION("""COMPUTED_VALUE"""),0)</f>
        <v>0</v>
      </c>
      <c r="X288" s="24">
        <f ca="1">IFERROR(__xludf.DUMMYFUNCTION("""COMPUTED_VALUE"""),426.12)</f>
        <v>426.12</v>
      </c>
      <c r="Y288" s="24">
        <f t="shared" ca="1" si="3"/>
        <v>4702.3999999999996</v>
      </c>
      <c r="Z288" s="20">
        <f t="shared" ca="1" si="4"/>
        <v>0</v>
      </c>
      <c r="AA288" s="20"/>
      <c r="AB288" s="24">
        <f ca="1">IFERROR(__xludf.DUMMYFUNCTION("""COMPUTED_VALUE"""),0)</f>
        <v>0</v>
      </c>
      <c r="AC288" s="20"/>
      <c r="AD288" s="94">
        <f t="shared" ca="1" si="5"/>
        <v>0</v>
      </c>
      <c r="AE288" s="20"/>
      <c r="AF288" s="20"/>
      <c r="AG288" s="20"/>
      <c r="AH288" s="20"/>
      <c r="AI288" s="20"/>
      <c r="AJ288" s="20"/>
      <c r="AK288" s="20"/>
      <c r="AL288" s="20"/>
      <c r="AM288" s="20"/>
      <c r="AN288" s="20"/>
      <c r="AO288" s="20"/>
      <c r="AP288" s="20"/>
      <c r="AQ288" s="20"/>
      <c r="AR288" s="20"/>
      <c r="AS288" s="20"/>
      <c r="AT288" s="20"/>
    </row>
    <row r="289" spans="1:46" ht="84" x14ac:dyDescent="0.2">
      <c r="A289" s="20"/>
      <c r="B289" s="93"/>
      <c r="C289"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9" s="20" t="str">
        <f ca="1">IFERROR(__xludf.DUMMYFUNCTION("""COMPUTED_VALUE"""),"МинЖКХ")</f>
        <v>МинЖКХ</v>
      </c>
      <c r="E289" s="20" t="str">
        <f ca="1">IFERROR(__xludf.DUMMYFUNCTION("""COMPUTED_VALUE"""),"Приобретение , монтаж и ввод в эксплуатацию  котельной в д. Козловка г.о. Зарайск")</f>
        <v>Приобретение , монтаж и ввод в эксплуатацию  котельной в д. Козловка г.о. Зарайск</v>
      </c>
      <c r="F289" s="20" t="str">
        <f ca="1">IFERROR(__xludf.DUMMYFUNCTION("""COMPUTED_VALUE"""),"СМР")</f>
        <v>СМР</v>
      </c>
      <c r="G289" s="20" t="str">
        <f ca="1">IFERROR(__xludf.DUMMYFUNCTION("""COMPUTED_VALUE"""),"г.о. Зарайск")</f>
        <v>г.о. Зарайск</v>
      </c>
      <c r="H289" s="20">
        <f ca="1">IFERROR(__xludf.DUMMYFUNCTION("""COMPUTED_VALUE"""),2020)</f>
        <v>2020</v>
      </c>
      <c r="I289" s="20" t="str">
        <f ca="1">IFERROR(__xludf.DUMMYFUNCTION("""COMPUTED_VALUE"""),"10 3 02 60320")</f>
        <v>10 3 02 60320</v>
      </c>
      <c r="J289" s="20">
        <f ca="1">IFERROR(__xludf.DUMMYFUNCTION("""COMPUTED_VALUE"""),521)</f>
        <v>521</v>
      </c>
      <c r="K289" s="24">
        <f t="shared" ca="1" si="1"/>
        <v>1734.1399999999999</v>
      </c>
      <c r="L289" s="24">
        <f ca="1">IFERROR(__xludf.DUMMYFUNCTION("""COMPUTED_VALUE"""),0)</f>
        <v>0</v>
      </c>
      <c r="M289" s="24">
        <f ca="1">IFERROR(__xludf.DUMMYFUNCTION("""COMPUTED_VALUE"""),0)</f>
        <v>0</v>
      </c>
      <c r="N289" s="24">
        <f ca="1">IFERROR(__xludf.DUMMYFUNCTION("""COMPUTED_VALUE"""),1598)</f>
        <v>1598</v>
      </c>
      <c r="O289" s="24">
        <f ca="1">IFERROR(__xludf.DUMMYFUNCTION("""COMPUTED_VALUE"""),136.14)</f>
        <v>136.13999999999999</v>
      </c>
      <c r="P289" s="24">
        <f t="shared" ca="1" si="2"/>
        <v>1598</v>
      </c>
      <c r="Q289" s="20">
        <f ca="1">IFERROR(__xludf.DUMMYFUNCTION("""COMPUTED_VALUE"""),100)</f>
        <v>100</v>
      </c>
      <c r="R289" s="20"/>
      <c r="S289" s="24">
        <f ca="1">IFERROR(__xludf.DUMMYFUNCTION("""COMPUTED_VALUE"""),1582.02)</f>
        <v>1582.02</v>
      </c>
      <c r="T289" s="24">
        <f ca="1">IFERROR(__xludf.DUMMYFUNCTION("""COMPUTED_VALUE"""),152.119999999999)</f>
        <v>152.11999999999901</v>
      </c>
      <c r="U289" s="24">
        <f ca="1">IFERROR(__xludf.DUMMYFUNCTION("""COMPUTED_VALUE"""),0)</f>
        <v>0</v>
      </c>
      <c r="V289" s="24">
        <f ca="1">IFERROR(__xludf.DUMMYFUNCTION("""COMPUTED_VALUE"""),0)</f>
        <v>0</v>
      </c>
      <c r="W289" s="24">
        <f ca="1">IFERROR(__xludf.DUMMYFUNCTION("""COMPUTED_VALUE"""),15.98)</f>
        <v>15.98</v>
      </c>
      <c r="X289" s="24">
        <f ca="1">IFERROR(__xludf.DUMMYFUNCTION("""COMPUTED_VALUE"""),136.14)</f>
        <v>136.13999999999999</v>
      </c>
      <c r="Y289" s="24">
        <f t="shared" ca="1" si="3"/>
        <v>15.98</v>
      </c>
      <c r="Z289" s="20">
        <f t="shared" ca="1" si="4"/>
        <v>1582.02</v>
      </c>
      <c r="AA289" s="20"/>
      <c r="AB289" s="20"/>
      <c r="AC289" s="24">
        <f ca="1">IFERROR(__xludf.DUMMYFUNCTION("""COMPUTED_VALUE"""),1582.02)</f>
        <v>1582.02</v>
      </c>
      <c r="AD289" s="94">
        <f t="shared" ca="1" si="5"/>
        <v>0.99</v>
      </c>
      <c r="AE289" s="20"/>
      <c r="AF289" s="20"/>
      <c r="AG289" s="20"/>
      <c r="AH289" s="20"/>
      <c r="AI289" s="20"/>
      <c r="AJ289" s="20"/>
      <c r="AK289" s="20"/>
      <c r="AL289" s="20"/>
      <c r="AM289" s="20"/>
      <c r="AN289" s="20"/>
      <c r="AO289" s="20"/>
      <c r="AP289" s="20"/>
      <c r="AQ289" s="20"/>
      <c r="AR289" s="20"/>
      <c r="AS289" s="20"/>
      <c r="AT289" s="20"/>
    </row>
    <row r="290" spans="1:46" ht="84" x14ac:dyDescent="0.2">
      <c r="A290" s="20"/>
      <c r="B290" s="93"/>
      <c r="C290"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90" s="20" t="str">
        <f ca="1">IFERROR(__xludf.DUMMYFUNCTION("""COMPUTED_VALUE"""),"МинЖКХ")</f>
        <v>МинЖКХ</v>
      </c>
      <c r="E290" s="20" t="str">
        <f ca="1">IFERROR(__xludf.DUMMYFUNCTION("""COMPUTED_VALUE"""),"Приобретение , монтаж и ввод в эксплуатацию котельной д. Новоселки г.о. Зарайск")</f>
        <v>Приобретение , монтаж и ввод в эксплуатацию котельной д. Новоселки г.о. Зарайск</v>
      </c>
      <c r="F290" s="20" t="str">
        <f ca="1">IFERROR(__xludf.DUMMYFUNCTION("""COMPUTED_VALUE"""),"СМР")</f>
        <v>СМР</v>
      </c>
      <c r="G290" s="20" t="str">
        <f ca="1">IFERROR(__xludf.DUMMYFUNCTION("""COMPUTED_VALUE"""),"г.о. Зарайск")</f>
        <v>г.о. Зарайск</v>
      </c>
      <c r="H290" s="20">
        <f ca="1">IFERROR(__xludf.DUMMYFUNCTION("""COMPUTED_VALUE"""),2020)</f>
        <v>2020</v>
      </c>
      <c r="I290" s="20" t="str">
        <f ca="1">IFERROR(__xludf.DUMMYFUNCTION("""COMPUTED_VALUE"""),"10 3 02 60320")</f>
        <v>10 3 02 60320</v>
      </c>
      <c r="J290" s="20">
        <f ca="1">IFERROR(__xludf.DUMMYFUNCTION("""COMPUTED_VALUE"""),521)</f>
        <v>521</v>
      </c>
      <c r="K290" s="24">
        <f t="shared" ca="1" si="1"/>
        <v>1734.1399999999999</v>
      </c>
      <c r="L290" s="24">
        <f ca="1">IFERROR(__xludf.DUMMYFUNCTION("""COMPUTED_VALUE"""),0)</f>
        <v>0</v>
      </c>
      <c r="M290" s="24">
        <f ca="1">IFERROR(__xludf.DUMMYFUNCTION("""COMPUTED_VALUE"""),0)</f>
        <v>0</v>
      </c>
      <c r="N290" s="24">
        <f ca="1">IFERROR(__xludf.DUMMYFUNCTION("""COMPUTED_VALUE"""),1598)</f>
        <v>1598</v>
      </c>
      <c r="O290" s="24">
        <f ca="1">IFERROR(__xludf.DUMMYFUNCTION("""COMPUTED_VALUE"""),136.14)</f>
        <v>136.13999999999999</v>
      </c>
      <c r="P290" s="24">
        <f t="shared" ca="1" si="2"/>
        <v>1598</v>
      </c>
      <c r="Q290" s="20">
        <f ca="1">IFERROR(__xludf.DUMMYFUNCTION("""COMPUTED_VALUE"""),100)</f>
        <v>100</v>
      </c>
      <c r="R290" s="20"/>
      <c r="S290" s="24">
        <f ca="1">IFERROR(__xludf.DUMMYFUNCTION("""COMPUTED_VALUE"""),1582.02)</f>
        <v>1582.02</v>
      </c>
      <c r="T290" s="24">
        <f ca="1">IFERROR(__xludf.DUMMYFUNCTION("""COMPUTED_VALUE"""),152.119999999999)</f>
        <v>152.11999999999901</v>
      </c>
      <c r="U290" s="24">
        <f ca="1">IFERROR(__xludf.DUMMYFUNCTION("""COMPUTED_VALUE"""),0)</f>
        <v>0</v>
      </c>
      <c r="V290" s="24">
        <f ca="1">IFERROR(__xludf.DUMMYFUNCTION("""COMPUTED_VALUE"""),0)</f>
        <v>0</v>
      </c>
      <c r="W290" s="24">
        <f ca="1">IFERROR(__xludf.DUMMYFUNCTION("""COMPUTED_VALUE"""),15.98)</f>
        <v>15.98</v>
      </c>
      <c r="X290" s="24">
        <f ca="1">IFERROR(__xludf.DUMMYFUNCTION("""COMPUTED_VALUE"""),136.14)</f>
        <v>136.13999999999999</v>
      </c>
      <c r="Y290" s="24">
        <f t="shared" ca="1" si="3"/>
        <v>15.98</v>
      </c>
      <c r="Z290" s="20">
        <f t="shared" ca="1" si="4"/>
        <v>1582.02</v>
      </c>
      <c r="AA290" s="20"/>
      <c r="AB290" s="20"/>
      <c r="AC290" s="24">
        <f ca="1">IFERROR(__xludf.DUMMYFUNCTION("""COMPUTED_VALUE"""),1582.02)</f>
        <v>1582.02</v>
      </c>
      <c r="AD290" s="94">
        <f t="shared" ca="1" si="5"/>
        <v>0.99</v>
      </c>
      <c r="AE290" s="20"/>
      <c r="AF290" s="20"/>
      <c r="AG290" s="20"/>
      <c r="AH290" s="20"/>
      <c r="AI290" s="20"/>
      <c r="AJ290" s="20"/>
      <c r="AK290" s="20"/>
      <c r="AL290" s="20"/>
      <c r="AM290" s="20"/>
      <c r="AN290" s="20"/>
      <c r="AO290" s="20"/>
      <c r="AP290" s="20"/>
      <c r="AQ290" s="20"/>
      <c r="AR290" s="20"/>
      <c r="AS290" s="20"/>
      <c r="AT290" s="20"/>
    </row>
    <row r="291" spans="1:46" ht="72" x14ac:dyDescent="0.2">
      <c r="A291" s="20"/>
      <c r="B291" s="93"/>
      <c r="C29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1" s="20" t="str">
        <f ca="1">IFERROR(__xludf.DUMMYFUNCTION("""COMPUTED_VALUE"""),"МинЖКХ ""ТОП 5 (1 этап)""")</f>
        <v>МинЖКХ "ТОП 5 (1 этап)"</v>
      </c>
      <c r="E291" s="20" t="str">
        <f ca="1">IFERROR(__xludf.DUMMYFUNCTION("""COMPUTED_VALUE"""),"Строительство блочно-модульной котельной ""ГПТУ"" со снижением мощности в г. Зарайск, г.о. Зарайск (в т.ч. ПИР) ")</f>
        <v xml:space="preserve">Строительство блочно-модульной котельной "ГПТУ" со снижением мощности в г. Зарайск, г.о. Зарайск (в т.ч. ПИР) </v>
      </c>
      <c r="F291" s="20" t="str">
        <f ca="1">IFERROR(__xludf.DUMMYFUNCTION("""COMPUTED_VALUE"""),"СМР")</f>
        <v>СМР</v>
      </c>
      <c r="G291" s="20" t="str">
        <f ca="1">IFERROR(__xludf.DUMMYFUNCTION("""COMPUTED_VALUE"""),"г.о. Зарайск")</f>
        <v>г.о. Зарайск</v>
      </c>
      <c r="H291" s="20">
        <f ca="1">IFERROR(__xludf.DUMMYFUNCTION("""COMPUTED_VALUE"""),2020)</f>
        <v>2020</v>
      </c>
      <c r="I291" s="20" t="str">
        <f ca="1">IFERROR(__xludf.DUMMYFUNCTION("""COMPUTED_VALUE"""),"10 3 02 64080")</f>
        <v>10 3 02 64080</v>
      </c>
      <c r="J291" s="20">
        <f ca="1">IFERROR(__xludf.DUMMYFUNCTION("""COMPUTED_VALUE"""),522)</f>
        <v>522</v>
      </c>
      <c r="K291" s="24">
        <f t="shared" ca="1" si="1"/>
        <v>31581.88</v>
      </c>
      <c r="L291" s="24">
        <f ca="1">IFERROR(__xludf.DUMMYFUNCTION("""COMPUTED_VALUE"""),0)</f>
        <v>0</v>
      </c>
      <c r="M291" s="24">
        <f ca="1">IFERROR(__xludf.DUMMYFUNCTION("""COMPUTED_VALUE"""),0)</f>
        <v>0</v>
      </c>
      <c r="N291" s="24">
        <f ca="1">IFERROR(__xludf.DUMMYFUNCTION("""COMPUTED_VALUE"""),29244.82)</f>
        <v>29244.82</v>
      </c>
      <c r="O291" s="24">
        <f ca="1">IFERROR(__xludf.DUMMYFUNCTION("""COMPUTED_VALUE"""),2337.06)</f>
        <v>2337.06</v>
      </c>
      <c r="P291" s="24">
        <f t="shared" ca="1" si="2"/>
        <v>29244.82</v>
      </c>
      <c r="Q291" s="20">
        <f ca="1">IFERROR(__xludf.DUMMYFUNCTION("""COMPUTED_VALUE"""),12)</f>
        <v>12</v>
      </c>
      <c r="R291" s="20"/>
      <c r="S291" s="24">
        <f ca="1">IFERROR(__xludf.DUMMYFUNCTION("""COMPUTED_VALUE"""),28034.31)</f>
        <v>28034.31</v>
      </c>
      <c r="T291" s="24">
        <f ca="1">IFERROR(__xludf.DUMMYFUNCTION("""COMPUTED_VALUE"""),3547.56999999999)</f>
        <v>3547.5699999999902</v>
      </c>
      <c r="U291" s="24">
        <f ca="1">IFERROR(__xludf.DUMMYFUNCTION("""COMPUTED_VALUE"""),0)</f>
        <v>0</v>
      </c>
      <c r="V291" s="24">
        <f ca="1">IFERROR(__xludf.DUMMYFUNCTION("""COMPUTED_VALUE"""),0)</f>
        <v>0</v>
      </c>
      <c r="W291" s="24">
        <f ca="1">IFERROR(__xludf.DUMMYFUNCTION("""COMPUTED_VALUE"""),1210.50999999999)</f>
        <v>1210.50999999999</v>
      </c>
      <c r="X291" s="24">
        <f ca="1">IFERROR(__xludf.DUMMYFUNCTION("""COMPUTED_VALUE"""),2337.06)</f>
        <v>2337.06</v>
      </c>
      <c r="Y291" s="24">
        <f t="shared" ca="1" si="3"/>
        <v>1210.50999999999</v>
      </c>
      <c r="Z291" s="20">
        <f t="shared" ca="1" si="4"/>
        <v>28034.31</v>
      </c>
      <c r="AA291" s="20"/>
      <c r="AB291" s="24">
        <f ca="1">IFERROR(__xludf.DUMMYFUNCTION("""COMPUTED_VALUE"""),0)</f>
        <v>0</v>
      </c>
      <c r="AC291" s="20">
        <f ca="1">IFERROR(__xludf.DUMMYFUNCTION("""COMPUTED_VALUE"""),28034.31)</f>
        <v>28034.31</v>
      </c>
      <c r="AD291" s="94">
        <f t="shared" ca="1" si="5"/>
        <v>0.95860771240855647</v>
      </c>
      <c r="AE291" s="20"/>
      <c r="AF291" s="20"/>
      <c r="AG291" s="20"/>
      <c r="AH291" s="20"/>
      <c r="AI291" s="20"/>
      <c r="AJ291" s="20"/>
      <c r="AK291" s="20"/>
      <c r="AL291" s="20"/>
      <c r="AM291" s="20"/>
      <c r="AN291" s="20"/>
      <c r="AO291" s="20"/>
      <c r="AP291" s="20"/>
      <c r="AQ291" s="20"/>
      <c r="AR291" s="20"/>
      <c r="AS291" s="20"/>
      <c r="AT291" s="20"/>
    </row>
    <row r="292" spans="1:46" ht="72" x14ac:dyDescent="0.2">
      <c r="A292" s="20"/>
      <c r="B292" s="93"/>
      <c r="C29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2" s="20" t="str">
        <f ca="1">IFERROR(__xludf.DUMMYFUNCTION("""COMPUTED_VALUE"""),"МинЖКХ ""ТОП 5 (1 этап)""")</f>
        <v>МинЖКХ "ТОП 5 (1 этап)"</v>
      </c>
      <c r="E292" s="20" t="str">
        <f ca="1">IFERROR(__xludf.DUMMYFUNCTION("""COMPUTED_VALUE"""),"Строительство блочно-модульной котельной ""Струпна"" со снижением мощности в с. Чулки-Соколово, г.о. Зарайск (в т.ч. ПИР) ")</f>
        <v xml:space="preserve">Строительство блочно-модульной котельной "Струпна" со снижением мощности в с. Чулки-Соколово, г.о. Зарайск (в т.ч. ПИР) </v>
      </c>
      <c r="F292" s="20" t="str">
        <f ca="1">IFERROR(__xludf.DUMMYFUNCTION("""COMPUTED_VALUE"""),"ПИР ")</f>
        <v xml:space="preserve">ПИР </v>
      </c>
      <c r="G292" s="20" t="str">
        <f ca="1">IFERROR(__xludf.DUMMYFUNCTION("""COMPUTED_VALUE"""),"г.о. Зарайск")</f>
        <v>г.о. Зарайск</v>
      </c>
      <c r="H292" s="20" t="str">
        <f ca="1">IFERROR(__xludf.DUMMYFUNCTION("""COMPUTED_VALUE"""),"2020-2021")</f>
        <v>2020-2021</v>
      </c>
      <c r="I292" s="20" t="str">
        <f ca="1">IFERROR(__xludf.DUMMYFUNCTION("""COMPUTED_VALUE"""),"10 3 02 64080")</f>
        <v>10 3 02 64080</v>
      </c>
      <c r="J292" s="20">
        <f ca="1">IFERROR(__xludf.DUMMYFUNCTION("""COMPUTED_VALUE"""),522)</f>
        <v>522</v>
      </c>
      <c r="K292" s="24">
        <f t="shared" ca="1" si="1"/>
        <v>1900</v>
      </c>
      <c r="L292" s="24">
        <f ca="1">IFERROR(__xludf.DUMMYFUNCTION("""COMPUTED_VALUE"""),0)</f>
        <v>0</v>
      </c>
      <c r="M292" s="24">
        <f ca="1">IFERROR(__xludf.DUMMYFUNCTION("""COMPUTED_VALUE"""),0)</f>
        <v>0</v>
      </c>
      <c r="N292" s="24">
        <f ca="1">IFERROR(__xludf.DUMMYFUNCTION("""COMPUTED_VALUE"""),1759.4)</f>
        <v>1759.4</v>
      </c>
      <c r="O292" s="24">
        <f ca="1">IFERROR(__xludf.DUMMYFUNCTION("""COMPUTED_VALUE"""),140.6)</f>
        <v>140.6</v>
      </c>
      <c r="P292" s="24">
        <f t="shared" ca="1" si="2"/>
        <v>1759.4</v>
      </c>
      <c r="Q292" s="20"/>
      <c r="R292" s="20"/>
      <c r="S292" s="24">
        <f ca="1">IFERROR(__xludf.DUMMYFUNCTION("""COMPUTED_VALUE"""),0)</f>
        <v>0</v>
      </c>
      <c r="T292" s="24">
        <f ca="1">IFERROR(__xludf.DUMMYFUNCTION("""COMPUTED_VALUE"""),1900)</f>
        <v>1900</v>
      </c>
      <c r="U292" s="24">
        <f ca="1">IFERROR(__xludf.DUMMYFUNCTION("""COMPUTED_VALUE"""),0)</f>
        <v>0</v>
      </c>
      <c r="V292" s="24">
        <f ca="1">IFERROR(__xludf.DUMMYFUNCTION("""COMPUTED_VALUE"""),0)</f>
        <v>0</v>
      </c>
      <c r="W292" s="24">
        <f ca="1">IFERROR(__xludf.DUMMYFUNCTION("""COMPUTED_VALUE"""),1759.4)</f>
        <v>1759.4</v>
      </c>
      <c r="X292" s="24">
        <f ca="1">IFERROR(__xludf.DUMMYFUNCTION("""COMPUTED_VALUE"""),140.6)</f>
        <v>140.6</v>
      </c>
      <c r="Y292" s="24">
        <f t="shared" ca="1" si="3"/>
        <v>1759.4</v>
      </c>
      <c r="Z292" s="20">
        <f t="shared" ca="1" si="4"/>
        <v>0</v>
      </c>
      <c r="AA292" s="20"/>
      <c r="AB292" s="24">
        <f ca="1">IFERROR(__xludf.DUMMYFUNCTION("""COMPUTED_VALUE"""),0)</f>
        <v>0</v>
      </c>
      <c r="AC292" s="20"/>
      <c r="AD292" s="94">
        <f t="shared" ca="1" si="5"/>
        <v>0</v>
      </c>
      <c r="AE292" s="20"/>
      <c r="AF292" s="20"/>
      <c r="AG292" s="20"/>
      <c r="AH292" s="20"/>
      <c r="AI292" s="20"/>
      <c r="AJ292" s="20"/>
      <c r="AK292" s="20"/>
      <c r="AL292" s="20"/>
      <c r="AM292" s="20"/>
      <c r="AN292" s="20"/>
      <c r="AO292" s="20"/>
      <c r="AP292" s="20"/>
      <c r="AQ292" s="20"/>
      <c r="AR292" s="20"/>
      <c r="AS292" s="20"/>
      <c r="AT292" s="20"/>
    </row>
    <row r="293" spans="1:46" ht="72" x14ac:dyDescent="0.2">
      <c r="A293" s="20"/>
      <c r="B293" s="95"/>
      <c r="C29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3" s="20" t="str">
        <f ca="1">IFERROR(__xludf.DUMMYFUNCTION("""COMPUTED_VALUE"""),"МинЖКХ ""ТОП 5 (1 этап)""")</f>
        <v>МинЖКХ "ТОП 5 (1 этап)"</v>
      </c>
      <c r="E293" s="20" t="str">
        <f ca="1">IFERROR(__xludf.DUMMYFUNCTION("""COMPUTED_VALUE"""),"Строительство блочно-модульной котельной со снижением мощности в г. Зарайск, пос. ПМК-6  г.о. Зарайск (в т.ч. ПИР)")</f>
        <v>Строительство блочно-модульной котельной со снижением мощности в г. Зарайск, пос. ПМК-6  г.о. Зарайск (в т.ч. ПИР)</v>
      </c>
      <c r="F293" s="20" t="str">
        <f ca="1">IFERROR(__xludf.DUMMYFUNCTION("""COMPUTED_VALUE"""),"ПИР ")</f>
        <v xml:space="preserve">ПИР </v>
      </c>
      <c r="G293" s="20" t="str">
        <f ca="1">IFERROR(__xludf.DUMMYFUNCTION("""COMPUTED_VALUE"""),"г.о. Зарайск")</f>
        <v>г.о. Зарайск</v>
      </c>
      <c r="H293" s="20" t="str">
        <f ca="1">IFERROR(__xludf.DUMMYFUNCTION("""COMPUTED_VALUE"""),"2020-2021")</f>
        <v>2020-2021</v>
      </c>
      <c r="I293" s="20" t="str">
        <f ca="1">IFERROR(__xludf.DUMMYFUNCTION("""COMPUTED_VALUE"""),"10 3 02 64080")</f>
        <v>10 3 02 64080</v>
      </c>
      <c r="J293" s="20">
        <f ca="1">IFERROR(__xludf.DUMMYFUNCTION("""COMPUTED_VALUE"""),522)</f>
        <v>522</v>
      </c>
      <c r="K293" s="24">
        <f t="shared" ca="1" si="1"/>
        <v>1900</v>
      </c>
      <c r="L293" s="24">
        <f ca="1">IFERROR(__xludf.DUMMYFUNCTION("""COMPUTED_VALUE"""),0)</f>
        <v>0</v>
      </c>
      <c r="M293" s="24">
        <f ca="1">IFERROR(__xludf.DUMMYFUNCTION("""COMPUTED_VALUE"""),0)</f>
        <v>0</v>
      </c>
      <c r="N293" s="24">
        <f ca="1">IFERROR(__xludf.DUMMYFUNCTION("""COMPUTED_VALUE"""),1759.4)</f>
        <v>1759.4</v>
      </c>
      <c r="O293" s="24">
        <f ca="1">IFERROR(__xludf.DUMMYFUNCTION("""COMPUTED_VALUE"""),140.6)</f>
        <v>140.6</v>
      </c>
      <c r="P293" s="24">
        <f t="shared" ca="1" si="2"/>
        <v>1759.4</v>
      </c>
      <c r="Q293" s="20"/>
      <c r="R293" s="20"/>
      <c r="S293" s="24">
        <f ca="1">IFERROR(__xludf.DUMMYFUNCTION("""COMPUTED_VALUE"""),0)</f>
        <v>0</v>
      </c>
      <c r="T293" s="24">
        <f ca="1">IFERROR(__xludf.DUMMYFUNCTION("""COMPUTED_VALUE"""),1900)</f>
        <v>1900</v>
      </c>
      <c r="U293" s="24">
        <f ca="1">IFERROR(__xludf.DUMMYFUNCTION("""COMPUTED_VALUE"""),0)</f>
        <v>0</v>
      </c>
      <c r="V293" s="24">
        <f ca="1">IFERROR(__xludf.DUMMYFUNCTION("""COMPUTED_VALUE"""),0)</f>
        <v>0</v>
      </c>
      <c r="W293" s="24">
        <f ca="1">IFERROR(__xludf.DUMMYFUNCTION("""COMPUTED_VALUE"""),1759.4)</f>
        <v>1759.4</v>
      </c>
      <c r="X293" s="24">
        <f ca="1">IFERROR(__xludf.DUMMYFUNCTION("""COMPUTED_VALUE"""),140.6)</f>
        <v>140.6</v>
      </c>
      <c r="Y293" s="24">
        <f t="shared" ca="1" si="3"/>
        <v>1759.4</v>
      </c>
      <c r="Z293" s="20">
        <f t="shared" ca="1" si="4"/>
        <v>0</v>
      </c>
      <c r="AA293" s="20"/>
      <c r="AB293" s="24">
        <f ca="1">IFERROR(__xludf.DUMMYFUNCTION("""COMPUTED_VALUE"""),0)</f>
        <v>0</v>
      </c>
      <c r="AC293" s="20"/>
      <c r="AD293" s="94">
        <f t="shared" ca="1" si="5"/>
        <v>0</v>
      </c>
      <c r="AE293" s="20"/>
      <c r="AF293" s="20"/>
      <c r="AG293" s="20"/>
      <c r="AH293" s="20"/>
      <c r="AI293" s="20"/>
      <c r="AJ293" s="20"/>
      <c r="AK293" s="20"/>
      <c r="AL293" s="20"/>
      <c r="AM293" s="20"/>
      <c r="AN293" s="20"/>
      <c r="AO293" s="20"/>
      <c r="AP293" s="20"/>
      <c r="AQ293" s="20"/>
      <c r="AR293" s="20"/>
      <c r="AS293" s="20"/>
      <c r="AT293" s="20"/>
    </row>
    <row r="294" spans="1:46" ht="108" hidden="1" x14ac:dyDescent="0.2">
      <c r="A294" s="67"/>
      <c r="B294" s="100"/>
      <c r="C29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4" s="20" t="str">
        <f ca="1">IFERROR(__xludf.DUMMYFUNCTION("""COMPUTED_VALUE"""),"МинЖКХ")</f>
        <v>МинЖКХ</v>
      </c>
      <c r="E294" s="20" t="str">
        <f ca="1">IFERROR(__xludf.DUMMYFUNCTION("""COMPUTED_VALUE"""),"Строительство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"&amp;"и электроснабжения) ")</f>
        <v xml:space="preserv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и электроснабжения) </v>
      </c>
      <c r="F294" s="67" t="str">
        <f ca="1">IFERROR(__xludf.DUMMYFUNCTION("""COMPUTED_VALUE"""),"СМР")</f>
        <v>СМР</v>
      </c>
      <c r="G294" s="67" t="str">
        <f ca="1">IFERROR(__xludf.DUMMYFUNCTION("""COMPUTED_VALUE"""),"г.о. Раменский")</f>
        <v>г.о. Раменский</v>
      </c>
      <c r="H294" s="67" t="str">
        <f ca="1">IFERROR(__xludf.DUMMYFUNCTION("""COMPUTED_VALUE"""),"2021-2022")</f>
        <v>2021-2022</v>
      </c>
      <c r="I294" s="67" t="str">
        <f ca="1">IFERROR(__xludf.DUMMYFUNCTION("""COMPUTED_VALUE"""),"10 3 02 64080")</f>
        <v>10 3 02 64080</v>
      </c>
      <c r="J294" s="67">
        <f ca="1">IFERROR(__xludf.DUMMYFUNCTION("""COMPUTED_VALUE"""),522)</f>
        <v>522</v>
      </c>
      <c r="K294" s="97">
        <f t="shared" ca="1" si="1"/>
        <v>0</v>
      </c>
      <c r="L294" s="97">
        <f ca="1">IFERROR(__xludf.DUMMYFUNCTION("""COMPUTED_VALUE"""),0)</f>
        <v>0</v>
      </c>
      <c r="M294" s="97">
        <f ca="1">IFERROR(__xludf.DUMMYFUNCTION("""COMPUTED_VALUE"""),0)</f>
        <v>0</v>
      </c>
      <c r="N294" s="97">
        <f ca="1">IFERROR(__xludf.DUMMYFUNCTION("""COMPUTED_VALUE"""),0)</f>
        <v>0</v>
      </c>
      <c r="O294" s="97">
        <f ca="1">IFERROR(__xludf.DUMMYFUNCTION("""COMPUTED_VALUE"""),0)</f>
        <v>0</v>
      </c>
      <c r="P294" s="97">
        <f t="shared" ca="1" si="2"/>
        <v>0</v>
      </c>
      <c r="Q294" s="67">
        <f ca="1">IFERROR(__xludf.DUMMYFUNCTION("""COMPUTED_VALUE"""),8)</f>
        <v>8</v>
      </c>
      <c r="R294" s="67"/>
      <c r="S294" s="97">
        <f ca="1">IFERROR(__xludf.DUMMYFUNCTION("""COMPUTED_VALUE"""),0)</f>
        <v>0</v>
      </c>
      <c r="T294" s="97">
        <f ca="1">IFERROR(__xludf.DUMMYFUNCTION("""COMPUTED_VALUE"""),0)</f>
        <v>0</v>
      </c>
      <c r="U294" s="97">
        <f ca="1">IFERROR(__xludf.DUMMYFUNCTION("""COMPUTED_VALUE"""),0)</f>
        <v>0</v>
      </c>
      <c r="V294" s="97">
        <f ca="1">IFERROR(__xludf.DUMMYFUNCTION("""COMPUTED_VALUE"""),0)</f>
        <v>0</v>
      </c>
      <c r="W294" s="97">
        <f ca="1">IFERROR(__xludf.DUMMYFUNCTION("""COMPUTED_VALUE"""),0)</f>
        <v>0</v>
      </c>
      <c r="X294" s="97">
        <f ca="1">IFERROR(__xludf.DUMMYFUNCTION("""COMPUTED_VALUE"""),0)</f>
        <v>0</v>
      </c>
      <c r="Y294" s="97">
        <f t="shared" ca="1" si="3"/>
        <v>0</v>
      </c>
      <c r="Z294" s="67">
        <f t="shared" si="4"/>
        <v>0</v>
      </c>
      <c r="AA294" s="67"/>
      <c r="AB294" s="67"/>
      <c r="AC294" s="67"/>
      <c r="AD294" s="99" t="e">
        <f t="shared" ca="1" si="5"/>
        <v>#DIV/0!</v>
      </c>
      <c r="AE294" s="67"/>
      <c r="AF294" s="67"/>
      <c r="AG294" s="67"/>
      <c r="AH294" s="67"/>
      <c r="AI294" s="67"/>
      <c r="AJ294" s="67"/>
      <c r="AK294" s="67"/>
      <c r="AL294" s="67"/>
      <c r="AM294" s="67"/>
      <c r="AN294" s="67"/>
      <c r="AO294" s="67"/>
      <c r="AP294" s="67"/>
      <c r="AQ294" s="67"/>
      <c r="AR294" s="67"/>
      <c r="AS294" s="67"/>
      <c r="AT294" s="67"/>
    </row>
    <row r="295" spans="1:46" ht="72" x14ac:dyDescent="0.2">
      <c r="A295" s="20"/>
      <c r="B295" s="95"/>
      <c r="C29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5" s="20" t="str">
        <f ca="1">IFERROR(__xludf.DUMMYFUNCTION("""COMPUTED_VALUE"""),"МинЖКХ ""ТОП 5 (1 этап)""")</f>
        <v>МинЖКХ "ТОП 5 (1 этап)"</v>
      </c>
      <c r="E295" s="20" t="str">
        <f ca="1">IFERROR(__xludf.DUMMYFUNCTION("""COMPUTED_VALUE"""),"Строительство блочно-модульной котельной со снижением мощности в д. Авдеево, г.о. Зарайск (в т.ч. ПИР) ")</f>
        <v xml:space="preserve">Строительство блочно-модульной котельной со снижением мощности в д. Авдеево, г.о. Зарайск (в т.ч. ПИР) </v>
      </c>
      <c r="F295" s="20" t="str">
        <f ca="1">IFERROR(__xludf.DUMMYFUNCTION("""COMPUTED_VALUE"""),"ПИР ")</f>
        <v xml:space="preserve">ПИР </v>
      </c>
      <c r="G295" s="20" t="str">
        <f ca="1">IFERROR(__xludf.DUMMYFUNCTION("""COMPUTED_VALUE"""),"г.о. Зарайск")</f>
        <v>г.о. Зарайск</v>
      </c>
      <c r="H295" s="20" t="str">
        <f ca="1">IFERROR(__xludf.DUMMYFUNCTION("""COMPUTED_VALUE"""),"2020-2021")</f>
        <v>2020-2021</v>
      </c>
      <c r="I295" s="20" t="str">
        <f ca="1">IFERROR(__xludf.DUMMYFUNCTION("""COMPUTED_VALUE"""),"10 3 02 64080")</f>
        <v>10 3 02 64080</v>
      </c>
      <c r="J295" s="20">
        <f ca="1">IFERROR(__xludf.DUMMYFUNCTION("""COMPUTED_VALUE"""),522)</f>
        <v>522</v>
      </c>
      <c r="K295" s="24">
        <f t="shared" ca="1" si="1"/>
        <v>1900</v>
      </c>
      <c r="L295" s="24">
        <f ca="1">IFERROR(__xludf.DUMMYFUNCTION("""COMPUTED_VALUE"""),0)</f>
        <v>0</v>
      </c>
      <c r="M295" s="24">
        <f ca="1">IFERROR(__xludf.DUMMYFUNCTION("""COMPUTED_VALUE"""),0)</f>
        <v>0</v>
      </c>
      <c r="N295" s="24">
        <f ca="1">IFERROR(__xludf.DUMMYFUNCTION("""COMPUTED_VALUE"""),1759.4)</f>
        <v>1759.4</v>
      </c>
      <c r="O295" s="24">
        <f ca="1">IFERROR(__xludf.DUMMYFUNCTION("""COMPUTED_VALUE"""),140.6)</f>
        <v>140.6</v>
      </c>
      <c r="P295" s="24">
        <f t="shared" ca="1" si="2"/>
        <v>1759.4</v>
      </c>
      <c r="Q295" s="20"/>
      <c r="R295" s="20"/>
      <c r="S295" s="24">
        <f ca="1">IFERROR(__xludf.DUMMYFUNCTION("""COMPUTED_VALUE"""),0)</f>
        <v>0</v>
      </c>
      <c r="T295" s="24">
        <f ca="1">IFERROR(__xludf.DUMMYFUNCTION("""COMPUTED_VALUE"""),1900)</f>
        <v>1900</v>
      </c>
      <c r="U295" s="24">
        <f ca="1">IFERROR(__xludf.DUMMYFUNCTION("""COMPUTED_VALUE"""),0)</f>
        <v>0</v>
      </c>
      <c r="V295" s="24">
        <f ca="1">IFERROR(__xludf.DUMMYFUNCTION("""COMPUTED_VALUE"""),0)</f>
        <v>0</v>
      </c>
      <c r="W295" s="24">
        <f ca="1">IFERROR(__xludf.DUMMYFUNCTION("""COMPUTED_VALUE"""),1759.4)</f>
        <v>1759.4</v>
      </c>
      <c r="X295" s="24">
        <f ca="1">IFERROR(__xludf.DUMMYFUNCTION("""COMPUTED_VALUE"""),140.6)</f>
        <v>140.6</v>
      </c>
      <c r="Y295" s="24">
        <f t="shared" ca="1" si="3"/>
        <v>1759.4</v>
      </c>
      <c r="Z295" s="20">
        <f t="shared" ca="1" si="4"/>
        <v>0</v>
      </c>
      <c r="AA295" s="20"/>
      <c r="AB295" s="24">
        <f ca="1">IFERROR(__xludf.DUMMYFUNCTION("""COMPUTED_VALUE"""),0)</f>
        <v>0</v>
      </c>
      <c r="AC295" s="20"/>
      <c r="AD295" s="94">
        <f t="shared" ca="1" si="5"/>
        <v>0</v>
      </c>
      <c r="AE295" s="20"/>
      <c r="AF295" s="20"/>
      <c r="AG295" s="20"/>
      <c r="AH295" s="20"/>
      <c r="AI295" s="20"/>
      <c r="AJ295" s="20"/>
      <c r="AK295" s="20"/>
      <c r="AL295" s="20"/>
      <c r="AM295" s="20"/>
      <c r="AN295" s="20"/>
      <c r="AO295" s="20"/>
      <c r="AP295" s="20"/>
      <c r="AQ295" s="20"/>
      <c r="AR295" s="20"/>
      <c r="AS295" s="20"/>
      <c r="AT295" s="20"/>
    </row>
    <row r="296" spans="1:46" ht="72" hidden="1" x14ac:dyDescent="0.2">
      <c r="A296" s="67"/>
      <c r="B296" s="100"/>
      <c r="C29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6" s="20" t="str">
        <f ca="1">IFERROR(__xludf.DUMMYFUNCTION("""COMPUTED_VALUE"""),"МинЖКХ")</f>
        <v>МинЖКХ</v>
      </c>
      <c r="E296" s="20" t="str">
        <f ca="1">IFERROR(__xludf.DUMMYFUNCTION("""COMPUTED_VALUE"""),"Строительство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f>
        <v>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v>
      </c>
      <c r="F296" s="67" t="str">
        <f ca="1">IFERROR(__xludf.DUMMYFUNCTION("""COMPUTED_VALUE"""),"СМР")</f>
        <v>СМР</v>
      </c>
      <c r="G296" s="67" t="str">
        <f ca="1">IFERROR(__xludf.DUMMYFUNCTION("""COMPUTED_VALUE"""),"г.о. Красногорск")</f>
        <v>г.о. Красногорск</v>
      </c>
      <c r="H296" s="67" t="str">
        <f ca="1">IFERROR(__xludf.DUMMYFUNCTION("""COMPUTED_VALUE"""),"2022-2023")</f>
        <v>2022-2023</v>
      </c>
      <c r="I296" s="67" t="str">
        <f ca="1">IFERROR(__xludf.DUMMYFUNCTION("""COMPUTED_VALUE"""),"10 3 02 64080")</f>
        <v>10 3 02 64080</v>
      </c>
      <c r="J296" s="67">
        <f ca="1">IFERROR(__xludf.DUMMYFUNCTION("""COMPUTED_VALUE"""),522)</f>
        <v>522</v>
      </c>
      <c r="K296" s="97">
        <f t="shared" ca="1" si="1"/>
        <v>0</v>
      </c>
      <c r="L296" s="97">
        <f ca="1">IFERROR(__xludf.DUMMYFUNCTION("""COMPUTED_VALUE"""),0)</f>
        <v>0</v>
      </c>
      <c r="M296" s="97">
        <f ca="1">IFERROR(__xludf.DUMMYFUNCTION("""COMPUTED_VALUE"""),0)</f>
        <v>0</v>
      </c>
      <c r="N296" s="97">
        <f ca="1">IFERROR(__xludf.DUMMYFUNCTION("""COMPUTED_VALUE"""),0)</f>
        <v>0</v>
      </c>
      <c r="O296" s="97">
        <f ca="1">IFERROR(__xludf.DUMMYFUNCTION("""COMPUTED_VALUE"""),0)</f>
        <v>0</v>
      </c>
      <c r="P296" s="97">
        <f t="shared" ca="1" si="2"/>
        <v>0</v>
      </c>
      <c r="Q296" s="67"/>
      <c r="R296" s="67"/>
      <c r="S296" s="97">
        <f ca="1">IFERROR(__xludf.DUMMYFUNCTION("""COMPUTED_VALUE"""),0)</f>
        <v>0</v>
      </c>
      <c r="T296" s="97">
        <f ca="1">IFERROR(__xludf.DUMMYFUNCTION("""COMPUTED_VALUE"""),0)</f>
        <v>0</v>
      </c>
      <c r="U296" s="97">
        <f ca="1">IFERROR(__xludf.DUMMYFUNCTION("""COMPUTED_VALUE"""),0)</f>
        <v>0</v>
      </c>
      <c r="V296" s="97">
        <f ca="1">IFERROR(__xludf.DUMMYFUNCTION("""COMPUTED_VALUE"""),0)</f>
        <v>0</v>
      </c>
      <c r="W296" s="97">
        <f ca="1">IFERROR(__xludf.DUMMYFUNCTION("""COMPUTED_VALUE"""),0)</f>
        <v>0</v>
      </c>
      <c r="X296" s="97">
        <f ca="1">IFERROR(__xludf.DUMMYFUNCTION("""COMPUTED_VALUE"""),0)</f>
        <v>0</v>
      </c>
      <c r="Y296" s="97">
        <f t="shared" ca="1" si="3"/>
        <v>0</v>
      </c>
      <c r="Z296" s="67">
        <f t="shared" si="4"/>
        <v>0</v>
      </c>
      <c r="AA296" s="67"/>
      <c r="AB296" s="67"/>
      <c r="AC296" s="67"/>
      <c r="AD296" s="99" t="e">
        <f t="shared" ca="1" si="5"/>
        <v>#DIV/0!</v>
      </c>
      <c r="AE296" s="67"/>
      <c r="AF296" s="67"/>
      <c r="AG296" s="67"/>
      <c r="AH296" s="67"/>
      <c r="AI296" s="67"/>
      <c r="AJ296" s="67"/>
      <c r="AK296" s="67"/>
      <c r="AL296" s="67"/>
      <c r="AM296" s="67"/>
      <c r="AN296" s="67"/>
      <c r="AO296" s="67"/>
      <c r="AP296" s="67"/>
      <c r="AQ296" s="67"/>
      <c r="AR296" s="67"/>
      <c r="AS296" s="67"/>
      <c r="AT296" s="67"/>
    </row>
    <row r="297" spans="1:46" ht="72" x14ac:dyDescent="0.2">
      <c r="A297" s="20"/>
      <c r="B297" s="95"/>
      <c r="C29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7" s="20" t="str">
        <f ca="1">IFERROR(__xludf.DUMMYFUNCTION("""COMPUTED_VALUE"""),"МинЖКХ ""ТОП 5 (1 этап)""")</f>
        <v>МинЖКХ "ТОП 5 (1 этап)"</v>
      </c>
      <c r="E297" s="20" t="str">
        <f ca="1">IFERROR(__xludf.DUMMYFUNCTION("""COMPUTED_VALUE"""),"Строительство блочно-модульной котельной со снижением мощности в д. Алферьево, г.о. Зарайск (в т.ч. ПИР) ")</f>
        <v xml:space="preserve">Строительство блочно-модульной котельной со снижением мощности в д. Алферьево, г.о. Зарайск (в т.ч. ПИР) </v>
      </c>
      <c r="F297" s="20" t="str">
        <f ca="1">IFERROR(__xludf.DUMMYFUNCTION("""COMPUTED_VALUE"""),"ПИР ")</f>
        <v xml:space="preserve">ПИР </v>
      </c>
      <c r="G297" s="20" t="str">
        <f ca="1">IFERROR(__xludf.DUMMYFUNCTION("""COMPUTED_VALUE"""),"г.о. Зарайск")</f>
        <v>г.о. Зарайск</v>
      </c>
      <c r="H297" s="20" t="str">
        <f ca="1">IFERROR(__xludf.DUMMYFUNCTION("""COMPUTED_VALUE"""),"2020-2021")</f>
        <v>2020-2021</v>
      </c>
      <c r="I297" s="20" t="str">
        <f ca="1">IFERROR(__xludf.DUMMYFUNCTION("""COMPUTED_VALUE"""),"10 3 02 64080")</f>
        <v>10 3 02 64080</v>
      </c>
      <c r="J297" s="20">
        <f ca="1">IFERROR(__xludf.DUMMYFUNCTION("""COMPUTED_VALUE"""),522)</f>
        <v>522</v>
      </c>
      <c r="K297" s="24">
        <f t="shared" ca="1" si="1"/>
        <v>1900</v>
      </c>
      <c r="L297" s="24">
        <f ca="1">IFERROR(__xludf.DUMMYFUNCTION("""COMPUTED_VALUE"""),0)</f>
        <v>0</v>
      </c>
      <c r="M297" s="24">
        <f ca="1">IFERROR(__xludf.DUMMYFUNCTION("""COMPUTED_VALUE"""),0)</f>
        <v>0</v>
      </c>
      <c r="N297" s="24">
        <f ca="1">IFERROR(__xludf.DUMMYFUNCTION("""COMPUTED_VALUE"""),1759.4)</f>
        <v>1759.4</v>
      </c>
      <c r="O297" s="24">
        <f ca="1">IFERROR(__xludf.DUMMYFUNCTION("""COMPUTED_VALUE"""),140.6)</f>
        <v>140.6</v>
      </c>
      <c r="P297" s="24">
        <f t="shared" ca="1" si="2"/>
        <v>1759.4</v>
      </c>
      <c r="Q297" s="20"/>
      <c r="R297" s="20"/>
      <c r="S297" s="24">
        <f ca="1">IFERROR(__xludf.DUMMYFUNCTION("""COMPUTED_VALUE"""),0)</f>
        <v>0</v>
      </c>
      <c r="T297" s="24">
        <f ca="1">IFERROR(__xludf.DUMMYFUNCTION("""COMPUTED_VALUE"""),1900)</f>
        <v>1900</v>
      </c>
      <c r="U297" s="24">
        <f ca="1">IFERROR(__xludf.DUMMYFUNCTION("""COMPUTED_VALUE"""),0)</f>
        <v>0</v>
      </c>
      <c r="V297" s="24">
        <f ca="1">IFERROR(__xludf.DUMMYFUNCTION("""COMPUTED_VALUE"""),0)</f>
        <v>0</v>
      </c>
      <c r="W297" s="24">
        <f ca="1">IFERROR(__xludf.DUMMYFUNCTION("""COMPUTED_VALUE"""),1759.4)</f>
        <v>1759.4</v>
      </c>
      <c r="X297" s="24">
        <f ca="1">IFERROR(__xludf.DUMMYFUNCTION("""COMPUTED_VALUE"""),140.6)</f>
        <v>140.6</v>
      </c>
      <c r="Y297" s="24">
        <f t="shared" ca="1" si="3"/>
        <v>1759.4</v>
      </c>
      <c r="Z297" s="20">
        <f t="shared" ca="1" si="4"/>
        <v>0</v>
      </c>
      <c r="AA297" s="20"/>
      <c r="AB297" s="24">
        <f ca="1">IFERROR(__xludf.DUMMYFUNCTION("""COMPUTED_VALUE"""),0)</f>
        <v>0</v>
      </c>
      <c r="AC297" s="20"/>
      <c r="AD297" s="94">
        <f t="shared" ca="1" si="5"/>
        <v>0</v>
      </c>
      <c r="AE297" s="20"/>
      <c r="AF297" s="20"/>
      <c r="AG297" s="20"/>
      <c r="AH297" s="20"/>
      <c r="AI297" s="20"/>
      <c r="AJ297" s="20"/>
      <c r="AK297" s="20"/>
      <c r="AL297" s="20"/>
      <c r="AM297" s="20"/>
      <c r="AN297" s="20"/>
      <c r="AO297" s="20"/>
      <c r="AP297" s="20"/>
      <c r="AQ297" s="20"/>
      <c r="AR297" s="20"/>
      <c r="AS297" s="20"/>
      <c r="AT297" s="20"/>
    </row>
    <row r="298" spans="1:46" ht="72" hidden="1" x14ac:dyDescent="0.2">
      <c r="A298" s="67"/>
      <c r="B298" s="100"/>
      <c r="C29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8" s="20" t="str">
        <f ca="1">IFERROR(__xludf.DUMMYFUNCTION("""COMPUTED_VALUE"""),"МинЖКХ")</f>
        <v>МинЖКХ</v>
      </c>
      <c r="E298" s="20" t="str">
        <f ca="1">IFERROR(__xludf.DUMMYFUNCTION("""COMPUTED_VALUE"""),"Реконструкция   тепловых сетей отопления и горячего водоснабжения   (в том числе ПИР) по адресу: городской округ Красногорск, пос. Архангельское")</f>
        <v>Реконструкция   тепловых сетей отопления и горячего водоснабжения   (в том числе ПИР) по адресу: городской округ Красногорск, пос. Архангельское</v>
      </c>
      <c r="F298" s="67" t="str">
        <f ca="1">IFERROR(__xludf.DUMMYFUNCTION("""COMPUTED_VALUE"""),"СМР")</f>
        <v>СМР</v>
      </c>
      <c r="G298" s="67" t="str">
        <f ca="1">IFERROR(__xludf.DUMMYFUNCTION("""COMPUTED_VALUE"""),"г.о. Красногорск")</f>
        <v>г.о. Красногорск</v>
      </c>
      <c r="H298" s="67" t="str">
        <f ca="1">IFERROR(__xludf.DUMMYFUNCTION("""COMPUTED_VALUE"""),"2021-2022")</f>
        <v>2021-2022</v>
      </c>
      <c r="I298" s="67" t="str">
        <f ca="1">IFERROR(__xludf.DUMMYFUNCTION("""COMPUTED_VALUE"""),"10 3 02 64080")</f>
        <v>10 3 02 64080</v>
      </c>
      <c r="J298" s="67">
        <f ca="1">IFERROR(__xludf.DUMMYFUNCTION("""COMPUTED_VALUE"""),522)</f>
        <v>522</v>
      </c>
      <c r="K298" s="97">
        <f t="shared" ca="1" si="1"/>
        <v>0</v>
      </c>
      <c r="L298" s="97">
        <f ca="1">IFERROR(__xludf.DUMMYFUNCTION("""COMPUTED_VALUE"""),0)</f>
        <v>0</v>
      </c>
      <c r="M298" s="97">
        <f ca="1">IFERROR(__xludf.DUMMYFUNCTION("""COMPUTED_VALUE"""),0)</f>
        <v>0</v>
      </c>
      <c r="N298" s="97">
        <f ca="1">IFERROR(__xludf.DUMMYFUNCTION("""COMPUTED_VALUE"""),0)</f>
        <v>0</v>
      </c>
      <c r="O298" s="97">
        <f ca="1">IFERROR(__xludf.DUMMYFUNCTION("""COMPUTED_VALUE"""),0)</f>
        <v>0</v>
      </c>
      <c r="P298" s="97">
        <f t="shared" ca="1" si="2"/>
        <v>0</v>
      </c>
      <c r="Q298" s="67"/>
      <c r="R298" s="67"/>
      <c r="S298" s="97">
        <f ca="1">IFERROR(__xludf.DUMMYFUNCTION("""COMPUTED_VALUE"""),0)</f>
        <v>0</v>
      </c>
      <c r="T298" s="97">
        <f ca="1">IFERROR(__xludf.DUMMYFUNCTION("""COMPUTED_VALUE"""),0)</f>
        <v>0</v>
      </c>
      <c r="U298" s="97">
        <f ca="1">IFERROR(__xludf.DUMMYFUNCTION("""COMPUTED_VALUE"""),0)</f>
        <v>0</v>
      </c>
      <c r="V298" s="97">
        <f ca="1">IFERROR(__xludf.DUMMYFUNCTION("""COMPUTED_VALUE"""),0)</f>
        <v>0</v>
      </c>
      <c r="W298" s="97">
        <f ca="1">IFERROR(__xludf.DUMMYFUNCTION("""COMPUTED_VALUE"""),0)</f>
        <v>0</v>
      </c>
      <c r="X298" s="97">
        <f ca="1">IFERROR(__xludf.DUMMYFUNCTION("""COMPUTED_VALUE"""),0)</f>
        <v>0</v>
      </c>
      <c r="Y298" s="97">
        <f t="shared" ca="1" si="3"/>
        <v>0</v>
      </c>
      <c r="Z298" s="67">
        <f t="shared" si="4"/>
        <v>0</v>
      </c>
      <c r="AA298" s="67"/>
      <c r="AB298" s="67"/>
      <c r="AC298" s="67"/>
      <c r="AD298" s="99" t="e">
        <f t="shared" ca="1" si="5"/>
        <v>#DIV/0!</v>
      </c>
      <c r="AE298" s="67"/>
      <c r="AF298" s="67"/>
      <c r="AG298" s="67"/>
      <c r="AH298" s="67"/>
      <c r="AI298" s="67"/>
      <c r="AJ298" s="67"/>
      <c r="AK298" s="67"/>
      <c r="AL298" s="67"/>
      <c r="AM298" s="67"/>
      <c r="AN298" s="67"/>
      <c r="AO298" s="67"/>
      <c r="AP298" s="67"/>
      <c r="AQ298" s="67"/>
      <c r="AR298" s="67"/>
      <c r="AS298" s="67"/>
      <c r="AT298" s="67"/>
    </row>
    <row r="299" spans="1:46" ht="72" x14ac:dyDescent="0.2">
      <c r="A299" s="20"/>
      <c r="B299" s="95"/>
      <c r="C29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9" s="20" t="str">
        <f ca="1">IFERROR(__xludf.DUMMYFUNCTION("""COMPUTED_VALUE"""),"МинЖКХ ""ТОП 5 (1 этап)""")</f>
        <v>МинЖКХ "ТОП 5 (1 этап)"</v>
      </c>
      <c r="E299" s="20" t="str">
        <f ca="1">IFERROR(__xludf.DUMMYFUNCTION("""COMPUTED_VALUE"""),"Строительство блочно-модульной котельной со снижением мощности в д. Гололобово г.о. Зарайск")</f>
        <v>Строительство блочно-модульной котельной со снижением мощности в д. Гололобово г.о. Зарайск</v>
      </c>
      <c r="F299" s="20" t="str">
        <f ca="1">IFERROR(__xludf.DUMMYFUNCTION("""COMPUTED_VALUE"""),"СМР")</f>
        <v>СМР</v>
      </c>
      <c r="G299" s="20" t="str">
        <f ca="1">IFERROR(__xludf.DUMMYFUNCTION("""COMPUTED_VALUE"""),"г.о. Зарайск")</f>
        <v>г.о. Зарайск</v>
      </c>
      <c r="H299" s="20">
        <f ca="1">IFERROR(__xludf.DUMMYFUNCTION("""COMPUTED_VALUE"""),2020)</f>
        <v>2020</v>
      </c>
      <c r="I299" s="20" t="str">
        <f ca="1">IFERROR(__xludf.DUMMYFUNCTION("""COMPUTED_VALUE"""),"10 3 02 64080")</f>
        <v>10 3 02 64080</v>
      </c>
      <c r="J299" s="20">
        <f ca="1">IFERROR(__xludf.DUMMYFUNCTION("""COMPUTED_VALUE"""),522)</f>
        <v>522</v>
      </c>
      <c r="K299" s="24">
        <f t="shared" ca="1" si="1"/>
        <v>11775.310000000001</v>
      </c>
      <c r="L299" s="24">
        <f ca="1">IFERROR(__xludf.DUMMYFUNCTION("""COMPUTED_VALUE"""),0)</f>
        <v>0</v>
      </c>
      <c r="M299" s="24">
        <f ca="1">IFERROR(__xludf.DUMMYFUNCTION("""COMPUTED_VALUE"""),0)</f>
        <v>0</v>
      </c>
      <c r="N299" s="24">
        <f ca="1">IFERROR(__xludf.DUMMYFUNCTION("""COMPUTED_VALUE"""),10903.94)</f>
        <v>10903.94</v>
      </c>
      <c r="O299" s="24">
        <f ca="1">IFERROR(__xludf.DUMMYFUNCTION("""COMPUTED_VALUE"""),871.37)</f>
        <v>871.37</v>
      </c>
      <c r="P299" s="24">
        <f t="shared" ca="1" si="2"/>
        <v>10903.94</v>
      </c>
      <c r="Q299" s="20">
        <f ca="1">IFERROR(__xludf.DUMMYFUNCTION("""COMPUTED_VALUE"""),60)</f>
        <v>60</v>
      </c>
      <c r="R299" s="20"/>
      <c r="S299" s="24">
        <f ca="1">IFERROR(__xludf.DUMMYFUNCTION("""COMPUTED_VALUE"""),10903.94)</f>
        <v>10903.94</v>
      </c>
      <c r="T299" s="24">
        <f ca="1">IFERROR(__xludf.DUMMYFUNCTION("""COMPUTED_VALUE"""),871.37)</f>
        <v>871.37</v>
      </c>
      <c r="U299" s="24">
        <f ca="1">IFERROR(__xludf.DUMMYFUNCTION("""COMPUTED_VALUE"""),0)</f>
        <v>0</v>
      </c>
      <c r="V299" s="24">
        <f ca="1">IFERROR(__xludf.DUMMYFUNCTION("""COMPUTED_VALUE"""),0)</f>
        <v>0</v>
      </c>
      <c r="W299" s="24">
        <f ca="1">IFERROR(__xludf.DUMMYFUNCTION("""COMPUTED_VALUE"""),0)</f>
        <v>0</v>
      </c>
      <c r="X299" s="24">
        <f ca="1">IFERROR(__xludf.DUMMYFUNCTION("""COMPUTED_VALUE"""),871.37)</f>
        <v>871.37</v>
      </c>
      <c r="Y299" s="24">
        <f t="shared" ca="1" si="3"/>
        <v>0</v>
      </c>
      <c r="Z299" s="20">
        <f t="shared" ca="1" si="4"/>
        <v>10903.94</v>
      </c>
      <c r="AA299" s="20"/>
      <c r="AB299" s="24">
        <f ca="1">IFERROR(__xludf.DUMMYFUNCTION("""COMPUTED_VALUE"""),0)</f>
        <v>0</v>
      </c>
      <c r="AC299" s="20">
        <f ca="1">IFERROR(__xludf.DUMMYFUNCTION("""COMPUTED_VALUE"""),10903.94)</f>
        <v>10903.94</v>
      </c>
      <c r="AD299" s="94">
        <f t="shared" ca="1" si="5"/>
        <v>1</v>
      </c>
      <c r="AE299" s="20"/>
      <c r="AF299" s="20"/>
      <c r="AG299" s="20"/>
      <c r="AH299" s="20"/>
      <c r="AI299" s="20"/>
      <c r="AJ299" s="20"/>
      <c r="AK299" s="20"/>
      <c r="AL299" s="20"/>
      <c r="AM299" s="20"/>
      <c r="AN299" s="20"/>
      <c r="AO299" s="20"/>
      <c r="AP299" s="20"/>
      <c r="AQ299" s="20"/>
      <c r="AR299" s="20"/>
      <c r="AS299" s="20"/>
      <c r="AT299" s="20"/>
    </row>
    <row r="300" spans="1:46" ht="84" hidden="1" x14ac:dyDescent="0.2">
      <c r="A300" s="67"/>
      <c r="B300" s="96"/>
      <c r="C30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0" s="20" t="str">
        <f ca="1">IFERROR(__xludf.DUMMYFUNCTION("""COMPUTED_VALUE"""),"МинЖКХ")</f>
        <v>МинЖКХ</v>
      </c>
      <c r="E300" s="20" t="str">
        <f ca="1">IFERROR(__xludf.DUMMYFUNCTION("""COMPUTED_VALUE"""),"Строительство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f>
        <v>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v>
      </c>
      <c r="F300" s="67" t="str">
        <f ca="1">IFERROR(__xludf.DUMMYFUNCTION("""COMPUTED_VALUE"""),"СМР")</f>
        <v>СМР</v>
      </c>
      <c r="G300" s="67" t="str">
        <f ca="1">IFERROR(__xludf.DUMMYFUNCTION("""COMPUTED_VALUE"""),"г.о. Орехово-Зуево")</f>
        <v>г.о. Орехово-Зуево</v>
      </c>
      <c r="H300" s="67">
        <f ca="1">IFERROR(__xludf.DUMMYFUNCTION("""COMPUTED_VALUE"""),2021)</f>
        <v>2021</v>
      </c>
      <c r="I300" s="67"/>
      <c r="J300" s="67"/>
      <c r="K300" s="97">
        <f t="shared" ca="1" si="1"/>
        <v>0</v>
      </c>
      <c r="L300" s="97">
        <f ca="1">IFERROR(__xludf.DUMMYFUNCTION("""COMPUTED_VALUE"""),0)</f>
        <v>0</v>
      </c>
      <c r="M300" s="97">
        <f ca="1">IFERROR(__xludf.DUMMYFUNCTION("""COMPUTED_VALUE"""),0)</f>
        <v>0</v>
      </c>
      <c r="N300" s="97">
        <f ca="1">IFERROR(__xludf.DUMMYFUNCTION("""COMPUTED_VALUE"""),0)</f>
        <v>0</v>
      </c>
      <c r="O300" s="97">
        <f ca="1">IFERROR(__xludf.DUMMYFUNCTION("""COMPUTED_VALUE"""),0)</f>
        <v>0</v>
      </c>
      <c r="P300" s="97">
        <f t="shared" ca="1" si="2"/>
        <v>0</v>
      </c>
      <c r="Q300" s="67"/>
      <c r="R300" s="67"/>
      <c r="S300" s="97">
        <f ca="1">IFERROR(__xludf.DUMMYFUNCTION("""COMPUTED_VALUE"""),0)</f>
        <v>0</v>
      </c>
      <c r="T300" s="97">
        <f ca="1">IFERROR(__xludf.DUMMYFUNCTION("""COMPUTED_VALUE"""),0)</f>
        <v>0</v>
      </c>
      <c r="U300" s="97">
        <f ca="1">IFERROR(__xludf.DUMMYFUNCTION("""COMPUTED_VALUE"""),0)</f>
        <v>0</v>
      </c>
      <c r="V300" s="97">
        <f ca="1">IFERROR(__xludf.DUMMYFUNCTION("""COMPUTED_VALUE"""),0)</f>
        <v>0</v>
      </c>
      <c r="W300" s="97">
        <f ca="1">IFERROR(__xludf.DUMMYFUNCTION("""COMPUTED_VALUE"""),0)</f>
        <v>0</v>
      </c>
      <c r="X300" s="97">
        <f ca="1">IFERROR(__xludf.DUMMYFUNCTION("""COMPUTED_VALUE"""),0)</f>
        <v>0</v>
      </c>
      <c r="Y300" s="97">
        <f t="shared" ca="1" si="3"/>
        <v>0</v>
      </c>
      <c r="Z300" s="67">
        <f t="shared" si="4"/>
        <v>0</v>
      </c>
      <c r="AA300" s="67"/>
      <c r="AB300" s="67"/>
      <c r="AC300" s="67"/>
      <c r="AD300" s="99" t="e">
        <f t="shared" ca="1" si="5"/>
        <v>#DIV/0!</v>
      </c>
      <c r="AE300" s="67"/>
      <c r="AF300" s="67"/>
      <c r="AG300" s="67"/>
      <c r="AH300" s="67"/>
      <c r="AI300" s="67"/>
      <c r="AJ300" s="67"/>
      <c r="AK300" s="67"/>
      <c r="AL300" s="67"/>
      <c r="AM300" s="67"/>
      <c r="AN300" s="67"/>
      <c r="AO300" s="67"/>
      <c r="AP300" s="67"/>
      <c r="AQ300" s="67"/>
      <c r="AR300" s="67"/>
      <c r="AS300" s="67"/>
      <c r="AT300" s="67"/>
    </row>
    <row r="301" spans="1:46" ht="72" hidden="1" x14ac:dyDescent="0.2">
      <c r="A301" s="67"/>
      <c r="B301" s="96"/>
      <c r="C30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1" s="20" t="str">
        <f ca="1">IFERROR(__xludf.DUMMYFUNCTION("""COMPUTED_VALUE"""),"МинЖКХ")</f>
        <v>МинЖКХ</v>
      </c>
      <c r="E301" s="20" t="str">
        <f ca="1">IFERROR(__xludf.DUMMYFUNCTION("""COMPUTED_VALUE"""),"Строительство БМК г. Руза, ул. Говорова, д.1А")</f>
        <v>Строительство БМК г. Руза, ул. Говорова, д.1А</v>
      </c>
      <c r="F301" s="67" t="str">
        <f ca="1">IFERROR(__xludf.DUMMYFUNCTION("""COMPUTED_VALUE"""),"СМР")</f>
        <v>СМР</v>
      </c>
      <c r="G301" s="67" t="str">
        <f ca="1">IFERROR(__xludf.DUMMYFUNCTION("""COMPUTED_VALUE"""),"г.о. Рузский")</f>
        <v>г.о. Рузский</v>
      </c>
      <c r="H301" s="67">
        <f ca="1">IFERROR(__xludf.DUMMYFUNCTION("""COMPUTED_VALUE"""),2021)</f>
        <v>2021</v>
      </c>
      <c r="I301" s="67"/>
      <c r="J301" s="67"/>
      <c r="K301" s="97">
        <f t="shared" ca="1" si="1"/>
        <v>0</v>
      </c>
      <c r="L301" s="97">
        <f ca="1">IFERROR(__xludf.DUMMYFUNCTION("""COMPUTED_VALUE"""),0)</f>
        <v>0</v>
      </c>
      <c r="M301" s="97">
        <f ca="1">IFERROR(__xludf.DUMMYFUNCTION("""COMPUTED_VALUE"""),0)</f>
        <v>0</v>
      </c>
      <c r="N301" s="97">
        <f ca="1">IFERROR(__xludf.DUMMYFUNCTION("""COMPUTED_VALUE"""),0)</f>
        <v>0</v>
      </c>
      <c r="O301" s="97">
        <f ca="1">IFERROR(__xludf.DUMMYFUNCTION("""COMPUTED_VALUE"""),0)</f>
        <v>0</v>
      </c>
      <c r="P301" s="97">
        <f t="shared" ca="1" si="2"/>
        <v>0</v>
      </c>
      <c r="Q301" s="67"/>
      <c r="R301" s="67"/>
      <c r="S301" s="97">
        <f ca="1">IFERROR(__xludf.DUMMYFUNCTION("""COMPUTED_VALUE"""),0)</f>
        <v>0</v>
      </c>
      <c r="T301" s="97">
        <f ca="1">IFERROR(__xludf.DUMMYFUNCTION("""COMPUTED_VALUE"""),0)</f>
        <v>0</v>
      </c>
      <c r="U301" s="97">
        <f ca="1">IFERROR(__xludf.DUMMYFUNCTION("""COMPUTED_VALUE"""),0)</f>
        <v>0</v>
      </c>
      <c r="V301" s="97">
        <f ca="1">IFERROR(__xludf.DUMMYFUNCTION("""COMPUTED_VALUE"""),0)</f>
        <v>0</v>
      </c>
      <c r="W301" s="97">
        <f ca="1">IFERROR(__xludf.DUMMYFUNCTION("""COMPUTED_VALUE"""),0)</f>
        <v>0</v>
      </c>
      <c r="X301" s="97">
        <f ca="1">IFERROR(__xludf.DUMMYFUNCTION("""COMPUTED_VALUE"""),0)</f>
        <v>0</v>
      </c>
      <c r="Y301" s="97">
        <f t="shared" ca="1" si="3"/>
        <v>0</v>
      </c>
      <c r="Z301" s="67">
        <f t="shared" si="4"/>
        <v>0</v>
      </c>
      <c r="AA301" s="67"/>
      <c r="AB301" s="67"/>
      <c r="AC301" s="67"/>
      <c r="AD301" s="99" t="e">
        <f t="shared" ca="1" si="5"/>
        <v>#DIV/0!</v>
      </c>
      <c r="AE301" s="67"/>
      <c r="AF301" s="67"/>
      <c r="AG301" s="67"/>
      <c r="AH301" s="67"/>
      <c r="AI301" s="67"/>
      <c r="AJ301" s="67"/>
      <c r="AK301" s="67"/>
      <c r="AL301" s="67"/>
      <c r="AM301" s="67"/>
      <c r="AN301" s="67"/>
      <c r="AO301" s="67"/>
      <c r="AP301" s="67"/>
      <c r="AQ301" s="67"/>
      <c r="AR301" s="67"/>
      <c r="AS301" s="67"/>
      <c r="AT301" s="67"/>
    </row>
    <row r="302" spans="1:46" ht="72" hidden="1" x14ac:dyDescent="0.2">
      <c r="A302" s="67"/>
      <c r="B302" s="100"/>
      <c r="C30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2" s="20" t="str">
        <f ca="1">IFERROR(__xludf.DUMMYFUNCTION("""COMPUTED_VALUE"""),"МинЖКХ")</f>
        <v>МинЖКХ</v>
      </c>
      <c r="E302" s="20" t="str">
        <f ca="1">IFERROR(__xludf.DUMMYFUNCTION("""COMPUTED_VALUE"""),"Строительсвто БМК г. Руза, Волоколамское шоссе")</f>
        <v>Строительсвто БМК г. Руза, Волоколамское шоссе</v>
      </c>
      <c r="F302" s="67" t="str">
        <f ca="1">IFERROR(__xludf.DUMMYFUNCTION("""COMPUTED_VALUE"""),"СМР")</f>
        <v>СМР</v>
      </c>
      <c r="G302" s="67" t="str">
        <f ca="1">IFERROR(__xludf.DUMMYFUNCTION("""COMPUTED_VALUE"""),"г.о. Рузский")</f>
        <v>г.о. Рузский</v>
      </c>
      <c r="H302" s="67">
        <f ca="1">IFERROR(__xludf.DUMMYFUNCTION("""COMPUTED_VALUE"""),2021)</f>
        <v>2021</v>
      </c>
      <c r="I302" s="67"/>
      <c r="J302" s="67"/>
      <c r="K302" s="97">
        <f t="shared" ca="1" si="1"/>
        <v>0</v>
      </c>
      <c r="L302" s="97">
        <f ca="1">IFERROR(__xludf.DUMMYFUNCTION("""COMPUTED_VALUE"""),0)</f>
        <v>0</v>
      </c>
      <c r="M302" s="97">
        <f ca="1">IFERROR(__xludf.DUMMYFUNCTION("""COMPUTED_VALUE"""),0)</f>
        <v>0</v>
      </c>
      <c r="N302" s="97">
        <f ca="1">IFERROR(__xludf.DUMMYFUNCTION("""COMPUTED_VALUE"""),0)</f>
        <v>0</v>
      </c>
      <c r="O302" s="97">
        <f ca="1">IFERROR(__xludf.DUMMYFUNCTION("""COMPUTED_VALUE"""),0)</f>
        <v>0</v>
      </c>
      <c r="P302" s="97">
        <f t="shared" ca="1" si="2"/>
        <v>0</v>
      </c>
      <c r="Q302" s="67"/>
      <c r="R302" s="67"/>
      <c r="S302" s="97">
        <f ca="1">IFERROR(__xludf.DUMMYFUNCTION("""COMPUTED_VALUE"""),0)</f>
        <v>0</v>
      </c>
      <c r="T302" s="97">
        <f ca="1">IFERROR(__xludf.DUMMYFUNCTION("""COMPUTED_VALUE"""),0)</f>
        <v>0</v>
      </c>
      <c r="U302" s="97">
        <f ca="1">IFERROR(__xludf.DUMMYFUNCTION("""COMPUTED_VALUE"""),0)</f>
        <v>0</v>
      </c>
      <c r="V302" s="97">
        <f ca="1">IFERROR(__xludf.DUMMYFUNCTION("""COMPUTED_VALUE"""),0)</f>
        <v>0</v>
      </c>
      <c r="W302" s="97">
        <f ca="1">IFERROR(__xludf.DUMMYFUNCTION("""COMPUTED_VALUE"""),0)</f>
        <v>0</v>
      </c>
      <c r="X302" s="97">
        <f ca="1">IFERROR(__xludf.DUMMYFUNCTION("""COMPUTED_VALUE"""),0)</f>
        <v>0</v>
      </c>
      <c r="Y302" s="97">
        <f t="shared" ca="1" si="3"/>
        <v>0</v>
      </c>
      <c r="Z302" s="67">
        <f t="shared" si="4"/>
        <v>0</v>
      </c>
      <c r="AA302" s="67"/>
      <c r="AB302" s="67"/>
      <c r="AC302" s="67"/>
      <c r="AD302" s="99" t="e">
        <f t="shared" ca="1" si="5"/>
        <v>#DIV/0!</v>
      </c>
      <c r="AE302" s="67"/>
      <c r="AF302" s="67"/>
      <c r="AG302" s="67"/>
      <c r="AH302" s="67"/>
      <c r="AI302" s="67"/>
      <c r="AJ302" s="67"/>
      <c r="AK302" s="67"/>
      <c r="AL302" s="67"/>
      <c r="AM302" s="67"/>
      <c r="AN302" s="67"/>
      <c r="AO302" s="67"/>
      <c r="AP302" s="67"/>
      <c r="AQ302" s="67"/>
      <c r="AR302" s="67"/>
      <c r="AS302" s="67"/>
      <c r="AT302" s="67"/>
    </row>
    <row r="303" spans="1:46" ht="72" x14ac:dyDescent="0.2">
      <c r="A303" s="20"/>
      <c r="B303" s="93"/>
      <c r="C30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3" s="20" t="str">
        <f ca="1">IFERROR(__xludf.DUMMYFUNCTION("""COMPUTED_VALUE"""),"МинЖКХ ""ТОП 5 (1 этап)""")</f>
        <v>МинЖКХ "ТОП 5 (1 этап)"</v>
      </c>
      <c r="E303" s="20" t="str">
        <f ca="1">IFERROR(__xludf.DUMMYFUNCTION("""COMPUTED_VALUE"""),"Строительство блочно-модульной котельной со снижением мощности в д. Ерново г.о. Зарайск (в т.ч. ПИР)")</f>
        <v>Строительство блочно-модульной котельной со снижением мощности в д. Ерново г.о. Зарайск (в т.ч. ПИР)</v>
      </c>
      <c r="F303" s="20" t="str">
        <f ca="1">IFERROR(__xludf.DUMMYFUNCTION("""COMPUTED_VALUE"""),"СМР")</f>
        <v>СМР</v>
      </c>
      <c r="G303" s="20" t="str">
        <f ca="1">IFERROR(__xludf.DUMMYFUNCTION("""COMPUTED_VALUE"""),"г.о. Зарайск")</f>
        <v>г.о. Зарайск</v>
      </c>
      <c r="H303" s="20">
        <f ca="1">IFERROR(__xludf.DUMMYFUNCTION("""COMPUTED_VALUE"""),2020)</f>
        <v>2020</v>
      </c>
      <c r="I303" s="20" t="str">
        <f ca="1">IFERROR(__xludf.DUMMYFUNCTION("""COMPUTED_VALUE"""),"10 3 02 64080")</f>
        <v>10 3 02 64080</v>
      </c>
      <c r="J303" s="20">
        <f ca="1">IFERROR(__xludf.DUMMYFUNCTION("""COMPUTED_VALUE"""),522)</f>
        <v>522</v>
      </c>
      <c r="K303" s="24">
        <f t="shared" ca="1" si="1"/>
        <v>11775.310000000001</v>
      </c>
      <c r="L303" s="24">
        <f ca="1">IFERROR(__xludf.DUMMYFUNCTION("""COMPUTED_VALUE"""),0)</f>
        <v>0</v>
      </c>
      <c r="M303" s="24">
        <f ca="1">IFERROR(__xludf.DUMMYFUNCTION("""COMPUTED_VALUE"""),0)</f>
        <v>0</v>
      </c>
      <c r="N303" s="24">
        <f ca="1">IFERROR(__xludf.DUMMYFUNCTION("""COMPUTED_VALUE"""),10903.94)</f>
        <v>10903.94</v>
      </c>
      <c r="O303" s="24">
        <f ca="1">IFERROR(__xludf.DUMMYFUNCTION("""COMPUTED_VALUE"""),871.37)</f>
        <v>871.37</v>
      </c>
      <c r="P303" s="24">
        <f t="shared" ca="1" si="2"/>
        <v>10903.94</v>
      </c>
      <c r="Q303" s="20">
        <f ca="1">IFERROR(__xludf.DUMMYFUNCTION("""COMPUTED_VALUE"""),15)</f>
        <v>15</v>
      </c>
      <c r="R303" s="20"/>
      <c r="S303" s="24">
        <f ca="1">IFERROR(__xludf.DUMMYFUNCTION("""COMPUTED_VALUE"""),10454.95)</f>
        <v>10454.950000000001</v>
      </c>
      <c r="T303" s="24">
        <f ca="1">IFERROR(__xludf.DUMMYFUNCTION("""COMPUTED_VALUE"""),1320.36)</f>
        <v>1320.36</v>
      </c>
      <c r="U303" s="24">
        <f ca="1">IFERROR(__xludf.DUMMYFUNCTION("""COMPUTED_VALUE"""),0)</f>
        <v>0</v>
      </c>
      <c r="V303" s="24">
        <f ca="1">IFERROR(__xludf.DUMMYFUNCTION("""COMPUTED_VALUE"""),0)</f>
        <v>0</v>
      </c>
      <c r="W303" s="24">
        <f ca="1">IFERROR(__xludf.DUMMYFUNCTION("""COMPUTED_VALUE"""),448.989999999999)</f>
        <v>448.98999999999899</v>
      </c>
      <c r="X303" s="24">
        <f ca="1">IFERROR(__xludf.DUMMYFUNCTION("""COMPUTED_VALUE"""),871.37)</f>
        <v>871.37</v>
      </c>
      <c r="Y303" s="24">
        <f t="shared" ca="1" si="3"/>
        <v>448.98999999999899</v>
      </c>
      <c r="Z303" s="20">
        <f t="shared" ca="1" si="4"/>
        <v>10454.950000000001</v>
      </c>
      <c r="AA303" s="20"/>
      <c r="AB303" s="24">
        <f ca="1">IFERROR(__xludf.DUMMYFUNCTION("""COMPUTED_VALUE"""),0)</f>
        <v>0</v>
      </c>
      <c r="AC303" s="20">
        <f ca="1">IFERROR(__xludf.DUMMYFUNCTION("""COMPUTED_VALUE"""),10454.95)</f>
        <v>10454.950000000001</v>
      </c>
      <c r="AD303" s="94">
        <f t="shared" ca="1" si="5"/>
        <v>0.9588231409930722</v>
      </c>
      <c r="AE303" s="20"/>
      <c r="AF303" s="20"/>
      <c r="AG303" s="20"/>
      <c r="AH303" s="20"/>
      <c r="AI303" s="20"/>
      <c r="AJ303" s="20"/>
      <c r="AK303" s="20"/>
      <c r="AL303" s="20"/>
      <c r="AM303" s="20"/>
      <c r="AN303" s="20"/>
      <c r="AO303" s="20"/>
      <c r="AP303" s="20"/>
      <c r="AQ303" s="20"/>
      <c r="AR303" s="20"/>
      <c r="AS303" s="20"/>
      <c r="AT303" s="20"/>
    </row>
    <row r="304" spans="1:46" ht="72" x14ac:dyDescent="0.2">
      <c r="A304" s="20"/>
      <c r="B304" s="93"/>
      <c r="C30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4" s="20" t="str">
        <f ca="1">IFERROR(__xludf.DUMMYFUNCTION("""COMPUTED_VALUE"""),"МинЖКХ ""ТОП 5 (1 этап)""")</f>
        <v>МинЖКХ "ТОП 5 (1 этап)"</v>
      </c>
      <c r="E304" s="20" t="str">
        <f ca="1">IFERROR(__xludf.DUMMYFUNCTION("""COMPUTED_VALUE"""),"Строительство блочно-модульной котельной со снижением мощности в д. Летуново  г.о. Зарайск (в т.ч. ПИР)")</f>
        <v>Строительство блочно-модульной котельной со снижением мощности в д. Летуново  г.о. Зарайск (в т.ч. ПИР)</v>
      </c>
      <c r="F304" s="20" t="str">
        <f ca="1">IFERROR(__xludf.DUMMYFUNCTION("""COMPUTED_VALUE"""),"ПИР ")</f>
        <v xml:space="preserve">ПИР </v>
      </c>
      <c r="G304" s="20" t="str">
        <f ca="1">IFERROR(__xludf.DUMMYFUNCTION("""COMPUTED_VALUE"""),"г.о. Зарайск")</f>
        <v>г.о. Зарайск</v>
      </c>
      <c r="H304" s="20" t="str">
        <f ca="1">IFERROR(__xludf.DUMMYFUNCTION("""COMPUTED_VALUE"""),"2020-2021")</f>
        <v>2020-2021</v>
      </c>
      <c r="I304" s="20" t="str">
        <f ca="1">IFERROR(__xludf.DUMMYFUNCTION("""COMPUTED_VALUE"""),"10 3 02 64080")</f>
        <v>10 3 02 64080</v>
      </c>
      <c r="J304" s="20">
        <f ca="1">IFERROR(__xludf.DUMMYFUNCTION("""COMPUTED_VALUE"""),522)</f>
        <v>522</v>
      </c>
      <c r="K304" s="24">
        <f t="shared" ca="1" si="1"/>
        <v>2500</v>
      </c>
      <c r="L304" s="24">
        <f ca="1">IFERROR(__xludf.DUMMYFUNCTION("""COMPUTED_VALUE"""),0)</f>
        <v>0</v>
      </c>
      <c r="M304" s="24">
        <f ca="1">IFERROR(__xludf.DUMMYFUNCTION("""COMPUTED_VALUE"""),0)</f>
        <v>0</v>
      </c>
      <c r="N304" s="24">
        <f ca="1">IFERROR(__xludf.DUMMYFUNCTION("""COMPUTED_VALUE"""),2315)</f>
        <v>2315</v>
      </c>
      <c r="O304" s="24">
        <f ca="1">IFERROR(__xludf.DUMMYFUNCTION("""COMPUTED_VALUE"""),185)</f>
        <v>185</v>
      </c>
      <c r="P304" s="24">
        <f t="shared" ca="1" si="2"/>
        <v>2315</v>
      </c>
      <c r="Q304" s="20"/>
      <c r="R304" s="20"/>
      <c r="S304" s="24">
        <f ca="1">IFERROR(__xludf.DUMMYFUNCTION("""COMPUTED_VALUE"""),0)</f>
        <v>0</v>
      </c>
      <c r="T304" s="24">
        <f ca="1">IFERROR(__xludf.DUMMYFUNCTION("""COMPUTED_VALUE"""),2500)</f>
        <v>2500</v>
      </c>
      <c r="U304" s="24">
        <f ca="1">IFERROR(__xludf.DUMMYFUNCTION("""COMPUTED_VALUE"""),0)</f>
        <v>0</v>
      </c>
      <c r="V304" s="24">
        <f ca="1">IFERROR(__xludf.DUMMYFUNCTION("""COMPUTED_VALUE"""),0)</f>
        <v>0</v>
      </c>
      <c r="W304" s="24">
        <f ca="1">IFERROR(__xludf.DUMMYFUNCTION("""COMPUTED_VALUE"""),2315)</f>
        <v>2315</v>
      </c>
      <c r="X304" s="24">
        <f ca="1">IFERROR(__xludf.DUMMYFUNCTION("""COMPUTED_VALUE"""),185)</f>
        <v>185</v>
      </c>
      <c r="Y304" s="24">
        <f t="shared" ca="1" si="3"/>
        <v>2315</v>
      </c>
      <c r="Z304" s="20">
        <f t="shared" ca="1" si="4"/>
        <v>0</v>
      </c>
      <c r="AA304" s="20"/>
      <c r="AB304" s="24">
        <f ca="1">IFERROR(__xludf.DUMMYFUNCTION("""COMPUTED_VALUE"""),0)</f>
        <v>0</v>
      </c>
      <c r="AC304" s="20"/>
      <c r="AD304" s="94">
        <f t="shared" ca="1" si="5"/>
        <v>0</v>
      </c>
      <c r="AE304" s="20"/>
      <c r="AF304" s="20"/>
      <c r="AG304" s="20"/>
      <c r="AH304" s="20"/>
      <c r="AI304" s="20"/>
      <c r="AJ304" s="20"/>
      <c r="AK304" s="20"/>
      <c r="AL304" s="20"/>
      <c r="AM304" s="20"/>
      <c r="AN304" s="20"/>
      <c r="AO304" s="20"/>
      <c r="AP304" s="20"/>
      <c r="AQ304" s="20"/>
      <c r="AR304" s="20"/>
      <c r="AS304" s="20"/>
      <c r="AT304" s="20"/>
    </row>
    <row r="305" spans="1:46" ht="72" x14ac:dyDescent="0.2">
      <c r="A305" s="20"/>
      <c r="B305" s="93"/>
      <c r="C30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5" s="20" t="str">
        <f ca="1">IFERROR(__xludf.DUMMYFUNCTION("""COMPUTED_VALUE"""),"МинЖКХ ""ТОП 5 (1 этап)""")</f>
        <v>МинЖКХ "ТОП 5 (1 этап)"</v>
      </c>
      <c r="E305" s="20" t="str">
        <f ca="1">IFERROR(__xludf.DUMMYFUNCTION("""COMPUTED_VALUE"""),"Строительство блочно-модульной котельной со снижением мощности в д. Мендюкино, г.о. Зарайск (в т.ч. ПИР) ")</f>
        <v xml:space="preserve">Строительство блочно-модульной котельной со снижением мощности в д. Мендюкино, г.о. Зарайск (в т.ч. ПИР) </v>
      </c>
      <c r="F305" s="20" t="str">
        <f ca="1">IFERROR(__xludf.DUMMYFUNCTION("""COMPUTED_VALUE"""),"ПИР ")</f>
        <v xml:space="preserve">ПИР </v>
      </c>
      <c r="G305" s="20" t="str">
        <f ca="1">IFERROR(__xludf.DUMMYFUNCTION("""COMPUTED_VALUE"""),"г.о. Зарайск")</f>
        <v>г.о. Зарайск</v>
      </c>
      <c r="H305" s="20" t="str">
        <f ca="1">IFERROR(__xludf.DUMMYFUNCTION("""COMPUTED_VALUE"""),"2020-2021")</f>
        <v>2020-2021</v>
      </c>
      <c r="I305" s="20" t="str">
        <f ca="1">IFERROR(__xludf.DUMMYFUNCTION("""COMPUTED_VALUE"""),"10 3 02 64080")</f>
        <v>10 3 02 64080</v>
      </c>
      <c r="J305" s="20">
        <f ca="1">IFERROR(__xludf.DUMMYFUNCTION("""COMPUTED_VALUE"""),522)</f>
        <v>522</v>
      </c>
      <c r="K305" s="24">
        <f t="shared" ca="1" si="1"/>
        <v>1900</v>
      </c>
      <c r="L305" s="24">
        <f ca="1">IFERROR(__xludf.DUMMYFUNCTION("""COMPUTED_VALUE"""),0)</f>
        <v>0</v>
      </c>
      <c r="M305" s="24">
        <f ca="1">IFERROR(__xludf.DUMMYFUNCTION("""COMPUTED_VALUE"""),0)</f>
        <v>0</v>
      </c>
      <c r="N305" s="24">
        <f ca="1">IFERROR(__xludf.DUMMYFUNCTION("""COMPUTED_VALUE"""),1759.4)</f>
        <v>1759.4</v>
      </c>
      <c r="O305" s="24">
        <f ca="1">IFERROR(__xludf.DUMMYFUNCTION("""COMPUTED_VALUE"""),140.6)</f>
        <v>140.6</v>
      </c>
      <c r="P305" s="24">
        <f t="shared" ca="1" si="2"/>
        <v>1759.4</v>
      </c>
      <c r="Q305" s="20"/>
      <c r="R305" s="20"/>
      <c r="S305" s="24">
        <f ca="1">IFERROR(__xludf.DUMMYFUNCTION("""COMPUTED_VALUE"""),0)</f>
        <v>0</v>
      </c>
      <c r="T305" s="24">
        <f ca="1">IFERROR(__xludf.DUMMYFUNCTION("""COMPUTED_VALUE"""),1900)</f>
        <v>1900</v>
      </c>
      <c r="U305" s="24">
        <f ca="1">IFERROR(__xludf.DUMMYFUNCTION("""COMPUTED_VALUE"""),0)</f>
        <v>0</v>
      </c>
      <c r="V305" s="24">
        <f ca="1">IFERROR(__xludf.DUMMYFUNCTION("""COMPUTED_VALUE"""),0)</f>
        <v>0</v>
      </c>
      <c r="W305" s="24">
        <f ca="1">IFERROR(__xludf.DUMMYFUNCTION("""COMPUTED_VALUE"""),1759.4)</f>
        <v>1759.4</v>
      </c>
      <c r="X305" s="24">
        <f ca="1">IFERROR(__xludf.DUMMYFUNCTION("""COMPUTED_VALUE"""),140.6)</f>
        <v>140.6</v>
      </c>
      <c r="Y305" s="24">
        <f t="shared" ca="1" si="3"/>
        <v>1759.4</v>
      </c>
      <c r="Z305" s="20">
        <f t="shared" ca="1" si="4"/>
        <v>0</v>
      </c>
      <c r="AA305" s="20"/>
      <c r="AB305" s="24">
        <f ca="1">IFERROR(__xludf.DUMMYFUNCTION("""COMPUTED_VALUE"""),0)</f>
        <v>0</v>
      </c>
      <c r="AC305" s="20"/>
      <c r="AD305" s="94">
        <f t="shared" ca="1" si="5"/>
        <v>0</v>
      </c>
      <c r="AE305" s="20"/>
      <c r="AF305" s="20"/>
      <c r="AG305" s="20"/>
      <c r="AH305" s="20"/>
      <c r="AI305" s="20"/>
      <c r="AJ305" s="20"/>
      <c r="AK305" s="20"/>
      <c r="AL305" s="20"/>
      <c r="AM305" s="20"/>
      <c r="AN305" s="20"/>
      <c r="AO305" s="20"/>
      <c r="AP305" s="20"/>
      <c r="AQ305" s="20"/>
      <c r="AR305" s="20"/>
      <c r="AS305" s="20"/>
      <c r="AT305" s="20"/>
    </row>
    <row r="306" spans="1:46" ht="72" x14ac:dyDescent="0.2">
      <c r="A306" s="20"/>
      <c r="B306" s="93"/>
      <c r="C30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6" s="20" t="str">
        <f ca="1">IFERROR(__xludf.DUMMYFUNCTION("""COMPUTED_VALUE"""),"МинЖКХ ""ТОП 5 (1 этап)""")</f>
        <v>МинЖКХ "ТОП 5 (1 этап)"</v>
      </c>
      <c r="E306" s="20" t="str">
        <f ca="1">IFERROR(__xludf.DUMMYFUNCTION("""COMPUTED_VALUE"""),"Строительство блочно-модульной котельной со снижением мощности в д. Протекино, г.о. Зарайск (в т.ч. ПИР) ")</f>
        <v xml:space="preserve">Строительство блочно-модульной котельной со снижением мощности в д. Протекино, г.о. Зарайск (в т.ч. ПИР) </v>
      </c>
      <c r="F306" s="20" t="str">
        <f ca="1">IFERROR(__xludf.DUMMYFUNCTION("""COMPUTED_VALUE"""),"ПИР ")</f>
        <v xml:space="preserve">ПИР </v>
      </c>
      <c r="G306" s="20" t="str">
        <f ca="1">IFERROR(__xludf.DUMMYFUNCTION("""COMPUTED_VALUE"""),"г.о. Зарайск")</f>
        <v>г.о. Зарайск</v>
      </c>
      <c r="H306" s="20" t="str">
        <f ca="1">IFERROR(__xludf.DUMMYFUNCTION("""COMPUTED_VALUE"""),"2020-2021")</f>
        <v>2020-2021</v>
      </c>
      <c r="I306" s="20" t="str">
        <f ca="1">IFERROR(__xludf.DUMMYFUNCTION("""COMPUTED_VALUE"""),"10 3 02 64080")</f>
        <v>10 3 02 64080</v>
      </c>
      <c r="J306" s="20">
        <f ca="1">IFERROR(__xludf.DUMMYFUNCTION("""COMPUTED_VALUE"""),522)</f>
        <v>522</v>
      </c>
      <c r="K306" s="24">
        <f t="shared" ca="1" si="1"/>
        <v>1900</v>
      </c>
      <c r="L306" s="24">
        <f ca="1">IFERROR(__xludf.DUMMYFUNCTION("""COMPUTED_VALUE"""),0)</f>
        <v>0</v>
      </c>
      <c r="M306" s="24">
        <f ca="1">IFERROR(__xludf.DUMMYFUNCTION("""COMPUTED_VALUE"""),0)</f>
        <v>0</v>
      </c>
      <c r="N306" s="24">
        <f ca="1">IFERROR(__xludf.DUMMYFUNCTION("""COMPUTED_VALUE"""),1759.4)</f>
        <v>1759.4</v>
      </c>
      <c r="O306" s="24">
        <f ca="1">IFERROR(__xludf.DUMMYFUNCTION("""COMPUTED_VALUE"""),140.6)</f>
        <v>140.6</v>
      </c>
      <c r="P306" s="24">
        <f t="shared" ca="1" si="2"/>
        <v>1759.4</v>
      </c>
      <c r="Q306" s="20"/>
      <c r="R306" s="20"/>
      <c r="S306" s="24">
        <f ca="1">IFERROR(__xludf.DUMMYFUNCTION("""COMPUTED_VALUE"""),0)</f>
        <v>0</v>
      </c>
      <c r="T306" s="24">
        <f ca="1">IFERROR(__xludf.DUMMYFUNCTION("""COMPUTED_VALUE"""),1900)</f>
        <v>1900</v>
      </c>
      <c r="U306" s="24">
        <f ca="1">IFERROR(__xludf.DUMMYFUNCTION("""COMPUTED_VALUE"""),0)</f>
        <v>0</v>
      </c>
      <c r="V306" s="24">
        <f ca="1">IFERROR(__xludf.DUMMYFUNCTION("""COMPUTED_VALUE"""),0)</f>
        <v>0</v>
      </c>
      <c r="W306" s="24">
        <f ca="1">IFERROR(__xludf.DUMMYFUNCTION("""COMPUTED_VALUE"""),1759.4)</f>
        <v>1759.4</v>
      </c>
      <c r="X306" s="24">
        <f ca="1">IFERROR(__xludf.DUMMYFUNCTION("""COMPUTED_VALUE"""),140.6)</f>
        <v>140.6</v>
      </c>
      <c r="Y306" s="24">
        <f t="shared" ca="1" si="3"/>
        <v>1759.4</v>
      </c>
      <c r="Z306" s="20">
        <f t="shared" ca="1" si="4"/>
        <v>0</v>
      </c>
      <c r="AA306" s="20"/>
      <c r="AB306" s="24">
        <f ca="1">IFERROR(__xludf.DUMMYFUNCTION("""COMPUTED_VALUE"""),0)</f>
        <v>0</v>
      </c>
      <c r="AC306" s="20"/>
      <c r="AD306" s="94">
        <f t="shared" ca="1" si="5"/>
        <v>0</v>
      </c>
      <c r="AE306" s="20"/>
      <c r="AF306" s="20"/>
      <c r="AG306" s="20"/>
      <c r="AH306" s="20"/>
      <c r="AI306" s="20"/>
      <c r="AJ306" s="20"/>
      <c r="AK306" s="20"/>
      <c r="AL306" s="20"/>
      <c r="AM306" s="20"/>
      <c r="AN306" s="20"/>
      <c r="AO306" s="20"/>
      <c r="AP306" s="20"/>
      <c r="AQ306" s="20"/>
      <c r="AR306" s="20"/>
      <c r="AS306" s="20"/>
      <c r="AT306" s="20"/>
    </row>
    <row r="307" spans="1:46" ht="72" x14ac:dyDescent="0.2">
      <c r="A307" s="20"/>
      <c r="B307" s="95"/>
      <c r="C30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7" s="20" t="str">
        <f ca="1">IFERROR(__xludf.DUMMYFUNCTION("""COMPUTED_VALUE"""),"МинЖКХ ""ТОП 5 (1 этап)""")</f>
        <v>МинЖКХ "ТОП 5 (1 этап)"</v>
      </c>
      <c r="E307" s="20" t="str">
        <f ca="1">IFERROR(__xludf.DUMMYFUNCTION("""COMPUTED_VALUE"""),"Строительство блочно-модульной котельной со снижением мощности в п. Масловский, г.о. Зарайск (в т.ч. ПИР) ")</f>
        <v xml:space="preserve">Строительство блочно-модульной котельной со снижением мощности в п. Масловский, г.о. Зарайск (в т.ч. ПИР) </v>
      </c>
      <c r="F307" s="20" t="str">
        <f ca="1">IFERROR(__xludf.DUMMYFUNCTION("""COMPUTED_VALUE"""),"ПИР ")</f>
        <v xml:space="preserve">ПИР </v>
      </c>
      <c r="G307" s="20" t="str">
        <f ca="1">IFERROR(__xludf.DUMMYFUNCTION("""COMPUTED_VALUE"""),"г.о. Зарайск")</f>
        <v>г.о. Зарайск</v>
      </c>
      <c r="H307" s="20" t="str">
        <f ca="1">IFERROR(__xludf.DUMMYFUNCTION("""COMPUTED_VALUE"""),"2020-2021")</f>
        <v>2020-2021</v>
      </c>
      <c r="I307" s="20" t="str">
        <f ca="1">IFERROR(__xludf.DUMMYFUNCTION("""COMPUTED_VALUE"""),"10 3 02 64080")</f>
        <v>10 3 02 64080</v>
      </c>
      <c r="J307" s="20">
        <f ca="1">IFERROR(__xludf.DUMMYFUNCTION("""COMPUTED_VALUE"""),522)</f>
        <v>522</v>
      </c>
      <c r="K307" s="24">
        <f t="shared" ca="1" si="1"/>
        <v>1900</v>
      </c>
      <c r="L307" s="24">
        <f ca="1">IFERROR(__xludf.DUMMYFUNCTION("""COMPUTED_VALUE"""),0)</f>
        <v>0</v>
      </c>
      <c r="M307" s="24">
        <f ca="1">IFERROR(__xludf.DUMMYFUNCTION("""COMPUTED_VALUE"""),0)</f>
        <v>0</v>
      </c>
      <c r="N307" s="24">
        <f ca="1">IFERROR(__xludf.DUMMYFUNCTION("""COMPUTED_VALUE"""),1759.4)</f>
        <v>1759.4</v>
      </c>
      <c r="O307" s="24">
        <f ca="1">IFERROR(__xludf.DUMMYFUNCTION("""COMPUTED_VALUE"""),140.6)</f>
        <v>140.6</v>
      </c>
      <c r="P307" s="24">
        <f t="shared" ca="1" si="2"/>
        <v>1759.4</v>
      </c>
      <c r="Q307" s="20"/>
      <c r="R307" s="20"/>
      <c r="S307" s="24">
        <f ca="1">IFERROR(__xludf.DUMMYFUNCTION("""COMPUTED_VALUE"""),0)</f>
        <v>0</v>
      </c>
      <c r="T307" s="24">
        <f ca="1">IFERROR(__xludf.DUMMYFUNCTION("""COMPUTED_VALUE"""),1900)</f>
        <v>1900</v>
      </c>
      <c r="U307" s="24">
        <f ca="1">IFERROR(__xludf.DUMMYFUNCTION("""COMPUTED_VALUE"""),0)</f>
        <v>0</v>
      </c>
      <c r="V307" s="24">
        <f ca="1">IFERROR(__xludf.DUMMYFUNCTION("""COMPUTED_VALUE"""),0)</f>
        <v>0</v>
      </c>
      <c r="W307" s="24">
        <f ca="1">IFERROR(__xludf.DUMMYFUNCTION("""COMPUTED_VALUE"""),1759.4)</f>
        <v>1759.4</v>
      </c>
      <c r="X307" s="24">
        <f ca="1">IFERROR(__xludf.DUMMYFUNCTION("""COMPUTED_VALUE"""),140.6)</f>
        <v>140.6</v>
      </c>
      <c r="Y307" s="24">
        <f t="shared" ca="1" si="3"/>
        <v>1759.4</v>
      </c>
      <c r="Z307" s="20">
        <f t="shared" ca="1" si="4"/>
        <v>0</v>
      </c>
      <c r="AA307" s="20"/>
      <c r="AB307" s="24">
        <f ca="1">IFERROR(__xludf.DUMMYFUNCTION("""COMPUTED_VALUE"""),0)</f>
        <v>0</v>
      </c>
      <c r="AC307" s="20"/>
      <c r="AD307" s="94">
        <f t="shared" ca="1" si="5"/>
        <v>0</v>
      </c>
      <c r="AE307" s="20"/>
      <c r="AF307" s="20"/>
      <c r="AG307" s="20"/>
      <c r="AH307" s="20"/>
      <c r="AI307" s="20"/>
      <c r="AJ307" s="20"/>
      <c r="AK307" s="20"/>
      <c r="AL307" s="20"/>
      <c r="AM307" s="20"/>
      <c r="AN307" s="20"/>
      <c r="AO307" s="20"/>
      <c r="AP307" s="20"/>
      <c r="AQ307" s="20"/>
      <c r="AR307" s="20"/>
      <c r="AS307" s="20"/>
      <c r="AT307" s="20"/>
    </row>
    <row r="308" spans="1:46" ht="72" hidden="1" x14ac:dyDescent="0.2">
      <c r="A308" s="67"/>
      <c r="B308" s="96"/>
      <c r="C30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8" s="20" t="str">
        <f ca="1">IFERROR(__xludf.DUMMYFUNCTION("""COMPUTED_VALUE"""),"МинЖКХ")</f>
        <v>МинЖКХ</v>
      </c>
      <c r="E308" s="20" t="str">
        <f ca="1">IFERROR(__xludf.DUMMYFUNCTION("""COMPUTED_VALUE"""),"Строительство БМК д. Сумароково, д.34  г.о. Рузский")</f>
        <v>Строительство БМК д. Сумароково, д.34  г.о. Рузский</v>
      </c>
      <c r="F308" s="67" t="str">
        <f ca="1">IFERROR(__xludf.DUMMYFUNCTION("""COMPUTED_VALUE"""),"СМР")</f>
        <v>СМР</v>
      </c>
      <c r="G308" s="67" t="str">
        <f ca="1">IFERROR(__xludf.DUMMYFUNCTION("""COMPUTED_VALUE"""),"г.о. Рузский")</f>
        <v>г.о. Рузский</v>
      </c>
      <c r="H308" s="67">
        <f ca="1">IFERROR(__xludf.DUMMYFUNCTION("""COMPUTED_VALUE"""),2021)</f>
        <v>2021</v>
      </c>
      <c r="I308" s="67"/>
      <c r="J308" s="67"/>
      <c r="K308" s="97">
        <f t="shared" ca="1" si="1"/>
        <v>0</v>
      </c>
      <c r="L308" s="97">
        <f ca="1">IFERROR(__xludf.DUMMYFUNCTION("""COMPUTED_VALUE"""),0)</f>
        <v>0</v>
      </c>
      <c r="M308" s="97">
        <f ca="1">IFERROR(__xludf.DUMMYFUNCTION("""COMPUTED_VALUE"""),0)</f>
        <v>0</v>
      </c>
      <c r="N308" s="97">
        <f ca="1">IFERROR(__xludf.DUMMYFUNCTION("""COMPUTED_VALUE"""),0)</f>
        <v>0</v>
      </c>
      <c r="O308" s="97">
        <f ca="1">IFERROR(__xludf.DUMMYFUNCTION("""COMPUTED_VALUE"""),0)</f>
        <v>0</v>
      </c>
      <c r="P308" s="97">
        <f t="shared" ca="1" si="2"/>
        <v>0</v>
      </c>
      <c r="Q308" s="67"/>
      <c r="R308" s="67"/>
      <c r="S308" s="97">
        <f ca="1">IFERROR(__xludf.DUMMYFUNCTION("""COMPUTED_VALUE"""),0)</f>
        <v>0</v>
      </c>
      <c r="T308" s="97">
        <f ca="1">IFERROR(__xludf.DUMMYFUNCTION("""COMPUTED_VALUE"""),0)</f>
        <v>0</v>
      </c>
      <c r="U308" s="97">
        <f ca="1">IFERROR(__xludf.DUMMYFUNCTION("""COMPUTED_VALUE"""),0)</f>
        <v>0</v>
      </c>
      <c r="V308" s="97">
        <f ca="1">IFERROR(__xludf.DUMMYFUNCTION("""COMPUTED_VALUE"""),0)</f>
        <v>0</v>
      </c>
      <c r="W308" s="97">
        <f ca="1">IFERROR(__xludf.DUMMYFUNCTION("""COMPUTED_VALUE"""),0)</f>
        <v>0</v>
      </c>
      <c r="X308" s="97">
        <f ca="1">IFERROR(__xludf.DUMMYFUNCTION("""COMPUTED_VALUE"""),0)</f>
        <v>0</v>
      </c>
      <c r="Y308" s="97">
        <f t="shared" ca="1" si="3"/>
        <v>0</v>
      </c>
      <c r="Z308" s="67">
        <f t="shared" si="4"/>
        <v>0</v>
      </c>
      <c r="AA308" s="67"/>
      <c r="AB308" s="67"/>
      <c r="AC308" s="67"/>
      <c r="AD308" s="99" t="e">
        <f t="shared" ca="1" si="5"/>
        <v>#DIV/0!</v>
      </c>
      <c r="AE308" s="67"/>
      <c r="AF308" s="67"/>
      <c r="AG308" s="67"/>
      <c r="AH308" s="67"/>
      <c r="AI308" s="67"/>
      <c r="AJ308" s="67"/>
      <c r="AK308" s="67"/>
      <c r="AL308" s="67"/>
      <c r="AM308" s="67"/>
      <c r="AN308" s="67"/>
      <c r="AO308" s="67"/>
      <c r="AP308" s="67"/>
      <c r="AQ308" s="67"/>
      <c r="AR308" s="67"/>
      <c r="AS308" s="67"/>
      <c r="AT308" s="67"/>
    </row>
    <row r="309" spans="1:46" ht="72" hidden="1" x14ac:dyDescent="0.2">
      <c r="A309" s="67"/>
      <c r="B309" s="100"/>
      <c r="C30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9" s="20" t="str">
        <f ca="1">IFERROR(__xludf.DUMMYFUNCTION("""COMPUTED_VALUE"""),"МинЖКХ")</f>
        <v>МинЖКХ</v>
      </c>
      <c r="E309" s="20" t="str">
        <f ca="1">IFERROR(__xludf.DUMMYFUNCTION("""COMPUTED_VALUE"""),"Строительсвто БМК д. Старониколаево, д. 195  г.о. Рузский")</f>
        <v>Строительсвто БМК д. Старониколаево, д. 195  г.о. Рузский</v>
      </c>
      <c r="F309" s="67" t="str">
        <f ca="1">IFERROR(__xludf.DUMMYFUNCTION("""COMPUTED_VALUE"""),"СМР")</f>
        <v>СМР</v>
      </c>
      <c r="G309" s="67" t="str">
        <f ca="1">IFERROR(__xludf.DUMMYFUNCTION("""COMPUTED_VALUE"""),"г.о. Рузский")</f>
        <v>г.о. Рузский</v>
      </c>
      <c r="H309" s="67">
        <f ca="1">IFERROR(__xludf.DUMMYFUNCTION("""COMPUTED_VALUE"""),2021)</f>
        <v>2021</v>
      </c>
      <c r="I309" s="67"/>
      <c r="J309" s="67"/>
      <c r="K309" s="97">
        <f t="shared" ca="1" si="1"/>
        <v>0</v>
      </c>
      <c r="L309" s="97">
        <f ca="1">IFERROR(__xludf.DUMMYFUNCTION("""COMPUTED_VALUE"""),0)</f>
        <v>0</v>
      </c>
      <c r="M309" s="97">
        <f ca="1">IFERROR(__xludf.DUMMYFUNCTION("""COMPUTED_VALUE"""),0)</f>
        <v>0</v>
      </c>
      <c r="N309" s="97">
        <f ca="1">IFERROR(__xludf.DUMMYFUNCTION("""COMPUTED_VALUE"""),0)</f>
        <v>0</v>
      </c>
      <c r="O309" s="97">
        <f ca="1">IFERROR(__xludf.DUMMYFUNCTION("""COMPUTED_VALUE"""),0)</f>
        <v>0</v>
      </c>
      <c r="P309" s="97">
        <f t="shared" ca="1" si="2"/>
        <v>0</v>
      </c>
      <c r="Q309" s="67"/>
      <c r="R309" s="67"/>
      <c r="S309" s="97">
        <f ca="1">IFERROR(__xludf.DUMMYFUNCTION("""COMPUTED_VALUE"""),0)</f>
        <v>0</v>
      </c>
      <c r="T309" s="97">
        <f ca="1">IFERROR(__xludf.DUMMYFUNCTION("""COMPUTED_VALUE"""),0)</f>
        <v>0</v>
      </c>
      <c r="U309" s="97">
        <f ca="1">IFERROR(__xludf.DUMMYFUNCTION("""COMPUTED_VALUE"""),0)</f>
        <v>0</v>
      </c>
      <c r="V309" s="97">
        <f ca="1">IFERROR(__xludf.DUMMYFUNCTION("""COMPUTED_VALUE"""),0)</f>
        <v>0</v>
      </c>
      <c r="W309" s="97">
        <f ca="1">IFERROR(__xludf.DUMMYFUNCTION("""COMPUTED_VALUE"""),0)</f>
        <v>0</v>
      </c>
      <c r="X309" s="97">
        <f ca="1">IFERROR(__xludf.DUMMYFUNCTION("""COMPUTED_VALUE"""),0)</f>
        <v>0</v>
      </c>
      <c r="Y309" s="97">
        <f t="shared" ca="1" si="3"/>
        <v>0</v>
      </c>
      <c r="Z309" s="67">
        <f t="shared" si="4"/>
        <v>0</v>
      </c>
      <c r="AA309" s="67"/>
      <c r="AB309" s="67"/>
      <c r="AC309" s="67"/>
      <c r="AD309" s="99" t="e">
        <f t="shared" ca="1" si="5"/>
        <v>#DIV/0!</v>
      </c>
      <c r="AE309" s="67"/>
      <c r="AF309" s="67"/>
      <c r="AG309" s="67"/>
      <c r="AH309" s="67"/>
      <c r="AI309" s="67"/>
      <c r="AJ309" s="67"/>
      <c r="AK309" s="67"/>
      <c r="AL309" s="67"/>
      <c r="AM309" s="67"/>
      <c r="AN309" s="67"/>
      <c r="AO309" s="67"/>
      <c r="AP309" s="67"/>
      <c r="AQ309" s="67"/>
      <c r="AR309" s="67"/>
      <c r="AS309" s="67"/>
      <c r="AT309" s="67"/>
    </row>
    <row r="310" spans="1:46" ht="72" x14ac:dyDescent="0.2">
      <c r="A310" s="20"/>
      <c r="B310" s="93"/>
      <c r="C31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0" s="20" t="str">
        <f ca="1">IFERROR(__xludf.DUMMYFUNCTION("""COMPUTED_VALUE"""),"МинЖКХ ""ТОП 5 (1 этап)""")</f>
        <v>МинЖКХ "ТОП 5 (1 этап)"</v>
      </c>
      <c r="E310" s="20" t="str">
        <f ca="1">IFERROR(__xludf.DUMMYFUNCTION("""COMPUTED_VALUE"""),"Строительство блочно-модульной котельной со снижением мощности в г.о. Зарайск, пос. Зарайский, котельная «Карино» (в т.ч. ПИР)")</f>
        <v>Строительство блочно-модульной котельной со снижением мощности в г.о. Зарайск, пос. Зарайский, котельная «Карино» (в т.ч. ПИР)</v>
      </c>
      <c r="F310" s="20" t="str">
        <f ca="1">IFERROR(__xludf.DUMMYFUNCTION("""COMPUTED_VALUE"""),"СМР")</f>
        <v>СМР</v>
      </c>
      <c r="G310" s="20" t="str">
        <f ca="1">IFERROR(__xludf.DUMMYFUNCTION("""COMPUTED_VALUE"""),"г.о. Зарайск")</f>
        <v>г.о. Зарайск</v>
      </c>
      <c r="H310" s="20">
        <f ca="1">IFERROR(__xludf.DUMMYFUNCTION("""COMPUTED_VALUE"""),2020)</f>
        <v>2020</v>
      </c>
      <c r="I310" s="20" t="str">
        <f ca="1">IFERROR(__xludf.DUMMYFUNCTION("""COMPUTED_VALUE"""),"10 3 02 64080")</f>
        <v>10 3 02 64080</v>
      </c>
      <c r="J310" s="20">
        <f ca="1">IFERROR(__xludf.DUMMYFUNCTION("""COMPUTED_VALUE"""),522)</f>
        <v>522</v>
      </c>
      <c r="K310" s="24">
        <f t="shared" ca="1" si="1"/>
        <v>14163.3</v>
      </c>
      <c r="L310" s="24">
        <f ca="1">IFERROR(__xludf.DUMMYFUNCTION("""COMPUTED_VALUE"""),0)</f>
        <v>0</v>
      </c>
      <c r="M310" s="24">
        <f ca="1">IFERROR(__xludf.DUMMYFUNCTION("""COMPUTED_VALUE"""),0)</f>
        <v>0</v>
      </c>
      <c r="N310" s="24">
        <f ca="1">IFERROR(__xludf.DUMMYFUNCTION("""COMPUTED_VALUE"""),13115.22)</f>
        <v>13115.22</v>
      </c>
      <c r="O310" s="24">
        <f ca="1">IFERROR(__xludf.DUMMYFUNCTION("""COMPUTED_VALUE"""),1048.08)</f>
        <v>1048.08</v>
      </c>
      <c r="P310" s="24">
        <f t="shared" ca="1" si="2"/>
        <v>13115.22</v>
      </c>
      <c r="Q310" s="20">
        <f ca="1">IFERROR(__xludf.DUMMYFUNCTION("""COMPUTED_VALUE"""),12)</f>
        <v>12</v>
      </c>
      <c r="R310" s="20"/>
      <c r="S310" s="24">
        <f ca="1">IFERROR(__xludf.DUMMYFUNCTION("""COMPUTED_VALUE"""),12592.35)</f>
        <v>12592.35</v>
      </c>
      <c r="T310" s="24">
        <f ca="1">IFERROR(__xludf.DUMMYFUNCTION("""COMPUTED_VALUE"""),1570.94999999999)</f>
        <v>1570.94999999999</v>
      </c>
      <c r="U310" s="24">
        <f ca="1">IFERROR(__xludf.DUMMYFUNCTION("""COMPUTED_VALUE"""),0)</f>
        <v>0</v>
      </c>
      <c r="V310" s="24">
        <f ca="1">IFERROR(__xludf.DUMMYFUNCTION("""COMPUTED_VALUE"""),0)</f>
        <v>0</v>
      </c>
      <c r="W310" s="24">
        <f ca="1">IFERROR(__xludf.DUMMYFUNCTION("""COMPUTED_VALUE"""),522.869999999999)</f>
        <v>522.86999999999898</v>
      </c>
      <c r="X310" s="24">
        <f ca="1">IFERROR(__xludf.DUMMYFUNCTION("""COMPUTED_VALUE"""),1048.08)</f>
        <v>1048.08</v>
      </c>
      <c r="Y310" s="24">
        <f t="shared" ca="1" si="3"/>
        <v>522.86999999999898</v>
      </c>
      <c r="Z310" s="20">
        <f t="shared" ca="1" si="4"/>
        <v>12592.35</v>
      </c>
      <c r="AA310" s="20"/>
      <c r="AB310" s="24">
        <f ca="1">IFERROR(__xludf.DUMMYFUNCTION("""COMPUTED_VALUE"""),0)</f>
        <v>0</v>
      </c>
      <c r="AC310" s="20">
        <f ca="1">IFERROR(__xludf.DUMMYFUNCTION("""COMPUTED_VALUE"""),12592.35)</f>
        <v>12592.35</v>
      </c>
      <c r="AD310" s="94">
        <f t="shared" ca="1" si="5"/>
        <v>0.96013257879013858</v>
      </c>
      <c r="AE310" s="20"/>
      <c r="AF310" s="20"/>
      <c r="AG310" s="20"/>
      <c r="AH310" s="20"/>
      <c r="AI310" s="20"/>
      <c r="AJ310" s="20"/>
      <c r="AK310" s="20"/>
      <c r="AL310" s="20"/>
      <c r="AM310" s="20"/>
      <c r="AN310" s="20"/>
      <c r="AO310" s="20"/>
      <c r="AP310" s="20"/>
      <c r="AQ310" s="20"/>
      <c r="AR310" s="20"/>
      <c r="AS310" s="20"/>
      <c r="AT310" s="20"/>
    </row>
    <row r="311" spans="1:46" ht="72" x14ac:dyDescent="0.2">
      <c r="A311" s="20"/>
      <c r="B311" s="93"/>
      <c r="C31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1" s="20" t="str">
        <f ca="1">IFERROR(__xludf.DUMMYFUNCTION("""COMPUTED_VALUE"""),"МинЖКХ ""ТОП 5 (1 этап)""")</f>
        <v>МинЖКХ "ТОП 5 (1 этап)"</v>
      </c>
      <c r="E311" s="20" t="str">
        <f ca="1">IFERROR(__xludf.DUMMYFUNCTION("""COMPUTED_VALUE"""),"Строительство блочно-модульной котельной со снижением мощности в пос. ц.у. с/х ""40 лет Октября, г.о. Зарайск (в т.ч. ПИР) ")</f>
        <v xml:space="preserve">Строительство блочно-модульной котельной со снижением мощности в пос. ц.у. с/х "40 лет Октября, г.о. Зарайск (в т.ч. ПИР) </v>
      </c>
      <c r="F311" s="20" t="str">
        <f ca="1">IFERROR(__xludf.DUMMYFUNCTION("""COMPUTED_VALUE"""),"СМР")</f>
        <v>СМР</v>
      </c>
      <c r="G311" s="20" t="str">
        <f ca="1">IFERROR(__xludf.DUMMYFUNCTION("""COMPUTED_VALUE"""),"г.о. Зарайск")</f>
        <v>г.о. Зарайск</v>
      </c>
      <c r="H311" s="20">
        <f ca="1">IFERROR(__xludf.DUMMYFUNCTION("""COMPUTED_VALUE"""),2020)</f>
        <v>2020</v>
      </c>
      <c r="I311" s="20" t="str">
        <f ca="1">IFERROR(__xludf.DUMMYFUNCTION("""COMPUTED_VALUE"""),"10 3 02 64080")</f>
        <v>10 3 02 64080</v>
      </c>
      <c r="J311" s="20">
        <f ca="1">IFERROR(__xludf.DUMMYFUNCTION("""COMPUTED_VALUE"""),522)</f>
        <v>522</v>
      </c>
      <c r="K311" s="24">
        <f t="shared" ca="1" si="1"/>
        <v>16063.300000000001</v>
      </c>
      <c r="L311" s="24">
        <f ca="1">IFERROR(__xludf.DUMMYFUNCTION("""COMPUTED_VALUE"""),0)</f>
        <v>0</v>
      </c>
      <c r="M311" s="24">
        <f ca="1">IFERROR(__xludf.DUMMYFUNCTION("""COMPUTED_VALUE"""),0)</f>
        <v>0</v>
      </c>
      <c r="N311" s="24">
        <f ca="1">IFERROR(__xludf.DUMMYFUNCTION("""COMPUTED_VALUE"""),14874.62)</f>
        <v>14874.62</v>
      </c>
      <c r="O311" s="24">
        <f ca="1">IFERROR(__xludf.DUMMYFUNCTION("""COMPUTED_VALUE"""),1188.68)</f>
        <v>1188.68</v>
      </c>
      <c r="P311" s="24">
        <f t="shared" ca="1" si="2"/>
        <v>14874.62</v>
      </c>
      <c r="Q311" s="20">
        <f ca="1">IFERROR(__xludf.DUMMYFUNCTION("""COMPUTED_VALUE"""),12)</f>
        <v>12</v>
      </c>
      <c r="R311" s="20"/>
      <c r="S311" s="24">
        <f ca="1">IFERROR(__xludf.DUMMYFUNCTION("""COMPUTED_VALUE"""),14224.31)</f>
        <v>14224.31</v>
      </c>
      <c r="T311" s="24">
        <f ca="1">IFERROR(__xludf.DUMMYFUNCTION("""COMPUTED_VALUE"""),1838.99)</f>
        <v>1838.99</v>
      </c>
      <c r="U311" s="24">
        <f ca="1">IFERROR(__xludf.DUMMYFUNCTION("""COMPUTED_VALUE"""),0)</f>
        <v>0</v>
      </c>
      <c r="V311" s="24">
        <f ca="1">IFERROR(__xludf.DUMMYFUNCTION("""COMPUTED_VALUE"""),0)</f>
        <v>0</v>
      </c>
      <c r="W311" s="24">
        <f ca="1">IFERROR(__xludf.DUMMYFUNCTION("""COMPUTED_VALUE"""),650.310000000001)</f>
        <v>650.31000000000097</v>
      </c>
      <c r="X311" s="24">
        <f ca="1">IFERROR(__xludf.DUMMYFUNCTION("""COMPUTED_VALUE"""),1188.68)</f>
        <v>1188.68</v>
      </c>
      <c r="Y311" s="24">
        <f t="shared" ca="1" si="3"/>
        <v>650.31000000000097</v>
      </c>
      <c r="Z311" s="20">
        <f t="shared" ca="1" si="4"/>
        <v>14224.31</v>
      </c>
      <c r="AA311" s="20"/>
      <c r="AB311" s="24">
        <f ca="1">IFERROR(__xludf.DUMMYFUNCTION("""COMPUTED_VALUE"""),0)</f>
        <v>0</v>
      </c>
      <c r="AC311" s="20">
        <f ca="1">IFERROR(__xludf.DUMMYFUNCTION("""COMPUTED_VALUE"""),14224.31)</f>
        <v>14224.31</v>
      </c>
      <c r="AD311" s="94">
        <f t="shared" ca="1" si="5"/>
        <v>0.95628056380599968</v>
      </c>
      <c r="AE311" s="20"/>
      <c r="AF311" s="20"/>
      <c r="AG311" s="20"/>
      <c r="AH311" s="20"/>
      <c r="AI311" s="20"/>
      <c r="AJ311" s="20"/>
      <c r="AK311" s="20"/>
      <c r="AL311" s="20"/>
      <c r="AM311" s="20"/>
      <c r="AN311" s="20"/>
      <c r="AO311" s="20"/>
      <c r="AP311" s="20"/>
      <c r="AQ311" s="20"/>
      <c r="AR311" s="20"/>
      <c r="AS311" s="20"/>
      <c r="AT311" s="20"/>
    </row>
    <row r="312" spans="1:46" ht="72" x14ac:dyDescent="0.2">
      <c r="A312" s="20"/>
      <c r="B312" s="93"/>
      <c r="C31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2" s="20" t="str">
        <f ca="1">IFERROR(__xludf.DUMMYFUNCTION("""COMPUTED_VALUE"""),"МинЖКХ ""ТОП 5 (1 этап)""")</f>
        <v>МинЖКХ "ТОП 5 (1 этап)"</v>
      </c>
      <c r="E312" s="20" t="str">
        <f ca="1">IFERROR(__xludf.DUMMYFUNCTION("""COMPUTED_VALUE"""),"Строительство блочно-модульной котельной со снижением мощности в с. Макеево, г.о. Зарайск (в т.ч. ПИР) ")</f>
        <v xml:space="preserve">Строительство блочно-модульной котельной со снижением мощности в с. Макеево, г.о. Зарайск (в т.ч. ПИР) </v>
      </c>
      <c r="F312" s="20" t="str">
        <f ca="1">IFERROR(__xludf.DUMMYFUNCTION("""COMPUTED_VALUE"""),"ПИР ")</f>
        <v xml:space="preserve">ПИР </v>
      </c>
      <c r="G312" s="20" t="str">
        <f ca="1">IFERROR(__xludf.DUMMYFUNCTION("""COMPUTED_VALUE"""),"г.о. Зарайск")</f>
        <v>г.о. Зарайск</v>
      </c>
      <c r="H312" s="20" t="str">
        <f ca="1">IFERROR(__xludf.DUMMYFUNCTION("""COMPUTED_VALUE"""),"2020-2021")</f>
        <v>2020-2021</v>
      </c>
      <c r="I312" s="20" t="str">
        <f ca="1">IFERROR(__xludf.DUMMYFUNCTION("""COMPUTED_VALUE"""),"10 3 02 64080")</f>
        <v>10 3 02 64080</v>
      </c>
      <c r="J312" s="20">
        <f ca="1">IFERROR(__xludf.DUMMYFUNCTION("""COMPUTED_VALUE"""),522)</f>
        <v>522</v>
      </c>
      <c r="K312" s="24">
        <f t="shared" ca="1" si="1"/>
        <v>2500</v>
      </c>
      <c r="L312" s="24">
        <f ca="1">IFERROR(__xludf.DUMMYFUNCTION("""COMPUTED_VALUE"""),0)</f>
        <v>0</v>
      </c>
      <c r="M312" s="24">
        <f ca="1">IFERROR(__xludf.DUMMYFUNCTION("""COMPUTED_VALUE"""),0)</f>
        <v>0</v>
      </c>
      <c r="N312" s="24">
        <f ca="1">IFERROR(__xludf.DUMMYFUNCTION("""COMPUTED_VALUE"""),2315)</f>
        <v>2315</v>
      </c>
      <c r="O312" s="24">
        <f ca="1">IFERROR(__xludf.DUMMYFUNCTION("""COMPUTED_VALUE"""),185)</f>
        <v>185</v>
      </c>
      <c r="P312" s="24">
        <f t="shared" ca="1" si="2"/>
        <v>2315</v>
      </c>
      <c r="Q312" s="20"/>
      <c r="R312" s="20"/>
      <c r="S312" s="24">
        <f ca="1">IFERROR(__xludf.DUMMYFUNCTION("""COMPUTED_VALUE"""),0)</f>
        <v>0</v>
      </c>
      <c r="T312" s="24">
        <f ca="1">IFERROR(__xludf.DUMMYFUNCTION("""COMPUTED_VALUE"""),2500)</f>
        <v>2500</v>
      </c>
      <c r="U312" s="24">
        <f ca="1">IFERROR(__xludf.DUMMYFUNCTION("""COMPUTED_VALUE"""),0)</f>
        <v>0</v>
      </c>
      <c r="V312" s="24">
        <f ca="1">IFERROR(__xludf.DUMMYFUNCTION("""COMPUTED_VALUE"""),0)</f>
        <v>0</v>
      </c>
      <c r="W312" s="24">
        <f ca="1">IFERROR(__xludf.DUMMYFUNCTION("""COMPUTED_VALUE"""),2315)</f>
        <v>2315</v>
      </c>
      <c r="X312" s="24">
        <f ca="1">IFERROR(__xludf.DUMMYFUNCTION("""COMPUTED_VALUE"""),185)</f>
        <v>185</v>
      </c>
      <c r="Y312" s="24">
        <f t="shared" ca="1" si="3"/>
        <v>2315</v>
      </c>
      <c r="Z312" s="20">
        <f t="shared" ca="1" si="4"/>
        <v>0</v>
      </c>
      <c r="AA312" s="20"/>
      <c r="AB312" s="24">
        <f ca="1">IFERROR(__xludf.DUMMYFUNCTION("""COMPUTED_VALUE"""),0)</f>
        <v>0</v>
      </c>
      <c r="AC312" s="20"/>
      <c r="AD312" s="94">
        <f t="shared" ca="1" si="5"/>
        <v>0</v>
      </c>
      <c r="AE312" s="20"/>
      <c r="AF312" s="20"/>
      <c r="AG312" s="20"/>
      <c r="AH312" s="20"/>
      <c r="AI312" s="20"/>
      <c r="AJ312" s="20"/>
      <c r="AK312" s="20"/>
      <c r="AL312" s="20"/>
      <c r="AM312" s="20"/>
      <c r="AN312" s="20"/>
      <c r="AO312" s="20"/>
      <c r="AP312" s="20"/>
      <c r="AQ312" s="20"/>
      <c r="AR312" s="20"/>
      <c r="AS312" s="20"/>
      <c r="AT312" s="20"/>
    </row>
    <row r="313" spans="1:46" ht="84" x14ac:dyDescent="0.2">
      <c r="A313" s="20"/>
      <c r="B313" s="93"/>
      <c r="C313" s="20" t="str">
        <f ca="1">IFERROR(__xludf.DUMMYFUNCTION("""COMPUTED_VALUE"""),"Предоставление иных межбюджетных трансфертов из бюджета Московской области  бюджетам муниципальных образований Московской области  на реализацию проектов государственно - частного партнерства в сфере теплоснабжения")</f>
        <v>Предоставление иных межбюджетных трансфертов из бюджета Московской области  бюджетам муниципальных образований Московской области  на реализацию проектов государственно - частного партнерства в сфере теплоснабжения</v>
      </c>
      <c r="D313" s="20" t="str">
        <f ca="1">IFERROR(__xludf.DUMMYFUNCTION("""COMPUTED_VALUE"""),"МинЖКХ")</f>
        <v>МинЖКХ</v>
      </c>
      <c r="E313" s="20" t="str">
        <f ca="1">IFERROR(__xludf.DUMMYFUNCTION("""COMPUTED_VALUE"""),"Создание и модернизация объектов централизованного теплоснабжения и горячего водоснабжения на территории г.о.  Кашира")</f>
        <v>Создание и модернизация объектов централизованного теплоснабжения и горячего водоснабжения на территории г.о.  Кашира</v>
      </c>
      <c r="F313" s="20" t="str">
        <f ca="1">IFERROR(__xludf.DUMMYFUNCTION("""COMPUTED_VALUE"""),"СМР")</f>
        <v>СМР</v>
      </c>
      <c r="G313" s="20" t="str">
        <f ca="1">IFERROR(__xludf.DUMMYFUNCTION("""COMPUTED_VALUE"""),"г.о. Кашира")</f>
        <v>г.о. Кашира</v>
      </c>
      <c r="H313" s="20">
        <f ca="1">IFERROR(__xludf.DUMMYFUNCTION("""COMPUTED_VALUE"""),2020)</f>
        <v>2020</v>
      </c>
      <c r="I313" s="20"/>
      <c r="J313" s="20"/>
      <c r="K313" s="24">
        <f t="shared" ca="1" si="1"/>
        <v>230000</v>
      </c>
      <c r="L313" s="24">
        <f ca="1">IFERROR(__xludf.DUMMYFUNCTION("""COMPUTED_VALUE"""),230000)</f>
        <v>230000</v>
      </c>
      <c r="M313" s="24">
        <f ca="1">IFERROR(__xludf.DUMMYFUNCTION("""COMPUTED_VALUE"""),0)</f>
        <v>0</v>
      </c>
      <c r="N313" s="24">
        <f ca="1">IFERROR(__xludf.DUMMYFUNCTION("""COMPUTED_VALUE"""),0)</f>
        <v>0</v>
      </c>
      <c r="O313" s="24">
        <f ca="1">IFERROR(__xludf.DUMMYFUNCTION("""COMPUTED_VALUE"""),0)</f>
        <v>0</v>
      </c>
      <c r="P313" s="24">
        <f t="shared" ca="1" si="2"/>
        <v>230000</v>
      </c>
      <c r="Q313" s="20"/>
      <c r="R313" s="20"/>
      <c r="S313" s="24">
        <f ca="1">IFERROR(__xludf.DUMMYFUNCTION("""COMPUTED_VALUE"""),230000)</f>
        <v>230000</v>
      </c>
      <c r="T313" s="24">
        <f ca="1">IFERROR(__xludf.DUMMYFUNCTION("""COMPUTED_VALUE"""),0)</f>
        <v>0</v>
      </c>
      <c r="U313" s="24">
        <f ca="1">IFERROR(__xludf.DUMMYFUNCTION("""COMPUTED_VALUE"""),0)</f>
        <v>0</v>
      </c>
      <c r="V313" s="24">
        <f ca="1">IFERROR(__xludf.DUMMYFUNCTION("""COMPUTED_VALUE"""),0)</f>
        <v>0</v>
      </c>
      <c r="W313" s="24">
        <f ca="1">IFERROR(__xludf.DUMMYFUNCTION("""COMPUTED_VALUE"""),0)</f>
        <v>0</v>
      </c>
      <c r="X313" s="24">
        <f ca="1">IFERROR(__xludf.DUMMYFUNCTION("""COMPUTED_VALUE"""),0)</f>
        <v>0</v>
      </c>
      <c r="Y313" s="24">
        <f t="shared" ca="1" si="3"/>
        <v>0</v>
      </c>
      <c r="Z313" s="20">
        <f t="shared" ca="1" si="4"/>
        <v>230000</v>
      </c>
      <c r="AA313" s="20"/>
      <c r="AB313" s="24">
        <f ca="1">IFERROR(__xludf.DUMMYFUNCTION("""COMPUTED_VALUE"""),230000)</f>
        <v>230000</v>
      </c>
      <c r="AC313" s="20"/>
      <c r="AD313" s="94">
        <f t="shared" ca="1" si="5"/>
        <v>1</v>
      </c>
      <c r="AE313" s="20"/>
      <c r="AF313" s="20"/>
      <c r="AG313" s="20"/>
      <c r="AH313" s="20"/>
      <c r="AI313" s="20"/>
      <c r="AJ313" s="20"/>
      <c r="AK313" s="20"/>
      <c r="AL313" s="20"/>
      <c r="AM313" s="20"/>
      <c r="AN313" s="20"/>
      <c r="AO313" s="20"/>
      <c r="AP313" s="20"/>
      <c r="AQ313" s="20"/>
      <c r="AR313" s="20"/>
      <c r="AS313" s="20"/>
      <c r="AT313" s="20"/>
    </row>
    <row r="314" spans="1:46" ht="72" x14ac:dyDescent="0.2">
      <c r="A314" s="20"/>
      <c r="B314" s="93"/>
      <c r="C314" s="20" t="str">
        <f ca="1">IFERROR(__xludf.DUMMYFUNCTION("""COMPUTED_VALUE"""),"Предоставление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v>
      </c>
      <c r="D314" s="20" t="str">
        <f ca="1">IFERROR(__xludf.DUMMYFUNCTION("""COMPUTED_VALUE"""),"МинЖКХ")</f>
        <v>МинЖКХ</v>
      </c>
      <c r="E314" s="20" t="str">
        <f ca="1">IFERROR(__xludf.DUMMYFUNCTION("""COMPUTED_VALUE"""),"Субсидия на приобретение тепловых сетей филиала  ""Каширская ГРЭС"" АО ""Интер РАО -Электрогенерация"".")</f>
        <v>Субсидия на приобретение тепловых сетей филиала  "Каширская ГРЭС" АО "Интер РАО -Электрогенерация".</v>
      </c>
      <c r="F314" s="20"/>
      <c r="G314" s="20" t="str">
        <f ca="1">IFERROR(__xludf.DUMMYFUNCTION("""COMPUTED_VALUE"""),"г.о. Кашира")</f>
        <v>г.о. Кашира</v>
      </c>
      <c r="H314" s="20">
        <f ca="1">IFERROR(__xludf.DUMMYFUNCTION("""COMPUTED_VALUE"""),2020)</f>
        <v>2020</v>
      </c>
      <c r="I314" s="20" t="str">
        <f ca="1">IFERROR(__xludf.DUMMYFUNCTION("""COMPUTED_VALUE"""),"10 3 02 64060")</f>
        <v>10 3 02 64060</v>
      </c>
      <c r="J314" s="20">
        <f ca="1">IFERROR(__xludf.DUMMYFUNCTION("""COMPUTED_VALUE"""),520)</f>
        <v>520</v>
      </c>
      <c r="K314" s="24">
        <f t="shared" ca="1" si="1"/>
        <v>63685</v>
      </c>
      <c r="L314" s="24">
        <f ca="1">IFERROR(__xludf.DUMMYFUNCTION("""COMPUTED_VALUE"""),52158)</f>
        <v>52158</v>
      </c>
      <c r="M314" s="24">
        <f ca="1">IFERROR(__xludf.DUMMYFUNCTION("""COMPUTED_VALUE"""),0)</f>
        <v>0</v>
      </c>
      <c r="N314" s="24">
        <f ca="1">IFERROR(__xludf.DUMMYFUNCTION("""COMPUTED_VALUE"""),0)</f>
        <v>0</v>
      </c>
      <c r="O314" s="24">
        <f ca="1">IFERROR(__xludf.DUMMYFUNCTION("""COMPUTED_VALUE"""),11527)</f>
        <v>11527</v>
      </c>
      <c r="P314" s="24">
        <f t="shared" ca="1" si="2"/>
        <v>52158</v>
      </c>
      <c r="Q314" s="20"/>
      <c r="R314" s="20"/>
      <c r="S314" s="24">
        <f ca="1">IFERROR(__xludf.DUMMYFUNCTION("""COMPUTED_VALUE"""),63685)</f>
        <v>63685</v>
      </c>
      <c r="T314" s="24">
        <f ca="1">IFERROR(__xludf.DUMMYFUNCTION("""COMPUTED_VALUE"""),0)</f>
        <v>0</v>
      </c>
      <c r="U314" s="24">
        <f ca="1">IFERROR(__xludf.DUMMYFUNCTION("""COMPUTED_VALUE"""),0)</f>
        <v>0</v>
      </c>
      <c r="V314" s="24">
        <f ca="1">IFERROR(__xludf.DUMMYFUNCTION("""COMPUTED_VALUE"""),0)</f>
        <v>0</v>
      </c>
      <c r="W314" s="24">
        <f ca="1">IFERROR(__xludf.DUMMYFUNCTION("""COMPUTED_VALUE"""),0)</f>
        <v>0</v>
      </c>
      <c r="X314" s="24">
        <f ca="1">IFERROR(__xludf.DUMMYFUNCTION("""COMPUTED_VALUE"""),0)</f>
        <v>0</v>
      </c>
      <c r="Y314" s="24">
        <f t="shared" ca="1" si="3"/>
        <v>0</v>
      </c>
      <c r="Z314" s="20">
        <f t="shared" ca="1" si="4"/>
        <v>52158</v>
      </c>
      <c r="AA314" s="20"/>
      <c r="AB314" s="24">
        <f ca="1">IFERROR(__xludf.DUMMYFUNCTION("""COMPUTED_VALUE"""),52158)</f>
        <v>52158</v>
      </c>
      <c r="AC314" s="20"/>
      <c r="AD314" s="94">
        <f t="shared" ca="1" si="5"/>
        <v>1</v>
      </c>
      <c r="AE314" s="20"/>
      <c r="AF314" s="20"/>
      <c r="AG314" s="20"/>
      <c r="AH314" s="20"/>
      <c r="AI314" s="20"/>
      <c r="AJ314" s="20"/>
      <c r="AK314" s="20"/>
      <c r="AL314" s="20"/>
      <c r="AM314" s="20"/>
      <c r="AN314" s="20"/>
      <c r="AO314" s="20"/>
      <c r="AP314" s="20"/>
      <c r="AQ314" s="20"/>
      <c r="AR314" s="20"/>
      <c r="AS314" s="20"/>
      <c r="AT314" s="20"/>
    </row>
    <row r="315" spans="1:46" ht="180" x14ac:dyDescent="0.2">
      <c r="A315" s="20" t="str">
        <f ca="1">IFERROR(__xludf.DUMMYFUNCTION("""COMPUTED_VALUE"""),"Оплачено")</f>
        <v>Оплачено</v>
      </c>
      <c r="B315" s="93"/>
      <c r="C31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5" s="20" t="str">
        <f ca="1">IFERROR(__xludf.DUMMYFUNCTION("""COMPUTED_VALUE"""),"МинЖКХ")</f>
        <v>МинЖКХ</v>
      </c>
      <c r="E315" s="20" t="str">
        <f ca="1">IFERROR(__xludf.DUMMYFUNCTION("""COMPUTED_VALUE"""),"Реконструкция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"&amp;"выполненные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f>
        <v xml:space="preserv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v>
      </c>
      <c r="F315" s="20" t="str">
        <f ca="1">IFERROR(__xludf.DUMMYFUNCTION("""COMPUTED_VALUE"""),"ПИР")</f>
        <v>ПИР</v>
      </c>
      <c r="G315" s="20" t="str">
        <f ca="1">IFERROR(__xludf.DUMMYFUNCTION("""COMPUTED_VALUE"""),"г.о. Красногорск")</f>
        <v>г.о. Красногорск</v>
      </c>
      <c r="H315" s="20">
        <f ca="1">IFERROR(__xludf.DUMMYFUNCTION("""COMPUTED_VALUE"""),2020)</f>
        <v>2020</v>
      </c>
      <c r="I315" s="20" t="str">
        <f ca="1">IFERROR(__xludf.DUMMYFUNCTION("""COMPUTED_VALUE"""),"10 3 02 64080")</f>
        <v>10 3 02 64080</v>
      </c>
      <c r="J315" s="20">
        <f ca="1">IFERROR(__xludf.DUMMYFUNCTION("""COMPUTED_VALUE"""),522)</f>
        <v>522</v>
      </c>
      <c r="K315" s="24">
        <f t="shared" ca="1" si="1"/>
        <v>4621.03</v>
      </c>
      <c r="L315" s="24">
        <f ca="1">IFERROR(__xludf.DUMMYFUNCTION("""COMPUTED_VALUE"""),4607.3)</f>
        <v>4607.3</v>
      </c>
      <c r="M315" s="24">
        <f ca="1">IFERROR(__xludf.DUMMYFUNCTION("""COMPUTED_VALUE"""),0)</f>
        <v>0</v>
      </c>
      <c r="N315" s="24">
        <f ca="1">IFERROR(__xludf.DUMMYFUNCTION("""COMPUTED_VALUE"""),0)</f>
        <v>0</v>
      </c>
      <c r="O315" s="24">
        <f ca="1">IFERROR(__xludf.DUMMYFUNCTION("""COMPUTED_VALUE"""),13.73)</f>
        <v>13.73</v>
      </c>
      <c r="P315" s="24">
        <f t="shared" ca="1" si="2"/>
        <v>4607.3</v>
      </c>
      <c r="Q315" s="20"/>
      <c r="R315" s="20"/>
      <c r="S315" s="24">
        <f ca="1">IFERROR(__xludf.DUMMYFUNCTION("""COMPUTED_VALUE"""),4621.03)</f>
        <v>4621.03</v>
      </c>
      <c r="T315" s="24">
        <f ca="1">IFERROR(__xludf.DUMMYFUNCTION("""COMPUTED_VALUE"""),0)</f>
        <v>0</v>
      </c>
      <c r="U315" s="24">
        <f ca="1">IFERROR(__xludf.DUMMYFUNCTION("""COMPUTED_VALUE"""),0)</f>
        <v>0</v>
      </c>
      <c r="V315" s="24">
        <f ca="1">IFERROR(__xludf.DUMMYFUNCTION("""COMPUTED_VALUE"""),0)</f>
        <v>0</v>
      </c>
      <c r="W315" s="24">
        <f ca="1">IFERROR(__xludf.DUMMYFUNCTION("""COMPUTED_VALUE"""),0)</f>
        <v>0</v>
      </c>
      <c r="X315" s="24">
        <f ca="1">IFERROR(__xludf.DUMMYFUNCTION("""COMPUTED_VALUE"""),0)</f>
        <v>0</v>
      </c>
      <c r="Y315" s="24">
        <f t="shared" ca="1" si="3"/>
        <v>0</v>
      </c>
      <c r="Z315" s="20">
        <f t="shared" ca="1" si="4"/>
        <v>4607.3</v>
      </c>
      <c r="AA315" s="20"/>
      <c r="AB315" s="24">
        <f ca="1">IFERROR(__xludf.DUMMYFUNCTION("""COMPUTED_VALUE"""),4607.3)</f>
        <v>4607.3</v>
      </c>
      <c r="AC315" s="20"/>
      <c r="AD315" s="94">
        <f t="shared" ca="1" si="5"/>
        <v>1</v>
      </c>
      <c r="AE315" s="20"/>
      <c r="AF315" s="20"/>
      <c r="AG315" s="20"/>
      <c r="AH315" s="20"/>
      <c r="AI315" s="20"/>
      <c r="AJ315" s="20"/>
      <c r="AK315" s="20"/>
      <c r="AL315" s="20"/>
      <c r="AM315" s="20"/>
      <c r="AN315" s="20"/>
      <c r="AO315" s="20"/>
      <c r="AP315" s="20"/>
      <c r="AQ315" s="20"/>
      <c r="AR315" s="20"/>
      <c r="AS315" s="20"/>
      <c r="AT315" s="20"/>
    </row>
    <row r="316" spans="1:46" ht="96" x14ac:dyDescent="0.2">
      <c r="A316" s="20"/>
      <c r="B316" s="93"/>
      <c r="C31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6" s="20" t="str">
        <f ca="1">IFERROR(__xludf.DUMMYFUNCTION("""COMPUTED_VALUE"""),"МинЖКХ")</f>
        <v>МинЖКХ</v>
      </c>
      <c r="E316" s="20" t="str">
        <f ca="1">IFERROR(__xludf.DUMMYFUNCTION("""COMPUTED_VALUE"""),"Строительство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f>
        <v>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v>
      </c>
      <c r="F316" s="20" t="str">
        <f ca="1">IFERROR(__xludf.DUMMYFUNCTION("""COMPUTED_VALUE"""),"СМР")</f>
        <v>СМР</v>
      </c>
      <c r="G316" s="20" t="str">
        <f ca="1">IFERROR(__xludf.DUMMYFUNCTION("""COMPUTED_VALUE"""),"г.о. Краснознаменск")</f>
        <v>г.о. Краснознаменск</v>
      </c>
      <c r="H316" s="20" t="str">
        <f ca="1">IFERROR(__xludf.DUMMYFUNCTION("""COMPUTED_VALUE"""),"2020-2022")</f>
        <v>2020-2022</v>
      </c>
      <c r="I316" s="20" t="str">
        <f ca="1">IFERROR(__xludf.DUMMYFUNCTION("""COMPUTED_VALUE"""),"10 3 02 64080")</f>
        <v>10 3 02 64080</v>
      </c>
      <c r="J316" s="20">
        <f ca="1">IFERROR(__xludf.DUMMYFUNCTION("""COMPUTED_VALUE"""),522)</f>
        <v>522</v>
      </c>
      <c r="K316" s="24">
        <f t="shared" ca="1" si="1"/>
        <v>70338.36</v>
      </c>
      <c r="L316" s="24">
        <f ca="1">IFERROR(__xludf.DUMMYFUNCTION("""COMPUTED_VALUE"""),63304.82)</f>
        <v>63304.82</v>
      </c>
      <c r="M316" s="24">
        <f ca="1">IFERROR(__xludf.DUMMYFUNCTION("""COMPUTED_VALUE"""),0)</f>
        <v>0</v>
      </c>
      <c r="N316" s="24">
        <f ca="1">IFERROR(__xludf.DUMMYFUNCTION("""COMPUTED_VALUE"""),0)</f>
        <v>0</v>
      </c>
      <c r="O316" s="24">
        <f ca="1">IFERROR(__xludf.DUMMYFUNCTION("""COMPUTED_VALUE"""),7033.54)</f>
        <v>7033.54</v>
      </c>
      <c r="P316" s="24">
        <f t="shared" ca="1" si="2"/>
        <v>63304.82</v>
      </c>
      <c r="Q316" s="20"/>
      <c r="R316" s="20"/>
      <c r="S316" s="24">
        <f ca="1">IFERROR(__xludf.DUMMYFUNCTION("""COMPUTED_VALUE"""),63300.87)</f>
        <v>63300.87</v>
      </c>
      <c r="T316" s="24">
        <f ca="1">IFERROR(__xludf.DUMMYFUNCTION("""COMPUTED_VALUE"""),7037.48999999999)</f>
        <v>7037.4899999999898</v>
      </c>
      <c r="U316" s="24">
        <f ca="1">IFERROR(__xludf.DUMMYFUNCTION("""COMPUTED_VALUE"""),3.94999999999708)</f>
        <v>3.9499999999970798</v>
      </c>
      <c r="V316" s="24">
        <f ca="1">IFERROR(__xludf.DUMMYFUNCTION("""COMPUTED_VALUE"""),0)</f>
        <v>0</v>
      </c>
      <c r="W316" s="24">
        <f ca="1">IFERROR(__xludf.DUMMYFUNCTION("""COMPUTED_VALUE"""),0)</f>
        <v>0</v>
      </c>
      <c r="X316" s="24">
        <f ca="1">IFERROR(__xludf.DUMMYFUNCTION("""COMPUTED_VALUE"""),7033.54)</f>
        <v>7033.54</v>
      </c>
      <c r="Y316" s="24">
        <f t="shared" ca="1" si="3"/>
        <v>3.9499999999970798</v>
      </c>
      <c r="Z316" s="20">
        <f t="shared" ca="1" si="4"/>
        <v>63300.87</v>
      </c>
      <c r="AA316" s="20"/>
      <c r="AB316" s="24">
        <f ca="1">IFERROR(__xludf.DUMMYFUNCTION("""COMPUTED_VALUE"""),63300.87)</f>
        <v>63300.87</v>
      </c>
      <c r="AC316" s="20"/>
      <c r="AD316" s="94">
        <f t="shared" ca="1" si="5"/>
        <v>0.99993760348738059</v>
      </c>
      <c r="AE316" s="20"/>
      <c r="AF316" s="20"/>
      <c r="AG316" s="20"/>
      <c r="AH316" s="20"/>
      <c r="AI316" s="20"/>
      <c r="AJ316" s="20"/>
      <c r="AK316" s="20"/>
      <c r="AL316" s="20"/>
      <c r="AM316" s="20"/>
      <c r="AN316" s="20"/>
      <c r="AO316" s="20"/>
      <c r="AP316" s="20"/>
      <c r="AQ316" s="20"/>
      <c r="AR316" s="20"/>
      <c r="AS316" s="20"/>
      <c r="AT316" s="20"/>
    </row>
    <row r="317" spans="1:46" ht="72" x14ac:dyDescent="0.2">
      <c r="A317" s="20" t="str">
        <f ca="1">IFERROR(__xludf.DUMMYFUNCTION("""COMPUTED_VALUE"""),"СМР 2021 год")</f>
        <v>СМР 2021 год</v>
      </c>
      <c r="B317" s="93"/>
      <c r="C31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7" s="20" t="str">
        <f ca="1">IFERROR(__xludf.DUMMYFUNCTION("""COMPUTED_VALUE"""),"МинЖКХ ""ТОП 5 (1 этап)""")</f>
        <v>МинЖКХ "ТОП 5 (1 этап)"</v>
      </c>
      <c r="E317" s="20" t="str">
        <f ca="1">IFERROR(__xludf.DUMMYFUNCTION("""COMPUTED_VALUE"""),"Реконструкция котельной ""Школа-интернат"" р.п. Белоомут, ул. Центральная, д.57 (в т.ч. ПИР), г.о. Луховицы")</f>
        <v>Реконструкция котельной "Школа-интернат" р.п. Белоомут, ул. Центральная, д.57 (в т.ч. ПИР), г.о. Луховицы</v>
      </c>
      <c r="F317" s="20" t="str">
        <f ca="1">IFERROR(__xludf.DUMMYFUNCTION("""COMPUTED_VALUE"""),"ПИР")</f>
        <v>ПИР</v>
      </c>
      <c r="G317" s="20" t="str">
        <f ca="1">IFERROR(__xludf.DUMMYFUNCTION("""COMPUTED_VALUE"""),"г.о. Луховицы")</f>
        <v>г.о. Луховицы</v>
      </c>
      <c r="H317" s="20" t="str">
        <f ca="1">IFERROR(__xludf.DUMMYFUNCTION("""COMPUTED_VALUE"""),"2020-2021")</f>
        <v>2020-2021</v>
      </c>
      <c r="I317" s="20" t="str">
        <f ca="1">IFERROR(__xludf.DUMMYFUNCTION("""COMPUTED_VALUE"""),"10 3 02 64080")</f>
        <v>10 3 02 64080</v>
      </c>
      <c r="J317" s="20">
        <f ca="1">IFERROR(__xludf.DUMMYFUNCTION("""COMPUTED_VALUE"""),522)</f>
        <v>522</v>
      </c>
      <c r="K317" s="24">
        <f t="shared" ca="1" si="1"/>
        <v>2127.6</v>
      </c>
      <c r="L317" s="24">
        <f ca="1">IFERROR(__xludf.DUMMYFUNCTION("""COMPUTED_VALUE"""),0)</f>
        <v>0</v>
      </c>
      <c r="M317" s="24">
        <f ca="1">IFERROR(__xludf.DUMMYFUNCTION("""COMPUTED_VALUE"""),0)</f>
        <v>0</v>
      </c>
      <c r="N317" s="24">
        <f ca="1">IFERROR(__xludf.DUMMYFUNCTION("""COMPUTED_VALUE"""),1904.2)</f>
        <v>1904.2</v>
      </c>
      <c r="O317" s="24">
        <f ca="1">IFERROR(__xludf.DUMMYFUNCTION("""COMPUTED_VALUE"""),223.4)</f>
        <v>223.4</v>
      </c>
      <c r="P317" s="24">
        <f t="shared" ca="1" si="2"/>
        <v>1904.2</v>
      </c>
      <c r="Q317" s="20"/>
      <c r="R317" s="20"/>
      <c r="S317" s="24">
        <f ca="1">IFERROR(__xludf.DUMMYFUNCTION("""COMPUTED_VALUE"""),1431.99)</f>
        <v>1431.99</v>
      </c>
      <c r="T317" s="24">
        <f ca="1">IFERROR(__xludf.DUMMYFUNCTION("""COMPUTED_VALUE"""),695.609999999999)</f>
        <v>695.60999999999899</v>
      </c>
      <c r="U317" s="24">
        <f ca="1">IFERROR(__xludf.DUMMYFUNCTION("""COMPUTED_VALUE"""),0)</f>
        <v>0</v>
      </c>
      <c r="V317" s="24">
        <f ca="1">IFERROR(__xludf.DUMMYFUNCTION("""COMPUTED_VALUE"""),0)</f>
        <v>0</v>
      </c>
      <c r="W317" s="24">
        <f ca="1">IFERROR(__xludf.DUMMYFUNCTION("""COMPUTED_VALUE"""),472.21)</f>
        <v>472.21</v>
      </c>
      <c r="X317" s="24">
        <f ca="1">IFERROR(__xludf.DUMMYFUNCTION("""COMPUTED_VALUE"""),223.4)</f>
        <v>223.4</v>
      </c>
      <c r="Y317" s="24">
        <f t="shared" ca="1" si="3"/>
        <v>472.21</v>
      </c>
      <c r="Z317" s="20">
        <f t="shared" ca="1" si="4"/>
        <v>1431.99</v>
      </c>
      <c r="AA317" s="20"/>
      <c r="AB317" s="24">
        <f ca="1">IFERROR(__xludf.DUMMYFUNCTION("""COMPUTED_VALUE"""),0)</f>
        <v>0</v>
      </c>
      <c r="AC317" s="20">
        <f ca="1">IFERROR(__xludf.DUMMYFUNCTION("""COMPUTED_VALUE"""),1431.99)</f>
        <v>1431.99</v>
      </c>
      <c r="AD317" s="94">
        <f t="shared" ca="1" si="5"/>
        <v>0.75201659489549411</v>
      </c>
      <c r="AE317" s="20"/>
      <c r="AF317" s="20"/>
      <c r="AG317" s="20"/>
      <c r="AH317" s="20"/>
      <c r="AI317" s="20"/>
      <c r="AJ317" s="20"/>
      <c r="AK317" s="20"/>
      <c r="AL317" s="20"/>
      <c r="AM317" s="20"/>
      <c r="AN317" s="20"/>
      <c r="AO317" s="20"/>
      <c r="AP317" s="20"/>
      <c r="AQ317" s="20"/>
      <c r="AR317" s="20"/>
      <c r="AS317" s="20"/>
      <c r="AT317" s="20"/>
    </row>
    <row r="318" spans="1:46" ht="72" x14ac:dyDescent="0.2">
      <c r="A318" s="20"/>
      <c r="B318" s="93"/>
      <c r="C318" s="20" t="str">
        <f ca="1">IFERROR(__xludf.DUMMYFUNCTION("""COMPUTED_VALUE"""),"Финансовое обеспечение (возмещение) затрат, связанных с капитальным ремонтом объектов теплоснабжения")</f>
        <v>Финансовое обеспечение (возмещение) затрат, связанных с капитальным ремонтом объектов теплоснабжения</v>
      </c>
      <c r="D318" s="20" t="str">
        <f ca="1">IFERROR(__xludf.DUMMYFUNCTION("""COMPUTED_VALUE"""),"МинЖКХ")</f>
        <v>МинЖКХ</v>
      </c>
      <c r="E318" s="20" t="str">
        <f ca="1">IFERROR(__xludf.DUMMYFUNCTION("""COMPUTED_VALUE"""),"Капитальный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f>
        <v>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v>
      </c>
      <c r="F318" s="20" t="str">
        <f ca="1">IFERROR(__xludf.DUMMYFUNCTION("""COMPUTED_VALUE"""),"СМР")</f>
        <v>СМР</v>
      </c>
      <c r="G318" s="20" t="str">
        <f ca="1">IFERROR(__xludf.DUMMYFUNCTION("""COMPUTED_VALUE"""),"ФПЛК г.о. Можайск")</f>
        <v>ФПЛК г.о. Можайск</v>
      </c>
      <c r="H318" s="20" t="str">
        <f ca="1">IFERROR(__xludf.DUMMYFUNCTION("""COMPUTED_VALUE"""),"2020-2021")</f>
        <v>2020-2021</v>
      </c>
      <c r="I318" s="20" t="str">
        <f ca="1">IFERROR(__xludf.DUMMYFUNCTION("""COMPUTED_VALUE"""),"10 3 02 00090")</f>
        <v>10 3 02 00090</v>
      </c>
      <c r="J318" s="20">
        <f ca="1">IFERROR(__xludf.DUMMYFUNCTION("""COMPUTED_VALUE"""),812)</f>
        <v>812</v>
      </c>
      <c r="K318" s="24">
        <f t="shared" ca="1" si="1"/>
        <v>140263</v>
      </c>
      <c r="L318" s="24">
        <f ca="1">IFERROR(__xludf.DUMMYFUNCTION("""COMPUTED_VALUE"""),0)</f>
        <v>0</v>
      </c>
      <c r="M318" s="24">
        <f ca="1">IFERROR(__xludf.DUMMYFUNCTION("""COMPUTED_VALUE"""),0)</f>
        <v>0</v>
      </c>
      <c r="N318" s="24">
        <f ca="1">IFERROR(__xludf.DUMMYFUNCTION("""COMPUTED_VALUE"""),140263)</f>
        <v>140263</v>
      </c>
      <c r="O318" s="24">
        <f ca="1">IFERROR(__xludf.DUMMYFUNCTION("""COMPUTED_VALUE"""),0)</f>
        <v>0</v>
      </c>
      <c r="P318" s="24">
        <f t="shared" ca="1" si="2"/>
        <v>140263</v>
      </c>
      <c r="Q318" s="20">
        <f ca="1">IFERROR(__xludf.DUMMYFUNCTION("""COMPUTED_VALUE"""),5)</f>
        <v>5</v>
      </c>
      <c r="R318" s="20"/>
      <c r="S318" s="24">
        <f ca="1">IFERROR(__xludf.DUMMYFUNCTION("""COMPUTED_VALUE"""),140263)</f>
        <v>140263</v>
      </c>
      <c r="T318" s="24">
        <f ca="1">IFERROR(__xludf.DUMMYFUNCTION("""COMPUTED_VALUE"""),0)</f>
        <v>0</v>
      </c>
      <c r="U318" s="24">
        <f ca="1">IFERROR(__xludf.DUMMYFUNCTION("""COMPUTED_VALUE"""),0)</f>
        <v>0</v>
      </c>
      <c r="V318" s="24">
        <f ca="1">IFERROR(__xludf.DUMMYFUNCTION("""COMPUTED_VALUE"""),0)</f>
        <v>0</v>
      </c>
      <c r="W318" s="24">
        <f ca="1">IFERROR(__xludf.DUMMYFUNCTION("""COMPUTED_VALUE"""),0)</f>
        <v>0</v>
      </c>
      <c r="X318" s="24">
        <f ca="1">IFERROR(__xludf.DUMMYFUNCTION("""COMPUTED_VALUE"""),0)</f>
        <v>0</v>
      </c>
      <c r="Y318" s="24">
        <f t="shared" ca="1" si="3"/>
        <v>0</v>
      </c>
      <c r="Z318" s="20">
        <f t="shared" ca="1" si="4"/>
        <v>140263</v>
      </c>
      <c r="AA318" s="20"/>
      <c r="AB318" s="20"/>
      <c r="AC318" s="24">
        <f ca="1">IFERROR(__xludf.DUMMYFUNCTION("""COMPUTED_VALUE"""),140263)</f>
        <v>140263</v>
      </c>
      <c r="AD318" s="94">
        <f t="shared" ca="1" si="5"/>
        <v>1</v>
      </c>
      <c r="AE318" s="20"/>
      <c r="AF318" s="20"/>
      <c r="AG318" s="20"/>
      <c r="AH318" s="20"/>
      <c r="AI318" s="20"/>
      <c r="AJ318" s="20"/>
      <c r="AK318" s="20"/>
      <c r="AL318" s="20"/>
      <c r="AM318" s="20"/>
      <c r="AN318" s="20"/>
      <c r="AO318" s="20"/>
      <c r="AP318" s="20"/>
      <c r="AQ318" s="20"/>
      <c r="AR318" s="20"/>
      <c r="AS318" s="20"/>
      <c r="AT318" s="20"/>
    </row>
    <row r="319" spans="1:46" ht="36" x14ac:dyDescent="0.2">
      <c r="A319" s="20"/>
      <c r="B319" s="93"/>
      <c r="C319" s="20" t="str">
        <f ca="1">IFERROR(__xludf.DUMMYFUNCTION("""COMPUTED_VALUE"""),"Финансовое обеспечение (возмещение) затрат, связанных с капитальным ремонтом объектов теплоснабжения")</f>
        <v>Финансовое обеспечение (возмещение) затрат, связанных с капитальным ремонтом объектов теплоснабжения</v>
      </c>
      <c r="D319" s="20" t="str">
        <f ca="1">IFERROR(__xludf.DUMMYFUNCTION("""COMPUTED_VALUE"""),"МинЖКХ")</f>
        <v>МинЖКХ</v>
      </c>
      <c r="E319" s="20" t="str">
        <f ca="1">IFERROR(__xludf.DUMMYFUNCTION("""COMPUTED_VALUE"""),"Капитальный ремонт котельной № 40 по адресу: Московская область, г. Можайск, ул. Российская, д. 4а")</f>
        <v>Капитальный ремонт котельной № 40 по адресу: Московская область, г. Можайск, ул. Российская, д. 4а</v>
      </c>
      <c r="F319" s="20" t="str">
        <f ca="1">IFERROR(__xludf.DUMMYFUNCTION("""COMPUTED_VALUE"""),"СМР")</f>
        <v>СМР</v>
      </c>
      <c r="G319" s="20" t="str">
        <f ca="1">IFERROR(__xludf.DUMMYFUNCTION("""COMPUTED_VALUE"""),"ФПЛК г.о. Можайск")</f>
        <v>ФПЛК г.о. Можайск</v>
      </c>
      <c r="H319" s="20">
        <f ca="1">IFERROR(__xludf.DUMMYFUNCTION("""COMPUTED_VALUE"""),2020)</f>
        <v>2020</v>
      </c>
      <c r="I319" s="20" t="str">
        <f ca="1">IFERROR(__xludf.DUMMYFUNCTION("""COMPUTED_VALUE"""),"10 3 02 00090")</f>
        <v>10 3 02 00090</v>
      </c>
      <c r="J319" s="20">
        <f ca="1">IFERROR(__xludf.DUMMYFUNCTION("""COMPUTED_VALUE"""),812)</f>
        <v>812</v>
      </c>
      <c r="K319" s="24">
        <f t="shared" ca="1" si="1"/>
        <v>160854</v>
      </c>
      <c r="L319" s="24">
        <f ca="1">IFERROR(__xludf.DUMMYFUNCTION("""COMPUTED_VALUE"""),0)</f>
        <v>0</v>
      </c>
      <c r="M319" s="24">
        <f ca="1">IFERROR(__xludf.DUMMYFUNCTION("""COMPUTED_VALUE"""),0)</f>
        <v>0</v>
      </c>
      <c r="N319" s="24">
        <f ca="1">IFERROR(__xludf.DUMMYFUNCTION("""COMPUTED_VALUE"""),160854)</f>
        <v>160854</v>
      </c>
      <c r="O319" s="24">
        <f ca="1">IFERROR(__xludf.DUMMYFUNCTION("""COMPUTED_VALUE"""),0)</f>
        <v>0</v>
      </c>
      <c r="P319" s="24">
        <f t="shared" ca="1" si="2"/>
        <v>160854</v>
      </c>
      <c r="Q319" s="20">
        <f ca="1">IFERROR(__xludf.DUMMYFUNCTION("""COMPUTED_VALUE"""),55)</f>
        <v>55</v>
      </c>
      <c r="R319" s="20"/>
      <c r="S319" s="24">
        <f ca="1">IFERROR(__xludf.DUMMYFUNCTION("""COMPUTED_VALUE"""),158072)</f>
        <v>158072</v>
      </c>
      <c r="T319" s="24">
        <f ca="1">IFERROR(__xludf.DUMMYFUNCTION("""COMPUTED_VALUE"""),2782)</f>
        <v>2782</v>
      </c>
      <c r="U319" s="24">
        <f ca="1">IFERROR(__xludf.DUMMYFUNCTION("""COMPUTED_VALUE"""),0)</f>
        <v>0</v>
      </c>
      <c r="V319" s="24">
        <f ca="1">IFERROR(__xludf.DUMMYFUNCTION("""COMPUTED_VALUE"""),0)</f>
        <v>0</v>
      </c>
      <c r="W319" s="24">
        <f ca="1">IFERROR(__xludf.DUMMYFUNCTION("""COMPUTED_VALUE"""),2782)</f>
        <v>2782</v>
      </c>
      <c r="X319" s="24">
        <f ca="1">IFERROR(__xludf.DUMMYFUNCTION("""COMPUTED_VALUE"""),0)</f>
        <v>0</v>
      </c>
      <c r="Y319" s="24">
        <f t="shared" ca="1" si="3"/>
        <v>2782</v>
      </c>
      <c r="Z319" s="20">
        <f t="shared" ca="1" si="4"/>
        <v>158072</v>
      </c>
      <c r="AA319" s="20"/>
      <c r="AB319" s="20"/>
      <c r="AC319" s="24">
        <f ca="1">IFERROR(__xludf.DUMMYFUNCTION("""COMPUTED_VALUE"""),158072)</f>
        <v>158072</v>
      </c>
      <c r="AD319" s="94">
        <f t="shared" ca="1" si="5"/>
        <v>0.98270481306029067</v>
      </c>
      <c r="AE319" s="20"/>
      <c r="AF319" s="20"/>
      <c r="AG319" s="20"/>
      <c r="AH319" s="20"/>
      <c r="AI319" s="20"/>
      <c r="AJ319" s="20"/>
      <c r="AK319" s="20"/>
      <c r="AL319" s="20"/>
      <c r="AM319" s="20"/>
      <c r="AN319" s="20"/>
      <c r="AO319" s="20"/>
      <c r="AP319" s="20"/>
      <c r="AQ319" s="20"/>
      <c r="AR319" s="20"/>
      <c r="AS319" s="20"/>
      <c r="AT319" s="20"/>
    </row>
    <row r="320" spans="1:46" ht="72" x14ac:dyDescent="0.2">
      <c r="A320" s="20" t="str">
        <f ca="1">IFERROR(__xludf.DUMMYFUNCTION("""COMPUTED_VALUE"""),"Техприз оплачен, не направлена заявка на опалту  аванса ")</f>
        <v xml:space="preserve">Техприз оплачен, не направлена заявка на опалту  аванса </v>
      </c>
      <c r="B320" s="93"/>
      <c r="C32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0" s="20" t="str">
        <f ca="1">IFERROR(__xludf.DUMMYFUNCTION("""COMPUTED_VALUE"""),"МинЖКХ")</f>
        <v>МинЖКХ</v>
      </c>
      <c r="E320" s="20" t="str">
        <f ca="1">IFERROR(__xludf.DUMMYFUNCTION("""COMPUTED_VALUE"""),"Строительство хозяйственно-бытовой канализации в дер. Раздоры Одинцовского городского округа Московской области»  (в .т.ч. Тех.присоединение )")</f>
        <v>Строительство хозяйственно-бытовой канализации в дер. Раздоры Одинцовского городского округа Московской области»  (в .т.ч. Тех.присоединение )</v>
      </c>
      <c r="F320" s="20" t="str">
        <f ca="1">IFERROR(__xludf.DUMMYFUNCTION("""COMPUTED_VALUE"""),"СМР")</f>
        <v>СМР</v>
      </c>
      <c r="G320" s="20" t="str">
        <f ca="1">IFERROR(__xludf.DUMMYFUNCTION("""COMPUTED_VALUE"""),"г.о. Одинцово")</f>
        <v>г.о. Одинцово</v>
      </c>
      <c r="H320" s="20" t="str">
        <f ca="1">IFERROR(__xludf.DUMMYFUNCTION("""COMPUTED_VALUE"""),"2020-2021")</f>
        <v>2020-2021</v>
      </c>
      <c r="I320" s="20" t="str">
        <f ca="1">IFERROR(__xludf.DUMMYFUNCTION("""COMPUTED_VALUE"""),"10 3 02 64080")</f>
        <v>10 3 02 64080</v>
      </c>
      <c r="J320" s="20">
        <f ca="1">IFERROR(__xludf.DUMMYFUNCTION("""COMPUTED_VALUE"""),522)</f>
        <v>522</v>
      </c>
      <c r="K320" s="24">
        <f t="shared" ca="1" si="1"/>
        <v>129204.8</v>
      </c>
      <c r="L320" s="24">
        <f ca="1">IFERROR(__xludf.DUMMYFUNCTION("""COMPUTED_VALUE"""),80753)</f>
        <v>80753</v>
      </c>
      <c r="M320" s="24">
        <f ca="1">IFERROR(__xludf.DUMMYFUNCTION("""COMPUTED_VALUE"""),0)</f>
        <v>0</v>
      </c>
      <c r="N320" s="24">
        <f ca="1">IFERROR(__xludf.DUMMYFUNCTION("""COMPUTED_VALUE"""),0)</f>
        <v>0</v>
      </c>
      <c r="O320" s="24">
        <f ca="1">IFERROR(__xludf.DUMMYFUNCTION("""COMPUTED_VALUE"""),48451.8)</f>
        <v>48451.8</v>
      </c>
      <c r="P320" s="24">
        <f t="shared" ca="1" si="2"/>
        <v>80753</v>
      </c>
      <c r="Q320" s="20"/>
      <c r="R320" s="20"/>
      <c r="S320" s="24">
        <f ca="1">IFERROR(__xludf.DUMMYFUNCTION("""COMPUTED_VALUE"""),74666.24)</f>
        <v>74666.240000000005</v>
      </c>
      <c r="T320" s="24">
        <f ca="1">IFERROR(__xludf.DUMMYFUNCTION("""COMPUTED_VALUE"""),54538.56)</f>
        <v>54538.559999999998</v>
      </c>
      <c r="U320" s="24">
        <f ca="1">IFERROR(__xludf.DUMMYFUNCTION("""COMPUTED_VALUE"""),6086.75999999999)</f>
        <v>6086.7599999999902</v>
      </c>
      <c r="V320" s="24">
        <f ca="1">IFERROR(__xludf.DUMMYFUNCTION("""COMPUTED_VALUE"""),0)</f>
        <v>0</v>
      </c>
      <c r="W320" s="24">
        <f ca="1">IFERROR(__xludf.DUMMYFUNCTION("""COMPUTED_VALUE"""),0)</f>
        <v>0</v>
      </c>
      <c r="X320" s="24">
        <f ca="1">IFERROR(__xludf.DUMMYFUNCTION("""COMPUTED_VALUE"""),48451.8)</f>
        <v>48451.8</v>
      </c>
      <c r="Y320" s="24">
        <f t="shared" ca="1" si="3"/>
        <v>6086.7599999999902</v>
      </c>
      <c r="Z320" s="20">
        <f t="shared" ca="1" si="4"/>
        <v>74666.240000000005</v>
      </c>
      <c r="AA320" s="20"/>
      <c r="AB320" s="24">
        <f ca="1">IFERROR(__xludf.DUMMYFUNCTION("""COMPUTED_VALUE"""),74666.24)</f>
        <v>74666.240000000005</v>
      </c>
      <c r="AC320" s="20"/>
      <c r="AD320" s="94">
        <f t="shared" ca="1" si="5"/>
        <v>0.92462496749346779</v>
      </c>
      <c r="AE320" s="20"/>
      <c r="AF320" s="20"/>
      <c r="AG320" s="20"/>
      <c r="AH320" s="20"/>
      <c r="AI320" s="20"/>
      <c r="AJ320" s="20"/>
      <c r="AK320" s="20"/>
      <c r="AL320" s="20"/>
      <c r="AM320" s="20"/>
      <c r="AN320" s="20"/>
      <c r="AO320" s="20"/>
      <c r="AP320" s="20"/>
      <c r="AQ320" s="20"/>
      <c r="AR320" s="20"/>
      <c r="AS320" s="20"/>
      <c r="AT320" s="20"/>
    </row>
    <row r="321" spans="1:46" ht="72" x14ac:dyDescent="0.2">
      <c r="A321" s="20"/>
      <c r="B321" s="93"/>
      <c r="C32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1" s="20" t="str">
        <f ca="1">IFERROR(__xludf.DUMMYFUNCTION("""COMPUTED_VALUE"""),"МинЖКХ")</f>
        <v>МинЖКХ</v>
      </c>
      <c r="E321" s="20" t="str">
        <f ca="1">IFERROR(__xludf.DUMMYFUNCTION("""COMPUTED_VALUE"""),"Реконструкция газовой котельной №5 в поселке центральной усадьбы совхоза ""Озёры"", г.о. Озёры")</f>
        <v>Реконструкция газовой котельной №5 в поселке центральной усадьбы совхоза "Озёры", г.о. Озёры</v>
      </c>
      <c r="F321" s="20" t="str">
        <f ca="1">IFERROR(__xludf.DUMMYFUNCTION("""COMPUTED_VALUE"""),"СМР")</f>
        <v>СМР</v>
      </c>
      <c r="G321" s="20" t="str">
        <f ca="1">IFERROR(__xludf.DUMMYFUNCTION("""COMPUTED_VALUE"""),"г.о. Озеры")</f>
        <v>г.о. Озеры</v>
      </c>
      <c r="H321" s="20">
        <f ca="1">IFERROR(__xludf.DUMMYFUNCTION("""COMPUTED_VALUE"""),2020)</f>
        <v>2020</v>
      </c>
      <c r="I321" s="20" t="str">
        <f ca="1">IFERROR(__xludf.DUMMYFUNCTION("""COMPUTED_VALUE"""),"10 3 02 64080")</f>
        <v>10 3 02 64080</v>
      </c>
      <c r="J321" s="20">
        <f ca="1">IFERROR(__xludf.DUMMYFUNCTION("""COMPUTED_VALUE"""),522)</f>
        <v>522</v>
      </c>
      <c r="K321" s="24">
        <f t="shared" ca="1" si="1"/>
        <v>47300.37</v>
      </c>
      <c r="L321" s="24">
        <f ca="1">IFERROR(__xludf.DUMMYFUNCTION("""COMPUTED_VALUE"""),38076.79)</f>
        <v>38076.79</v>
      </c>
      <c r="M321" s="24">
        <f ca="1">IFERROR(__xludf.DUMMYFUNCTION("""COMPUTED_VALUE"""),0)</f>
        <v>0</v>
      </c>
      <c r="N321" s="24">
        <f ca="1">IFERROR(__xludf.DUMMYFUNCTION("""COMPUTED_VALUE"""),0)</f>
        <v>0</v>
      </c>
      <c r="O321" s="24">
        <f ca="1">IFERROR(__xludf.DUMMYFUNCTION("""COMPUTED_VALUE"""),9223.58)</f>
        <v>9223.58</v>
      </c>
      <c r="P321" s="24">
        <f t="shared" ca="1" si="2"/>
        <v>38076.79</v>
      </c>
      <c r="Q321" s="20">
        <f ca="1">IFERROR(__xludf.DUMMYFUNCTION("""COMPUTED_VALUE"""),100)</f>
        <v>100</v>
      </c>
      <c r="R321" s="20"/>
      <c r="S321" s="24">
        <f ca="1">IFERROR(__xludf.DUMMYFUNCTION("""COMPUTED_VALUE"""),35955.06)</f>
        <v>35955.06</v>
      </c>
      <c r="T321" s="24">
        <f ca="1">IFERROR(__xludf.DUMMYFUNCTION("""COMPUTED_VALUE"""),11345.31)</f>
        <v>11345.31</v>
      </c>
      <c r="U321" s="24">
        <f ca="1">IFERROR(__xludf.DUMMYFUNCTION("""COMPUTED_VALUE"""),2121.73)</f>
        <v>2121.73</v>
      </c>
      <c r="V321" s="24">
        <f ca="1">IFERROR(__xludf.DUMMYFUNCTION("""COMPUTED_VALUE"""),0)</f>
        <v>0</v>
      </c>
      <c r="W321" s="24">
        <f ca="1">IFERROR(__xludf.DUMMYFUNCTION("""COMPUTED_VALUE"""),0)</f>
        <v>0</v>
      </c>
      <c r="X321" s="24">
        <f ca="1">IFERROR(__xludf.DUMMYFUNCTION("""COMPUTED_VALUE"""),9223.58)</f>
        <v>9223.58</v>
      </c>
      <c r="Y321" s="24">
        <f t="shared" ca="1" si="3"/>
        <v>2121.73</v>
      </c>
      <c r="Z321" s="20">
        <f t="shared" ca="1" si="4"/>
        <v>35955.06</v>
      </c>
      <c r="AA321" s="20"/>
      <c r="AB321" s="24">
        <f ca="1">IFERROR(__xludf.DUMMYFUNCTION("""COMPUTED_VALUE"""),35955.06)</f>
        <v>35955.06</v>
      </c>
      <c r="AC321" s="20"/>
      <c r="AD321" s="94">
        <f t="shared" ca="1" si="5"/>
        <v>0.94427760323283549</v>
      </c>
      <c r="AE321" s="20"/>
      <c r="AF321" s="20"/>
      <c r="AG321" s="20"/>
      <c r="AH321" s="20"/>
      <c r="AI321" s="20"/>
      <c r="AJ321" s="20"/>
      <c r="AK321" s="20"/>
      <c r="AL321" s="20"/>
      <c r="AM321" s="20"/>
      <c r="AN321" s="20"/>
      <c r="AO321" s="20"/>
      <c r="AP321" s="20"/>
      <c r="AQ321" s="20"/>
      <c r="AR321" s="20"/>
      <c r="AS321" s="20"/>
      <c r="AT321" s="20"/>
    </row>
    <row r="322" spans="1:46" ht="84" x14ac:dyDescent="0.2">
      <c r="A322" s="20" t="str">
        <f ca="1">IFERROR(__xludf.DUMMYFUNCTION("""COMPUTED_VALUE"""),"Оплаят по окончание работ ")</f>
        <v xml:space="preserve">Оплаят по окончание работ </v>
      </c>
      <c r="B322" s="93"/>
      <c r="C322"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22" s="20" t="str">
        <f ca="1">IFERROR(__xludf.DUMMYFUNCTION("""COMPUTED_VALUE"""),"МинЖКХ")</f>
        <v>МинЖКХ</v>
      </c>
      <c r="E322" s="20" t="str">
        <f ca="1">IFERROR(__xludf.DUMMYFUNCTION("""COMPUTED_VALUE"""),"Капитальный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f>
        <v xml:space="preserv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v>
      </c>
      <c r="F322" s="20" t="str">
        <f ca="1">IFERROR(__xludf.DUMMYFUNCTION("""COMPUTED_VALUE"""),"СМР")</f>
        <v>СМР</v>
      </c>
      <c r="G322" s="20" t="str">
        <f ca="1">IFERROR(__xludf.DUMMYFUNCTION("""COMPUTED_VALUE"""),"г.о. Пущино")</f>
        <v>г.о. Пущино</v>
      </c>
      <c r="H322" s="20">
        <f ca="1">IFERROR(__xludf.DUMMYFUNCTION("""COMPUTED_VALUE"""),2020)</f>
        <v>2020</v>
      </c>
      <c r="I322" s="20" t="str">
        <f ca="1">IFERROR(__xludf.DUMMYFUNCTION("""COMPUTED_VALUE"""),"10 3 02 60320")</f>
        <v>10 3 02 60320</v>
      </c>
      <c r="J322" s="20">
        <f ca="1">IFERROR(__xludf.DUMMYFUNCTION("""COMPUTED_VALUE"""),521)</f>
        <v>521</v>
      </c>
      <c r="K322" s="24">
        <f t="shared" ca="1" si="1"/>
        <v>16430.080000000002</v>
      </c>
      <c r="L322" s="24">
        <f ca="1">IFERROR(__xludf.DUMMYFUNCTION("""COMPUTED_VALUE"""),15280)</f>
        <v>15280</v>
      </c>
      <c r="M322" s="24">
        <f ca="1">IFERROR(__xludf.DUMMYFUNCTION("""COMPUTED_VALUE"""),0)</f>
        <v>0</v>
      </c>
      <c r="N322" s="24">
        <f ca="1">IFERROR(__xludf.DUMMYFUNCTION("""COMPUTED_VALUE"""),0)</f>
        <v>0</v>
      </c>
      <c r="O322" s="24">
        <f ca="1">IFERROR(__xludf.DUMMYFUNCTION("""COMPUTED_VALUE"""),1150.08)</f>
        <v>1150.08</v>
      </c>
      <c r="P322" s="24">
        <f t="shared" ca="1" si="2"/>
        <v>15280</v>
      </c>
      <c r="Q322" s="20">
        <f ca="1">IFERROR(__xludf.DUMMYFUNCTION("""COMPUTED_VALUE"""),100)</f>
        <v>100</v>
      </c>
      <c r="R322" s="20"/>
      <c r="S322" s="24">
        <f ca="1">IFERROR(__xludf.DUMMYFUNCTION("""COMPUTED_VALUE"""),14703.53)</f>
        <v>14703.53</v>
      </c>
      <c r="T322" s="24">
        <f ca="1">IFERROR(__xludf.DUMMYFUNCTION("""COMPUTED_VALUE"""),1726.55)</f>
        <v>1726.55</v>
      </c>
      <c r="U322" s="24">
        <f ca="1">IFERROR(__xludf.DUMMYFUNCTION("""COMPUTED_VALUE"""),576.469999999999)</f>
        <v>576.469999999999</v>
      </c>
      <c r="V322" s="24">
        <f ca="1">IFERROR(__xludf.DUMMYFUNCTION("""COMPUTED_VALUE"""),0)</f>
        <v>0</v>
      </c>
      <c r="W322" s="24">
        <f ca="1">IFERROR(__xludf.DUMMYFUNCTION("""COMPUTED_VALUE"""),0)</f>
        <v>0</v>
      </c>
      <c r="X322" s="24">
        <f ca="1">IFERROR(__xludf.DUMMYFUNCTION("""COMPUTED_VALUE"""),1150.08)</f>
        <v>1150.08</v>
      </c>
      <c r="Y322" s="24">
        <f t="shared" ca="1" si="3"/>
        <v>576.469999999999</v>
      </c>
      <c r="Z322" s="20">
        <f t="shared" ca="1" si="4"/>
        <v>14703.53</v>
      </c>
      <c r="AA322" s="20"/>
      <c r="AB322" s="24">
        <f ca="1">IFERROR(__xludf.DUMMYFUNCTION("""COMPUTED_VALUE"""),14703.53)</f>
        <v>14703.53</v>
      </c>
      <c r="AC322" s="20"/>
      <c r="AD322" s="94">
        <f t="shared" ca="1" si="5"/>
        <v>0.96227290575916236</v>
      </c>
      <c r="AE322" s="20"/>
      <c r="AF322" s="20"/>
      <c r="AG322" s="20"/>
      <c r="AH322" s="20"/>
      <c r="AI322" s="20"/>
      <c r="AJ322" s="20"/>
      <c r="AK322" s="20"/>
      <c r="AL322" s="20"/>
      <c r="AM322" s="20"/>
      <c r="AN322" s="20"/>
      <c r="AO322" s="20"/>
      <c r="AP322" s="20"/>
      <c r="AQ322" s="20"/>
      <c r="AR322" s="20"/>
      <c r="AS322" s="20"/>
      <c r="AT322" s="20"/>
    </row>
    <row r="323" spans="1:46" ht="156" x14ac:dyDescent="0.2">
      <c r="A323" s="20"/>
      <c r="B323" s="93"/>
      <c r="C32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3" s="20" t="str">
        <f ca="1">IFERROR(__xludf.DUMMYFUNCTION("""COMPUTED_VALUE"""),"МинЖКХ")</f>
        <v>МинЖКХ</v>
      </c>
      <c r="E323" s="20" t="str">
        <f ca="1">IFERROR(__xludf.DUMMYFUNCTION("""COMPUTED_VALUE"""),"Строительство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разме"&amp;"ре 2 047,50 тыс.руб. из них средства бюджета Московской области - 2 047,19 тыс.руб., средства бюджета муниципального образования - 0,31 тыс.руб.  ")</f>
        <v xml:space="preserv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2 047,50 тыс.руб. из них средства бюджета Московской области - 2 047,19 тыс.руб., средства бюджета муниципального образования - 0,31 тыс.руб.  </v>
      </c>
      <c r="F323" s="20" t="str">
        <f ca="1">IFERROR(__xludf.DUMMYFUNCTION("""COMPUTED_VALUE"""),"СМР")</f>
        <v>СМР</v>
      </c>
      <c r="G323" s="20" t="str">
        <f ca="1">IFERROR(__xludf.DUMMYFUNCTION("""COMPUTED_VALUE"""),"г.о. Раменский")</f>
        <v>г.о. Раменский</v>
      </c>
      <c r="H323" s="20">
        <f ca="1">IFERROR(__xludf.DUMMYFUNCTION("""COMPUTED_VALUE"""),2020)</f>
        <v>2020</v>
      </c>
      <c r="I323" s="20" t="str">
        <f ca="1">IFERROR(__xludf.DUMMYFUNCTION("""COMPUTED_VALUE"""),"10 3 02 64080")</f>
        <v>10 3 02 64080</v>
      </c>
      <c r="J323" s="20">
        <f ca="1">IFERROR(__xludf.DUMMYFUNCTION("""COMPUTED_VALUE"""),522)</f>
        <v>522</v>
      </c>
      <c r="K323" s="24">
        <f t="shared" ca="1" si="1"/>
        <v>2047.5</v>
      </c>
      <c r="L323" s="24">
        <f ca="1">IFERROR(__xludf.DUMMYFUNCTION("""COMPUTED_VALUE"""),2047.19)</f>
        <v>2047.19</v>
      </c>
      <c r="M323" s="24">
        <f ca="1">IFERROR(__xludf.DUMMYFUNCTION("""COMPUTED_VALUE"""),0)</f>
        <v>0</v>
      </c>
      <c r="N323" s="24">
        <f ca="1">IFERROR(__xludf.DUMMYFUNCTION("""COMPUTED_VALUE"""),0)</f>
        <v>0</v>
      </c>
      <c r="O323" s="24">
        <f ca="1">IFERROR(__xludf.DUMMYFUNCTION("""COMPUTED_VALUE"""),0.31)</f>
        <v>0.31</v>
      </c>
      <c r="P323" s="24">
        <f t="shared" ca="1" si="2"/>
        <v>2047.19</v>
      </c>
      <c r="Q323" s="20">
        <f ca="1">IFERROR(__xludf.DUMMYFUNCTION("""COMPUTED_VALUE"""),100)</f>
        <v>100</v>
      </c>
      <c r="R323" s="20"/>
      <c r="S323" s="24">
        <f ca="1">IFERROR(__xludf.DUMMYFUNCTION("""COMPUTED_VALUE"""),2047.5)</f>
        <v>2047.5</v>
      </c>
      <c r="T323" s="24">
        <f ca="1">IFERROR(__xludf.DUMMYFUNCTION("""COMPUTED_VALUE"""),0)</f>
        <v>0</v>
      </c>
      <c r="U323" s="24">
        <f ca="1">IFERROR(__xludf.DUMMYFUNCTION("""COMPUTED_VALUE"""),0)</f>
        <v>0</v>
      </c>
      <c r="V323" s="24">
        <f ca="1">IFERROR(__xludf.DUMMYFUNCTION("""COMPUTED_VALUE"""),0)</f>
        <v>0</v>
      </c>
      <c r="W323" s="24">
        <f ca="1">IFERROR(__xludf.DUMMYFUNCTION("""COMPUTED_VALUE"""),0)</f>
        <v>0</v>
      </c>
      <c r="X323" s="24">
        <f ca="1">IFERROR(__xludf.DUMMYFUNCTION("""COMPUTED_VALUE"""),0)</f>
        <v>0</v>
      </c>
      <c r="Y323" s="24">
        <f t="shared" ca="1" si="3"/>
        <v>0</v>
      </c>
      <c r="Z323" s="20">
        <f t="shared" ca="1" si="4"/>
        <v>2047.19</v>
      </c>
      <c r="AA323" s="20"/>
      <c r="AB323" s="24">
        <f ca="1">IFERROR(__xludf.DUMMYFUNCTION("""COMPUTED_VALUE"""),2047.19)</f>
        <v>2047.19</v>
      </c>
      <c r="AC323" s="20"/>
      <c r="AD323" s="94">
        <f t="shared" ca="1" si="5"/>
        <v>1</v>
      </c>
      <c r="AE323" s="20"/>
      <c r="AF323" s="20"/>
      <c r="AG323" s="20"/>
      <c r="AH323" s="20"/>
      <c r="AI323" s="20"/>
      <c r="AJ323" s="20"/>
      <c r="AK323" s="20"/>
      <c r="AL323" s="20"/>
      <c r="AM323" s="20"/>
      <c r="AN323" s="20"/>
      <c r="AO323" s="20"/>
      <c r="AP323" s="20"/>
      <c r="AQ323" s="20"/>
      <c r="AR323" s="20"/>
      <c r="AS323" s="20"/>
      <c r="AT323" s="20"/>
    </row>
    <row r="324" spans="1:46" ht="72" x14ac:dyDescent="0.2">
      <c r="A324" s="20"/>
      <c r="B324" s="93"/>
      <c r="C32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4" s="20" t="str">
        <f ca="1">IFERROR(__xludf.DUMMYFUNCTION("""COMPUTED_VALUE"""),"МинЖКХ")</f>
        <v>МинЖКХ</v>
      </c>
      <c r="E324" s="20" t="str">
        <f ca="1">IFERROR(__xludf.DUMMYFUNCTION("""COMPUTED_VALUE"""),"Строительство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f>
        <v>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v>
      </c>
      <c r="F324" s="20" t="str">
        <f ca="1">IFERROR(__xludf.DUMMYFUNCTION("""COMPUTED_VALUE"""),"СМР")</f>
        <v>СМР</v>
      </c>
      <c r="G324" s="20" t="str">
        <f ca="1">IFERROR(__xludf.DUMMYFUNCTION("""COMPUTED_VALUE"""),"г.о. Раменский")</f>
        <v>г.о. Раменский</v>
      </c>
      <c r="H324" s="20">
        <f ca="1">IFERROR(__xludf.DUMMYFUNCTION("""COMPUTED_VALUE"""),2020)</f>
        <v>2020</v>
      </c>
      <c r="I324" s="20" t="str">
        <f ca="1">IFERROR(__xludf.DUMMYFUNCTION("""COMPUTED_VALUE"""),"10 3 02 64080")</f>
        <v>10 3 02 64080</v>
      </c>
      <c r="J324" s="20">
        <f ca="1">IFERROR(__xludf.DUMMYFUNCTION("""COMPUTED_VALUE"""),522)</f>
        <v>522</v>
      </c>
      <c r="K324" s="24">
        <f t="shared" ca="1" si="1"/>
        <v>665.2</v>
      </c>
      <c r="L324" s="24">
        <f ca="1">IFERROR(__xludf.DUMMYFUNCTION("""COMPUTED_VALUE"""),665)</f>
        <v>665</v>
      </c>
      <c r="M324" s="24">
        <f ca="1">IFERROR(__xludf.DUMMYFUNCTION("""COMPUTED_VALUE"""),0)</f>
        <v>0</v>
      </c>
      <c r="N324" s="24">
        <f ca="1">IFERROR(__xludf.DUMMYFUNCTION("""COMPUTED_VALUE"""),0)</f>
        <v>0</v>
      </c>
      <c r="O324" s="24">
        <f ca="1">IFERROR(__xludf.DUMMYFUNCTION("""COMPUTED_VALUE"""),0.2)</f>
        <v>0.2</v>
      </c>
      <c r="P324" s="24">
        <f t="shared" ca="1" si="2"/>
        <v>665</v>
      </c>
      <c r="Q324" s="20">
        <f ca="1">IFERROR(__xludf.DUMMYFUNCTION("""COMPUTED_VALUE"""),100)</f>
        <v>100</v>
      </c>
      <c r="R324" s="20"/>
      <c r="S324" s="24">
        <f ca="1">IFERROR(__xludf.DUMMYFUNCTION("""COMPUTED_VALUE"""),665.2)</f>
        <v>665.2</v>
      </c>
      <c r="T324" s="24">
        <f ca="1">IFERROR(__xludf.DUMMYFUNCTION("""COMPUTED_VALUE"""),0)</f>
        <v>0</v>
      </c>
      <c r="U324" s="24">
        <f ca="1">IFERROR(__xludf.DUMMYFUNCTION("""COMPUTED_VALUE"""),0)</f>
        <v>0</v>
      </c>
      <c r="V324" s="24">
        <f ca="1">IFERROR(__xludf.DUMMYFUNCTION("""COMPUTED_VALUE"""),0)</f>
        <v>0</v>
      </c>
      <c r="W324" s="24">
        <f ca="1">IFERROR(__xludf.DUMMYFUNCTION("""COMPUTED_VALUE"""),0)</f>
        <v>0</v>
      </c>
      <c r="X324" s="24">
        <f ca="1">IFERROR(__xludf.DUMMYFUNCTION("""COMPUTED_VALUE"""),0)</f>
        <v>0</v>
      </c>
      <c r="Y324" s="24">
        <f t="shared" ca="1" si="3"/>
        <v>0</v>
      </c>
      <c r="Z324" s="20">
        <f t="shared" ca="1" si="4"/>
        <v>665</v>
      </c>
      <c r="AA324" s="20"/>
      <c r="AB324" s="24">
        <f ca="1">IFERROR(__xludf.DUMMYFUNCTION("""COMPUTED_VALUE"""),665)</f>
        <v>665</v>
      </c>
      <c r="AC324" s="20"/>
      <c r="AD324" s="94">
        <f t="shared" ca="1" si="5"/>
        <v>1</v>
      </c>
      <c r="AE324" s="20"/>
      <c r="AF324" s="20"/>
      <c r="AG324" s="20"/>
      <c r="AH324" s="20"/>
      <c r="AI324" s="20"/>
      <c r="AJ324" s="20"/>
      <c r="AK324" s="20"/>
      <c r="AL324" s="20"/>
      <c r="AM324" s="20"/>
      <c r="AN324" s="20"/>
      <c r="AO324" s="20"/>
      <c r="AP324" s="20"/>
      <c r="AQ324" s="20"/>
      <c r="AR324" s="20"/>
      <c r="AS324" s="20"/>
      <c r="AT324" s="20"/>
    </row>
    <row r="325" spans="1:46" ht="72" x14ac:dyDescent="0.2">
      <c r="A325" s="20" t="str">
        <f ca="1">IFERROR(__xludf.DUMMYFUNCTION("""COMPUTED_VALUE"""),"Оплата после завершение контракта ")</f>
        <v xml:space="preserve">Оплата после завершение контракта </v>
      </c>
      <c r="B325" s="93"/>
      <c r="C32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5" s="20" t="str">
        <f ca="1">IFERROR(__xludf.DUMMYFUNCTION("""COMPUTED_VALUE"""),"МинЖКХ")</f>
        <v>МинЖКХ</v>
      </c>
      <c r="E325" s="20" t="str">
        <f ca="1">IFERROR(__xludf.DUMMYFUNCTION("""COMPUTED_VALUE"""),"Строительство БМК  д. Колодкино, д.10  г.о. Рузский")</f>
        <v>Строительство БМК  д. Колодкино, д.10  г.о. Рузский</v>
      </c>
      <c r="F325" s="20" t="str">
        <f ca="1">IFERROR(__xludf.DUMMYFUNCTION("""COMPUTED_VALUE"""),"СМР")</f>
        <v>СМР</v>
      </c>
      <c r="G325" s="20" t="str">
        <f ca="1">IFERROR(__xludf.DUMMYFUNCTION("""COMPUTED_VALUE"""),"г.о. Рузский")</f>
        <v>г.о. Рузский</v>
      </c>
      <c r="H325" s="20">
        <f ca="1">IFERROR(__xludf.DUMMYFUNCTION("""COMPUTED_VALUE"""),2020)</f>
        <v>2020</v>
      </c>
      <c r="I325" s="20" t="str">
        <f ca="1">IFERROR(__xludf.DUMMYFUNCTION("""COMPUTED_VALUE"""),"10 3 02 64080")</f>
        <v>10 3 02 64080</v>
      </c>
      <c r="J325" s="20">
        <f ca="1">IFERROR(__xludf.DUMMYFUNCTION("""COMPUTED_VALUE"""),522)</f>
        <v>522</v>
      </c>
      <c r="K325" s="24">
        <f t="shared" ca="1" si="1"/>
        <v>7568.4</v>
      </c>
      <c r="L325" s="24">
        <f ca="1">IFERROR(__xludf.DUMMYFUNCTION("""COMPUTED_VALUE"""),6258.83)</f>
        <v>6258.83</v>
      </c>
      <c r="M325" s="24">
        <f ca="1">IFERROR(__xludf.DUMMYFUNCTION("""COMPUTED_VALUE"""),0)</f>
        <v>0</v>
      </c>
      <c r="N325" s="24">
        <f ca="1">IFERROR(__xludf.DUMMYFUNCTION("""COMPUTED_VALUE"""),0)</f>
        <v>0</v>
      </c>
      <c r="O325" s="24">
        <f ca="1">IFERROR(__xludf.DUMMYFUNCTION("""COMPUTED_VALUE"""),1309.57)</f>
        <v>1309.57</v>
      </c>
      <c r="P325" s="24">
        <f t="shared" ca="1" si="2"/>
        <v>6258.83</v>
      </c>
      <c r="Q325" s="20">
        <f ca="1">IFERROR(__xludf.DUMMYFUNCTION("""COMPUTED_VALUE"""),94)</f>
        <v>94</v>
      </c>
      <c r="R325" s="20"/>
      <c r="S325" s="24">
        <f ca="1">IFERROR(__xludf.DUMMYFUNCTION("""COMPUTED_VALUE"""),5804.12)</f>
        <v>5804.12</v>
      </c>
      <c r="T325" s="24">
        <f ca="1">IFERROR(__xludf.DUMMYFUNCTION("""COMPUTED_VALUE"""),1764.27999999999)</f>
        <v>1764.27999999999</v>
      </c>
      <c r="U325" s="24">
        <f ca="1">IFERROR(__xludf.DUMMYFUNCTION("""COMPUTED_VALUE"""),454.71)</f>
        <v>454.71</v>
      </c>
      <c r="V325" s="24">
        <f ca="1">IFERROR(__xludf.DUMMYFUNCTION("""COMPUTED_VALUE"""),0)</f>
        <v>0</v>
      </c>
      <c r="W325" s="24">
        <f ca="1">IFERROR(__xludf.DUMMYFUNCTION("""COMPUTED_VALUE"""),0)</f>
        <v>0</v>
      </c>
      <c r="X325" s="24">
        <f ca="1">IFERROR(__xludf.DUMMYFUNCTION("""COMPUTED_VALUE"""),1309.57)</f>
        <v>1309.57</v>
      </c>
      <c r="Y325" s="24">
        <f t="shared" ca="1" si="3"/>
        <v>454.71</v>
      </c>
      <c r="Z325" s="20">
        <f t="shared" ca="1" si="4"/>
        <v>5804.12</v>
      </c>
      <c r="AA325" s="20"/>
      <c r="AB325" s="24">
        <f ca="1">IFERROR(__xludf.DUMMYFUNCTION("""COMPUTED_VALUE"""),5804.12)</f>
        <v>5804.12</v>
      </c>
      <c r="AC325" s="20"/>
      <c r="AD325" s="94">
        <f t="shared" ca="1" si="5"/>
        <v>0.92734904127448736</v>
      </c>
      <c r="AE325" s="20"/>
      <c r="AF325" s="20"/>
      <c r="AG325" s="20"/>
      <c r="AH325" s="20"/>
      <c r="AI325" s="20"/>
      <c r="AJ325" s="20"/>
      <c r="AK325" s="20"/>
      <c r="AL325" s="20"/>
      <c r="AM325" s="20"/>
      <c r="AN325" s="20"/>
      <c r="AO325" s="20"/>
      <c r="AP325" s="20"/>
      <c r="AQ325" s="20"/>
      <c r="AR325" s="20"/>
      <c r="AS325" s="20"/>
      <c r="AT325" s="20"/>
    </row>
    <row r="326" spans="1:46" ht="72" x14ac:dyDescent="0.2">
      <c r="A326" s="20" t="str">
        <f ca="1">IFERROR(__xludf.DUMMYFUNCTION("""COMPUTED_VALUE"""),"Оплата после завершение контракта ")</f>
        <v xml:space="preserve">Оплата после завершение контракта </v>
      </c>
      <c r="B326" s="93"/>
      <c r="C32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6" s="20" t="str">
        <f ca="1">IFERROR(__xludf.DUMMYFUNCTION("""COMPUTED_VALUE"""),"МинЖКХ")</f>
        <v>МинЖКХ</v>
      </c>
      <c r="E326" s="20" t="str">
        <f ca="1">IFERROR(__xludf.DUMMYFUNCTION("""COMPUTED_VALUE"""),"Строительство БМК д. Грибцово, ул. Больничная, д.13  г.о. Рузский")</f>
        <v>Строительство БМК д. Грибцово, ул. Больничная, д.13  г.о. Рузский</v>
      </c>
      <c r="F326" s="20" t="str">
        <f ca="1">IFERROR(__xludf.DUMMYFUNCTION("""COMPUTED_VALUE"""),"СМР")</f>
        <v>СМР</v>
      </c>
      <c r="G326" s="20" t="str">
        <f ca="1">IFERROR(__xludf.DUMMYFUNCTION("""COMPUTED_VALUE"""),"г.о. Рузский")</f>
        <v>г.о. Рузский</v>
      </c>
      <c r="H326" s="20">
        <f ca="1">IFERROR(__xludf.DUMMYFUNCTION("""COMPUTED_VALUE"""),2020)</f>
        <v>2020</v>
      </c>
      <c r="I326" s="20" t="str">
        <f ca="1">IFERROR(__xludf.DUMMYFUNCTION("""COMPUTED_VALUE"""),"10 3 02 64080")</f>
        <v>10 3 02 64080</v>
      </c>
      <c r="J326" s="20">
        <f ca="1">IFERROR(__xludf.DUMMYFUNCTION("""COMPUTED_VALUE"""),522)</f>
        <v>522</v>
      </c>
      <c r="K326" s="24">
        <f t="shared" ca="1" si="1"/>
        <v>7981.37</v>
      </c>
      <c r="L326" s="24">
        <f ca="1">IFERROR(__xludf.DUMMYFUNCTION("""COMPUTED_VALUE"""),6600.25)</f>
        <v>6600.25</v>
      </c>
      <c r="M326" s="24">
        <f ca="1">IFERROR(__xludf.DUMMYFUNCTION("""COMPUTED_VALUE"""),0)</f>
        <v>0</v>
      </c>
      <c r="N326" s="24">
        <f ca="1">IFERROR(__xludf.DUMMYFUNCTION("""COMPUTED_VALUE"""),0)</f>
        <v>0</v>
      </c>
      <c r="O326" s="24">
        <f ca="1">IFERROR(__xludf.DUMMYFUNCTION("""COMPUTED_VALUE"""),1381.12)</f>
        <v>1381.12</v>
      </c>
      <c r="P326" s="24">
        <f t="shared" ca="1" si="2"/>
        <v>6600.25</v>
      </c>
      <c r="Q326" s="20">
        <f ca="1">IFERROR(__xludf.DUMMYFUNCTION("""COMPUTED_VALUE"""),97)</f>
        <v>97</v>
      </c>
      <c r="R326" s="20"/>
      <c r="S326" s="24">
        <f ca="1">IFERROR(__xludf.DUMMYFUNCTION("""COMPUTED_VALUE"""),6120.53)</f>
        <v>6120.53</v>
      </c>
      <c r="T326" s="24">
        <f ca="1">IFERROR(__xludf.DUMMYFUNCTION("""COMPUTED_VALUE"""),1860.84)</f>
        <v>1860.84</v>
      </c>
      <c r="U326" s="24">
        <f ca="1">IFERROR(__xludf.DUMMYFUNCTION("""COMPUTED_VALUE"""),479.72)</f>
        <v>479.72</v>
      </c>
      <c r="V326" s="24">
        <f ca="1">IFERROR(__xludf.DUMMYFUNCTION("""COMPUTED_VALUE"""),0)</f>
        <v>0</v>
      </c>
      <c r="W326" s="24">
        <f ca="1">IFERROR(__xludf.DUMMYFUNCTION("""COMPUTED_VALUE"""),0)</f>
        <v>0</v>
      </c>
      <c r="X326" s="24">
        <f ca="1">IFERROR(__xludf.DUMMYFUNCTION("""COMPUTED_VALUE"""),1381.12)</f>
        <v>1381.12</v>
      </c>
      <c r="Y326" s="24">
        <f t="shared" ca="1" si="3"/>
        <v>479.72</v>
      </c>
      <c r="Z326" s="20">
        <f t="shared" ca="1" si="4"/>
        <v>6120.53</v>
      </c>
      <c r="AA326" s="20"/>
      <c r="AB326" s="24">
        <f ca="1">IFERROR(__xludf.DUMMYFUNCTION("""COMPUTED_VALUE"""),6120.53)</f>
        <v>6120.53</v>
      </c>
      <c r="AC326" s="20"/>
      <c r="AD326" s="94">
        <f t="shared" ca="1" si="5"/>
        <v>0.92731790462482477</v>
      </c>
      <c r="AE326" s="20"/>
      <c r="AF326" s="20"/>
      <c r="AG326" s="20"/>
      <c r="AH326" s="20"/>
      <c r="AI326" s="20"/>
      <c r="AJ326" s="20"/>
      <c r="AK326" s="20"/>
      <c r="AL326" s="20"/>
      <c r="AM326" s="20"/>
      <c r="AN326" s="20"/>
      <c r="AO326" s="20"/>
      <c r="AP326" s="20"/>
      <c r="AQ326" s="20"/>
      <c r="AR326" s="20"/>
      <c r="AS326" s="20"/>
      <c r="AT326" s="20"/>
    </row>
    <row r="327" spans="1:46" ht="72" x14ac:dyDescent="0.2">
      <c r="A327" s="20" t="str">
        <f ca="1">IFERROR(__xludf.DUMMYFUNCTION("""COMPUTED_VALUE"""),"Оплата после завершение контракта ")</f>
        <v xml:space="preserve">Оплата после завершение контракта </v>
      </c>
      <c r="B327" s="93"/>
      <c r="C32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7" s="20" t="str">
        <f ca="1">IFERROR(__xludf.DUMMYFUNCTION("""COMPUTED_VALUE"""),"МинЖКХ")</f>
        <v>МинЖКХ</v>
      </c>
      <c r="E327" s="20" t="str">
        <f ca="1">IFERROR(__xludf.DUMMYFUNCTION("""COMPUTED_VALUE"""),"Строительство БМК д. Ивойлово, д.18  г.о. Рузский")</f>
        <v>Строительство БМК д. Ивойлово, д.18  г.о. Рузский</v>
      </c>
      <c r="F327" s="20" t="str">
        <f ca="1">IFERROR(__xludf.DUMMYFUNCTION("""COMPUTED_VALUE"""),"СМР")</f>
        <v>СМР</v>
      </c>
      <c r="G327" s="20" t="str">
        <f ca="1">IFERROR(__xludf.DUMMYFUNCTION("""COMPUTED_VALUE"""),"г.о. Рузский")</f>
        <v>г.о. Рузский</v>
      </c>
      <c r="H327" s="20">
        <f ca="1">IFERROR(__xludf.DUMMYFUNCTION("""COMPUTED_VALUE"""),2020)</f>
        <v>2020</v>
      </c>
      <c r="I327" s="20" t="str">
        <f ca="1">IFERROR(__xludf.DUMMYFUNCTION("""COMPUTED_VALUE"""),"10 3 02 64080")</f>
        <v>10 3 02 64080</v>
      </c>
      <c r="J327" s="20">
        <f ca="1">IFERROR(__xludf.DUMMYFUNCTION("""COMPUTED_VALUE"""),522)</f>
        <v>522</v>
      </c>
      <c r="K327" s="24">
        <f t="shared" ca="1" si="1"/>
        <v>8413.6999999999989</v>
      </c>
      <c r="L327" s="24">
        <f ca="1">IFERROR(__xludf.DUMMYFUNCTION("""COMPUTED_VALUE"""),6958.36)</f>
        <v>6958.36</v>
      </c>
      <c r="M327" s="24">
        <f ca="1">IFERROR(__xludf.DUMMYFUNCTION("""COMPUTED_VALUE"""),0)</f>
        <v>0</v>
      </c>
      <c r="N327" s="24">
        <f ca="1">IFERROR(__xludf.DUMMYFUNCTION("""COMPUTED_VALUE"""),0)</f>
        <v>0</v>
      </c>
      <c r="O327" s="24">
        <f ca="1">IFERROR(__xludf.DUMMYFUNCTION("""COMPUTED_VALUE"""),1455.34)</f>
        <v>1455.34</v>
      </c>
      <c r="P327" s="24">
        <f t="shared" ca="1" si="2"/>
        <v>6958.36</v>
      </c>
      <c r="Q327" s="20">
        <f ca="1">IFERROR(__xludf.DUMMYFUNCTION("""COMPUTED_VALUE"""),97)</f>
        <v>97</v>
      </c>
      <c r="R327" s="20"/>
      <c r="S327" s="24">
        <f ca="1">IFERROR(__xludf.DUMMYFUNCTION("""COMPUTED_VALUE"""),6452.61)</f>
        <v>6452.61</v>
      </c>
      <c r="T327" s="24">
        <f ca="1">IFERROR(__xludf.DUMMYFUNCTION("""COMPUTED_VALUE"""),1961.08999999999)</f>
        <v>1961.0899999999899</v>
      </c>
      <c r="U327" s="24">
        <f ca="1">IFERROR(__xludf.DUMMYFUNCTION("""COMPUTED_VALUE"""),505.75)</f>
        <v>505.75</v>
      </c>
      <c r="V327" s="24">
        <f ca="1">IFERROR(__xludf.DUMMYFUNCTION("""COMPUTED_VALUE"""),0)</f>
        <v>0</v>
      </c>
      <c r="W327" s="24">
        <f ca="1">IFERROR(__xludf.DUMMYFUNCTION("""COMPUTED_VALUE"""),0)</f>
        <v>0</v>
      </c>
      <c r="X327" s="24">
        <f ca="1">IFERROR(__xludf.DUMMYFUNCTION("""COMPUTED_VALUE"""),1455.34)</f>
        <v>1455.34</v>
      </c>
      <c r="Y327" s="24">
        <f t="shared" ca="1" si="3"/>
        <v>505.75</v>
      </c>
      <c r="Z327" s="20">
        <f t="shared" ca="1" si="4"/>
        <v>6452.61</v>
      </c>
      <c r="AA327" s="20"/>
      <c r="AB327" s="24">
        <f ca="1">IFERROR(__xludf.DUMMYFUNCTION("""COMPUTED_VALUE"""),6452.61)</f>
        <v>6452.61</v>
      </c>
      <c r="AC327" s="20"/>
      <c r="AD327" s="94">
        <f t="shared" ca="1" si="5"/>
        <v>0.92731764381262249</v>
      </c>
      <c r="AE327" s="20"/>
      <c r="AF327" s="20"/>
      <c r="AG327" s="20"/>
      <c r="AH327" s="20"/>
      <c r="AI327" s="20"/>
      <c r="AJ327" s="20"/>
      <c r="AK327" s="20"/>
      <c r="AL327" s="20"/>
      <c r="AM327" s="20"/>
      <c r="AN327" s="20"/>
      <c r="AO327" s="20"/>
      <c r="AP327" s="20"/>
      <c r="AQ327" s="20"/>
      <c r="AR327" s="20"/>
      <c r="AS327" s="20"/>
      <c r="AT327" s="20"/>
    </row>
    <row r="328" spans="1:46" ht="72" x14ac:dyDescent="0.2">
      <c r="A328" s="20" t="str">
        <f ca="1">IFERROR(__xludf.DUMMYFUNCTION("""COMPUTED_VALUE"""),"Оплата после завершение контракта ")</f>
        <v xml:space="preserve">Оплата после завершение контракта </v>
      </c>
      <c r="B328" s="93"/>
      <c r="C32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8" s="20" t="str">
        <f ca="1">IFERROR(__xludf.DUMMYFUNCTION("""COMPUTED_VALUE"""),"МинЖКХ")</f>
        <v>МинЖКХ</v>
      </c>
      <c r="E328" s="20" t="str">
        <f ca="1">IFERROR(__xludf.DUMMYFUNCTION("""COMPUTED_VALUE"""),"Строительство БМК д. Лихачево, д.78  г.о. Рузский")</f>
        <v>Строительство БМК д. Лихачево, д.78  г.о. Рузский</v>
      </c>
      <c r="F328" s="20" t="str">
        <f ca="1">IFERROR(__xludf.DUMMYFUNCTION("""COMPUTED_VALUE"""),"СМР")</f>
        <v>СМР</v>
      </c>
      <c r="G328" s="20" t="str">
        <f ca="1">IFERROR(__xludf.DUMMYFUNCTION("""COMPUTED_VALUE"""),"г.о. Рузский")</f>
        <v>г.о. Рузский</v>
      </c>
      <c r="H328" s="20">
        <f ca="1">IFERROR(__xludf.DUMMYFUNCTION("""COMPUTED_VALUE"""),2020)</f>
        <v>2020</v>
      </c>
      <c r="I328" s="20" t="str">
        <f ca="1">IFERROR(__xludf.DUMMYFUNCTION("""COMPUTED_VALUE"""),"10 3 02 64080")</f>
        <v>10 3 02 64080</v>
      </c>
      <c r="J328" s="20">
        <f ca="1">IFERROR(__xludf.DUMMYFUNCTION("""COMPUTED_VALUE"""),522)</f>
        <v>522</v>
      </c>
      <c r="K328" s="24">
        <f t="shared" ca="1" si="1"/>
        <v>10739.99</v>
      </c>
      <c r="L328" s="24">
        <f ca="1">IFERROR(__xludf.DUMMYFUNCTION("""COMPUTED_VALUE"""),8881.97)</f>
        <v>8881.9699999999993</v>
      </c>
      <c r="M328" s="24">
        <f ca="1">IFERROR(__xludf.DUMMYFUNCTION("""COMPUTED_VALUE"""),0)</f>
        <v>0</v>
      </c>
      <c r="N328" s="24">
        <f ca="1">IFERROR(__xludf.DUMMYFUNCTION("""COMPUTED_VALUE"""),0)</f>
        <v>0</v>
      </c>
      <c r="O328" s="24">
        <f ca="1">IFERROR(__xludf.DUMMYFUNCTION("""COMPUTED_VALUE"""),1858.02)</f>
        <v>1858.02</v>
      </c>
      <c r="P328" s="24">
        <f t="shared" ca="1" si="2"/>
        <v>8881.9699999999993</v>
      </c>
      <c r="Q328" s="20">
        <f ca="1">IFERROR(__xludf.DUMMYFUNCTION("""COMPUTED_VALUE"""),95)</f>
        <v>95</v>
      </c>
      <c r="R328" s="20"/>
      <c r="S328" s="24">
        <f ca="1">IFERROR(__xludf.DUMMYFUNCTION("""COMPUTED_VALUE"""),8551.76)</f>
        <v>8551.76</v>
      </c>
      <c r="T328" s="24">
        <f ca="1">IFERROR(__xludf.DUMMYFUNCTION("""COMPUTED_VALUE"""),2188.22999999999)</f>
        <v>2188.22999999999</v>
      </c>
      <c r="U328" s="24">
        <f ca="1">IFERROR(__xludf.DUMMYFUNCTION("""COMPUTED_VALUE"""),330.209999999999)</f>
        <v>330.20999999999901</v>
      </c>
      <c r="V328" s="24">
        <f ca="1">IFERROR(__xludf.DUMMYFUNCTION("""COMPUTED_VALUE"""),0)</f>
        <v>0</v>
      </c>
      <c r="W328" s="24">
        <f ca="1">IFERROR(__xludf.DUMMYFUNCTION("""COMPUTED_VALUE"""),0)</f>
        <v>0</v>
      </c>
      <c r="X328" s="24">
        <f ca="1">IFERROR(__xludf.DUMMYFUNCTION("""COMPUTED_VALUE"""),1858.02)</f>
        <v>1858.02</v>
      </c>
      <c r="Y328" s="24">
        <f t="shared" ca="1" si="3"/>
        <v>330.20999999999901</v>
      </c>
      <c r="Z328" s="20">
        <f t="shared" ca="1" si="4"/>
        <v>8551.76</v>
      </c>
      <c r="AA328" s="20"/>
      <c r="AB328" s="24">
        <f ca="1">IFERROR(__xludf.DUMMYFUNCTION("""COMPUTED_VALUE"""),8551.76)</f>
        <v>8551.76</v>
      </c>
      <c r="AC328" s="20"/>
      <c r="AD328" s="94">
        <f t="shared" ca="1" si="5"/>
        <v>0.96282243691433333</v>
      </c>
      <c r="AE328" s="20"/>
      <c r="AF328" s="20"/>
      <c r="AG328" s="20"/>
      <c r="AH328" s="20"/>
      <c r="AI328" s="20"/>
      <c r="AJ328" s="20"/>
      <c r="AK328" s="20"/>
      <c r="AL328" s="20"/>
      <c r="AM328" s="20"/>
      <c r="AN328" s="20"/>
      <c r="AO328" s="20"/>
      <c r="AP328" s="20"/>
      <c r="AQ328" s="20"/>
      <c r="AR328" s="20"/>
      <c r="AS328" s="20"/>
      <c r="AT328" s="20"/>
    </row>
    <row r="329" spans="1:46" ht="72" x14ac:dyDescent="0.2">
      <c r="A329" s="20" t="str">
        <f ca="1">IFERROR(__xludf.DUMMYFUNCTION("""COMPUTED_VALUE"""),"Оплата после завершение контракта ")</f>
        <v xml:space="preserve">Оплата после завершение контракта </v>
      </c>
      <c r="B329" s="93"/>
      <c r="C32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9" s="20" t="str">
        <f ca="1">IFERROR(__xludf.DUMMYFUNCTION("""COMPUTED_VALUE"""),"МинЖКХ")</f>
        <v>МинЖКХ</v>
      </c>
      <c r="E329" s="20" t="str">
        <f ca="1">IFERROR(__xludf.DUMMYFUNCTION("""COMPUTED_VALUE"""),"Строительство БМК д. Лужки, д.1а, стр.1  г.о. Рузский")</f>
        <v>Строительство БМК д. Лужки, д.1а, стр.1  г.о. Рузский</v>
      </c>
      <c r="F329" s="20" t="str">
        <f ca="1">IFERROR(__xludf.DUMMYFUNCTION("""COMPUTED_VALUE"""),"СМР")</f>
        <v>СМР</v>
      </c>
      <c r="G329" s="20" t="str">
        <f ca="1">IFERROR(__xludf.DUMMYFUNCTION("""COMPUTED_VALUE"""),"г.о. Рузский")</f>
        <v>г.о. Рузский</v>
      </c>
      <c r="H329" s="20">
        <f ca="1">IFERROR(__xludf.DUMMYFUNCTION("""COMPUTED_VALUE"""),2020)</f>
        <v>2020</v>
      </c>
      <c r="I329" s="20" t="str">
        <f ca="1">IFERROR(__xludf.DUMMYFUNCTION("""COMPUTED_VALUE"""),"10 3 02 64080")</f>
        <v>10 3 02 64080</v>
      </c>
      <c r="J329" s="20">
        <f ca="1">IFERROR(__xludf.DUMMYFUNCTION("""COMPUTED_VALUE"""),522)</f>
        <v>522</v>
      </c>
      <c r="K329" s="24">
        <f t="shared" ca="1" si="1"/>
        <v>9719.34</v>
      </c>
      <c r="L329" s="24">
        <f ca="1">IFERROR(__xludf.DUMMYFUNCTION("""COMPUTED_VALUE"""),8037.89)</f>
        <v>8037.89</v>
      </c>
      <c r="M329" s="24">
        <f ca="1">IFERROR(__xludf.DUMMYFUNCTION("""COMPUTED_VALUE"""),0)</f>
        <v>0</v>
      </c>
      <c r="N329" s="24">
        <f ca="1">IFERROR(__xludf.DUMMYFUNCTION("""COMPUTED_VALUE"""),0)</f>
        <v>0</v>
      </c>
      <c r="O329" s="24">
        <f ca="1">IFERROR(__xludf.DUMMYFUNCTION("""COMPUTED_VALUE"""),1681.45)</f>
        <v>1681.45</v>
      </c>
      <c r="P329" s="24">
        <f t="shared" ca="1" si="2"/>
        <v>8037.89</v>
      </c>
      <c r="Q329" s="20">
        <f ca="1">IFERROR(__xludf.DUMMYFUNCTION("""COMPUTED_VALUE"""),95)</f>
        <v>95</v>
      </c>
      <c r="R329" s="20"/>
      <c r="S329" s="24">
        <f ca="1">IFERROR(__xludf.DUMMYFUNCTION("""COMPUTED_VALUE"""),7739.06)</f>
        <v>7739.06</v>
      </c>
      <c r="T329" s="24">
        <f ca="1">IFERROR(__xludf.DUMMYFUNCTION("""COMPUTED_VALUE"""),1980.27999999999)</f>
        <v>1980.27999999999</v>
      </c>
      <c r="U329" s="24">
        <f ca="1">IFERROR(__xludf.DUMMYFUNCTION("""COMPUTED_VALUE"""),298.829999999999)</f>
        <v>298.82999999999902</v>
      </c>
      <c r="V329" s="24">
        <f ca="1">IFERROR(__xludf.DUMMYFUNCTION("""COMPUTED_VALUE"""),0)</f>
        <v>0</v>
      </c>
      <c r="W329" s="24">
        <f ca="1">IFERROR(__xludf.DUMMYFUNCTION("""COMPUTED_VALUE"""),0)</f>
        <v>0</v>
      </c>
      <c r="X329" s="24">
        <f ca="1">IFERROR(__xludf.DUMMYFUNCTION("""COMPUTED_VALUE"""),1681.45)</f>
        <v>1681.45</v>
      </c>
      <c r="Y329" s="24">
        <f t="shared" ca="1" si="3"/>
        <v>298.82999999999902</v>
      </c>
      <c r="Z329" s="20">
        <f t="shared" ca="1" si="4"/>
        <v>7739.06</v>
      </c>
      <c r="AA329" s="20"/>
      <c r="AB329" s="24">
        <f ca="1">IFERROR(__xludf.DUMMYFUNCTION("""COMPUTED_VALUE"""),7739.06)</f>
        <v>7739.06</v>
      </c>
      <c r="AC329" s="20"/>
      <c r="AD329" s="94">
        <f t="shared" ca="1" si="5"/>
        <v>0.96282233272662354</v>
      </c>
      <c r="AE329" s="20"/>
      <c r="AF329" s="20"/>
      <c r="AG329" s="20"/>
      <c r="AH329" s="20"/>
      <c r="AI329" s="20"/>
      <c r="AJ329" s="20"/>
      <c r="AK329" s="20"/>
      <c r="AL329" s="20"/>
      <c r="AM329" s="20"/>
      <c r="AN329" s="20"/>
      <c r="AO329" s="20"/>
      <c r="AP329" s="20"/>
      <c r="AQ329" s="20"/>
      <c r="AR329" s="20"/>
      <c r="AS329" s="20"/>
      <c r="AT329" s="20"/>
    </row>
    <row r="330" spans="1:46" ht="72" x14ac:dyDescent="0.2">
      <c r="A330" s="20" t="str">
        <f ca="1">IFERROR(__xludf.DUMMYFUNCTION("""COMPUTED_VALUE"""),"Оплата после завершение контракта ")</f>
        <v xml:space="preserve">Оплата после завершение контракта </v>
      </c>
      <c r="B330" s="93"/>
      <c r="C33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0" s="20" t="str">
        <f ca="1">IFERROR(__xludf.DUMMYFUNCTION("""COMPUTED_VALUE"""),"МинЖКХ")</f>
        <v>МинЖКХ</v>
      </c>
      <c r="E330" s="20" t="str">
        <f ca="1">IFERROR(__xludf.DUMMYFUNCTION("""COMPUTED_VALUE"""),"Строительство БМК д. Старая Руза, ул. ДТК  г.о. Рузский")</f>
        <v>Строительство БМК д. Старая Руза, ул. ДТК  г.о. Рузский</v>
      </c>
      <c r="F330" s="20" t="str">
        <f ca="1">IFERROR(__xludf.DUMMYFUNCTION("""COMPUTED_VALUE"""),"СМР")</f>
        <v>СМР</v>
      </c>
      <c r="G330" s="20" t="str">
        <f ca="1">IFERROR(__xludf.DUMMYFUNCTION("""COMPUTED_VALUE"""),"г.о. Рузский")</f>
        <v>г.о. Рузский</v>
      </c>
      <c r="H330" s="20">
        <f ca="1">IFERROR(__xludf.DUMMYFUNCTION("""COMPUTED_VALUE"""),2020)</f>
        <v>2020</v>
      </c>
      <c r="I330" s="20" t="str">
        <f ca="1">IFERROR(__xludf.DUMMYFUNCTION("""COMPUTED_VALUE"""),"10 3 02 64080")</f>
        <v>10 3 02 64080</v>
      </c>
      <c r="J330" s="20">
        <f ca="1">IFERROR(__xludf.DUMMYFUNCTION("""COMPUTED_VALUE"""),522)</f>
        <v>522</v>
      </c>
      <c r="K330" s="24">
        <f t="shared" ca="1" si="1"/>
        <v>31047.66</v>
      </c>
      <c r="L330" s="24">
        <f ca="1">IFERROR(__xludf.DUMMYFUNCTION("""COMPUTED_VALUE"""),25676.53)</f>
        <v>25676.53</v>
      </c>
      <c r="M330" s="24">
        <f ca="1">IFERROR(__xludf.DUMMYFUNCTION("""COMPUTED_VALUE"""),0)</f>
        <v>0</v>
      </c>
      <c r="N330" s="24">
        <f ca="1">IFERROR(__xludf.DUMMYFUNCTION("""COMPUTED_VALUE"""),0)</f>
        <v>0</v>
      </c>
      <c r="O330" s="24">
        <f ca="1">IFERROR(__xludf.DUMMYFUNCTION("""COMPUTED_VALUE"""),5371.13)</f>
        <v>5371.13</v>
      </c>
      <c r="P330" s="24">
        <f t="shared" ca="1" si="2"/>
        <v>25676.53</v>
      </c>
      <c r="Q330" s="20">
        <f ca="1">IFERROR(__xludf.DUMMYFUNCTION("""COMPUTED_VALUE"""),90)</f>
        <v>90</v>
      </c>
      <c r="R330" s="20"/>
      <c r="S330" s="24">
        <f ca="1">IFERROR(__xludf.DUMMYFUNCTION("""COMPUTED_VALUE"""),25487.41)</f>
        <v>25487.41</v>
      </c>
      <c r="T330" s="24">
        <f ca="1">IFERROR(__xludf.DUMMYFUNCTION("""COMPUTED_VALUE"""),5560.25)</f>
        <v>5560.25</v>
      </c>
      <c r="U330" s="24">
        <f ca="1">IFERROR(__xludf.DUMMYFUNCTION("""COMPUTED_VALUE"""),189.119999999998)</f>
        <v>189.11999999999799</v>
      </c>
      <c r="V330" s="24">
        <f ca="1">IFERROR(__xludf.DUMMYFUNCTION("""COMPUTED_VALUE"""),0)</f>
        <v>0</v>
      </c>
      <c r="W330" s="24">
        <f ca="1">IFERROR(__xludf.DUMMYFUNCTION("""COMPUTED_VALUE"""),0)</f>
        <v>0</v>
      </c>
      <c r="X330" s="24">
        <f ca="1">IFERROR(__xludf.DUMMYFUNCTION("""COMPUTED_VALUE"""),5371.13)</f>
        <v>5371.13</v>
      </c>
      <c r="Y330" s="24">
        <f t="shared" ca="1" si="3"/>
        <v>189.11999999999799</v>
      </c>
      <c r="Z330" s="20">
        <f t="shared" ca="1" si="4"/>
        <v>25487.41</v>
      </c>
      <c r="AA330" s="20"/>
      <c r="AB330" s="24">
        <f ca="1">IFERROR(__xludf.DUMMYFUNCTION("""COMPUTED_VALUE"""),25487.41)</f>
        <v>25487.41</v>
      </c>
      <c r="AC330" s="20"/>
      <c r="AD330" s="94">
        <f t="shared" ca="1" si="5"/>
        <v>0.99263451876090736</v>
      </c>
      <c r="AE330" s="20"/>
      <c r="AF330" s="20"/>
      <c r="AG330" s="20"/>
      <c r="AH330" s="20"/>
      <c r="AI330" s="20"/>
      <c r="AJ330" s="20"/>
      <c r="AK330" s="20"/>
      <c r="AL330" s="20"/>
      <c r="AM330" s="20"/>
      <c r="AN330" s="20"/>
      <c r="AO330" s="20"/>
      <c r="AP330" s="20"/>
      <c r="AQ330" s="20"/>
      <c r="AR330" s="20"/>
      <c r="AS330" s="20"/>
      <c r="AT330" s="20"/>
    </row>
    <row r="331" spans="1:46" ht="72" x14ac:dyDescent="0.2">
      <c r="A331" s="20" t="str">
        <f ca="1">IFERROR(__xludf.DUMMYFUNCTION("""COMPUTED_VALUE"""),"Оплата после заключение контракта. Оплата аванса 30 %. ")</f>
        <v xml:space="preserve">Оплата после заключение контракта. Оплата аванса 30 %. </v>
      </c>
      <c r="B331" s="93"/>
      <c r="C33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1" s="20" t="str">
        <f ca="1">IFERROR(__xludf.DUMMYFUNCTION("""COMPUTED_VALUE"""),"МинЖКХ")</f>
        <v>МинЖКХ</v>
      </c>
      <c r="E331" s="20" t="str">
        <f ca="1">IFERROR(__xludf.DUMMYFUNCTION("""COMPUTED_VALUE"""),"Строительство БМК п. Тучково, ул. Луговая  г.о. Рузский")</f>
        <v>Строительство БМК п. Тучково, ул. Луговая  г.о. Рузский</v>
      </c>
      <c r="F331" s="20" t="str">
        <f ca="1">IFERROR(__xludf.DUMMYFUNCTION("""COMPUTED_VALUE"""),"СМР")</f>
        <v>СМР</v>
      </c>
      <c r="G331" s="20" t="str">
        <f ca="1">IFERROR(__xludf.DUMMYFUNCTION("""COMPUTED_VALUE"""),"г.о. Рузский")</f>
        <v>г.о. Рузский</v>
      </c>
      <c r="H331" s="20" t="str">
        <f ca="1">IFERROR(__xludf.DUMMYFUNCTION("""COMPUTED_VALUE"""),"2020-2021")</f>
        <v>2020-2021</v>
      </c>
      <c r="I331" s="20" t="str">
        <f ca="1">IFERROR(__xludf.DUMMYFUNCTION("""COMPUTED_VALUE"""),"10 3 02 64080")</f>
        <v>10 3 02 64080</v>
      </c>
      <c r="J331" s="20">
        <f ca="1">IFERROR(__xludf.DUMMYFUNCTION("""COMPUTED_VALUE"""),522)</f>
        <v>522</v>
      </c>
      <c r="K331" s="24">
        <f t="shared" ca="1" si="1"/>
        <v>16116.45</v>
      </c>
      <c r="L331" s="24">
        <f ca="1">IFERROR(__xludf.DUMMYFUNCTION("""COMPUTED_VALUE"""),13280.75)</f>
        <v>13280.75</v>
      </c>
      <c r="M331" s="24">
        <f ca="1">IFERROR(__xludf.DUMMYFUNCTION("""COMPUTED_VALUE"""),0)</f>
        <v>0</v>
      </c>
      <c r="N331" s="24">
        <f ca="1">IFERROR(__xludf.DUMMYFUNCTION("""COMPUTED_VALUE"""),0)</f>
        <v>0</v>
      </c>
      <c r="O331" s="24">
        <f ca="1">IFERROR(__xludf.DUMMYFUNCTION("""COMPUTED_VALUE"""),2835.7)</f>
        <v>2835.7</v>
      </c>
      <c r="P331" s="24">
        <f t="shared" ca="1" si="2"/>
        <v>13280.75</v>
      </c>
      <c r="Q331" s="20">
        <f ca="1">IFERROR(__xludf.DUMMYFUNCTION("""COMPUTED_VALUE"""),5)</f>
        <v>5</v>
      </c>
      <c r="R331" s="20"/>
      <c r="S331" s="24">
        <f ca="1">IFERROR(__xludf.DUMMYFUNCTION("""COMPUTED_VALUE"""),13152.63)</f>
        <v>13152.63</v>
      </c>
      <c r="T331" s="24">
        <f ca="1">IFERROR(__xludf.DUMMYFUNCTION("""COMPUTED_VALUE"""),2963.82)</f>
        <v>2963.82</v>
      </c>
      <c r="U331" s="24">
        <f ca="1">IFERROR(__xludf.DUMMYFUNCTION("""COMPUTED_VALUE"""),128.12)</f>
        <v>128.12</v>
      </c>
      <c r="V331" s="24">
        <f ca="1">IFERROR(__xludf.DUMMYFUNCTION("""COMPUTED_VALUE"""),0)</f>
        <v>0</v>
      </c>
      <c r="W331" s="24">
        <f ca="1">IFERROR(__xludf.DUMMYFUNCTION("""COMPUTED_VALUE"""),0)</f>
        <v>0</v>
      </c>
      <c r="X331" s="24">
        <f ca="1">IFERROR(__xludf.DUMMYFUNCTION("""COMPUTED_VALUE"""),2835.7)</f>
        <v>2835.7</v>
      </c>
      <c r="Y331" s="24">
        <f t="shared" ca="1" si="3"/>
        <v>128.12</v>
      </c>
      <c r="Z331" s="20">
        <f t="shared" ca="1" si="4"/>
        <v>13152.63</v>
      </c>
      <c r="AA331" s="20"/>
      <c r="AB331" s="24">
        <f ca="1">IFERROR(__xludf.DUMMYFUNCTION("""COMPUTED_VALUE"""),13152.63)</f>
        <v>13152.63</v>
      </c>
      <c r="AC331" s="20"/>
      <c r="AD331" s="94">
        <f t="shared" ca="1" si="5"/>
        <v>0.99035295446416804</v>
      </c>
      <c r="AE331" s="20"/>
      <c r="AF331" s="20"/>
      <c r="AG331" s="20"/>
      <c r="AH331" s="20"/>
      <c r="AI331" s="20"/>
      <c r="AJ331" s="20"/>
      <c r="AK331" s="20"/>
      <c r="AL331" s="20"/>
      <c r="AM331" s="20"/>
      <c r="AN331" s="20"/>
      <c r="AO331" s="20"/>
      <c r="AP331" s="20"/>
      <c r="AQ331" s="20"/>
      <c r="AR331" s="20"/>
      <c r="AS331" s="20"/>
      <c r="AT331" s="20"/>
    </row>
    <row r="332" spans="1:46" ht="72" x14ac:dyDescent="0.2">
      <c r="A332" s="20" t="str">
        <f ca="1">IFERROR(__xludf.DUMMYFUNCTION("""COMPUTED_VALUE"""),"Оплата после завершение контракта ")</f>
        <v xml:space="preserve">Оплата после завершение контракта </v>
      </c>
      <c r="B332" s="93"/>
      <c r="C33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2" s="20" t="str">
        <f ca="1">IFERROR(__xludf.DUMMYFUNCTION("""COMPUTED_VALUE"""),"МинЖКХ")</f>
        <v>МинЖКХ</v>
      </c>
      <c r="E332" s="20" t="str">
        <f ca="1">IFERROR(__xludf.DUMMYFUNCTION("""COMPUTED_VALUE"""),"Строительство БМК с. Богородское, д.30  г.о. Рузский")</f>
        <v>Строительство БМК с. Богородское, д.30  г.о. Рузский</v>
      </c>
      <c r="F332" s="20" t="str">
        <f ca="1">IFERROR(__xludf.DUMMYFUNCTION("""COMPUTED_VALUE"""),"СМР")</f>
        <v>СМР</v>
      </c>
      <c r="G332" s="20" t="str">
        <f ca="1">IFERROR(__xludf.DUMMYFUNCTION("""COMPUTED_VALUE"""),"г.о. Рузский")</f>
        <v>г.о. Рузский</v>
      </c>
      <c r="H332" s="20">
        <f ca="1">IFERROR(__xludf.DUMMYFUNCTION("""COMPUTED_VALUE"""),2020)</f>
        <v>2020</v>
      </c>
      <c r="I332" s="20" t="str">
        <f ca="1">IFERROR(__xludf.DUMMYFUNCTION("""COMPUTED_VALUE"""),"10 3 02 64080")</f>
        <v>10 3 02 64080</v>
      </c>
      <c r="J332" s="20">
        <f ca="1">IFERROR(__xludf.DUMMYFUNCTION("""COMPUTED_VALUE"""),522)</f>
        <v>522</v>
      </c>
      <c r="K332" s="24">
        <f t="shared" ca="1" si="1"/>
        <v>10619.580000000002</v>
      </c>
      <c r="L332" s="24">
        <f ca="1">IFERROR(__xludf.DUMMYFUNCTION("""COMPUTED_VALUE"""),8782.79)</f>
        <v>8782.7900000000009</v>
      </c>
      <c r="M332" s="24">
        <f ca="1">IFERROR(__xludf.DUMMYFUNCTION("""COMPUTED_VALUE"""),0)</f>
        <v>0</v>
      </c>
      <c r="N332" s="24">
        <f ca="1">IFERROR(__xludf.DUMMYFUNCTION("""COMPUTED_VALUE"""),0)</f>
        <v>0</v>
      </c>
      <c r="O332" s="24">
        <f ca="1">IFERROR(__xludf.DUMMYFUNCTION("""COMPUTED_VALUE"""),1836.79)</f>
        <v>1836.79</v>
      </c>
      <c r="P332" s="24">
        <f t="shared" ca="1" si="2"/>
        <v>8782.7900000000009</v>
      </c>
      <c r="Q332" s="20">
        <f ca="1">IFERROR(__xludf.DUMMYFUNCTION("""COMPUTED_VALUE"""),95)</f>
        <v>95</v>
      </c>
      <c r="R332" s="20"/>
      <c r="S332" s="24">
        <f ca="1">IFERROR(__xludf.DUMMYFUNCTION("""COMPUTED_VALUE"""),8144.71)</f>
        <v>8144.71</v>
      </c>
      <c r="T332" s="24">
        <f ca="1">IFERROR(__xludf.DUMMYFUNCTION("""COMPUTED_VALUE"""),2474.87)</f>
        <v>2474.87</v>
      </c>
      <c r="U332" s="24">
        <f ca="1">IFERROR(__xludf.DUMMYFUNCTION("""COMPUTED_VALUE"""),638.08)</f>
        <v>638.08000000000004</v>
      </c>
      <c r="V332" s="24">
        <f ca="1">IFERROR(__xludf.DUMMYFUNCTION("""COMPUTED_VALUE"""),0)</f>
        <v>0</v>
      </c>
      <c r="W332" s="24">
        <f ca="1">IFERROR(__xludf.DUMMYFUNCTION("""COMPUTED_VALUE"""),0)</f>
        <v>0</v>
      </c>
      <c r="X332" s="24">
        <f ca="1">IFERROR(__xludf.DUMMYFUNCTION("""COMPUTED_VALUE"""),1836.79)</f>
        <v>1836.79</v>
      </c>
      <c r="Y332" s="24">
        <f t="shared" ca="1" si="3"/>
        <v>638.08000000000004</v>
      </c>
      <c r="Z332" s="20">
        <f t="shared" ca="1" si="4"/>
        <v>8144.71</v>
      </c>
      <c r="AA332" s="20"/>
      <c r="AB332" s="24">
        <f ca="1">IFERROR(__xludf.DUMMYFUNCTION("""COMPUTED_VALUE"""),8144.71)</f>
        <v>8144.71</v>
      </c>
      <c r="AC332" s="20"/>
      <c r="AD332" s="94">
        <f t="shared" ca="1" si="5"/>
        <v>0.92734882651184869</v>
      </c>
      <c r="AE332" s="20"/>
      <c r="AF332" s="20"/>
      <c r="AG332" s="20"/>
      <c r="AH332" s="20"/>
      <c r="AI332" s="20"/>
      <c r="AJ332" s="20"/>
      <c r="AK332" s="20"/>
      <c r="AL332" s="20"/>
      <c r="AM332" s="20"/>
      <c r="AN332" s="20"/>
      <c r="AO332" s="20"/>
      <c r="AP332" s="20"/>
      <c r="AQ332" s="20"/>
      <c r="AR332" s="20"/>
      <c r="AS332" s="20"/>
      <c r="AT332" s="20"/>
    </row>
    <row r="333" spans="1:46" ht="72" x14ac:dyDescent="0.2">
      <c r="A333" s="20"/>
      <c r="B333" s="93"/>
      <c r="C33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3" s="20" t="str">
        <f ca="1">IFERROR(__xludf.DUMMYFUNCTION("""COMPUTED_VALUE"""),"МинЖКХ ""ТОП 5 (2 этап)""")</f>
        <v>МинЖКХ "ТОП 5 (2 этап)"</v>
      </c>
      <c r="E333" s="20" t="str">
        <f ca="1">IFERROR(__xludf.DUMMYFUNCTION("""COMPUTED_VALUE"""),"Строительство котельной по адресу: Рузский г.о., п.Тучково, ул. Лебеденко д.36")</f>
        <v>Строительство котельной по адресу: Рузский г.о., п.Тучково, ул. Лебеденко д.36</v>
      </c>
      <c r="F333" s="20" t="str">
        <f ca="1">IFERROR(__xludf.DUMMYFUNCTION("""COMPUTED_VALUE"""),"СМР")</f>
        <v>СМР</v>
      </c>
      <c r="G333" s="20" t="str">
        <f ca="1">IFERROR(__xludf.DUMMYFUNCTION("""COMPUTED_VALUE"""),"г.о. Рузский")</f>
        <v>г.о. Рузский</v>
      </c>
      <c r="H333" s="20" t="str">
        <f ca="1">IFERROR(__xludf.DUMMYFUNCTION("""COMPUTED_VALUE"""),"2020-2021")</f>
        <v>2020-2021</v>
      </c>
      <c r="I333" s="20" t="str">
        <f ca="1">IFERROR(__xludf.DUMMYFUNCTION("""COMPUTED_VALUE"""),"10 3 02 64080")</f>
        <v>10 3 02 64080</v>
      </c>
      <c r="J333" s="20">
        <f ca="1">IFERROR(__xludf.DUMMYFUNCTION("""COMPUTED_VALUE"""),522)</f>
        <v>522</v>
      </c>
      <c r="K333" s="24">
        <f t="shared" ca="1" si="1"/>
        <v>29696.16</v>
      </c>
      <c r="L333" s="24">
        <f ca="1">IFERROR(__xludf.DUMMYFUNCTION("""COMPUTED_VALUE"""),24558.72)</f>
        <v>24558.720000000001</v>
      </c>
      <c r="M333" s="24">
        <f ca="1">IFERROR(__xludf.DUMMYFUNCTION("""COMPUTED_VALUE"""),0)</f>
        <v>0</v>
      </c>
      <c r="N333" s="24">
        <f ca="1">IFERROR(__xludf.DUMMYFUNCTION("""COMPUTED_VALUE"""),0)</f>
        <v>0</v>
      </c>
      <c r="O333" s="24">
        <f ca="1">IFERROR(__xludf.DUMMYFUNCTION("""COMPUTED_VALUE"""),5137.44)</f>
        <v>5137.4399999999996</v>
      </c>
      <c r="P333" s="24">
        <f t="shared" ca="1" si="2"/>
        <v>24558.720000000001</v>
      </c>
      <c r="Q333" s="20"/>
      <c r="R333" s="20"/>
      <c r="S333" s="24">
        <f ca="1">IFERROR(__xludf.DUMMYFUNCTION("""COMPUTED_VALUE"""),0)</f>
        <v>0</v>
      </c>
      <c r="T333" s="24">
        <f ca="1">IFERROR(__xludf.DUMMYFUNCTION("""COMPUTED_VALUE"""),29696.16)</f>
        <v>29696.16</v>
      </c>
      <c r="U333" s="24">
        <f ca="1">IFERROR(__xludf.DUMMYFUNCTION("""COMPUTED_VALUE"""),24558.72)</f>
        <v>24558.720000000001</v>
      </c>
      <c r="V333" s="24">
        <f ca="1">IFERROR(__xludf.DUMMYFUNCTION("""COMPUTED_VALUE"""),0)</f>
        <v>0</v>
      </c>
      <c r="W333" s="24">
        <f ca="1">IFERROR(__xludf.DUMMYFUNCTION("""COMPUTED_VALUE"""),0)</f>
        <v>0</v>
      </c>
      <c r="X333" s="24">
        <f ca="1">IFERROR(__xludf.DUMMYFUNCTION("""COMPUTED_VALUE"""),5137.44)</f>
        <v>5137.4399999999996</v>
      </c>
      <c r="Y333" s="24">
        <f t="shared" ca="1" si="3"/>
        <v>24558.720000000001</v>
      </c>
      <c r="Z333" s="20">
        <f t="shared" ca="1" si="4"/>
        <v>0</v>
      </c>
      <c r="AA333" s="20"/>
      <c r="AB333" s="24">
        <f ca="1">IFERROR(__xludf.DUMMYFUNCTION("""COMPUTED_VALUE"""),0)</f>
        <v>0</v>
      </c>
      <c r="AC333" s="20"/>
      <c r="AD333" s="94">
        <f t="shared" ca="1" si="5"/>
        <v>0</v>
      </c>
      <c r="AE333" s="20"/>
      <c r="AF333" s="20"/>
      <c r="AG333" s="20"/>
      <c r="AH333" s="20"/>
      <c r="AI333" s="20"/>
      <c r="AJ333" s="20"/>
      <c r="AK333" s="20"/>
      <c r="AL333" s="20"/>
      <c r="AM333" s="20"/>
      <c r="AN333" s="20"/>
      <c r="AO333" s="20"/>
      <c r="AP333" s="20"/>
      <c r="AQ333" s="20"/>
      <c r="AR333" s="20"/>
      <c r="AS333" s="20"/>
      <c r="AT333" s="20"/>
    </row>
    <row r="334" spans="1:46" ht="72" x14ac:dyDescent="0.2">
      <c r="A334" s="20"/>
      <c r="B334" s="93"/>
      <c r="C33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4" s="20" t="str">
        <f ca="1">IFERROR(__xludf.DUMMYFUNCTION("""COMPUTED_VALUE"""),"МинЖКХ")</f>
        <v>МинЖКХ</v>
      </c>
      <c r="E334" s="20" t="str">
        <f ca="1">IFERROR(__xludf.DUMMYFUNCTION("""COMPUTED_VALUE"""),"Реконструкция объектов инженерной инфраструктуры по ул.Кооперативная, г.Хотьково")</f>
        <v>Реконструкция объектов инженерной инфраструктуры по ул.Кооперативная, г.Хотьково</v>
      </c>
      <c r="F334" s="20" t="str">
        <f ca="1">IFERROR(__xludf.DUMMYFUNCTION("""COMPUTED_VALUE"""),"СМР")</f>
        <v>СМР</v>
      </c>
      <c r="G334" s="20" t="str">
        <f ca="1">IFERROR(__xludf.DUMMYFUNCTION("""COMPUTED_VALUE"""),"г.о. Сергиев Посад")</f>
        <v>г.о. Сергиев Посад</v>
      </c>
      <c r="H334" s="20" t="str">
        <f ca="1">IFERROR(__xludf.DUMMYFUNCTION("""COMPUTED_VALUE"""),"2020-2021")</f>
        <v>2020-2021</v>
      </c>
      <c r="I334" s="20" t="str">
        <f ca="1">IFERROR(__xludf.DUMMYFUNCTION("""COMPUTED_VALUE"""),"10 3 02 64080")</f>
        <v>10 3 02 64080</v>
      </c>
      <c r="J334" s="20">
        <f ca="1">IFERROR(__xludf.DUMMYFUNCTION("""COMPUTED_VALUE"""),522)</f>
        <v>522</v>
      </c>
      <c r="K334" s="24">
        <f t="shared" ca="1" si="1"/>
        <v>82271.37</v>
      </c>
      <c r="L334" s="24">
        <f ca="1">IFERROR(__xludf.DUMMYFUNCTION("""COMPUTED_VALUE"""),59893.56)</f>
        <v>59893.56</v>
      </c>
      <c r="M334" s="24">
        <f ca="1">IFERROR(__xludf.DUMMYFUNCTION("""COMPUTED_VALUE"""),0)</f>
        <v>0</v>
      </c>
      <c r="N334" s="24">
        <f ca="1">IFERROR(__xludf.DUMMYFUNCTION("""COMPUTED_VALUE"""),0)</f>
        <v>0</v>
      </c>
      <c r="O334" s="24">
        <f ca="1">IFERROR(__xludf.DUMMYFUNCTION("""COMPUTED_VALUE"""),22377.81)</f>
        <v>22377.81</v>
      </c>
      <c r="P334" s="24">
        <f t="shared" ca="1" si="2"/>
        <v>59893.56</v>
      </c>
      <c r="Q334" s="20">
        <f ca="1">IFERROR(__xludf.DUMMYFUNCTION("""COMPUTED_VALUE"""),87)</f>
        <v>87</v>
      </c>
      <c r="R334" s="20"/>
      <c r="S334" s="24">
        <f ca="1">IFERROR(__xludf.DUMMYFUNCTION("""COMPUTED_VALUE"""),79292.78)</f>
        <v>79292.78</v>
      </c>
      <c r="T334" s="24">
        <f ca="1">IFERROR(__xludf.DUMMYFUNCTION("""COMPUTED_VALUE"""),2978.58999999999)</f>
        <v>2978.5899999999901</v>
      </c>
      <c r="U334" s="24">
        <f ca="1">IFERROR(__xludf.DUMMYFUNCTION("""COMPUTED_VALUE"""),1254.86999999999)</f>
        <v>1254.8699999999899</v>
      </c>
      <c r="V334" s="24">
        <f ca="1">IFERROR(__xludf.DUMMYFUNCTION("""COMPUTED_VALUE"""),0)</f>
        <v>0</v>
      </c>
      <c r="W334" s="24">
        <f ca="1">IFERROR(__xludf.DUMMYFUNCTION("""COMPUTED_VALUE"""),0)</f>
        <v>0</v>
      </c>
      <c r="X334" s="24">
        <f ca="1">IFERROR(__xludf.DUMMYFUNCTION("""COMPUTED_VALUE"""),1723.72)</f>
        <v>1723.72</v>
      </c>
      <c r="Y334" s="24">
        <f t="shared" ca="1" si="3"/>
        <v>1254.8699999999899</v>
      </c>
      <c r="Z334" s="20">
        <f t="shared" ca="1" si="4"/>
        <v>58638.69</v>
      </c>
      <c r="AA334" s="20"/>
      <c r="AB334" s="24">
        <f ca="1">IFERROR(__xludf.DUMMYFUNCTION("""COMPUTED_VALUE"""),58638.69)</f>
        <v>58638.69</v>
      </c>
      <c r="AC334" s="20"/>
      <c r="AD334" s="94">
        <f t="shared" ca="1" si="5"/>
        <v>0.97904833174050776</v>
      </c>
      <c r="AE334" s="20"/>
      <c r="AF334" s="20"/>
      <c r="AG334" s="20"/>
      <c r="AH334" s="20"/>
      <c r="AI334" s="20"/>
      <c r="AJ334" s="20"/>
      <c r="AK334" s="20"/>
      <c r="AL334" s="20"/>
      <c r="AM334" s="20"/>
      <c r="AN334" s="20"/>
      <c r="AO334" s="20"/>
      <c r="AP334" s="20"/>
      <c r="AQ334" s="20"/>
      <c r="AR334" s="20"/>
      <c r="AS334" s="20"/>
      <c r="AT334" s="20"/>
    </row>
    <row r="335" spans="1:46" ht="132" x14ac:dyDescent="0.2">
      <c r="A335" s="20" t="str">
        <f ca="1">IFERROR(__xludf.DUMMYFUNCTION("""COMPUTED_VALUE"""),"ОМСУ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f>
        <v>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v>
      </c>
      <c r="B335" s="93"/>
      <c r="C33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5" s="20" t="str">
        <f ca="1">IFERROR(__xludf.DUMMYFUNCTION("""COMPUTED_VALUE"""),"МинЖКХ")</f>
        <v>МинЖКХ</v>
      </c>
      <c r="E335" s="20" t="str">
        <f ca="1">IFERROR(__xludf.DUMMYFUNCTION("""COMPUTED_VALUE"""),"Строительство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в"&amp;" 2019 году в размере 699,6 тыс.руб. средства бюджета Московской области)")</f>
        <v>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 2019 году в размере 699,6 тыс.руб. средства бюджета Московской области)</v>
      </c>
      <c r="F335" s="20" t="str">
        <f ca="1">IFERROR(__xludf.DUMMYFUNCTION("""COMPUTED_VALUE"""),"СМР")</f>
        <v>СМР</v>
      </c>
      <c r="G335" s="20" t="str">
        <f ca="1">IFERROR(__xludf.DUMMYFUNCTION("""COMPUTED_VALUE"""),"г.о. Сергиев Посад")</f>
        <v>г.о. Сергиев Посад</v>
      </c>
      <c r="H335" s="20">
        <f ca="1">IFERROR(__xludf.DUMMYFUNCTION("""COMPUTED_VALUE"""),2020)</f>
        <v>2020</v>
      </c>
      <c r="I335" s="20" t="str">
        <f ca="1">IFERROR(__xludf.DUMMYFUNCTION("""COMPUTED_VALUE"""),"10 3 02 64080")</f>
        <v>10 3 02 64080</v>
      </c>
      <c r="J335" s="20">
        <f ca="1">IFERROR(__xludf.DUMMYFUNCTION("""COMPUTED_VALUE"""),522)</f>
        <v>522</v>
      </c>
      <c r="K335" s="24">
        <f t="shared" ca="1" si="1"/>
        <v>30066.28</v>
      </c>
      <c r="L335" s="24">
        <f ca="1">IFERROR(__xludf.DUMMYFUNCTION("""COMPUTED_VALUE"""),21653.86)</f>
        <v>21653.86</v>
      </c>
      <c r="M335" s="24">
        <f ca="1">IFERROR(__xludf.DUMMYFUNCTION("""COMPUTED_VALUE"""),0)</f>
        <v>0</v>
      </c>
      <c r="N335" s="24">
        <f ca="1">IFERROR(__xludf.DUMMYFUNCTION("""COMPUTED_VALUE"""),0)</f>
        <v>0</v>
      </c>
      <c r="O335" s="24">
        <f ca="1">IFERROR(__xludf.DUMMYFUNCTION("""COMPUTED_VALUE"""),8412.42)</f>
        <v>8412.42</v>
      </c>
      <c r="P335" s="24">
        <f t="shared" ca="1" si="2"/>
        <v>21653.86</v>
      </c>
      <c r="Q335" s="20">
        <f ca="1">IFERROR(__xludf.DUMMYFUNCTION("""COMPUTED_VALUE"""),84)</f>
        <v>84</v>
      </c>
      <c r="R335" s="20"/>
      <c r="S335" s="24">
        <f ca="1">IFERROR(__xludf.DUMMYFUNCTION("""COMPUTED_VALUE"""),21574.47)</f>
        <v>21574.47</v>
      </c>
      <c r="T335" s="24">
        <f ca="1">IFERROR(__xludf.DUMMYFUNCTION("""COMPUTED_VALUE"""),8491.80999999999)</f>
        <v>8491.8099999999904</v>
      </c>
      <c r="U335" s="24">
        <f ca="1">IFERROR(__xludf.DUMMYFUNCTION("""COMPUTED_VALUE"""),79.3899999999994)</f>
        <v>79.389999999999404</v>
      </c>
      <c r="V335" s="24">
        <f ca="1">IFERROR(__xludf.DUMMYFUNCTION("""COMPUTED_VALUE"""),0)</f>
        <v>0</v>
      </c>
      <c r="W335" s="24">
        <f ca="1">IFERROR(__xludf.DUMMYFUNCTION("""COMPUTED_VALUE"""),0)</f>
        <v>0</v>
      </c>
      <c r="X335" s="24">
        <f ca="1">IFERROR(__xludf.DUMMYFUNCTION("""COMPUTED_VALUE"""),8412.42)</f>
        <v>8412.42</v>
      </c>
      <c r="Y335" s="24">
        <f t="shared" ca="1" si="3"/>
        <v>79.389999999999404</v>
      </c>
      <c r="Z335" s="20">
        <f t="shared" ca="1" si="4"/>
        <v>21574.47</v>
      </c>
      <c r="AA335" s="20"/>
      <c r="AB335" s="24">
        <f ca="1">IFERROR(__xludf.DUMMYFUNCTION("""COMPUTED_VALUE"""),21574.47)</f>
        <v>21574.47</v>
      </c>
      <c r="AC335" s="20"/>
      <c r="AD335" s="94">
        <f t="shared" ca="1" si="5"/>
        <v>0.99633367907615555</v>
      </c>
      <c r="AE335" s="20"/>
      <c r="AF335" s="20"/>
      <c r="AG335" s="20"/>
      <c r="AH335" s="20"/>
      <c r="AI335" s="20"/>
      <c r="AJ335" s="20"/>
      <c r="AK335" s="20"/>
      <c r="AL335" s="20"/>
      <c r="AM335" s="20"/>
      <c r="AN335" s="20"/>
      <c r="AO335" s="20"/>
      <c r="AP335" s="20"/>
      <c r="AQ335" s="20"/>
      <c r="AR335" s="20"/>
      <c r="AS335" s="20"/>
      <c r="AT335" s="20"/>
    </row>
    <row r="336" spans="1:46" ht="108" x14ac:dyDescent="0.2">
      <c r="A336" s="20" t="str">
        <f ca="1">IFERROR(__xludf.DUMMYFUNCTION("""COMPUTED_VALUE"""),"Будет перенос на 2021 год 
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лим"&amp;"итов в 2020 году.")</f>
        <v>Будет перенос на 2021 год 
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v>
      </c>
      <c r="B336" s="93"/>
      <c r="C33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6" s="20" t="str">
        <f ca="1">IFERROR(__xludf.DUMMYFUNCTION("""COMPUTED_VALUE"""),"МинЖКХ")</f>
        <v>МинЖКХ</v>
      </c>
      <c r="E336" s="20" t="str">
        <f ca="1">IFERROR(__xludf.DUMMYFUNCTION("""COMPUTED_VALUE"""),"Строительство газовой блочно-модульной котельной с. Константиново, сельское поселение Шеметовское Сергиево-Посадского м.р. Московской области")</f>
        <v>Строительство газовой блочно-модульной котельной с. Константиново, сельское поселение Шеметовское Сергиево-Посадского м.р. Московской области</v>
      </c>
      <c r="F336" s="20" t="str">
        <f ca="1">IFERROR(__xludf.DUMMYFUNCTION("""COMPUTED_VALUE"""),"СМР")</f>
        <v>СМР</v>
      </c>
      <c r="G336" s="20" t="str">
        <f ca="1">IFERROR(__xludf.DUMMYFUNCTION("""COMPUTED_VALUE"""),"г.о. Сергиев Посад")</f>
        <v>г.о. Сергиев Посад</v>
      </c>
      <c r="H336" s="20">
        <f ca="1">IFERROR(__xludf.DUMMYFUNCTION("""COMPUTED_VALUE"""),2020)</f>
        <v>2020</v>
      </c>
      <c r="I336" s="20" t="str">
        <f ca="1">IFERROR(__xludf.DUMMYFUNCTION("""COMPUTED_VALUE"""),"10 3 02 64080")</f>
        <v>10 3 02 64080</v>
      </c>
      <c r="J336" s="20">
        <f ca="1">IFERROR(__xludf.DUMMYFUNCTION("""COMPUTED_VALUE"""),522)</f>
        <v>522</v>
      </c>
      <c r="K336" s="24">
        <f t="shared" ca="1" si="1"/>
        <v>21213.33</v>
      </c>
      <c r="L336" s="24">
        <f ca="1">IFERROR(__xludf.DUMMYFUNCTION("""COMPUTED_VALUE"""),16397.9)</f>
        <v>16397.900000000001</v>
      </c>
      <c r="M336" s="24">
        <f ca="1">IFERROR(__xludf.DUMMYFUNCTION("""COMPUTED_VALUE"""),0)</f>
        <v>0</v>
      </c>
      <c r="N336" s="24">
        <f ca="1">IFERROR(__xludf.DUMMYFUNCTION("""COMPUTED_VALUE"""),0)</f>
        <v>0</v>
      </c>
      <c r="O336" s="24">
        <f ca="1">IFERROR(__xludf.DUMMYFUNCTION("""COMPUTED_VALUE"""),4815.43)</f>
        <v>4815.43</v>
      </c>
      <c r="P336" s="24">
        <f t="shared" ca="1" si="2"/>
        <v>16397.900000000001</v>
      </c>
      <c r="Q336" s="20">
        <f ca="1">IFERROR(__xludf.DUMMYFUNCTION("""COMPUTED_VALUE"""),41)</f>
        <v>41</v>
      </c>
      <c r="R336" s="20"/>
      <c r="S336" s="24">
        <f ca="1">IFERROR(__xludf.DUMMYFUNCTION("""COMPUTED_VALUE"""),16224.96)</f>
        <v>16224.96</v>
      </c>
      <c r="T336" s="24">
        <f ca="1">IFERROR(__xludf.DUMMYFUNCTION("""COMPUTED_VALUE"""),4988.37)</f>
        <v>4988.37</v>
      </c>
      <c r="U336" s="24">
        <f ca="1">IFERROR(__xludf.DUMMYFUNCTION("""COMPUTED_VALUE"""),172.940000000002)</f>
        <v>172.94000000000199</v>
      </c>
      <c r="V336" s="24">
        <f ca="1">IFERROR(__xludf.DUMMYFUNCTION("""COMPUTED_VALUE"""),0)</f>
        <v>0</v>
      </c>
      <c r="W336" s="24">
        <f ca="1">IFERROR(__xludf.DUMMYFUNCTION("""COMPUTED_VALUE"""),0)</f>
        <v>0</v>
      </c>
      <c r="X336" s="24">
        <f ca="1">IFERROR(__xludf.DUMMYFUNCTION("""COMPUTED_VALUE"""),4815.43)</f>
        <v>4815.43</v>
      </c>
      <c r="Y336" s="24">
        <f t="shared" ca="1" si="3"/>
        <v>172.94000000000199</v>
      </c>
      <c r="Z336" s="20">
        <f t="shared" ca="1" si="4"/>
        <v>16224.96</v>
      </c>
      <c r="AA336" s="20"/>
      <c r="AB336" s="24">
        <f ca="1">IFERROR(__xludf.DUMMYFUNCTION("""COMPUTED_VALUE"""),16224.96)</f>
        <v>16224.96</v>
      </c>
      <c r="AC336" s="20"/>
      <c r="AD336" s="94">
        <f t="shared" ca="1" si="5"/>
        <v>0.98945352758584926</v>
      </c>
      <c r="AE336" s="20"/>
      <c r="AF336" s="20"/>
      <c r="AG336" s="20"/>
      <c r="AH336" s="20"/>
      <c r="AI336" s="20"/>
      <c r="AJ336" s="20"/>
      <c r="AK336" s="20"/>
      <c r="AL336" s="20"/>
      <c r="AM336" s="20"/>
      <c r="AN336" s="20"/>
      <c r="AO336" s="20"/>
      <c r="AP336" s="20"/>
      <c r="AQ336" s="20"/>
      <c r="AR336" s="20"/>
      <c r="AS336" s="20"/>
      <c r="AT336" s="20"/>
    </row>
    <row r="337" spans="1:46" ht="84" x14ac:dyDescent="0.2">
      <c r="A337" s="20"/>
      <c r="B337" s="93"/>
      <c r="C337"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37" s="20" t="str">
        <f ca="1">IFERROR(__xludf.DUMMYFUNCTION("""COMPUTED_VALUE"""),"МинЖКХ")</f>
        <v>МинЖКХ</v>
      </c>
      <c r="E337" s="20" t="str">
        <f ca="1">IFERROR(__xludf.DUMMYFUNCTION("""COMPUTED_VALUE"""),"Капитальный ремонт котельной №14 с. Петрово мощностью 4,0 МВт г.о. Серебрянные Пруды")</f>
        <v>Капитальный ремонт котельной №14 с. Петрово мощностью 4,0 МВт г.о. Серебрянные Пруды</v>
      </c>
      <c r="F337" s="20" t="str">
        <f ca="1">IFERROR(__xludf.DUMMYFUNCTION("""COMPUTED_VALUE"""),"СМР")</f>
        <v>СМР</v>
      </c>
      <c r="G337" s="20" t="str">
        <f ca="1">IFERROR(__xludf.DUMMYFUNCTION("""COMPUTED_VALUE"""),"г.о. Серебряные Пруды")</f>
        <v>г.о. Серебряные Пруды</v>
      </c>
      <c r="H337" s="20">
        <f ca="1">IFERROR(__xludf.DUMMYFUNCTION("""COMPUTED_VALUE"""),2020)</f>
        <v>2020</v>
      </c>
      <c r="I337" s="20" t="str">
        <f ca="1">IFERROR(__xludf.DUMMYFUNCTION("""COMPUTED_VALUE"""),"10 3 02 60320")</f>
        <v>10 3 02 60320</v>
      </c>
      <c r="J337" s="20">
        <f ca="1">IFERROR(__xludf.DUMMYFUNCTION("""COMPUTED_VALUE"""),521)</f>
        <v>521</v>
      </c>
      <c r="K337" s="24">
        <f t="shared" ca="1" si="1"/>
        <v>4635.5</v>
      </c>
      <c r="L337" s="24">
        <f ca="1">IFERROR(__xludf.DUMMYFUNCTION("""COMPUTED_VALUE"""),0)</f>
        <v>0</v>
      </c>
      <c r="M337" s="24">
        <f ca="1">IFERROR(__xludf.DUMMYFUNCTION("""COMPUTED_VALUE"""),0)</f>
        <v>0</v>
      </c>
      <c r="N337" s="24">
        <f ca="1">IFERROR(__xludf.DUMMYFUNCTION("""COMPUTED_VALUE"""),3986.5)</f>
        <v>3986.5</v>
      </c>
      <c r="O337" s="24">
        <f ca="1">IFERROR(__xludf.DUMMYFUNCTION("""COMPUTED_VALUE"""),649)</f>
        <v>649</v>
      </c>
      <c r="P337" s="24">
        <f t="shared" ca="1" si="2"/>
        <v>3986.5</v>
      </c>
      <c r="Q337" s="20">
        <f ca="1">IFERROR(__xludf.DUMMYFUNCTION("""COMPUTED_VALUE"""),100)</f>
        <v>100</v>
      </c>
      <c r="R337" s="20"/>
      <c r="S337" s="24">
        <f ca="1">IFERROR(__xludf.DUMMYFUNCTION("""COMPUTED_VALUE"""),4318.34)</f>
        <v>4318.34</v>
      </c>
      <c r="T337" s="24">
        <f ca="1">IFERROR(__xludf.DUMMYFUNCTION("""COMPUTED_VALUE"""),317.159999999999)</f>
        <v>317.159999999999</v>
      </c>
      <c r="U337" s="24">
        <f ca="1">IFERROR(__xludf.DUMMYFUNCTION("""COMPUTED_VALUE"""),0)</f>
        <v>0</v>
      </c>
      <c r="V337" s="24">
        <f ca="1">IFERROR(__xludf.DUMMYFUNCTION("""COMPUTED_VALUE"""),0)</f>
        <v>0</v>
      </c>
      <c r="W337" s="24">
        <f ca="1">IFERROR(__xludf.DUMMYFUNCTION("""COMPUTED_VALUE"""),146.65)</f>
        <v>146.65</v>
      </c>
      <c r="X337" s="24">
        <f ca="1">IFERROR(__xludf.DUMMYFUNCTION("""COMPUTED_VALUE"""),170.51)</f>
        <v>170.51</v>
      </c>
      <c r="Y337" s="24">
        <f t="shared" ca="1" si="3"/>
        <v>146.65</v>
      </c>
      <c r="Z337" s="20">
        <f t="shared" ca="1" si="4"/>
        <v>3839.85</v>
      </c>
      <c r="AA337" s="20"/>
      <c r="AB337" s="20"/>
      <c r="AC337" s="24">
        <f ca="1">IFERROR(__xludf.DUMMYFUNCTION("""COMPUTED_VALUE"""),3839.85)</f>
        <v>3839.85</v>
      </c>
      <c r="AD337" s="94">
        <f t="shared" ca="1" si="5"/>
        <v>0.96321334503950828</v>
      </c>
      <c r="AE337" s="20"/>
      <c r="AF337" s="20"/>
      <c r="AG337" s="20"/>
      <c r="AH337" s="20"/>
      <c r="AI337" s="20"/>
      <c r="AJ337" s="20"/>
      <c r="AK337" s="20"/>
      <c r="AL337" s="20"/>
      <c r="AM337" s="20"/>
      <c r="AN337" s="20"/>
      <c r="AO337" s="20"/>
      <c r="AP337" s="20"/>
      <c r="AQ337" s="20"/>
      <c r="AR337" s="20"/>
      <c r="AS337" s="20"/>
      <c r="AT337" s="20"/>
    </row>
    <row r="338" spans="1:46" ht="72" x14ac:dyDescent="0.2">
      <c r="A338" s="20" t="str">
        <f ca="1">IFERROR(__xludf.DUMMYFUNCTION("""COMPUTED_VALUE"""),"ОМСУ направило письмо от 17.11.2020 в адрес МинЖКХ на перенос 50% лимитов на 2021 год. Предпологаемая дата из МОГЭ 23.11.2020.  СМР выполнен 15 %. ")</f>
        <v xml:space="preserve">ОМСУ направило письмо от 17.11.2020 в адрес МинЖКХ на перенос 50% лимитов на 2021 год. Предпологаемая дата из МОГЭ 23.11.2020.  СМР выполнен 15 %. </v>
      </c>
      <c r="B338" s="93"/>
      <c r="C33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8" s="20" t="str">
        <f ca="1">IFERROR(__xludf.DUMMYFUNCTION("""COMPUTED_VALUE"""),"МинЖКХ ""ТОП 5 (1 этап)""")</f>
        <v>МинЖКХ "ТОП 5 (1 этап)"</v>
      </c>
      <c r="E338" s="20" t="str">
        <f ca="1">IFERROR(__xludf.DUMMYFUNCTION("""COMPUTED_VALUE"""),"Строительство блочно-модульной котельной (БМК) в п. Дмитриевский мощностью 2,1 МВт, г.о. Серебряные Пруды (в т.ч. ПИР) ")</f>
        <v xml:space="preserve">Строительство блочно-модульной котельной (БМК) в п. Дмитриевский мощностью 2,1 МВт, г.о. Серебряные Пруды (в т.ч. ПИР) </v>
      </c>
      <c r="F338" s="20" t="str">
        <f ca="1">IFERROR(__xludf.DUMMYFUNCTION("""COMPUTED_VALUE"""),"СМР")</f>
        <v>СМР</v>
      </c>
      <c r="G338" s="20" t="str">
        <f ca="1">IFERROR(__xludf.DUMMYFUNCTION("""COMPUTED_VALUE"""),"г.о. Серебряные Пруды")</f>
        <v>г.о. Серебряные Пруды</v>
      </c>
      <c r="H338" s="20">
        <f ca="1">IFERROR(__xludf.DUMMYFUNCTION("""COMPUTED_VALUE"""),2020)</f>
        <v>2020</v>
      </c>
      <c r="I338" s="20" t="str">
        <f ca="1">IFERROR(__xludf.DUMMYFUNCTION("""COMPUTED_VALUE"""),"10 3 02 64080")</f>
        <v>10 3 02 64080</v>
      </c>
      <c r="J338" s="20">
        <f ca="1">IFERROR(__xludf.DUMMYFUNCTION("""COMPUTED_VALUE"""),522)</f>
        <v>522</v>
      </c>
      <c r="K338" s="24">
        <f t="shared" ca="1" si="1"/>
        <v>30706.969999999998</v>
      </c>
      <c r="L338" s="24">
        <f ca="1">IFERROR(__xludf.DUMMYFUNCTION("""COMPUTED_VALUE"""),0)</f>
        <v>0</v>
      </c>
      <c r="M338" s="24">
        <f ca="1">IFERROR(__xludf.DUMMYFUNCTION("""COMPUTED_VALUE"""),0)</f>
        <v>0</v>
      </c>
      <c r="N338" s="24">
        <f ca="1">IFERROR(__xludf.DUMMYFUNCTION("""COMPUTED_VALUE"""),26407.94)</f>
        <v>26407.94</v>
      </c>
      <c r="O338" s="24">
        <f ca="1">IFERROR(__xludf.DUMMYFUNCTION("""COMPUTED_VALUE"""),4299.03)</f>
        <v>4299.03</v>
      </c>
      <c r="P338" s="24">
        <f t="shared" ca="1" si="2"/>
        <v>26407.94</v>
      </c>
      <c r="Q338" s="20">
        <f ca="1">IFERROR(__xludf.DUMMYFUNCTION("""COMPUTED_VALUE"""),15)</f>
        <v>15</v>
      </c>
      <c r="R338" s="20"/>
      <c r="S338" s="24">
        <f ca="1">IFERROR(__xludf.DUMMYFUNCTION("""COMPUTED_VALUE"""),0)</f>
        <v>0</v>
      </c>
      <c r="T338" s="24">
        <f ca="1">IFERROR(__xludf.DUMMYFUNCTION("""COMPUTED_VALUE"""),30706.9699999999)</f>
        <v>30706.969999999899</v>
      </c>
      <c r="U338" s="24">
        <f ca="1">IFERROR(__xludf.DUMMYFUNCTION("""COMPUTED_VALUE"""),0)</f>
        <v>0</v>
      </c>
      <c r="V338" s="24">
        <f ca="1">IFERROR(__xludf.DUMMYFUNCTION("""COMPUTED_VALUE"""),0)</f>
        <v>0</v>
      </c>
      <c r="W338" s="24">
        <f ca="1">IFERROR(__xludf.DUMMYFUNCTION("""COMPUTED_VALUE"""),26407.94)</f>
        <v>26407.94</v>
      </c>
      <c r="X338" s="24">
        <f ca="1">IFERROR(__xludf.DUMMYFUNCTION("""COMPUTED_VALUE"""),4299.03)</f>
        <v>4299.03</v>
      </c>
      <c r="Y338" s="24">
        <f t="shared" ca="1" si="3"/>
        <v>26407.94</v>
      </c>
      <c r="Z338" s="20">
        <f t="shared" ca="1" si="4"/>
        <v>0</v>
      </c>
      <c r="AA338" s="20"/>
      <c r="AB338" s="24">
        <f ca="1">IFERROR(__xludf.DUMMYFUNCTION("""COMPUTED_VALUE"""),0)</f>
        <v>0</v>
      </c>
      <c r="AC338" s="20"/>
      <c r="AD338" s="94">
        <f t="shared" ca="1" si="5"/>
        <v>0</v>
      </c>
      <c r="AE338" s="20"/>
      <c r="AF338" s="20"/>
      <c r="AG338" s="20"/>
      <c r="AH338" s="20"/>
      <c r="AI338" s="20"/>
      <c r="AJ338" s="20"/>
      <c r="AK338" s="20"/>
      <c r="AL338" s="20"/>
      <c r="AM338" s="20"/>
      <c r="AN338" s="20"/>
      <c r="AO338" s="20"/>
      <c r="AP338" s="20"/>
      <c r="AQ338" s="20"/>
      <c r="AR338" s="20"/>
      <c r="AS338" s="20"/>
      <c r="AT338" s="20"/>
    </row>
    <row r="339" spans="1:46" ht="72" x14ac:dyDescent="0.2">
      <c r="A339" s="20"/>
      <c r="B339" s="93"/>
      <c r="C33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9" s="20" t="str">
        <f ca="1">IFERROR(__xludf.DUMMYFUNCTION("""COMPUTED_VALUE"""),"МинЖКХ ""ТОП 5 (1 этап)""")</f>
        <v>МинЖКХ "ТОП 5 (1 этап)"</v>
      </c>
      <c r="E339" s="20" t="str">
        <f ca="1">IFERROR(__xludf.DUMMYFUNCTION("""COMPUTED_VALUE"""),"Строительство блочно-модульной котельной в с. Глубокое мощностью 2,2 МВт, г.о. Серебряные Пруды (в т.ч. ПИР) ")</f>
        <v xml:space="preserve">Строительство блочно-модульной котельной в с. Глубокое мощностью 2,2 МВт, г.о. Серебряные Пруды (в т.ч. ПИР) </v>
      </c>
      <c r="F339" s="20" t="str">
        <f ca="1">IFERROR(__xludf.DUMMYFUNCTION("""COMPUTED_VALUE"""),"СМР")</f>
        <v>СМР</v>
      </c>
      <c r="G339" s="20" t="str">
        <f ca="1">IFERROR(__xludf.DUMMYFUNCTION("""COMPUTED_VALUE"""),"г.о. Серебряные Пруды")</f>
        <v>г.о. Серебряные Пруды</v>
      </c>
      <c r="H339" s="20" t="str">
        <f ca="1">IFERROR(__xludf.DUMMYFUNCTION("""COMPUTED_VALUE"""),"2020-2021")</f>
        <v>2020-2021</v>
      </c>
      <c r="I339" s="20" t="str">
        <f ca="1">IFERROR(__xludf.DUMMYFUNCTION("""COMPUTED_VALUE"""),"10 3 02 64080")</f>
        <v>10 3 02 64080</v>
      </c>
      <c r="J339" s="20">
        <f ca="1">IFERROR(__xludf.DUMMYFUNCTION("""COMPUTED_VALUE"""),522)</f>
        <v>522</v>
      </c>
      <c r="K339" s="24">
        <f t="shared" ca="1" si="1"/>
        <v>3701.02</v>
      </c>
      <c r="L339" s="24">
        <f ca="1">IFERROR(__xludf.DUMMYFUNCTION("""COMPUTED_VALUE"""),0)</f>
        <v>0</v>
      </c>
      <c r="M339" s="24">
        <f ca="1">IFERROR(__xludf.DUMMYFUNCTION("""COMPUTED_VALUE"""),0)</f>
        <v>0</v>
      </c>
      <c r="N339" s="24">
        <f ca="1">IFERROR(__xludf.DUMMYFUNCTION("""COMPUTED_VALUE"""),3182.88)</f>
        <v>3182.88</v>
      </c>
      <c r="O339" s="24">
        <f ca="1">IFERROR(__xludf.DUMMYFUNCTION("""COMPUTED_VALUE"""),518.14)</f>
        <v>518.14</v>
      </c>
      <c r="P339" s="24">
        <f t="shared" ca="1" si="2"/>
        <v>3182.88</v>
      </c>
      <c r="Q339" s="20"/>
      <c r="R339" s="20"/>
      <c r="S339" s="24">
        <f ca="1">IFERROR(__xludf.DUMMYFUNCTION("""COMPUTED_VALUE"""),0)</f>
        <v>0</v>
      </c>
      <c r="T339" s="24">
        <f ca="1">IFERROR(__xludf.DUMMYFUNCTION("""COMPUTED_VALUE"""),3701.02)</f>
        <v>3701.02</v>
      </c>
      <c r="U339" s="24">
        <f ca="1">IFERROR(__xludf.DUMMYFUNCTION("""COMPUTED_VALUE"""),0)</f>
        <v>0</v>
      </c>
      <c r="V339" s="24">
        <f ca="1">IFERROR(__xludf.DUMMYFUNCTION("""COMPUTED_VALUE"""),0)</f>
        <v>0</v>
      </c>
      <c r="W339" s="24">
        <f ca="1">IFERROR(__xludf.DUMMYFUNCTION("""COMPUTED_VALUE"""),3182.88)</f>
        <v>3182.88</v>
      </c>
      <c r="X339" s="24">
        <f ca="1">IFERROR(__xludf.DUMMYFUNCTION("""COMPUTED_VALUE"""),518.14)</f>
        <v>518.14</v>
      </c>
      <c r="Y339" s="24">
        <f t="shared" ca="1" si="3"/>
        <v>3182.88</v>
      </c>
      <c r="Z339" s="20">
        <f t="shared" ca="1" si="4"/>
        <v>0</v>
      </c>
      <c r="AA339" s="20"/>
      <c r="AB339" s="24">
        <f ca="1">IFERROR(__xludf.DUMMYFUNCTION("""COMPUTED_VALUE"""),0)</f>
        <v>0</v>
      </c>
      <c r="AC339" s="20"/>
      <c r="AD339" s="94">
        <f t="shared" ca="1" si="5"/>
        <v>0</v>
      </c>
      <c r="AE339" s="20"/>
      <c r="AF339" s="20"/>
      <c r="AG339" s="20"/>
      <c r="AH339" s="20"/>
      <c r="AI339" s="20"/>
      <c r="AJ339" s="20"/>
      <c r="AK339" s="20"/>
      <c r="AL339" s="20"/>
      <c r="AM339" s="20"/>
      <c r="AN339" s="20"/>
      <c r="AO339" s="20"/>
      <c r="AP339" s="20"/>
      <c r="AQ339" s="20"/>
      <c r="AR339" s="20"/>
      <c r="AS339" s="20"/>
      <c r="AT339" s="20"/>
    </row>
    <row r="340" spans="1:46" ht="72" x14ac:dyDescent="0.2">
      <c r="A340" s="20" t="str">
        <f ca="1">IFERROR(__xludf.DUMMYFUNCTION("""COMPUTED_VALUE"""),"Выход из МОГЭ 04.12.2020 с увелечением лимтов на 9 691,06 тыс. руб. СМР выполнен на 10 %. ")</f>
        <v xml:space="preserve">Выход из МОГЭ 04.12.2020 с увелечением лимтов на 9 691,06 тыс. руб. СМР выполнен на 10 %. </v>
      </c>
      <c r="B340" s="93"/>
      <c r="C34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0" s="20" t="str">
        <f ca="1">IFERROR(__xludf.DUMMYFUNCTION("""COMPUTED_VALUE"""),"МинЖКХ ""ТОП 5 (1 этап)""")</f>
        <v>МинЖКХ "ТОП 5 (1 этап)"</v>
      </c>
      <c r="E340" s="20" t="str">
        <f ca="1">IFERROR(__xludf.DUMMYFUNCTION("""COMPUTED_VALUE"""),"Строительство блочно-модульной котельной р.п. Серебряные Пруды, ул. ПТУ, мощностью 2,1 МВт , г.о. Серебряные Пруды (в т.ч. ПИР) ")</f>
        <v xml:space="preserve">Строительство блочно-модульной котельной р.п. Серебряные Пруды, ул. ПТУ, мощностью 2,1 МВт , г.о. Серебряные Пруды (в т.ч. ПИР) </v>
      </c>
      <c r="F340" s="20" t="str">
        <f ca="1">IFERROR(__xludf.DUMMYFUNCTION("""COMPUTED_VALUE"""),"СМР")</f>
        <v>СМР</v>
      </c>
      <c r="G340" s="20" t="str">
        <f ca="1">IFERROR(__xludf.DUMMYFUNCTION("""COMPUTED_VALUE"""),"г.о. Серебряные Пруды")</f>
        <v>г.о. Серебряные Пруды</v>
      </c>
      <c r="H340" s="20" t="str">
        <f ca="1">IFERROR(__xludf.DUMMYFUNCTION("""COMPUTED_VALUE"""),"2020-2021")</f>
        <v>2020-2021</v>
      </c>
      <c r="I340" s="20" t="str">
        <f ca="1">IFERROR(__xludf.DUMMYFUNCTION("""COMPUTED_VALUE"""),"10 3 02 64080")</f>
        <v>10 3 02 64080</v>
      </c>
      <c r="J340" s="20">
        <f ca="1">IFERROR(__xludf.DUMMYFUNCTION("""COMPUTED_VALUE"""),522)</f>
        <v>522</v>
      </c>
      <c r="K340" s="24">
        <f t="shared" ca="1" si="1"/>
        <v>16102.83</v>
      </c>
      <c r="L340" s="24">
        <f ca="1">IFERROR(__xludf.DUMMYFUNCTION("""COMPUTED_VALUE"""),0)</f>
        <v>0</v>
      </c>
      <c r="M340" s="24">
        <f ca="1">IFERROR(__xludf.DUMMYFUNCTION("""COMPUTED_VALUE"""),0)</f>
        <v>0</v>
      </c>
      <c r="N340" s="24">
        <f ca="1">IFERROR(__xludf.DUMMYFUNCTION("""COMPUTED_VALUE"""),13848.3)</f>
        <v>13848.3</v>
      </c>
      <c r="O340" s="24">
        <f ca="1">IFERROR(__xludf.DUMMYFUNCTION("""COMPUTED_VALUE"""),2254.53)</f>
        <v>2254.5300000000002</v>
      </c>
      <c r="P340" s="24">
        <f t="shared" ca="1" si="2"/>
        <v>13848.3</v>
      </c>
      <c r="Q340" s="20">
        <f ca="1">IFERROR(__xludf.DUMMYFUNCTION("""COMPUTED_VALUE"""),10)</f>
        <v>10</v>
      </c>
      <c r="R340" s="20"/>
      <c r="S340" s="24">
        <f ca="1">IFERROR(__xludf.DUMMYFUNCTION("""COMPUTED_VALUE"""),0)</f>
        <v>0</v>
      </c>
      <c r="T340" s="24">
        <f ca="1">IFERROR(__xludf.DUMMYFUNCTION("""COMPUTED_VALUE"""),16102.83)</f>
        <v>16102.83</v>
      </c>
      <c r="U340" s="24">
        <f ca="1">IFERROR(__xludf.DUMMYFUNCTION("""COMPUTED_VALUE"""),0)</f>
        <v>0</v>
      </c>
      <c r="V340" s="24">
        <f ca="1">IFERROR(__xludf.DUMMYFUNCTION("""COMPUTED_VALUE"""),0)</f>
        <v>0</v>
      </c>
      <c r="W340" s="24">
        <f ca="1">IFERROR(__xludf.DUMMYFUNCTION("""COMPUTED_VALUE"""),13848.3)</f>
        <v>13848.3</v>
      </c>
      <c r="X340" s="24">
        <f ca="1">IFERROR(__xludf.DUMMYFUNCTION("""COMPUTED_VALUE"""),2254.53)</f>
        <v>2254.5300000000002</v>
      </c>
      <c r="Y340" s="24">
        <f t="shared" ca="1" si="3"/>
        <v>13848.3</v>
      </c>
      <c r="Z340" s="20">
        <f t="shared" ca="1" si="4"/>
        <v>0</v>
      </c>
      <c r="AA340" s="20"/>
      <c r="AB340" s="24">
        <f ca="1">IFERROR(__xludf.DUMMYFUNCTION("""COMPUTED_VALUE"""),0)</f>
        <v>0</v>
      </c>
      <c r="AC340" s="20"/>
      <c r="AD340" s="94">
        <f t="shared" ca="1" si="5"/>
        <v>0</v>
      </c>
      <c r="AE340" s="20"/>
      <c r="AF340" s="20"/>
      <c r="AG340" s="20"/>
      <c r="AH340" s="20"/>
      <c r="AI340" s="20"/>
      <c r="AJ340" s="20"/>
      <c r="AK340" s="20"/>
      <c r="AL340" s="20"/>
      <c r="AM340" s="20"/>
      <c r="AN340" s="20"/>
      <c r="AO340" s="20"/>
      <c r="AP340" s="20"/>
      <c r="AQ340" s="20"/>
      <c r="AR340" s="20"/>
      <c r="AS340" s="20"/>
      <c r="AT340" s="20"/>
    </row>
    <row r="341" spans="1:46" ht="72" x14ac:dyDescent="0.2">
      <c r="A341" s="20" t="str">
        <f ca="1">IFERROR(__xludf.DUMMYFUNCTION("""COMPUTED_VALUE"""),"Выход из МОГЭ 09.12.2020 с увелечением лимтов на 22 774,35 тыс. руб. СМР выполнен на 10 %. ")</f>
        <v xml:space="preserve">Выход из МОГЭ 09.12.2020 с увелечением лимтов на 22 774,35 тыс. руб. СМР выполнен на 10 %. </v>
      </c>
      <c r="B341" s="93"/>
      <c r="C34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1" s="20" t="str">
        <f ca="1">IFERROR(__xludf.DUMMYFUNCTION("""COMPUTED_VALUE"""),"МинЖКХ ""ТОП 5 (1 этап)""")</f>
        <v>МинЖКХ "ТОП 5 (1 этап)"</v>
      </c>
      <c r="E341" s="20" t="str">
        <f ca="1">IFERROR(__xludf.DUMMYFUNCTION("""COMPUTED_VALUE"""),"Строительство блочно-модульной котельной №2 р.п. Серебряные Пруды, ул.Комсомольская, г.о. Серебряные Пруды (в т.ч. ПИР) ")</f>
        <v xml:space="preserve">Строительство блочно-модульной котельной №2 р.п. Серебряные Пруды, ул.Комсомольская, г.о. Серебряные Пруды (в т.ч. ПИР) </v>
      </c>
      <c r="F341" s="20" t="str">
        <f ca="1">IFERROR(__xludf.DUMMYFUNCTION("""COMPUTED_VALUE"""),"СМР")</f>
        <v>СМР</v>
      </c>
      <c r="G341" s="20" t="str">
        <f ca="1">IFERROR(__xludf.DUMMYFUNCTION("""COMPUTED_VALUE"""),"г.о. Серебряные Пруды")</f>
        <v>г.о. Серебряные Пруды</v>
      </c>
      <c r="H341" s="20" t="str">
        <f ca="1">IFERROR(__xludf.DUMMYFUNCTION("""COMPUTED_VALUE"""),"2020-2021")</f>
        <v>2020-2021</v>
      </c>
      <c r="I341" s="20" t="str">
        <f ca="1">IFERROR(__xludf.DUMMYFUNCTION("""COMPUTED_VALUE"""),"10 3 02 64080")</f>
        <v>10 3 02 64080</v>
      </c>
      <c r="J341" s="20">
        <f ca="1">IFERROR(__xludf.DUMMYFUNCTION("""COMPUTED_VALUE"""),522)</f>
        <v>522</v>
      </c>
      <c r="K341" s="24">
        <f t="shared" ca="1" si="1"/>
        <v>18382.66</v>
      </c>
      <c r="L341" s="24">
        <f ca="1">IFERROR(__xludf.DUMMYFUNCTION("""COMPUTED_VALUE"""),0)</f>
        <v>0</v>
      </c>
      <c r="M341" s="24">
        <f ca="1">IFERROR(__xludf.DUMMYFUNCTION("""COMPUTED_VALUE"""),0)</f>
        <v>0</v>
      </c>
      <c r="N341" s="24">
        <f ca="1">IFERROR(__xludf.DUMMYFUNCTION("""COMPUTED_VALUE"""),15809)</f>
        <v>15809</v>
      </c>
      <c r="O341" s="24">
        <f ca="1">IFERROR(__xludf.DUMMYFUNCTION("""COMPUTED_VALUE"""),2573.66)</f>
        <v>2573.66</v>
      </c>
      <c r="P341" s="24">
        <f t="shared" ca="1" si="2"/>
        <v>15809</v>
      </c>
      <c r="Q341" s="20">
        <f ca="1">IFERROR(__xludf.DUMMYFUNCTION("""COMPUTED_VALUE"""),10)</f>
        <v>10</v>
      </c>
      <c r="R341" s="20"/>
      <c r="S341" s="24">
        <f ca="1">IFERROR(__xludf.DUMMYFUNCTION("""COMPUTED_VALUE"""),0)</f>
        <v>0</v>
      </c>
      <c r="T341" s="24">
        <f ca="1">IFERROR(__xludf.DUMMYFUNCTION("""COMPUTED_VALUE"""),18382.66)</f>
        <v>18382.66</v>
      </c>
      <c r="U341" s="24">
        <f ca="1">IFERROR(__xludf.DUMMYFUNCTION("""COMPUTED_VALUE"""),0)</f>
        <v>0</v>
      </c>
      <c r="V341" s="24">
        <f ca="1">IFERROR(__xludf.DUMMYFUNCTION("""COMPUTED_VALUE"""),0)</f>
        <v>0</v>
      </c>
      <c r="W341" s="24">
        <f ca="1">IFERROR(__xludf.DUMMYFUNCTION("""COMPUTED_VALUE"""),15809)</f>
        <v>15809</v>
      </c>
      <c r="X341" s="24">
        <f ca="1">IFERROR(__xludf.DUMMYFUNCTION("""COMPUTED_VALUE"""),2573.66)</f>
        <v>2573.66</v>
      </c>
      <c r="Y341" s="24">
        <f t="shared" ca="1" si="3"/>
        <v>15809</v>
      </c>
      <c r="Z341" s="20">
        <f t="shared" ca="1" si="4"/>
        <v>0</v>
      </c>
      <c r="AA341" s="20"/>
      <c r="AB341" s="24">
        <f ca="1">IFERROR(__xludf.DUMMYFUNCTION("""COMPUTED_VALUE"""),0)</f>
        <v>0</v>
      </c>
      <c r="AC341" s="20"/>
      <c r="AD341" s="94">
        <f t="shared" ca="1" si="5"/>
        <v>0</v>
      </c>
      <c r="AE341" s="20"/>
      <c r="AF341" s="20"/>
      <c r="AG341" s="20"/>
      <c r="AH341" s="20"/>
      <c r="AI341" s="20"/>
      <c r="AJ341" s="20"/>
      <c r="AK341" s="20"/>
      <c r="AL341" s="20"/>
      <c r="AM341" s="20"/>
      <c r="AN341" s="20"/>
      <c r="AO341" s="20"/>
      <c r="AP341" s="20"/>
      <c r="AQ341" s="20"/>
      <c r="AR341" s="20"/>
      <c r="AS341" s="20"/>
      <c r="AT341" s="20"/>
    </row>
    <row r="342" spans="1:46" ht="72" x14ac:dyDescent="0.2">
      <c r="A342" s="20"/>
      <c r="B342" s="93"/>
      <c r="C34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2" s="20" t="str">
        <f ca="1">IFERROR(__xludf.DUMMYFUNCTION("""COMPUTED_VALUE"""),"МинЖКХ ""ТОП 5 (1 этап)""")</f>
        <v>МинЖКХ "ТОП 5 (1 этап)"</v>
      </c>
      <c r="E342" s="20" t="str">
        <f ca="1">IFERROR(__xludf.DUMMYFUNCTION("""COMPUTED_VALUE"""),"Строительство блочно-модульной котельной №4 с. Подхожее, г.о. Серебряные Пруды (в т.ч. ПИР) ")</f>
        <v xml:space="preserve">Строительство блочно-модульной котельной №4 с. Подхожее, г.о. Серебряные Пруды (в т.ч. ПИР) </v>
      </c>
      <c r="F342" s="20" t="str">
        <f ca="1">IFERROR(__xludf.DUMMYFUNCTION("""COMPUTED_VALUE"""),"СМР")</f>
        <v>СМР</v>
      </c>
      <c r="G342" s="20" t="str">
        <f ca="1">IFERROR(__xludf.DUMMYFUNCTION("""COMPUTED_VALUE"""),"г.о. Серебряные Пруды")</f>
        <v>г.о. Серебряные Пруды</v>
      </c>
      <c r="H342" s="20" t="str">
        <f ca="1">IFERROR(__xludf.DUMMYFUNCTION("""COMPUTED_VALUE"""),"2020-2021")</f>
        <v>2020-2021</v>
      </c>
      <c r="I342" s="20" t="str">
        <f ca="1">IFERROR(__xludf.DUMMYFUNCTION("""COMPUTED_VALUE"""),"10 3 02 64080")</f>
        <v>10 3 02 64080</v>
      </c>
      <c r="J342" s="20">
        <f ca="1">IFERROR(__xludf.DUMMYFUNCTION("""COMPUTED_VALUE"""),522)</f>
        <v>522</v>
      </c>
      <c r="K342" s="24">
        <f t="shared" ca="1" si="1"/>
        <v>4042.71</v>
      </c>
      <c r="L342" s="24">
        <f ca="1">IFERROR(__xludf.DUMMYFUNCTION("""COMPUTED_VALUE"""),0)</f>
        <v>0</v>
      </c>
      <c r="M342" s="24">
        <f ca="1">IFERROR(__xludf.DUMMYFUNCTION("""COMPUTED_VALUE"""),0)</f>
        <v>0</v>
      </c>
      <c r="N342" s="24">
        <f ca="1">IFERROR(__xludf.DUMMYFUNCTION("""COMPUTED_VALUE"""),3476.73)</f>
        <v>3476.73</v>
      </c>
      <c r="O342" s="24">
        <f ca="1">IFERROR(__xludf.DUMMYFUNCTION("""COMPUTED_VALUE"""),565.98)</f>
        <v>565.98</v>
      </c>
      <c r="P342" s="24">
        <f t="shared" ca="1" si="2"/>
        <v>3476.73</v>
      </c>
      <c r="Q342" s="20"/>
      <c r="R342" s="20"/>
      <c r="S342" s="24">
        <f ca="1">IFERROR(__xludf.DUMMYFUNCTION("""COMPUTED_VALUE"""),0)</f>
        <v>0</v>
      </c>
      <c r="T342" s="24">
        <f ca="1">IFERROR(__xludf.DUMMYFUNCTION("""COMPUTED_VALUE"""),4042.71)</f>
        <v>4042.71</v>
      </c>
      <c r="U342" s="24">
        <f ca="1">IFERROR(__xludf.DUMMYFUNCTION("""COMPUTED_VALUE"""),0)</f>
        <v>0</v>
      </c>
      <c r="V342" s="24">
        <f ca="1">IFERROR(__xludf.DUMMYFUNCTION("""COMPUTED_VALUE"""),0)</f>
        <v>0</v>
      </c>
      <c r="W342" s="24">
        <f ca="1">IFERROR(__xludf.DUMMYFUNCTION("""COMPUTED_VALUE"""),3476.73)</f>
        <v>3476.73</v>
      </c>
      <c r="X342" s="24">
        <f ca="1">IFERROR(__xludf.DUMMYFUNCTION("""COMPUTED_VALUE"""),565.98)</f>
        <v>565.98</v>
      </c>
      <c r="Y342" s="24">
        <f t="shared" ca="1" si="3"/>
        <v>3476.73</v>
      </c>
      <c r="Z342" s="20">
        <f t="shared" ca="1" si="4"/>
        <v>0</v>
      </c>
      <c r="AA342" s="20"/>
      <c r="AB342" s="24">
        <f ca="1">IFERROR(__xludf.DUMMYFUNCTION("""COMPUTED_VALUE"""),0)</f>
        <v>0</v>
      </c>
      <c r="AC342" s="20"/>
      <c r="AD342" s="94">
        <f t="shared" ca="1" si="5"/>
        <v>0</v>
      </c>
      <c r="AE342" s="20"/>
      <c r="AF342" s="20"/>
      <c r="AG342" s="20"/>
      <c r="AH342" s="20"/>
      <c r="AI342" s="20"/>
      <c r="AJ342" s="20"/>
      <c r="AK342" s="20"/>
      <c r="AL342" s="20"/>
      <c r="AM342" s="20"/>
      <c r="AN342" s="20"/>
      <c r="AO342" s="20"/>
      <c r="AP342" s="20"/>
      <c r="AQ342" s="20"/>
      <c r="AR342" s="20"/>
      <c r="AS342" s="20"/>
      <c r="AT342" s="20"/>
    </row>
    <row r="343" spans="1:46" ht="72" x14ac:dyDescent="0.2">
      <c r="A343" s="20"/>
      <c r="B343" s="93"/>
      <c r="C34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3" s="20" t="str">
        <f ca="1">IFERROR(__xludf.DUMMYFUNCTION("""COMPUTED_VALUE"""),"МинЖКХ ""ТОП 5 (1 этап)""")</f>
        <v>МинЖКХ "ТОП 5 (1 этап)"</v>
      </c>
      <c r="E343" s="20" t="str">
        <f ca="1">IFERROR(__xludf.DUMMYFUNCTION("""COMPUTED_VALUE"""),"Строительство блочно-модульной котельной №5 с. Мочилы, г.о. Серебряные Пруды (в т.ч. ПИР) ")</f>
        <v xml:space="preserve">Строительство блочно-модульной котельной №5 с. Мочилы, г.о. Серебряные Пруды (в т.ч. ПИР) </v>
      </c>
      <c r="F343" s="20" t="str">
        <f ca="1">IFERROR(__xludf.DUMMYFUNCTION("""COMPUTED_VALUE"""),"СМР")</f>
        <v>СМР</v>
      </c>
      <c r="G343" s="20" t="str">
        <f ca="1">IFERROR(__xludf.DUMMYFUNCTION("""COMPUTED_VALUE"""),"г.о. Серебряные Пруды")</f>
        <v>г.о. Серебряные Пруды</v>
      </c>
      <c r="H343" s="20" t="str">
        <f ca="1">IFERROR(__xludf.DUMMYFUNCTION("""COMPUTED_VALUE"""),"2020-2021")</f>
        <v>2020-2021</v>
      </c>
      <c r="I343" s="20" t="str">
        <f ca="1">IFERROR(__xludf.DUMMYFUNCTION("""COMPUTED_VALUE"""),"10 3 02 64080")</f>
        <v>10 3 02 64080</v>
      </c>
      <c r="J343" s="20">
        <f ca="1">IFERROR(__xludf.DUMMYFUNCTION("""COMPUTED_VALUE"""),522)</f>
        <v>522</v>
      </c>
      <c r="K343" s="24">
        <f t="shared" ca="1" si="1"/>
        <v>3771.76</v>
      </c>
      <c r="L343" s="24">
        <f ca="1">IFERROR(__xludf.DUMMYFUNCTION("""COMPUTED_VALUE"""),0)</f>
        <v>0</v>
      </c>
      <c r="M343" s="24">
        <f ca="1">IFERROR(__xludf.DUMMYFUNCTION("""COMPUTED_VALUE"""),0)</f>
        <v>0</v>
      </c>
      <c r="N343" s="24">
        <f ca="1">IFERROR(__xludf.DUMMYFUNCTION("""COMPUTED_VALUE"""),3243.71)</f>
        <v>3243.71</v>
      </c>
      <c r="O343" s="24">
        <f ca="1">IFERROR(__xludf.DUMMYFUNCTION("""COMPUTED_VALUE"""),528.05)</f>
        <v>528.04999999999995</v>
      </c>
      <c r="P343" s="24">
        <f t="shared" ca="1" si="2"/>
        <v>3243.71</v>
      </c>
      <c r="Q343" s="20"/>
      <c r="R343" s="20"/>
      <c r="S343" s="24">
        <f ca="1">IFERROR(__xludf.DUMMYFUNCTION("""COMPUTED_VALUE"""),0)</f>
        <v>0</v>
      </c>
      <c r="T343" s="24">
        <f ca="1">IFERROR(__xludf.DUMMYFUNCTION("""COMPUTED_VALUE"""),3771.76)</f>
        <v>3771.76</v>
      </c>
      <c r="U343" s="24">
        <f ca="1">IFERROR(__xludf.DUMMYFUNCTION("""COMPUTED_VALUE"""),0)</f>
        <v>0</v>
      </c>
      <c r="V343" s="24">
        <f ca="1">IFERROR(__xludf.DUMMYFUNCTION("""COMPUTED_VALUE"""),0)</f>
        <v>0</v>
      </c>
      <c r="W343" s="24">
        <f ca="1">IFERROR(__xludf.DUMMYFUNCTION("""COMPUTED_VALUE"""),3243.71)</f>
        <v>3243.71</v>
      </c>
      <c r="X343" s="24">
        <f ca="1">IFERROR(__xludf.DUMMYFUNCTION("""COMPUTED_VALUE"""),528.05)</f>
        <v>528.04999999999995</v>
      </c>
      <c r="Y343" s="24">
        <f t="shared" ca="1" si="3"/>
        <v>3243.71</v>
      </c>
      <c r="Z343" s="20">
        <f t="shared" ca="1" si="4"/>
        <v>0</v>
      </c>
      <c r="AA343" s="20"/>
      <c r="AB343" s="24">
        <f ca="1">IFERROR(__xludf.DUMMYFUNCTION("""COMPUTED_VALUE"""),0)</f>
        <v>0</v>
      </c>
      <c r="AC343" s="20"/>
      <c r="AD343" s="94">
        <f t="shared" ca="1" si="5"/>
        <v>0</v>
      </c>
      <c r="AE343" s="20"/>
      <c r="AF343" s="20"/>
      <c r="AG343" s="20"/>
      <c r="AH343" s="20"/>
      <c r="AI343" s="20"/>
      <c r="AJ343" s="20"/>
      <c r="AK343" s="20"/>
      <c r="AL343" s="20"/>
      <c r="AM343" s="20"/>
      <c r="AN343" s="20"/>
      <c r="AO343" s="20"/>
      <c r="AP343" s="20"/>
      <c r="AQ343" s="20"/>
      <c r="AR343" s="20"/>
      <c r="AS343" s="20"/>
      <c r="AT343" s="20"/>
    </row>
    <row r="344" spans="1:46" ht="72" x14ac:dyDescent="0.2">
      <c r="A344" s="20"/>
      <c r="B344" s="93"/>
      <c r="C34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4" s="20" t="str">
        <f ca="1">IFERROR(__xludf.DUMMYFUNCTION("""COMPUTED_VALUE"""),"МинЖКХ ""ТОП 5 (1 этап)""")</f>
        <v>МинЖКХ "ТОП 5 (1 этап)"</v>
      </c>
      <c r="E344" s="20" t="str">
        <f ca="1">IFERROR(__xludf.DUMMYFUNCTION("""COMPUTED_VALUE"""),"Строительство блочно-модульной котельной №8 д. Шеметово, г.о. Серебряные Пруды (в т.ч. ПИР) ")</f>
        <v xml:space="preserve">Строительство блочно-модульной котельной №8 д. Шеметово, г.о. Серебряные Пруды (в т.ч. ПИР) </v>
      </c>
      <c r="F344" s="20" t="str">
        <f ca="1">IFERROR(__xludf.DUMMYFUNCTION("""COMPUTED_VALUE"""),"СМР")</f>
        <v>СМР</v>
      </c>
      <c r="G344" s="20" t="str">
        <f ca="1">IFERROR(__xludf.DUMMYFUNCTION("""COMPUTED_VALUE"""),"г.о. Серебряные Пруды")</f>
        <v>г.о. Серебряные Пруды</v>
      </c>
      <c r="H344" s="20" t="str">
        <f ca="1">IFERROR(__xludf.DUMMYFUNCTION("""COMPUTED_VALUE"""),"2020-2021")</f>
        <v>2020-2021</v>
      </c>
      <c r="I344" s="20" t="str">
        <f ca="1">IFERROR(__xludf.DUMMYFUNCTION("""COMPUTED_VALUE"""),"10 3 02 64080")</f>
        <v>10 3 02 64080</v>
      </c>
      <c r="J344" s="20">
        <f ca="1">IFERROR(__xludf.DUMMYFUNCTION("""COMPUTED_VALUE"""),522)</f>
        <v>522</v>
      </c>
      <c r="K344" s="24">
        <f t="shared" ca="1" si="1"/>
        <v>4673.78</v>
      </c>
      <c r="L344" s="24">
        <f ca="1">IFERROR(__xludf.DUMMYFUNCTION("""COMPUTED_VALUE"""),0)</f>
        <v>0</v>
      </c>
      <c r="M344" s="24">
        <f ca="1">IFERROR(__xludf.DUMMYFUNCTION("""COMPUTED_VALUE"""),0)</f>
        <v>0</v>
      </c>
      <c r="N344" s="24">
        <f ca="1">IFERROR(__xludf.DUMMYFUNCTION("""COMPUTED_VALUE"""),4019.45)</f>
        <v>4019.45</v>
      </c>
      <c r="O344" s="24">
        <f ca="1">IFERROR(__xludf.DUMMYFUNCTION("""COMPUTED_VALUE"""),654.33)</f>
        <v>654.33000000000004</v>
      </c>
      <c r="P344" s="24">
        <f t="shared" ca="1" si="2"/>
        <v>4019.45</v>
      </c>
      <c r="Q344" s="20"/>
      <c r="R344" s="20"/>
      <c r="S344" s="24">
        <f ca="1">IFERROR(__xludf.DUMMYFUNCTION("""COMPUTED_VALUE"""),0)</f>
        <v>0</v>
      </c>
      <c r="T344" s="24">
        <f ca="1">IFERROR(__xludf.DUMMYFUNCTION("""COMPUTED_VALUE"""),4673.78)</f>
        <v>4673.78</v>
      </c>
      <c r="U344" s="24">
        <f ca="1">IFERROR(__xludf.DUMMYFUNCTION("""COMPUTED_VALUE"""),0)</f>
        <v>0</v>
      </c>
      <c r="V344" s="24">
        <f ca="1">IFERROR(__xludf.DUMMYFUNCTION("""COMPUTED_VALUE"""),0)</f>
        <v>0</v>
      </c>
      <c r="W344" s="24">
        <f ca="1">IFERROR(__xludf.DUMMYFUNCTION("""COMPUTED_VALUE"""),4019.45)</f>
        <v>4019.45</v>
      </c>
      <c r="X344" s="24">
        <f ca="1">IFERROR(__xludf.DUMMYFUNCTION("""COMPUTED_VALUE"""),654.33)</f>
        <v>654.33000000000004</v>
      </c>
      <c r="Y344" s="24">
        <f t="shared" ca="1" si="3"/>
        <v>4019.45</v>
      </c>
      <c r="Z344" s="20">
        <f t="shared" ca="1" si="4"/>
        <v>0</v>
      </c>
      <c r="AA344" s="20"/>
      <c r="AB344" s="24">
        <f ca="1">IFERROR(__xludf.DUMMYFUNCTION("""COMPUTED_VALUE"""),0)</f>
        <v>0</v>
      </c>
      <c r="AC344" s="20"/>
      <c r="AD344" s="94">
        <f t="shared" ca="1" si="5"/>
        <v>0</v>
      </c>
      <c r="AE344" s="20"/>
      <c r="AF344" s="20"/>
      <c r="AG344" s="20"/>
      <c r="AH344" s="20"/>
      <c r="AI344" s="20"/>
      <c r="AJ344" s="20"/>
      <c r="AK344" s="20"/>
      <c r="AL344" s="20"/>
      <c r="AM344" s="20"/>
      <c r="AN344" s="20"/>
      <c r="AO344" s="20"/>
      <c r="AP344" s="20"/>
      <c r="AQ344" s="20"/>
      <c r="AR344" s="20"/>
      <c r="AS344" s="20"/>
      <c r="AT344" s="20"/>
    </row>
    <row r="345" spans="1:46" ht="84" x14ac:dyDescent="0.2">
      <c r="A345" s="20" t="str">
        <f ca="1">IFERROR(__xludf.DUMMYFUNCTION("""COMPUTED_VALUE"""),"Подача заявки будет до 11.12.2020")</f>
        <v>Подача заявки будет до 11.12.2020</v>
      </c>
      <c r="B345" s="93"/>
      <c r="C345"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45" s="20" t="str">
        <f ca="1">IFERROR(__xludf.DUMMYFUNCTION("""COMPUTED_VALUE"""),"МинЖКХ")</f>
        <v>МинЖКХ</v>
      </c>
      <c r="E345" s="20" t="str">
        <f ca="1">IFERROR(__xludf.DUMMYFUNCTION("""COMPUTED_VALUE"""),"Капитальный ремонт  здания котельной, д. Новая Солнечногорский м.р. ")</f>
        <v xml:space="preserve">Капитальный ремонт  здания котельной, д. Новая Солнечногорский м.р. </v>
      </c>
      <c r="F345" s="20" t="str">
        <f ca="1">IFERROR(__xludf.DUMMYFUNCTION("""COMPUTED_VALUE"""),"СМР")</f>
        <v>СМР</v>
      </c>
      <c r="G345" s="20" t="str">
        <f ca="1">IFERROR(__xludf.DUMMYFUNCTION("""COMPUTED_VALUE"""),"г.о. Солнечногорск")</f>
        <v>г.о. Солнечногорск</v>
      </c>
      <c r="H345" s="20">
        <f ca="1">IFERROR(__xludf.DUMMYFUNCTION("""COMPUTED_VALUE"""),2020)</f>
        <v>2020</v>
      </c>
      <c r="I345" s="20" t="str">
        <f ca="1">IFERROR(__xludf.DUMMYFUNCTION("""COMPUTED_VALUE"""),"10 3 02 60320")</f>
        <v>10 3 02 60320</v>
      </c>
      <c r="J345" s="20">
        <f ca="1">IFERROR(__xludf.DUMMYFUNCTION("""COMPUTED_VALUE"""),521)</f>
        <v>521</v>
      </c>
      <c r="K345" s="24">
        <f t="shared" ca="1" si="1"/>
        <v>9700</v>
      </c>
      <c r="L345" s="24">
        <f ca="1">IFERROR(__xludf.DUMMYFUNCTION("""COMPUTED_VALUE"""),7226)</f>
        <v>7226</v>
      </c>
      <c r="M345" s="24">
        <f ca="1">IFERROR(__xludf.DUMMYFUNCTION("""COMPUTED_VALUE"""),0)</f>
        <v>0</v>
      </c>
      <c r="N345" s="24">
        <f ca="1">IFERROR(__xludf.DUMMYFUNCTION("""COMPUTED_VALUE"""),0)</f>
        <v>0</v>
      </c>
      <c r="O345" s="24">
        <f ca="1">IFERROR(__xludf.DUMMYFUNCTION("""COMPUTED_VALUE"""),2474)</f>
        <v>2474</v>
      </c>
      <c r="P345" s="24">
        <f t="shared" ca="1" si="2"/>
        <v>7226</v>
      </c>
      <c r="Q345" s="20">
        <f ca="1">IFERROR(__xludf.DUMMYFUNCTION("""COMPUTED_VALUE"""),32)</f>
        <v>32</v>
      </c>
      <c r="R345" s="20"/>
      <c r="S345" s="24">
        <f ca="1">IFERROR(__xludf.DUMMYFUNCTION("""COMPUTED_VALUE"""),1405.9)</f>
        <v>1405.9</v>
      </c>
      <c r="T345" s="24">
        <f ca="1">IFERROR(__xludf.DUMMYFUNCTION("""COMPUTED_VALUE"""),8294.1)</f>
        <v>8294.1</v>
      </c>
      <c r="U345" s="24">
        <f ca="1">IFERROR(__xludf.DUMMYFUNCTION("""COMPUTED_VALUE"""),5820.1)</f>
        <v>5820.1</v>
      </c>
      <c r="V345" s="24">
        <f ca="1">IFERROR(__xludf.DUMMYFUNCTION("""COMPUTED_VALUE"""),0)</f>
        <v>0</v>
      </c>
      <c r="W345" s="24">
        <f ca="1">IFERROR(__xludf.DUMMYFUNCTION("""COMPUTED_VALUE"""),0)</f>
        <v>0</v>
      </c>
      <c r="X345" s="24">
        <f ca="1">IFERROR(__xludf.DUMMYFUNCTION("""COMPUTED_VALUE"""),2474)</f>
        <v>2474</v>
      </c>
      <c r="Y345" s="24">
        <f t="shared" ca="1" si="3"/>
        <v>5820.1</v>
      </c>
      <c r="Z345" s="20">
        <f t="shared" ca="1" si="4"/>
        <v>1405.9</v>
      </c>
      <c r="AA345" s="20"/>
      <c r="AB345" s="24">
        <f ca="1">IFERROR(__xludf.DUMMYFUNCTION("""COMPUTED_VALUE"""),1405.9)</f>
        <v>1405.9</v>
      </c>
      <c r="AC345" s="20"/>
      <c r="AD345" s="94">
        <f t="shared" ca="1" si="5"/>
        <v>0.19456130639357874</v>
      </c>
      <c r="AE345" s="20"/>
      <c r="AF345" s="20"/>
      <c r="AG345" s="20"/>
      <c r="AH345" s="20"/>
      <c r="AI345" s="20"/>
      <c r="AJ345" s="20"/>
      <c r="AK345" s="20"/>
      <c r="AL345" s="20"/>
      <c r="AM345" s="20"/>
      <c r="AN345" s="20"/>
      <c r="AO345" s="20"/>
      <c r="AP345" s="20"/>
      <c r="AQ345" s="20"/>
      <c r="AR345" s="20"/>
      <c r="AS345" s="20"/>
      <c r="AT345" s="20"/>
    </row>
    <row r="346" spans="1:46" ht="84" x14ac:dyDescent="0.2">
      <c r="A346" s="20" t="str">
        <f ca="1">IFERROR(__xludf.DUMMYFUNCTION("""COMPUTED_VALUE"""),"Оплачено полностью")</f>
        <v>Оплачено полностью</v>
      </c>
      <c r="B346" s="95"/>
      <c r="C346"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46" s="20" t="str">
        <f ca="1">IFERROR(__xludf.DUMMYFUNCTION("""COMPUTED_VALUE"""),"МинЖКХ")</f>
        <v>МинЖКХ</v>
      </c>
      <c r="E346" s="20" t="str">
        <f ca="1">IFERROR(__xludf.DUMMYFUNCTION("""COMPUTED_VALUE"""),"Капитальный ремонт  тепловых сетей,  д. Новая, Солнечногорский м.р.")</f>
        <v>Капитальный ремонт  тепловых сетей,  д. Новая, Солнечногорский м.р.</v>
      </c>
      <c r="F346" s="20" t="str">
        <f ca="1">IFERROR(__xludf.DUMMYFUNCTION("""COMPUTED_VALUE"""),"СМР")</f>
        <v>СМР</v>
      </c>
      <c r="G346" s="20" t="str">
        <f ca="1">IFERROR(__xludf.DUMMYFUNCTION("""COMPUTED_VALUE"""),"г.о. Солнечногорск")</f>
        <v>г.о. Солнечногорск</v>
      </c>
      <c r="H346" s="20">
        <f ca="1">IFERROR(__xludf.DUMMYFUNCTION("""COMPUTED_VALUE"""),2020)</f>
        <v>2020</v>
      </c>
      <c r="I346" s="20" t="str">
        <f ca="1">IFERROR(__xludf.DUMMYFUNCTION("""COMPUTED_VALUE"""),"10 3 02 60320")</f>
        <v>10 3 02 60320</v>
      </c>
      <c r="J346" s="20">
        <f ca="1">IFERROR(__xludf.DUMMYFUNCTION("""COMPUTED_VALUE"""),521)</f>
        <v>521</v>
      </c>
      <c r="K346" s="24">
        <f t="shared" ca="1" si="1"/>
        <v>27033.43</v>
      </c>
      <c r="L346" s="24">
        <f ca="1">IFERROR(__xludf.DUMMYFUNCTION("""COMPUTED_VALUE"""),19816)</f>
        <v>19816</v>
      </c>
      <c r="M346" s="24">
        <f ca="1">IFERROR(__xludf.DUMMYFUNCTION("""COMPUTED_VALUE"""),0)</f>
        <v>0</v>
      </c>
      <c r="N346" s="24">
        <f ca="1">IFERROR(__xludf.DUMMYFUNCTION("""COMPUTED_VALUE"""),0)</f>
        <v>0</v>
      </c>
      <c r="O346" s="24">
        <f ca="1">IFERROR(__xludf.DUMMYFUNCTION("""COMPUTED_VALUE"""),7217.43)</f>
        <v>7217.43</v>
      </c>
      <c r="P346" s="24">
        <f t="shared" ca="1" si="2"/>
        <v>19816</v>
      </c>
      <c r="Q346" s="20">
        <f ca="1">IFERROR(__xludf.DUMMYFUNCTION("""COMPUTED_VALUE"""),100)</f>
        <v>100</v>
      </c>
      <c r="R346" s="20"/>
      <c r="S346" s="24">
        <f ca="1">IFERROR(__xludf.DUMMYFUNCTION("""COMPUTED_VALUE"""),27033.43)</f>
        <v>27033.43</v>
      </c>
      <c r="T346" s="24">
        <f ca="1">IFERROR(__xludf.DUMMYFUNCTION("""COMPUTED_VALUE"""),0)</f>
        <v>0</v>
      </c>
      <c r="U346" s="24">
        <f ca="1">IFERROR(__xludf.DUMMYFUNCTION("""COMPUTED_VALUE"""),0)</f>
        <v>0</v>
      </c>
      <c r="V346" s="24">
        <f ca="1">IFERROR(__xludf.DUMMYFUNCTION("""COMPUTED_VALUE"""),0)</f>
        <v>0</v>
      </c>
      <c r="W346" s="24">
        <f ca="1">IFERROR(__xludf.DUMMYFUNCTION("""COMPUTED_VALUE"""),0)</f>
        <v>0</v>
      </c>
      <c r="X346" s="24">
        <f ca="1">IFERROR(__xludf.DUMMYFUNCTION("""COMPUTED_VALUE"""),0)</f>
        <v>0</v>
      </c>
      <c r="Y346" s="24">
        <f t="shared" ca="1" si="3"/>
        <v>0</v>
      </c>
      <c r="Z346" s="20">
        <f t="shared" ca="1" si="4"/>
        <v>19816</v>
      </c>
      <c r="AA346" s="20"/>
      <c r="AB346" s="24">
        <f ca="1">IFERROR(__xludf.DUMMYFUNCTION("""COMPUTED_VALUE"""),19816)</f>
        <v>19816</v>
      </c>
      <c r="AC346" s="20"/>
      <c r="AD346" s="94">
        <f t="shared" ca="1" si="5"/>
        <v>1</v>
      </c>
      <c r="AE346" s="20"/>
      <c r="AF346" s="20"/>
      <c r="AG346" s="20"/>
      <c r="AH346" s="20"/>
      <c r="AI346" s="20"/>
      <c r="AJ346" s="20"/>
      <c r="AK346" s="20"/>
      <c r="AL346" s="20"/>
      <c r="AM346" s="20"/>
      <c r="AN346" s="20"/>
      <c r="AO346" s="20"/>
      <c r="AP346" s="20"/>
      <c r="AQ346" s="20"/>
      <c r="AR346" s="20"/>
      <c r="AS346" s="20"/>
      <c r="AT346" s="20"/>
    </row>
    <row r="347" spans="1:46" ht="72" hidden="1" x14ac:dyDescent="0.2">
      <c r="A347" s="67"/>
      <c r="B347" s="96"/>
      <c r="C34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7" s="20" t="str">
        <f ca="1">IFERROR(__xludf.DUMMYFUNCTION("""COMPUTED_VALUE"""),"МинЖКХ ""ТОП 5 (2 этап)""")</f>
        <v>МинЖКХ "ТОП 5 (2 этап)"</v>
      </c>
      <c r="E347" s="20" t="str">
        <f ca="1">IFERROR(__xludf.DUMMYFUNCTION("""COMPUTED_VALUE"""),"Строительство котельной по адресу г. Наро-Фоминск, ул. Маршала Куркоткина, Наро-Фоминский г.о")</f>
        <v>Строительство котельной по адресу г. Наро-Фоминск, ул. Маршала Куркоткина, Наро-Фоминский г.о</v>
      </c>
      <c r="F347" s="67" t="str">
        <f ca="1">IFERROR(__xludf.DUMMYFUNCTION("""COMPUTED_VALUE"""),"СМР")</f>
        <v>СМР</v>
      </c>
      <c r="G347" s="67" t="str">
        <f ca="1">IFERROR(__xludf.DUMMYFUNCTION("""COMPUTED_VALUE"""),"г.о. Наро-Фоминск")</f>
        <v>г.о. Наро-Фоминск</v>
      </c>
      <c r="H347" s="67" t="str">
        <f ca="1">IFERROR(__xludf.DUMMYFUNCTION("""COMPUTED_VALUE"""),"2021-2022")</f>
        <v>2021-2022</v>
      </c>
      <c r="I347" s="67" t="str">
        <f ca="1">IFERROR(__xludf.DUMMYFUNCTION("""COMPUTED_VALUE"""),"10 3 02 64080")</f>
        <v>10 3 02 64080</v>
      </c>
      <c r="J347" s="67">
        <f ca="1">IFERROR(__xludf.DUMMYFUNCTION("""COMPUTED_VALUE"""),522)</f>
        <v>522</v>
      </c>
      <c r="K347" s="97">
        <f t="shared" ca="1" si="1"/>
        <v>0</v>
      </c>
      <c r="L347" s="97">
        <f ca="1">IFERROR(__xludf.DUMMYFUNCTION("""COMPUTED_VALUE"""),0)</f>
        <v>0</v>
      </c>
      <c r="M347" s="97">
        <f ca="1">IFERROR(__xludf.DUMMYFUNCTION("""COMPUTED_VALUE"""),0)</f>
        <v>0</v>
      </c>
      <c r="N347" s="97">
        <f ca="1">IFERROR(__xludf.DUMMYFUNCTION("""COMPUTED_VALUE"""),0)</f>
        <v>0</v>
      </c>
      <c r="O347" s="97">
        <f ca="1">IFERROR(__xludf.DUMMYFUNCTION("""COMPUTED_VALUE"""),0)</f>
        <v>0</v>
      </c>
      <c r="P347" s="97">
        <f t="shared" ca="1" si="2"/>
        <v>0</v>
      </c>
      <c r="Q347" s="67"/>
      <c r="R347" s="67"/>
      <c r="S347" s="97">
        <f ca="1">IFERROR(__xludf.DUMMYFUNCTION("""COMPUTED_VALUE"""),0)</f>
        <v>0</v>
      </c>
      <c r="T347" s="97">
        <f ca="1">IFERROR(__xludf.DUMMYFUNCTION("""COMPUTED_VALUE"""),0)</f>
        <v>0</v>
      </c>
      <c r="U347" s="97">
        <f ca="1">IFERROR(__xludf.DUMMYFUNCTION("""COMPUTED_VALUE"""),0)</f>
        <v>0</v>
      </c>
      <c r="V347" s="97">
        <f ca="1">IFERROR(__xludf.DUMMYFUNCTION("""COMPUTED_VALUE"""),0)</f>
        <v>0</v>
      </c>
      <c r="W347" s="97">
        <f ca="1">IFERROR(__xludf.DUMMYFUNCTION("""COMPUTED_VALUE"""),0)</f>
        <v>0</v>
      </c>
      <c r="X347" s="97">
        <f ca="1">IFERROR(__xludf.DUMMYFUNCTION("""COMPUTED_VALUE"""),0)</f>
        <v>0</v>
      </c>
      <c r="Y347" s="97">
        <f t="shared" ca="1" si="3"/>
        <v>0</v>
      </c>
      <c r="Z347" s="67">
        <f t="shared" si="4"/>
        <v>0</v>
      </c>
      <c r="AA347" s="67"/>
      <c r="AB347" s="67"/>
      <c r="AC347" s="67"/>
      <c r="AD347" s="99" t="e">
        <f t="shared" ca="1" si="5"/>
        <v>#DIV/0!</v>
      </c>
      <c r="AE347" s="67"/>
      <c r="AF347" s="67"/>
      <c r="AG347" s="67"/>
      <c r="AH347" s="67"/>
      <c r="AI347" s="67"/>
      <c r="AJ347" s="67"/>
      <c r="AK347" s="67"/>
      <c r="AL347" s="67"/>
      <c r="AM347" s="67"/>
      <c r="AN347" s="67"/>
      <c r="AO347" s="67"/>
      <c r="AP347" s="67"/>
      <c r="AQ347" s="67"/>
      <c r="AR347" s="67"/>
      <c r="AS347" s="67"/>
      <c r="AT347" s="67"/>
    </row>
    <row r="348" spans="1:46" ht="72" hidden="1" x14ac:dyDescent="0.2">
      <c r="A348" s="67"/>
      <c r="B348" s="96"/>
      <c r="C34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8" s="20" t="str">
        <f ca="1">IFERROR(__xludf.DUMMYFUNCTION("""COMPUTED_VALUE"""),"МинЖКХ ""ТОП 5 (2 этап)""")</f>
        <v>МинЖКХ "ТОП 5 (2 этап)"</v>
      </c>
      <c r="E348" s="20" t="str">
        <f ca="1">IFERROR(__xludf.DUMMYFUNCTION("""COMPUTED_VALUE"""),"Реконструкция котельной № 74, д. Назарьево, Наро-Фоминский г.о. (в т.ч. ТП)")</f>
        <v>Реконструкция котельной № 74, д. Назарьево, Наро-Фоминский г.о. (в т.ч. ТП)</v>
      </c>
      <c r="F348" s="67" t="str">
        <f ca="1">IFERROR(__xludf.DUMMYFUNCTION("""COMPUTED_VALUE"""),"СМР")</f>
        <v>СМР</v>
      </c>
      <c r="G348" s="67" t="str">
        <f ca="1">IFERROR(__xludf.DUMMYFUNCTION("""COMPUTED_VALUE"""),"г.о. Наро-Фоминск")</f>
        <v>г.о. Наро-Фоминск</v>
      </c>
      <c r="H348" s="67">
        <f ca="1">IFERROR(__xludf.DUMMYFUNCTION("""COMPUTED_VALUE"""),2021)</f>
        <v>2021</v>
      </c>
      <c r="I348" s="67"/>
      <c r="J348" s="67"/>
      <c r="K348" s="97">
        <f t="shared" ca="1" si="1"/>
        <v>0</v>
      </c>
      <c r="L348" s="97">
        <f ca="1">IFERROR(__xludf.DUMMYFUNCTION("""COMPUTED_VALUE"""),0)</f>
        <v>0</v>
      </c>
      <c r="M348" s="97">
        <f ca="1">IFERROR(__xludf.DUMMYFUNCTION("""COMPUTED_VALUE"""),0)</f>
        <v>0</v>
      </c>
      <c r="N348" s="97">
        <f ca="1">IFERROR(__xludf.DUMMYFUNCTION("""COMPUTED_VALUE"""),0)</f>
        <v>0</v>
      </c>
      <c r="O348" s="97">
        <f ca="1">IFERROR(__xludf.DUMMYFUNCTION("""COMPUTED_VALUE"""),0)</f>
        <v>0</v>
      </c>
      <c r="P348" s="97">
        <f t="shared" ca="1" si="2"/>
        <v>0</v>
      </c>
      <c r="Q348" s="67"/>
      <c r="R348" s="67"/>
      <c r="S348" s="97">
        <f ca="1">IFERROR(__xludf.DUMMYFUNCTION("""COMPUTED_VALUE"""),0)</f>
        <v>0</v>
      </c>
      <c r="T348" s="97">
        <f ca="1">IFERROR(__xludf.DUMMYFUNCTION("""COMPUTED_VALUE"""),0)</f>
        <v>0</v>
      </c>
      <c r="U348" s="97">
        <f ca="1">IFERROR(__xludf.DUMMYFUNCTION("""COMPUTED_VALUE"""),0)</f>
        <v>0</v>
      </c>
      <c r="V348" s="97">
        <f ca="1">IFERROR(__xludf.DUMMYFUNCTION("""COMPUTED_VALUE"""),0)</f>
        <v>0</v>
      </c>
      <c r="W348" s="97">
        <f ca="1">IFERROR(__xludf.DUMMYFUNCTION("""COMPUTED_VALUE"""),0)</f>
        <v>0</v>
      </c>
      <c r="X348" s="97">
        <f ca="1">IFERROR(__xludf.DUMMYFUNCTION("""COMPUTED_VALUE"""),0)</f>
        <v>0</v>
      </c>
      <c r="Y348" s="97">
        <f t="shared" ca="1" si="3"/>
        <v>0</v>
      </c>
      <c r="Z348" s="67">
        <f t="shared" si="4"/>
        <v>0</v>
      </c>
      <c r="AA348" s="67"/>
      <c r="AB348" s="67"/>
      <c r="AC348" s="67"/>
      <c r="AD348" s="99" t="e">
        <f t="shared" ca="1" si="5"/>
        <v>#DIV/0!</v>
      </c>
      <c r="AE348" s="67"/>
      <c r="AF348" s="67"/>
      <c r="AG348" s="67"/>
      <c r="AH348" s="67"/>
      <c r="AI348" s="67"/>
      <c r="AJ348" s="67"/>
      <c r="AK348" s="67"/>
      <c r="AL348" s="67"/>
      <c r="AM348" s="67"/>
      <c r="AN348" s="67"/>
      <c r="AO348" s="67"/>
      <c r="AP348" s="67"/>
      <c r="AQ348" s="67"/>
      <c r="AR348" s="67"/>
      <c r="AS348" s="67"/>
      <c r="AT348" s="67"/>
    </row>
    <row r="349" spans="1:46" ht="72" hidden="1" x14ac:dyDescent="0.2">
      <c r="A349" s="67"/>
      <c r="B349" s="96"/>
      <c r="C34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9" s="20" t="str">
        <f ca="1">IFERROR(__xludf.DUMMYFUNCTION("""COMPUTED_VALUE"""),"МинЖКХ ""ТОП 5 (2 этап)""")</f>
        <v>МинЖКХ "ТОП 5 (2 этап)"</v>
      </c>
      <c r="E349" s="20" t="str">
        <f ca="1">IFERROR(__xludf.DUMMYFUNCTION("""COMPUTED_VALUE"""),"Реконструкция котельной № 79, г. Верея, ул. Боровская, Наро-Фоминский г.о. (в т.ч. ТП)")</f>
        <v>Реконструкция котельной № 79, г. Верея, ул. Боровская, Наро-Фоминский г.о. (в т.ч. ТП)</v>
      </c>
      <c r="F349" s="67" t="str">
        <f ca="1">IFERROR(__xludf.DUMMYFUNCTION("""COMPUTED_VALUE"""),"СМР")</f>
        <v>СМР</v>
      </c>
      <c r="G349" s="67" t="str">
        <f ca="1">IFERROR(__xludf.DUMMYFUNCTION("""COMPUTED_VALUE"""),"г.о. Наро-Фоминск")</f>
        <v>г.о. Наро-Фоминск</v>
      </c>
      <c r="H349" s="67">
        <f ca="1">IFERROR(__xludf.DUMMYFUNCTION("""COMPUTED_VALUE"""),2021)</f>
        <v>2021</v>
      </c>
      <c r="I349" s="67"/>
      <c r="J349" s="67"/>
      <c r="K349" s="97">
        <f t="shared" ca="1" si="1"/>
        <v>0</v>
      </c>
      <c r="L349" s="97">
        <f ca="1">IFERROR(__xludf.DUMMYFUNCTION("""COMPUTED_VALUE"""),0)</f>
        <v>0</v>
      </c>
      <c r="M349" s="97">
        <f ca="1">IFERROR(__xludf.DUMMYFUNCTION("""COMPUTED_VALUE"""),0)</f>
        <v>0</v>
      </c>
      <c r="N349" s="97">
        <f ca="1">IFERROR(__xludf.DUMMYFUNCTION("""COMPUTED_VALUE"""),0)</f>
        <v>0</v>
      </c>
      <c r="O349" s="97">
        <f ca="1">IFERROR(__xludf.DUMMYFUNCTION("""COMPUTED_VALUE"""),0)</f>
        <v>0</v>
      </c>
      <c r="P349" s="97">
        <f t="shared" ca="1" si="2"/>
        <v>0</v>
      </c>
      <c r="Q349" s="67"/>
      <c r="R349" s="67"/>
      <c r="S349" s="97">
        <f ca="1">IFERROR(__xludf.DUMMYFUNCTION("""COMPUTED_VALUE"""),0)</f>
        <v>0</v>
      </c>
      <c r="T349" s="97">
        <f ca="1">IFERROR(__xludf.DUMMYFUNCTION("""COMPUTED_VALUE"""),0)</f>
        <v>0</v>
      </c>
      <c r="U349" s="97">
        <f ca="1">IFERROR(__xludf.DUMMYFUNCTION("""COMPUTED_VALUE"""),0)</f>
        <v>0</v>
      </c>
      <c r="V349" s="97">
        <f ca="1">IFERROR(__xludf.DUMMYFUNCTION("""COMPUTED_VALUE"""),0)</f>
        <v>0</v>
      </c>
      <c r="W349" s="97">
        <f ca="1">IFERROR(__xludf.DUMMYFUNCTION("""COMPUTED_VALUE"""),0)</f>
        <v>0</v>
      </c>
      <c r="X349" s="97">
        <f ca="1">IFERROR(__xludf.DUMMYFUNCTION("""COMPUTED_VALUE"""),0)</f>
        <v>0</v>
      </c>
      <c r="Y349" s="97">
        <f t="shared" ca="1" si="3"/>
        <v>0</v>
      </c>
      <c r="Z349" s="67">
        <f t="shared" si="4"/>
        <v>0</v>
      </c>
      <c r="AA349" s="67"/>
      <c r="AB349" s="67"/>
      <c r="AC349" s="67"/>
      <c r="AD349" s="99" t="e">
        <f t="shared" ca="1" si="5"/>
        <v>#DIV/0!</v>
      </c>
      <c r="AE349" s="67"/>
      <c r="AF349" s="67"/>
      <c r="AG349" s="67"/>
      <c r="AH349" s="67"/>
      <c r="AI349" s="67"/>
      <c r="AJ349" s="67"/>
      <c r="AK349" s="67"/>
      <c r="AL349" s="67"/>
      <c r="AM349" s="67"/>
      <c r="AN349" s="67"/>
      <c r="AO349" s="67"/>
      <c r="AP349" s="67"/>
      <c r="AQ349" s="67"/>
      <c r="AR349" s="67"/>
      <c r="AS349" s="67"/>
      <c r="AT349" s="67"/>
    </row>
    <row r="350" spans="1:46" ht="72" hidden="1" x14ac:dyDescent="0.2">
      <c r="A350" s="67"/>
      <c r="B350" s="96"/>
      <c r="C35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0" s="20" t="str">
        <f ca="1">IFERROR(__xludf.DUMMYFUNCTION("""COMPUTED_VALUE"""),"МинЖКХ ""ТОП 5 (2 этап)""")</f>
        <v>МинЖКХ "ТОП 5 (2 этап)"</v>
      </c>
      <c r="E350" s="20" t="str">
        <f ca="1">IFERROR(__xludf.DUMMYFUNCTION("""COMPUTED_VALUE"""),"Реконструкция котельной №7 по адресу р.п.Шаховская, ул.Солнечная д.8, г.о. Шаховская (в т.ч. ПИР, ТП)")</f>
        <v>Реконструкция котельной №7 по адресу р.п.Шаховская, ул.Солнечная д.8, г.о. Шаховская (в т.ч. ПИР, ТП)</v>
      </c>
      <c r="F350" s="67" t="str">
        <f ca="1">IFERROR(__xludf.DUMMYFUNCTION("""COMPUTED_VALUE"""),"СМР")</f>
        <v>СМР</v>
      </c>
      <c r="G350" s="67" t="str">
        <f ca="1">IFERROR(__xludf.DUMMYFUNCTION("""COMPUTED_VALUE"""),"г.о. Шаховская")</f>
        <v>г.о. Шаховская</v>
      </c>
      <c r="H350" s="67" t="str">
        <f ca="1">IFERROR(__xludf.DUMMYFUNCTION("""COMPUTED_VALUE"""),"2021-2022")</f>
        <v>2021-2022</v>
      </c>
      <c r="I350" s="67" t="str">
        <f ca="1">IFERROR(__xludf.DUMMYFUNCTION("""COMPUTED_VALUE"""),"10 3 02 64080")</f>
        <v>10 3 02 64080</v>
      </c>
      <c r="J350" s="67">
        <f ca="1">IFERROR(__xludf.DUMMYFUNCTION("""COMPUTED_VALUE"""),522)</f>
        <v>522</v>
      </c>
      <c r="K350" s="97">
        <f t="shared" ca="1" si="1"/>
        <v>0</v>
      </c>
      <c r="L350" s="97">
        <f ca="1">IFERROR(__xludf.DUMMYFUNCTION("""COMPUTED_VALUE"""),0)</f>
        <v>0</v>
      </c>
      <c r="M350" s="97">
        <f ca="1">IFERROR(__xludf.DUMMYFUNCTION("""COMPUTED_VALUE"""),0)</f>
        <v>0</v>
      </c>
      <c r="N350" s="97">
        <f ca="1">IFERROR(__xludf.DUMMYFUNCTION("""COMPUTED_VALUE"""),0)</f>
        <v>0</v>
      </c>
      <c r="O350" s="97">
        <f ca="1">IFERROR(__xludf.DUMMYFUNCTION("""COMPUTED_VALUE"""),0)</f>
        <v>0</v>
      </c>
      <c r="P350" s="97">
        <f t="shared" ca="1" si="2"/>
        <v>0</v>
      </c>
      <c r="Q350" s="67"/>
      <c r="R350" s="67"/>
      <c r="S350" s="97">
        <f ca="1">IFERROR(__xludf.DUMMYFUNCTION("""COMPUTED_VALUE"""),0)</f>
        <v>0</v>
      </c>
      <c r="T350" s="97">
        <f ca="1">IFERROR(__xludf.DUMMYFUNCTION("""COMPUTED_VALUE"""),0)</f>
        <v>0</v>
      </c>
      <c r="U350" s="97">
        <f ca="1">IFERROR(__xludf.DUMMYFUNCTION("""COMPUTED_VALUE"""),0)</f>
        <v>0</v>
      </c>
      <c r="V350" s="97">
        <f ca="1">IFERROR(__xludf.DUMMYFUNCTION("""COMPUTED_VALUE"""),0)</f>
        <v>0</v>
      </c>
      <c r="W350" s="97">
        <f ca="1">IFERROR(__xludf.DUMMYFUNCTION("""COMPUTED_VALUE"""),0)</f>
        <v>0</v>
      </c>
      <c r="X350" s="97">
        <f ca="1">IFERROR(__xludf.DUMMYFUNCTION("""COMPUTED_VALUE"""),0)</f>
        <v>0</v>
      </c>
      <c r="Y350" s="97">
        <f t="shared" ca="1" si="3"/>
        <v>0</v>
      </c>
      <c r="Z350" s="67">
        <f t="shared" si="4"/>
        <v>0</v>
      </c>
      <c r="AA350" s="67"/>
      <c r="AB350" s="67"/>
      <c r="AC350" s="67"/>
      <c r="AD350" s="99" t="e">
        <f t="shared" ca="1" si="5"/>
        <v>#DIV/0!</v>
      </c>
      <c r="AE350" s="67"/>
      <c r="AF350" s="67"/>
      <c r="AG350" s="67"/>
      <c r="AH350" s="67"/>
      <c r="AI350" s="67"/>
      <c r="AJ350" s="67"/>
      <c r="AK350" s="67"/>
      <c r="AL350" s="67"/>
      <c r="AM350" s="67"/>
      <c r="AN350" s="67"/>
      <c r="AO350" s="67"/>
      <c r="AP350" s="67"/>
      <c r="AQ350" s="67"/>
      <c r="AR350" s="67"/>
      <c r="AS350" s="67"/>
      <c r="AT350" s="67"/>
    </row>
    <row r="351" spans="1:46" ht="72" hidden="1" x14ac:dyDescent="0.2">
      <c r="A351" s="67"/>
      <c r="B351" s="96"/>
      <c r="C35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1" s="20" t="str">
        <f ca="1">IFERROR(__xludf.DUMMYFUNCTION("""COMPUTED_VALUE"""),"МинЖКХ ""ТОП 5 (2 этап)""")</f>
        <v>МинЖКХ "ТОП 5 (2 этап)"</v>
      </c>
      <c r="E351" s="20" t="str">
        <f ca="1">IFERROR(__xludf.DUMMYFUNCTION("""COMPUTED_VALUE"""),"Реконструкция котельной ""Григорово"", д. Григорово,  и тепловых сетей, г.о. Талдомский (в т.ч. ПИР, ТП) ")</f>
        <v xml:space="preserve">Реконструкция котельной "Григорово", д. Григорово,  и тепловых сетей, г.о. Талдомский (в т.ч. ПИР, ТП) </v>
      </c>
      <c r="F351" s="67" t="str">
        <f ca="1">IFERROR(__xludf.DUMMYFUNCTION("""COMPUTED_VALUE"""),"СМР")</f>
        <v>СМР</v>
      </c>
      <c r="G351" s="67" t="str">
        <f ca="1">IFERROR(__xludf.DUMMYFUNCTION("""COMPUTED_VALUE"""),"г.о. Талдомский")</f>
        <v>г.о. Талдомский</v>
      </c>
      <c r="H351" s="67" t="str">
        <f ca="1">IFERROR(__xludf.DUMMYFUNCTION("""COMPUTED_VALUE"""),"2023-2024")</f>
        <v>2023-2024</v>
      </c>
      <c r="I351" s="67" t="str">
        <f ca="1">IFERROR(__xludf.DUMMYFUNCTION("""COMPUTED_VALUE"""),"10 3 02 64080")</f>
        <v>10 3 02 64080</v>
      </c>
      <c r="J351" s="67">
        <f ca="1">IFERROR(__xludf.DUMMYFUNCTION("""COMPUTED_VALUE"""),522)</f>
        <v>522</v>
      </c>
      <c r="K351" s="97">
        <f t="shared" ca="1" si="1"/>
        <v>0</v>
      </c>
      <c r="L351" s="97">
        <f ca="1">IFERROR(__xludf.DUMMYFUNCTION("""COMPUTED_VALUE"""),0)</f>
        <v>0</v>
      </c>
      <c r="M351" s="97">
        <f ca="1">IFERROR(__xludf.DUMMYFUNCTION("""COMPUTED_VALUE"""),0)</f>
        <v>0</v>
      </c>
      <c r="N351" s="97">
        <f ca="1">IFERROR(__xludf.DUMMYFUNCTION("""COMPUTED_VALUE"""),0)</f>
        <v>0</v>
      </c>
      <c r="O351" s="97">
        <f ca="1">IFERROR(__xludf.DUMMYFUNCTION("""COMPUTED_VALUE"""),0)</f>
        <v>0</v>
      </c>
      <c r="P351" s="97">
        <f t="shared" ca="1" si="2"/>
        <v>0</v>
      </c>
      <c r="Q351" s="67"/>
      <c r="R351" s="67"/>
      <c r="S351" s="97">
        <f ca="1">IFERROR(__xludf.DUMMYFUNCTION("""COMPUTED_VALUE"""),0)</f>
        <v>0</v>
      </c>
      <c r="T351" s="97">
        <f ca="1">IFERROR(__xludf.DUMMYFUNCTION("""COMPUTED_VALUE"""),0)</f>
        <v>0</v>
      </c>
      <c r="U351" s="97">
        <f ca="1">IFERROR(__xludf.DUMMYFUNCTION("""COMPUTED_VALUE"""),0)</f>
        <v>0</v>
      </c>
      <c r="V351" s="97">
        <f ca="1">IFERROR(__xludf.DUMMYFUNCTION("""COMPUTED_VALUE"""),0)</f>
        <v>0</v>
      </c>
      <c r="W351" s="97">
        <f ca="1">IFERROR(__xludf.DUMMYFUNCTION("""COMPUTED_VALUE"""),0)</f>
        <v>0</v>
      </c>
      <c r="X351" s="97">
        <f ca="1">IFERROR(__xludf.DUMMYFUNCTION("""COMPUTED_VALUE"""),0)</f>
        <v>0</v>
      </c>
      <c r="Y351" s="97">
        <f t="shared" ca="1" si="3"/>
        <v>0</v>
      </c>
      <c r="Z351" s="67">
        <f t="shared" si="4"/>
        <v>0</v>
      </c>
      <c r="AA351" s="67"/>
      <c r="AB351" s="67"/>
      <c r="AC351" s="67"/>
      <c r="AD351" s="99" t="e">
        <f t="shared" ca="1" si="5"/>
        <v>#DIV/0!</v>
      </c>
      <c r="AE351" s="67"/>
      <c r="AF351" s="67"/>
      <c r="AG351" s="67"/>
      <c r="AH351" s="67"/>
      <c r="AI351" s="67"/>
      <c r="AJ351" s="67"/>
      <c r="AK351" s="67"/>
      <c r="AL351" s="67"/>
      <c r="AM351" s="67"/>
      <c r="AN351" s="67"/>
      <c r="AO351" s="67"/>
      <c r="AP351" s="67"/>
      <c r="AQ351" s="67"/>
      <c r="AR351" s="67"/>
      <c r="AS351" s="67"/>
      <c r="AT351" s="67"/>
    </row>
    <row r="352" spans="1:46" ht="72" hidden="1" x14ac:dyDescent="0.2">
      <c r="A352" s="67"/>
      <c r="B352" s="96"/>
      <c r="C35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2" s="20" t="str">
        <f ca="1">IFERROR(__xludf.DUMMYFUNCTION("""COMPUTED_VALUE"""),"МинЖКХ ""ТОП 5 (2 этап)""")</f>
        <v>МинЖКХ "ТОП 5 (2 этап)"</v>
      </c>
      <c r="E352" s="20" t="str">
        <f ca="1">IFERROR(__xludf.DUMMYFUNCTION("""COMPUTED_VALUE"""),"Реконструкция котельной ""Пановка"", д. Пановка, д.47, и тепловых сетей, г.о. Талдомский (в т.ч. ПИР, ТП) ")</f>
        <v xml:space="preserve">Реконструкция котельной "Пановка", д. Пановка, д.47, и тепловых сетей, г.о. Талдомский (в т.ч. ПИР, ТП) </v>
      </c>
      <c r="F352" s="67" t="str">
        <f ca="1">IFERROR(__xludf.DUMMYFUNCTION("""COMPUTED_VALUE"""),"СМР")</f>
        <v>СМР</v>
      </c>
      <c r="G352" s="67" t="str">
        <f ca="1">IFERROR(__xludf.DUMMYFUNCTION("""COMPUTED_VALUE"""),"г.о. Талдомский")</f>
        <v>г.о. Талдомский</v>
      </c>
      <c r="H352" s="67" t="str">
        <f ca="1">IFERROR(__xludf.DUMMYFUNCTION("""COMPUTED_VALUE"""),"2023-2024")</f>
        <v>2023-2024</v>
      </c>
      <c r="I352" s="67" t="str">
        <f ca="1">IFERROR(__xludf.DUMMYFUNCTION("""COMPUTED_VALUE"""),"10 3 02 64080")</f>
        <v>10 3 02 64080</v>
      </c>
      <c r="J352" s="67">
        <f ca="1">IFERROR(__xludf.DUMMYFUNCTION("""COMPUTED_VALUE"""),522)</f>
        <v>522</v>
      </c>
      <c r="K352" s="97">
        <f t="shared" ca="1" si="1"/>
        <v>0</v>
      </c>
      <c r="L352" s="97">
        <f ca="1">IFERROR(__xludf.DUMMYFUNCTION("""COMPUTED_VALUE"""),0)</f>
        <v>0</v>
      </c>
      <c r="M352" s="97">
        <f ca="1">IFERROR(__xludf.DUMMYFUNCTION("""COMPUTED_VALUE"""),0)</f>
        <v>0</v>
      </c>
      <c r="N352" s="97">
        <f ca="1">IFERROR(__xludf.DUMMYFUNCTION("""COMPUTED_VALUE"""),0)</f>
        <v>0</v>
      </c>
      <c r="O352" s="97">
        <f ca="1">IFERROR(__xludf.DUMMYFUNCTION("""COMPUTED_VALUE"""),0)</f>
        <v>0</v>
      </c>
      <c r="P352" s="97">
        <f t="shared" ca="1" si="2"/>
        <v>0</v>
      </c>
      <c r="Q352" s="67"/>
      <c r="R352" s="67"/>
      <c r="S352" s="97">
        <f ca="1">IFERROR(__xludf.DUMMYFUNCTION("""COMPUTED_VALUE"""),0)</f>
        <v>0</v>
      </c>
      <c r="T352" s="97">
        <f ca="1">IFERROR(__xludf.DUMMYFUNCTION("""COMPUTED_VALUE"""),0)</f>
        <v>0</v>
      </c>
      <c r="U352" s="97">
        <f ca="1">IFERROR(__xludf.DUMMYFUNCTION("""COMPUTED_VALUE"""),0)</f>
        <v>0</v>
      </c>
      <c r="V352" s="97">
        <f ca="1">IFERROR(__xludf.DUMMYFUNCTION("""COMPUTED_VALUE"""),0)</f>
        <v>0</v>
      </c>
      <c r="W352" s="97">
        <f ca="1">IFERROR(__xludf.DUMMYFUNCTION("""COMPUTED_VALUE"""),0)</f>
        <v>0</v>
      </c>
      <c r="X352" s="97">
        <f ca="1">IFERROR(__xludf.DUMMYFUNCTION("""COMPUTED_VALUE"""),0)</f>
        <v>0</v>
      </c>
      <c r="Y352" s="97">
        <f t="shared" ca="1" si="3"/>
        <v>0</v>
      </c>
      <c r="Z352" s="67">
        <f t="shared" si="4"/>
        <v>0</v>
      </c>
      <c r="AA352" s="67"/>
      <c r="AB352" s="67"/>
      <c r="AC352" s="67"/>
      <c r="AD352" s="99" t="e">
        <f t="shared" ca="1" si="5"/>
        <v>#DIV/0!</v>
      </c>
      <c r="AE352" s="67"/>
      <c r="AF352" s="67"/>
      <c r="AG352" s="67"/>
      <c r="AH352" s="67"/>
      <c r="AI352" s="67"/>
      <c r="AJ352" s="67"/>
      <c r="AK352" s="67"/>
      <c r="AL352" s="67"/>
      <c r="AM352" s="67"/>
      <c r="AN352" s="67"/>
      <c r="AO352" s="67"/>
      <c r="AP352" s="67"/>
      <c r="AQ352" s="67"/>
      <c r="AR352" s="67"/>
      <c r="AS352" s="67"/>
      <c r="AT352" s="67"/>
    </row>
    <row r="353" spans="1:46" ht="72" hidden="1" x14ac:dyDescent="0.2">
      <c r="A353" s="67"/>
      <c r="B353" s="96"/>
      <c r="C35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3" s="20" t="str">
        <f ca="1">IFERROR(__xludf.DUMMYFUNCTION("""COMPUTED_VALUE"""),"МинЖКХ ""ТОП 5 (2 этап)""")</f>
        <v>МинЖКХ "ТОП 5 (2 этап)"</v>
      </c>
      <c r="E353" s="20" t="str">
        <f ca="1">IFERROR(__xludf.DUMMYFUNCTION("""COMPUTED_VALUE"""),"Строительство котельной №37, п. Сычево, Школьный пр., д.4, г.о. Волоколамский (в т.ч. ПИР, ТП)")</f>
        <v>Строительство котельной №37, п. Сычево, Школьный пр., д.4, г.о. Волоколамский (в т.ч. ПИР, ТП)</v>
      </c>
      <c r="F353" s="67" t="str">
        <f ca="1">IFERROR(__xludf.DUMMYFUNCTION("""COMPUTED_VALUE"""),"СМР")</f>
        <v>СМР</v>
      </c>
      <c r="G353" s="67" t="str">
        <f ca="1">IFERROR(__xludf.DUMMYFUNCTION("""COMPUTED_VALUE"""),"г.о. Волоколамский")</f>
        <v>г.о. Волоколамский</v>
      </c>
      <c r="H353" s="67" t="str">
        <f ca="1">IFERROR(__xludf.DUMMYFUNCTION("""COMPUTED_VALUE"""),"2022-2023")</f>
        <v>2022-2023</v>
      </c>
      <c r="I353" s="67" t="str">
        <f ca="1">IFERROR(__xludf.DUMMYFUNCTION("""COMPUTED_VALUE"""),"10 3 02 64080")</f>
        <v>10 3 02 64080</v>
      </c>
      <c r="J353" s="67">
        <f ca="1">IFERROR(__xludf.DUMMYFUNCTION("""COMPUTED_VALUE"""),522)</f>
        <v>522</v>
      </c>
      <c r="K353" s="97">
        <f t="shared" ca="1" si="1"/>
        <v>0</v>
      </c>
      <c r="L353" s="97">
        <f ca="1">IFERROR(__xludf.DUMMYFUNCTION("""COMPUTED_VALUE"""),0)</f>
        <v>0</v>
      </c>
      <c r="M353" s="97">
        <f ca="1">IFERROR(__xludf.DUMMYFUNCTION("""COMPUTED_VALUE"""),0)</f>
        <v>0</v>
      </c>
      <c r="N353" s="97">
        <f ca="1">IFERROR(__xludf.DUMMYFUNCTION("""COMPUTED_VALUE"""),0)</f>
        <v>0</v>
      </c>
      <c r="O353" s="97">
        <f ca="1">IFERROR(__xludf.DUMMYFUNCTION("""COMPUTED_VALUE"""),0)</f>
        <v>0</v>
      </c>
      <c r="P353" s="97">
        <f t="shared" ca="1" si="2"/>
        <v>0</v>
      </c>
      <c r="Q353" s="67"/>
      <c r="R353" s="67"/>
      <c r="S353" s="97">
        <f ca="1">IFERROR(__xludf.DUMMYFUNCTION("""COMPUTED_VALUE"""),0)</f>
        <v>0</v>
      </c>
      <c r="T353" s="97">
        <f ca="1">IFERROR(__xludf.DUMMYFUNCTION("""COMPUTED_VALUE"""),0)</f>
        <v>0</v>
      </c>
      <c r="U353" s="97">
        <f ca="1">IFERROR(__xludf.DUMMYFUNCTION("""COMPUTED_VALUE"""),0)</f>
        <v>0</v>
      </c>
      <c r="V353" s="97">
        <f ca="1">IFERROR(__xludf.DUMMYFUNCTION("""COMPUTED_VALUE"""),0)</f>
        <v>0</v>
      </c>
      <c r="W353" s="97">
        <f ca="1">IFERROR(__xludf.DUMMYFUNCTION("""COMPUTED_VALUE"""),0)</f>
        <v>0</v>
      </c>
      <c r="X353" s="97">
        <f ca="1">IFERROR(__xludf.DUMMYFUNCTION("""COMPUTED_VALUE"""),0)</f>
        <v>0</v>
      </c>
      <c r="Y353" s="97">
        <f t="shared" ca="1" si="3"/>
        <v>0</v>
      </c>
      <c r="Z353" s="67">
        <f t="shared" si="4"/>
        <v>0</v>
      </c>
      <c r="AA353" s="67"/>
      <c r="AB353" s="67"/>
      <c r="AC353" s="67"/>
      <c r="AD353" s="99" t="e">
        <f t="shared" ca="1" si="5"/>
        <v>#DIV/0!</v>
      </c>
      <c r="AE353" s="67"/>
      <c r="AF353" s="67"/>
      <c r="AG353" s="67"/>
      <c r="AH353" s="67"/>
      <c r="AI353" s="67"/>
      <c r="AJ353" s="67"/>
      <c r="AK353" s="67"/>
      <c r="AL353" s="67"/>
      <c r="AM353" s="67"/>
      <c r="AN353" s="67"/>
      <c r="AO353" s="67"/>
      <c r="AP353" s="67"/>
      <c r="AQ353" s="67"/>
      <c r="AR353" s="67"/>
      <c r="AS353" s="67"/>
      <c r="AT353" s="67"/>
    </row>
    <row r="354" spans="1:46" ht="72" hidden="1" x14ac:dyDescent="0.2">
      <c r="A354" s="67"/>
      <c r="B354" s="96"/>
      <c r="C35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4" s="20" t="str">
        <f ca="1">IFERROR(__xludf.DUMMYFUNCTION("""COMPUTED_VALUE"""),"МинЖКХ ""ТОП 5 (2 этап)""")</f>
        <v>МинЖКХ "ТОП 5 (2 этап)"</v>
      </c>
      <c r="E354" s="20" t="str">
        <f ca="1">IFERROR(__xludf.DUMMYFUNCTION("""COMPUTED_VALUE"""),"Реконструкция котельной №4 по адресу п. Лотошино, ул. Спортивная, д. 9 и тепловых сетей, г.о. Лотошино (в т.ч. ПИР)")</f>
        <v>Реконструкция котельной №4 по адресу п. Лотошино, ул. Спортивная, д. 9 и тепловых сетей, г.о. Лотошино (в т.ч. ПИР)</v>
      </c>
      <c r="F354" s="67" t="str">
        <f ca="1">IFERROR(__xludf.DUMMYFUNCTION("""COMPUTED_VALUE"""),"СМР")</f>
        <v>СМР</v>
      </c>
      <c r="G354" s="67" t="str">
        <f ca="1">IFERROR(__xludf.DUMMYFUNCTION("""COMPUTED_VALUE"""),"г.о. Лотошино")</f>
        <v>г.о. Лотошино</v>
      </c>
      <c r="H354" s="67" t="str">
        <f ca="1">IFERROR(__xludf.DUMMYFUNCTION("""COMPUTED_VALUE"""),"2022-2023")</f>
        <v>2022-2023</v>
      </c>
      <c r="I354" s="67" t="str">
        <f ca="1">IFERROR(__xludf.DUMMYFUNCTION("""COMPUTED_VALUE"""),"10 3 02 64080")</f>
        <v>10 3 02 64080</v>
      </c>
      <c r="J354" s="67">
        <f ca="1">IFERROR(__xludf.DUMMYFUNCTION("""COMPUTED_VALUE"""),522)</f>
        <v>522</v>
      </c>
      <c r="K354" s="97">
        <f t="shared" ca="1" si="1"/>
        <v>0</v>
      </c>
      <c r="L354" s="97">
        <f ca="1">IFERROR(__xludf.DUMMYFUNCTION("""COMPUTED_VALUE"""),0)</f>
        <v>0</v>
      </c>
      <c r="M354" s="97">
        <f ca="1">IFERROR(__xludf.DUMMYFUNCTION("""COMPUTED_VALUE"""),0)</f>
        <v>0</v>
      </c>
      <c r="N354" s="97">
        <f ca="1">IFERROR(__xludf.DUMMYFUNCTION("""COMPUTED_VALUE"""),0)</f>
        <v>0</v>
      </c>
      <c r="O354" s="97">
        <f ca="1">IFERROR(__xludf.DUMMYFUNCTION("""COMPUTED_VALUE"""),0)</f>
        <v>0</v>
      </c>
      <c r="P354" s="97">
        <f t="shared" ca="1" si="2"/>
        <v>0</v>
      </c>
      <c r="Q354" s="67"/>
      <c r="R354" s="67"/>
      <c r="S354" s="97">
        <f ca="1">IFERROR(__xludf.DUMMYFUNCTION("""COMPUTED_VALUE"""),0)</f>
        <v>0</v>
      </c>
      <c r="T354" s="97">
        <f ca="1">IFERROR(__xludf.DUMMYFUNCTION("""COMPUTED_VALUE"""),0)</f>
        <v>0</v>
      </c>
      <c r="U354" s="97">
        <f ca="1">IFERROR(__xludf.DUMMYFUNCTION("""COMPUTED_VALUE"""),0)</f>
        <v>0</v>
      </c>
      <c r="V354" s="97">
        <f ca="1">IFERROR(__xludf.DUMMYFUNCTION("""COMPUTED_VALUE"""),0)</f>
        <v>0</v>
      </c>
      <c r="W354" s="97">
        <f ca="1">IFERROR(__xludf.DUMMYFUNCTION("""COMPUTED_VALUE"""),0)</f>
        <v>0</v>
      </c>
      <c r="X354" s="97">
        <f ca="1">IFERROR(__xludf.DUMMYFUNCTION("""COMPUTED_VALUE"""),0)</f>
        <v>0</v>
      </c>
      <c r="Y354" s="97">
        <f t="shared" ca="1" si="3"/>
        <v>0</v>
      </c>
      <c r="Z354" s="67">
        <f t="shared" si="4"/>
        <v>0</v>
      </c>
      <c r="AA354" s="67"/>
      <c r="AB354" s="67"/>
      <c r="AC354" s="67"/>
      <c r="AD354" s="99" t="e">
        <f t="shared" ca="1" si="5"/>
        <v>#DIV/0!</v>
      </c>
      <c r="AE354" s="67"/>
      <c r="AF354" s="67"/>
      <c r="AG354" s="67"/>
      <c r="AH354" s="67"/>
      <c r="AI354" s="67"/>
      <c r="AJ354" s="67"/>
      <c r="AK354" s="67"/>
      <c r="AL354" s="67"/>
      <c r="AM354" s="67"/>
      <c r="AN354" s="67"/>
      <c r="AO354" s="67"/>
      <c r="AP354" s="67"/>
      <c r="AQ354" s="67"/>
      <c r="AR354" s="67"/>
      <c r="AS354" s="67"/>
      <c r="AT354" s="67"/>
    </row>
    <row r="355" spans="1:46" ht="72" hidden="1" x14ac:dyDescent="0.2">
      <c r="A355" s="67"/>
      <c r="B355" s="96"/>
      <c r="C35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5" s="20" t="str">
        <f ca="1">IFERROR(__xludf.DUMMYFUNCTION("""COMPUTED_VALUE"""),"МинЖКХ ""ТОП 5 (2 этап)""")</f>
        <v>МинЖКХ "ТОП 5 (2 этап)"</v>
      </c>
      <c r="E355" s="20" t="str">
        <f ca="1">IFERROR(__xludf.DUMMYFUNCTION("""COMPUTED_VALUE"""),"Реконструкция котельной №5 по адресу с. Микулино, ул. Школьная д.18 и тепловых сетей, г.о. Лотошино (в т.ч. ПИР)")</f>
        <v>Реконструкция котельной №5 по адресу с. Микулино, ул. Школьная д.18 и тепловых сетей, г.о. Лотошино (в т.ч. ПИР)</v>
      </c>
      <c r="F355" s="67" t="str">
        <f ca="1">IFERROR(__xludf.DUMMYFUNCTION("""COMPUTED_VALUE"""),"СМР")</f>
        <v>СМР</v>
      </c>
      <c r="G355" s="67" t="str">
        <f ca="1">IFERROR(__xludf.DUMMYFUNCTION("""COMPUTED_VALUE"""),"г.о. Лотошино")</f>
        <v>г.о. Лотошино</v>
      </c>
      <c r="H355" s="67" t="str">
        <f ca="1">IFERROR(__xludf.DUMMYFUNCTION("""COMPUTED_VALUE"""),"2022-2023")</f>
        <v>2022-2023</v>
      </c>
      <c r="I355" s="67" t="str">
        <f ca="1">IFERROR(__xludf.DUMMYFUNCTION("""COMPUTED_VALUE"""),"10 3 02 64080")</f>
        <v>10 3 02 64080</v>
      </c>
      <c r="J355" s="67">
        <f ca="1">IFERROR(__xludf.DUMMYFUNCTION("""COMPUTED_VALUE"""),522)</f>
        <v>522</v>
      </c>
      <c r="K355" s="97">
        <f t="shared" ca="1" si="1"/>
        <v>0</v>
      </c>
      <c r="L355" s="97">
        <f ca="1">IFERROR(__xludf.DUMMYFUNCTION("""COMPUTED_VALUE"""),0)</f>
        <v>0</v>
      </c>
      <c r="M355" s="97">
        <f ca="1">IFERROR(__xludf.DUMMYFUNCTION("""COMPUTED_VALUE"""),0)</f>
        <v>0</v>
      </c>
      <c r="N355" s="97">
        <f ca="1">IFERROR(__xludf.DUMMYFUNCTION("""COMPUTED_VALUE"""),0)</f>
        <v>0</v>
      </c>
      <c r="O355" s="97">
        <f ca="1">IFERROR(__xludf.DUMMYFUNCTION("""COMPUTED_VALUE"""),0)</f>
        <v>0</v>
      </c>
      <c r="P355" s="97">
        <f t="shared" ca="1" si="2"/>
        <v>0</v>
      </c>
      <c r="Q355" s="67"/>
      <c r="R355" s="67"/>
      <c r="S355" s="97">
        <f ca="1">IFERROR(__xludf.DUMMYFUNCTION("""COMPUTED_VALUE"""),0)</f>
        <v>0</v>
      </c>
      <c r="T355" s="97">
        <f ca="1">IFERROR(__xludf.DUMMYFUNCTION("""COMPUTED_VALUE"""),0)</f>
        <v>0</v>
      </c>
      <c r="U355" s="97">
        <f ca="1">IFERROR(__xludf.DUMMYFUNCTION("""COMPUTED_VALUE"""),0)</f>
        <v>0</v>
      </c>
      <c r="V355" s="97">
        <f ca="1">IFERROR(__xludf.DUMMYFUNCTION("""COMPUTED_VALUE"""),0)</f>
        <v>0</v>
      </c>
      <c r="W355" s="97">
        <f ca="1">IFERROR(__xludf.DUMMYFUNCTION("""COMPUTED_VALUE"""),0)</f>
        <v>0</v>
      </c>
      <c r="X355" s="97">
        <f ca="1">IFERROR(__xludf.DUMMYFUNCTION("""COMPUTED_VALUE"""),0)</f>
        <v>0</v>
      </c>
      <c r="Y355" s="97">
        <f t="shared" ca="1" si="3"/>
        <v>0</v>
      </c>
      <c r="Z355" s="67">
        <f t="shared" si="4"/>
        <v>0</v>
      </c>
      <c r="AA355" s="67"/>
      <c r="AB355" s="67"/>
      <c r="AC355" s="67"/>
      <c r="AD355" s="99" t="e">
        <f t="shared" ca="1" si="5"/>
        <v>#DIV/0!</v>
      </c>
      <c r="AE355" s="67"/>
      <c r="AF355" s="67"/>
      <c r="AG355" s="67"/>
      <c r="AH355" s="67"/>
      <c r="AI355" s="67"/>
      <c r="AJ355" s="67"/>
      <c r="AK355" s="67"/>
      <c r="AL355" s="67"/>
      <c r="AM355" s="67"/>
      <c r="AN355" s="67"/>
      <c r="AO355" s="67"/>
      <c r="AP355" s="67"/>
      <c r="AQ355" s="67"/>
      <c r="AR355" s="67"/>
      <c r="AS355" s="67"/>
      <c r="AT355" s="67"/>
    </row>
    <row r="356" spans="1:46" ht="72" hidden="1" x14ac:dyDescent="0.2">
      <c r="A356" s="67"/>
      <c r="B356" s="96"/>
      <c r="C35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6" s="20" t="str">
        <f ca="1">IFERROR(__xludf.DUMMYFUNCTION("""COMPUTED_VALUE"""),"МинЖКХ ""ТОП 5 (2 этап)""")</f>
        <v>МинЖКХ "ТОП 5 (2 этап)"</v>
      </c>
      <c r="E356" s="20" t="str">
        <f ca="1">IFERROR(__xludf.DUMMYFUNCTION("""COMPUTED_VALUE"""),"Реконструкция котельной №6 по адресу п.Лотошино, ул 2-я Ветеринарная, д.23 и тепловых сетей, г.о. Лотошино (в т.ч. ПИР)")</f>
        <v>Реконструкция котельной №6 по адресу п.Лотошино, ул 2-я Ветеринарная, д.23 и тепловых сетей, г.о. Лотошино (в т.ч. ПИР)</v>
      </c>
      <c r="F356" s="67" t="str">
        <f ca="1">IFERROR(__xludf.DUMMYFUNCTION("""COMPUTED_VALUE"""),"СМР")</f>
        <v>СМР</v>
      </c>
      <c r="G356" s="67" t="str">
        <f ca="1">IFERROR(__xludf.DUMMYFUNCTION("""COMPUTED_VALUE"""),"г.о. Лотошино")</f>
        <v>г.о. Лотошино</v>
      </c>
      <c r="H356" s="67" t="str">
        <f ca="1">IFERROR(__xludf.DUMMYFUNCTION("""COMPUTED_VALUE"""),"2022-2023")</f>
        <v>2022-2023</v>
      </c>
      <c r="I356" s="67" t="str">
        <f ca="1">IFERROR(__xludf.DUMMYFUNCTION("""COMPUTED_VALUE"""),"10 3 02 64080")</f>
        <v>10 3 02 64080</v>
      </c>
      <c r="J356" s="67">
        <f ca="1">IFERROR(__xludf.DUMMYFUNCTION("""COMPUTED_VALUE"""),522)</f>
        <v>522</v>
      </c>
      <c r="K356" s="97">
        <f t="shared" ca="1" si="1"/>
        <v>0</v>
      </c>
      <c r="L356" s="97">
        <f ca="1">IFERROR(__xludf.DUMMYFUNCTION("""COMPUTED_VALUE"""),0)</f>
        <v>0</v>
      </c>
      <c r="M356" s="97">
        <f ca="1">IFERROR(__xludf.DUMMYFUNCTION("""COMPUTED_VALUE"""),0)</f>
        <v>0</v>
      </c>
      <c r="N356" s="97">
        <f ca="1">IFERROR(__xludf.DUMMYFUNCTION("""COMPUTED_VALUE"""),0)</f>
        <v>0</v>
      </c>
      <c r="O356" s="97">
        <f ca="1">IFERROR(__xludf.DUMMYFUNCTION("""COMPUTED_VALUE"""),0)</f>
        <v>0</v>
      </c>
      <c r="P356" s="97">
        <f t="shared" ca="1" si="2"/>
        <v>0</v>
      </c>
      <c r="Q356" s="67"/>
      <c r="R356" s="67"/>
      <c r="S356" s="97">
        <f ca="1">IFERROR(__xludf.DUMMYFUNCTION("""COMPUTED_VALUE"""),0)</f>
        <v>0</v>
      </c>
      <c r="T356" s="97">
        <f ca="1">IFERROR(__xludf.DUMMYFUNCTION("""COMPUTED_VALUE"""),0)</f>
        <v>0</v>
      </c>
      <c r="U356" s="97">
        <f ca="1">IFERROR(__xludf.DUMMYFUNCTION("""COMPUTED_VALUE"""),0)</f>
        <v>0</v>
      </c>
      <c r="V356" s="97">
        <f ca="1">IFERROR(__xludf.DUMMYFUNCTION("""COMPUTED_VALUE"""),0)</f>
        <v>0</v>
      </c>
      <c r="W356" s="97">
        <f ca="1">IFERROR(__xludf.DUMMYFUNCTION("""COMPUTED_VALUE"""),0)</f>
        <v>0</v>
      </c>
      <c r="X356" s="97">
        <f ca="1">IFERROR(__xludf.DUMMYFUNCTION("""COMPUTED_VALUE"""),0)</f>
        <v>0</v>
      </c>
      <c r="Y356" s="97">
        <f t="shared" ca="1" si="3"/>
        <v>0</v>
      </c>
      <c r="Z356" s="67">
        <f t="shared" si="4"/>
        <v>0</v>
      </c>
      <c r="AA356" s="67"/>
      <c r="AB356" s="67"/>
      <c r="AC356" s="67"/>
      <c r="AD356" s="99" t="e">
        <f t="shared" ca="1" si="5"/>
        <v>#DIV/0!</v>
      </c>
      <c r="AE356" s="67"/>
      <c r="AF356" s="67"/>
      <c r="AG356" s="67"/>
      <c r="AH356" s="67"/>
      <c r="AI356" s="67"/>
      <c r="AJ356" s="67"/>
      <c r="AK356" s="67"/>
      <c r="AL356" s="67"/>
      <c r="AM356" s="67"/>
      <c r="AN356" s="67"/>
      <c r="AO356" s="67"/>
      <c r="AP356" s="67"/>
      <c r="AQ356" s="67"/>
      <c r="AR356" s="67"/>
      <c r="AS356" s="67"/>
      <c r="AT356" s="67"/>
    </row>
    <row r="357" spans="1:46" ht="72" hidden="1" x14ac:dyDescent="0.2">
      <c r="A357" s="67"/>
      <c r="B357" s="96"/>
      <c r="C35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7" s="20" t="str">
        <f ca="1">IFERROR(__xludf.DUMMYFUNCTION("""COMPUTED_VALUE"""),"МинЖКХ ""ТОП 5 (2 этап)""")</f>
        <v>МинЖКХ "ТОП 5 (2 этап)"</v>
      </c>
      <c r="E357" s="20" t="str">
        <f ca="1">IFERROR(__xludf.DUMMYFUNCTION("""COMPUTED_VALUE"""),"Реконструкция тепловых сетей котельной д. Степаньково, г.о. Шаховская (в т.ч. ПИР)")</f>
        <v>Реконструкция тепловых сетей котельной д. Степаньково, г.о. Шаховская (в т.ч. ПИР)</v>
      </c>
      <c r="F357" s="67" t="str">
        <f ca="1">IFERROR(__xludf.DUMMYFUNCTION("""COMPUTED_VALUE"""),"СМР")</f>
        <v>СМР</v>
      </c>
      <c r="G357" s="67" t="str">
        <f ca="1">IFERROR(__xludf.DUMMYFUNCTION("""COMPUTED_VALUE"""),"г.о. Шаховская")</f>
        <v>г.о. Шаховская</v>
      </c>
      <c r="H357" s="67" t="str">
        <f ca="1">IFERROR(__xludf.DUMMYFUNCTION("""COMPUTED_VALUE"""),"2022-2023")</f>
        <v>2022-2023</v>
      </c>
      <c r="I357" s="67" t="str">
        <f ca="1">IFERROR(__xludf.DUMMYFUNCTION("""COMPUTED_VALUE"""),"10 3 02 64080")</f>
        <v>10 3 02 64080</v>
      </c>
      <c r="J357" s="67">
        <f ca="1">IFERROR(__xludf.DUMMYFUNCTION("""COMPUTED_VALUE"""),522)</f>
        <v>522</v>
      </c>
      <c r="K357" s="97">
        <f t="shared" ca="1" si="1"/>
        <v>0</v>
      </c>
      <c r="L357" s="97">
        <f ca="1">IFERROR(__xludf.DUMMYFUNCTION("""COMPUTED_VALUE"""),0)</f>
        <v>0</v>
      </c>
      <c r="M357" s="97">
        <f ca="1">IFERROR(__xludf.DUMMYFUNCTION("""COMPUTED_VALUE"""),0)</f>
        <v>0</v>
      </c>
      <c r="N357" s="97">
        <f ca="1">IFERROR(__xludf.DUMMYFUNCTION("""COMPUTED_VALUE"""),0)</f>
        <v>0</v>
      </c>
      <c r="O357" s="97">
        <f ca="1">IFERROR(__xludf.DUMMYFUNCTION("""COMPUTED_VALUE"""),0)</f>
        <v>0</v>
      </c>
      <c r="P357" s="97">
        <f t="shared" ca="1" si="2"/>
        <v>0</v>
      </c>
      <c r="Q357" s="67"/>
      <c r="R357" s="67"/>
      <c r="S357" s="97">
        <f ca="1">IFERROR(__xludf.DUMMYFUNCTION("""COMPUTED_VALUE"""),0)</f>
        <v>0</v>
      </c>
      <c r="T357" s="97">
        <f ca="1">IFERROR(__xludf.DUMMYFUNCTION("""COMPUTED_VALUE"""),0)</f>
        <v>0</v>
      </c>
      <c r="U357" s="97">
        <f ca="1">IFERROR(__xludf.DUMMYFUNCTION("""COMPUTED_VALUE"""),0)</f>
        <v>0</v>
      </c>
      <c r="V357" s="97">
        <f ca="1">IFERROR(__xludf.DUMMYFUNCTION("""COMPUTED_VALUE"""),0)</f>
        <v>0</v>
      </c>
      <c r="W357" s="97">
        <f ca="1">IFERROR(__xludf.DUMMYFUNCTION("""COMPUTED_VALUE"""),0)</f>
        <v>0</v>
      </c>
      <c r="X357" s="97">
        <f ca="1">IFERROR(__xludf.DUMMYFUNCTION("""COMPUTED_VALUE"""),0)</f>
        <v>0</v>
      </c>
      <c r="Y357" s="97">
        <f t="shared" ca="1" si="3"/>
        <v>0</v>
      </c>
      <c r="Z357" s="67">
        <f t="shared" si="4"/>
        <v>0</v>
      </c>
      <c r="AA357" s="67"/>
      <c r="AB357" s="67"/>
      <c r="AC357" s="67"/>
      <c r="AD357" s="99" t="e">
        <f t="shared" ca="1" si="5"/>
        <v>#DIV/0!</v>
      </c>
      <c r="AE357" s="67"/>
      <c r="AF357" s="67"/>
      <c r="AG357" s="67"/>
      <c r="AH357" s="67"/>
      <c r="AI357" s="67"/>
      <c r="AJ357" s="67"/>
      <c r="AK357" s="67"/>
      <c r="AL357" s="67"/>
      <c r="AM357" s="67"/>
      <c r="AN357" s="67"/>
      <c r="AO357" s="67"/>
      <c r="AP357" s="67"/>
      <c r="AQ357" s="67"/>
      <c r="AR357" s="67"/>
      <c r="AS357" s="67"/>
      <c r="AT357" s="67"/>
    </row>
    <row r="358" spans="1:46" ht="72" hidden="1" x14ac:dyDescent="0.2">
      <c r="A358" s="67"/>
      <c r="B358" s="96"/>
      <c r="C35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8" s="20" t="str">
        <f ca="1">IFERROR(__xludf.DUMMYFUNCTION("""COMPUTED_VALUE"""),"МинЖКХ ""ТОП 5 (2 этап)""")</f>
        <v>МинЖКХ "ТОП 5 (2 этап)"</v>
      </c>
      <c r="E358" s="20" t="str">
        <f ca="1">IFERROR(__xludf.DUMMYFUNCTION("""COMPUTED_VALUE"""),"Реконструкция тепловых сетей котельной с. Б-Колпь, д.63, г.о. Шаховская (в т.ч. ПИР)")</f>
        <v>Реконструкция тепловых сетей котельной с. Б-Колпь, д.63, г.о. Шаховская (в т.ч. ПИР)</v>
      </c>
      <c r="F358" s="67" t="str">
        <f ca="1">IFERROR(__xludf.DUMMYFUNCTION("""COMPUTED_VALUE"""),"СМР")</f>
        <v>СМР</v>
      </c>
      <c r="G358" s="67" t="str">
        <f ca="1">IFERROR(__xludf.DUMMYFUNCTION("""COMPUTED_VALUE"""),"г.о. Шаховская")</f>
        <v>г.о. Шаховская</v>
      </c>
      <c r="H358" s="67" t="str">
        <f ca="1">IFERROR(__xludf.DUMMYFUNCTION("""COMPUTED_VALUE"""),"2022-2023")</f>
        <v>2022-2023</v>
      </c>
      <c r="I358" s="67" t="str">
        <f ca="1">IFERROR(__xludf.DUMMYFUNCTION("""COMPUTED_VALUE"""),"10 3 02 64080")</f>
        <v>10 3 02 64080</v>
      </c>
      <c r="J358" s="67">
        <f ca="1">IFERROR(__xludf.DUMMYFUNCTION("""COMPUTED_VALUE"""),522)</f>
        <v>522</v>
      </c>
      <c r="K358" s="97">
        <f t="shared" ca="1" si="1"/>
        <v>0</v>
      </c>
      <c r="L358" s="97">
        <f ca="1">IFERROR(__xludf.DUMMYFUNCTION("""COMPUTED_VALUE"""),0)</f>
        <v>0</v>
      </c>
      <c r="M358" s="97">
        <f ca="1">IFERROR(__xludf.DUMMYFUNCTION("""COMPUTED_VALUE"""),0)</f>
        <v>0</v>
      </c>
      <c r="N358" s="97">
        <f ca="1">IFERROR(__xludf.DUMMYFUNCTION("""COMPUTED_VALUE"""),0)</f>
        <v>0</v>
      </c>
      <c r="O358" s="97">
        <f ca="1">IFERROR(__xludf.DUMMYFUNCTION("""COMPUTED_VALUE"""),0)</f>
        <v>0</v>
      </c>
      <c r="P358" s="97">
        <f t="shared" ca="1" si="2"/>
        <v>0</v>
      </c>
      <c r="Q358" s="67"/>
      <c r="R358" s="67"/>
      <c r="S358" s="97">
        <f ca="1">IFERROR(__xludf.DUMMYFUNCTION("""COMPUTED_VALUE"""),0)</f>
        <v>0</v>
      </c>
      <c r="T358" s="97">
        <f ca="1">IFERROR(__xludf.DUMMYFUNCTION("""COMPUTED_VALUE"""),0)</f>
        <v>0</v>
      </c>
      <c r="U358" s="97">
        <f ca="1">IFERROR(__xludf.DUMMYFUNCTION("""COMPUTED_VALUE"""),0)</f>
        <v>0</v>
      </c>
      <c r="V358" s="97">
        <f ca="1">IFERROR(__xludf.DUMMYFUNCTION("""COMPUTED_VALUE"""),0)</f>
        <v>0</v>
      </c>
      <c r="W358" s="97">
        <f ca="1">IFERROR(__xludf.DUMMYFUNCTION("""COMPUTED_VALUE"""),0)</f>
        <v>0</v>
      </c>
      <c r="X358" s="97">
        <f ca="1">IFERROR(__xludf.DUMMYFUNCTION("""COMPUTED_VALUE"""),0)</f>
        <v>0</v>
      </c>
      <c r="Y358" s="97">
        <f t="shared" ca="1" si="3"/>
        <v>0</v>
      </c>
      <c r="Z358" s="67">
        <f t="shared" si="4"/>
        <v>0</v>
      </c>
      <c r="AA358" s="67"/>
      <c r="AB358" s="67"/>
      <c r="AC358" s="67"/>
      <c r="AD358" s="99" t="e">
        <f t="shared" ca="1" si="5"/>
        <v>#DIV/0!</v>
      </c>
      <c r="AE358" s="67"/>
      <c r="AF358" s="67"/>
      <c r="AG358" s="67"/>
      <c r="AH358" s="67"/>
      <c r="AI358" s="67"/>
      <c r="AJ358" s="67"/>
      <c r="AK358" s="67"/>
      <c r="AL358" s="67"/>
      <c r="AM358" s="67"/>
      <c r="AN358" s="67"/>
      <c r="AO358" s="67"/>
      <c r="AP358" s="67"/>
      <c r="AQ358" s="67"/>
      <c r="AR358" s="67"/>
      <c r="AS358" s="67"/>
      <c r="AT358" s="67"/>
    </row>
    <row r="359" spans="1:46" ht="72" hidden="1" x14ac:dyDescent="0.2">
      <c r="A359" s="67"/>
      <c r="B359" s="96"/>
      <c r="C35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9" s="20" t="str">
        <f ca="1">IFERROR(__xludf.DUMMYFUNCTION("""COMPUTED_VALUE"""),"МинЖКХ ""ТОП 5 (2 этап)""")</f>
        <v>МинЖКХ "ТОП 5 (2 этап)"</v>
      </c>
      <c r="E359" s="20" t="str">
        <f ca="1">IFERROR(__xludf.DUMMYFUNCTION("""COMPUTED_VALUE"""),"Реконструкция тепловых сетей котельной д. Муриково, г.о. Шаховская (в т.ч. ПИР)")</f>
        <v>Реконструкция тепловых сетей котельной д. Муриково, г.о. Шаховская (в т.ч. ПИР)</v>
      </c>
      <c r="F359" s="67" t="str">
        <f ca="1">IFERROR(__xludf.DUMMYFUNCTION("""COMPUTED_VALUE"""),"СМР")</f>
        <v>СМР</v>
      </c>
      <c r="G359" s="67" t="str">
        <f ca="1">IFERROR(__xludf.DUMMYFUNCTION("""COMPUTED_VALUE"""),"г.о. Шаховская")</f>
        <v>г.о. Шаховская</v>
      </c>
      <c r="H359" s="67" t="str">
        <f ca="1">IFERROR(__xludf.DUMMYFUNCTION("""COMPUTED_VALUE"""),"2022-2023")</f>
        <v>2022-2023</v>
      </c>
      <c r="I359" s="67" t="str">
        <f ca="1">IFERROR(__xludf.DUMMYFUNCTION("""COMPUTED_VALUE"""),"10 3 02 64080")</f>
        <v>10 3 02 64080</v>
      </c>
      <c r="J359" s="67">
        <f ca="1">IFERROR(__xludf.DUMMYFUNCTION("""COMPUTED_VALUE"""),522)</f>
        <v>522</v>
      </c>
      <c r="K359" s="97">
        <f t="shared" ca="1" si="1"/>
        <v>0</v>
      </c>
      <c r="L359" s="97">
        <f ca="1">IFERROR(__xludf.DUMMYFUNCTION("""COMPUTED_VALUE"""),0)</f>
        <v>0</v>
      </c>
      <c r="M359" s="97">
        <f ca="1">IFERROR(__xludf.DUMMYFUNCTION("""COMPUTED_VALUE"""),0)</f>
        <v>0</v>
      </c>
      <c r="N359" s="97">
        <f ca="1">IFERROR(__xludf.DUMMYFUNCTION("""COMPUTED_VALUE"""),0)</f>
        <v>0</v>
      </c>
      <c r="O359" s="97">
        <f ca="1">IFERROR(__xludf.DUMMYFUNCTION("""COMPUTED_VALUE"""),0)</f>
        <v>0</v>
      </c>
      <c r="P359" s="97">
        <f t="shared" ca="1" si="2"/>
        <v>0</v>
      </c>
      <c r="Q359" s="67"/>
      <c r="R359" s="67"/>
      <c r="S359" s="97">
        <f ca="1">IFERROR(__xludf.DUMMYFUNCTION("""COMPUTED_VALUE"""),0)</f>
        <v>0</v>
      </c>
      <c r="T359" s="97">
        <f ca="1">IFERROR(__xludf.DUMMYFUNCTION("""COMPUTED_VALUE"""),0)</f>
        <v>0</v>
      </c>
      <c r="U359" s="97">
        <f ca="1">IFERROR(__xludf.DUMMYFUNCTION("""COMPUTED_VALUE"""),0)</f>
        <v>0</v>
      </c>
      <c r="V359" s="97">
        <f ca="1">IFERROR(__xludf.DUMMYFUNCTION("""COMPUTED_VALUE"""),0)</f>
        <v>0</v>
      </c>
      <c r="W359" s="97">
        <f ca="1">IFERROR(__xludf.DUMMYFUNCTION("""COMPUTED_VALUE"""),0)</f>
        <v>0</v>
      </c>
      <c r="X359" s="97">
        <f ca="1">IFERROR(__xludf.DUMMYFUNCTION("""COMPUTED_VALUE"""),0)</f>
        <v>0</v>
      </c>
      <c r="Y359" s="97">
        <f t="shared" ca="1" si="3"/>
        <v>0</v>
      </c>
      <c r="Z359" s="67">
        <f t="shared" si="4"/>
        <v>0</v>
      </c>
      <c r="AA359" s="67"/>
      <c r="AB359" s="67"/>
      <c r="AC359" s="67"/>
      <c r="AD359" s="99" t="e">
        <f t="shared" ca="1" si="5"/>
        <v>#DIV/0!</v>
      </c>
      <c r="AE359" s="67"/>
      <c r="AF359" s="67"/>
      <c r="AG359" s="67"/>
      <c r="AH359" s="67"/>
      <c r="AI359" s="67"/>
      <c r="AJ359" s="67"/>
      <c r="AK359" s="67"/>
      <c r="AL359" s="67"/>
      <c r="AM359" s="67"/>
      <c r="AN359" s="67"/>
      <c r="AO359" s="67"/>
      <c r="AP359" s="67"/>
      <c r="AQ359" s="67"/>
      <c r="AR359" s="67"/>
      <c r="AS359" s="67"/>
      <c r="AT359" s="67"/>
    </row>
    <row r="360" spans="1:46" ht="72" hidden="1" x14ac:dyDescent="0.2">
      <c r="A360" s="67"/>
      <c r="B360" s="96"/>
      <c r="C36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0" s="20" t="str">
        <f ca="1">IFERROR(__xludf.DUMMYFUNCTION("""COMPUTED_VALUE"""),"МинЖКХ ""ТОП 5 (2 этап)""")</f>
        <v>МинЖКХ "ТОП 5 (2 этап)"</v>
      </c>
      <c r="E360" s="20" t="str">
        <f ca="1">IFERROR(__xludf.DUMMYFUNCTION("""COMPUTED_VALUE"""),"Реконструкция тепловых сетей котельной с. Ивашково, г.о. Шаховская (в т.ч. ПИР)")</f>
        <v>Реконструкция тепловых сетей котельной с. Ивашково, г.о. Шаховская (в т.ч. ПИР)</v>
      </c>
      <c r="F360" s="67" t="str">
        <f ca="1">IFERROR(__xludf.DUMMYFUNCTION("""COMPUTED_VALUE"""),"СМР")</f>
        <v>СМР</v>
      </c>
      <c r="G360" s="67" t="str">
        <f ca="1">IFERROR(__xludf.DUMMYFUNCTION("""COMPUTED_VALUE"""),"г.о. Шаховская")</f>
        <v>г.о. Шаховская</v>
      </c>
      <c r="H360" s="67" t="str">
        <f ca="1">IFERROR(__xludf.DUMMYFUNCTION("""COMPUTED_VALUE"""),"2022-2023")</f>
        <v>2022-2023</v>
      </c>
      <c r="I360" s="67" t="str">
        <f ca="1">IFERROR(__xludf.DUMMYFUNCTION("""COMPUTED_VALUE"""),"10 3 02 64080")</f>
        <v>10 3 02 64080</v>
      </c>
      <c r="J360" s="67">
        <f ca="1">IFERROR(__xludf.DUMMYFUNCTION("""COMPUTED_VALUE"""),522)</f>
        <v>522</v>
      </c>
      <c r="K360" s="97">
        <f t="shared" ca="1" si="1"/>
        <v>0</v>
      </c>
      <c r="L360" s="97">
        <f ca="1">IFERROR(__xludf.DUMMYFUNCTION("""COMPUTED_VALUE"""),0)</f>
        <v>0</v>
      </c>
      <c r="M360" s="97">
        <f ca="1">IFERROR(__xludf.DUMMYFUNCTION("""COMPUTED_VALUE"""),0)</f>
        <v>0</v>
      </c>
      <c r="N360" s="97">
        <f ca="1">IFERROR(__xludf.DUMMYFUNCTION("""COMPUTED_VALUE"""),0)</f>
        <v>0</v>
      </c>
      <c r="O360" s="97">
        <f ca="1">IFERROR(__xludf.DUMMYFUNCTION("""COMPUTED_VALUE"""),0)</f>
        <v>0</v>
      </c>
      <c r="P360" s="97">
        <f t="shared" ca="1" si="2"/>
        <v>0</v>
      </c>
      <c r="Q360" s="67"/>
      <c r="R360" s="67"/>
      <c r="S360" s="97">
        <f ca="1">IFERROR(__xludf.DUMMYFUNCTION("""COMPUTED_VALUE"""),0)</f>
        <v>0</v>
      </c>
      <c r="T360" s="97">
        <f ca="1">IFERROR(__xludf.DUMMYFUNCTION("""COMPUTED_VALUE"""),0)</f>
        <v>0</v>
      </c>
      <c r="U360" s="97">
        <f ca="1">IFERROR(__xludf.DUMMYFUNCTION("""COMPUTED_VALUE"""),0)</f>
        <v>0</v>
      </c>
      <c r="V360" s="97">
        <f ca="1">IFERROR(__xludf.DUMMYFUNCTION("""COMPUTED_VALUE"""),0)</f>
        <v>0</v>
      </c>
      <c r="W360" s="97">
        <f ca="1">IFERROR(__xludf.DUMMYFUNCTION("""COMPUTED_VALUE"""),0)</f>
        <v>0</v>
      </c>
      <c r="X360" s="97">
        <f ca="1">IFERROR(__xludf.DUMMYFUNCTION("""COMPUTED_VALUE"""),0)</f>
        <v>0</v>
      </c>
      <c r="Y360" s="97">
        <f t="shared" ca="1" si="3"/>
        <v>0</v>
      </c>
      <c r="Z360" s="67">
        <f t="shared" si="4"/>
        <v>0</v>
      </c>
      <c r="AA360" s="67"/>
      <c r="AB360" s="67"/>
      <c r="AC360" s="67"/>
      <c r="AD360" s="99" t="e">
        <f t="shared" ca="1" si="5"/>
        <v>#DIV/0!</v>
      </c>
      <c r="AE360" s="67"/>
      <c r="AF360" s="67"/>
      <c r="AG360" s="67"/>
      <c r="AH360" s="67"/>
      <c r="AI360" s="67"/>
      <c r="AJ360" s="67"/>
      <c r="AK360" s="67"/>
      <c r="AL360" s="67"/>
      <c r="AM360" s="67"/>
      <c r="AN360" s="67"/>
      <c r="AO360" s="67"/>
      <c r="AP360" s="67"/>
      <c r="AQ360" s="67"/>
      <c r="AR360" s="67"/>
      <c r="AS360" s="67"/>
      <c r="AT360" s="67"/>
    </row>
    <row r="361" spans="1:46" ht="72" hidden="1" x14ac:dyDescent="0.2">
      <c r="A361" s="67"/>
      <c r="B361" s="96"/>
      <c r="C36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1" s="20" t="str">
        <f ca="1">IFERROR(__xludf.DUMMYFUNCTION("""COMPUTED_VALUE"""),"МинЖКХ ""ТОП 5 (2 этап)""")</f>
        <v>МинЖКХ "ТОП 5 (2 этап)"</v>
      </c>
      <c r="E361" s="20" t="str">
        <f ca="1">IFERROR(__xludf.DUMMYFUNCTION("""COMPUTED_VALUE"""),"Реконструкция тепловых сетей котельной д. Дубранивка, ул. Совхозная, д. 7, г.о. Шаховская (в т.ч. ПИР)")</f>
        <v>Реконструкция тепловых сетей котельной д. Дубранивка, ул. Совхозная, д. 7, г.о. Шаховская (в т.ч. ПИР)</v>
      </c>
      <c r="F361" s="67" t="str">
        <f ca="1">IFERROR(__xludf.DUMMYFUNCTION("""COMPUTED_VALUE"""),"СМР")</f>
        <v>СМР</v>
      </c>
      <c r="G361" s="67" t="str">
        <f ca="1">IFERROR(__xludf.DUMMYFUNCTION("""COMPUTED_VALUE"""),"г.о. Шаховская")</f>
        <v>г.о. Шаховская</v>
      </c>
      <c r="H361" s="67" t="str">
        <f ca="1">IFERROR(__xludf.DUMMYFUNCTION("""COMPUTED_VALUE"""),"2022-2023")</f>
        <v>2022-2023</v>
      </c>
      <c r="I361" s="67" t="str">
        <f ca="1">IFERROR(__xludf.DUMMYFUNCTION("""COMPUTED_VALUE"""),"10 3 02 64080")</f>
        <v>10 3 02 64080</v>
      </c>
      <c r="J361" s="67">
        <f ca="1">IFERROR(__xludf.DUMMYFUNCTION("""COMPUTED_VALUE"""),522)</f>
        <v>522</v>
      </c>
      <c r="K361" s="97">
        <f t="shared" ca="1" si="1"/>
        <v>0</v>
      </c>
      <c r="L361" s="97">
        <f ca="1">IFERROR(__xludf.DUMMYFUNCTION("""COMPUTED_VALUE"""),0)</f>
        <v>0</v>
      </c>
      <c r="M361" s="97">
        <f ca="1">IFERROR(__xludf.DUMMYFUNCTION("""COMPUTED_VALUE"""),0)</f>
        <v>0</v>
      </c>
      <c r="N361" s="97">
        <f ca="1">IFERROR(__xludf.DUMMYFUNCTION("""COMPUTED_VALUE"""),0)</f>
        <v>0</v>
      </c>
      <c r="O361" s="97">
        <f ca="1">IFERROR(__xludf.DUMMYFUNCTION("""COMPUTED_VALUE"""),0)</f>
        <v>0</v>
      </c>
      <c r="P361" s="97">
        <f t="shared" ca="1" si="2"/>
        <v>0</v>
      </c>
      <c r="Q361" s="67"/>
      <c r="R361" s="67"/>
      <c r="S361" s="97">
        <f ca="1">IFERROR(__xludf.DUMMYFUNCTION("""COMPUTED_VALUE"""),0)</f>
        <v>0</v>
      </c>
      <c r="T361" s="97">
        <f ca="1">IFERROR(__xludf.DUMMYFUNCTION("""COMPUTED_VALUE"""),0)</f>
        <v>0</v>
      </c>
      <c r="U361" s="97">
        <f ca="1">IFERROR(__xludf.DUMMYFUNCTION("""COMPUTED_VALUE"""),0)</f>
        <v>0</v>
      </c>
      <c r="V361" s="97">
        <f ca="1">IFERROR(__xludf.DUMMYFUNCTION("""COMPUTED_VALUE"""),0)</f>
        <v>0</v>
      </c>
      <c r="W361" s="97">
        <f ca="1">IFERROR(__xludf.DUMMYFUNCTION("""COMPUTED_VALUE"""),0)</f>
        <v>0</v>
      </c>
      <c r="X361" s="97">
        <f ca="1">IFERROR(__xludf.DUMMYFUNCTION("""COMPUTED_VALUE"""),0)</f>
        <v>0</v>
      </c>
      <c r="Y361" s="97">
        <f t="shared" ca="1" si="3"/>
        <v>0</v>
      </c>
      <c r="Z361" s="67">
        <f t="shared" si="4"/>
        <v>0</v>
      </c>
      <c r="AA361" s="67"/>
      <c r="AB361" s="67"/>
      <c r="AC361" s="67"/>
      <c r="AD361" s="99" t="e">
        <f t="shared" ca="1" si="5"/>
        <v>#DIV/0!</v>
      </c>
      <c r="AE361" s="67"/>
      <c r="AF361" s="67"/>
      <c r="AG361" s="67"/>
      <c r="AH361" s="67"/>
      <c r="AI361" s="67"/>
      <c r="AJ361" s="67"/>
      <c r="AK361" s="67"/>
      <c r="AL361" s="67"/>
      <c r="AM361" s="67"/>
      <c r="AN361" s="67"/>
      <c r="AO361" s="67"/>
      <c r="AP361" s="67"/>
      <c r="AQ361" s="67"/>
      <c r="AR361" s="67"/>
      <c r="AS361" s="67"/>
      <c r="AT361" s="67"/>
    </row>
    <row r="362" spans="1:46" ht="72" hidden="1" x14ac:dyDescent="0.2">
      <c r="A362" s="67"/>
      <c r="B362" s="96"/>
      <c r="C36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2" s="20" t="str">
        <f ca="1">IFERROR(__xludf.DUMMYFUNCTION("""COMPUTED_VALUE"""),"МинЖКХ ""ТОП 5 (2 этап)""")</f>
        <v>МинЖКХ "ТОП 5 (2 этап)"</v>
      </c>
      <c r="E362" s="20" t="str">
        <f ca="1">IFERROR(__xludf.DUMMYFUNCTION("""COMPUTED_VALUE"""),"Реконструкция котельной №3 (перевод котельной в режим ЦТП) по адресу г. Наро-Фоминск, ул. Калинина, Наро-Фоминский г.о.")</f>
        <v>Реконструкция котельной №3 (перевод котельной в режим ЦТП) по адресу г. Наро-Фоминск, ул. Калинина, Наро-Фоминский г.о.</v>
      </c>
      <c r="F362" s="67" t="str">
        <f ca="1">IFERROR(__xludf.DUMMYFUNCTION("""COMPUTED_VALUE"""),"СМР")</f>
        <v>СМР</v>
      </c>
      <c r="G362" s="67" t="str">
        <f ca="1">IFERROR(__xludf.DUMMYFUNCTION("""COMPUTED_VALUE"""),"г.о. Наро-Фоминск")</f>
        <v>г.о. Наро-Фоминск</v>
      </c>
      <c r="H362" s="67">
        <f ca="1">IFERROR(__xludf.DUMMYFUNCTION("""COMPUTED_VALUE"""),2022)</f>
        <v>2022</v>
      </c>
      <c r="I362" s="67" t="str">
        <f ca="1">IFERROR(__xludf.DUMMYFUNCTION("""COMPUTED_VALUE"""),"10 3 02 64080")</f>
        <v>10 3 02 64080</v>
      </c>
      <c r="J362" s="67">
        <f ca="1">IFERROR(__xludf.DUMMYFUNCTION("""COMPUTED_VALUE"""),522)</f>
        <v>522</v>
      </c>
      <c r="K362" s="97">
        <f t="shared" ca="1" si="1"/>
        <v>0</v>
      </c>
      <c r="L362" s="97">
        <f ca="1">IFERROR(__xludf.DUMMYFUNCTION("""COMPUTED_VALUE"""),0)</f>
        <v>0</v>
      </c>
      <c r="M362" s="97">
        <f ca="1">IFERROR(__xludf.DUMMYFUNCTION("""COMPUTED_VALUE"""),0)</f>
        <v>0</v>
      </c>
      <c r="N362" s="97">
        <f ca="1">IFERROR(__xludf.DUMMYFUNCTION("""COMPUTED_VALUE"""),0)</f>
        <v>0</v>
      </c>
      <c r="O362" s="97">
        <f ca="1">IFERROR(__xludf.DUMMYFUNCTION("""COMPUTED_VALUE"""),0)</f>
        <v>0</v>
      </c>
      <c r="P362" s="97">
        <f t="shared" ca="1" si="2"/>
        <v>0</v>
      </c>
      <c r="Q362" s="67"/>
      <c r="R362" s="67"/>
      <c r="S362" s="97">
        <f ca="1">IFERROR(__xludf.DUMMYFUNCTION("""COMPUTED_VALUE"""),0)</f>
        <v>0</v>
      </c>
      <c r="T362" s="97">
        <f ca="1">IFERROR(__xludf.DUMMYFUNCTION("""COMPUTED_VALUE"""),0)</f>
        <v>0</v>
      </c>
      <c r="U362" s="97">
        <f ca="1">IFERROR(__xludf.DUMMYFUNCTION("""COMPUTED_VALUE"""),0)</f>
        <v>0</v>
      </c>
      <c r="V362" s="97">
        <f ca="1">IFERROR(__xludf.DUMMYFUNCTION("""COMPUTED_VALUE"""),0)</f>
        <v>0</v>
      </c>
      <c r="W362" s="97">
        <f ca="1">IFERROR(__xludf.DUMMYFUNCTION("""COMPUTED_VALUE"""),0)</f>
        <v>0</v>
      </c>
      <c r="X362" s="97">
        <f ca="1">IFERROR(__xludf.DUMMYFUNCTION("""COMPUTED_VALUE"""),0)</f>
        <v>0</v>
      </c>
      <c r="Y362" s="97">
        <f t="shared" ca="1" si="3"/>
        <v>0</v>
      </c>
      <c r="Z362" s="67">
        <f t="shared" si="4"/>
        <v>0</v>
      </c>
      <c r="AA362" s="67"/>
      <c r="AB362" s="67"/>
      <c r="AC362" s="67"/>
      <c r="AD362" s="99" t="e">
        <f t="shared" ca="1" si="5"/>
        <v>#DIV/0!</v>
      </c>
      <c r="AE362" s="67"/>
      <c r="AF362" s="67"/>
      <c r="AG362" s="67"/>
      <c r="AH362" s="67"/>
      <c r="AI362" s="67"/>
      <c r="AJ362" s="67"/>
      <c r="AK362" s="67"/>
      <c r="AL362" s="67"/>
      <c r="AM362" s="67"/>
      <c r="AN362" s="67"/>
      <c r="AO362" s="67"/>
      <c r="AP362" s="67"/>
      <c r="AQ362" s="67"/>
      <c r="AR362" s="67"/>
      <c r="AS362" s="67"/>
      <c r="AT362" s="67"/>
    </row>
    <row r="363" spans="1:46" ht="72" hidden="1" x14ac:dyDescent="0.2">
      <c r="A363" s="67"/>
      <c r="B363" s="96"/>
      <c r="C36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3" s="20" t="str">
        <f ca="1">IFERROR(__xludf.DUMMYFUNCTION("""COMPUTED_VALUE"""),"МинЖКХ ""ТОП 5 (2 этап)""")</f>
        <v>МинЖКХ "ТОП 5 (2 этап)"</v>
      </c>
      <c r="E363" s="20" t="str">
        <f ca="1">IFERROR(__xludf.DUMMYFUNCTION("""COMPUTED_VALUE"""),"Строительство тепловых сетей к котельной № 5 по адресу г. Наро-Фоминск, ул. Новикова, Наро-Фоминский г.о.")</f>
        <v>Строительство тепловых сетей к котельной № 5 по адресу г. Наро-Фоминск, ул. Новикова, Наро-Фоминский г.о.</v>
      </c>
      <c r="F363" s="67" t="str">
        <f ca="1">IFERROR(__xludf.DUMMYFUNCTION("""COMPUTED_VALUE"""),"СМР")</f>
        <v>СМР</v>
      </c>
      <c r="G363" s="67" t="str">
        <f ca="1">IFERROR(__xludf.DUMMYFUNCTION("""COMPUTED_VALUE"""),"г.о. Наро-Фоминск")</f>
        <v>г.о. Наро-Фоминск</v>
      </c>
      <c r="H363" s="67">
        <f ca="1">IFERROR(__xludf.DUMMYFUNCTION("""COMPUTED_VALUE"""),2022)</f>
        <v>2022</v>
      </c>
      <c r="I363" s="67" t="str">
        <f ca="1">IFERROR(__xludf.DUMMYFUNCTION("""COMPUTED_VALUE"""),"10 3 02 64080")</f>
        <v>10 3 02 64080</v>
      </c>
      <c r="J363" s="67">
        <f ca="1">IFERROR(__xludf.DUMMYFUNCTION("""COMPUTED_VALUE"""),522)</f>
        <v>522</v>
      </c>
      <c r="K363" s="97">
        <f t="shared" ca="1" si="1"/>
        <v>0</v>
      </c>
      <c r="L363" s="97">
        <f ca="1">IFERROR(__xludf.DUMMYFUNCTION("""COMPUTED_VALUE"""),0)</f>
        <v>0</v>
      </c>
      <c r="M363" s="97">
        <f ca="1">IFERROR(__xludf.DUMMYFUNCTION("""COMPUTED_VALUE"""),0)</f>
        <v>0</v>
      </c>
      <c r="N363" s="97">
        <f ca="1">IFERROR(__xludf.DUMMYFUNCTION("""COMPUTED_VALUE"""),0)</f>
        <v>0</v>
      </c>
      <c r="O363" s="97">
        <f ca="1">IFERROR(__xludf.DUMMYFUNCTION("""COMPUTED_VALUE"""),0)</f>
        <v>0</v>
      </c>
      <c r="P363" s="97">
        <f t="shared" ca="1" si="2"/>
        <v>0</v>
      </c>
      <c r="Q363" s="67"/>
      <c r="R363" s="67"/>
      <c r="S363" s="97">
        <f ca="1">IFERROR(__xludf.DUMMYFUNCTION("""COMPUTED_VALUE"""),0)</f>
        <v>0</v>
      </c>
      <c r="T363" s="97">
        <f ca="1">IFERROR(__xludf.DUMMYFUNCTION("""COMPUTED_VALUE"""),0)</f>
        <v>0</v>
      </c>
      <c r="U363" s="97">
        <f ca="1">IFERROR(__xludf.DUMMYFUNCTION("""COMPUTED_VALUE"""),0)</f>
        <v>0</v>
      </c>
      <c r="V363" s="97">
        <f ca="1">IFERROR(__xludf.DUMMYFUNCTION("""COMPUTED_VALUE"""),0)</f>
        <v>0</v>
      </c>
      <c r="W363" s="97">
        <f ca="1">IFERROR(__xludf.DUMMYFUNCTION("""COMPUTED_VALUE"""),0)</f>
        <v>0</v>
      </c>
      <c r="X363" s="97">
        <f ca="1">IFERROR(__xludf.DUMMYFUNCTION("""COMPUTED_VALUE"""),0)</f>
        <v>0</v>
      </c>
      <c r="Y363" s="97">
        <f t="shared" ca="1" si="3"/>
        <v>0</v>
      </c>
      <c r="Z363" s="67">
        <f t="shared" si="4"/>
        <v>0</v>
      </c>
      <c r="AA363" s="67"/>
      <c r="AB363" s="67"/>
      <c r="AC363" s="67"/>
      <c r="AD363" s="99" t="e">
        <f t="shared" ca="1" si="5"/>
        <v>#DIV/0!</v>
      </c>
      <c r="AE363" s="67"/>
      <c r="AF363" s="67"/>
      <c r="AG363" s="67"/>
      <c r="AH363" s="67"/>
      <c r="AI363" s="67"/>
      <c r="AJ363" s="67"/>
      <c r="AK363" s="67"/>
      <c r="AL363" s="67"/>
      <c r="AM363" s="67"/>
      <c r="AN363" s="67"/>
      <c r="AO363" s="67"/>
      <c r="AP363" s="67"/>
      <c r="AQ363" s="67"/>
      <c r="AR363" s="67"/>
      <c r="AS363" s="67"/>
      <c r="AT363" s="67"/>
    </row>
    <row r="364" spans="1:46" ht="72" hidden="1" x14ac:dyDescent="0.2">
      <c r="A364" s="67"/>
      <c r="B364" s="96"/>
      <c r="C36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4" s="20" t="str">
        <f ca="1">IFERROR(__xludf.DUMMYFUNCTION("""COMPUTED_VALUE"""),"МинЖКХ ""ТОП 5 (2 этап)""")</f>
        <v>МинЖКХ "ТОП 5 (2 этап)"</v>
      </c>
      <c r="E364" s="20" t="str">
        <f ca="1">IFERROR(__xludf.DUMMYFUNCTION("""COMPUTED_VALUE"""),"Реконструкция котельной №1 по адресу г. Талдом, мкр. р-н ""Юбилейный"", д.24а, г.о. Талдомский
 (в т.ч. ПИР, ТП)")</f>
        <v>Реконструкция котельной №1 по адресу г. Талдом, мкр. р-н "Юбилейный", д.24а, г.о. Талдомский
 (в т.ч. ПИР, ТП)</v>
      </c>
      <c r="F364" s="67" t="str">
        <f ca="1">IFERROR(__xludf.DUMMYFUNCTION("""COMPUTED_VALUE"""),"СМР")</f>
        <v>СМР</v>
      </c>
      <c r="G364" s="67" t="str">
        <f ca="1">IFERROR(__xludf.DUMMYFUNCTION("""COMPUTED_VALUE"""),"г.о. Талдомский")</f>
        <v>г.о. Талдомский</v>
      </c>
      <c r="H364" s="67" t="str">
        <f ca="1">IFERROR(__xludf.DUMMYFUNCTION("""COMPUTED_VALUE"""),"2022-2024")</f>
        <v>2022-2024</v>
      </c>
      <c r="I364" s="67" t="str">
        <f ca="1">IFERROR(__xludf.DUMMYFUNCTION("""COMPUTED_VALUE"""),"10 3 02 64080")</f>
        <v>10 3 02 64080</v>
      </c>
      <c r="J364" s="67">
        <f ca="1">IFERROR(__xludf.DUMMYFUNCTION("""COMPUTED_VALUE"""),522)</f>
        <v>522</v>
      </c>
      <c r="K364" s="97">
        <f t="shared" ca="1" si="1"/>
        <v>0</v>
      </c>
      <c r="L364" s="97">
        <f ca="1">IFERROR(__xludf.DUMMYFUNCTION("""COMPUTED_VALUE"""),0)</f>
        <v>0</v>
      </c>
      <c r="M364" s="97">
        <f ca="1">IFERROR(__xludf.DUMMYFUNCTION("""COMPUTED_VALUE"""),0)</f>
        <v>0</v>
      </c>
      <c r="N364" s="97">
        <f ca="1">IFERROR(__xludf.DUMMYFUNCTION("""COMPUTED_VALUE"""),0)</f>
        <v>0</v>
      </c>
      <c r="O364" s="97">
        <f ca="1">IFERROR(__xludf.DUMMYFUNCTION("""COMPUTED_VALUE"""),0)</f>
        <v>0</v>
      </c>
      <c r="P364" s="97">
        <f t="shared" ca="1" si="2"/>
        <v>0</v>
      </c>
      <c r="Q364" s="67"/>
      <c r="R364" s="67"/>
      <c r="S364" s="97">
        <f ca="1">IFERROR(__xludf.DUMMYFUNCTION("""COMPUTED_VALUE"""),0)</f>
        <v>0</v>
      </c>
      <c r="T364" s="97">
        <f ca="1">IFERROR(__xludf.DUMMYFUNCTION("""COMPUTED_VALUE"""),0)</f>
        <v>0</v>
      </c>
      <c r="U364" s="97">
        <f ca="1">IFERROR(__xludf.DUMMYFUNCTION("""COMPUTED_VALUE"""),0)</f>
        <v>0</v>
      </c>
      <c r="V364" s="97">
        <f ca="1">IFERROR(__xludf.DUMMYFUNCTION("""COMPUTED_VALUE"""),0)</f>
        <v>0</v>
      </c>
      <c r="W364" s="97">
        <f ca="1">IFERROR(__xludf.DUMMYFUNCTION("""COMPUTED_VALUE"""),0)</f>
        <v>0</v>
      </c>
      <c r="X364" s="97">
        <f ca="1">IFERROR(__xludf.DUMMYFUNCTION("""COMPUTED_VALUE"""),0)</f>
        <v>0</v>
      </c>
      <c r="Y364" s="97">
        <f t="shared" ca="1" si="3"/>
        <v>0</v>
      </c>
      <c r="Z364" s="67">
        <f t="shared" si="4"/>
        <v>0</v>
      </c>
      <c r="AA364" s="67"/>
      <c r="AB364" s="67"/>
      <c r="AC364" s="67"/>
      <c r="AD364" s="99" t="e">
        <f t="shared" ca="1" si="5"/>
        <v>#DIV/0!</v>
      </c>
      <c r="AE364" s="67"/>
      <c r="AF364" s="67"/>
      <c r="AG364" s="67"/>
      <c r="AH364" s="67"/>
      <c r="AI364" s="67"/>
      <c r="AJ364" s="67"/>
      <c r="AK364" s="67"/>
      <c r="AL364" s="67"/>
      <c r="AM364" s="67"/>
      <c r="AN364" s="67"/>
      <c r="AO364" s="67"/>
      <c r="AP364" s="67"/>
      <c r="AQ364" s="67"/>
      <c r="AR364" s="67"/>
      <c r="AS364" s="67"/>
      <c r="AT364" s="67"/>
    </row>
    <row r="365" spans="1:46" ht="72" hidden="1" x14ac:dyDescent="0.2">
      <c r="A365" s="67"/>
      <c r="B365" s="96"/>
      <c r="C36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5" s="20" t="str">
        <f ca="1">IFERROR(__xludf.DUMMYFUNCTION("""COMPUTED_VALUE"""),"МинЖКХ ""ТОП 5 (2 этап)""")</f>
        <v>МинЖКХ "ТОП 5 (2 этап)"</v>
      </c>
      <c r="E365" s="20" t="str">
        <f ca="1">IFERROR(__xludf.DUMMYFUNCTION("""COMPUTED_VALUE"""),"Реконструкция котельной №3 по адресу г. Талдом, ул. Мичурина, д.3а, г.о. Талдомский (в т.ч. ПИР, ТП)")</f>
        <v>Реконструкция котельной №3 по адресу г. Талдом, ул. Мичурина, д.3а, г.о. Талдомский (в т.ч. ПИР, ТП)</v>
      </c>
      <c r="F365" s="67" t="str">
        <f ca="1">IFERROR(__xludf.DUMMYFUNCTION("""COMPUTED_VALUE"""),"СМР")</f>
        <v>СМР</v>
      </c>
      <c r="G365" s="67" t="str">
        <f ca="1">IFERROR(__xludf.DUMMYFUNCTION("""COMPUTED_VALUE"""),"г.о. Талдомский")</f>
        <v>г.о. Талдомский</v>
      </c>
      <c r="H365" s="67" t="str">
        <f ca="1">IFERROR(__xludf.DUMMYFUNCTION("""COMPUTED_VALUE"""),"2022-2024")</f>
        <v>2022-2024</v>
      </c>
      <c r="I365" s="67" t="str">
        <f ca="1">IFERROR(__xludf.DUMMYFUNCTION("""COMPUTED_VALUE"""),"10 3 02 64080")</f>
        <v>10 3 02 64080</v>
      </c>
      <c r="J365" s="67">
        <f ca="1">IFERROR(__xludf.DUMMYFUNCTION("""COMPUTED_VALUE"""),522)</f>
        <v>522</v>
      </c>
      <c r="K365" s="97">
        <f t="shared" ca="1" si="1"/>
        <v>0</v>
      </c>
      <c r="L365" s="97">
        <f ca="1">IFERROR(__xludf.DUMMYFUNCTION("""COMPUTED_VALUE"""),0)</f>
        <v>0</v>
      </c>
      <c r="M365" s="97">
        <f ca="1">IFERROR(__xludf.DUMMYFUNCTION("""COMPUTED_VALUE"""),0)</f>
        <v>0</v>
      </c>
      <c r="N365" s="97">
        <f ca="1">IFERROR(__xludf.DUMMYFUNCTION("""COMPUTED_VALUE"""),0)</f>
        <v>0</v>
      </c>
      <c r="O365" s="97">
        <f ca="1">IFERROR(__xludf.DUMMYFUNCTION("""COMPUTED_VALUE"""),0)</f>
        <v>0</v>
      </c>
      <c r="P365" s="97">
        <f t="shared" ca="1" si="2"/>
        <v>0</v>
      </c>
      <c r="Q365" s="67"/>
      <c r="R365" s="67"/>
      <c r="S365" s="97">
        <f ca="1">IFERROR(__xludf.DUMMYFUNCTION("""COMPUTED_VALUE"""),0)</f>
        <v>0</v>
      </c>
      <c r="T365" s="97">
        <f ca="1">IFERROR(__xludf.DUMMYFUNCTION("""COMPUTED_VALUE"""),0)</f>
        <v>0</v>
      </c>
      <c r="U365" s="97">
        <f ca="1">IFERROR(__xludf.DUMMYFUNCTION("""COMPUTED_VALUE"""),0)</f>
        <v>0</v>
      </c>
      <c r="V365" s="97">
        <f ca="1">IFERROR(__xludf.DUMMYFUNCTION("""COMPUTED_VALUE"""),0)</f>
        <v>0</v>
      </c>
      <c r="W365" s="97">
        <f ca="1">IFERROR(__xludf.DUMMYFUNCTION("""COMPUTED_VALUE"""),0)</f>
        <v>0</v>
      </c>
      <c r="X365" s="97">
        <f ca="1">IFERROR(__xludf.DUMMYFUNCTION("""COMPUTED_VALUE"""),0)</f>
        <v>0</v>
      </c>
      <c r="Y365" s="97">
        <f t="shared" ca="1" si="3"/>
        <v>0</v>
      </c>
      <c r="Z365" s="67">
        <f t="shared" si="4"/>
        <v>0</v>
      </c>
      <c r="AA365" s="67"/>
      <c r="AB365" s="67"/>
      <c r="AC365" s="67"/>
      <c r="AD365" s="99" t="e">
        <f t="shared" ca="1" si="5"/>
        <v>#DIV/0!</v>
      </c>
      <c r="AE365" s="67"/>
      <c r="AF365" s="67"/>
      <c r="AG365" s="67"/>
      <c r="AH365" s="67"/>
      <c r="AI365" s="67"/>
      <c r="AJ365" s="67"/>
      <c r="AK365" s="67"/>
      <c r="AL365" s="67"/>
      <c r="AM365" s="67"/>
      <c r="AN365" s="67"/>
      <c r="AO365" s="67"/>
      <c r="AP365" s="67"/>
      <c r="AQ365" s="67"/>
      <c r="AR365" s="67"/>
      <c r="AS365" s="67"/>
      <c r="AT365" s="67"/>
    </row>
    <row r="366" spans="1:46" ht="72" hidden="1" x14ac:dyDescent="0.2">
      <c r="A366" s="67"/>
      <c r="B366" s="96"/>
      <c r="C36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6" s="20" t="str">
        <f ca="1">IFERROR(__xludf.DUMMYFUNCTION("""COMPUTED_VALUE"""),"МинЖКХ ""ТОП 5 (2 этап)""")</f>
        <v>МинЖКХ "ТОП 5 (2 этап)"</v>
      </c>
      <c r="E366" s="20" t="str">
        <f ca="1">IFERROR(__xludf.DUMMYFUNCTION("""COMPUTED_VALUE"""),"Реконструкция котельной ""Вербилки"", п. Вербилки, ул. Якотская, д.6, г.о. Талдомский (в т.ч. ПИР)")</f>
        <v>Реконструкция котельной "Вербилки", п. Вербилки, ул. Якотская, д.6, г.о. Талдомский (в т.ч. ПИР)</v>
      </c>
      <c r="F366" s="67" t="str">
        <f ca="1">IFERROR(__xludf.DUMMYFUNCTION("""COMPUTED_VALUE"""),"СМР")</f>
        <v>СМР</v>
      </c>
      <c r="G366" s="67" t="str">
        <f ca="1">IFERROR(__xludf.DUMMYFUNCTION("""COMPUTED_VALUE"""),"г.о. Талдомский")</f>
        <v>г.о. Талдомский</v>
      </c>
      <c r="H366" s="67" t="str">
        <f ca="1">IFERROR(__xludf.DUMMYFUNCTION("""COMPUTED_VALUE"""),"2022-2024")</f>
        <v>2022-2024</v>
      </c>
      <c r="I366" s="67" t="str">
        <f ca="1">IFERROR(__xludf.DUMMYFUNCTION("""COMPUTED_VALUE"""),"10 3 02 64080")</f>
        <v>10 3 02 64080</v>
      </c>
      <c r="J366" s="67">
        <f ca="1">IFERROR(__xludf.DUMMYFUNCTION("""COMPUTED_VALUE"""),522)</f>
        <v>522</v>
      </c>
      <c r="K366" s="97">
        <f t="shared" ca="1" si="1"/>
        <v>0</v>
      </c>
      <c r="L366" s="97">
        <f ca="1">IFERROR(__xludf.DUMMYFUNCTION("""COMPUTED_VALUE"""),0)</f>
        <v>0</v>
      </c>
      <c r="M366" s="97">
        <f ca="1">IFERROR(__xludf.DUMMYFUNCTION("""COMPUTED_VALUE"""),0)</f>
        <v>0</v>
      </c>
      <c r="N366" s="97">
        <f ca="1">IFERROR(__xludf.DUMMYFUNCTION("""COMPUTED_VALUE"""),0)</f>
        <v>0</v>
      </c>
      <c r="O366" s="97">
        <f ca="1">IFERROR(__xludf.DUMMYFUNCTION("""COMPUTED_VALUE"""),0)</f>
        <v>0</v>
      </c>
      <c r="P366" s="97">
        <f t="shared" ca="1" si="2"/>
        <v>0</v>
      </c>
      <c r="Q366" s="67"/>
      <c r="R366" s="67"/>
      <c r="S366" s="97">
        <f ca="1">IFERROR(__xludf.DUMMYFUNCTION("""COMPUTED_VALUE"""),0)</f>
        <v>0</v>
      </c>
      <c r="T366" s="97">
        <f ca="1">IFERROR(__xludf.DUMMYFUNCTION("""COMPUTED_VALUE"""),0)</f>
        <v>0</v>
      </c>
      <c r="U366" s="97">
        <f ca="1">IFERROR(__xludf.DUMMYFUNCTION("""COMPUTED_VALUE"""),0)</f>
        <v>0</v>
      </c>
      <c r="V366" s="97">
        <f ca="1">IFERROR(__xludf.DUMMYFUNCTION("""COMPUTED_VALUE"""),0)</f>
        <v>0</v>
      </c>
      <c r="W366" s="97">
        <f ca="1">IFERROR(__xludf.DUMMYFUNCTION("""COMPUTED_VALUE"""),0)</f>
        <v>0</v>
      </c>
      <c r="X366" s="97">
        <f ca="1">IFERROR(__xludf.DUMMYFUNCTION("""COMPUTED_VALUE"""),0)</f>
        <v>0</v>
      </c>
      <c r="Y366" s="97">
        <f t="shared" ca="1" si="3"/>
        <v>0</v>
      </c>
      <c r="Z366" s="67">
        <f t="shared" si="4"/>
        <v>0</v>
      </c>
      <c r="AA366" s="67"/>
      <c r="AB366" s="67"/>
      <c r="AC366" s="67"/>
      <c r="AD366" s="99" t="e">
        <f t="shared" ca="1" si="5"/>
        <v>#DIV/0!</v>
      </c>
      <c r="AE366" s="67"/>
      <c r="AF366" s="67"/>
      <c r="AG366" s="67"/>
      <c r="AH366" s="67"/>
      <c r="AI366" s="67"/>
      <c r="AJ366" s="67"/>
      <c r="AK366" s="67"/>
      <c r="AL366" s="67"/>
      <c r="AM366" s="67"/>
      <c r="AN366" s="67"/>
      <c r="AO366" s="67"/>
      <c r="AP366" s="67"/>
      <c r="AQ366" s="67"/>
      <c r="AR366" s="67"/>
      <c r="AS366" s="67"/>
      <c r="AT366" s="67"/>
    </row>
    <row r="367" spans="1:46" ht="72" hidden="1" x14ac:dyDescent="0.2">
      <c r="A367" s="67"/>
      <c r="B367" s="96"/>
      <c r="C36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7" s="20" t="str">
        <f ca="1">IFERROR(__xludf.DUMMYFUNCTION("""COMPUTED_VALUE"""),"МинЖКХ ""ТОП 5 (2 этап)""")</f>
        <v>МинЖКХ "ТОП 5 (2 этап)"</v>
      </c>
      <c r="E367" s="20" t="str">
        <f ca="1">IFERROR(__xludf.DUMMYFUNCTION("""COMPUTED_VALUE"""),"Реконструкция котельной ""РУС"", г. Талдом, ул. Собцова, д.1а, г.о. Талдомский (в т.ч. ПИР, ТП)")</f>
        <v>Реконструкция котельной "РУС", г. Талдом, ул. Собцова, д.1а, г.о. Талдомский (в т.ч. ПИР, ТП)</v>
      </c>
      <c r="F367" s="67" t="str">
        <f ca="1">IFERROR(__xludf.DUMMYFUNCTION("""COMPUTED_VALUE"""),"СМР")</f>
        <v>СМР</v>
      </c>
      <c r="G367" s="67" t="str">
        <f ca="1">IFERROR(__xludf.DUMMYFUNCTION("""COMPUTED_VALUE"""),"г.о. Талдомский")</f>
        <v>г.о. Талдомский</v>
      </c>
      <c r="H367" s="67" t="str">
        <f ca="1">IFERROR(__xludf.DUMMYFUNCTION("""COMPUTED_VALUE"""),"2023-2024")</f>
        <v>2023-2024</v>
      </c>
      <c r="I367" s="67" t="str">
        <f ca="1">IFERROR(__xludf.DUMMYFUNCTION("""COMPUTED_VALUE"""),"10 3 02 64080")</f>
        <v>10 3 02 64080</v>
      </c>
      <c r="J367" s="67">
        <f ca="1">IFERROR(__xludf.DUMMYFUNCTION("""COMPUTED_VALUE"""),522)</f>
        <v>522</v>
      </c>
      <c r="K367" s="97">
        <f t="shared" ca="1" si="1"/>
        <v>0</v>
      </c>
      <c r="L367" s="97">
        <f ca="1">IFERROR(__xludf.DUMMYFUNCTION("""COMPUTED_VALUE"""),0)</f>
        <v>0</v>
      </c>
      <c r="M367" s="97">
        <f ca="1">IFERROR(__xludf.DUMMYFUNCTION("""COMPUTED_VALUE"""),0)</f>
        <v>0</v>
      </c>
      <c r="N367" s="97">
        <f ca="1">IFERROR(__xludf.DUMMYFUNCTION("""COMPUTED_VALUE"""),0)</f>
        <v>0</v>
      </c>
      <c r="O367" s="97">
        <f ca="1">IFERROR(__xludf.DUMMYFUNCTION("""COMPUTED_VALUE"""),0)</f>
        <v>0</v>
      </c>
      <c r="P367" s="97">
        <f t="shared" ca="1" si="2"/>
        <v>0</v>
      </c>
      <c r="Q367" s="67"/>
      <c r="R367" s="67"/>
      <c r="S367" s="97">
        <f ca="1">IFERROR(__xludf.DUMMYFUNCTION("""COMPUTED_VALUE"""),0)</f>
        <v>0</v>
      </c>
      <c r="T367" s="97">
        <f ca="1">IFERROR(__xludf.DUMMYFUNCTION("""COMPUTED_VALUE"""),0)</f>
        <v>0</v>
      </c>
      <c r="U367" s="97">
        <f ca="1">IFERROR(__xludf.DUMMYFUNCTION("""COMPUTED_VALUE"""),0)</f>
        <v>0</v>
      </c>
      <c r="V367" s="97">
        <f ca="1">IFERROR(__xludf.DUMMYFUNCTION("""COMPUTED_VALUE"""),0)</f>
        <v>0</v>
      </c>
      <c r="W367" s="97">
        <f ca="1">IFERROR(__xludf.DUMMYFUNCTION("""COMPUTED_VALUE"""),0)</f>
        <v>0</v>
      </c>
      <c r="X367" s="97">
        <f ca="1">IFERROR(__xludf.DUMMYFUNCTION("""COMPUTED_VALUE"""),0)</f>
        <v>0</v>
      </c>
      <c r="Y367" s="97">
        <f t="shared" ca="1" si="3"/>
        <v>0</v>
      </c>
      <c r="Z367" s="67">
        <f t="shared" si="4"/>
        <v>0</v>
      </c>
      <c r="AA367" s="67"/>
      <c r="AB367" s="67"/>
      <c r="AC367" s="67"/>
      <c r="AD367" s="99" t="e">
        <f t="shared" ca="1" si="5"/>
        <v>#DIV/0!</v>
      </c>
      <c r="AE367" s="67"/>
      <c r="AF367" s="67"/>
      <c r="AG367" s="67"/>
      <c r="AH367" s="67"/>
      <c r="AI367" s="67"/>
      <c r="AJ367" s="67"/>
      <c r="AK367" s="67"/>
      <c r="AL367" s="67"/>
      <c r="AM367" s="67"/>
      <c r="AN367" s="67"/>
      <c r="AO367" s="67"/>
      <c r="AP367" s="67"/>
      <c r="AQ367" s="67"/>
      <c r="AR367" s="67"/>
      <c r="AS367" s="67"/>
      <c r="AT367" s="67"/>
    </row>
    <row r="368" spans="1:46" ht="72" hidden="1" x14ac:dyDescent="0.2">
      <c r="A368" s="67"/>
      <c r="B368" s="96"/>
      <c r="C36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8" s="20" t="str">
        <f ca="1">IFERROR(__xludf.DUMMYFUNCTION("""COMPUTED_VALUE"""),"МинЖКХ ""ТОП 5 (2 этап)""")</f>
        <v>МинЖКХ "ТОП 5 (2 этап)"</v>
      </c>
      <c r="E368" s="20" t="str">
        <f ca="1">IFERROR(__xludf.DUMMYFUNCTION("""COMPUTED_VALUE"""),"Реконструкция котельной № 15 по адресу г. Апрелевка, ул. Ленина, Наро-Фоминский г.о. (в т.ч. ПИР)")</f>
        <v>Реконструкция котельной № 15 по адресу г. Апрелевка, ул. Ленина, Наро-Фоминский г.о. (в т.ч. ПИР)</v>
      </c>
      <c r="F368" s="67" t="str">
        <f ca="1">IFERROR(__xludf.DUMMYFUNCTION("""COMPUTED_VALUE"""),"СМР")</f>
        <v>СМР</v>
      </c>
      <c r="G368" s="67" t="str">
        <f ca="1">IFERROR(__xludf.DUMMYFUNCTION("""COMPUTED_VALUE"""),"г.о. Наро-Фоминск")</f>
        <v>г.о. Наро-Фоминск</v>
      </c>
      <c r="H368" s="67" t="str">
        <f ca="1">IFERROR(__xludf.DUMMYFUNCTION("""COMPUTED_VALUE"""),"2022-2023")</f>
        <v>2022-2023</v>
      </c>
      <c r="I368" s="67" t="str">
        <f ca="1">IFERROR(__xludf.DUMMYFUNCTION("""COMPUTED_VALUE"""),"10 3 02 64080")</f>
        <v>10 3 02 64080</v>
      </c>
      <c r="J368" s="67">
        <f ca="1">IFERROR(__xludf.DUMMYFUNCTION("""COMPUTED_VALUE"""),522)</f>
        <v>522</v>
      </c>
      <c r="K368" s="97">
        <f t="shared" ca="1" si="1"/>
        <v>0</v>
      </c>
      <c r="L368" s="97">
        <f ca="1">IFERROR(__xludf.DUMMYFUNCTION("""COMPUTED_VALUE"""),0)</f>
        <v>0</v>
      </c>
      <c r="M368" s="97">
        <f ca="1">IFERROR(__xludf.DUMMYFUNCTION("""COMPUTED_VALUE"""),0)</f>
        <v>0</v>
      </c>
      <c r="N368" s="97">
        <f ca="1">IFERROR(__xludf.DUMMYFUNCTION("""COMPUTED_VALUE"""),0)</f>
        <v>0</v>
      </c>
      <c r="O368" s="97">
        <f ca="1">IFERROR(__xludf.DUMMYFUNCTION("""COMPUTED_VALUE"""),0)</f>
        <v>0</v>
      </c>
      <c r="P368" s="97">
        <f t="shared" ca="1" si="2"/>
        <v>0</v>
      </c>
      <c r="Q368" s="67"/>
      <c r="R368" s="67"/>
      <c r="S368" s="97">
        <f ca="1">IFERROR(__xludf.DUMMYFUNCTION("""COMPUTED_VALUE"""),0)</f>
        <v>0</v>
      </c>
      <c r="T368" s="97">
        <f ca="1">IFERROR(__xludf.DUMMYFUNCTION("""COMPUTED_VALUE"""),0)</f>
        <v>0</v>
      </c>
      <c r="U368" s="97">
        <f ca="1">IFERROR(__xludf.DUMMYFUNCTION("""COMPUTED_VALUE"""),0)</f>
        <v>0</v>
      </c>
      <c r="V368" s="97">
        <f ca="1">IFERROR(__xludf.DUMMYFUNCTION("""COMPUTED_VALUE"""),0)</f>
        <v>0</v>
      </c>
      <c r="W368" s="97">
        <f ca="1">IFERROR(__xludf.DUMMYFUNCTION("""COMPUTED_VALUE"""),0)</f>
        <v>0</v>
      </c>
      <c r="X368" s="97">
        <f ca="1">IFERROR(__xludf.DUMMYFUNCTION("""COMPUTED_VALUE"""),0)</f>
        <v>0</v>
      </c>
      <c r="Y368" s="97">
        <f t="shared" ca="1" si="3"/>
        <v>0</v>
      </c>
      <c r="Z368" s="67">
        <f t="shared" si="4"/>
        <v>0</v>
      </c>
      <c r="AA368" s="67"/>
      <c r="AB368" s="67"/>
      <c r="AC368" s="67"/>
      <c r="AD368" s="99" t="e">
        <f t="shared" ca="1" si="5"/>
        <v>#DIV/0!</v>
      </c>
      <c r="AE368" s="67"/>
      <c r="AF368" s="67"/>
      <c r="AG368" s="67"/>
      <c r="AH368" s="67"/>
      <c r="AI368" s="67"/>
      <c r="AJ368" s="67"/>
      <c r="AK368" s="67"/>
      <c r="AL368" s="67"/>
      <c r="AM368" s="67"/>
      <c r="AN368" s="67"/>
      <c r="AO368" s="67"/>
      <c r="AP368" s="67"/>
      <c r="AQ368" s="67"/>
      <c r="AR368" s="67"/>
      <c r="AS368" s="67"/>
      <c r="AT368" s="67"/>
    </row>
    <row r="369" spans="1:46" ht="72" hidden="1" x14ac:dyDescent="0.2">
      <c r="A369" s="67"/>
      <c r="B369" s="96"/>
      <c r="C36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9" s="20" t="str">
        <f ca="1">IFERROR(__xludf.DUMMYFUNCTION("""COMPUTED_VALUE"""),"МинЖКХ ""ТОП 5 (2 этап)""")</f>
        <v>МинЖКХ "ТОП 5 (2 этап)"</v>
      </c>
      <c r="E369" s="20" t="str">
        <f ca="1">IFERROR(__xludf.DUMMYFUNCTION("""COMPUTED_VALUE"""),"Реконструкция котельной №14 по адресу д. Михалёво, Микрорайон, д.28, г.о. Лотошино (в т.ч. ПИР)")</f>
        <v>Реконструкция котельной №14 по адресу д. Михалёво, Микрорайон, д.28, г.о. Лотошино (в т.ч. ПИР)</v>
      </c>
      <c r="F369" s="67" t="str">
        <f ca="1">IFERROR(__xludf.DUMMYFUNCTION("""COMPUTED_VALUE"""),"СМР")</f>
        <v>СМР</v>
      </c>
      <c r="G369" s="67" t="str">
        <f ca="1">IFERROR(__xludf.DUMMYFUNCTION("""COMPUTED_VALUE"""),"г.о. Лотошино")</f>
        <v>г.о. Лотошино</v>
      </c>
      <c r="H369" s="67" t="str">
        <f ca="1">IFERROR(__xludf.DUMMYFUNCTION("""COMPUTED_VALUE"""),"2022-2023")</f>
        <v>2022-2023</v>
      </c>
      <c r="I369" s="67" t="str">
        <f ca="1">IFERROR(__xludf.DUMMYFUNCTION("""COMPUTED_VALUE"""),"10 3 02 64080")</f>
        <v>10 3 02 64080</v>
      </c>
      <c r="J369" s="67">
        <f ca="1">IFERROR(__xludf.DUMMYFUNCTION("""COMPUTED_VALUE"""),522)</f>
        <v>522</v>
      </c>
      <c r="K369" s="97">
        <f t="shared" ca="1" si="1"/>
        <v>0</v>
      </c>
      <c r="L369" s="97">
        <f ca="1">IFERROR(__xludf.DUMMYFUNCTION("""COMPUTED_VALUE"""),0)</f>
        <v>0</v>
      </c>
      <c r="M369" s="97">
        <f ca="1">IFERROR(__xludf.DUMMYFUNCTION("""COMPUTED_VALUE"""),0)</f>
        <v>0</v>
      </c>
      <c r="N369" s="97">
        <f ca="1">IFERROR(__xludf.DUMMYFUNCTION("""COMPUTED_VALUE"""),0)</f>
        <v>0</v>
      </c>
      <c r="O369" s="97">
        <f ca="1">IFERROR(__xludf.DUMMYFUNCTION("""COMPUTED_VALUE"""),0)</f>
        <v>0</v>
      </c>
      <c r="P369" s="97">
        <f t="shared" ca="1" si="2"/>
        <v>0</v>
      </c>
      <c r="Q369" s="67"/>
      <c r="R369" s="67"/>
      <c r="S369" s="97">
        <f ca="1">IFERROR(__xludf.DUMMYFUNCTION("""COMPUTED_VALUE"""),0)</f>
        <v>0</v>
      </c>
      <c r="T369" s="97">
        <f ca="1">IFERROR(__xludf.DUMMYFUNCTION("""COMPUTED_VALUE"""),0)</f>
        <v>0</v>
      </c>
      <c r="U369" s="97">
        <f ca="1">IFERROR(__xludf.DUMMYFUNCTION("""COMPUTED_VALUE"""),0)</f>
        <v>0</v>
      </c>
      <c r="V369" s="97">
        <f ca="1">IFERROR(__xludf.DUMMYFUNCTION("""COMPUTED_VALUE"""),0)</f>
        <v>0</v>
      </c>
      <c r="W369" s="97">
        <f ca="1">IFERROR(__xludf.DUMMYFUNCTION("""COMPUTED_VALUE"""),0)</f>
        <v>0</v>
      </c>
      <c r="X369" s="97">
        <f ca="1">IFERROR(__xludf.DUMMYFUNCTION("""COMPUTED_VALUE"""),0)</f>
        <v>0</v>
      </c>
      <c r="Y369" s="97">
        <f t="shared" ca="1" si="3"/>
        <v>0</v>
      </c>
      <c r="Z369" s="67">
        <f t="shared" si="4"/>
        <v>0</v>
      </c>
      <c r="AA369" s="67"/>
      <c r="AB369" s="67"/>
      <c r="AC369" s="67"/>
      <c r="AD369" s="99" t="e">
        <f t="shared" ca="1" si="5"/>
        <v>#DIV/0!</v>
      </c>
      <c r="AE369" s="67"/>
      <c r="AF369" s="67"/>
      <c r="AG369" s="67"/>
      <c r="AH369" s="67"/>
      <c r="AI369" s="67"/>
      <c r="AJ369" s="67"/>
      <c r="AK369" s="67"/>
      <c r="AL369" s="67"/>
      <c r="AM369" s="67"/>
      <c r="AN369" s="67"/>
      <c r="AO369" s="67"/>
      <c r="AP369" s="67"/>
      <c r="AQ369" s="67"/>
      <c r="AR369" s="67"/>
      <c r="AS369" s="67"/>
      <c r="AT369" s="67"/>
    </row>
    <row r="370" spans="1:46" ht="72" hidden="1" x14ac:dyDescent="0.2">
      <c r="A370" s="67"/>
      <c r="B370" s="96"/>
      <c r="C37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0" s="20" t="str">
        <f ca="1">IFERROR(__xludf.DUMMYFUNCTION("""COMPUTED_VALUE"""),"МинЖКХ ""ТОП 5 (2 этап)""")</f>
        <v>МинЖКХ "ТОП 5 (2 этап)"</v>
      </c>
      <c r="E370" s="20" t="str">
        <f ca="1">IFERROR(__xludf.DUMMYFUNCTION("""COMPUTED_VALUE"""),"Реконструкция котельной №16 по адресу с. Микулино, Микрорайон, д.19, г.о. Лотошино (в т.ч. ПИР)")</f>
        <v>Реконструкция котельной №16 по адресу с. Микулино, Микрорайон, д.19, г.о. Лотошино (в т.ч. ПИР)</v>
      </c>
      <c r="F370" s="67" t="str">
        <f ca="1">IFERROR(__xludf.DUMMYFUNCTION("""COMPUTED_VALUE"""),"СМР")</f>
        <v>СМР</v>
      </c>
      <c r="G370" s="67" t="str">
        <f ca="1">IFERROR(__xludf.DUMMYFUNCTION("""COMPUTED_VALUE"""),"г.о. Лотошино")</f>
        <v>г.о. Лотошино</v>
      </c>
      <c r="H370" s="67" t="str">
        <f ca="1">IFERROR(__xludf.DUMMYFUNCTION("""COMPUTED_VALUE"""),"2022-2023")</f>
        <v>2022-2023</v>
      </c>
      <c r="I370" s="67" t="str">
        <f ca="1">IFERROR(__xludf.DUMMYFUNCTION("""COMPUTED_VALUE"""),"10 3 02 64080")</f>
        <v>10 3 02 64080</v>
      </c>
      <c r="J370" s="67">
        <f ca="1">IFERROR(__xludf.DUMMYFUNCTION("""COMPUTED_VALUE"""),522)</f>
        <v>522</v>
      </c>
      <c r="K370" s="97">
        <f t="shared" ca="1" si="1"/>
        <v>0</v>
      </c>
      <c r="L370" s="97">
        <f ca="1">IFERROR(__xludf.DUMMYFUNCTION("""COMPUTED_VALUE"""),0)</f>
        <v>0</v>
      </c>
      <c r="M370" s="97">
        <f ca="1">IFERROR(__xludf.DUMMYFUNCTION("""COMPUTED_VALUE"""),0)</f>
        <v>0</v>
      </c>
      <c r="N370" s="97">
        <f ca="1">IFERROR(__xludf.DUMMYFUNCTION("""COMPUTED_VALUE"""),0)</f>
        <v>0</v>
      </c>
      <c r="O370" s="97">
        <f ca="1">IFERROR(__xludf.DUMMYFUNCTION("""COMPUTED_VALUE"""),0)</f>
        <v>0</v>
      </c>
      <c r="P370" s="97">
        <f t="shared" ca="1" si="2"/>
        <v>0</v>
      </c>
      <c r="Q370" s="67"/>
      <c r="R370" s="67"/>
      <c r="S370" s="97">
        <f ca="1">IFERROR(__xludf.DUMMYFUNCTION("""COMPUTED_VALUE"""),0)</f>
        <v>0</v>
      </c>
      <c r="T370" s="97">
        <f ca="1">IFERROR(__xludf.DUMMYFUNCTION("""COMPUTED_VALUE"""),0)</f>
        <v>0</v>
      </c>
      <c r="U370" s="97">
        <f ca="1">IFERROR(__xludf.DUMMYFUNCTION("""COMPUTED_VALUE"""),0)</f>
        <v>0</v>
      </c>
      <c r="V370" s="97">
        <f ca="1">IFERROR(__xludf.DUMMYFUNCTION("""COMPUTED_VALUE"""),0)</f>
        <v>0</v>
      </c>
      <c r="W370" s="97">
        <f ca="1">IFERROR(__xludf.DUMMYFUNCTION("""COMPUTED_VALUE"""),0)</f>
        <v>0</v>
      </c>
      <c r="X370" s="97">
        <f ca="1">IFERROR(__xludf.DUMMYFUNCTION("""COMPUTED_VALUE"""),0)</f>
        <v>0</v>
      </c>
      <c r="Y370" s="97">
        <f t="shared" ca="1" si="3"/>
        <v>0</v>
      </c>
      <c r="Z370" s="67">
        <f t="shared" si="4"/>
        <v>0</v>
      </c>
      <c r="AA370" s="67"/>
      <c r="AB370" s="67"/>
      <c r="AC370" s="67"/>
      <c r="AD370" s="99" t="e">
        <f t="shared" ca="1" si="5"/>
        <v>#DIV/0!</v>
      </c>
      <c r="AE370" s="67"/>
      <c r="AF370" s="67"/>
      <c r="AG370" s="67"/>
      <c r="AH370" s="67"/>
      <c r="AI370" s="67"/>
      <c r="AJ370" s="67"/>
      <c r="AK370" s="67"/>
      <c r="AL370" s="67"/>
      <c r="AM370" s="67"/>
      <c r="AN370" s="67"/>
      <c r="AO370" s="67"/>
      <c r="AP370" s="67"/>
      <c r="AQ370" s="67"/>
      <c r="AR370" s="67"/>
      <c r="AS370" s="67"/>
      <c r="AT370" s="67"/>
    </row>
    <row r="371" spans="1:46" ht="72" hidden="1" x14ac:dyDescent="0.2">
      <c r="A371" s="67"/>
      <c r="B371" s="96"/>
      <c r="C37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1" s="20" t="str">
        <f ca="1">IFERROR(__xludf.DUMMYFUNCTION("""COMPUTED_VALUE"""),"МинЖКХ ""ТОП 5 (2 этап)""")</f>
        <v>МинЖКХ "ТОП 5 (2 этап)"</v>
      </c>
      <c r="E371" s="20" t="str">
        <f ca="1">IFERROR(__xludf.DUMMYFUNCTION("""COMPUTED_VALUE"""),"Реконструкция котельной №2 по адресу г. Талдом, Промышленный проезд, д.12, г.о. Талдомский (в т.ч. ПИР, ТП)")</f>
        <v>Реконструкция котельной №2 по адресу г. Талдом, Промышленный проезд, д.12, г.о. Талдомский (в т.ч. ПИР, ТП)</v>
      </c>
      <c r="F371" s="67" t="str">
        <f ca="1">IFERROR(__xludf.DUMMYFUNCTION("""COMPUTED_VALUE"""),"СМР")</f>
        <v>СМР</v>
      </c>
      <c r="G371" s="67" t="str">
        <f ca="1">IFERROR(__xludf.DUMMYFUNCTION("""COMPUTED_VALUE"""),"г.о. Талдомский")</f>
        <v>г.о. Талдомский</v>
      </c>
      <c r="H371" s="67" t="str">
        <f ca="1">IFERROR(__xludf.DUMMYFUNCTION("""COMPUTED_VALUE"""),"2022-2023")</f>
        <v>2022-2023</v>
      </c>
      <c r="I371" s="67" t="str">
        <f ca="1">IFERROR(__xludf.DUMMYFUNCTION("""COMPUTED_VALUE"""),"10 3 02 64080")</f>
        <v>10 3 02 64080</v>
      </c>
      <c r="J371" s="67">
        <f ca="1">IFERROR(__xludf.DUMMYFUNCTION("""COMPUTED_VALUE"""),522)</f>
        <v>522</v>
      </c>
      <c r="K371" s="97">
        <f t="shared" ca="1" si="1"/>
        <v>0</v>
      </c>
      <c r="L371" s="97">
        <f ca="1">IFERROR(__xludf.DUMMYFUNCTION("""COMPUTED_VALUE"""),0)</f>
        <v>0</v>
      </c>
      <c r="M371" s="97">
        <f ca="1">IFERROR(__xludf.DUMMYFUNCTION("""COMPUTED_VALUE"""),0)</f>
        <v>0</v>
      </c>
      <c r="N371" s="97">
        <f ca="1">IFERROR(__xludf.DUMMYFUNCTION("""COMPUTED_VALUE"""),0)</f>
        <v>0</v>
      </c>
      <c r="O371" s="97">
        <f ca="1">IFERROR(__xludf.DUMMYFUNCTION("""COMPUTED_VALUE"""),0)</f>
        <v>0</v>
      </c>
      <c r="P371" s="97">
        <f t="shared" ca="1" si="2"/>
        <v>0</v>
      </c>
      <c r="Q371" s="67"/>
      <c r="R371" s="67"/>
      <c r="S371" s="97">
        <f ca="1">IFERROR(__xludf.DUMMYFUNCTION("""COMPUTED_VALUE"""),0)</f>
        <v>0</v>
      </c>
      <c r="T371" s="97">
        <f ca="1">IFERROR(__xludf.DUMMYFUNCTION("""COMPUTED_VALUE"""),0)</f>
        <v>0</v>
      </c>
      <c r="U371" s="97">
        <f ca="1">IFERROR(__xludf.DUMMYFUNCTION("""COMPUTED_VALUE"""),0)</f>
        <v>0</v>
      </c>
      <c r="V371" s="97">
        <f ca="1">IFERROR(__xludf.DUMMYFUNCTION("""COMPUTED_VALUE"""),0)</f>
        <v>0</v>
      </c>
      <c r="W371" s="97">
        <f ca="1">IFERROR(__xludf.DUMMYFUNCTION("""COMPUTED_VALUE"""),0)</f>
        <v>0</v>
      </c>
      <c r="X371" s="97">
        <f ca="1">IFERROR(__xludf.DUMMYFUNCTION("""COMPUTED_VALUE"""),0)</f>
        <v>0</v>
      </c>
      <c r="Y371" s="97">
        <f t="shared" ca="1" si="3"/>
        <v>0</v>
      </c>
      <c r="Z371" s="67">
        <f t="shared" si="4"/>
        <v>0</v>
      </c>
      <c r="AA371" s="67"/>
      <c r="AB371" s="67"/>
      <c r="AC371" s="67"/>
      <c r="AD371" s="99" t="e">
        <f t="shared" ca="1" si="5"/>
        <v>#DIV/0!</v>
      </c>
      <c r="AE371" s="67"/>
      <c r="AF371" s="67"/>
      <c r="AG371" s="67"/>
      <c r="AH371" s="67"/>
      <c r="AI371" s="67"/>
      <c r="AJ371" s="67"/>
      <c r="AK371" s="67"/>
      <c r="AL371" s="67"/>
      <c r="AM371" s="67"/>
      <c r="AN371" s="67"/>
      <c r="AO371" s="67"/>
      <c r="AP371" s="67"/>
      <c r="AQ371" s="67"/>
      <c r="AR371" s="67"/>
      <c r="AS371" s="67"/>
      <c r="AT371" s="67"/>
    </row>
    <row r="372" spans="1:46" ht="72" hidden="1" x14ac:dyDescent="0.2">
      <c r="A372" s="67"/>
      <c r="B372" s="96"/>
      <c r="C37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2" s="20" t="str">
        <f ca="1">IFERROR(__xludf.DUMMYFUNCTION("""COMPUTED_VALUE"""),"МинЖКХ ""ТОП 5 (2 этап)""")</f>
        <v>МинЖКХ "ТОП 5 (2 этап)"</v>
      </c>
      <c r="E372" s="20" t="str">
        <f ca="1">IFERROR(__xludf.DUMMYFUNCTION("""COMPUTED_VALUE"""),"Реконструкция котельной ""Баня"", г. Талдом, ул. Садовая, д.17, г.о. Талдомский (в т.ч. ПИР, ТП)")</f>
        <v>Реконструкция котельной "Баня", г. Талдом, ул. Садовая, д.17, г.о. Талдомский (в т.ч. ПИР, ТП)</v>
      </c>
      <c r="F372" s="67" t="str">
        <f ca="1">IFERROR(__xludf.DUMMYFUNCTION("""COMPUTED_VALUE"""),"СМР")</f>
        <v>СМР</v>
      </c>
      <c r="G372" s="67" t="str">
        <f ca="1">IFERROR(__xludf.DUMMYFUNCTION("""COMPUTED_VALUE"""),"г.о. Талдомский")</f>
        <v>г.о. Талдомский</v>
      </c>
      <c r="H372" s="67" t="str">
        <f ca="1">IFERROR(__xludf.DUMMYFUNCTION("""COMPUTED_VALUE"""),"2023-2024")</f>
        <v>2023-2024</v>
      </c>
      <c r="I372" s="67" t="str">
        <f ca="1">IFERROR(__xludf.DUMMYFUNCTION("""COMPUTED_VALUE"""),"10 3 02 64080")</f>
        <v>10 3 02 64080</v>
      </c>
      <c r="J372" s="67">
        <f ca="1">IFERROR(__xludf.DUMMYFUNCTION("""COMPUTED_VALUE"""),522)</f>
        <v>522</v>
      </c>
      <c r="K372" s="97">
        <f t="shared" ca="1" si="1"/>
        <v>0</v>
      </c>
      <c r="L372" s="97">
        <f ca="1">IFERROR(__xludf.DUMMYFUNCTION("""COMPUTED_VALUE"""),0)</f>
        <v>0</v>
      </c>
      <c r="M372" s="97">
        <f ca="1">IFERROR(__xludf.DUMMYFUNCTION("""COMPUTED_VALUE"""),0)</f>
        <v>0</v>
      </c>
      <c r="N372" s="97">
        <f ca="1">IFERROR(__xludf.DUMMYFUNCTION("""COMPUTED_VALUE"""),0)</f>
        <v>0</v>
      </c>
      <c r="O372" s="97">
        <f ca="1">IFERROR(__xludf.DUMMYFUNCTION("""COMPUTED_VALUE"""),0)</f>
        <v>0</v>
      </c>
      <c r="P372" s="97">
        <f t="shared" ca="1" si="2"/>
        <v>0</v>
      </c>
      <c r="Q372" s="67"/>
      <c r="R372" s="67"/>
      <c r="S372" s="97">
        <f ca="1">IFERROR(__xludf.DUMMYFUNCTION("""COMPUTED_VALUE"""),0)</f>
        <v>0</v>
      </c>
      <c r="T372" s="97">
        <f ca="1">IFERROR(__xludf.DUMMYFUNCTION("""COMPUTED_VALUE"""),0)</f>
        <v>0</v>
      </c>
      <c r="U372" s="97">
        <f ca="1">IFERROR(__xludf.DUMMYFUNCTION("""COMPUTED_VALUE"""),0)</f>
        <v>0</v>
      </c>
      <c r="V372" s="97">
        <f ca="1">IFERROR(__xludf.DUMMYFUNCTION("""COMPUTED_VALUE"""),0)</f>
        <v>0</v>
      </c>
      <c r="W372" s="97">
        <f ca="1">IFERROR(__xludf.DUMMYFUNCTION("""COMPUTED_VALUE"""),0)</f>
        <v>0</v>
      </c>
      <c r="X372" s="97">
        <f ca="1">IFERROR(__xludf.DUMMYFUNCTION("""COMPUTED_VALUE"""),0)</f>
        <v>0</v>
      </c>
      <c r="Y372" s="97">
        <f t="shared" ca="1" si="3"/>
        <v>0</v>
      </c>
      <c r="Z372" s="67">
        <f t="shared" si="4"/>
        <v>0</v>
      </c>
      <c r="AA372" s="67"/>
      <c r="AB372" s="67"/>
      <c r="AC372" s="67"/>
      <c r="AD372" s="99" t="e">
        <f t="shared" ca="1" si="5"/>
        <v>#DIV/0!</v>
      </c>
      <c r="AE372" s="67"/>
      <c r="AF372" s="67"/>
      <c r="AG372" s="67"/>
      <c r="AH372" s="67"/>
      <c r="AI372" s="67"/>
      <c r="AJ372" s="67"/>
      <c r="AK372" s="67"/>
      <c r="AL372" s="67"/>
      <c r="AM372" s="67"/>
      <c r="AN372" s="67"/>
      <c r="AO372" s="67"/>
      <c r="AP372" s="67"/>
      <c r="AQ372" s="67"/>
      <c r="AR372" s="67"/>
      <c r="AS372" s="67"/>
      <c r="AT372" s="67"/>
    </row>
    <row r="373" spans="1:46" ht="72" hidden="1" x14ac:dyDescent="0.2">
      <c r="A373" s="67"/>
      <c r="B373" s="96"/>
      <c r="C37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3" s="20" t="str">
        <f ca="1">IFERROR(__xludf.DUMMYFUNCTION("""COMPUTED_VALUE"""),"МинЖКХ ""ТОП 5 (2 этап)""")</f>
        <v>МинЖКХ "ТОП 5 (2 этап)"</v>
      </c>
      <c r="E373" s="20" t="str">
        <f ca="1">IFERROR(__xludf.DUMMYFUNCTION("""COMPUTED_VALUE"""),"Реконструкция котельной ""Юркино"", д. Юркино, г.о. Талдомский (в т.ч. ПИР, ТП)")</f>
        <v>Реконструкция котельной "Юркино", д. Юркино, г.о. Талдомский (в т.ч. ПИР, ТП)</v>
      </c>
      <c r="F373" s="67" t="str">
        <f ca="1">IFERROR(__xludf.DUMMYFUNCTION("""COMPUTED_VALUE"""),"СМР")</f>
        <v>СМР</v>
      </c>
      <c r="G373" s="67" t="str">
        <f ca="1">IFERROR(__xludf.DUMMYFUNCTION("""COMPUTED_VALUE"""),"г.о. Талдомский")</f>
        <v>г.о. Талдомский</v>
      </c>
      <c r="H373" s="67" t="str">
        <f ca="1">IFERROR(__xludf.DUMMYFUNCTION("""COMPUTED_VALUE"""),"2023-2024")</f>
        <v>2023-2024</v>
      </c>
      <c r="I373" s="67" t="str">
        <f ca="1">IFERROR(__xludf.DUMMYFUNCTION("""COMPUTED_VALUE"""),"10 3 02 64080")</f>
        <v>10 3 02 64080</v>
      </c>
      <c r="J373" s="67">
        <f ca="1">IFERROR(__xludf.DUMMYFUNCTION("""COMPUTED_VALUE"""),522)</f>
        <v>522</v>
      </c>
      <c r="K373" s="97">
        <f t="shared" ca="1" si="1"/>
        <v>0</v>
      </c>
      <c r="L373" s="97">
        <f ca="1">IFERROR(__xludf.DUMMYFUNCTION("""COMPUTED_VALUE"""),0)</f>
        <v>0</v>
      </c>
      <c r="M373" s="97">
        <f ca="1">IFERROR(__xludf.DUMMYFUNCTION("""COMPUTED_VALUE"""),0)</f>
        <v>0</v>
      </c>
      <c r="N373" s="97">
        <f ca="1">IFERROR(__xludf.DUMMYFUNCTION("""COMPUTED_VALUE"""),0)</f>
        <v>0</v>
      </c>
      <c r="O373" s="97">
        <f ca="1">IFERROR(__xludf.DUMMYFUNCTION("""COMPUTED_VALUE"""),0)</f>
        <v>0</v>
      </c>
      <c r="P373" s="97">
        <f t="shared" ca="1" si="2"/>
        <v>0</v>
      </c>
      <c r="Q373" s="67"/>
      <c r="R373" s="67"/>
      <c r="S373" s="97">
        <f ca="1">IFERROR(__xludf.DUMMYFUNCTION("""COMPUTED_VALUE"""),0)</f>
        <v>0</v>
      </c>
      <c r="T373" s="97">
        <f ca="1">IFERROR(__xludf.DUMMYFUNCTION("""COMPUTED_VALUE"""),0)</f>
        <v>0</v>
      </c>
      <c r="U373" s="97">
        <f ca="1">IFERROR(__xludf.DUMMYFUNCTION("""COMPUTED_VALUE"""),0)</f>
        <v>0</v>
      </c>
      <c r="V373" s="97">
        <f ca="1">IFERROR(__xludf.DUMMYFUNCTION("""COMPUTED_VALUE"""),0)</f>
        <v>0</v>
      </c>
      <c r="W373" s="97">
        <f ca="1">IFERROR(__xludf.DUMMYFUNCTION("""COMPUTED_VALUE"""),0)</f>
        <v>0</v>
      </c>
      <c r="X373" s="97">
        <f ca="1">IFERROR(__xludf.DUMMYFUNCTION("""COMPUTED_VALUE"""),0)</f>
        <v>0</v>
      </c>
      <c r="Y373" s="97">
        <f t="shared" ca="1" si="3"/>
        <v>0</v>
      </c>
      <c r="Z373" s="67">
        <f t="shared" si="4"/>
        <v>0</v>
      </c>
      <c r="AA373" s="67"/>
      <c r="AB373" s="67"/>
      <c r="AC373" s="67"/>
      <c r="AD373" s="99" t="e">
        <f t="shared" ca="1" si="5"/>
        <v>#DIV/0!</v>
      </c>
      <c r="AE373" s="67"/>
      <c r="AF373" s="67"/>
      <c r="AG373" s="67"/>
      <c r="AH373" s="67"/>
      <c r="AI373" s="67"/>
      <c r="AJ373" s="67"/>
      <c r="AK373" s="67"/>
      <c r="AL373" s="67"/>
      <c r="AM373" s="67"/>
      <c r="AN373" s="67"/>
      <c r="AO373" s="67"/>
      <c r="AP373" s="67"/>
      <c r="AQ373" s="67"/>
      <c r="AR373" s="67"/>
      <c r="AS373" s="67"/>
      <c r="AT373" s="67"/>
    </row>
    <row r="374" spans="1:46" ht="72" hidden="1" x14ac:dyDescent="0.2">
      <c r="A374" s="67"/>
      <c r="B374" s="96"/>
      <c r="C37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4" s="20" t="str">
        <f ca="1">IFERROR(__xludf.DUMMYFUNCTION("""COMPUTED_VALUE"""),"МинЖКХ ""ТОП 5 (2 этап)""")</f>
        <v>МинЖКХ "ТОП 5 (2 этап)"</v>
      </c>
      <c r="E374" s="20" t="str">
        <f ca="1">IFERROR(__xludf.DUMMYFUNCTION("""COMPUTED_VALUE"""),"Реконструкция котельной ""Очистные сооружения"", г. Талдом, ул. Загородная, д.24а, г.о. Талдомский (в т.ч. ПИР, ТП)")</f>
        <v>Реконструкция котельной "Очистные сооружения", г. Талдом, ул. Загородная, д.24а, г.о. Талдомский (в т.ч. ПИР, ТП)</v>
      </c>
      <c r="F374" s="67" t="str">
        <f ca="1">IFERROR(__xludf.DUMMYFUNCTION("""COMPUTED_VALUE"""),"СМР")</f>
        <v>СМР</v>
      </c>
      <c r="G374" s="67" t="str">
        <f ca="1">IFERROR(__xludf.DUMMYFUNCTION("""COMPUTED_VALUE"""),"г.о. Талдомский")</f>
        <v>г.о. Талдомский</v>
      </c>
      <c r="H374" s="67" t="str">
        <f ca="1">IFERROR(__xludf.DUMMYFUNCTION("""COMPUTED_VALUE"""),"2023-2024")</f>
        <v>2023-2024</v>
      </c>
      <c r="I374" s="67" t="str">
        <f ca="1">IFERROR(__xludf.DUMMYFUNCTION("""COMPUTED_VALUE"""),"10 3 02 64080")</f>
        <v>10 3 02 64080</v>
      </c>
      <c r="J374" s="67">
        <f ca="1">IFERROR(__xludf.DUMMYFUNCTION("""COMPUTED_VALUE"""),522)</f>
        <v>522</v>
      </c>
      <c r="K374" s="97">
        <f t="shared" ca="1" si="1"/>
        <v>0</v>
      </c>
      <c r="L374" s="97">
        <f ca="1">IFERROR(__xludf.DUMMYFUNCTION("""COMPUTED_VALUE"""),0)</f>
        <v>0</v>
      </c>
      <c r="M374" s="97">
        <f ca="1">IFERROR(__xludf.DUMMYFUNCTION("""COMPUTED_VALUE"""),0)</f>
        <v>0</v>
      </c>
      <c r="N374" s="97">
        <f ca="1">IFERROR(__xludf.DUMMYFUNCTION("""COMPUTED_VALUE"""),0)</f>
        <v>0</v>
      </c>
      <c r="O374" s="97">
        <f ca="1">IFERROR(__xludf.DUMMYFUNCTION("""COMPUTED_VALUE"""),0)</f>
        <v>0</v>
      </c>
      <c r="P374" s="97">
        <f t="shared" ca="1" si="2"/>
        <v>0</v>
      </c>
      <c r="Q374" s="67"/>
      <c r="R374" s="67"/>
      <c r="S374" s="97">
        <f ca="1">IFERROR(__xludf.DUMMYFUNCTION("""COMPUTED_VALUE"""),0)</f>
        <v>0</v>
      </c>
      <c r="T374" s="97">
        <f ca="1">IFERROR(__xludf.DUMMYFUNCTION("""COMPUTED_VALUE"""),0)</f>
        <v>0</v>
      </c>
      <c r="U374" s="97">
        <f ca="1">IFERROR(__xludf.DUMMYFUNCTION("""COMPUTED_VALUE"""),0)</f>
        <v>0</v>
      </c>
      <c r="V374" s="97">
        <f ca="1">IFERROR(__xludf.DUMMYFUNCTION("""COMPUTED_VALUE"""),0)</f>
        <v>0</v>
      </c>
      <c r="W374" s="97">
        <f ca="1">IFERROR(__xludf.DUMMYFUNCTION("""COMPUTED_VALUE"""),0)</f>
        <v>0</v>
      </c>
      <c r="X374" s="97">
        <f ca="1">IFERROR(__xludf.DUMMYFUNCTION("""COMPUTED_VALUE"""),0)</f>
        <v>0</v>
      </c>
      <c r="Y374" s="97">
        <f t="shared" ca="1" si="3"/>
        <v>0</v>
      </c>
      <c r="Z374" s="67">
        <f t="shared" si="4"/>
        <v>0</v>
      </c>
      <c r="AA374" s="67"/>
      <c r="AB374" s="67"/>
      <c r="AC374" s="67"/>
      <c r="AD374" s="99" t="e">
        <f t="shared" ca="1" si="5"/>
        <v>#DIV/0!</v>
      </c>
      <c r="AE374" s="67"/>
      <c r="AF374" s="67"/>
      <c r="AG374" s="67"/>
      <c r="AH374" s="67"/>
      <c r="AI374" s="67"/>
      <c r="AJ374" s="67"/>
      <c r="AK374" s="67"/>
      <c r="AL374" s="67"/>
      <c r="AM374" s="67"/>
      <c r="AN374" s="67"/>
      <c r="AO374" s="67"/>
      <c r="AP374" s="67"/>
      <c r="AQ374" s="67"/>
      <c r="AR374" s="67"/>
      <c r="AS374" s="67"/>
      <c r="AT374" s="67"/>
    </row>
    <row r="375" spans="1:46" ht="72" hidden="1" x14ac:dyDescent="0.2">
      <c r="A375" s="67"/>
      <c r="B375" s="96"/>
      <c r="C37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5" s="20" t="str">
        <f ca="1">IFERROR(__xludf.DUMMYFUNCTION("""COMPUTED_VALUE"""),"МинЖКХ ""ТОП 5 (2 этап)""")</f>
        <v>МинЖКХ "ТОП 5 (2 этап)"</v>
      </c>
      <c r="E375" s="20" t="str">
        <f ca="1">IFERROR(__xludf.DUMMYFUNCTION("""COMPUTED_VALUE"""),"Реконструкция котельной ""Темпы"", п. Темпы. ул. Шоссейная, д.9Б, г.о. Талдомский (в т.ч. ПИР, ТП) ")</f>
        <v xml:space="preserve">Реконструкция котельной "Темпы", п. Темпы. ул. Шоссейная, д.9Б, г.о. Талдомский (в т.ч. ПИР, ТП) </v>
      </c>
      <c r="F375" s="67" t="str">
        <f ca="1">IFERROR(__xludf.DUMMYFUNCTION("""COMPUTED_VALUE"""),"СМР")</f>
        <v>СМР</v>
      </c>
      <c r="G375" s="67" t="str">
        <f ca="1">IFERROR(__xludf.DUMMYFUNCTION("""COMPUTED_VALUE"""),"г.о. Талдомский")</f>
        <v>г.о. Талдомский</v>
      </c>
      <c r="H375" s="67" t="str">
        <f ca="1">IFERROR(__xludf.DUMMYFUNCTION("""COMPUTED_VALUE"""),"2023-2024")</f>
        <v>2023-2024</v>
      </c>
      <c r="I375" s="67" t="str">
        <f ca="1">IFERROR(__xludf.DUMMYFUNCTION("""COMPUTED_VALUE"""),"10 3 02 64080")</f>
        <v>10 3 02 64080</v>
      </c>
      <c r="J375" s="67">
        <f ca="1">IFERROR(__xludf.DUMMYFUNCTION("""COMPUTED_VALUE"""),522)</f>
        <v>522</v>
      </c>
      <c r="K375" s="97">
        <f t="shared" ca="1" si="1"/>
        <v>0</v>
      </c>
      <c r="L375" s="97">
        <f ca="1">IFERROR(__xludf.DUMMYFUNCTION("""COMPUTED_VALUE"""),0)</f>
        <v>0</v>
      </c>
      <c r="M375" s="97">
        <f ca="1">IFERROR(__xludf.DUMMYFUNCTION("""COMPUTED_VALUE"""),0)</f>
        <v>0</v>
      </c>
      <c r="N375" s="97">
        <f ca="1">IFERROR(__xludf.DUMMYFUNCTION("""COMPUTED_VALUE"""),0)</f>
        <v>0</v>
      </c>
      <c r="O375" s="97">
        <f ca="1">IFERROR(__xludf.DUMMYFUNCTION("""COMPUTED_VALUE"""),0)</f>
        <v>0</v>
      </c>
      <c r="P375" s="97">
        <f t="shared" ca="1" si="2"/>
        <v>0</v>
      </c>
      <c r="Q375" s="67"/>
      <c r="R375" s="67"/>
      <c r="S375" s="97">
        <f ca="1">IFERROR(__xludf.DUMMYFUNCTION("""COMPUTED_VALUE"""),0)</f>
        <v>0</v>
      </c>
      <c r="T375" s="97">
        <f ca="1">IFERROR(__xludf.DUMMYFUNCTION("""COMPUTED_VALUE"""),0)</f>
        <v>0</v>
      </c>
      <c r="U375" s="97">
        <f ca="1">IFERROR(__xludf.DUMMYFUNCTION("""COMPUTED_VALUE"""),0)</f>
        <v>0</v>
      </c>
      <c r="V375" s="97">
        <f ca="1">IFERROR(__xludf.DUMMYFUNCTION("""COMPUTED_VALUE"""),0)</f>
        <v>0</v>
      </c>
      <c r="W375" s="97">
        <f ca="1">IFERROR(__xludf.DUMMYFUNCTION("""COMPUTED_VALUE"""),0)</f>
        <v>0</v>
      </c>
      <c r="X375" s="97">
        <f ca="1">IFERROR(__xludf.DUMMYFUNCTION("""COMPUTED_VALUE"""),0)</f>
        <v>0</v>
      </c>
      <c r="Y375" s="97">
        <f t="shared" ca="1" si="3"/>
        <v>0</v>
      </c>
      <c r="Z375" s="67">
        <f t="shared" si="4"/>
        <v>0</v>
      </c>
      <c r="AA375" s="67"/>
      <c r="AB375" s="67"/>
      <c r="AC375" s="67"/>
      <c r="AD375" s="99" t="e">
        <f t="shared" ca="1" si="5"/>
        <v>#DIV/0!</v>
      </c>
      <c r="AE375" s="67"/>
      <c r="AF375" s="67"/>
      <c r="AG375" s="67"/>
      <c r="AH375" s="67"/>
      <c r="AI375" s="67"/>
      <c r="AJ375" s="67"/>
      <c r="AK375" s="67"/>
      <c r="AL375" s="67"/>
      <c r="AM375" s="67"/>
      <c r="AN375" s="67"/>
      <c r="AO375" s="67"/>
      <c r="AP375" s="67"/>
      <c r="AQ375" s="67"/>
      <c r="AR375" s="67"/>
      <c r="AS375" s="67"/>
      <c r="AT375" s="67"/>
    </row>
    <row r="376" spans="1:46" ht="72" hidden="1" x14ac:dyDescent="0.2">
      <c r="A376" s="67"/>
      <c r="B376" s="96"/>
      <c r="C37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6" s="20" t="str">
        <f ca="1">IFERROR(__xludf.DUMMYFUNCTION("""COMPUTED_VALUE"""),"МинЖКХ ""ТОП 5 (2 этап)""")</f>
        <v>МинЖКХ "ТОП 5 (2 этап)"</v>
      </c>
      <c r="E376" s="20" t="str">
        <f ca="1">IFERROR(__xludf.DUMMYFUNCTION("""COMPUTED_VALUE"""),"Реконструкция котельной ""Топочная"", г. Талдом, ул. Первомайская, д.43а, г.о. Талдомский (в т.ч. ПИР, ТП)  ")</f>
        <v xml:space="preserve">Реконструкция котельной "Топочная", г. Талдом, ул. Первомайская, д.43а, г.о. Талдомский (в т.ч. ПИР, ТП)  </v>
      </c>
      <c r="F376" s="67" t="str">
        <f ca="1">IFERROR(__xludf.DUMMYFUNCTION("""COMPUTED_VALUE"""),"СМР")</f>
        <v>СМР</v>
      </c>
      <c r="G376" s="67" t="str">
        <f ca="1">IFERROR(__xludf.DUMMYFUNCTION("""COMPUTED_VALUE"""),"г.о. Талдомский")</f>
        <v>г.о. Талдомский</v>
      </c>
      <c r="H376" s="67" t="str">
        <f ca="1">IFERROR(__xludf.DUMMYFUNCTION("""COMPUTED_VALUE"""),"2023-2024")</f>
        <v>2023-2024</v>
      </c>
      <c r="I376" s="67" t="str">
        <f ca="1">IFERROR(__xludf.DUMMYFUNCTION("""COMPUTED_VALUE"""),"10 3 02 64080")</f>
        <v>10 3 02 64080</v>
      </c>
      <c r="J376" s="67">
        <f ca="1">IFERROR(__xludf.DUMMYFUNCTION("""COMPUTED_VALUE"""),522)</f>
        <v>522</v>
      </c>
      <c r="K376" s="97">
        <f t="shared" ca="1" si="1"/>
        <v>0</v>
      </c>
      <c r="L376" s="97">
        <f ca="1">IFERROR(__xludf.DUMMYFUNCTION("""COMPUTED_VALUE"""),0)</f>
        <v>0</v>
      </c>
      <c r="M376" s="97">
        <f ca="1">IFERROR(__xludf.DUMMYFUNCTION("""COMPUTED_VALUE"""),0)</f>
        <v>0</v>
      </c>
      <c r="N376" s="97">
        <f ca="1">IFERROR(__xludf.DUMMYFUNCTION("""COMPUTED_VALUE"""),0)</f>
        <v>0</v>
      </c>
      <c r="O376" s="97">
        <f ca="1">IFERROR(__xludf.DUMMYFUNCTION("""COMPUTED_VALUE"""),0)</f>
        <v>0</v>
      </c>
      <c r="P376" s="97">
        <f t="shared" ca="1" si="2"/>
        <v>0</v>
      </c>
      <c r="Q376" s="67"/>
      <c r="R376" s="67"/>
      <c r="S376" s="97">
        <f ca="1">IFERROR(__xludf.DUMMYFUNCTION("""COMPUTED_VALUE"""),0)</f>
        <v>0</v>
      </c>
      <c r="T376" s="97">
        <f ca="1">IFERROR(__xludf.DUMMYFUNCTION("""COMPUTED_VALUE"""),0)</f>
        <v>0</v>
      </c>
      <c r="U376" s="97">
        <f ca="1">IFERROR(__xludf.DUMMYFUNCTION("""COMPUTED_VALUE"""),0)</f>
        <v>0</v>
      </c>
      <c r="V376" s="97">
        <f ca="1">IFERROR(__xludf.DUMMYFUNCTION("""COMPUTED_VALUE"""),0)</f>
        <v>0</v>
      </c>
      <c r="W376" s="97">
        <f ca="1">IFERROR(__xludf.DUMMYFUNCTION("""COMPUTED_VALUE"""),0)</f>
        <v>0</v>
      </c>
      <c r="X376" s="97">
        <f ca="1">IFERROR(__xludf.DUMMYFUNCTION("""COMPUTED_VALUE"""),0)</f>
        <v>0</v>
      </c>
      <c r="Y376" s="97">
        <f t="shared" ca="1" si="3"/>
        <v>0</v>
      </c>
      <c r="Z376" s="67">
        <f t="shared" si="4"/>
        <v>0</v>
      </c>
      <c r="AA376" s="67"/>
      <c r="AB376" s="67"/>
      <c r="AC376" s="67"/>
      <c r="AD376" s="99" t="e">
        <f t="shared" ca="1" si="5"/>
        <v>#DIV/0!</v>
      </c>
      <c r="AE376" s="67"/>
      <c r="AF376" s="67"/>
      <c r="AG376" s="67"/>
      <c r="AH376" s="67"/>
      <c r="AI376" s="67"/>
      <c r="AJ376" s="67"/>
      <c r="AK376" s="67"/>
      <c r="AL376" s="67"/>
      <c r="AM376" s="67"/>
      <c r="AN376" s="67"/>
      <c r="AO376" s="67"/>
      <c r="AP376" s="67"/>
      <c r="AQ376" s="67"/>
      <c r="AR376" s="67"/>
      <c r="AS376" s="67"/>
      <c r="AT376" s="67"/>
    </row>
    <row r="377" spans="1:46" ht="72" hidden="1" x14ac:dyDescent="0.2">
      <c r="A377" s="67"/>
      <c r="B377" s="96"/>
      <c r="C37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7" s="20" t="str">
        <f ca="1">IFERROR(__xludf.DUMMYFUNCTION("""COMPUTED_VALUE"""),"МинЖКХ ""ТОП 5 (2 этап)""")</f>
        <v>МинЖКХ "ТОП 5 (2 этап)"</v>
      </c>
      <c r="E377" s="20" t="str">
        <f ca="1">IFERROR(__xludf.DUMMYFUNCTION("""COMPUTED_VALUE"""),"Реконструкция котельной и ЦТП по адресу г.Егорьевск, ул. Меланжистов д.3б, г.о. Егорьевск (в т.ч. ПИР)")</f>
        <v>Реконструкция котельной и ЦТП по адресу г.Егорьевск, ул. Меланжистов д.3б, г.о. Егорьевск (в т.ч. ПИР)</v>
      </c>
      <c r="F377" s="67" t="str">
        <f ca="1">IFERROR(__xludf.DUMMYFUNCTION("""COMPUTED_VALUE"""),"СМР")</f>
        <v>СМР</v>
      </c>
      <c r="G377" s="67" t="str">
        <f ca="1">IFERROR(__xludf.DUMMYFUNCTION("""COMPUTED_VALUE"""),"г.о. Егорьевск")</f>
        <v>г.о. Егорьевск</v>
      </c>
      <c r="H377" s="67" t="str">
        <f ca="1">IFERROR(__xludf.DUMMYFUNCTION("""COMPUTED_VALUE"""),"2022-2024")</f>
        <v>2022-2024</v>
      </c>
      <c r="I377" s="67" t="str">
        <f ca="1">IFERROR(__xludf.DUMMYFUNCTION("""COMPUTED_VALUE"""),"10 3 02 64080")</f>
        <v>10 3 02 64080</v>
      </c>
      <c r="J377" s="67">
        <f ca="1">IFERROR(__xludf.DUMMYFUNCTION("""COMPUTED_VALUE"""),522)</f>
        <v>522</v>
      </c>
      <c r="K377" s="97">
        <f t="shared" ca="1" si="1"/>
        <v>0</v>
      </c>
      <c r="L377" s="97">
        <f ca="1">IFERROR(__xludf.DUMMYFUNCTION("""COMPUTED_VALUE"""),0)</f>
        <v>0</v>
      </c>
      <c r="M377" s="97">
        <f ca="1">IFERROR(__xludf.DUMMYFUNCTION("""COMPUTED_VALUE"""),0)</f>
        <v>0</v>
      </c>
      <c r="N377" s="97">
        <f ca="1">IFERROR(__xludf.DUMMYFUNCTION("""COMPUTED_VALUE"""),0)</f>
        <v>0</v>
      </c>
      <c r="O377" s="97">
        <f ca="1">IFERROR(__xludf.DUMMYFUNCTION("""COMPUTED_VALUE"""),0)</f>
        <v>0</v>
      </c>
      <c r="P377" s="97">
        <f t="shared" ca="1" si="2"/>
        <v>0</v>
      </c>
      <c r="Q377" s="67"/>
      <c r="R377" s="67"/>
      <c r="S377" s="97">
        <f ca="1">IFERROR(__xludf.DUMMYFUNCTION("""COMPUTED_VALUE"""),0)</f>
        <v>0</v>
      </c>
      <c r="T377" s="97">
        <f ca="1">IFERROR(__xludf.DUMMYFUNCTION("""COMPUTED_VALUE"""),0)</f>
        <v>0</v>
      </c>
      <c r="U377" s="97">
        <f ca="1">IFERROR(__xludf.DUMMYFUNCTION("""COMPUTED_VALUE"""),0)</f>
        <v>0</v>
      </c>
      <c r="V377" s="97">
        <f ca="1">IFERROR(__xludf.DUMMYFUNCTION("""COMPUTED_VALUE"""),0)</f>
        <v>0</v>
      </c>
      <c r="W377" s="97">
        <f ca="1">IFERROR(__xludf.DUMMYFUNCTION("""COMPUTED_VALUE"""),0)</f>
        <v>0</v>
      </c>
      <c r="X377" s="97">
        <f ca="1">IFERROR(__xludf.DUMMYFUNCTION("""COMPUTED_VALUE"""),0)</f>
        <v>0</v>
      </c>
      <c r="Y377" s="97">
        <f t="shared" ca="1" si="3"/>
        <v>0</v>
      </c>
      <c r="Z377" s="67">
        <f t="shared" si="4"/>
        <v>0</v>
      </c>
      <c r="AA377" s="67"/>
      <c r="AB377" s="67"/>
      <c r="AC377" s="67"/>
      <c r="AD377" s="99" t="e">
        <f t="shared" ca="1" si="5"/>
        <v>#DIV/0!</v>
      </c>
      <c r="AE377" s="67"/>
      <c r="AF377" s="67"/>
      <c r="AG377" s="67"/>
      <c r="AH377" s="67"/>
      <c r="AI377" s="67"/>
      <c r="AJ377" s="67"/>
      <c r="AK377" s="67"/>
      <c r="AL377" s="67"/>
      <c r="AM377" s="67"/>
      <c r="AN377" s="67"/>
      <c r="AO377" s="67"/>
      <c r="AP377" s="67"/>
      <c r="AQ377" s="67"/>
      <c r="AR377" s="67"/>
      <c r="AS377" s="67"/>
      <c r="AT377" s="67"/>
    </row>
    <row r="378" spans="1:46" ht="72" hidden="1" x14ac:dyDescent="0.2">
      <c r="A378" s="67"/>
      <c r="B378" s="96"/>
      <c r="C37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8" s="20" t="str">
        <f ca="1">IFERROR(__xludf.DUMMYFUNCTION("""COMPUTED_VALUE"""),"МинЖКХ ""ТОП 5 (2 этап)""")</f>
        <v>МинЖКХ "ТОП 5 (2 этап)"</v>
      </c>
      <c r="E378" s="20" t="str">
        <f ca="1">IFERROR(__xludf.DUMMYFUNCTION("""COMPUTED_VALUE"""),"Реконструкция  котельной и ЦТП по адресу г.Егорьевск, ул. Жукова гора, д. 19б, г.о. Егорьевск (в т.ч. ПИР)")</f>
        <v>Реконструкция  котельной и ЦТП по адресу г.Егорьевск, ул. Жукова гора, д. 19б, г.о. Егорьевск (в т.ч. ПИР)</v>
      </c>
      <c r="F378" s="67" t="str">
        <f ca="1">IFERROR(__xludf.DUMMYFUNCTION("""COMPUTED_VALUE"""),"СМР")</f>
        <v>СМР</v>
      </c>
      <c r="G378" s="67" t="str">
        <f ca="1">IFERROR(__xludf.DUMMYFUNCTION("""COMPUTED_VALUE"""),"г.о. Егорьевск")</f>
        <v>г.о. Егорьевск</v>
      </c>
      <c r="H378" s="67" t="str">
        <f ca="1">IFERROR(__xludf.DUMMYFUNCTION("""COMPUTED_VALUE"""),"2022-2024")</f>
        <v>2022-2024</v>
      </c>
      <c r="I378" s="67" t="str">
        <f ca="1">IFERROR(__xludf.DUMMYFUNCTION("""COMPUTED_VALUE"""),"10 3 02 64080")</f>
        <v>10 3 02 64080</v>
      </c>
      <c r="J378" s="67">
        <f ca="1">IFERROR(__xludf.DUMMYFUNCTION("""COMPUTED_VALUE"""),522)</f>
        <v>522</v>
      </c>
      <c r="K378" s="97">
        <f t="shared" ca="1" si="1"/>
        <v>0</v>
      </c>
      <c r="L378" s="97">
        <f ca="1">IFERROR(__xludf.DUMMYFUNCTION("""COMPUTED_VALUE"""),0)</f>
        <v>0</v>
      </c>
      <c r="M378" s="97">
        <f ca="1">IFERROR(__xludf.DUMMYFUNCTION("""COMPUTED_VALUE"""),0)</f>
        <v>0</v>
      </c>
      <c r="N378" s="97">
        <f ca="1">IFERROR(__xludf.DUMMYFUNCTION("""COMPUTED_VALUE"""),0)</f>
        <v>0</v>
      </c>
      <c r="O378" s="97">
        <f ca="1">IFERROR(__xludf.DUMMYFUNCTION("""COMPUTED_VALUE"""),0)</f>
        <v>0</v>
      </c>
      <c r="P378" s="97">
        <f t="shared" ca="1" si="2"/>
        <v>0</v>
      </c>
      <c r="Q378" s="67"/>
      <c r="R378" s="67"/>
      <c r="S378" s="97">
        <f ca="1">IFERROR(__xludf.DUMMYFUNCTION("""COMPUTED_VALUE"""),0)</f>
        <v>0</v>
      </c>
      <c r="T378" s="97">
        <f ca="1">IFERROR(__xludf.DUMMYFUNCTION("""COMPUTED_VALUE"""),0)</f>
        <v>0</v>
      </c>
      <c r="U378" s="97">
        <f ca="1">IFERROR(__xludf.DUMMYFUNCTION("""COMPUTED_VALUE"""),0)</f>
        <v>0</v>
      </c>
      <c r="V378" s="97">
        <f ca="1">IFERROR(__xludf.DUMMYFUNCTION("""COMPUTED_VALUE"""),0)</f>
        <v>0</v>
      </c>
      <c r="W378" s="97">
        <f ca="1">IFERROR(__xludf.DUMMYFUNCTION("""COMPUTED_VALUE"""),0)</f>
        <v>0</v>
      </c>
      <c r="X378" s="97">
        <f ca="1">IFERROR(__xludf.DUMMYFUNCTION("""COMPUTED_VALUE"""),0)</f>
        <v>0</v>
      </c>
      <c r="Y378" s="97">
        <f t="shared" ca="1" si="3"/>
        <v>0</v>
      </c>
      <c r="Z378" s="67">
        <f t="shared" si="4"/>
        <v>0</v>
      </c>
      <c r="AA378" s="67"/>
      <c r="AB378" s="67"/>
      <c r="AC378" s="67"/>
      <c r="AD378" s="99" t="e">
        <f t="shared" ca="1" si="5"/>
        <v>#DIV/0!</v>
      </c>
      <c r="AE378" s="67"/>
      <c r="AF378" s="67"/>
      <c r="AG378" s="67"/>
      <c r="AH378" s="67"/>
      <c r="AI378" s="67"/>
      <c r="AJ378" s="67"/>
      <c r="AK378" s="67"/>
      <c r="AL378" s="67"/>
      <c r="AM378" s="67"/>
      <c r="AN378" s="67"/>
      <c r="AO378" s="67"/>
      <c r="AP378" s="67"/>
      <c r="AQ378" s="67"/>
      <c r="AR378" s="67"/>
      <c r="AS378" s="67"/>
      <c r="AT378" s="67"/>
    </row>
    <row r="379" spans="1:46" ht="72" hidden="1" x14ac:dyDescent="0.2">
      <c r="A379" s="67"/>
      <c r="B379" s="96"/>
      <c r="C37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9" s="20" t="str">
        <f ca="1">IFERROR(__xludf.DUMMYFUNCTION("""COMPUTED_VALUE"""),"МинЖКХ ""ТОП 5 (2 этап)""")</f>
        <v>МинЖКХ "ТОП 5 (2 этап)"</v>
      </c>
      <c r="E379" s="20" t="str">
        <f ca="1">IFERROR(__xludf.DUMMYFUNCTION("""COMPUTED_VALUE"""),"Реконструкция котельной и ЦТП по адресу г.Егорьевск, ул. Парижской коммуны, д. 1б, г.о. Егорьевск (в т.ч. ПИР)")</f>
        <v>Реконструкция котельной и ЦТП по адресу г.Егорьевск, ул. Парижской коммуны, д. 1б, г.о. Егорьевск (в т.ч. ПИР)</v>
      </c>
      <c r="F379" s="67" t="str">
        <f ca="1">IFERROR(__xludf.DUMMYFUNCTION("""COMPUTED_VALUE"""),"СМР")</f>
        <v>СМР</v>
      </c>
      <c r="G379" s="67" t="str">
        <f ca="1">IFERROR(__xludf.DUMMYFUNCTION("""COMPUTED_VALUE"""),"г.о. Егорьевск")</f>
        <v>г.о. Егорьевск</v>
      </c>
      <c r="H379" s="67" t="str">
        <f ca="1">IFERROR(__xludf.DUMMYFUNCTION("""COMPUTED_VALUE"""),"2022-2024")</f>
        <v>2022-2024</v>
      </c>
      <c r="I379" s="67" t="str">
        <f ca="1">IFERROR(__xludf.DUMMYFUNCTION("""COMPUTED_VALUE"""),"10 3 02 64080")</f>
        <v>10 3 02 64080</v>
      </c>
      <c r="J379" s="67">
        <f ca="1">IFERROR(__xludf.DUMMYFUNCTION("""COMPUTED_VALUE"""),522)</f>
        <v>522</v>
      </c>
      <c r="K379" s="97">
        <f t="shared" ca="1" si="1"/>
        <v>0</v>
      </c>
      <c r="L379" s="97">
        <f ca="1">IFERROR(__xludf.DUMMYFUNCTION("""COMPUTED_VALUE"""),0)</f>
        <v>0</v>
      </c>
      <c r="M379" s="97">
        <f ca="1">IFERROR(__xludf.DUMMYFUNCTION("""COMPUTED_VALUE"""),0)</f>
        <v>0</v>
      </c>
      <c r="N379" s="97">
        <f ca="1">IFERROR(__xludf.DUMMYFUNCTION("""COMPUTED_VALUE"""),0)</f>
        <v>0</v>
      </c>
      <c r="O379" s="97">
        <f ca="1">IFERROR(__xludf.DUMMYFUNCTION("""COMPUTED_VALUE"""),0)</f>
        <v>0</v>
      </c>
      <c r="P379" s="97">
        <f t="shared" ca="1" si="2"/>
        <v>0</v>
      </c>
      <c r="Q379" s="67"/>
      <c r="R379" s="67"/>
      <c r="S379" s="97">
        <f ca="1">IFERROR(__xludf.DUMMYFUNCTION("""COMPUTED_VALUE"""),0)</f>
        <v>0</v>
      </c>
      <c r="T379" s="97">
        <f ca="1">IFERROR(__xludf.DUMMYFUNCTION("""COMPUTED_VALUE"""),0)</f>
        <v>0</v>
      </c>
      <c r="U379" s="97">
        <f ca="1">IFERROR(__xludf.DUMMYFUNCTION("""COMPUTED_VALUE"""),0)</f>
        <v>0</v>
      </c>
      <c r="V379" s="97">
        <f ca="1">IFERROR(__xludf.DUMMYFUNCTION("""COMPUTED_VALUE"""),0)</f>
        <v>0</v>
      </c>
      <c r="W379" s="97">
        <f ca="1">IFERROR(__xludf.DUMMYFUNCTION("""COMPUTED_VALUE"""),0)</f>
        <v>0</v>
      </c>
      <c r="X379" s="97">
        <f ca="1">IFERROR(__xludf.DUMMYFUNCTION("""COMPUTED_VALUE"""),0)</f>
        <v>0</v>
      </c>
      <c r="Y379" s="97">
        <f t="shared" ca="1" si="3"/>
        <v>0</v>
      </c>
      <c r="Z379" s="67">
        <f t="shared" si="4"/>
        <v>0</v>
      </c>
      <c r="AA379" s="67"/>
      <c r="AB379" s="67"/>
      <c r="AC379" s="67"/>
      <c r="AD379" s="99" t="e">
        <f t="shared" ca="1" si="5"/>
        <v>#DIV/0!</v>
      </c>
      <c r="AE379" s="67"/>
      <c r="AF379" s="67"/>
      <c r="AG379" s="67"/>
      <c r="AH379" s="67"/>
      <c r="AI379" s="67"/>
      <c r="AJ379" s="67"/>
      <c r="AK379" s="67"/>
      <c r="AL379" s="67"/>
      <c r="AM379" s="67"/>
      <c r="AN379" s="67"/>
      <c r="AO379" s="67"/>
      <c r="AP379" s="67"/>
      <c r="AQ379" s="67"/>
      <c r="AR379" s="67"/>
      <c r="AS379" s="67"/>
      <c r="AT379" s="67"/>
    </row>
    <row r="380" spans="1:46" ht="72" hidden="1" x14ac:dyDescent="0.2">
      <c r="A380" s="67"/>
      <c r="B380" s="96"/>
      <c r="C38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0" s="20" t="str">
        <f ca="1">IFERROR(__xludf.DUMMYFUNCTION("""COMPUTED_VALUE"""),"МинЖКХ ""ТОП 5 (2 этап)""")</f>
        <v>МинЖКХ "ТОП 5 (2 этап)"</v>
      </c>
      <c r="E380" s="20" t="str">
        <f ca="1">IFERROR(__xludf.DUMMYFUNCTION("""COMPUTED_VALUE"""),"Строительство котельной №34, с. Ярополец, ул. Пушкинская, г.о. Волоколамский (в т.ч. ПИР, ТП)")</f>
        <v>Строительство котельной №34, с. Ярополец, ул. Пушкинская, г.о. Волоколамский (в т.ч. ПИР, ТП)</v>
      </c>
      <c r="F380" s="67" t="str">
        <f ca="1">IFERROR(__xludf.DUMMYFUNCTION("""COMPUTED_VALUE"""),"СМР")</f>
        <v>СМР</v>
      </c>
      <c r="G380" s="67" t="str">
        <f ca="1">IFERROR(__xludf.DUMMYFUNCTION("""COMPUTED_VALUE"""),"г.о. Волоколамский")</f>
        <v>г.о. Волоколамский</v>
      </c>
      <c r="H380" s="67" t="str">
        <f ca="1">IFERROR(__xludf.DUMMYFUNCTION("""COMPUTED_VALUE"""),"2022-2023")</f>
        <v>2022-2023</v>
      </c>
      <c r="I380" s="67" t="str">
        <f ca="1">IFERROR(__xludf.DUMMYFUNCTION("""COMPUTED_VALUE"""),"10 3 02 64080")</f>
        <v>10 3 02 64080</v>
      </c>
      <c r="J380" s="67">
        <f ca="1">IFERROR(__xludf.DUMMYFUNCTION("""COMPUTED_VALUE"""),522)</f>
        <v>522</v>
      </c>
      <c r="K380" s="97">
        <f t="shared" ca="1" si="1"/>
        <v>0</v>
      </c>
      <c r="L380" s="97">
        <f ca="1">IFERROR(__xludf.DUMMYFUNCTION("""COMPUTED_VALUE"""),0)</f>
        <v>0</v>
      </c>
      <c r="M380" s="97">
        <f ca="1">IFERROR(__xludf.DUMMYFUNCTION("""COMPUTED_VALUE"""),0)</f>
        <v>0</v>
      </c>
      <c r="N380" s="97">
        <f ca="1">IFERROR(__xludf.DUMMYFUNCTION("""COMPUTED_VALUE"""),0)</f>
        <v>0</v>
      </c>
      <c r="O380" s="97">
        <f ca="1">IFERROR(__xludf.DUMMYFUNCTION("""COMPUTED_VALUE"""),0)</f>
        <v>0</v>
      </c>
      <c r="P380" s="97">
        <f t="shared" ca="1" si="2"/>
        <v>0</v>
      </c>
      <c r="Q380" s="67"/>
      <c r="R380" s="67"/>
      <c r="S380" s="97">
        <f ca="1">IFERROR(__xludf.DUMMYFUNCTION("""COMPUTED_VALUE"""),0)</f>
        <v>0</v>
      </c>
      <c r="T380" s="97">
        <f ca="1">IFERROR(__xludf.DUMMYFUNCTION("""COMPUTED_VALUE"""),0)</f>
        <v>0</v>
      </c>
      <c r="U380" s="97">
        <f ca="1">IFERROR(__xludf.DUMMYFUNCTION("""COMPUTED_VALUE"""),0)</f>
        <v>0</v>
      </c>
      <c r="V380" s="97">
        <f ca="1">IFERROR(__xludf.DUMMYFUNCTION("""COMPUTED_VALUE"""),0)</f>
        <v>0</v>
      </c>
      <c r="W380" s="97">
        <f ca="1">IFERROR(__xludf.DUMMYFUNCTION("""COMPUTED_VALUE"""),0)</f>
        <v>0</v>
      </c>
      <c r="X380" s="97">
        <f ca="1">IFERROR(__xludf.DUMMYFUNCTION("""COMPUTED_VALUE"""),0)</f>
        <v>0</v>
      </c>
      <c r="Y380" s="97">
        <f t="shared" ca="1" si="3"/>
        <v>0</v>
      </c>
      <c r="Z380" s="67">
        <f t="shared" si="4"/>
        <v>0</v>
      </c>
      <c r="AA380" s="67"/>
      <c r="AB380" s="67"/>
      <c r="AC380" s="67"/>
      <c r="AD380" s="99" t="e">
        <f t="shared" ca="1" si="5"/>
        <v>#DIV/0!</v>
      </c>
      <c r="AE380" s="67"/>
      <c r="AF380" s="67"/>
      <c r="AG380" s="67"/>
      <c r="AH380" s="67"/>
      <c r="AI380" s="67"/>
      <c r="AJ380" s="67"/>
      <c r="AK380" s="67"/>
      <c r="AL380" s="67"/>
      <c r="AM380" s="67"/>
      <c r="AN380" s="67"/>
      <c r="AO380" s="67"/>
      <c r="AP380" s="67"/>
      <c r="AQ380" s="67"/>
      <c r="AR380" s="67"/>
      <c r="AS380" s="67"/>
      <c r="AT380" s="67"/>
    </row>
    <row r="381" spans="1:46" ht="72" hidden="1" x14ac:dyDescent="0.2">
      <c r="A381" s="67"/>
      <c r="B381" s="96"/>
      <c r="C38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1" s="20" t="str">
        <f ca="1">IFERROR(__xludf.DUMMYFUNCTION("""COMPUTED_VALUE"""),"МинЖКХ ""ТОП 5 (2 этап)""")</f>
        <v>МинЖКХ "ТОП 5 (2 этап)"</v>
      </c>
      <c r="E381" s="20" t="str">
        <f ca="1">IFERROR(__xludf.DUMMYFUNCTION("""COMPUTED_VALUE"""),"Строительство котельной по адресу г. Электроугли,  ул. Маяковского, д. 25,  Богородский г.о. (в т.ч. ПИР)")</f>
        <v>Строительство котельной по адресу г. Электроугли,  ул. Маяковского, д. 25,  Богородский г.о. (в т.ч. ПИР)</v>
      </c>
      <c r="F381" s="67" t="str">
        <f ca="1">IFERROR(__xludf.DUMMYFUNCTION("""COMPUTED_VALUE"""),"СМР")</f>
        <v>СМР</v>
      </c>
      <c r="G381" s="67" t="str">
        <f ca="1">IFERROR(__xludf.DUMMYFUNCTION("""COMPUTED_VALUE"""),"г.о. Богородский")</f>
        <v>г.о. Богородский</v>
      </c>
      <c r="H381" s="67" t="str">
        <f ca="1">IFERROR(__xludf.DUMMYFUNCTION("""COMPUTED_VALUE"""),"2022-2024")</f>
        <v>2022-2024</v>
      </c>
      <c r="I381" s="67" t="str">
        <f ca="1">IFERROR(__xludf.DUMMYFUNCTION("""COMPUTED_VALUE"""),"10 3 02 64080")</f>
        <v>10 3 02 64080</v>
      </c>
      <c r="J381" s="67">
        <f ca="1">IFERROR(__xludf.DUMMYFUNCTION("""COMPUTED_VALUE"""),522)</f>
        <v>522</v>
      </c>
      <c r="K381" s="97">
        <f t="shared" ca="1" si="1"/>
        <v>0</v>
      </c>
      <c r="L381" s="97">
        <f ca="1">IFERROR(__xludf.DUMMYFUNCTION("""COMPUTED_VALUE"""),0)</f>
        <v>0</v>
      </c>
      <c r="M381" s="97">
        <f ca="1">IFERROR(__xludf.DUMMYFUNCTION("""COMPUTED_VALUE"""),0)</f>
        <v>0</v>
      </c>
      <c r="N381" s="97">
        <f ca="1">IFERROR(__xludf.DUMMYFUNCTION("""COMPUTED_VALUE"""),0)</f>
        <v>0</v>
      </c>
      <c r="O381" s="97">
        <f ca="1">IFERROR(__xludf.DUMMYFUNCTION("""COMPUTED_VALUE"""),0)</f>
        <v>0</v>
      </c>
      <c r="P381" s="97">
        <f t="shared" ca="1" si="2"/>
        <v>0</v>
      </c>
      <c r="Q381" s="67"/>
      <c r="R381" s="67"/>
      <c r="S381" s="97">
        <f ca="1">IFERROR(__xludf.DUMMYFUNCTION("""COMPUTED_VALUE"""),0)</f>
        <v>0</v>
      </c>
      <c r="T381" s="97">
        <f ca="1">IFERROR(__xludf.DUMMYFUNCTION("""COMPUTED_VALUE"""),0)</f>
        <v>0</v>
      </c>
      <c r="U381" s="97">
        <f ca="1">IFERROR(__xludf.DUMMYFUNCTION("""COMPUTED_VALUE"""),0)</f>
        <v>0</v>
      </c>
      <c r="V381" s="97">
        <f ca="1">IFERROR(__xludf.DUMMYFUNCTION("""COMPUTED_VALUE"""),0)</f>
        <v>0</v>
      </c>
      <c r="W381" s="97">
        <f ca="1">IFERROR(__xludf.DUMMYFUNCTION("""COMPUTED_VALUE"""),0)</f>
        <v>0</v>
      </c>
      <c r="X381" s="97">
        <f ca="1">IFERROR(__xludf.DUMMYFUNCTION("""COMPUTED_VALUE"""),0)</f>
        <v>0</v>
      </c>
      <c r="Y381" s="97">
        <f t="shared" ca="1" si="3"/>
        <v>0</v>
      </c>
      <c r="Z381" s="67">
        <f t="shared" si="4"/>
        <v>0</v>
      </c>
      <c r="AA381" s="67"/>
      <c r="AB381" s="67"/>
      <c r="AC381" s="67"/>
      <c r="AD381" s="99" t="e">
        <f t="shared" ca="1" si="5"/>
        <v>#DIV/0!</v>
      </c>
      <c r="AE381" s="67"/>
      <c r="AF381" s="67"/>
      <c r="AG381" s="67"/>
      <c r="AH381" s="67"/>
      <c r="AI381" s="67"/>
      <c r="AJ381" s="67"/>
      <c r="AK381" s="67"/>
      <c r="AL381" s="67"/>
      <c r="AM381" s="67"/>
      <c r="AN381" s="67"/>
      <c r="AO381" s="67"/>
      <c r="AP381" s="67"/>
      <c r="AQ381" s="67"/>
      <c r="AR381" s="67"/>
      <c r="AS381" s="67"/>
      <c r="AT381" s="67"/>
    </row>
    <row r="382" spans="1:46" ht="72" hidden="1" x14ac:dyDescent="0.2">
      <c r="A382" s="67"/>
      <c r="B382" s="100"/>
      <c r="C38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2" s="20" t="str">
        <f ca="1">IFERROR(__xludf.DUMMYFUNCTION("""COMPUTED_VALUE"""),"МинЖКХ ""ТОП 5 (2 этап)""")</f>
        <v>МинЖКХ "ТОП 5 (2 этап)"</v>
      </c>
      <c r="E382" s="20" t="str">
        <f ca="1">IFERROR(__xludf.DUMMYFUNCTION("""COMPUTED_VALUE"""),"Реконструкция котельной ""Заречье"", г.Ногинск, ул. Соединительная, д. 5,  Богородский г.о. (в т.ч. ПИР, ТП)")</f>
        <v>Реконструкция котельной "Заречье", г.Ногинск, ул. Соединительная, д. 5,  Богородский г.о. (в т.ч. ПИР, ТП)</v>
      </c>
      <c r="F382" s="67" t="str">
        <f ca="1">IFERROR(__xludf.DUMMYFUNCTION("""COMPUTED_VALUE"""),"СМР")</f>
        <v>СМР</v>
      </c>
      <c r="G382" s="67" t="str">
        <f ca="1">IFERROR(__xludf.DUMMYFUNCTION("""COMPUTED_VALUE"""),"г.о. Богородский")</f>
        <v>г.о. Богородский</v>
      </c>
      <c r="H382" s="67" t="str">
        <f ca="1">IFERROR(__xludf.DUMMYFUNCTION("""COMPUTED_VALUE"""),"2022-2024")</f>
        <v>2022-2024</v>
      </c>
      <c r="I382" s="67" t="str">
        <f ca="1">IFERROR(__xludf.DUMMYFUNCTION("""COMPUTED_VALUE"""),"10 3 02 64080")</f>
        <v>10 3 02 64080</v>
      </c>
      <c r="J382" s="67">
        <f ca="1">IFERROR(__xludf.DUMMYFUNCTION("""COMPUTED_VALUE"""),522)</f>
        <v>522</v>
      </c>
      <c r="K382" s="97">
        <f t="shared" ca="1" si="1"/>
        <v>0</v>
      </c>
      <c r="L382" s="97">
        <f ca="1">IFERROR(__xludf.DUMMYFUNCTION("""COMPUTED_VALUE"""),0)</f>
        <v>0</v>
      </c>
      <c r="M382" s="97">
        <f ca="1">IFERROR(__xludf.DUMMYFUNCTION("""COMPUTED_VALUE"""),0)</f>
        <v>0</v>
      </c>
      <c r="N382" s="97">
        <f ca="1">IFERROR(__xludf.DUMMYFUNCTION("""COMPUTED_VALUE"""),0)</f>
        <v>0</v>
      </c>
      <c r="O382" s="97">
        <f ca="1">IFERROR(__xludf.DUMMYFUNCTION("""COMPUTED_VALUE"""),0)</f>
        <v>0</v>
      </c>
      <c r="P382" s="97">
        <f t="shared" ca="1" si="2"/>
        <v>0</v>
      </c>
      <c r="Q382" s="67"/>
      <c r="R382" s="67"/>
      <c r="S382" s="97">
        <f ca="1">IFERROR(__xludf.DUMMYFUNCTION("""COMPUTED_VALUE"""),0)</f>
        <v>0</v>
      </c>
      <c r="T382" s="97">
        <f ca="1">IFERROR(__xludf.DUMMYFUNCTION("""COMPUTED_VALUE"""),0)</f>
        <v>0</v>
      </c>
      <c r="U382" s="97">
        <f ca="1">IFERROR(__xludf.DUMMYFUNCTION("""COMPUTED_VALUE"""),0)</f>
        <v>0</v>
      </c>
      <c r="V382" s="97">
        <f ca="1">IFERROR(__xludf.DUMMYFUNCTION("""COMPUTED_VALUE"""),0)</f>
        <v>0</v>
      </c>
      <c r="W382" s="97">
        <f ca="1">IFERROR(__xludf.DUMMYFUNCTION("""COMPUTED_VALUE"""),0)</f>
        <v>0</v>
      </c>
      <c r="X382" s="97">
        <f ca="1">IFERROR(__xludf.DUMMYFUNCTION("""COMPUTED_VALUE"""),0)</f>
        <v>0</v>
      </c>
      <c r="Y382" s="97">
        <f t="shared" ca="1" si="3"/>
        <v>0</v>
      </c>
      <c r="Z382" s="67">
        <f t="shared" si="4"/>
        <v>0</v>
      </c>
      <c r="AA382" s="67"/>
      <c r="AB382" s="67"/>
      <c r="AC382" s="67"/>
      <c r="AD382" s="99" t="e">
        <f t="shared" ca="1" si="5"/>
        <v>#DIV/0!</v>
      </c>
      <c r="AE382" s="67"/>
      <c r="AF382" s="67"/>
      <c r="AG382" s="67"/>
      <c r="AH382" s="67"/>
      <c r="AI382" s="67"/>
      <c r="AJ382" s="67"/>
      <c r="AK382" s="67"/>
      <c r="AL382" s="67"/>
      <c r="AM382" s="67"/>
      <c r="AN382" s="67"/>
      <c r="AO382" s="67"/>
      <c r="AP382" s="67"/>
      <c r="AQ382" s="67"/>
      <c r="AR382" s="67"/>
      <c r="AS382" s="67"/>
      <c r="AT382" s="67"/>
    </row>
    <row r="383" spans="1:46" ht="192" x14ac:dyDescent="0.2">
      <c r="A383" s="20"/>
      <c r="B383" s="95"/>
      <c r="C38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3" s="20" t="str">
        <f ca="1">IFERROR(__xludf.DUMMYFUNCTION("""COMPUTED_VALUE"""),"МинЖКХ")</f>
        <v>МинЖКХ</v>
      </c>
      <c r="E383" s="20" t="str">
        <f ca="1">IFERROR(__xludf.DUMMYFUNCTION("""COMPUTED_VALUE"""),"""Строительство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11"&amp;" 508,00 тыс.руб. из них средства бюджета Московской области - 11 507,63 тыс.руб., средства бюджета муниципального образования - 0,37 тыс.руб. ""
")</f>
        <v xml:space="preserv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11 508,00 тыс.руб. из них средства бюджета Московской области - 11 507,63 тыс.руб., средства бюджета муниципального образования - 0,37 тыс.руб. "
</v>
      </c>
      <c r="F383" s="20" t="str">
        <f ca="1">IFERROR(__xludf.DUMMYFUNCTION("""COMPUTED_VALUE"""),"СМР")</f>
        <v>СМР</v>
      </c>
      <c r="G383" s="20" t="str">
        <f ca="1">IFERROR(__xludf.DUMMYFUNCTION("""COMPUTED_VALUE"""),"г.о. Солнечногорск")</f>
        <v>г.о. Солнечногорск</v>
      </c>
      <c r="H383" s="20">
        <f ca="1">IFERROR(__xludf.DUMMYFUNCTION("""COMPUTED_VALUE"""),2020)</f>
        <v>2020</v>
      </c>
      <c r="I383" s="20" t="str">
        <f ca="1">IFERROR(__xludf.DUMMYFUNCTION("""COMPUTED_VALUE"""),"10 3 02 64080")</f>
        <v>10 3 02 64080</v>
      </c>
      <c r="J383" s="20">
        <f ca="1">IFERROR(__xludf.DUMMYFUNCTION("""COMPUTED_VALUE"""),522)</f>
        <v>522</v>
      </c>
      <c r="K383" s="24">
        <f t="shared" ca="1" si="1"/>
        <v>11508</v>
      </c>
      <c r="L383" s="24">
        <f ca="1">IFERROR(__xludf.DUMMYFUNCTION("""COMPUTED_VALUE"""),11507.63)</f>
        <v>11507.63</v>
      </c>
      <c r="M383" s="24">
        <f ca="1">IFERROR(__xludf.DUMMYFUNCTION("""COMPUTED_VALUE"""),0)</f>
        <v>0</v>
      </c>
      <c r="N383" s="24">
        <f ca="1">IFERROR(__xludf.DUMMYFUNCTION("""COMPUTED_VALUE"""),0)</f>
        <v>0</v>
      </c>
      <c r="O383" s="24">
        <f ca="1">IFERROR(__xludf.DUMMYFUNCTION("""COMPUTED_VALUE"""),0.37)</f>
        <v>0.37</v>
      </c>
      <c r="P383" s="24">
        <f t="shared" ca="1" si="2"/>
        <v>11507.63</v>
      </c>
      <c r="Q383" s="20">
        <f ca="1">IFERROR(__xludf.DUMMYFUNCTION("""COMPUTED_VALUE"""),100)</f>
        <v>100</v>
      </c>
      <c r="R383" s="20"/>
      <c r="S383" s="24">
        <f ca="1">IFERROR(__xludf.DUMMYFUNCTION("""COMPUTED_VALUE"""),11508)</f>
        <v>11508</v>
      </c>
      <c r="T383" s="24">
        <f ca="1">IFERROR(__xludf.DUMMYFUNCTION("""COMPUTED_VALUE"""),0)</f>
        <v>0</v>
      </c>
      <c r="U383" s="24">
        <f ca="1">IFERROR(__xludf.DUMMYFUNCTION("""COMPUTED_VALUE"""),0)</f>
        <v>0</v>
      </c>
      <c r="V383" s="24">
        <f ca="1">IFERROR(__xludf.DUMMYFUNCTION("""COMPUTED_VALUE"""),0)</f>
        <v>0</v>
      </c>
      <c r="W383" s="24">
        <f ca="1">IFERROR(__xludf.DUMMYFUNCTION("""COMPUTED_VALUE"""),0)</f>
        <v>0</v>
      </c>
      <c r="X383" s="24">
        <f ca="1">IFERROR(__xludf.DUMMYFUNCTION("""COMPUTED_VALUE"""),0)</f>
        <v>0</v>
      </c>
      <c r="Y383" s="24">
        <f t="shared" ca="1" si="3"/>
        <v>0</v>
      </c>
      <c r="Z383" s="20">
        <f t="shared" ca="1" si="4"/>
        <v>11507.63</v>
      </c>
      <c r="AA383" s="20"/>
      <c r="AB383" s="24">
        <f ca="1">IFERROR(__xludf.DUMMYFUNCTION("""COMPUTED_VALUE"""),11507.63)</f>
        <v>11507.63</v>
      </c>
      <c r="AC383" s="20"/>
      <c r="AD383" s="94">
        <f t="shared" ca="1" si="5"/>
        <v>1</v>
      </c>
      <c r="AE383" s="20"/>
      <c r="AF383" s="20"/>
      <c r="AG383" s="20"/>
      <c r="AH383" s="20"/>
      <c r="AI383" s="20"/>
      <c r="AJ383" s="20"/>
      <c r="AK383" s="20"/>
      <c r="AL383" s="20"/>
      <c r="AM383" s="20"/>
      <c r="AN383" s="20"/>
      <c r="AO383" s="20"/>
      <c r="AP383" s="20"/>
      <c r="AQ383" s="20"/>
      <c r="AR383" s="20"/>
      <c r="AS383" s="20"/>
      <c r="AT383" s="20"/>
    </row>
    <row r="384" spans="1:46" ht="72" hidden="1" x14ac:dyDescent="0.2">
      <c r="A384" s="67"/>
      <c r="B384" s="96"/>
      <c r="C38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4" s="20" t="str">
        <f ca="1">IFERROR(__xludf.DUMMYFUNCTION("""COMPUTED_VALUE"""),"МинЖКХ")</f>
        <v>МинЖКХ</v>
      </c>
      <c r="E384" s="20" t="str">
        <f ca="1">IFERROR(__xludf.DUMMYFUNCTION("""COMPUTED_VALUE"""),"Строительство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f>
        <v>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v>
      </c>
      <c r="F384" s="67" t="str">
        <f ca="1">IFERROR(__xludf.DUMMYFUNCTION("""COMPUTED_VALUE"""),"СМР")</f>
        <v>СМР</v>
      </c>
      <c r="G384" s="67" t="str">
        <f ca="1">IFERROR(__xludf.DUMMYFUNCTION("""COMPUTED_VALUE"""),"г.о. Черноголовка")</f>
        <v>г.о. Черноголовка</v>
      </c>
      <c r="H384" s="67" t="str">
        <f ca="1">IFERROR(__xludf.DUMMYFUNCTION("""COMPUTED_VALUE"""),"2022-2023")</f>
        <v>2022-2023</v>
      </c>
      <c r="I384" s="67" t="str">
        <f ca="1">IFERROR(__xludf.DUMMYFUNCTION("""COMPUTED_VALUE"""),"10 3 02 64080")</f>
        <v>10 3 02 64080</v>
      </c>
      <c r="J384" s="67">
        <f ca="1">IFERROR(__xludf.DUMMYFUNCTION("""COMPUTED_VALUE"""),522)</f>
        <v>522</v>
      </c>
      <c r="K384" s="97">
        <f t="shared" ca="1" si="1"/>
        <v>0</v>
      </c>
      <c r="L384" s="97">
        <f ca="1">IFERROR(__xludf.DUMMYFUNCTION("""COMPUTED_VALUE"""),0)</f>
        <v>0</v>
      </c>
      <c r="M384" s="97">
        <f ca="1">IFERROR(__xludf.DUMMYFUNCTION("""COMPUTED_VALUE"""),0)</f>
        <v>0</v>
      </c>
      <c r="N384" s="97">
        <f ca="1">IFERROR(__xludf.DUMMYFUNCTION("""COMPUTED_VALUE"""),0)</f>
        <v>0</v>
      </c>
      <c r="O384" s="97">
        <f ca="1">IFERROR(__xludf.DUMMYFUNCTION("""COMPUTED_VALUE"""),0)</f>
        <v>0</v>
      </c>
      <c r="P384" s="97">
        <f t="shared" ca="1" si="2"/>
        <v>0</v>
      </c>
      <c r="Q384" s="67"/>
      <c r="R384" s="67"/>
      <c r="S384" s="97">
        <f ca="1">IFERROR(__xludf.DUMMYFUNCTION("""COMPUTED_VALUE"""),0)</f>
        <v>0</v>
      </c>
      <c r="T384" s="97">
        <f ca="1">IFERROR(__xludf.DUMMYFUNCTION("""COMPUTED_VALUE"""),0)</f>
        <v>0</v>
      </c>
      <c r="U384" s="97">
        <f ca="1">IFERROR(__xludf.DUMMYFUNCTION("""COMPUTED_VALUE"""),0)</f>
        <v>0</v>
      </c>
      <c r="V384" s="97">
        <f ca="1">IFERROR(__xludf.DUMMYFUNCTION("""COMPUTED_VALUE"""),0)</f>
        <v>0</v>
      </c>
      <c r="W384" s="97">
        <f ca="1">IFERROR(__xludf.DUMMYFUNCTION("""COMPUTED_VALUE"""),0)</f>
        <v>0</v>
      </c>
      <c r="X384" s="97">
        <f ca="1">IFERROR(__xludf.DUMMYFUNCTION("""COMPUTED_VALUE"""),0)</f>
        <v>0</v>
      </c>
      <c r="Y384" s="97">
        <f t="shared" ca="1" si="3"/>
        <v>0</v>
      </c>
      <c r="Z384" s="67">
        <f t="shared" si="4"/>
        <v>0</v>
      </c>
      <c r="AA384" s="67"/>
      <c r="AB384" s="67"/>
      <c r="AC384" s="67"/>
      <c r="AD384" s="99" t="e">
        <f t="shared" ca="1" si="5"/>
        <v>#DIV/0!</v>
      </c>
      <c r="AE384" s="67"/>
      <c r="AF384" s="67"/>
      <c r="AG384" s="67"/>
      <c r="AH384" s="67"/>
      <c r="AI384" s="67"/>
      <c r="AJ384" s="67"/>
      <c r="AK384" s="67"/>
      <c r="AL384" s="67"/>
      <c r="AM384" s="67"/>
      <c r="AN384" s="67"/>
      <c r="AO384" s="67"/>
      <c r="AP384" s="67"/>
      <c r="AQ384" s="67"/>
      <c r="AR384" s="67"/>
      <c r="AS384" s="67"/>
      <c r="AT384" s="67"/>
    </row>
    <row r="385" spans="1:46" ht="72" hidden="1" x14ac:dyDescent="0.2">
      <c r="A385" s="67"/>
      <c r="B385" s="100"/>
      <c r="C38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5" s="20" t="str">
        <f ca="1">IFERROR(__xludf.DUMMYFUNCTION("""COMPUTED_VALUE"""),"МинЖКХ")</f>
        <v>МинЖКХ</v>
      </c>
      <c r="E385" s="20" t="str">
        <f ca="1">IFERROR(__xludf.DUMMYFUNCTION("""COMPUTED_VALUE"""),"Строительство сетей водоснбжения р.п. Андреевка, г.о. Солнечногорск")</f>
        <v>Строительство сетей водоснбжения р.п. Андреевка, г.о. Солнечногорск</v>
      </c>
      <c r="F385" s="67" t="str">
        <f ca="1">IFERROR(__xludf.DUMMYFUNCTION("""COMPUTED_VALUE"""),"СМР")</f>
        <v>СМР</v>
      </c>
      <c r="G385" s="67" t="str">
        <f ca="1">IFERROR(__xludf.DUMMYFUNCTION("""COMPUTED_VALUE"""),"г.о. Солнечногорск")</f>
        <v>г.о. Солнечногорск</v>
      </c>
      <c r="H385" s="67">
        <f ca="1">IFERROR(__xludf.DUMMYFUNCTION("""COMPUTED_VALUE"""),2022)</f>
        <v>2022</v>
      </c>
      <c r="I385" s="67" t="str">
        <f ca="1">IFERROR(__xludf.DUMMYFUNCTION("""COMPUTED_VALUE"""),"10 3 02 64080")</f>
        <v>10 3 02 64080</v>
      </c>
      <c r="J385" s="67">
        <f ca="1">IFERROR(__xludf.DUMMYFUNCTION("""COMPUTED_VALUE"""),522)</f>
        <v>522</v>
      </c>
      <c r="K385" s="97">
        <f t="shared" ca="1" si="1"/>
        <v>0</v>
      </c>
      <c r="L385" s="97">
        <f ca="1">IFERROR(__xludf.DUMMYFUNCTION("""COMPUTED_VALUE"""),0)</f>
        <v>0</v>
      </c>
      <c r="M385" s="97">
        <f ca="1">IFERROR(__xludf.DUMMYFUNCTION("""COMPUTED_VALUE"""),0)</f>
        <v>0</v>
      </c>
      <c r="N385" s="97">
        <f ca="1">IFERROR(__xludf.DUMMYFUNCTION("""COMPUTED_VALUE"""),0)</f>
        <v>0</v>
      </c>
      <c r="O385" s="97">
        <f ca="1">IFERROR(__xludf.DUMMYFUNCTION("""COMPUTED_VALUE"""),0)</f>
        <v>0</v>
      </c>
      <c r="P385" s="97">
        <f t="shared" ca="1" si="2"/>
        <v>0</v>
      </c>
      <c r="Q385" s="67"/>
      <c r="R385" s="67"/>
      <c r="S385" s="97">
        <f ca="1">IFERROR(__xludf.DUMMYFUNCTION("""COMPUTED_VALUE"""),0)</f>
        <v>0</v>
      </c>
      <c r="T385" s="97">
        <f ca="1">IFERROR(__xludf.DUMMYFUNCTION("""COMPUTED_VALUE"""),0)</f>
        <v>0</v>
      </c>
      <c r="U385" s="97">
        <f ca="1">IFERROR(__xludf.DUMMYFUNCTION("""COMPUTED_VALUE"""),0)</f>
        <v>0</v>
      </c>
      <c r="V385" s="97">
        <f ca="1">IFERROR(__xludf.DUMMYFUNCTION("""COMPUTED_VALUE"""),0)</f>
        <v>0</v>
      </c>
      <c r="W385" s="97">
        <f ca="1">IFERROR(__xludf.DUMMYFUNCTION("""COMPUTED_VALUE"""),0)</f>
        <v>0</v>
      </c>
      <c r="X385" s="97">
        <f ca="1">IFERROR(__xludf.DUMMYFUNCTION("""COMPUTED_VALUE"""),0)</f>
        <v>0</v>
      </c>
      <c r="Y385" s="97">
        <f t="shared" ca="1" si="3"/>
        <v>0</v>
      </c>
      <c r="Z385" s="67">
        <f t="shared" si="4"/>
        <v>0</v>
      </c>
      <c r="AA385" s="67"/>
      <c r="AB385" s="67"/>
      <c r="AC385" s="67"/>
      <c r="AD385" s="99" t="e">
        <f t="shared" ca="1" si="5"/>
        <v>#DIV/0!</v>
      </c>
      <c r="AE385" s="67"/>
      <c r="AF385" s="67"/>
      <c r="AG385" s="67"/>
      <c r="AH385" s="67"/>
      <c r="AI385" s="67"/>
      <c r="AJ385" s="67"/>
      <c r="AK385" s="67"/>
      <c r="AL385" s="67"/>
      <c r="AM385" s="67"/>
      <c r="AN385" s="67"/>
      <c r="AO385" s="67"/>
      <c r="AP385" s="67"/>
      <c r="AQ385" s="67"/>
      <c r="AR385" s="67"/>
      <c r="AS385" s="67"/>
      <c r="AT385" s="67"/>
    </row>
    <row r="386" spans="1:46" ht="72" x14ac:dyDescent="0.2">
      <c r="A386" s="20"/>
      <c r="B386" s="95"/>
      <c r="C38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6" s="20" t="str">
        <f ca="1">IFERROR(__xludf.DUMMYFUNCTION("""COMPUTED_VALUE"""),"МинЖКХ")</f>
        <v>МинЖКХ</v>
      </c>
      <c r="E386" s="20" t="str">
        <f ca="1">IFERROR(__xludf.DUMMYFUNCTION("""COMPUTED_VALUE"""),"Строительство дренажной системы (в т.ч. ПИР)  в рп. Запрудня, Талдомский г.о.")</f>
        <v>Строительство дренажной системы (в т.ч. ПИР)  в рп. Запрудня, Талдомский г.о.</v>
      </c>
      <c r="F386" s="20" t="str">
        <f ca="1">IFERROR(__xludf.DUMMYFUNCTION("""COMPUTED_VALUE"""),"СМР")</f>
        <v>СМР</v>
      </c>
      <c r="G386" s="20" t="str">
        <f ca="1">IFERROR(__xludf.DUMMYFUNCTION("""COMPUTED_VALUE"""),"г.о. Талдомский")</f>
        <v>г.о. Талдомский</v>
      </c>
      <c r="H386" s="20" t="str">
        <f ca="1">IFERROR(__xludf.DUMMYFUNCTION("""COMPUTED_VALUE"""),"2020-2022")</f>
        <v>2020-2022</v>
      </c>
      <c r="I386" s="20" t="str">
        <f ca="1">IFERROR(__xludf.DUMMYFUNCTION("""COMPUTED_VALUE"""),"10 3 02 64080")</f>
        <v>10 3 02 64080</v>
      </c>
      <c r="J386" s="20">
        <f ca="1">IFERROR(__xludf.DUMMYFUNCTION("""COMPUTED_VALUE"""),522)</f>
        <v>522</v>
      </c>
      <c r="K386" s="24">
        <f t="shared" ca="1" si="1"/>
        <v>4510</v>
      </c>
      <c r="L386" s="24">
        <f ca="1">IFERROR(__xludf.DUMMYFUNCTION("""COMPUTED_VALUE"""),3928)</f>
        <v>3928</v>
      </c>
      <c r="M386" s="24">
        <f ca="1">IFERROR(__xludf.DUMMYFUNCTION("""COMPUTED_VALUE"""),0)</f>
        <v>0</v>
      </c>
      <c r="N386" s="24">
        <f ca="1">IFERROR(__xludf.DUMMYFUNCTION("""COMPUTED_VALUE"""),0)</f>
        <v>0</v>
      </c>
      <c r="O386" s="24">
        <f ca="1">IFERROR(__xludf.DUMMYFUNCTION("""COMPUTED_VALUE"""),582)</f>
        <v>582</v>
      </c>
      <c r="P386" s="24">
        <f t="shared" ca="1" si="2"/>
        <v>3928</v>
      </c>
      <c r="Q386" s="20"/>
      <c r="R386" s="20"/>
      <c r="S386" s="24">
        <f ca="1">IFERROR(__xludf.DUMMYFUNCTION("""COMPUTED_VALUE"""),4510)</f>
        <v>4510</v>
      </c>
      <c r="T386" s="24">
        <f ca="1">IFERROR(__xludf.DUMMYFUNCTION("""COMPUTED_VALUE"""),0)</f>
        <v>0</v>
      </c>
      <c r="U386" s="24">
        <f ca="1">IFERROR(__xludf.DUMMYFUNCTION("""COMPUTED_VALUE"""),0)</f>
        <v>0</v>
      </c>
      <c r="V386" s="24">
        <f ca="1">IFERROR(__xludf.DUMMYFUNCTION("""COMPUTED_VALUE"""),0)</f>
        <v>0</v>
      </c>
      <c r="W386" s="24">
        <f ca="1">IFERROR(__xludf.DUMMYFUNCTION("""COMPUTED_VALUE"""),0)</f>
        <v>0</v>
      </c>
      <c r="X386" s="24">
        <f ca="1">IFERROR(__xludf.DUMMYFUNCTION("""COMPUTED_VALUE"""),0)</f>
        <v>0</v>
      </c>
      <c r="Y386" s="24">
        <f t="shared" ca="1" si="3"/>
        <v>0</v>
      </c>
      <c r="Z386" s="20">
        <f t="shared" ca="1" si="4"/>
        <v>3928</v>
      </c>
      <c r="AA386" s="20"/>
      <c r="AB386" s="24">
        <f ca="1">IFERROR(__xludf.DUMMYFUNCTION("""COMPUTED_VALUE"""),3928)</f>
        <v>3928</v>
      </c>
      <c r="AC386" s="20"/>
      <c r="AD386" s="94">
        <f t="shared" ca="1" si="5"/>
        <v>1</v>
      </c>
      <c r="AE386" s="20"/>
      <c r="AF386" s="20"/>
      <c r="AG386" s="20"/>
      <c r="AH386" s="20"/>
      <c r="AI386" s="20"/>
      <c r="AJ386" s="20"/>
      <c r="AK386" s="20"/>
      <c r="AL386" s="20"/>
      <c r="AM386" s="20"/>
      <c r="AN386" s="20"/>
      <c r="AO386" s="20"/>
      <c r="AP386" s="20"/>
      <c r="AQ386" s="20"/>
      <c r="AR386" s="20"/>
      <c r="AS386" s="20"/>
      <c r="AT386" s="20"/>
    </row>
    <row r="387" spans="1:46" ht="72" hidden="1" x14ac:dyDescent="0.2">
      <c r="A387" s="67" t="str">
        <f ca="1">IFERROR(__xludf.DUMMYFUNCTION("""COMPUTED_VALUE"""),"6555,0 расход в 2020 году????? прошла")</f>
        <v>6555,0 расход в 2020 году????? прошла</v>
      </c>
      <c r="B387" s="96"/>
      <c r="C38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7" s="20" t="str">
        <f ca="1">IFERROR(__xludf.DUMMYFUNCTION("""COMPUTED_VALUE"""),"МинЖКХ")</f>
        <v>МинЖКХ</v>
      </c>
      <c r="E387" s="20" t="str">
        <f ca="1">IFERROR(__xludf.DUMMYFUNCTION("""COMPUTED_VALUE"""),"Внеплощадочные сети для очистных сооружений по адресу: Московская обл., городской округ Кашира, г.Кашира, д. Терново-1 (ПИР)")</f>
        <v>Внеплощадочные сети для очистных сооружений по адресу: Московская обл., городской округ Кашира, г.Кашира, д. Терново-1 (ПИР)</v>
      </c>
      <c r="F387" s="67" t="str">
        <f ca="1">IFERROR(__xludf.DUMMYFUNCTION("""COMPUTED_VALUE"""),"ПИР")</f>
        <v>ПИР</v>
      </c>
      <c r="G387" s="67" t="str">
        <f ca="1">IFERROR(__xludf.DUMMYFUNCTION("""COMPUTED_VALUE"""),"г.о. Кашира")</f>
        <v>г.о. Кашира</v>
      </c>
      <c r="H387" s="67">
        <f ca="1">IFERROR(__xludf.DUMMYFUNCTION("""COMPUTED_VALUE"""),2022)</f>
        <v>2022</v>
      </c>
      <c r="I387" s="67" t="str">
        <f ca="1">IFERROR(__xludf.DUMMYFUNCTION("""COMPUTED_VALUE"""),"10 3 02 64080")</f>
        <v>10 3 02 64080</v>
      </c>
      <c r="J387" s="67">
        <f ca="1">IFERROR(__xludf.DUMMYFUNCTION("""COMPUTED_VALUE"""),522)</f>
        <v>522</v>
      </c>
      <c r="K387" s="97">
        <f t="shared" ca="1" si="1"/>
        <v>0</v>
      </c>
      <c r="L387" s="97">
        <f ca="1">IFERROR(__xludf.DUMMYFUNCTION("""COMPUTED_VALUE"""),0)</f>
        <v>0</v>
      </c>
      <c r="M387" s="97">
        <f ca="1">IFERROR(__xludf.DUMMYFUNCTION("""COMPUTED_VALUE"""),0)</f>
        <v>0</v>
      </c>
      <c r="N387" s="97">
        <f ca="1">IFERROR(__xludf.DUMMYFUNCTION("""COMPUTED_VALUE"""),0)</f>
        <v>0</v>
      </c>
      <c r="O387" s="97">
        <f ca="1">IFERROR(__xludf.DUMMYFUNCTION("""COMPUTED_VALUE"""),0)</f>
        <v>0</v>
      </c>
      <c r="P387" s="97">
        <f t="shared" ca="1" si="2"/>
        <v>0</v>
      </c>
      <c r="Q387" s="67"/>
      <c r="R387" s="67"/>
      <c r="S387" s="97">
        <f ca="1">IFERROR(__xludf.DUMMYFUNCTION("""COMPUTED_VALUE"""),0)</f>
        <v>0</v>
      </c>
      <c r="T387" s="97">
        <f ca="1">IFERROR(__xludf.DUMMYFUNCTION("""COMPUTED_VALUE"""),0)</f>
        <v>0</v>
      </c>
      <c r="U387" s="97">
        <f ca="1">IFERROR(__xludf.DUMMYFUNCTION("""COMPUTED_VALUE"""),0)</f>
        <v>0</v>
      </c>
      <c r="V387" s="97">
        <f ca="1">IFERROR(__xludf.DUMMYFUNCTION("""COMPUTED_VALUE"""),0)</f>
        <v>0</v>
      </c>
      <c r="W387" s="97">
        <f ca="1">IFERROR(__xludf.DUMMYFUNCTION("""COMPUTED_VALUE"""),0)</f>
        <v>0</v>
      </c>
      <c r="X387" s="97">
        <f ca="1">IFERROR(__xludf.DUMMYFUNCTION("""COMPUTED_VALUE"""),0)</f>
        <v>0</v>
      </c>
      <c r="Y387" s="97">
        <f t="shared" ca="1" si="3"/>
        <v>0</v>
      </c>
      <c r="Z387" s="67">
        <f t="shared" si="4"/>
        <v>0</v>
      </c>
      <c r="AA387" s="67"/>
      <c r="AB387" s="67"/>
      <c r="AC387" s="67"/>
      <c r="AD387" s="99" t="e">
        <f t="shared" ca="1" si="5"/>
        <v>#DIV/0!</v>
      </c>
      <c r="AE387" s="67"/>
      <c r="AF387" s="67"/>
      <c r="AG387" s="67"/>
      <c r="AH387" s="67"/>
      <c r="AI387" s="67"/>
      <c r="AJ387" s="67"/>
      <c r="AK387" s="67"/>
      <c r="AL387" s="67"/>
      <c r="AM387" s="67"/>
      <c r="AN387" s="67"/>
      <c r="AO387" s="67"/>
      <c r="AP387" s="67"/>
      <c r="AQ387" s="67"/>
      <c r="AR387" s="67"/>
      <c r="AS387" s="67"/>
      <c r="AT387" s="67"/>
    </row>
    <row r="388" spans="1:46" ht="72" hidden="1" x14ac:dyDescent="0.2">
      <c r="A388" s="67"/>
      <c r="B388" s="96"/>
      <c r="C38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8" s="20" t="str">
        <f ca="1">IFERROR(__xludf.DUMMYFUNCTION("""COMPUTED_VALUE"""),"МинЖКХ")</f>
        <v>МинЖКХ</v>
      </c>
      <c r="E388" s="20" t="str">
        <f ca="1">IFERROR(__xludf.DUMMYFUNCTION("""COMPUTED_VALUE"""),"Строительство наружный сетей водоснабжения, водоотведеиня и теплоснабжения  г.о. Шатура (бывшая территория г.о. Рошаль) ПИР")</f>
        <v>Строительство наружный сетей водоснабжения, водоотведеиня и теплоснабжения  г.о. Шатура (бывшая территория г.о. Рошаль) ПИР</v>
      </c>
      <c r="F388" s="67" t="str">
        <f ca="1">IFERROR(__xludf.DUMMYFUNCTION("""COMPUTED_VALUE"""),"ПИР")</f>
        <v>ПИР</v>
      </c>
      <c r="G388" s="67" t="str">
        <f ca="1">IFERROR(__xludf.DUMMYFUNCTION("""COMPUTED_VALUE"""),"г.о. Шатура")</f>
        <v>г.о. Шатура</v>
      </c>
      <c r="H388" s="67" t="str">
        <f ca="1">IFERROR(__xludf.DUMMYFUNCTION("""COMPUTED_VALUE"""),"2023-2024")</f>
        <v>2023-2024</v>
      </c>
      <c r="I388" s="67" t="str">
        <f ca="1">IFERROR(__xludf.DUMMYFUNCTION("""COMPUTED_VALUE"""),"10 3 02 64080")</f>
        <v>10 3 02 64080</v>
      </c>
      <c r="J388" s="67">
        <f ca="1">IFERROR(__xludf.DUMMYFUNCTION("""COMPUTED_VALUE"""),522)</f>
        <v>522</v>
      </c>
      <c r="K388" s="97">
        <f t="shared" ca="1" si="1"/>
        <v>0</v>
      </c>
      <c r="L388" s="97">
        <f ca="1">IFERROR(__xludf.DUMMYFUNCTION("""COMPUTED_VALUE"""),0)</f>
        <v>0</v>
      </c>
      <c r="M388" s="97">
        <f ca="1">IFERROR(__xludf.DUMMYFUNCTION("""COMPUTED_VALUE"""),0)</f>
        <v>0</v>
      </c>
      <c r="N388" s="97">
        <f ca="1">IFERROR(__xludf.DUMMYFUNCTION("""COMPUTED_VALUE"""),0)</f>
        <v>0</v>
      </c>
      <c r="O388" s="97">
        <f ca="1">IFERROR(__xludf.DUMMYFUNCTION("""COMPUTED_VALUE"""),0)</f>
        <v>0</v>
      </c>
      <c r="P388" s="97">
        <f t="shared" ca="1" si="2"/>
        <v>0</v>
      </c>
      <c r="Q388" s="67"/>
      <c r="R388" s="67"/>
      <c r="S388" s="97">
        <f ca="1">IFERROR(__xludf.DUMMYFUNCTION("""COMPUTED_VALUE"""),0)</f>
        <v>0</v>
      </c>
      <c r="T388" s="97">
        <f ca="1">IFERROR(__xludf.DUMMYFUNCTION("""COMPUTED_VALUE"""),0)</f>
        <v>0</v>
      </c>
      <c r="U388" s="97">
        <f ca="1">IFERROR(__xludf.DUMMYFUNCTION("""COMPUTED_VALUE"""),0)</f>
        <v>0</v>
      </c>
      <c r="V388" s="97">
        <f ca="1">IFERROR(__xludf.DUMMYFUNCTION("""COMPUTED_VALUE"""),0)</f>
        <v>0</v>
      </c>
      <c r="W388" s="97">
        <f ca="1">IFERROR(__xludf.DUMMYFUNCTION("""COMPUTED_VALUE"""),0)</f>
        <v>0</v>
      </c>
      <c r="X388" s="97">
        <f ca="1">IFERROR(__xludf.DUMMYFUNCTION("""COMPUTED_VALUE"""),0)</f>
        <v>0</v>
      </c>
      <c r="Y388" s="97">
        <f t="shared" ca="1" si="3"/>
        <v>0</v>
      </c>
      <c r="Z388" s="67">
        <f t="shared" si="4"/>
        <v>0</v>
      </c>
      <c r="AA388" s="67"/>
      <c r="AB388" s="67"/>
      <c r="AC388" s="67"/>
      <c r="AD388" s="99" t="e">
        <f t="shared" ca="1" si="5"/>
        <v>#DIV/0!</v>
      </c>
      <c r="AE388" s="67"/>
      <c r="AF388" s="67"/>
      <c r="AG388" s="67"/>
      <c r="AH388" s="67"/>
      <c r="AI388" s="67"/>
      <c r="AJ388" s="67"/>
      <c r="AK388" s="67"/>
      <c r="AL388" s="67"/>
      <c r="AM388" s="67"/>
      <c r="AN388" s="67"/>
      <c r="AO388" s="67"/>
      <c r="AP388" s="67"/>
      <c r="AQ388" s="67"/>
      <c r="AR388" s="67"/>
      <c r="AS388" s="67"/>
      <c r="AT388" s="67"/>
    </row>
    <row r="389" spans="1:46" ht="72" hidden="1" x14ac:dyDescent="0.2">
      <c r="A389" s="67"/>
      <c r="B389" s="100"/>
      <c r="C38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9" s="20" t="str">
        <f ca="1">IFERROR(__xludf.DUMMYFUNCTION("""COMPUTED_VALUE"""),"МинЖКХ")</f>
        <v>МинЖКХ</v>
      </c>
      <c r="E389" s="20" t="str">
        <f ca="1">IFERROR(__xludf.DUMMYFUNCTION("""COMPUTED_VALUE"""),"Строительство сетей водоснабжения и водоотведения в д. Подушкино, Одинцово г.о.")</f>
        <v>Строительство сетей водоснабжения и водоотведения в д. Подушкино, Одинцово г.о.</v>
      </c>
      <c r="F389" s="67" t="str">
        <f ca="1">IFERROR(__xludf.DUMMYFUNCTION("""COMPUTED_VALUE"""),"СМР")</f>
        <v>СМР</v>
      </c>
      <c r="G389" s="67" t="str">
        <f ca="1">IFERROR(__xludf.DUMMYFUNCTION("""COMPUTED_VALUE"""),"г.о. Одинцово")</f>
        <v>г.о. Одинцово</v>
      </c>
      <c r="H389" s="67">
        <f ca="1">IFERROR(__xludf.DUMMYFUNCTION("""COMPUTED_VALUE"""),2022)</f>
        <v>2022</v>
      </c>
      <c r="I389" s="67" t="str">
        <f ca="1">IFERROR(__xludf.DUMMYFUNCTION("""COMPUTED_VALUE"""),"10 3 02 64080")</f>
        <v>10 3 02 64080</v>
      </c>
      <c r="J389" s="67">
        <f ca="1">IFERROR(__xludf.DUMMYFUNCTION("""COMPUTED_VALUE"""),522)</f>
        <v>522</v>
      </c>
      <c r="K389" s="97">
        <f t="shared" ca="1" si="1"/>
        <v>0</v>
      </c>
      <c r="L389" s="97">
        <f ca="1">IFERROR(__xludf.DUMMYFUNCTION("""COMPUTED_VALUE"""),0)</f>
        <v>0</v>
      </c>
      <c r="M389" s="97">
        <f ca="1">IFERROR(__xludf.DUMMYFUNCTION("""COMPUTED_VALUE"""),0)</f>
        <v>0</v>
      </c>
      <c r="N389" s="97">
        <f ca="1">IFERROR(__xludf.DUMMYFUNCTION("""COMPUTED_VALUE"""),0)</f>
        <v>0</v>
      </c>
      <c r="O389" s="97">
        <f ca="1">IFERROR(__xludf.DUMMYFUNCTION("""COMPUTED_VALUE"""),0)</f>
        <v>0</v>
      </c>
      <c r="P389" s="97">
        <f t="shared" ca="1" si="2"/>
        <v>0</v>
      </c>
      <c r="Q389" s="67"/>
      <c r="R389" s="67"/>
      <c r="S389" s="97">
        <f ca="1">IFERROR(__xludf.DUMMYFUNCTION("""COMPUTED_VALUE"""),0)</f>
        <v>0</v>
      </c>
      <c r="T389" s="97">
        <f ca="1">IFERROR(__xludf.DUMMYFUNCTION("""COMPUTED_VALUE"""),0)</f>
        <v>0</v>
      </c>
      <c r="U389" s="97">
        <f ca="1">IFERROR(__xludf.DUMMYFUNCTION("""COMPUTED_VALUE"""),0)</f>
        <v>0</v>
      </c>
      <c r="V389" s="97">
        <f ca="1">IFERROR(__xludf.DUMMYFUNCTION("""COMPUTED_VALUE"""),0)</f>
        <v>0</v>
      </c>
      <c r="W389" s="97">
        <f ca="1">IFERROR(__xludf.DUMMYFUNCTION("""COMPUTED_VALUE"""),0)</f>
        <v>0</v>
      </c>
      <c r="X389" s="97">
        <f ca="1">IFERROR(__xludf.DUMMYFUNCTION("""COMPUTED_VALUE"""),0)</f>
        <v>0</v>
      </c>
      <c r="Y389" s="97">
        <f t="shared" ca="1" si="3"/>
        <v>0</v>
      </c>
      <c r="Z389" s="67">
        <f t="shared" si="4"/>
        <v>0</v>
      </c>
      <c r="AA389" s="67"/>
      <c r="AB389" s="67"/>
      <c r="AC389" s="67"/>
      <c r="AD389" s="99" t="e">
        <f t="shared" ca="1" si="5"/>
        <v>#DIV/0!</v>
      </c>
      <c r="AE389" s="67"/>
      <c r="AF389" s="67"/>
      <c r="AG389" s="67"/>
      <c r="AH389" s="67"/>
      <c r="AI389" s="67"/>
      <c r="AJ389" s="67"/>
      <c r="AK389" s="67"/>
      <c r="AL389" s="67"/>
      <c r="AM389" s="67"/>
      <c r="AN389" s="67"/>
      <c r="AO389" s="67"/>
      <c r="AP389" s="67"/>
      <c r="AQ389" s="67"/>
      <c r="AR389" s="67"/>
      <c r="AS389" s="67"/>
      <c r="AT389" s="67"/>
    </row>
    <row r="390" spans="1:46" ht="72" hidden="1" x14ac:dyDescent="0.2">
      <c r="A390" s="67"/>
      <c r="B390" s="100"/>
      <c r="C39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0" s="20" t="str">
        <f ca="1">IFERROR(__xludf.DUMMYFUNCTION("""COMPUTED_VALUE"""),"МинЖКХ")</f>
        <v>МинЖКХ</v>
      </c>
      <c r="E390" s="20" t="str">
        <f ca="1">IFERROR(__xludf.DUMMYFUNCTION("""COMPUTED_VALUE"""),"Реконструкция участка магистральной тепловой сети Ду 700 от центральной котельной до тепловой камеры ТК-3 по адресу: Московская область, г. Черноголовка")</f>
        <v>Реконструкция участка магистральной тепловой сети Ду 700 от центральной котельной до тепловой камеры ТК-3 по адресу: Московская область, г. Черноголовка</v>
      </c>
      <c r="F390" s="67" t="str">
        <f ca="1">IFERROR(__xludf.DUMMYFUNCTION("""COMPUTED_VALUE"""),"СМР")</f>
        <v>СМР</v>
      </c>
      <c r="G390" s="67" t="str">
        <f ca="1">IFERROR(__xludf.DUMMYFUNCTION("""COMPUTED_VALUE"""),"г.о. Черноголовка")</f>
        <v>г.о. Черноголовка</v>
      </c>
      <c r="H390" s="67">
        <f ca="1">IFERROR(__xludf.DUMMYFUNCTION("""COMPUTED_VALUE"""),2020)</f>
        <v>2020</v>
      </c>
      <c r="I390" s="67" t="str">
        <f ca="1">IFERROR(__xludf.DUMMYFUNCTION("""COMPUTED_VALUE"""),"10 3 02 64080")</f>
        <v>10 3 02 64080</v>
      </c>
      <c r="J390" s="67">
        <f ca="1">IFERROR(__xludf.DUMMYFUNCTION("""COMPUTED_VALUE"""),522)</f>
        <v>522</v>
      </c>
      <c r="K390" s="97">
        <f t="shared" ca="1" si="1"/>
        <v>63528.07</v>
      </c>
      <c r="L390" s="97">
        <f ca="1">IFERROR(__xludf.DUMMYFUNCTION("""COMPUTED_VALUE"""),0)</f>
        <v>0</v>
      </c>
      <c r="M390" s="97">
        <f ca="1">IFERROR(__xludf.DUMMYFUNCTION("""COMPUTED_VALUE"""),0)</f>
        <v>0</v>
      </c>
      <c r="N390" s="97">
        <f ca="1">IFERROR(__xludf.DUMMYFUNCTION("""COMPUTED_VALUE"""),0)</f>
        <v>0</v>
      </c>
      <c r="O390" s="97">
        <f ca="1">IFERROR(__xludf.DUMMYFUNCTION("""COMPUTED_VALUE"""),63528.07)</f>
        <v>63528.07</v>
      </c>
      <c r="P390" s="97">
        <f t="shared" ca="1" si="2"/>
        <v>0</v>
      </c>
      <c r="Q390" s="67">
        <f ca="1">IFERROR(__xludf.DUMMYFUNCTION("""COMPUTED_VALUE"""),100)</f>
        <v>100</v>
      </c>
      <c r="R390" s="67"/>
      <c r="S390" s="97">
        <f ca="1">IFERROR(__xludf.DUMMYFUNCTION("""COMPUTED_VALUE"""),0)</f>
        <v>0</v>
      </c>
      <c r="T390" s="97">
        <f ca="1">IFERROR(__xludf.DUMMYFUNCTION("""COMPUTED_VALUE"""),63528.07)</f>
        <v>63528.07</v>
      </c>
      <c r="U390" s="97">
        <f ca="1">IFERROR(__xludf.DUMMYFUNCTION("""COMPUTED_VALUE"""),0)</f>
        <v>0</v>
      </c>
      <c r="V390" s="97">
        <f ca="1">IFERROR(__xludf.DUMMYFUNCTION("""COMPUTED_VALUE"""),0)</f>
        <v>0</v>
      </c>
      <c r="W390" s="97">
        <f ca="1">IFERROR(__xludf.DUMMYFUNCTION("""COMPUTED_VALUE"""),0)</f>
        <v>0</v>
      </c>
      <c r="X390" s="97">
        <f ca="1">IFERROR(__xludf.DUMMYFUNCTION("""COMPUTED_VALUE"""),63528.07)</f>
        <v>63528.07</v>
      </c>
      <c r="Y390" s="97">
        <f t="shared" ca="1" si="3"/>
        <v>0</v>
      </c>
      <c r="Z390" s="67">
        <f t="shared" ca="1" si="4"/>
        <v>0</v>
      </c>
      <c r="AA390" s="67"/>
      <c r="AB390" s="97">
        <f ca="1">IFERROR(__xludf.DUMMYFUNCTION("""COMPUTED_VALUE"""),0)</f>
        <v>0</v>
      </c>
      <c r="AC390" s="67"/>
      <c r="AD390" s="99" t="e">
        <f t="shared" ca="1" si="5"/>
        <v>#DIV/0!</v>
      </c>
      <c r="AE390" s="67"/>
      <c r="AF390" s="67"/>
      <c r="AG390" s="67"/>
      <c r="AH390" s="67"/>
      <c r="AI390" s="67"/>
      <c r="AJ390" s="67"/>
      <c r="AK390" s="67"/>
      <c r="AL390" s="67"/>
      <c r="AM390" s="67"/>
      <c r="AN390" s="67"/>
      <c r="AO390" s="67"/>
      <c r="AP390" s="67"/>
      <c r="AQ390" s="67"/>
      <c r="AR390" s="67"/>
      <c r="AS390" s="67"/>
      <c r="AT390" s="67"/>
    </row>
    <row r="391" spans="1:46" ht="72" x14ac:dyDescent="0.2">
      <c r="A391" s="20"/>
      <c r="B391" s="93"/>
      <c r="C39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1" s="20" t="str">
        <f ca="1">IFERROR(__xludf.DUMMYFUNCTION("""COMPUTED_VALUE"""),"МинЖКХ ""ТОП 5 (1 этап)""")</f>
        <v>МинЖКХ "ТОП 5 (1 этап)"</v>
      </c>
      <c r="E391" s="20" t="str">
        <f ca="1">IFERROR(__xludf.DUMMYFUNCTION("""COMPUTED_VALUE""")," Модернизация (реконструкция) котельной на электрокотлах (перевод на газ) д. Бордуки (в т.ч. ПИР, ТП) г.о. Шатура")</f>
        <v xml:space="preserve"> Модернизация (реконструкция) котельной на электрокотлах (перевод на газ) д. Бордуки (в т.ч. ПИР, ТП) г.о. Шатура</v>
      </c>
      <c r="F391" s="20" t="str">
        <f ca="1">IFERROR(__xludf.DUMMYFUNCTION("""COMPUTED_VALUE"""),"СМР")</f>
        <v>СМР</v>
      </c>
      <c r="G391" s="20" t="str">
        <f ca="1">IFERROR(__xludf.DUMMYFUNCTION("""COMPUTED_VALUE"""),"г.о. Шатура")</f>
        <v>г.о. Шатура</v>
      </c>
      <c r="H391" s="20" t="str">
        <f ca="1">IFERROR(__xludf.DUMMYFUNCTION("""COMPUTED_VALUE"""),"2020-2021")</f>
        <v>2020-2021</v>
      </c>
      <c r="I391" s="20" t="str">
        <f ca="1">IFERROR(__xludf.DUMMYFUNCTION("""COMPUTED_VALUE"""),"10 3 02 64080")</f>
        <v>10 3 02 64080</v>
      </c>
      <c r="J391" s="20">
        <f ca="1">IFERROR(__xludf.DUMMYFUNCTION("""COMPUTED_VALUE"""),522)</f>
        <v>522</v>
      </c>
      <c r="K391" s="24">
        <f t="shared" ca="1" si="1"/>
        <v>500</v>
      </c>
      <c r="L391" s="24">
        <f ca="1">IFERROR(__xludf.DUMMYFUNCTION("""COMPUTED_VALUE"""),0)</f>
        <v>0</v>
      </c>
      <c r="M391" s="24">
        <f ca="1">IFERROR(__xludf.DUMMYFUNCTION("""COMPUTED_VALUE"""),0)</f>
        <v>0</v>
      </c>
      <c r="N391" s="24">
        <f ca="1">IFERROR(__xludf.DUMMYFUNCTION("""COMPUTED_VALUE"""),458)</f>
        <v>458</v>
      </c>
      <c r="O391" s="24">
        <f ca="1">IFERROR(__xludf.DUMMYFUNCTION("""COMPUTED_VALUE"""),42)</f>
        <v>42</v>
      </c>
      <c r="P391" s="24">
        <f t="shared" ca="1" si="2"/>
        <v>458</v>
      </c>
      <c r="Q391" s="20"/>
      <c r="R391" s="20"/>
      <c r="S391" s="24">
        <f ca="1">IFERROR(__xludf.DUMMYFUNCTION("""COMPUTED_VALUE"""),150.59)</f>
        <v>150.59</v>
      </c>
      <c r="T391" s="24">
        <f ca="1">IFERROR(__xludf.DUMMYFUNCTION("""COMPUTED_VALUE"""),349.409999999999)</f>
        <v>349.409999999999</v>
      </c>
      <c r="U391" s="24">
        <f ca="1">IFERROR(__xludf.DUMMYFUNCTION("""COMPUTED_VALUE"""),0)</f>
        <v>0</v>
      </c>
      <c r="V391" s="24">
        <f ca="1">IFERROR(__xludf.DUMMYFUNCTION("""COMPUTED_VALUE"""),0)</f>
        <v>0</v>
      </c>
      <c r="W391" s="24">
        <f ca="1">IFERROR(__xludf.DUMMYFUNCTION("""COMPUTED_VALUE"""),307.409999999999)</f>
        <v>307.409999999999</v>
      </c>
      <c r="X391" s="24">
        <f ca="1">IFERROR(__xludf.DUMMYFUNCTION("""COMPUTED_VALUE"""),42)</f>
        <v>42</v>
      </c>
      <c r="Y391" s="24">
        <f t="shared" ca="1" si="3"/>
        <v>307.409999999999</v>
      </c>
      <c r="Z391" s="20">
        <f t="shared" ca="1" si="4"/>
        <v>150.59</v>
      </c>
      <c r="AA391" s="20"/>
      <c r="AB391" s="24">
        <f ca="1">IFERROR(__xludf.DUMMYFUNCTION("""COMPUTED_VALUE"""),0)</f>
        <v>0</v>
      </c>
      <c r="AC391" s="20">
        <f ca="1">IFERROR(__xludf.DUMMYFUNCTION("""COMPUTED_VALUE"""),150.59)</f>
        <v>150.59</v>
      </c>
      <c r="AD391" s="94">
        <f t="shared" ca="1" si="5"/>
        <v>0.32879912663755462</v>
      </c>
      <c r="AE391" s="20"/>
      <c r="AF391" s="20"/>
      <c r="AG391" s="20"/>
      <c r="AH391" s="20"/>
      <c r="AI391" s="20"/>
      <c r="AJ391" s="20"/>
      <c r="AK391" s="20"/>
      <c r="AL391" s="20"/>
      <c r="AM391" s="20"/>
      <c r="AN391" s="20"/>
      <c r="AO391" s="20"/>
      <c r="AP391" s="20"/>
      <c r="AQ391" s="20"/>
      <c r="AR391" s="20"/>
      <c r="AS391" s="20"/>
      <c r="AT391" s="20"/>
    </row>
    <row r="392" spans="1:46" ht="84" x14ac:dyDescent="0.2">
      <c r="A392" s="20" t="str">
        <f ca="1">IFERROR(__xludf.DUMMYFUNCTION("""COMPUTED_VALUE"""),"""Выход из МОГЭ 03.12.2020 с увелечением лимитов на 5 891,49 тыс. руб. Сделан монтаж фундамента под котлы. Котлы закуплены и находятся на территории  районной эксплуатационной службе филиала МОСОБЛГАЗ.
""")</f>
        <v>"Выход из МОГЭ 03.12.2020 с увелечением лимитов на 5 891,49 тыс. руб. Сделан монтаж фундамента под котлы. Котлы закуплены и находятся на территории  районной эксплуатационной службе филиала МОСОБЛГАЗ.
"</v>
      </c>
      <c r="B392" s="93"/>
      <c r="C39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2" s="20" t="str">
        <f ca="1">IFERROR(__xludf.DUMMYFUNCTION("""COMPUTED_VALUE"""),"МинЖКХ ""ТОП 5 (1 этап)""")</f>
        <v>МинЖКХ "ТОП 5 (1 этап)"</v>
      </c>
      <c r="E392" s="20" t="str">
        <f ca="1">IFERROR(__xludf.DUMMYFUNCTION("""COMPUTED_VALUE"""),"Модернизация (реконструкция) дизельной котельной (перевод на газ) п. Мещерский Бор (в т.ч. ПИР, ТП) г.о. Шатура")</f>
        <v>Модернизация (реконструкция) дизельной котельной (перевод на газ) п. Мещерский Бор (в т.ч. ПИР, ТП) г.о. Шатура</v>
      </c>
      <c r="F392" s="20" t="str">
        <f ca="1">IFERROR(__xludf.DUMMYFUNCTION("""COMPUTED_VALUE"""),"СМР")</f>
        <v>СМР</v>
      </c>
      <c r="G392" s="20" t="str">
        <f ca="1">IFERROR(__xludf.DUMMYFUNCTION("""COMPUTED_VALUE"""),"г.о. Шатура")</f>
        <v>г.о. Шатура</v>
      </c>
      <c r="H392" s="20" t="str">
        <f ca="1">IFERROR(__xludf.DUMMYFUNCTION("""COMPUTED_VALUE"""),"2020-2021")</f>
        <v>2020-2021</v>
      </c>
      <c r="I392" s="20" t="str">
        <f ca="1">IFERROR(__xludf.DUMMYFUNCTION("""COMPUTED_VALUE"""),"10 3 02 64080")</f>
        <v>10 3 02 64080</v>
      </c>
      <c r="J392" s="20">
        <f ca="1">IFERROR(__xludf.DUMMYFUNCTION("""COMPUTED_VALUE"""),522)</f>
        <v>522</v>
      </c>
      <c r="K392" s="24">
        <f t="shared" ca="1" si="1"/>
        <v>4600</v>
      </c>
      <c r="L392" s="24">
        <f ca="1">IFERROR(__xludf.DUMMYFUNCTION("""COMPUTED_VALUE"""),0)</f>
        <v>0</v>
      </c>
      <c r="M392" s="24">
        <f ca="1">IFERROR(__xludf.DUMMYFUNCTION("""COMPUTED_VALUE"""),0)</f>
        <v>0</v>
      </c>
      <c r="N392" s="24">
        <f ca="1">IFERROR(__xludf.DUMMYFUNCTION("""COMPUTED_VALUE"""),4213.6)</f>
        <v>4213.6000000000004</v>
      </c>
      <c r="O392" s="24">
        <f ca="1">IFERROR(__xludf.DUMMYFUNCTION("""COMPUTED_VALUE"""),386.4)</f>
        <v>386.4</v>
      </c>
      <c r="P392" s="24">
        <f t="shared" ca="1" si="2"/>
        <v>4213.6000000000004</v>
      </c>
      <c r="Q392" s="20"/>
      <c r="R392" s="20"/>
      <c r="S392" s="24">
        <f ca="1">IFERROR(__xludf.DUMMYFUNCTION("""COMPUTED_VALUE"""),621.81)</f>
        <v>621.80999999999995</v>
      </c>
      <c r="T392" s="24">
        <f ca="1">IFERROR(__xludf.DUMMYFUNCTION("""COMPUTED_VALUE"""),3978.19)</f>
        <v>3978.19</v>
      </c>
      <c r="U392" s="24">
        <f ca="1">IFERROR(__xludf.DUMMYFUNCTION("""COMPUTED_VALUE"""),0)</f>
        <v>0</v>
      </c>
      <c r="V392" s="24">
        <f ca="1">IFERROR(__xludf.DUMMYFUNCTION("""COMPUTED_VALUE"""),0)</f>
        <v>0</v>
      </c>
      <c r="W392" s="24">
        <f ca="1">IFERROR(__xludf.DUMMYFUNCTION("""COMPUTED_VALUE"""),3591.79)</f>
        <v>3591.79</v>
      </c>
      <c r="X392" s="24">
        <f ca="1">IFERROR(__xludf.DUMMYFUNCTION("""COMPUTED_VALUE"""),386.4)</f>
        <v>386.4</v>
      </c>
      <c r="Y392" s="24">
        <f t="shared" ca="1" si="3"/>
        <v>3591.79</v>
      </c>
      <c r="Z392" s="20">
        <f t="shared" ca="1" si="4"/>
        <v>621.80999999999995</v>
      </c>
      <c r="AA392" s="20"/>
      <c r="AB392" s="24">
        <f ca="1">IFERROR(__xludf.DUMMYFUNCTION("""COMPUTED_VALUE"""),0)</f>
        <v>0</v>
      </c>
      <c r="AC392" s="20">
        <f ca="1">IFERROR(__xludf.DUMMYFUNCTION("""COMPUTED_VALUE"""),621.81)</f>
        <v>621.80999999999995</v>
      </c>
      <c r="AD392" s="94">
        <f t="shared" ca="1" si="5"/>
        <v>0.14757214733244728</v>
      </c>
      <c r="AE392" s="20"/>
      <c r="AF392" s="20"/>
      <c r="AG392" s="20"/>
      <c r="AH392" s="20"/>
      <c r="AI392" s="20"/>
      <c r="AJ392" s="20"/>
      <c r="AK392" s="20"/>
      <c r="AL392" s="20"/>
      <c r="AM392" s="20"/>
      <c r="AN392" s="20"/>
      <c r="AO392" s="20"/>
      <c r="AP392" s="20"/>
      <c r="AQ392" s="20"/>
      <c r="AR392" s="20"/>
      <c r="AS392" s="20"/>
      <c r="AT392" s="20"/>
    </row>
    <row r="393" spans="1:46" ht="84" x14ac:dyDescent="0.2">
      <c r="A393" s="20" t="str">
        <f ca="1">IFERROR(__xludf.DUMMYFUNCTION("""COMPUTED_VALUE"""),"""Выход из МОГЭ 03.12.2020 с увелечением лимитов на 3 555,99 тыс. руб. Сделан монтаж фундамента под котлы. Котлы закуплены и находятся на территории  районной эксплуатационной службе филиала МОСОБЛГАЗ.
""")</f>
        <v>"Выход из МОГЭ 03.12.2020 с увелечением лимитов на 3 555,99 тыс. руб. Сделан монтаж фундамента под котлы. Котлы закуплены и находятся на территории  районной эксплуатационной службе филиала МОСОБЛГАЗ.
"</v>
      </c>
      <c r="B393" s="93"/>
      <c r="C39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3" s="20" t="str">
        <f ca="1">IFERROR(__xludf.DUMMYFUNCTION("""COMPUTED_VALUE"""),"МинЖКХ ""ТОП 5 (1 этап)""")</f>
        <v>МинЖКХ "ТОП 5 (1 этап)"</v>
      </c>
      <c r="E393" s="20" t="str">
        <f ca="1">IFERROR(__xludf.DUMMYFUNCTION("""COMPUTED_VALUE"""),"Модернизация (реконструкция) котельной на электрокотлах (перевод на газ) д. Новосидориха (в т.ч. ПИР, ТП) г.о. Шатура")</f>
        <v>Модернизация (реконструкция) котельной на электрокотлах (перевод на газ) д. Новосидориха (в т.ч. ПИР, ТП) г.о. Шатура</v>
      </c>
      <c r="F393" s="20" t="str">
        <f ca="1">IFERROR(__xludf.DUMMYFUNCTION("""COMPUTED_VALUE"""),"СМР")</f>
        <v>СМР</v>
      </c>
      <c r="G393" s="20" t="str">
        <f ca="1">IFERROR(__xludf.DUMMYFUNCTION("""COMPUTED_VALUE"""),"г.о. Шатура")</f>
        <v>г.о. Шатура</v>
      </c>
      <c r="H393" s="20" t="str">
        <f ca="1">IFERROR(__xludf.DUMMYFUNCTION("""COMPUTED_VALUE"""),"2020-2021")</f>
        <v>2020-2021</v>
      </c>
      <c r="I393" s="20" t="str">
        <f ca="1">IFERROR(__xludf.DUMMYFUNCTION("""COMPUTED_VALUE"""),"10 3 02 64080")</f>
        <v>10 3 02 64080</v>
      </c>
      <c r="J393" s="20">
        <f ca="1">IFERROR(__xludf.DUMMYFUNCTION("""COMPUTED_VALUE"""),522)</f>
        <v>522</v>
      </c>
      <c r="K393" s="24">
        <f t="shared" ca="1" si="1"/>
        <v>1850</v>
      </c>
      <c r="L393" s="24">
        <f ca="1">IFERROR(__xludf.DUMMYFUNCTION("""COMPUTED_VALUE"""),0)</f>
        <v>0</v>
      </c>
      <c r="M393" s="24">
        <f ca="1">IFERROR(__xludf.DUMMYFUNCTION("""COMPUTED_VALUE"""),0)</f>
        <v>0</v>
      </c>
      <c r="N393" s="24">
        <f ca="1">IFERROR(__xludf.DUMMYFUNCTION("""COMPUTED_VALUE"""),1694.6)</f>
        <v>1694.6</v>
      </c>
      <c r="O393" s="24">
        <f ca="1">IFERROR(__xludf.DUMMYFUNCTION("""COMPUTED_VALUE"""),155.4)</f>
        <v>155.4</v>
      </c>
      <c r="P393" s="24">
        <f t="shared" ca="1" si="2"/>
        <v>1694.6</v>
      </c>
      <c r="Q393" s="20"/>
      <c r="R393" s="20"/>
      <c r="S393" s="24">
        <f ca="1">IFERROR(__xludf.DUMMYFUNCTION("""COMPUTED_VALUE"""),609.78)</f>
        <v>609.78</v>
      </c>
      <c r="T393" s="24">
        <f ca="1">IFERROR(__xludf.DUMMYFUNCTION("""COMPUTED_VALUE"""),1240.22)</f>
        <v>1240.22</v>
      </c>
      <c r="U393" s="24">
        <f ca="1">IFERROR(__xludf.DUMMYFUNCTION("""COMPUTED_VALUE"""),0)</f>
        <v>0</v>
      </c>
      <c r="V393" s="24">
        <f ca="1">IFERROR(__xludf.DUMMYFUNCTION("""COMPUTED_VALUE"""),0)</f>
        <v>0</v>
      </c>
      <c r="W393" s="24">
        <f ca="1">IFERROR(__xludf.DUMMYFUNCTION("""COMPUTED_VALUE"""),1084.82)</f>
        <v>1084.82</v>
      </c>
      <c r="X393" s="24">
        <f ca="1">IFERROR(__xludf.DUMMYFUNCTION("""COMPUTED_VALUE"""),155.4)</f>
        <v>155.4</v>
      </c>
      <c r="Y393" s="24">
        <f t="shared" ca="1" si="3"/>
        <v>1084.82</v>
      </c>
      <c r="Z393" s="20">
        <f t="shared" ca="1" si="4"/>
        <v>609.78</v>
      </c>
      <c r="AA393" s="20"/>
      <c r="AB393" s="24">
        <f ca="1">IFERROR(__xludf.DUMMYFUNCTION("""COMPUTED_VALUE"""),0)</f>
        <v>0</v>
      </c>
      <c r="AC393" s="20">
        <f ca="1">IFERROR(__xludf.DUMMYFUNCTION("""COMPUTED_VALUE"""),609.78)</f>
        <v>609.78</v>
      </c>
      <c r="AD393" s="94">
        <f t="shared" ca="1" si="5"/>
        <v>0.35983712970612536</v>
      </c>
      <c r="AE393" s="20"/>
      <c r="AF393" s="20"/>
      <c r="AG393" s="20"/>
      <c r="AH393" s="20"/>
      <c r="AI393" s="20"/>
      <c r="AJ393" s="20"/>
      <c r="AK393" s="20"/>
      <c r="AL393" s="20"/>
      <c r="AM393" s="20"/>
      <c r="AN393" s="20"/>
      <c r="AO393" s="20"/>
      <c r="AP393" s="20"/>
      <c r="AQ393" s="20"/>
      <c r="AR393" s="20"/>
      <c r="AS393" s="20"/>
      <c r="AT393" s="20"/>
    </row>
    <row r="394" spans="1:46" ht="72" x14ac:dyDescent="0.2">
      <c r="A394" s="20"/>
      <c r="B394" s="93"/>
      <c r="C39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4" s="20" t="str">
        <f ca="1">IFERROR(__xludf.DUMMYFUNCTION("""COMPUTED_VALUE"""),"МинЖКХ ""ТОП 5 (1 этап)""")</f>
        <v>МинЖКХ "ТОП 5 (1 этап)"</v>
      </c>
      <c r="E394" s="20" t="str">
        <f ca="1">IFERROR(__xludf.DUMMYFUNCTION("""COMPUTED_VALUE"""),"Строительство газовой блочно-модульной котельной (БМК) пос. Санатория Озеро Белое (в т.ч. ПИР, ТП) г.о. Шатура")</f>
        <v>Строительство газовой блочно-модульной котельной (БМК) пос. Санатория Озеро Белое (в т.ч. ПИР, ТП) г.о. Шатура</v>
      </c>
      <c r="F394" s="20" t="str">
        <f ca="1">IFERROR(__xludf.DUMMYFUNCTION("""COMPUTED_VALUE"""),"СМР")</f>
        <v>СМР</v>
      </c>
      <c r="G394" s="20" t="str">
        <f ca="1">IFERROR(__xludf.DUMMYFUNCTION("""COMPUTED_VALUE"""),"г.о. Шатура")</f>
        <v>г.о. Шатура</v>
      </c>
      <c r="H394" s="20" t="str">
        <f ca="1">IFERROR(__xludf.DUMMYFUNCTION("""COMPUTED_VALUE"""),"2020-2021")</f>
        <v>2020-2021</v>
      </c>
      <c r="I394" s="20" t="str">
        <f ca="1">IFERROR(__xludf.DUMMYFUNCTION("""COMPUTED_VALUE"""),"10 3 02 64080")</f>
        <v>10 3 02 64080</v>
      </c>
      <c r="J394" s="20">
        <f ca="1">IFERROR(__xludf.DUMMYFUNCTION("""COMPUTED_VALUE"""),522)</f>
        <v>522</v>
      </c>
      <c r="K394" s="24">
        <f t="shared" ca="1" si="1"/>
        <v>2500</v>
      </c>
      <c r="L394" s="24">
        <f ca="1">IFERROR(__xludf.DUMMYFUNCTION("""COMPUTED_VALUE"""),0)</f>
        <v>0</v>
      </c>
      <c r="M394" s="24">
        <f ca="1">IFERROR(__xludf.DUMMYFUNCTION("""COMPUTED_VALUE"""),0)</f>
        <v>0</v>
      </c>
      <c r="N394" s="24">
        <f ca="1">IFERROR(__xludf.DUMMYFUNCTION("""COMPUTED_VALUE"""),2290)</f>
        <v>2290</v>
      </c>
      <c r="O394" s="24">
        <f ca="1">IFERROR(__xludf.DUMMYFUNCTION("""COMPUTED_VALUE"""),210)</f>
        <v>210</v>
      </c>
      <c r="P394" s="24">
        <f t="shared" ca="1" si="2"/>
        <v>2290</v>
      </c>
      <c r="Q394" s="20"/>
      <c r="R394" s="20"/>
      <c r="S394" s="24">
        <f ca="1">IFERROR(__xludf.DUMMYFUNCTION("""COMPUTED_VALUE"""),2235.13)</f>
        <v>2235.13</v>
      </c>
      <c r="T394" s="24">
        <f ca="1">IFERROR(__xludf.DUMMYFUNCTION("""COMPUTED_VALUE"""),264.869999999999)</f>
        <v>264.86999999999898</v>
      </c>
      <c r="U394" s="24">
        <f ca="1">IFERROR(__xludf.DUMMYFUNCTION("""COMPUTED_VALUE"""),0)</f>
        <v>0</v>
      </c>
      <c r="V394" s="24">
        <f ca="1">IFERROR(__xludf.DUMMYFUNCTION("""COMPUTED_VALUE"""),0)</f>
        <v>0</v>
      </c>
      <c r="W394" s="24">
        <f ca="1">IFERROR(__xludf.DUMMYFUNCTION("""COMPUTED_VALUE"""),54.8699999999998)</f>
        <v>54.869999999999798</v>
      </c>
      <c r="X394" s="24">
        <f ca="1">IFERROR(__xludf.DUMMYFUNCTION("""COMPUTED_VALUE"""),210)</f>
        <v>210</v>
      </c>
      <c r="Y394" s="24">
        <f t="shared" ca="1" si="3"/>
        <v>54.869999999999798</v>
      </c>
      <c r="Z394" s="20">
        <f t="shared" ca="1" si="4"/>
        <v>2235.13</v>
      </c>
      <c r="AA394" s="20"/>
      <c r="AB394" s="24">
        <f ca="1">IFERROR(__xludf.DUMMYFUNCTION("""COMPUTED_VALUE"""),0)</f>
        <v>0</v>
      </c>
      <c r="AC394" s="20">
        <f ca="1">IFERROR(__xludf.DUMMYFUNCTION("""COMPUTED_VALUE"""),2235.13)</f>
        <v>2235.13</v>
      </c>
      <c r="AD394" s="94">
        <f t="shared" ca="1" si="5"/>
        <v>0.97603930131004368</v>
      </c>
      <c r="AE394" s="20"/>
      <c r="AF394" s="20"/>
      <c r="AG394" s="20"/>
      <c r="AH394" s="20"/>
      <c r="AI394" s="20"/>
      <c r="AJ394" s="20"/>
      <c r="AK394" s="20"/>
      <c r="AL394" s="20"/>
      <c r="AM394" s="20"/>
      <c r="AN394" s="20"/>
      <c r="AO394" s="20"/>
      <c r="AP394" s="20"/>
      <c r="AQ394" s="20"/>
      <c r="AR394" s="20"/>
      <c r="AS394" s="20"/>
      <c r="AT394" s="20"/>
    </row>
    <row r="395" spans="1:46" ht="72" x14ac:dyDescent="0.2">
      <c r="A395" s="20"/>
      <c r="B395" s="93"/>
      <c r="C39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5" s="20" t="str">
        <f ca="1">IFERROR(__xludf.DUMMYFUNCTION("""COMPUTED_VALUE"""),"МинЖКХ ""ТОП 5 (1 этап)""")</f>
        <v>МинЖКХ "ТОП 5 (1 этап)"</v>
      </c>
      <c r="E395" s="20" t="str">
        <f ca="1">IFERROR(__xludf.DUMMYFUNCTION("""COMPUTED_VALUE"""),"Строительство сдвоенного газового котла наружного размещения (КНР)  с. Кривандино, ул. Центральная, д. 36 (в т.ч. ПИР, ТП) г.о. Шатура")</f>
        <v>Строительство сдвоенного газового котла наружного размещения (КНР)  с. Кривандино, ул. Центральная, д. 36 (в т.ч. ПИР, ТП) г.о. Шатура</v>
      </c>
      <c r="F395" s="20" t="str">
        <f ca="1">IFERROR(__xludf.DUMMYFUNCTION("""COMPUTED_VALUE"""),"СМР")</f>
        <v>СМР</v>
      </c>
      <c r="G395" s="20" t="str">
        <f ca="1">IFERROR(__xludf.DUMMYFUNCTION("""COMPUTED_VALUE"""),"г.о. Шатура")</f>
        <v>г.о. Шатура</v>
      </c>
      <c r="H395" s="20" t="str">
        <f ca="1">IFERROR(__xludf.DUMMYFUNCTION("""COMPUTED_VALUE"""),"2020-2021")</f>
        <v>2020-2021</v>
      </c>
      <c r="I395" s="20" t="str">
        <f ca="1">IFERROR(__xludf.DUMMYFUNCTION("""COMPUTED_VALUE"""),"10 3 02 64080")</f>
        <v>10 3 02 64080</v>
      </c>
      <c r="J395" s="20">
        <f ca="1">IFERROR(__xludf.DUMMYFUNCTION("""COMPUTED_VALUE"""),522)</f>
        <v>522</v>
      </c>
      <c r="K395" s="24">
        <f t="shared" ca="1" si="1"/>
        <v>500</v>
      </c>
      <c r="L395" s="24">
        <f ca="1">IFERROR(__xludf.DUMMYFUNCTION("""COMPUTED_VALUE"""),0)</f>
        <v>0</v>
      </c>
      <c r="M395" s="24">
        <f ca="1">IFERROR(__xludf.DUMMYFUNCTION("""COMPUTED_VALUE"""),0)</f>
        <v>0</v>
      </c>
      <c r="N395" s="24">
        <f ca="1">IFERROR(__xludf.DUMMYFUNCTION("""COMPUTED_VALUE"""),458)</f>
        <v>458</v>
      </c>
      <c r="O395" s="24">
        <f ca="1">IFERROR(__xludf.DUMMYFUNCTION("""COMPUTED_VALUE"""),42)</f>
        <v>42</v>
      </c>
      <c r="P395" s="24">
        <f t="shared" ca="1" si="2"/>
        <v>458</v>
      </c>
      <c r="Q395" s="20"/>
      <c r="R395" s="20"/>
      <c r="S395" s="24">
        <f ca="1">IFERROR(__xludf.DUMMYFUNCTION("""COMPUTED_VALUE"""),458)</f>
        <v>458</v>
      </c>
      <c r="T395" s="24">
        <f ca="1">IFERROR(__xludf.DUMMYFUNCTION("""COMPUTED_VALUE"""),42)</f>
        <v>42</v>
      </c>
      <c r="U395" s="24">
        <f ca="1">IFERROR(__xludf.DUMMYFUNCTION("""COMPUTED_VALUE"""),0)</f>
        <v>0</v>
      </c>
      <c r="V395" s="24">
        <f ca="1">IFERROR(__xludf.DUMMYFUNCTION("""COMPUTED_VALUE"""),0)</f>
        <v>0</v>
      </c>
      <c r="W395" s="24">
        <f ca="1">IFERROR(__xludf.DUMMYFUNCTION("""COMPUTED_VALUE"""),0)</f>
        <v>0</v>
      </c>
      <c r="X395" s="24">
        <f ca="1">IFERROR(__xludf.DUMMYFUNCTION("""COMPUTED_VALUE"""),42)</f>
        <v>42</v>
      </c>
      <c r="Y395" s="24">
        <f t="shared" ca="1" si="3"/>
        <v>0</v>
      </c>
      <c r="Z395" s="20">
        <f t="shared" ca="1" si="4"/>
        <v>458</v>
      </c>
      <c r="AA395" s="20"/>
      <c r="AB395" s="24">
        <f ca="1">IFERROR(__xludf.DUMMYFUNCTION("""COMPUTED_VALUE"""),0)</f>
        <v>0</v>
      </c>
      <c r="AC395" s="20">
        <f ca="1">IFERROR(__xludf.DUMMYFUNCTION("""COMPUTED_VALUE"""),458)</f>
        <v>458</v>
      </c>
      <c r="AD395" s="94">
        <f t="shared" ca="1" si="5"/>
        <v>1</v>
      </c>
      <c r="AE395" s="20"/>
      <c r="AF395" s="20"/>
      <c r="AG395" s="20"/>
      <c r="AH395" s="20"/>
      <c r="AI395" s="20"/>
      <c r="AJ395" s="20"/>
      <c r="AK395" s="20"/>
      <c r="AL395" s="20"/>
      <c r="AM395" s="20"/>
      <c r="AN395" s="20"/>
      <c r="AO395" s="20"/>
      <c r="AP395" s="20"/>
      <c r="AQ395" s="20"/>
      <c r="AR395" s="20"/>
      <c r="AS395" s="20"/>
      <c r="AT395" s="20"/>
    </row>
    <row r="396" spans="1:46" ht="72" x14ac:dyDescent="0.2">
      <c r="A396" s="20"/>
      <c r="B396" s="93"/>
      <c r="C39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6" s="20" t="str">
        <f ca="1">IFERROR(__xludf.DUMMYFUNCTION("""COMPUTED_VALUE"""),"МинЖКХ ""ТОП 5 (1 этап)""")</f>
        <v>МинЖКХ "ТОП 5 (1 этап)"</v>
      </c>
      <c r="E396" s="20" t="str">
        <f ca="1">IFERROR(__xludf.DUMMYFUNCTION("""COMPUTED_VALUE"""),"Строительство сдвоенного газового котла наружного размещения (КНР) д. Голыгино (в т.ч. ПИР, ТП) г.о. Шатура")</f>
        <v>Строительство сдвоенного газового котла наружного размещения (КНР) д. Голыгино (в т.ч. ПИР, ТП) г.о. Шатура</v>
      </c>
      <c r="F396" s="20" t="str">
        <f ca="1">IFERROR(__xludf.DUMMYFUNCTION("""COMPUTED_VALUE"""),"СМР")</f>
        <v>СМР</v>
      </c>
      <c r="G396" s="20" t="str">
        <f ca="1">IFERROR(__xludf.DUMMYFUNCTION("""COMPUTED_VALUE"""),"г.о. Шатура")</f>
        <v>г.о. Шатура</v>
      </c>
      <c r="H396" s="20" t="str">
        <f ca="1">IFERROR(__xludf.DUMMYFUNCTION("""COMPUTED_VALUE"""),"2020-2021")</f>
        <v>2020-2021</v>
      </c>
      <c r="I396" s="20" t="str">
        <f ca="1">IFERROR(__xludf.DUMMYFUNCTION("""COMPUTED_VALUE"""),"10 3 02 64080")</f>
        <v>10 3 02 64080</v>
      </c>
      <c r="J396" s="20">
        <f ca="1">IFERROR(__xludf.DUMMYFUNCTION("""COMPUTED_VALUE"""),522)</f>
        <v>522</v>
      </c>
      <c r="K396" s="24">
        <f t="shared" ca="1" si="1"/>
        <v>1600</v>
      </c>
      <c r="L396" s="24">
        <f ca="1">IFERROR(__xludf.DUMMYFUNCTION("""COMPUTED_VALUE"""),0)</f>
        <v>0</v>
      </c>
      <c r="M396" s="24">
        <f ca="1">IFERROR(__xludf.DUMMYFUNCTION("""COMPUTED_VALUE"""),0)</f>
        <v>0</v>
      </c>
      <c r="N396" s="24">
        <f ca="1">IFERROR(__xludf.DUMMYFUNCTION("""COMPUTED_VALUE"""),1465.6)</f>
        <v>1465.6</v>
      </c>
      <c r="O396" s="24">
        <f ca="1">IFERROR(__xludf.DUMMYFUNCTION("""COMPUTED_VALUE"""),134.4)</f>
        <v>134.4</v>
      </c>
      <c r="P396" s="24">
        <f t="shared" ca="1" si="2"/>
        <v>1465.6</v>
      </c>
      <c r="Q396" s="20"/>
      <c r="R396" s="20"/>
      <c r="S396" s="24">
        <f ca="1">IFERROR(__xludf.DUMMYFUNCTION("""COMPUTED_VALUE"""),1154.83)</f>
        <v>1154.83</v>
      </c>
      <c r="T396" s="24">
        <f ca="1">IFERROR(__xludf.DUMMYFUNCTION("""COMPUTED_VALUE"""),445.17)</f>
        <v>445.17</v>
      </c>
      <c r="U396" s="24">
        <f ca="1">IFERROR(__xludf.DUMMYFUNCTION("""COMPUTED_VALUE"""),0)</f>
        <v>0</v>
      </c>
      <c r="V396" s="24">
        <f ca="1">IFERROR(__xludf.DUMMYFUNCTION("""COMPUTED_VALUE"""),0)</f>
        <v>0</v>
      </c>
      <c r="W396" s="24">
        <f ca="1">IFERROR(__xludf.DUMMYFUNCTION("""COMPUTED_VALUE"""),310.77)</f>
        <v>310.77</v>
      </c>
      <c r="X396" s="24">
        <f ca="1">IFERROR(__xludf.DUMMYFUNCTION("""COMPUTED_VALUE"""),134.4)</f>
        <v>134.4</v>
      </c>
      <c r="Y396" s="24">
        <f t="shared" ca="1" si="3"/>
        <v>310.77</v>
      </c>
      <c r="Z396" s="20">
        <f t="shared" ca="1" si="4"/>
        <v>1154.83</v>
      </c>
      <c r="AA396" s="20"/>
      <c r="AB396" s="24">
        <f ca="1">IFERROR(__xludf.DUMMYFUNCTION("""COMPUTED_VALUE"""),0)</f>
        <v>0</v>
      </c>
      <c r="AC396" s="20">
        <f ca="1">IFERROR(__xludf.DUMMYFUNCTION("""COMPUTED_VALUE"""),1154.83)</f>
        <v>1154.83</v>
      </c>
      <c r="AD396" s="94">
        <f t="shared" ca="1" si="5"/>
        <v>0.78795715065502181</v>
      </c>
      <c r="AE396" s="20"/>
      <c r="AF396" s="20"/>
      <c r="AG396" s="20"/>
      <c r="AH396" s="20"/>
      <c r="AI396" s="20"/>
      <c r="AJ396" s="20"/>
      <c r="AK396" s="20"/>
      <c r="AL396" s="20"/>
      <c r="AM396" s="20"/>
      <c r="AN396" s="20"/>
      <c r="AO396" s="20"/>
      <c r="AP396" s="20"/>
      <c r="AQ396" s="20"/>
      <c r="AR396" s="20"/>
      <c r="AS396" s="20"/>
      <c r="AT396" s="20"/>
    </row>
    <row r="397" spans="1:46" ht="72" x14ac:dyDescent="0.2">
      <c r="A397" s="20"/>
      <c r="B397" s="93"/>
      <c r="C39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7" s="20" t="str">
        <f ca="1">IFERROR(__xludf.DUMMYFUNCTION("""COMPUTED_VALUE"""),"МинЖКХ ""ТОП 5 (1 этап)""")</f>
        <v>МинЖКХ "ТОП 5 (1 этап)"</v>
      </c>
      <c r="E397" s="20" t="str">
        <f ca="1">IFERROR(__xludf.DUMMYFUNCTION("""COMPUTED_VALUE"""),"Строительство сдвоенного газового котла наружного размещения (КНР) рп. Черусти, Пионерский пр. (в т.ч. ПИР, ТП г.о. Шатура")</f>
        <v>Строительство сдвоенного газового котла наружного размещения (КНР) рп. Черусти, Пионерский пр. (в т.ч. ПИР, ТП г.о. Шатура</v>
      </c>
      <c r="F397" s="20" t="str">
        <f ca="1">IFERROR(__xludf.DUMMYFUNCTION("""COMPUTED_VALUE"""),"СМР")</f>
        <v>СМР</v>
      </c>
      <c r="G397" s="20" t="str">
        <f ca="1">IFERROR(__xludf.DUMMYFUNCTION("""COMPUTED_VALUE"""),"г.о. Шатура")</f>
        <v>г.о. Шатура</v>
      </c>
      <c r="H397" s="20" t="str">
        <f ca="1">IFERROR(__xludf.DUMMYFUNCTION("""COMPUTED_VALUE"""),"2020-2021")</f>
        <v>2020-2021</v>
      </c>
      <c r="I397" s="20" t="str">
        <f ca="1">IFERROR(__xludf.DUMMYFUNCTION("""COMPUTED_VALUE"""),"10 3 02 64080")</f>
        <v>10 3 02 64080</v>
      </c>
      <c r="J397" s="20">
        <f ca="1">IFERROR(__xludf.DUMMYFUNCTION("""COMPUTED_VALUE"""),522)</f>
        <v>522</v>
      </c>
      <c r="K397" s="24">
        <f t="shared" ca="1" si="1"/>
        <v>1500</v>
      </c>
      <c r="L397" s="24">
        <f ca="1">IFERROR(__xludf.DUMMYFUNCTION("""COMPUTED_VALUE"""),0)</f>
        <v>0</v>
      </c>
      <c r="M397" s="24">
        <f ca="1">IFERROR(__xludf.DUMMYFUNCTION("""COMPUTED_VALUE"""),0)</f>
        <v>0</v>
      </c>
      <c r="N397" s="24">
        <f ca="1">IFERROR(__xludf.DUMMYFUNCTION("""COMPUTED_VALUE"""),1374)</f>
        <v>1374</v>
      </c>
      <c r="O397" s="24">
        <f ca="1">IFERROR(__xludf.DUMMYFUNCTION("""COMPUTED_VALUE"""),126)</f>
        <v>126</v>
      </c>
      <c r="P397" s="24">
        <f t="shared" ca="1" si="2"/>
        <v>1374</v>
      </c>
      <c r="Q397" s="20"/>
      <c r="R397" s="20"/>
      <c r="S397" s="24">
        <f ca="1">IFERROR(__xludf.DUMMYFUNCTION("""COMPUTED_VALUE"""),823.76)</f>
        <v>823.76</v>
      </c>
      <c r="T397" s="24">
        <f ca="1">IFERROR(__xludf.DUMMYFUNCTION("""COMPUTED_VALUE"""),676.24)</f>
        <v>676.24</v>
      </c>
      <c r="U397" s="24">
        <f ca="1">IFERROR(__xludf.DUMMYFUNCTION("""COMPUTED_VALUE"""),0)</f>
        <v>0</v>
      </c>
      <c r="V397" s="24">
        <f ca="1">IFERROR(__xludf.DUMMYFUNCTION("""COMPUTED_VALUE"""),0)</f>
        <v>0</v>
      </c>
      <c r="W397" s="24">
        <f ca="1">IFERROR(__xludf.DUMMYFUNCTION("""COMPUTED_VALUE"""),550.24)</f>
        <v>550.24</v>
      </c>
      <c r="X397" s="24">
        <f ca="1">IFERROR(__xludf.DUMMYFUNCTION("""COMPUTED_VALUE"""),126)</f>
        <v>126</v>
      </c>
      <c r="Y397" s="24">
        <f t="shared" ca="1" si="3"/>
        <v>550.24</v>
      </c>
      <c r="Z397" s="20">
        <f t="shared" ca="1" si="4"/>
        <v>823.76</v>
      </c>
      <c r="AA397" s="20"/>
      <c r="AB397" s="24">
        <f ca="1">IFERROR(__xludf.DUMMYFUNCTION("""COMPUTED_VALUE"""),0)</f>
        <v>0</v>
      </c>
      <c r="AC397" s="20">
        <f ca="1">IFERROR(__xludf.DUMMYFUNCTION("""COMPUTED_VALUE"""),823.76)</f>
        <v>823.76</v>
      </c>
      <c r="AD397" s="94">
        <f t="shared" ca="1" si="5"/>
        <v>0.59953420669577873</v>
      </c>
      <c r="AE397" s="20"/>
      <c r="AF397" s="20"/>
      <c r="AG397" s="20"/>
      <c r="AH397" s="20"/>
      <c r="AI397" s="20"/>
      <c r="AJ397" s="20"/>
      <c r="AK397" s="20"/>
      <c r="AL397" s="20"/>
      <c r="AM397" s="20"/>
      <c r="AN397" s="20"/>
      <c r="AO397" s="20"/>
      <c r="AP397" s="20"/>
      <c r="AQ397" s="20"/>
      <c r="AR397" s="20"/>
      <c r="AS397" s="20"/>
      <c r="AT397" s="20"/>
    </row>
    <row r="398" spans="1:46" ht="72" x14ac:dyDescent="0.2">
      <c r="A398" s="20" t="str">
        <f ca="1">IFERROR(__xludf.DUMMYFUNCTION("""COMPUTED_VALUE"""),"Выход из МОГЭ 03.12.2020 с увелечением лимитов на 3 825,14 тыс. руб. Котлы закуплены и находятся на территории районной эксплуатационной службе филиала МОСОБЛГАЗ.")</f>
        <v>Выход из МОГЭ 03.12.2020 с увелечением лимитов на 3 825,14 тыс. руб. Котлы закуплены и находятся на территории районной эксплуатационной службе филиала МОСОБЛГАЗ.</v>
      </c>
      <c r="B398" s="93"/>
      <c r="C39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8" s="20" t="str">
        <f ca="1">IFERROR(__xludf.DUMMYFUNCTION("""COMPUTED_VALUE"""),"МинЖКХ ""ТОП 5 (1 этап)""")</f>
        <v>МинЖКХ "ТОП 5 (1 этап)"</v>
      </c>
      <c r="E398" s="20" t="str">
        <f ca="1">IFERROR(__xludf.DUMMYFUNCTION("""COMPUTED_VALUE"""),"Строительство сдвоенного газового котла наружного размещения (КНР) рп. Черусти, ул. Вокзальная, д.12 (в т.ч. ПИР, ТП) г.о. Шатура")</f>
        <v>Строительство сдвоенного газового котла наружного размещения (КНР) рп. Черусти, ул. Вокзальная, д.12 (в т.ч. ПИР, ТП) г.о. Шатура</v>
      </c>
      <c r="F398" s="20" t="str">
        <f ca="1">IFERROR(__xludf.DUMMYFUNCTION("""COMPUTED_VALUE"""),"СМР")</f>
        <v>СМР</v>
      </c>
      <c r="G398" s="20" t="str">
        <f ca="1">IFERROR(__xludf.DUMMYFUNCTION("""COMPUTED_VALUE"""),"г.о. Шатура")</f>
        <v>г.о. Шатура</v>
      </c>
      <c r="H398" s="20" t="str">
        <f ca="1">IFERROR(__xludf.DUMMYFUNCTION("""COMPUTED_VALUE"""),"2020-2021")</f>
        <v>2020-2021</v>
      </c>
      <c r="I398" s="20" t="str">
        <f ca="1">IFERROR(__xludf.DUMMYFUNCTION("""COMPUTED_VALUE"""),"10 3 02 64080")</f>
        <v>10 3 02 64080</v>
      </c>
      <c r="J398" s="20">
        <f ca="1">IFERROR(__xludf.DUMMYFUNCTION("""COMPUTED_VALUE"""),522)</f>
        <v>522</v>
      </c>
      <c r="K398" s="24">
        <f t="shared" ca="1" si="1"/>
        <v>1650</v>
      </c>
      <c r="L398" s="24">
        <f ca="1">IFERROR(__xludf.DUMMYFUNCTION("""COMPUTED_VALUE"""),0)</f>
        <v>0</v>
      </c>
      <c r="M398" s="24">
        <f ca="1">IFERROR(__xludf.DUMMYFUNCTION("""COMPUTED_VALUE"""),0)</f>
        <v>0</v>
      </c>
      <c r="N398" s="24">
        <f ca="1">IFERROR(__xludf.DUMMYFUNCTION("""COMPUTED_VALUE"""),1511.4)</f>
        <v>1511.4</v>
      </c>
      <c r="O398" s="24">
        <f ca="1">IFERROR(__xludf.DUMMYFUNCTION("""COMPUTED_VALUE"""),138.6)</f>
        <v>138.6</v>
      </c>
      <c r="P398" s="24">
        <f t="shared" ca="1" si="2"/>
        <v>1511.4</v>
      </c>
      <c r="Q398" s="20"/>
      <c r="R398" s="20"/>
      <c r="S398" s="24">
        <f ca="1">IFERROR(__xludf.DUMMYFUNCTION("""COMPUTED_VALUE"""),633.89)</f>
        <v>633.89</v>
      </c>
      <c r="T398" s="24">
        <f ca="1">IFERROR(__xludf.DUMMYFUNCTION("""COMPUTED_VALUE"""),1016.11)</f>
        <v>1016.11</v>
      </c>
      <c r="U398" s="24">
        <f ca="1">IFERROR(__xludf.DUMMYFUNCTION("""COMPUTED_VALUE"""),0)</f>
        <v>0</v>
      </c>
      <c r="V398" s="24">
        <f ca="1">IFERROR(__xludf.DUMMYFUNCTION("""COMPUTED_VALUE"""),0)</f>
        <v>0</v>
      </c>
      <c r="W398" s="24">
        <f ca="1">IFERROR(__xludf.DUMMYFUNCTION("""COMPUTED_VALUE"""),877.51)</f>
        <v>877.51</v>
      </c>
      <c r="X398" s="24">
        <f ca="1">IFERROR(__xludf.DUMMYFUNCTION("""COMPUTED_VALUE"""),138.6)</f>
        <v>138.6</v>
      </c>
      <c r="Y398" s="24">
        <f t="shared" ca="1" si="3"/>
        <v>877.51</v>
      </c>
      <c r="Z398" s="20">
        <f t="shared" ca="1" si="4"/>
        <v>633.89</v>
      </c>
      <c r="AA398" s="20"/>
      <c r="AB398" s="24">
        <f ca="1">IFERROR(__xludf.DUMMYFUNCTION("""COMPUTED_VALUE"""),0)</f>
        <v>0</v>
      </c>
      <c r="AC398" s="20">
        <f ca="1">IFERROR(__xludf.DUMMYFUNCTION("""COMPUTED_VALUE"""),633.89)</f>
        <v>633.89</v>
      </c>
      <c r="AD398" s="94">
        <f t="shared" ca="1" si="5"/>
        <v>0.41940584888183136</v>
      </c>
      <c r="AE398" s="20"/>
      <c r="AF398" s="20"/>
      <c r="AG398" s="20"/>
      <c r="AH398" s="20"/>
      <c r="AI398" s="20"/>
      <c r="AJ398" s="20"/>
      <c r="AK398" s="20"/>
      <c r="AL398" s="20"/>
      <c r="AM398" s="20"/>
      <c r="AN398" s="20"/>
      <c r="AO398" s="20"/>
      <c r="AP398" s="20"/>
      <c r="AQ398" s="20"/>
      <c r="AR398" s="20"/>
      <c r="AS398" s="20"/>
      <c r="AT398" s="20"/>
    </row>
    <row r="399" spans="1:46" ht="72" x14ac:dyDescent="0.2">
      <c r="A399" s="20" t="str">
        <f ca="1">IFERROR(__xludf.DUMMYFUNCTION("""COMPUTED_VALUE"""),"Выход из МОГЭ 03.12.2020 с увелечением лимитов на 8 693,98 тыс. руб. Котлы закуплены и находятся на территории районной эксплуатационной службе филиала МОСОБЛГАЗ.")</f>
        <v>Выход из МОГЭ 03.12.2020 с увелечением лимитов на 8 693,98 тыс. руб. Котлы закуплены и находятся на территории районной эксплуатационной службе филиала МОСОБЛГАЗ.</v>
      </c>
      <c r="B399" s="93"/>
      <c r="C39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9" s="20" t="str">
        <f ca="1">IFERROR(__xludf.DUMMYFUNCTION("""COMPUTED_VALUE"""),"МинЖКХ ""ТОП 5 (1 этап)""")</f>
        <v>МинЖКХ "ТОП 5 (1 этап)"</v>
      </c>
      <c r="E399" s="20" t="str">
        <f ca="1">IFERROR(__xludf.DUMMYFUNCTION("""COMPUTED_VALUE"""),"Строительство сдвоенного газового котла наружного размещения (КНР) рп. Черусти, ул. М.Горького 3 (в т.ч. ПИР, ТП)  г.о. Шатура")</f>
        <v>Строительство сдвоенного газового котла наружного размещения (КНР) рп. Черусти, ул. М.Горького 3 (в т.ч. ПИР, ТП)  г.о. Шатура</v>
      </c>
      <c r="F399" s="20" t="str">
        <f ca="1">IFERROR(__xludf.DUMMYFUNCTION("""COMPUTED_VALUE"""),"СМР")</f>
        <v>СМР</v>
      </c>
      <c r="G399" s="20" t="str">
        <f ca="1">IFERROR(__xludf.DUMMYFUNCTION("""COMPUTED_VALUE"""),"г.о. Шатура")</f>
        <v>г.о. Шатура</v>
      </c>
      <c r="H399" s="20" t="str">
        <f ca="1">IFERROR(__xludf.DUMMYFUNCTION("""COMPUTED_VALUE"""),"2020-2021")</f>
        <v>2020-2021</v>
      </c>
      <c r="I399" s="20" t="str">
        <f ca="1">IFERROR(__xludf.DUMMYFUNCTION("""COMPUTED_VALUE"""),"10 3 02 64080")</f>
        <v>10 3 02 64080</v>
      </c>
      <c r="J399" s="20">
        <f ca="1">IFERROR(__xludf.DUMMYFUNCTION("""COMPUTED_VALUE"""),522)</f>
        <v>522</v>
      </c>
      <c r="K399" s="24">
        <f t="shared" ca="1" si="1"/>
        <v>1650</v>
      </c>
      <c r="L399" s="24">
        <f ca="1">IFERROR(__xludf.DUMMYFUNCTION("""COMPUTED_VALUE"""),0)</f>
        <v>0</v>
      </c>
      <c r="M399" s="24">
        <f ca="1">IFERROR(__xludf.DUMMYFUNCTION("""COMPUTED_VALUE"""),0)</f>
        <v>0</v>
      </c>
      <c r="N399" s="24">
        <f ca="1">IFERROR(__xludf.DUMMYFUNCTION("""COMPUTED_VALUE"""),1511.4)</f>
        <v>1511.4</v>
      </c>
      <c r="O399" s="24">
        <f ca="1">IFERROR(__xludf.DUMMYFUNCTION("""COMPUTED_VALUE"""),138.6)</f>
        <v>138.6</v>
      </c>
      <c r="P399" s="24">
        <f t="shared" ca="1" si="2"/>
        <v>1511.4</v>
      </c>
      <c r="Q399" s="20"/>
      <c r="R399" s="20"/>
      <c r="S399" s="24">
        <f ca="1">IFERROR(__xludf.DUMMYFUNCTION("""COMPUTED_VALUE"""),591.88)</f>
        <v>591.88</v>
      </c>
      <c r="T399" s="24">
        <f ca="1">IFERROR(__xludf.DUMMYFUNCTION("""COMPUTED_VALUE"""),1058.12)</f>
        <v>1058.1199999999999</v>
      </c>
      <c r="U399" s="24">
        <f ca="1">IFERROR(__xludf.DUMMYFUNCTION("""COMPUTED_VALUE"""),0)</f>
        <v>0</v>
      </c>
      <c r="V399" s="24">
        <f ca="1">IFERROR(__xludf.DUMMYFUNCTION("""COMPUTED_VALUE"""),0)</f>
        <v>0</v>
      </c>
      <c r="W399" s="24">
        <f ca="1">IFERROR(__xludf.DUMMYFUNCTION("""COMPUTED_VALUE"""),919.52)</f>
        <v>919.52</v>
      </c>
      <c r="X399" s="24">
        <f ca="1">IFERROR(__xludf.DUMMYFUNCTION("""COMPUTED_VALUE"""),138.6)</f>
        <v>138.6</v>
      </c>
      <c r="Y399" s="24">
        <f t="shared" ca="1" si="3"/>
        <v>919.52</v>
      </c>
      <c r="Z399" s="20">
        <f t="shared" ca="1" si="4"/>
        <v>591.88</v>
      </c>
      <c r="AA399" s="20"/>
      <c r="AB399" s="24">
        <f ca="1">IFERROR(__xludf.DUMMYFUNCTION("""COMPUTED_VALUE"""),0)</f>
        <v>0</v>
      </c>
      <c r="AC399" s="20">
        <f ca="1">IFERROR(__xludf.DUMMYFUNCTION("""COMPUTED_VALUE"""),591.88)</f>
        <v>591.88</v>
      </c>
      <c r="AD399" s="94">
        <f t="shared" ca="1" si="5"/>
        <v>0.39161042741828767</v>
      </c>
      <c r="AE399" s="20"/>
      <c r="AF399" s="20"/>
      <c r="AG399" s="20"/>
      <c r="AH399" s="20"/>
      <c r="AI399" s="20"/>
      <c r="AJ399" s="20"/>
      <c r="AK399" s="20"/>
      <c r="AL399" s="20"/>
      <c r="AM399" s="20"/>
      <c r="AN399" s="20"/>
      <c r="AO399" s="20"/>
      <c r="AP399" s="20"/>
      <c r="AQ399" s="20"/>
      <c r="AR399" s="20"/>
      <c r="AS399" s="20"/>
      <c r="AT399" s="20"/>
    </row>
    <row r="400" spans="1:46" ht="72" x14ac:dyDescent="0.2">
      <c r="A400" s="20"/>
      <c r="B400" s="93"/>
      <c r="C40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400" s="20" t="str">
        <f ca="1">IFERROR(__xludf.DUMMYFUNCTION("""COMPUTED_VALUE"""),"МинЖКХ ""ТОП 5 (1 этап)""")</f>
        <v>МинЖКХ "ТОП 5 (1 этап)"</v>
      </c>
      <c r="E400" s="20" t="str">
        <f ca="1">IFERROR(__xludf.DUMMYFUNCTION("""COMPUTED_VALUE"""),"Строительство сдвоенного газового котла наружного размещения (КНР) с. Власово (в т.ч. ПИР, ТП) г.о. Шатура")</f>
        <v>Строительство сдвоенного газового котла наружного размещения (КНР) с. Власово (в т.ч. ПИР, ТП) г.о. Шатура</v>
      </c>
      <c r="F400" s="20" t="str">
        <f ca="1">IFERROR(__xludf.DUMMYFUNCTION("""COMPUTED_VALUE"""),"СМР")</f>
        <v>СМР</v>
      </c>
      <c r="G400" s="20" t="str">
        <f ca="1">IFERROR(__xludf.DUMMYFUNCTION("""COMPUTED_VALUE"""),"г.о. Шатура")</f>
        <v>г.о. Шатура</v>
      </c>
      <c r="H400" s="20" t="str">
        <f ca="1">IFERROR(__xludf.DUMMYFUNCTION("""COMPUTED_VALUE"""),"2020-2021")</f>
        <v>2020-2021</v>
      </c>
      <c r="I400" s="20" t="str">
        <f ca="1">IFERROR(__xludf.DUMMYFUNCTION("""COMPUTED_VALUE"""),"10 3 02 64080")</f>
        <v>10 3 02 64080</v>
      </c>
      <c r="J400" s="20">
        <f ca="1">IFERROR(__xludf.DUMMYFUNCTION("""COMPUTED_VALUE"""),522)</f>
        <v>522</v>
      </c>
      <c r="K400" s="24">
        <f t="shared" ca="1" si="1"/>
        <v>1500</v>
      </c>
      <c r="L400" s="24">
        <f ca="1">IFERROR(__xludf.DUMMYFUNCTION("""COMPUTED_VALUE"""),0)</f>
        <v>0</v>
      </c>
      <c r="M400" s="24">
        <f ca="1">IFERROR(__xludf.DUMMYFUNCTION("""COMPUTED_VALUE"""),0)</f>
        <v>0</v>
      </c>
      <c r="N400" s="24">
        <f ca="1">IFERROR(__xludf.DUMMYFUNCTION("""COMPUTED_VALUE"""),1374)</f>
        <v>1374</v>
      </c>
      <c r="O400" s="24">
        <f ca="1">IFERROR(__xludf.DUMMYFUNCTION("""COMPUTED_VALUE"""),126)</f>
        <v>126</v>
      </c>
      <c r="P400" s="24">
        <f t="shared" ca="1" si="2"/>
        <v>1374</v>
      </c>
      <c r="Q400" s="20"/>
      <c r="R400" s="20"/>
      <c r="S400" s="24">
        <f ca="1">IFERROR(__xludf.DUMMYFUNCTION("""COMPUTED_VALUE"""),1274.84)</f>
        <v>1274.8399999999999</v>
      </c>
      <c r="T400" s="24">
        <f ca="1">IFERROR(__xludf.DUMMYFUNCTION("""COMPUTED_VALUE"""),225.16)</f>
        <v>225.16</v>
      </c>
      <c r="U400" s="24">
        <f ca="1">IFERROR(__xludf.DUMMYFUNCTION("""COMPUTED_VALUE"""),0)</f>
        <v>0</v>
      </c>
      <c r="V400" s="24">
        <f ca="1">IFERROR(__xludf.DUMMYFUNCTION("""COMPUTED_VALUE"""),0)</f>
        <v>0</v>
      </c>
      <c r="W400" s="24">
        <f ca="1">IFERROR(__xludf.DUMMYFUNCTION("""COMPUTED_VALUE"""),99.16)</f>
        <v>99.16</v>
      </c>
      <c r="X400" s="24">
        <f ca="1">IFERROR(__xludf.DUMMYFUNCTION("""COMPUTED_VALUE"""),126)</f>
        <v>126</v>
      </c>
      <c r="Y400" s="24">
        <f t="shared" ca="1" si="3"/>
        <v>99.16</v>
      </c>
      <c r="Z400" s="20">
        <f t="shared" ca="1" si="4"/>
        <v>1274.8399999999999</v>
      </c>
      <c r="AA400" s="20"/>
      <c r="AB400" s="24">
        <f ca="1">IFERROR(__xludf.DUMMYFUNCTION("""COMPUTED_VALUE"""),0)</f>
        <v>0</v>
      </c>
      <c r="AC400" s="20">
        <f ca="1">IFERROR(__xludf.DUMMYFUNCTION("""COMPUTED_VALUE"""),1274.84)</f>
        <v>1274.8399999999999</v>
      </c>
      <c r="AD400" s="94">
        <f t="shared" ca="1" si="5"/>
        <v>0.92783114992721971</v>
      </c>
      <c r="AE400" s="20"/>
      <c r="AF400" s="20"/>
      <c r="AG400" s="20"/>
      <c r="AH400" s="20"/>
      <c r="AI400" s="20"/>
      <c r="AJ400" s="20"/>
      <c r="AK400" s="20"/>
      <c r="AL400" s="20"/>
      <c r="AM400" s="20"/>
      <c r="AN400" s="20"/>
      <c r="AO400" s="20"/>
      <c r="AP400" s="20"/>
      <c r="AQ400" s="20"/>
      <c r="AR400" s="20"/>
      <c r="AS400" s="20"/>
      <c r="AT400" s="20"/>
    </row>
    <row r="401" spans="1:46" ht="84" x14ac:dyDescent="0.2">
      <c r="A401" s="20"/>
      <c r="B401" s="93"/>
      <c r="C401"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01" s="20" t="str">
        <f ca="1">IFERROR(__xludf.DUMMYFUNCTION("""COMPUTED_VALUE"""),"МинЖКХ")</f>
        <v>МинЖКХ</v>
      </c>
      <c r="E401" s="20" t="str">
        <f ca="1">IFERROR(__xludf.DUMMYFUNCTION("""COMPUTED_VALUE"""),"Капитальный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f>
        <v xml:space="preserv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v>
      </c>
      <c r="F401" s="20" t="str">
        <f ca="1">IFERROR(__xludf.DUMMYFUNCTION("""COMPUTED_VALUE"""),"СМР")</f>
        <v>СМР</v>
      </c>
      <c r="G401" s="20" t="str">
        <f ca="1">IFERROR(__xludf.DUMMYFUNCTION("""COMPUTED_VALUE"""),"г.о. Орехово-Зуево")</f>
        <v>г.о. Орехово-Зуево</v>
      </c>
      <c r="H401" s="20">
        <f ca="1">IFERROR(__xludf.DUMMYFUNCTION("""COMPUTED_VALUE"""),2020)</f>
        <v>2020</v>
      </c>
      <c r="I401" s="20" t="str">
        <f ca="1">IFERROR(__xludf.DUMMYFUNCTION("""COMPUTED_VALUE"""),"10 3 02 60320")</f>
        <v>10 3 02 60320</v>
      </c>
      <c r="J401" s="20">
        <f ca="1">IFERROR(__xludf.DUMMYFUNCTION("""COMPUTED_VALUE"""),521)</f>
        <v>521</v>
      </c>
      <c r="K401" s="24">
        <f t="shared" ca="1" si="1"/>
        <v>306045.32</v>
      </c>
      <c r="L401" s="24">
        <f ca="1">IFERROR(__xludf.DUMMYFUNCTION("""COMPUTED_VALUE"""),0)</f>
        <v>0</v>
      </c>
      <c r="M401" s="24">
        <f ca="1">IFERROR(__xludf.DUMMYFUNCTION("""COMPUTED_VALUE"""),0)</f>
        <v>0</v>
      </c>
      <c r="N401" s="24">
        <f ca="1">IFERROR(__xludf.DUMMYFUNCTION("""COMPUTED_VALUE"""),290743)</f>
        <v>290743</v>
      </c>
      <c r="O401" s="24">
        <f ca="1">IFERROR(__xludf.DUMMYFUNCTION("""COMPUTED_VALUE"""),15302.32)</f>
        <v>15302.32</v>
      </c>
      <c r="P401" s="24">
        <f t="shared" ca="1" si="2"/>
        <v>290743</v>
      </c>
      <c r="Q401" s="20"/>
      <c r="R401" s="20"/>
      <c r="S401" s="24">
        <f ca="1">IFERROR(__xludf.DUMMYFUNCTION("""COMPUTED_VALUE"""),265835.15)</f>
        <v>265835.15000000002</v>
      </c>
      <c r="T401" s="24">
        <f ca="1">IFERROR(__xludf.DUMMYFUNCTION("""COMPUTED_VALUE"""),40210.1699999999)</f>
        <v>40210.169999999896</v>
      </c>
      <c r="U401" s="24">
        <f ca="1">IFERROR(__xludf.DUMMYFUNCTION("""COMPUTED_VALUE"""),0)</f>
        <v>0</v>
      </c>
      <c r="V401" s="24">
        <f ca="1">IFERROR(__xludf.DUMMYFUNCTION("""COMPUTED_VALUE"""),0)</f>
        <v>0</v>
      </c>
      <c r="W401" s="24">
        <f ca="1">IFERROR(__xludf.DUMMYFUNCTION("""COMPUTED_VALUE"""),24907.8499999999)</f>
        <v>24907.8499999999</v>
      </c>
      <c r="X401" s="24">
        <f ca="1">IFERROR(__xludf.DUMMYFUNCTION("""COMPUTED_VALUE"""),15302.32)</f>
        <v>15302.32</v>
      </c>
      <c r="Y401" s="24">
        <f t="shared" ca="1" si="3"/>
        <v>24907.8499999999</v>
      </c>
      <c r="Z401" s="20">
        <f t="shared" ca="1" si="4"/>
        <v>265835.15000000002</v>
      </c>
      <c r="AA401" s="20"/>
      <c r="AB401" s="24">
        <f ca="1">IFERROR(__xludf.DUMMYFUNCTION("""COMPUTED_VALUE"""),0)</f>
        <v>0</v>
      </c>
      <c r="AC401" s="24">
        <f ca="1">IFERROR(__xludf.DUMMYFUNCTION("""COMPUTED_VALUE"""),265835.15)</f>
        <v>265835.15000000002</v>
      </c>
      <c r="AD401" s="94">
        <f t="shared" ca="1" si="5"/>
        <v>0.91433035361126502</v>
      </c>
      <c r="AE401" s="20"/>
      <c r="AF401" s="20"/>
      <c r="AG401" s="20"/>
      <c r="AH401" s="20"/>
      <c r="AI401" s="20"/>
      <c r="AJ401" s="20"/>
      <c r="AK401" s="20"/>
      <c r="AL401" s="20"/>
      <c r="AM401" s="20"/>
      <c r="AN401" s="20"/>
      <c r="AO401" s="20"/>
      <c r="AP401" s="20"/>
      <c r="AQ401" s="20"/>
      <c r="AR401" s="20"/>
      <c r="AS401" s="20"/>
      <c r="AT401" s="20"/>
    </row>
    <row r="402" spans="1:46" ht="84" x14ac:dyDescent="0.2">
      <c r="A402" s="20"/>
      <c r="B402" s="93"/>
      <c r="C402"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2" s="20" t="str">
        <f ca="1">IFERROR(__xludf.DUMMYFUNCTION("""COMPUTED_VALUE"""),"МинЖКХ")</f>
        <v>МинЖКХ</v>
      </c>
      <c r="E402" s="20" t="str">
        <f ca="1">IFERROR(__xludf.DUMMYFUNCTION("""COMPUTED_VALUE"""),"Строительство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f>
        <v>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v>
      </c>
      <c r="F402" s="20" t="str">
        <f ca="1">IFERROR(__xludf.DUMMYFUNCTION("""COMPUTED_VALUE"""),"ПИР")</f>
        <v>ПИР</v>
      </c>
      <c r="G402" s="20" t="str">
        <f ca="1">IFERROR(__xludf.DUMMYFUNCTION("""COMPUTED_VALUE"""),"МОС АВС")</f>
        <v>МОС АВС</v>
      </c>
      <c r="H402" s="20" t="str">
        <f ca="1">IFERROR(__xludf.DUMMYFUNCTION("""COMPUTED_VALUE"""),"2020-2021")</f>
        <v>2020-2021</v>
      </c>
      <c r="I402" s="20" t="str">
        <f ca="1">IFERROR(__xludf.DUMMYFUNCTION("""COMPUTED_VALUE"""),"10 3 02 40010")</f>
        <v>10 3 02 40010</v>
      </c>
      <c r="J402" s="20">
        <f ca="1">IFERROR(__xludf.DUMMYFUNCTION("""COMPUTED_VALUE"""),414)</f>
        <v>414</v>
      </c>
      <c r="K402" s="24">
        <f t="shared" ca="1" si="1"/>
        <v>742.19</v>
      </c>
      <c r="L402" s="24">
        <f ca="1">IFERROR(__xludf.DUMMYFUNCTION("""COMPUTED_VALUE"""),742.19)</f>
        <v>742.19</v>
      </c>
      <c r="M402" s="24">
        <f ca="1">IFERROR(__xludf.DUMMYFUNCTION("""COMPUTED_VALUE"""),0)</f>
        <v>0</v>
      </c>
      <c r="N402" s="24">
        <f ca="1">IFERROR(__xludf.DUMMYFUNCTION("""COMPUTED_VALUE"""),0)</f>
        <v>0</v>
      </c>
      <c r="O402" s="24">
        <f ca="1">IFERROR(__xludf.DUMMYFUNCTION("""COMPUTED_VALUE"""),0)</f>
        <v>0</v>
      </c>
      <c r="P402" s="24">
        <f t="shared" ca="1" si="2"/>
        <v>742.19</v>
      </c>
      <c r="Q402" s="20"/>
      <c r="R402" s="20"/>
      <c r="S402" s="24">
        <f ca="1">IFERROR(__xludf.DUMMYFUNCTION("""COMPUTED_VALUE"""),0)</f>
        <v>0</v>
      </c>
      <c r="T402" s="24">
        <f ca="1">IFERROR(__xludf.DUMMYFUNCTION("""COMPUTED_VALUE"""),742.19)</f>
        <v>742.19</v>
      </c>
      <c r="U402" s="24">
        <f ca="1">IFERROR(__xludf.DUMMYFUNCTION("""COMPUTED_VALUE"""),742.19)</f>
        <v>742.19</v>
      </c>
      <c r="V402" s="24">
        <f ca="1">IFERROR(__xludf.DUMMYFUNCTION("""COMPUTED_VALUE"""),0)</f>
        <v>0</v>
      </c>
      <c r="W402" s="24">
        <f ca="1">IFERROR(__xludf.DUMMYFUNCTION("""COMPUTED_VALUE"""),0)</f>
        <v>0</v>
      </c>
      <c r="X402" s="24">
        <f ca="1">IFERROR(__xludf.DUMMYFUNCTION("""COMPUTED_VALUE"""),0)</f>
        <v>0</v>
      </c>
      <c r="Y402" s="24">
        <f t="shared" ca="1" si="3"/>
        <v>742.19</v>
      </c>
      <c r="Z402" s="20">
        <f t="shared" ca="1" si="4"/>
        <v>0</v>
      </c>
      <c r="AA402" s="20"/>
      <c r="AB402" s="24">
        <f ca="1">IFERROR(__xludf.DUMMYFUNCTION("""COMPUTED_VALUE"""),0)</f>
        <v>0</v>
      </c>
      <c r="AC402" s="20"/>
      <c r="AD402" s="94">
        <f t="shared" ca="1" si="5"/>
        <v>0</v>
      </c>
      <c r="AE402" s="20"/>
      <c r="AF402" s="20"/>
      <c r="AG402" s="20"/>
      <c r="AH402" s="20"/>
      <c r="AI402" s="20"/>
      <c r="AJ402" s="20"/>
      <c r="AK402" s="20"/>
      <c r="AL402" s="20"/>
      <c r="AM402" s="20"/>
      <c r="AN402" s="20"/>
      <c r="AO402" s="20"/>
      <c r="AP402" s="20"/>
      <c r="AQ402" s="20"/>
      <c r="AR402" s="20"/>
      <c r="AS402" s="20"/>
      <c r="AT402" s="20"/>
    </row>
    <row r="403" spans="1:46" ht="120" x14ac:dyDescent="0.2">
      <c r="A403" s="20"/>
      <c r="B403" s="93"/>
      <c r="C403"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3" s="20" t="str">
        <f ca="1">IFERROR(__xludf.DUMMYFUNCTION("""COMPUTED_VALUE"""),"МинЖКХ")</f>
        <v>МинЖКХ</v>
      </c>
      <c r="E403" s="20" t="str">
        <f ca="1">IFERROR(__xludf.DUMMYFUNCTION("""COMPUTED_VALUE"""),"Строительство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(городско"&amp;"й округ Егорьевск)  (в том числе ПИР)")</f>
        <v>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(городской округ Егорьевск)  (в том числе ПИР)</v>
      </c>
      <c r="F403" s="20" t="str">
        <f ca="1">IFERROR(__xludf.DUMMYFUNCTION("""COMPUTED_VALUE"""),"СМР")</f>
        <v>СМР</v>
      </c>
      <c r="G403" s="20" t="str">
        <f ca="1">IFERROR(__xludf.DUMMYFUNCTION("""COMPUTED_VALUE"""),"МОС АВС")</f>
        <v>МОС АВС</v>
      </c>
      <c r="H403" s="20" t="str">
        <f ca="1">IFERROR(__xludf.DUMMYFUNCTION("""COMPUTED_VALUE"""),"2020-2021")</f>
        <v>2020-2021</v>
      </c>
      <c r="I403" s="20" t="str">
        <f ca="1">IFERROR(__xludf.DUMMYFUNCTION("""COMPUTED_VALUE"""),"10 3 02 40010")</f>
        <v>10 3 02 40010</v>
      </c>
      <c r="J403" s="20">
        <f ca="1">IFERROR(__xludf.DUMMYFUNCTION("""COMPUTED_VALUE"""),414)</f>
        <v>414</v>
      </c>
      <c r="K403" s="24">
        <f t="shared" ca="1" si="1"/>
        <v>56534.59</v>
      </c>
      <c r="L403" s="24">
        <f ca="1">IFERROR(__xludf.DUMMYFUNCTION("""COMPUTED_VALUE"""),56534.59)</f>
        <v>56534.59</v>
      </c>
      <c r="M403" s="24">
        <f ca="1">IFERROR(__xludf.DUMMYFUNCTION("""COMPUTED_VALUE"""),0)</f>
        <v>0</v>
      </c>
      <c r="N403" s="24">
        <f ca="1">IFERROR(__xludf.DUMMYFUNCTION("""COMPUTED_VALUE"""),0)</f>
        <v>0</v>
      </c>
      <c r="O403" s="24">
        <f ca="1">IFERROR(__xludf.DUMMYFUNCTION("""COMPUTED_VALUE"""),0)</f>
        <v>0</v>
      </c>
      <c r="P403" s="24">
        <f t="shared" ca="1" si="2"/>
        <v>56534.59</v>
      </c>
      <c r="Q403" s="20"/>
      <c r="R403" s="20"/>
      <c r="S403" s="24">
        <f ca="1">IFERROR(__xludf.DUMMYFUNCTION("""COMPUTED_VALUE"""),36215.89)</f>
        <v>36215.89</v>
      </c>
      <c r="T403" s="24">
        <f ca="1">IFERROR(__xludf.DUMMYFUNCTION("""COMPUTED_VALUE"""),20318.6999999999)</f>
        <v>20318.699999999899</v>
      </c>
      <c r="U403" s="24">
        <f ca="1">IFERROR(__xludf.DUMMYFUNCTION("""COMPUTED_VALUE"""),20318.6999999999)</f>
        <v>20318.699999999899</v>
      </c>
      <c r="V403" s="24">
        <f ca="1">IFERROR(__xludf.DUMMYFUNCTION("""COMPUTED_VALUE"""),0)</f>
        <v>0</v>
      </c>
      <c r="W403" s="24">
        <f ca="1">IFERROR(__xludf.DUMMYFUNCTION("""COMPUTED_VALUE"""),0)</f>
        <v>0</v>
      </c>
      <c r="X403" s="24">
        <f ca="1">IFERROR(__xludf.DUMMYFUNCTION("""COMPUTED_VALUE"""),0)</f>
        <v>0</v>
      </c>
      <c r="Y403" s="24">
        <f t="shared" ca="1" si="3"/>
        <v>20318.699999999899</v>
      </c>
      <c r="Z403" s="20">
        <f t="shared" ca="1" si="4"/>
        <v>36215.89</v>
      </c>
      <c r="AA403" s="20"/>
      <c r="AB403" s="24">
        <f ca="1">IFERROR(__xludf.DUMMYFUNCTION("""COMPUTED_VALUE"""),36215.89)</f>
        <v>36215.89</v>
      </c>
      <c r="AC403" s="20"/>
      <c r="AD403" s="94">
        <f t="shared" ca="1" si="5"/>
        <v>0.64059702210628933</v>
      </c>
      <c r="AE403" s="20"/>
      <c r="AF403" s="20"/>
      <c r="AG403" s="20"/>
      <c r="AH403" s="20"/>
      <c r="AI403" s="20"/>
      <c r="AJ403" s="20"/>
      <c r="AK403" s="20"/>
      <c r="AL403" s="20"/>
      <c r="AM403" s="20"/>
      <c r="AN403" s="20"/>
      <c r="AO403" s="20"/>
      <c r="AP403" s="20"/>
      <c r="AQ403" s="20"/>
      <c r="AR403" s="20"/>
      <c r="AS403" s="20"/>
      <c r="AT403" s="20"/>
    </row>
    <row r="404" spans="1:46" ht="96" x14ac:dyDescent="0.2">
      <c r="A404" s="20" t="str">
        <f ca="1">IFERROR(__xludf.DUMMYFUNCTION("""COMPUTED_VALUE"""),"ПИР до 25.12.2020")</f>
        <v>ПИР до 25.12.2020</v>
      </c>
      <c r="B404" s="93"/>
      <c r="C404"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4" s="20" t="str">
        <f ca="1">IFERROR(__xludf.DUMMYFUNCTION("""COMPUTED_VALUE"""),"МинЖКХ")</f>
        <v>МинЖКХ</v>
      </c>
      <c r="E404" s="20" t="str">
        <f ca="1">IFERROR(__xludf.DUMMYFUNCTION("""COMPUTED_VALUE"""),"Строительство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f>
        <v>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v>
      </c>
      <c r="F404" s="20" t="str">
        <f ca="1">IFERROR(__xludf.DUMMYFUNCTION("""COMPUTED_VALUE"""),"ПИР")</f>
        <v>ПИР</v>
      </c>
      <c r="G404" s="20" t="str">
        <f ca="1">IFERROR(__xludf.DUMMYFUNCTION("""COMPUTED_VALUE"""),"МОС АВС")</f>
        <v>МОС АВС</v>
      </c>
      <c r="H404" s="20" t="str">
        <f ca="1">IFERROR(__xludf.DUMMYFUNCTION("""COMPUTED_VALUE"""),"2020-2022")</f>
        <v>2020-2022</v>
      </c>
      <c r="I404" s="20" t="str">
        <f ca="1">IFERROR(__xludf.DUMMYFUNCTION("""COMPUTED_VALUE"""),"10 3 02 40010")</f>
        <v>10 3 02 40010</v>
      </c>
      <c r="J404" s="20">
        <f ca="1">IFERROR(__xludf.DUMMYFUNCTION("""COMPUTED_VALUE"""),414)</f>
        <v>414</v>
      </c>
      <c r="K404" s="24">
        <f t="shared" ca="1" si="1"/>
        <v>158.05000000000001</v>
      </c>
      <c r="L404" s="24">
        <f ca="1">IFERROR(__xludf.DUMMYFUNCTION("""COMPUTED_VALUE"""),158.05)</f>
        <v>158.05000000000001</v>
      </c>
      <c r="M404" s="24">
        <f ca="1">IFERROR(__xludf.DUMMYFUNCTION("""COMPUTED_VALUE"""),0)</f>
        <v>0</v>
      </c>
      <c r="N404" s="24">
        <f ca="1">IFERROR(__xludf.DUMMYFUNCTION("""COMPUTED_VALUE"""),0)</f>
        <v>0</v>
      </c>
      <c r="O404" s="24">
        <f ca="1">IFERROR(__xludf.DUMMYFUNCTION("""COMPUTED_VALUE"""),0)</f>
        <v>0</v>
      </c>
      <c r="P404" s="24">
        <f t="shared" ca="1" si="2"/>
        <v>158.05000000000001</v>
      </c>
      <c r="Q404" s="20"/>
      <c r="R404" s="20"/>
      <c r="S404" s="24">
        <f ca="1">IFERROR(__xludf.DUMMYFUNCTION("""COMPUTED_VALUE"""),66.23)</f>
        <v>66.23</v>
      </c>
      <c r="T404" s="24">
        <f ca="1">IFERROR(__xludf.DUMMYFUNCTION("""COMPUTED_VALUE"""),91.82)</f>
        <v>91.82</v>
      </c>
      <c r="U404" s="24">
        <f ca="1">IFERROR(__xludf.DUMMYFUNCTION("""COMPUTED_VALUE"""),91.82)</f>
        <v>91.82</v>
      </c>
      <c r="V404" s="24">
        <f ca="1">IFERROR(__xludf.DUMMYFUNCTION("""COMPUTED_VALUE"""),0)</f>
        <v>0</v>
      </c>
      <c r="W404" s="24">
        <f ca="1">IFERROR(__xludf.DUMMYFUNCTION("""COMPUTED_VALUE"""),0)</f>
        <v>0</v>
      </c>
      <c r="X404" s="24">
        <f ca="1">IFERROR(__xludf.DUMMYFUNCTION("""COMPUTED_VALUE"""),0)</f>
        <v>0</v>
      </c>
      <c r="Y404" s="24">
        <f t="shared" ca="1" si="3"/>
        <v>91.82</v>
      </c>
      <c r="Z404" s="20">
        <f t="shared" ca="1" si="4"/>
        <v>66.23</v>
      </c>
      <c r="AA404" s="20"/>
      <c r="AB404" s="24">
        <f ca="1">IFERROR(__xludf.DUMMYFUNCTION("""COMPUTED_VALUE"""),66.23)</f>
        <v>66.23</v>
      </c>
      <c r="AC404" s="20"/>
      <c r="AD404" s="94">
        <f t="shared" ca="1" si="5"/>
        <v>0.41904460613729833</v>
      </c>
      <c r="AE404" s="20"/>
      <c r="AF404" s="20"/>
      <c r="AG404" s="20"/>
      <c r="AH404" s="20"/>
      <c r="AI404" s="20"/>
      <c r="AJ404" s="20"/>
      <c r="AK404" s="20"/>
      <c r="AL404" s="20"/>
      <c r="AM404" s="20"/>
      <c r="AN404" s="20"/>
      <c r="AO404" s="20"/>
      <c r="AP404" s="20"/>
      <c r="AQ404" s="20"/>
      <c r="AR404" s="20"/>
      <c r="AS404" s="20"/>
      <c r="AT404" s="20"/>
    </row>
    <row r="405" spans="1:46" ht="84" x14ac:dyDescent="0.2">
      <c r="A405" s="20"/>
      <c r="B405" s="93"/>
      <c r="C405"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5" s="20" t="str">
        <f ca="1">IFERROR(__xludf.DUMMYFUNCTION("""COMPUTED_VALUE"""),"МинЖКХ")</f>
        <v>МинЖКХ</v>
      </c>
      <c r="E405" s="20" t="str">
        <f ca="1">IFERROR(__xludf.DUMMYFUNCTION("""COMPUTED_VALUE"""),"Строительство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f>
        <v>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v>
      </c>
      <c r="F405" s="20" t="str">
        <f ca="1">IFERROR(__xludf.DUMMYFUNCTION("""COMPUTED_VALUE"""),"ПИР")</f>
        <v>ПИР</v>
      </c>
      <c r="G405" s="20" t="str">
        <f ca="1">IFERROR(__xludf.DUMMYFUNCTION("""COMPUTED_VALUE"""),"МОС АВС")</f>
        <v>МОС АВС</v>
      </c>
      <c r="H405" s="20" t="str">
        <f ca="1">IFERROR(__xludf.DUMMYFUNCTION("""COMPUTED_VALUE"""),"2020-2021")</f>
        <v>2020-2021</v>
      </c>
      <c r="I405" s="20" t="str">
        <f ca="1">IFERROR(__xludf.DUMMYFUNCTION("""COMPUTED_VALUE"""),"10 3 02 40010")</f>
        <v>10 3 02 40010</v>
      </c>
      <c r="J405" s="20">
        <f ca="1">IFERROR(__xludf.DUMMYFUNCTION("""COMPUTED_VALUE"""),414)</f>
        <v>414</v>
      </c>
      <c r="K405" s="24">
        <f t="shared" ca="1" si="1"/>
        <v>214.65</v>
      </c>
      <c r="L405" s="24">
        <f ca="1">IFERROR(__xludf.DUMMYFUNCTION("""COMPUTED_VALUE"""),214.65)</f>
        <v>214.65</v>
      </c>
      <c r="M405" s="24">
        <f ca="1">IFERROR(__xludf.DUMMYFUNCTION("""COMPUTED_VALUE"""),0)</f>
        <v>0</v>
      </c>
      <c r="N405" s="24">
        <f ca="1">IFERROR(__xludf.DUMMYFUNCTION("""COMPUTED_VALUE"""),0)</f>
        <v>0</v>
      </c>
      <c r="O405" s="24">
        <f ca="1">IFERROR(__xludf.DUMMYFUNCTION("""COMPUTED_VALUE"""),0)</f>
        <v>0</v>
      </c>
      <c r="P405" s="24">
        <f t="shared" ca="1" si="2"/>
        <v>214.65</v>
      </c>
      <c r="Q405" s="20"/>
      <c r="R405" s="20"/>
      <c r="S405" s="24">
        <f ca="1">IFERROR(__xludf.DUMMYFUNCTION("""COMPUTED_VALUE"""),99.88)</f>
        <v>99.88</v>
      </c>
      <c r="T405" s="24">
        <f ca="1">IFERROR(__xludf.DUMMYFUNCTION("""COMPUTED_VALUE"""),114.77)</f>
        <v>114.77</v>
      </c>
      <c r="U405" s="24">
        <f ca="1">IFERROR(__xludf.DUMMYFUNCTION("""COMPUTED_VALUE"""),114.77)</f>
        <v>114.77</v>
      </c>
      <c r="V405" s="24">
        <f ca="1">IFERROR(__xludf.DUMMYFUNCTION("""COMPUTED_VALUE"""),0)</f>
        <v>0</v>
      </c>
      <c r="W405" s="24">
        <f ca="1">IFERROR(__xludf.DUMMYFUNCTION("""COMPUTED_VALUE"""),0)</f>
        <v>0</v>
      </c>
      <c r="X405" s="24">
        <f ca="1">IFERROR(__xludf.DUMMYFUNCTION("""COMPUTED_VALUE"""),0)</f>
        <v>0</v>
      </c>
      <c r="Y405" s="24">
        <f t="shared" ca="1" si="3"/>
        <v>114.77</v>
      </c>
      <c r="Z405" s="20">
        <f t="shared" ca="1" si="4"/>
        <v>99.88</v>
      </c>
      <c r="AA405" s="20"/>
      <c r="AB405" s="24">
        <f ca="1">IFERROR(__xludf.DUMMYFUNCTION("""COMPUTED_VALUE"""),99.88)</f>
        <v>99.88</v>
      </c>
      <c r="AC405" s="20"/>
      <c r="AD405" s="94">
        <f t="shared" ca="1" si="5"/>
        <v>0.46531563009550425</v>
      </c>
      <c r="AE405" s="20"/>
      <c r="AF405" s="20"/>
      <c r="AG405" s="20"/>
      <c r="AH405" s="20"/>
      <c r="AI405" s="20"/>
      <c r="AJ405" s="20"/>
      <c r="AK405" s="20"/>
      <c r="AL405" s="20"/>
      <c r="AM405" s="20"/>
      <c r="AN405" s="20"/>
      <c r="AO405" s="20"/>
      <c r="AP405" s="20"/>
      <c r="AQ405" s="20"/>
      <c r="AR405" s="20"/>
      <c r="AS405" s="20"/>
      <c r="AT405" s="20"/>
    </row>
    <row r="406" spans="1:46" ht="72" x14ac:dyDescent="0.2">
      <c r="A406" s="20"/>
      <c r="B406" s="93"/>
      <c r="C406"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6" s="20" t="str">
        <f ca="1">IFERROR(__xludf.DUMMYFUNCTION("""COMPUTED_VALUE"""),"МинЖКХ")</f>
        <v>МинЖКХ</v>
      </c>
      <c r="E406" s="20" t="str">
        <f ca="1">IFERROR(__xludf.DUMMYFUNCTION("""COMPUTED_VALUE"""),"Строительство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f>
        <v>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v>
      </c>
      <c r="F406" s="20" t="str">
        <f ca="1">IFERROR(__xludf.DUMMYFUNCTION("""COMPUTED_VALUE"""),"ПИР")</f>
        <v>ПИР</v>
      </c>
      <c r="G406" s="20" t="str">
        <f ca="1">IFERROR(__xludf.DUMMYFUNCTION("""COMPUTED_VALUE"""),"МОС АВС")</f>
        <v>МОС АВС</v>
      </c>
      <c r="H406" s="20" t="str">
        <f ca="1">IFERROR(__xludf.DUMMYFUNCTION("""COMPUTED_VALUE"""),"2020-2021")</f>
        <v>2020-2021</v>
      </c>
      <c r="I406" s="20" t="str">
        <f ca="1">IFERROR(__xludf.DUMMYFUNCTION("""COMPUTED_VALUE"""),"10 3 02 40010")</f>
        <v>10 3 02 40010</v>
      </c>
      <c r="J406" s="20">
        <f ca="1">IFERROR(__xludf.DUMMYFUNCTION("""COMPUTED_VALUE"""),414)</f>
        <v>414</v>
      </c>
      <c r="K406" s="24">
        <f t="shared" ca="1" si="1"/>
        <v>50.1</v>
      </c>
      <c r="L406" s="24">
        <f ca="1">IFERROR(__xludf.DUMMYFUNCTION("""COMPUTED_VALUE"""),50.1)</f>
        <v>50.1</v>
      </c>
      <c r="M406" s="24">
        <f ca="1">IFERROR(__xludf.DUMMYFUNCTION("""COMPUTED_VALUE"""),0)</f>
        <v>0</v>
      </c>
      <c r="N406" s="24">
        <f ca="1">IFERROR(__xludf.DUMMYFUNCTION("""COMPUTED_VALUE"""),0)</f>
        <v>0</v>
      </c>
      <c r="O406" s="24">
        <f ca="1">IFERROR(__xludf.DUMMYFUNCTION("""COMPUTED_VALUE"""),0)</f>
        <v>0</v>
      </c>
      <c r="P406" s="24">
        <f t="shared" ca="1" si="2"/>
        <v>50.1</v>
      </c>
      <c r="Q406" s="20"/>
      <c r="R406" s="20"/>
      <c r="S406" s="24">
        <f ca="1">IFERROR(__xludf.DUMMYFUNCTION("""COMPUTED_VALUE"""),0)</f>
        <v>0</v>
      </c>
      <c r="T406" s="24">
        <f ca="1">IFERROR(__xludf.DUMMYFUNCTION("""COMPUTED_VALUE"""),50.1)</f>
        <v>50.1</v>
      </c>
      <c r="U406" s="24">
        <f ca="1">IFERROR(__xludf.DUMMYFUNCTION("""COMPUTED_VALUE"""),50.1)</f>
        <v>50.1</v>
      </c>
      <c r="V406" s="24">
        <f ca="1">IFERROR(__xludf.DUMMYFUNCTION("""COMPUTED_VALUE"""),0)</f>
        <v>0</v>
      </c>
      <c r="W406" s="24">
        <f ca="1">IFERROR(__xludf.DUMMYFUNCTION("""COMPUTED_VALUE"""),0)</f>
        <v>0</v>
      </c>
      <c r="X406" s="24">
        <f ca="1">IFERROR(__xludf.DUMMYFUNCTION("""COMPUTED_VALUE"""),0)</f>
        <v>0</v>
      </c>
      <c r="Y406" s="24">
        <f t="shared" ca="1" si="3"/>
        <v>50.1</v>
      </c>
      <c r="Z406" s="20">
        <f t="shared" ca="1" si="4"/>
        <v>0</v>
      </c>
      <c r="AA406" s="20"/>
      <c r="AB406" s="24">
        <f ca="1">IFERROR(__xludf.DUMMYFUNCTION("""COMPUTED_VALUE"""),0)</f>
        <v>0</v>
      </c>
      <c r="AC406" s="20"/>
      <c r="AD406" s="94">
        <f t="shared" ca="1" si="5"/>
        <v>0</v>
      </c>
      <c r="AE406" s="20"/>
      <c r="AF406" s="20"/>
      <c r="AG406" s="20"/>
      <c r="AH406" s="20"/>
      <c r="AI406" s="20"/>
      <c r="AJ406" s="20"/>
      <c r="AK406" s="20"/>
      <c r="AL406" s="20"/>
      <c r="AM406" s="20"/>
      <c r="AN406" s="20"/>
      <c r="AO406" s="20"/>
      <c r="AP406" s="20"/>
      <c r="AQ406" s="20"/>
      <c r="AR406" s="20"/>
      <c r="AS406" s="20"/>
      <c r="AT406" s="20"/>
    </row>
    <row r="407" spans="1:46" ht="96" x14ac:dyDescent="0.2">
      <c r="A407" s="20" t="str">
        <f ca="1">IFERROR(__xludf.DUMMYFUNCTION("""COMPUTED_VALUE"""),"ПИР до 25.12.2020")</f>
        <v>ПИР до 25.12.2020</v>
      </c>
      <c r="B407" s="95"/>
      <c r="C407"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7" s="20" t="str">
        <f ca="1">IFERROR(__xludf.DUMMYFUNCTION("""COMPUTED_VALUE"""),"МинЖКХ")</f>
        <v>МинЖКХ</v>
      </c>
      <c r="E407" s="20" t="str">
        <f ca="1">IFERROR(__xludf.DUMMYFUNCTION("""COMPUTED_VALUE"""),"Строительство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f>
        <v>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v>
      </c>
      <c r="F407" s="20" t="str">
        <f ca="1">IFERROR(__xludf.DUMMYFUNCTION("""COMPUTED_VALUE"""),"ПИР")</f>
        <v>ПИР</v>
      </c>
      <c r="G407" s="20" t="str">
        <f ca="1">IFERROR(__xludf.DUMMYFUNCTION("""COMPUTED_VALUE"""),"МОС АВС")</f>
        <v>МОС АВС</v>
      </c>
      <c r="H407" s="20" t="str">
        <f ca="1">IFERROR(__xludf.DUMMYFUNCTION("""COMPUTED_VALUE"""),"2020-2022")</f>
        <v>2020-2022</v>
      </c>
      <c r="I407" s="20" t="str">
        <f ca="1">IFERROR(__xludf.DUMMYFUNCTION("""COMPUTED_VALUE"""),"10 3 02 40010")</f>
        <v>10 3 02 40010</v>
      </c>
      <c r="J407" s="20">
        <f ca="1">IFERROR(__xludf.DUMMYFUNCTION("""COMPUTED_VALUE"""),414)</f>
        <v>414</v>
      </c>
      <c r="K407" s="24">
        <f t="shared" ca="1" si="1"/>
        <v>658.32</v>
      </c>
      <c r="L407" s="24">
        <f ca="1">IFERROR(__xludf.DUMMYFUNCTION("""COMPUTED_VALUE"""),658.32)</f>
        <v>658.32</v>
      </c>
      <c r="M407" s="24">
        <f ca="1">IFERROR(__xludf.DUMMYFUNCTION("""COMPUTED_VALUE"""),0)</f>
        <v>0</v>
      </c>
      <c r="N407" s="24">
        <f ca="1">IFERROR(__xludf.DUMMYFUNCTION("""COMPUTED_VALUE"""),0)</f>
        <v>0</v>
      </c>
      <c r="O407" s="24">
        <f ca="1">IFERROR(__xludf.DUMMYFUNCTION("""COMPUTED_VALUE"""),0)</f>
        <v>0</v>
      </c>
      <c r="P407" s="24">
        <f t="shared" ca="1" si="2"/>
        <v>658.32</v>
      </c>
      <c r="Q407" s="20"/>
      <c r="R407" s="20"/>
      <c r="S407" s="24">
        <f ca="1">IFERROR(__xludf.DUMMYFUNCTION("""COMPUTED_VALUE"""),0)</f>
        <v>0</v>
      </c>
      <c r="T407" s="24">
        <f ca="1">IFERROR(__xludf.DUMMYFUNCTION("""COMPUTED_VALUE"""),658.32)</f>
        <v>658.32</v>
      </c>
      <c r="U407" s="24">
        <f ca="1">IFERROR(__xludf.DUMMYFUNCTION("""COMPUTED_VALUE"""),658.32)</f>
        <v>658.32</v>
      </c>
      <c r="V407" s="24">
        <f ca="1">IFERROR(__xludf.DUMMYFUNCTION("""COMPUTED_VALUE"""),0)</f>
        <v>0</v>
      </c>
      <c r="W407" s="24">
        <f ca="1">IFERROR(__xludf.DUMMYFUNCTION("""COMPUTED_VALUE"""),0)</f>
        <v>0</v>
      </c>
      <c r="X407" s="24">
        <f ca="1">IFERROR(__xludf.DUMMYFUNCTION("""COMPUTED_VALUE"""),0)</f>
        <v>0</v>
      </c>
      <c r="Y407" s="24">
        <f t="shared" ca="1" si="3"/>
        <v>658.32</v>
      </c>
      <c r="Z407" s="20">
        <f t="shared" ca="1" si="4"/>
        <v>0</v>
      </c>
      <c r="AA407" s="20"/>
      <c r="AB407" s="24">
        <f ca="1">IFERROR(__xludf.DUMMYFUNCTION("""COMPUTED_VALUE"""),0)</f>
        <v>0</v>
      </c>
      <c r="AC407" s="20"/>
      <c r="AD407" s="94">
        <f t="shared" ca="1" si="5"/>
        <v>0</v>
      </c>
      <c r="AE407" s="20"/>
      <c r="AF407" s="20"/>
      <c r="AG407" s="20"/>
      <c r="AH407" s="20"/>
      <c r="AI407" s="20"/>
      <c r="AJ407" s="20"/>
      <c r="AK407" s="20"/>
      <c r="AL407" s="20"/>
      <c r="AM407" s="20"/>
      <c r="AN407" s="20"/>
      <c r="AO407" s="20"/>
      <c r="AP407" s="20"/>
      <c r="AQ407" s="20"/>
      <c r="AR407" s="20"/>
      <c r="AS407" s="20"/>
      <c r="AT407" s="20"/>
    </row>
    <row r="408" spans="1:46" ht="84" hidden="1" x14ac:dyDescent="0.2">
      <c r="A408" s="67"/>
      <c r="B408" s="100"/>
      <c r="C408"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08" s="20" t="str">
        <f ca="1">IFERROR(__xludf.DUMMYFUNCTION("""COMPUTED_VALUE"""),"МинЖКХ")</f>
        <v>МинЖКХ</v>
      </c>
      <c r="E408" s="20" t="str">
        <f ca="1">IFERROR(__xludf.DUMMYFUNCTION("""COMPUTED_VALUE"""),"Капитальный ремонт канализационных сетей в посёлке Станция Непецино, Коломенский г.о. (в т.ч. ПИР) ")</f>
        <v xml:space="preserve">Капитальный ремонт канализационных сетей в посёлке Станция Непецино, Коломенский г.о. (в т.ч. ПИР) </v>
      </c>
      <c r="F408" s="67" t="str">
        <f ca="1">IFERROR(__xludf.DUMMYFUNCTION("""COMPUTED_VALUE"""),"СМР")</f>
        <v>СМР</v>
      </c>
      <c r="G408" s="67" t="str">
        <f ca="1">IFERROR(__xludf.DUMMYFUNCTION("""COMPUTED_VALUE"""),"г.о. Коломенский")</f>
        <v>г.о. Коломенский</v>
      </c>
      <c r="H408" s="67">
        <f ca="1">IFERROR(__xludf.DUMMYFUNCTION("""COMPUTED_VALUE"""),2021)</f>
        <v>2021</v>
      </c>
      <c r="I408" s="67"/>
      <c r="J408" s="67"/>
      <c r="K408" s="97">
        <f t="shared" ca="1" si="1"/>
        <v>0</v>
      </c>
      <c r="L408" s="97">
        <f ca="1">IFERROR(__xludf.DUMMYFUNCTION("""COMPUTED_VALUE"""),0)</f>
        <v>0</v>
      </c>
      <c r="M408" s="97">
        <f ca="1">IFERROR(__xludf.DUMMYFUNCTION("""COMPUTED_VALUE"""),0)</f>
        <v>0</v>
      </c>
      <c r="N408" s="97">
        <f ca="1">IFERROR(__xludf.DUMMYFUNCTION("""COMPUTED_VALUE"""),0)</f>
        <v>0</v>
      </c>
      <c r="O408" s="97">
        <f ca="1">IFERROR(__xludf.DUMMYFUNCTION("""COMPUTED_VALUE"""),0)</f>
        <v>0</v>
      </c>
      <c r="P408" s="97">
        <f t="shared" ca="1" si="2"/>
        <v>0</v>
      </c>
      <c r="Q408" s="67"/>
      <c r="R408" s="67"/>
      <c r="S408" s="97">
        <f ca="1">IFERROR(__xludf.DUMMYFUNCTION("""COMPUTED_VALUE"""),0)</f>
        <v>0</v>
      </c>
      <c r="T408" s="97">
        <f ca="1">IFERROR(__xludf.DUMMYFUNCTION("""COMPUTED_VALUE"""),0)</f>
        <v>0</v>
      </c>
      <c r="U408" s="97">
        <f ca="1">IFERROR(__xludf.DUMMYFUNCTION("""COMPUTED_VALUE"""),0)</f>
        <v>0</v>
      </c>
      <c r="V408" s="97">
        <f ca="1">IFERROR(__xludf.DUMMYFUNCTION("""COMPUTED_VALUE"""),0)</f>
        <v>0</v>
      </c>
      <c r="W408" s="97">
        <f ca="1">IFERROR(__xludf.DUMMYFUNCTION("""COMPUTED_VALUE"""),0)</f>
        <v>0</v>
      </c>
      <c r="X408" s="97">
        <f ca="1">IFERROR(__xludf.DUMMYFUNCTION("""COMPUTED_VALUE"""),0)</f>
        <v>0</v>
      </c>
      <c r="Y408" s="97">
        <f t="shared" ca="1" si="3"/>
        <v>0</v>
      </c>
      <c r="Z408" s="67">
        <f t="shared" si="4"/>
        <v>0</v>
      </c>
      <c r="AA408" s="67"/>
      <c r="AB408" s="67"/>
      <c r="AC408" s="67"/>
      <c r="AD408" s="99" t="e">
        <f t="shared" ca="1" si="5"/>
        <v>#DIV/0!</v>
      </c>
      <c r="AE408" s="67"/>
      <c r="AF408" s="67"/>
      <c r="AG408" s="67"/>
      <c r="AH408" s="67"/>
      <c r="AI408" s="67"/>
      <c r="AJ408" s="67"/>
      <c r="AK408" s="67"/>
      <c r="AL408" s="67"/>
      <c r="AM408" s="67"/>
      <c r="AN408" s="67"/>
      <c r="AO408" s="67"/>
      <c r="AP408" s="67"/>
      <c r="AQ408" s="67"/>
      <c r="AR408" s="67"/>
      <c r="AS408" s="67"/>
      <c r="AT408" s="67"/>
    </row>
    <row r="409" spans="1:46" ht="96" x14ac:dyDescent="0.2">
      <c r="A409" s="20"/>
      <c r="B409" s="93"/>
      <c r="C409"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9" s="20" t="str">
        <f ca="1">IFERROR(__xludf.DUMMYFUNCTION("""COMPUTED_VALUE"""),"МинЖКХ")</f>
        <v>МинЖКХ</v>
      </c>
      <c r="E409" s="20" t="str">
        <f ca="1">IFERROR(__xludf.DUMMYFUNCTION("""COMPUTED_VALUE"""),"Строительство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f>
        <v>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v>
      </c>
      <c r="F409" s="20" t="str">
        <f ca="1">IFERROR(__xludf.DUMMYFUNCTION("""COMPUTED_VALUE"""),"СМР")</f>
        <v>СМР</v>
      </c>
      <c r="G409" s="20" t="str">
        <f ca="1">IFERROR(__xludf.DUMMYFUNCTION("""COMPUTED_VALUE"""),"МОС АВС")</f>
        <v>МОС АВС</v>
      </c>
      <c r="H409" s="20" t="str">
        <f ca="1">IFERROR(__xludf.DUMMYFUNCTION("""COMPUTED_VALUE"""),"2020-2021")</f>
        <v>2020-2021</v>
      </c>
      <c r="I409" s="20" t="str">
        <f ca="1">IFERROR(__xludf.DUMMYFUNCTION("""COMPUTED_VALUE"""),"10 3 02 40010")</f>
        <v>10 3 02 40010</v>
      </c>
      <c r="J409" s="20">
        <f ca="1">IFERROR(__xludf.DUMMYFUNCTION("""COMPUTED_VALUE"""),414)</f>
        <v>414</v>
      </c>
      <c r="K409" s="24">
        <f t="shared" ca="1" si="1"/>
        <v>12228.3</v>
      </c>
      <c r="L409" s="24">
        <f ca="1">IFERROR(__xludf.DUMMYFUNCTION("""COMPUTED_VALUE"""),12228.3)</f>
        <v>12228.3</v>
      </c>
      <c r="M409" s="24">
        <f ca="1">IFERROR(__xludf.DUMMYFUNCTION("""COMPUTED_VALUE"""),0)</f>
        <v>0</v>
      </c>
      <c r="N409" s="24">
        <f ca="1">IFERROR(__xludf.DUMMYFUNCTION("""COMPUTED_VALUE"""),0)</f>
        <v>0</v>
      </c>
      <c r="O409" s="24">
        <f ca="1">IFERROR(__xludf.DUMMYFUNCTION("""COMPUTED_VALUE"""),0)</f>
        <v>0</v>
      </c>
      <c r="P409" s="24">
        <f t="shared" ca="1" si="2"/>
        <v>12228.3</v>
      </c>
      <c r="Q409" s="20"/>
      <c r="R409" s="20"/>
      <c r="S409" s="24">
        <f ca="1">IFERROR(__xludf.DUMMYFUNCTION("""COMPUTED_VALUE"""),7861.6)</f>
        <v>7861.6</v>
      </c>
      <c r="T409" s="24">
        <f ca="1">IFERROR(__xludf.DUMMYFUNCTION("""COMPUTED_VALUE"""),4366.69999999999)</f>
        <v>4366.6999999999898</v>
      </c>
      <c r="U409" s="24">
        <f ca="1">IFERROR(__xludf.DUMMYFUNCTION("""COMPUTED_VALUE"""),4366.69999999999)</f>
        <v>4366.6999999999898</v>
      </c>
      <c r="V409" s="24">
        <f ca="1">IFERROR(__xludf.DUMMYFUNCTION("""COMPUTED_VALUE"""),0)</f>
        <v>0</v>
      </c>
      <c r="W409" s="24">
        <f ca="1">IFERROR(__xludf.DUMMYFUNCTION("""COMPUTED_VALUE"""),0)</f>
        <v>0</v>
      </c>
      <c r="X409" s="24">
        <f ca="1">IFERROR(__xludf.DUMMYFUNCTION("""COMPUTED_VALUE"""),0)</f>
        <v>0</v>
      </c>
      <c r="Y409" s="24">
        <f t="shared" ca="1" si="3"/>
        <v>4366.6999999999898</v>
      </c>
      <c r="Z409" s="20">
        <f t="shared" ca="1" si="4"/>
        <v>7861.6</v>
      </c>
      <c r="AA409" s="20"/>
      <c r="AB409" s="24">
        <f ca="1">IFERROR(__xludf.DUMMYFUNCTION("""COMPUTED_VALUE"""),7861.6)</f>
        <v>7861.6</v>
      </c>
      <c r="AC409" s="20"/>
      <c r="AD409" s="94">
        <f t="shared" ca="1" si="5"/>
        <v>0.64290212049099227</v>
      </c>
      <c r="AE409" s="20"/>
      <c r="AF409" s="20"/>
      <c r="AG409" s="20"/>
      <c r="AH409" s="20"/>
      <c r="AI409" s="20"/>
      <c r="AJ409" s="20"/>
      <c r="AK409" s="20"/>
      <c r="AL409" s="20"/>
      <c r="AM409" s="20"/>
      <c r="AN409" s="20"/>
      <c r="AO409" s="20"/>
      <c r="AP409" s="20"/>
      <c r="AQ409" s="20"/>
      <c r="AR409" s="20"/>
      <c r="AS409" s="20"/>
      <c r="AT409" s="20"/>
    </row>
    <row r="410" spans="1:46" ht="72" x14ac:dyDescent="0.2">
      <c r="A410" s="20"/>
      <c r="B410" s="95"/>
      <c r="C410"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0" s="20" t="str">
        <f ca="1">IFERROR(__xludf.DUMMYFUNCTION("""COMPUTED_VALUE"""),"МинЖКХ")</f>
        <v>МинЖКХ</v>
      </c>
      <c r="E410" s="20" t="str">
        <f ca="1">IFERROR(__xludf.DUMMYFUNCTION("""COMPUTED_VALUE"""),"Строительство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f>
        <v>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v>
      </c>
      <c r="F410" s="20" t="str">
        <f ca="1">IFERROR(__xludf.DUMMYFUNCTION("""COMPUTED_VALUE"""),"ПИР")</f>
        <v>ПИР</v>
      </c>
      <c r="G410" s="20" t="str">
        <f ca="1">IFERROR(__xludf.DUMMYFUNCTION("""COMPUTED_VALUE"""),"МОС АВС")</f>
        <v>МОС АВС</v>
      </c>
      <c r="H410" s="20" t="str">
        <f ca="1">IFERROR(__xludf.DUMMYFUNCTION("""COMPUTED_VALUE"""),"2020-2022")</f>
        <v>2020-2022</v>
      </c>
      <c r="I410" s="20" t="str">
        <f ca="1">IFERROR(__xludf.DUMMYFUNCTION("""COMPUTED_VALUE"""),"10 3 02 40010")</f>
        <v>10 3 02 40010</v>
      </c>
      <c r="J410" s="20">
        <f ca="1">IFERROR(__xludf.DUMMYFUNCTION("""COMPUTED_VALUE"""),414)</f>
        <v>414</v>
      </c>
      <c r="K410" s="24">
        <f t="shared" ca="1" si="1"/>
        <v>4918.8500000000004</v>
      </c>
      <c r="L410" s="24">
        <f ca="1">IFERROR(__xludf.DUMMYFUNCTION("""COMPUTED_VALUE"""),4918.85)</f>
        <v>4918.8500000000004</v>
      </c>
      <c r="M410" s="24">
        <f ca="1">IFERROR(__xludf.DUMMYFUNCTION("""COMPUTED_VALUE"""),0)</f>
        <v>0</v>
      </c>
      <c r="N410" s="24">
        <f ca="1">IFERROR(__xludf.DUMMYFUNCTION("""COMPUTED_VALUE"""),0)</f>
        <v>0</v>
      </c>
      <c r="O410" s="24">
        <f ca="1">IFERROR(__xludf.DUMMYFUNCTION("""COMPUTED_VALUE"""),0)</f>
        <v>0</v>
      </c>
      <c r="P410" s="24">
        <f t="shared" ca="1" si="2"/>
        <v>4918.8500000000004</v>
      </c>
      <c r="Q410" s="20"/>
      <c r="R410" s="20"/>
      <c r="S410" s="24">
        <f ca="1">IFERROR(__xludf.DUMMYFUNCTION("""COMPUTED_VALUE"""),0)</f>
        <v>0</v>
      </c>
      <c r="T410" s="24">
        <f ca="1">IFERROR(__xludf.DUMMYFUNCTION("""COMPUTED_VALUE"""),4918.85)</f>
        <v>4918.8500000000004</v>
      </c>
      <c r="U410" s="24">
        <f ca="1">IFERROR(__xludf.DUMMYFUNCTION("""COMPUTED_VALUE"""),4918.85)</f>
        <v>4918.8500000000004</v>
      </c>
      <c r="V410" s="24">
        <f ca="1">IFERROR(__xludf.DUMMYFUNCTION("""COMPUTED_VALUE"""),0)</f>
        <v>0</v>
      </c>
      <c r="W410" s="24">
        <f ca="1">IFERROR(__xludf.DUMMYFUNCTION("""COMPUTED_VALUE"""),0)</f>
        <v>0</v>
      </c>
      <c r="X410" s="24">
        <f ca="1">IFERROR(__xludf.DUMMYFUNCTION("""COMPUTED_VALUE"""),0)</f>
        <v>0</v>
      </c>
      <c r="Y410" s="24">
        <f t="shared" ca="1" si="3"/>
        <v>4918.8500000000004</v>
      </c>
      <c r="Z410" s="20">
        <f t="shared" ca="1" si="4"/>
        <v>0</v>
      </c>
      <c r="AA410" s="20"/>
      <c r="AB410" s="24">
        <f ca="1">IFERROR(__xludf.DUMMYFUNCTION("""COMPUTED_VALUE"""),0)</f>
        <v>0</v>
      </c>
      <c r="AC410" s="20"/>
      <c r="AD410" s="94">
        <f t="shared" ca="1" si="5"/>
        <v>0</v>
      </c>
      <c r="AE410" s="20"/>
      <c r="AF410" s="20"/>
      <c r="AG410" s="20"/>
      <c r="AH410" s="20"/>
      <c r="AI410" s="20"/>
      <c r="AJ410" s="20"/>
      <c r="AK410" s="20"/>
      <c r="AL410" s="20"/>
      <c r="AM410" s="20"/>
      <c r="AN410" s="20"/>
      <c r="AO410" s="20"/>
      <c r="AP410" s="20"/>
      <c r="AQ410" s="20"/>
      <c r="AR410" s="20"/>
      <c r="AS410" s="20"/>
      <c r="AT410" s="20"/>
    </row>
    <row r="411" spans="1:46" ht="84" hidden="1" x14ac:dyDescent="0.2">
      <c r="A411" s="67"/>
      <c r="B411" s="100"/>
      <c r="C411"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11" s="20" t="str">
        <f ca="1">IFERROR(__xludf.DUMMYFUNCTION("""COMPUTED_VALUE"""),"МинЖКХ")</f>
        <v>МинЖКХ</v>
      </c>
      <c r="E411" s="20" t="str">
        <f ca="1">IFERROR(__xludf.DUMMYFUNCTION("""COMPUTED_VALUE"""),"Капитальный ремонт  водопроводных сетей,  д. Новая, Солнечногорский м.р. ")</f>
        <v xml:space="preserve">Капитальный ремонт  водопроводных сетей,  д. Новая, Солнечногорский м.р. </v>
      </c>
      <c r="F411" s="67" t="str">
        <f ca="1">IFERROR(__xludf.DUMMYFUNCTION("""COMPUTED_VALUE"""),"СМР")</f>
        <v>СМР</v>
      </c>
      <c r="G411" s="67" t="str">
        <f ca="1">IFERROR(__xludf.DUMMYFUNCTION("""COMPUTED_VALUE"""),"г.о. Солнечногорск")</f>
        <v>г.о. Солнечногорск</v>
      </c>
      <c r="H411" s="67">
        <f ca="1">IFERROR(__xludf.DUMMYFUNCTION("""COMPUTED_VALUE"""),2022)</f>
        <v>2022</v>
      </c>
      <c r="I411" s="67" t="str">
        <f ca="1">IFERROR(__xludf.DUMMYFUNCTION("""COMPUTED_VALUE"""),"10 3 02 60320")</f>
        <v>10 3 02 60320</v>
      </c>
      <c r="J411" s="67">
        <f ca="1">IFERROR(__xludf.DUMMYFUNCTION("""COMPUTED_VALUE"""),521)</f>
        <v>521</v>
      </c>
      <c r="K411" s="97">
        <f t="shared" ca="1" si="1"/>
        <v>0</v>
      </c>
      <c r="L411" s="97">
        <f ca="1">IFERROR(__xludf.DUMMYFUNCTION("""COMPUTED_VALUE"""),0)</f>
        <v>0</v>
      </c>
      <c r="M411" s="97">
        <f ca="1">IFERROR(__xludf.DUMMYFUNCTION("""COMPUTED_VALUE"""),0)</f>
        <v>0</v>
      </c>
      <c r="N411" s="97">
        <f ca="1">IFERROR(__xludf.DUMMYFUNCTION("""COMPUTED_VALUE"""),0)</f>
        <v>0</v>
      </c>
      <c r="O411" s="97">
        <f ca="1">IFERROR(__xludf.DUMMYFUNCTION("""COMPUTED_VALUE"""),0)</f>
        <v>0</v>
      </c>
      <c r="P411" s="97">
        <f t="shared" ca="1" si="2"/>
        <v>0</v>
      </c>
      <c r="Q411" s="67"/>
      <c r="R411" s="67"/>
      <c r="S411" s="97">
        <f ca="1">IFERROR(__xludf.DUMMYFUNCTION("""COMPUTED_VALUE"""),0)</f>
        <v>0</v>
      </c>
      <c r="T411" s="97">
        <f ca="1">IFERROR(__xludf.DUMMYFUNCTION("""COMPUTED_VALUE"""),0)</f>
        <v>0</v>
      </c>
      <c r="U411" s="97">
        <f ca="1">IFERROR(__xludf.DUMMYFUNCTION("""COMPUTED_VALUE"""),0)</f>
        <v>0</v>
      </c>
      <c r="V411" s="97">
        <f ca="1">IFERROR(__xludf.DUMMYFUNCTION("""COMPUTED_VALUE"""),0)</f>
        <v>0</v>
      </c>
      <c r="W411" s="97">
        <f ca="1">IFERROR(__xludf.DUMMYFUNCTION("""COMPUTED_VALUE"""),0)</f>
        <v>0</v>
      </c>
      <c r="X411" s="97">
        <f ca="1">IFERROR(__xludf.DUMMYFUNCTION("""COMPUTED_VALUE"""),0)</f>
        <v>0</v>
      </c>
      <c r="Y411" s="97">
        <f t="shared" ca="1" si="3"/>
        <v>0</v>
      </c>
      <c r="Z411" s="67">
        <f t="shared" si="4"/>
        <v>0</v>
      </c>
      <c r="AA411" s="67"/>
      <c r="AB411" s="67"/>
      <c r="AC411" s="67"/>
      <c r="AD411" s="99" t="e">
        <f t="shared" ca="1" si="5"/>
        <v>#DIV/0!</v>
      </c>
      <c r="AE411" s="67"/>
      <c r="AF411" s="67"/>
      <c r="AG411" s="67"/>
      <c r="AH411" s="67"/>
      <c r="AI411" s="67"/>
      <c r="AJ411" s="67"/>
      <c r="AK411" s="67"/>
      <c r="AL411" s="67"/>
      <c r="AM411" s="67"/>
      <c r="AN411" s="67"/>
      <c r="AO411" s="67"/>
      <c r="AP411" s="67"/>
      <c r="AQ411" s="67"/>
      <c r="AR411" s="67"/>
      <c r="AS411" s="67"/>
      <c r="AT411" s="67"/>
    </row>
    <row r="412" spans="1:46" ht="72" x14ac:dyDescent="0.2">
      <c r="A412" s="20"/>
      <c r="B412" s="93"/>
      <c r="C412"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2" s="20" t="str">
        <f ca="1">IFERROR(__xludf.DUMMYFUNCTION("""COMPUTED_VALUE"""),"МинЖКХ")</f>
        <v>МинЖКХ</v>
      </c>
      <c r="E412" s="20" t="str">
        <f ca="1">IFERROR(__xludf.DUMMYFUNCTION("""COMPUTED_VALUE"""),"Строительство блочно-модульной котельной для ГБУЗ МО ""Пушкинская поликлиника микрорайона Клязьма"" по адресу: ул. Лермонтовская, д. 25  (в том числе ПИР)")</f>
        <v>Строительство блочно-модульной котельной для ГБУЗ МО "Пушкинская поликлиника микрорайона Клязьма" по адресу: ул. Лермонтовская, д. 25  (в том числе ПИР)</v>
      </c>
      <c r="F412" s="20" t="str">
        <f ca="1">IFERROR(__xludf.DUMMYFUNCTION("""COMPUTED_VALUE"""),"СМР")</f>
        <v>СМР</v>
      </c>
      <c r="G412" s="20" t="str">
        <f ca="1">IFERROR(__xludf.DUMMYFUNCTION("""COMPUTED_VALUE"""),"МОС АВС")</f>
        <v>МОС АВС</v>
      </c>
      <c r="H412" s="20" t="str">
        <f ca="1">IFERROR(__xludf.DUMMYFUNCTION("""COMPUTED_VALUE"""),"2020-2021")</f>
        <v>2020-2021</v>
      </c>
      <c r="I412" s="20" t="str">
        <f ca="1">IFERROR(__xludf.DUMMYFUNCTION("""COMPUTED_VALUE"""),"10 3 02 40010")</f>
        <v>10 3 02 40010</v>
      </c>
      <c r="J412" s="20">
        <f ca="1">IFERROR(__xludf.DUMMYFUNCTION("""COMPUTED_VALUE"""),414)</f>
        <v>414</v>
      </c>
      <c r="K412" s="24">
        <f t="shared" ca="1" si="1"/>
        <v>2697.78</v>
      </c>
      <c r="L412" s="24">
        <f ca="1">IFERROR(__xludf.DUMMYFUNCTION("""COMPUTED_VALUE"""),2697.78)</f>
        <v>2697.78</v>
      </c>
      <c r="M412" s="24">
        <f ca="1">IFERROR(__xludf.DUMMYFUNCTION("""COMPUTED_VALUE"""),0)</f>
        <v>0</v>
      </c>
      <c r="N412" s="24">
        <f ca="1">IFERROR(__xludf.DUMMYFUNCTION("""COMPUTED_VALUE"""),0)</f>
        <v>0</v>
      </c>
      <c r="O412" s="24">
        <f ca="1">IFERROR(__xludf.DUMMYFUNCTION("""COMPUTED_VALUE"""),0)</f>
        <v>0</v>
      </c>
      <c r="P412" s="24">
        <f t="shared" ca="1" si="2"/>
        <v>2697.78</v>
      </c>
      <c r="Q412" s="20"/>
      <c r="R412" s="20"/>
      <c r="S412" s="24">
        <f ca="1">IFERROR(__xludf.DUMMYFUNCTION("""COMPUTED_VALUE"""),889.7)</f>
        <v>889.7</v>
      </c>
      <c r="T412" s="24">
        <f ca="1">IFERROR(__xludf.DUMMYFUNCTION("""COMPUTED_VALUE"""),1808.08)</f>
        <v>1808.08</v>
      </c>
      <c r="U412" s="24">
        <f ca="1">IFERROR(__xludf.DUMMYFUNCTION("""COMPUTED_VALUE"""),1808.08)</f>
        <v>1808.08</v>
      </c>
      <c r="V412" s="24">
        <f ca="1">IFERROR(__xludf.DUMMYFUNCTION("""COMPUTED_VALUE"""),0)</f>
        <v>0</v>
      </c>
      <c r="W412" s="24">
        <f ca="1">IFERROR(__xludf.DUMMYFUNCTION("""COMPUTED_VALUE"""),0)</f>
        <v>0</v>
      </c>
      <c r="X412" s="24">
        <f ca="1">IFERROR(__xludf.DUMMYFUNCTION("""COMPUTED_VALUE"""),0)</f>
        <v>0</v>
      </c>
      <c r="Y412" s="24">
        <f t="shared" ca="1" si="3"/>
        <v>1808.08</v>
      </c>
      <c r="Z412" s="20">
        <f t="shared" ca="1" si="4"/>
        <v>889.7</v>
      </c>
      <c r="AA412" s="20"/>
      <c r="AB412" s="24">
        <f ca="1">IFERROR(__xludf.DUMMYFUNCTION("""COMPUTED_VALUE"""),889.7)</f>
        <v>889.7</v>
      </c>
      <c r="AC412" s="20"/>
      <c r="AD412" s="94">
        <f t="shared" ca="1" si="5"/>
        <v>0.32978967892118705</v>
      </c>
      <c r="AE412" s="20"/>
      <c r="AF412" s="20"/>
      <c r="AG412" s="20"/>
      <c r="AH412" s="20"/>
      <c r="AI412" s="20"/>
      <c r="AJ412" s="20"/>
      <c r="AK412" s="20"/>
      <c r="AL412" s="20"/>
      <c r="AM412" s="20"/>
      <c r="AN412" s="20"/>
      <c r="AO412" s="20"/>
      <c r="AP412" s="20"/>
      <c r="AQ412" s="20"/>
      <c r="AR412" s="20"/>
      <c r="AS412" s="20"/>
      <c r="AT412" s="20"/>
    </row>
    <row r="413" spans="1:46" ht="72" x14ac:dyDescent="0.2">
      <c r="A413" s="20"/>
      <c r="B413" s="93"/>
      <c r="C413"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3" s="20" t="str">
        <f ca="1">IFERROR(__xludf.DUMMYFUNCTION("""COMPUTED_VALUE"""),"МинЖКХ")</f>
        <v>МинЖКХ</v>
      </c>
      <c r="E413" s="20"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f>
        <v>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v>
      </c>
      <c r="F413" s="20" t="str">
        <f ca="1">IFERROR(__xludf.DUMMYFUNCTION("""COMPUTED_VALUE"""),"ПИР")</f>
        <v>ПИР</v>
      </c>
      <c r="G413" s="20" t="str">
        <f ca="1">IFERROR(__xludf.DUMMYFUNCTION("""COMPUTED_VALUE"""),"МОС АВС")</f>
        <v>МОС АВС</v>
      </c>
      <c r="H413" s="20">
        <f ca="1">IFERROR(__xludf.DUMMYFUNCTION("""COMPUTED_VALUE"""),2020)</f>
        <v>2020</v>
      </c>
      <c r="I413" s="20" t="str">
        <f ca="1">IFERROR(__xludf.DUMMYFUNCTION("""COMPUTED_VALUE"""),"10 3 02 40010")</f>
        <v>10 3 02 40010</v>
      </c>
      <c r="J413" s="20">
        <f ca="1">IFERROR(__xludf.DUMMYFUNCTION("""COMPUTED_VALUE"""),414)</f>
        <v>414</v>
      </c>
      <c r="K413" s="24">
        <f t="shared" ca="1" si="1"/>
        <v>5800</v>
      </c>
      <c r="L413" s="24">
        <f ca="1">IFERROR(__xludf.DUMMYFUNCTION("""COMPUTED_VALUE"""),5800)</f>
        <v>5800</v>
      </c>
      <c r="M413" s="24">
        <f ca="1">IFERROR(__xludf.DUMMYFUNCTION("""COMPUTED_VALUE"""),0)</f>
        <v>0</v>
      </c>
      <c r="N413" s="24">
        <f ca="1">IFERROR(__xludf.DUMMYFUNCTION("""COMPUTED_VALUE"""),0)</f>
        <v>0</v>
      </c>
      <c r="O413" s="24">
        <f ca="1">IFERROR(__xludf.DUMMYFUNCTION("""COMPUTED_VALUE"""),0)</f>
        <v>0</v>
      </c>
      <c r="P413" s="24">
        <f t="shared" ca="1" si="2"/>
        <v>5800</v>
      </c>
      <c r="Q413" s="20"/>
      <c r="R413" s="20"/>
      <c r="S413" s="24">
        <f ca="1">IFERROR(__xludf.DUMMYFUNCTION("""COMPUTED_VALUE"""),0)</f>
        <v>0</v>
      </c>
      <c r="T413" s="24">
        <f ca="1">IFERROR(__xludf.DUMMYFUNCTION("""COMPUTED_VALUE"""),5800)</f>
        <v>5800</v>
      </c>
      <c r="U413" s="24">
        <f ca="1">IFERROR(__xludf.DUMMYFUNCTION("""COMPUTED_VALUE"""),5800)</f>
        <v>5800</v>
      </c>
      <c r="V413" s="24">
        <f ca="1">IFERROR(__xludf.DUMMYFUNCTION("""COMPUTED_VALUE"""),0)</f>
        <v>0</v>
      </c>
      <c r="W413" s="24">
        <f ca="1">IFERROR(__xludf.DUMMYFUNCTION("""COMPUTED_VALUE"""),0)</f>
        <v>0</v>
      </c>
      <c r="X413" s="24">
        <f ca="1">IFERROR(__xludf.DUMMYFUNCTION("""COMPUTED_VALUE"""),0)</f>
        <v>0</v>
      </c>
      <c r="Y413" s="24">
        <f t="shared" ca="1" si="3"/>
        <v>5800</v>
      </c>
      <c r="Z413" s="20">
        <f t="shared" ca="1" si="4"/>
        <v>0</v>
      </c>
      <c r="AA413" s="20"/>
      <c r="AB413" s="24">
        <f ca="1">IFERROR(__xludf.DUMMYFUNCTION("""COMPUTED_VALUE"""),0)</f>
        <v>0</v>
      </c>
      <c r="AC413" s="20"/>
      <c r="AD413" s="94">
        <f t="shared" ca="1" si="5"/>
        <v>0</v>
      </c>
      <c r="AE413" s="20"/>
      <c r="AF413" s="20"/>
      <c r="AG413" s="20"/>
      <c r="AH413" s="20"/>
      <c r="AI413" s="20"/>
      <c r="AJ413" s="20"/>
      <c r="AK413" s="20"/>
      <c r="AL413" s="20"/>
      <c r="AM413" s="20"/>
      <c r="AN413" s="20"/>
      <c r="AO413" s="20"/>
      <c r="AP413" s="20"/>
      <c r="AQ413" s="20"/>
      <c r="AR413" s="20"/>
      <c r="AS413" s="20"/>
      <c r="AT413" s="20"/>
    </row>
    <row r="414" spans="1:46" ht="96" x14ac:dyDescent="0.2">
      <c r="A414" s="20"/>
      <c r="B414" s="93"/>
      <c r="C414"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4" s="20" t="str">
        <f ca="1">IFERROR(__xludf.DUMMYFUNCTION("""COMPUTED_VALUE"""),"МинЖКХ")</f>
        <v>МинЖКХ</v>
      </c>
      <c r="E414" s="20"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f>
        <v xml:space="preserv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v>
      </c>
      <c r="F414" s="20" t="str">
        <f ca="1">IFERROR(__xludf.DUMMYFUNCTION("""COMPUTED_VALUE"""),"ПИР")</f>
        <v>ПИР</v>
      </c>
      <c r="G414" s="20" t="str">
        <f ca="1">IFERROR(__xludf.DUMMYFUNCTION("""COMPUTED_VALUE"""),"МОС АВС")</f>
        <v>МОС АВС</v>
      </c>
      <c r="H414" s="20">
        <f ca="1">IFERROR(__xludf.DUMMYFUNCTION("""COMPUTED_VALUE"""),2020)</f>
        <v>2020</v>
      </c>
      <c r="I414" s="20" t="str">
        <f ca="1">IFERROR(__xludf.DUMMYFUNCTION("""COMPUTED_VALUE"""),"10 3 02 40010")</f>
        <v>10 3 02 40010</v>
      </c>
      <c r="J414" s="20">
        <f ca="1">IFERROR(__xludf.DUMMYFUNCTION("""COMPUTED_VALUE"""),414)</f>
        <v>414</v>
      </c>
      <c r="K414" s="24">
        <f t="shared" ca="1" si="1"/>
        <v>7211.71</v>
      </c>
      <c r="L414" s="24">
        <f ca="1">IFERROR(__xludf.DUMMYFUNCTION("""COMPUTED_VALUE"""),7211.71)</f>
        <v>7211.71</v>
      </c>
      <c r="M414" s="24">
        <f ca="1">IFERROR(__xludf.DUMMYFUNCTION("""COMPUTED_VALUE"""),0)</f>
        <v>0</v>
      </c>
      <c r="N414" s="24">
        <f ca="1">IFERROR(__xludf.DUMMYFUNCTION("""COMPUTED_VALUE"""),0)</f>
        <v>0</v>
      </c>
      <c r="O414" s="24">
        <f ca="1">IFERROR(__xludf.DUMMYFUNCTION("""COMPUTED_VALUE"""),0)</f>
        <v>0</v>
      </c>
      <c r="P414" s="24">
        <f t="shared" ca="1" si="2"/>
        <v>7211.71</v>
      </c>
      <c r="Q414" s="20"/>
      <c r="R414" s="20"/>
      <c r="S414" s="24">
        <f ca="1">IFERROR(__xludf.DUMMYFUNCTION("""COMPUTED_VALUE"""),0)</f>
        <v>0</v>
      </c>
      <c r="T414" s="24">
        <f ca="1">IFERROR(__xludf.DUMMYFUNCTION("""COMPUTED_VALUE"""),7211.71)</f>
        <v>7211.71</v>
      </c>
      <c r="U414" s="24">
        <f ca="1">IFERROR(__xludf.DUMMYFUNCTION("""COMPUTED_VALUE"""),7211.71)</f>
        <v>7211.71</v>
      </c>
      <c r="V414" s="24">
        <f ca="1">IFERROR(__xludf.DUMMYFUNCTION("""COMPUTED_VALUE"""),0)</f>
        <v>0</v>
      </c>
      <c r="W414" s="24">
        <f ca="1">IFERROR(__xludf.DUMMYFUNCTION("""COMPUTED_VALUE"""),0)</f>
        <v>0</v>
      </c>
      <c r="X414" s="24">
        <f ca="1">IFERROR(__xludf.DUMMYFUNCTION("""COMPUTED_VALUE"""),0)</f>
        <v>0</v>
      </c>
      <c r="Y414" s="24">
        <f t="shared" ca="1" si="3"/>
        <v>7211.71</v>
      </c>
      <c r="Z414" s="20">
        <f t="shared" ca="1" si="4"/>
        <v>0</v>
      </c>
      <c r="AA414" s="20"/>
      <c r="AB414" s="24">
        <f ca="1">IFERROR(__xludf.DUMMYFUNCTION("""COMPUTED_VALUE"""),0)</f>
        <v>0</v>
      </c>
      <c r="AC414" s="20"/>
      <c r="AD414" s="94">
        <f t="shared" ca="1" si="5"/>
        <v>0</v>
      </c>
      <c r="AE414" s="20"/>
      <c r="AF414" s="20"/>
      <c r="AG414" s="20"/>
      <c r="AH414" s="20"/>
      <c r="AI414" s="20"/>
      <c r="AJ414" s="20"/>
      <c r="AK414" s="20"/>
      <c r="AL414" s="20"/>
      <c r="AM414" s="20"/>
      <c r="AN414" s="20"/>
      <c r="AO414" s="20"/>
      <c r="AP414" s="20"/>
      <c r="AQ414" s="20"/>
      <c r="AR414" s="20"/>
      <c r="AS414" s="20"/>
      <c r="AT414" s="20"/>
    </row>
    <row r="415" spans="1:46" ht="72" x14ac:dyDescent="0.2">
      <c r="A415" s="20"/>
      <c r="B415" s="93"/>
      <c r="C415"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5" s="20" t="str">
        <f ca="1">IFERROR(__xludf.DUMMYFUNCTION("""COMPUTED_VALUE"""),"МинЖКХ")</f>
        <v>МинЖКХ</v>
      </c>
      <c r="E415" s="20" t="str">
        <f ca="1">IFERROR(__xludf.DUMMYFUNCTION("""COMPUTED_VALUE"""),"Строительство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f>
        <v>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v>
      </c>
      <c r="F415" s="20" t="str">
        <f ca="1">IFERROR(__xludf.DUMMYFUNCTION("""COMPUTED_VALUE"""),"СМР")</f>
        <v>СМР</v>
      </c>
      <c r="G415" s="20" t="str">
        <f ca="1">IFERROR(__xludf.DUMMYFUNCTION("""COMPUTED_VALUE"""),"МОС АВС")</f>
        <v>МОС АВС</v>
      </c>
      <c r="H415" s="20" t="str">
        <f ca="1">IFERROR(__xludf.DUMMYFUNCTION("""COMPUTED_VALUE"""),"2020-2021")</f>
        <v>2020-2021</v>
      </c>
      <c r="I415" s="20" t="str">
        <f ca="1">IFERROR(__xludf.DUMMYFUNCTION("""COMPUTED_VALUE"""),"10 3 02 40010")</f>
        <v>10 3 02 40010</v>
      </c>
      <c r="J415" s="20">
        <f ca="1">IFERROR(__xludf.DUMMYFUNCTION("""COMPUTED_VALUE"""),414)</f>
        <v>414</v>
      </c>
      <c r="K415" s="24">
        <f t="shared" ca="1" si="1"/>
        <v>23141.279999999999</v>
      </c>
      <c r="L415" s="24">
        <f ca="1">IFERROR(__xludf.DUMMYFUNCTION("""COMPUTED_VALUE"""),23141.28)</f>
        <v>23141.279999999999</v>
      </c>
      <c r="M415" s="24">
        <f ca="1">IFERROR(__xludf.DUMMYFUNCTION("""COMPUTED_VALUE"""),0)</f>
        <v>0</v>
      </c>
      <c r="N415" s="24">
        <f ca="1">IFERROR(__xludf.DUMMYFUNCTION("""COMPUTED_VALUE"""),0)</f>
        <v>0</v>
      </c>
      <c r="O415" s="24">
        <f ca="1">IFERROR(__xludf.DUMMYFUNCTION("""COMPUTED_VALUE"""),0)</f>
        <v>0</v>
      </c>
      <c r="P415" s="24">
        <f t="shared" ca="1" si="2"/>
        <v>23141.279999999999</v>
      </c>
      <c r="Q415" s="20"/>
      <c r="R415" s="20"/>
      <c r="S415" s="24">
        <f ca="1">IFERROR(__xludf.DUMMYFUNCTION("""COMPUTED_VALUE"""),15341.62)</f>
        <v>15341.62</v>
      </c>
      <c r="T415" s="24">
        <f ca="1">IFERROR(__xludf.DUMMYFUNCTION("""COMPUTED_VALUE"""),7799.65999999999)</f>
        <v>7799.6599999999899</v>
      </c>
      <c r="U415" s="24">
        <f ca="1">IFERROR(__xludf.DUMMYFUNCTION("""COMPUTED_VALUE"""),7799.65999999999)</f>
        <v>7799.6599999999899</v>
      </c>
      <c r="V415" s="24">
        <f ca="1">IFERROR(__xludf.DUMMYFUNCTION("""COMPUTED_VALUE"""),0)</f>
        <v>0</v>
      </c>
      <c r="W415" s="24">
        <f ca="1">IFERROR(__xludf.DUMMYFUNCTION("""COMPUTED_VALUE"""),0)</f>
        <v>0</v>
      </c>
      <c r="X415" s="24">
        <f ca="1">IFERROR(__xludf.DUMMYFUNCTION("""COMPUTED_VALUE"""),0)</f>
        <v>0</v>
      </c>
      <c r="Y415" s="24">
        <f t="shared" ca="1" si="3"/>
        <v>7799.6599999999899</v>
      </c>
      <c r="Z415" s="20">
        <f t="shared" ca="1" si="4"/>
        <v>15341.62</v>
      </c>
      <c r="AA415" s="20"/>
      <c r="AB415" s="24">
        <f ca="1">IFERROR(__xludf.DUMMYFUNCTION("""COMPUTED_VALUE"""),15341.62)</f>
        <v>15341.62</v>
      </c>
      <c r="AC415" s="20"/>
      <c r="AD415" s="94">
        <f t="shared" ca="1" si="5"/>
        <v>0.66295468530694934</v>
      </c>
      <c r="AE415" s="20"/>
      <c r="AF415" s="20"/>
      <c r="AG415" s="20"/>
      <c r="AH415" s="20"/>
      <c r="AI415" s="20"/>
      <c r="AJ415" s="20"/>
      <c r="AK415" s="20"/>
      <c r="AL415" s="20"/>
      <c r="AM415" s="20"/>
      <c r="AN415" s="20"/>
      <c r="AO415" s="20"/>
      <c r="AP415" s="20"/>
      <c r="AQ415" s="20"/>
      <c r="AR415" s="20"/>
      <c r="AS415" s="20"/>
      <c r="AT415" s="20"/>
    </row>
    <row r="416" spans="1:46" ht="84" x14ac:dyDescent="0.2">
      <c r="A416" s="20"/>
      <c r="B416" s="93"/>
      <c r="C416"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6" s="20" t="str">
        <f ca="1">IFERROR(__xludf.DUMMYFUNCTION("""COMPUTED_VALUE"""),"МинЖКХ")</f>
        <v>МинЖКХ</v>
      </c>
      <c r="E416" s="20" t="str">
        <f ca="1">IFERROR(__xludf.DUMMYFUNCTION("""COMPUTED_VALUE"""),"Строительство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f>
        <v>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v>
      </c>
      <c r="F416" s="20" t="str">
        <f ca="1">IFERROR(__xludf.DUMMYFUNCTION("""COMPUTED_VALUE"""),"ПИР")</f>
        <v>ПИР</v>
      </c>
      <c r="G416" s="20" t="str">
        <f ca="1">IFERROR(__xludf.DUMMYFUNCTION("""COMPUTED_VALUE"""),"МОС АВС")</f>
        <v>МОС АВС</v>
      </c>
      <c r="H416" s="20" t="str">
        <f ca="1">IFERROR(__xludf.DUMMYFUNCTION("""COMPUTED_VALUE"""),"2020-2021")</f>
        <v>2020-2021</v>
      </c>
      <c r="I416" s="20" t="str">
        <f ca="1">IFERROR(__xludf.DUMMYFUNCTION("""COMPUTED_VALUE"""),"10 3 02 40010")</f>
        <v>10 3 02 40010</v>
      </c>
      <c r="J416" s="20">
        <f ca="1">IFERROR(__xludf.DUMMYFUNCTION("""COMPUTED_VALUE"""),414)</f>
        <v>414</v>
      </c>
      <c r="K416" s="24">
        <f t="shared" ca="1" si="1"/>
        <v>61.36</v>
      </c>
      <c r="L416" s="24">
        <f ca="1">IFERROR(__xludf.DUMMYFUNCTION("""COMPUTED_VALUE"""),61.36)</f>
        <v>61.36</v>
      </c>
      <c r="M416" s="24">
        <f ca="1">IFERROR(__xludf.DUMMYFUNCTION("""COMPUTED_VALUE"""),0)</f>
        <v>0</v>
      </c>
      <c r="N416" s="24">
        <f ca="1">IFERROR(__xludf.DUMMYFUNCTION("""COMPUTED_VALUE"""),0)</f>
        <v>0</v>
      </c>
      <c r="O416" s="24">
        <f ca="1">IFERROR(__xludf.DUMMYFUNCTION("""COMPUTED_VALUE"""),0)</f>
        <v>0</v>
      </c>
      <c r="P416" s="24">
        <f t="shared" ca="1" si="2"/>
        <v>61.36</v>
      </c>
      <c r="Q416" s="20"/>
      <c r="R416" s="20"/>
      <c r="S416" s="24">
        <f ca="1">IFERROR(__xludf.DUMMYFUNCTION("""COMPUTED_VALUE"""),0)</f>
        <v>0</v>
      </c>
      <c r="T416" s="24">
        <f ca="1">IFERROR(__xludf.DUMMYFUNCTION("""COMPUTED_VALUE"""),61.36)</f>
        <v>61.36</v>
      </c>
      <c r="U416" s="24">
        <f ca="1">IFERROR(__xludf.DUMMYFUNCTION("""COMPUTED_VALUE"""),61.36)</f>
        <v>61.36</v>
      </c>
      <c r="V416" s="24">
        <f ca="1">IFERROR(__xludf.DUMMYFUNCTION("""COMPUTED_VALUE"""),0)</f>
        <v>0</v>
      </c>
      <c r="W416" s="24">
        <f ca="1">IFERROR(__xludf.DUMMYFUNCTION("""COMPUTED_VALUE"""),0)</f>
        <v>0</v>
      </c>
      <c r="X416" s="24">
        <f ca="1">IFERROR(__xludf.DUMMYFUNCTION("""COMPUTED_VALUE"""),0)</f>
        <v>0</v>
      </c>
      <c r="Y416" s="24">
        <f t="shared" ca="1" si="3"/>
        <v>61.36</v>
      </c>
      <c r="Z416" s="20">
        <f t="shared" ca="1" si="4"/>
        <v>0</v>
      </c>
      <c r="AA416" s="20"/>
      <c r="AB416" s="24">
        <f ca="1">IFERROR(__xludf.DUMMYFUNCTION("""COMPUTED_VALUE"""),0)</f>
        <v>0</v>
      </c>
      <c r="AC416" s="20"/>
      <c r="AD416" s="94">
        <f t="shared" ca="1" si="5"/>
        <v>0</v>
      </c>
      <c r="AE416" s="20"/>
      <c r="AF416" s="20"/>
      <c r="AG416" s="20"/>
      <c r="AH416" s="20"/>
      <c r="AI416" s="20"/>
      <c r="AJ416" s="20"/>
      <c r="AK416" s="20"/>
      <c r="AL416" s="20"/>
      <c r="AM416" s="20"/>
      <c r="AN416" s="20"/>
      <c r="AO416" s="20"/>
      <c r="AP416" s="20"/>
      <c r="AQ416" s="20"/>
      <c r="AR416" s="20"/>
      <c r="AS416" s="20"/>
      <c r="AT416" s="20"/>
    </row>
    <row r="417" spans="1:46" ht="72" x14ac:dyDescent="0.2">
      <c r="A417" s="20"/>
      <c r="B417" s="95"/>
      <c r="C417"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7" s="20" t="str">
        <f ca="1">IFERROR(__xludf.DUMMYFUNCTION("""COMPUTED_VALUE"""),"МинЖКХ")</f>
        <v>МинЖКХ</v>
      </c>
      <c r="E417" s="20"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f>
        <v>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v>
      </c>
      <c r="F417" s="20" t="str">
        <f ca="1">IFERROR(__xludf.DUMMYFUNCTION("""COMPUTED_VALUE"""),"ПИР")</f>
        <v>ПИР</v>
      </c>
      <c r="G417" s="20" t="str">
        <f ca="1">IFERROR(__xludf.DUMMYFUNCTION("""COMPUTED_VALUE"""),"МОС АВС")</f>
        <v>МОС АВС</v>
      </c>
      <c r="H417" s="20" t="str">
        <f ca="1">IFERROR(__xludf.DUMMYFUNCTION("""COMPUTED_VALUE"""),"2020-2022")</f>
        <v>2020-2022</v>
      </c>
      <c r="I417" s="20" t="str">
        <f ca="1">IFERROR(__xludf.DUMMYFUNCTION("""COMPUTED_VALUE"""),"10 3 02 40010")</f>
        <v>10 3 02 40010</v>
      </c>
      <c r="J417" s="20">
        <f ca="1">IFERROR(__xludf.DUMMYFUNCTION("""COMPUTED_VALUE"""),414)</f>
        <v>414</v>
      </c>
      <c r="K417" s="24">
        <f t="shared" ca="1" si="1"/>
        <v>2269.4699999999998</v>
      </c>
      <c r="L417" s="24">
        <f ca="1">IFERROR(__xludf.DUMMYFUNCTION("""COMPUTED_VALUE"""),2269.47)</f>
        <v>2269.4699999999998</v>
      </c>
      <c r="M417" s="24">
        <f ca="1">IFERROR(__xludf.DUMMYFUNCTION("""COMPUTED_VALUE"""),0)</f>
        <v>0</v>
      </c>
      <c r="N417" s="24">
        <f ca="1">IFERROR(__xludf.DUMMYFUNCTION("""COMPUTED_VALUE"""),0)</f>
        <v>0</v>
      </c>
      <c r="O417" s="24">
        <f ca="1">IFERROR(__xludf.DUMMYFUNCTION("""COMPUTED_VALUE"""),0)</f>
        <v>0</v>
      </c>
      <c r="P417" s="24">
        <f t="shared" ca="1" si="2"/>
        <v>2269.4699999999998</v>
      </c>
      <c r="Q417" s="20"/>
      <c r="R417" s="20"/>
      <c r="S417" s="24">
        <f ca="1">IFERROR(__xludf.DUMMYFUNCTION("""COMPUTED_VALUE"""),0)</f>
        <v>0</v>
      </c>
      <c r="T417" s="24">
        <f ca="1">IFERROR(__xludf.DUMMYFUNCTION("""COMPUTED_VALUE"""),2269.47)</f>
        <v>2269.4699999999998</v>
      </c>
      <c r="U417" s="24">
        <f ca="1">IFERROR(__xludf.DUMMYFUNCTION("""COMPUTED_VALUE"""),2269.47)</f>
        <v>2269.4699999999998</v>
      </c>
      <c r="V417" s="24">
        <f ca="1">IFERROR(__xludf.DUMMYFUNCTION("""COMPUTED_VALUE"""),0)</f>
        <v>0</v>
      </c>
      <c r="W417" s="24">
        <f ca="1">IFERROR(__xludf.DUMMYFUNCTION("""COMPUTED_VALUE"""),0)</f>
        <v>0</v>
      </c>
      <c r="X417" s="24">
        <f ca="1">IFERROR(__xludf.DUMMYFUNCTION("""COMPUTED_VALUE"""),0)</f>
        <v>0</v>
      </c>
      <c r="Y417" s="24">
        <f t="shared" ca="1" si="3"/>
        <v>2269.4699999999998</v>
      </c>
      <c r="Z417" s="20">
        <f t="shared" ca="1" si="4"/>
        <v>0</v>
      </c>
      <c r="AA417" s="20"/>
      <c r="AB417" s="24">
        <f ca="1">IFERROR(__xludf.DUMMYFUNCTION("""COMPUTED_VALUE"""),0)</f>
        <v>0</v>
      </c>
      <c r="AC417" s="20"/>
      <c r="AD417" s="94">
        <f t="shared" ca="1" si="5"/>
        <v>0</v>
      </c>
      <c r="AE417" s="20"/>
      <c r="AF417" s="20"/>
      <c r="AG417" s="20"/>
      <c r="AH417" s="20"/>
      <c r="AI417" s="20"/>
      <c r="AJ417" s="20"/>
      <c r="AK417" s="20"/>
      <c r="AL417" s="20"/>
      <c r="AM417" s="20"/>
      <c r="AN417" s="20"/>
      <c r="AO417" s="20"/>
      <c r="AP417" s="20"/>
      <c r="AQ417" s="20"/>
      <c r="AR417" s="20"/>
      <c r="AS417" s="20"/>
      <c r="AT417" s="20"/>
    </row>
    <row r="418" spans="1:46" ht="72" hidden="1" x14ac:dyDescent="0.2">
      <c r="A418" s="67"/>
      <c r="B418" s="100"/>
      <c r="C418" s="20" t="str">
        <f ca="1">IFERROR(__xludf.DUMMYFUNCTION("""COMPUTED_VALUE"""),"Предоставление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v>
      </c>
      <c r="D418" s="20" t="str">
        <f ca="1">IFERROR(__xludf.DUMMYFUNCTION("""COMPUTED_VALUE"""),"МинЖКХ")</f>
        <v>МинЖКХ</v>
      </c>
      <c r="E418" s="20" t="str">
        <f ca="1">IFERROR(__xludf.DUMMYFUNCTION("""COMPUTED_VALUE"""),"Приобретение  объектов теплоснабжения на территории  г.п. Деденево, Дмитровский муниципальный район ")</f>
        <v xml:space="preserve">Приобретение  объектов теплоснабжения на территории  г.п. Деденево, Дмитровский муниципальный район </v>
      </c>
      <c r="F418" s="67" t="str">
        <f ca="1">IFERROR(__xludf.DUMMYFUNCTION("""COMPUTED_VALUE"""),"СМР")</f>
        <v>СМР</v>
      </c>
      <c r="G418" s="67" t="str">
        <f ca="1">IFERROR(__xludf.DUMMYFUNCTION("""COMPUTED_VALUE"""),"г.о. Дмитровский")</f>
        <v>г.о. Дмитровский</v>
      </c>
      <c r="H418" s="67">
        <f ca="1">IFERROR(__xludf.DUMMYFUNCTION("""COMPUTED_VALUE"""),2021)</f>
        <v>2021</v>
      </c>
      <c r="I418" s="67"/>
      <c r="J418" s="67"/>
      <c r="K418" s="97">
        <f t="shared" ca="1" si="1"/>
        <v>0</v>
      </c>
      <c r="L418" s="97">
        <f ca="1">IFERROR(__xludf.DUMMYFUNCTION("""COMPUTED_VALUE"""),0)</f>
        <v>0</v>
      </c>
      <c r="M418" s="97">
        <f ca="1">IFERROR(__xludf.DUMMYFUNCTION("""COMPUTED_VALUE"""),0)</f>
        <v>0</v>
      </c>
      <c r="N418" s="97">
        <f ca="1">IFERROR(__xludf.DUMMYFUNCTION("""COMPUTED_VALUE"""),0)</f>
        <v>0</v>
      </c>
      <c r="O418" s="97">
        <f ca="1">IFERROR(__xludf.DUMMYFUNCTION("""COMPUTED_VALUE"""),0)</f>
        <v>0</v>
      </c>
      <c r="P418" s="97">
        <f t="shared" ca="1" si="2"/>
        <v>0</v>
      </c>
      <c r="Q418" s="67"/>
      <c r="R418" s="67"/>
      <c r="S418" s="97">
        <f ca="1">IFERROR(__xludf.DUMMYFUNCTION("""COMPUTED_VALUE"""),0)</f>
        <v>0</v>
      </c>
      <c r="T418" s="97">
        <f ca="1">IFERROR(__xludf.DUMMYFUNCTION("""COMPUTED_VALUE"""),0)</f>
        <v>0</v>
      </c>
      <c r="U418" s="97">
        <f ca="1">IFERROR(__xludf.DUMMYFUNCTION("""COMPUTED_VALUE"""),0)</f>
        <v>0</v>
      </c>
      <c r="V418" s="97">
        <f ca="1">IFERROR(__xludf.DUMMYFUNCTION("""COMPUTED_VALUE"""),0)</f>
        <v>0</v>
      </c>
      <c r="W418" s="97">
        <f ca="1">IFERROR(__xludf.DUMMYFUNCTION("""COMPUTED_VALUE"""),0)</f>
        <v>0</v>
      </c>
      <c r="X418" s="97">
        <f ca="1">IFERROR(__xludf.DUMMYFUNCTION("""COMPUTED_VALUE"""),0)</f>
        <v>0</v>
      </c>
      <c r="Y418" s="97">
        <f t="shared" ca="1" si="3"/>
        <v>0</v>
      </c>
      <c r="Z418" s="67">
        <f t="shared" si="4"/>
        <v>0</v>
      </c>
      <c r="AA418" s="67"/>
      <c r="AB418" s="67"/>
      <c r="AC418" s="67"/>
      <c r="AD418" s="99" t="e">
        <f t="shared" ca="1" si="5"/>
        <v>#DIV/0!</v>
      </c>
      <c r="AE418" s="67"/>
      <c r="AF418" s="67"/>
      <c r="AG418" s="67"/>
      <c r="AH418" s="67"/>
      <c r="AI418" s="67"/>
      <c r="AJ418" s="67"/>
      <c r="AK418" s="67"/>
      <c r="AL418" s="67"/>
      <c r="AM418" s="67"/>
      <c r="AN418" s="67"/>
      <c r="AO418" s="67"/>
      <c r="AP418" s="67"/>
      <c r="AQ418" s="67"/>
      <c r="AR418" s="67"/>
      <c r="AS418" s="67"/>
      <c r="AT418" s="67"/>
    </row>
    <row r="419" spans="1:46" ht="72" x14ac:dyDescent="0.2">
      <c r="A419" s="20"/>
      <c r="B419" s="93"/>
      <c r="C419"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9" s="20" t="str">
        <f ca="1">IFERROR(__xludf.DUMMYFUNCTION("""COMPUTED_VALUE"""),"МинЖКХ")</f>
        <v>МинЖКХ</v>
      </c>
      <c r="E419" s="20"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f>
        <v>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v>
      </c>
      <c r="F419" s="20" t="str">
        <f ca="1">IFERROR(__xludf.DUMMYFUNCTION("""COMPUTED_VALUE"""),"ПИР")</f>
        <v>ПИР</v>
      </c>
      <c r="G419" s="20" t="str">
        <f ca="1">IFERROR(__xludf.DUMMYFUNCTION("""COMPUTED_VALUE"""),"МОС АВС")</f>
        <v>МОС АВС</v>
      </c>
      <c r="H419" s="20" t="str">
        <f ca="1">IFERROR(__xludf.DUMMYFUNCTION("""COMPUTED_VALUE"""),"2020-2022")</f>
        <v>2020-2022</v>
      </c>
      <c r="I419" s="20" t="str">
        <f ca="1">IFERROR(__xludf.DUMMYFUNCTION("""COMPUTED_VALUE"""),"10 3 02 40010")</f>
        <v>10 3 02 40010</v>
      </c>
      <c r="J419" s="20">
        <f ca="1">IFERROR(__xludf.DUMMYFUNCTION("""COMPUTED_VALUE"""),414)</f>
        <v>414</v>
      </c>
      <c r="K419" s="24">
        <f t="shared" ca="1" si="1"/>
        <v>182.5</v>
      </c>
      <c r="L419" s="24">
        <f ca="1">IFERROR(__xludf.DUMMYFUNCTION("""COMPUTED_VALUE"""),182.5)</f>
        <v>182.5</v>
      </c>
      <c r="M419" s="24">
        <f ca="1">IFERROR(__xludf.DUMMYFUNCTION("""COMPUTED_VALUE"""),0)</f>
        <v>0</v>
      </c>
      <c r="N419" s="24">
        <f ca="1">IFERROR(__xludf.DUMMYFUNCTION("""COMPUTED_VALUE"""),0)</f>
        <v>0</v>
      </c>
      <c r="O419" s="24">
        <f ca="1">IFERROR(__xludf.DUMMYFUNCTION("""COMPUTED_VALUE"""),0)</f>
        <v>0</v>
      </c>
      <c r="P419" s="24">
        <f t="shared" ca="1" si="2"/>
        <v>182.5</v>
      </c>
      <c r="Q419" s="20"/>
      <c r="R419" s="20"/>
      <c r="S419" s="24">
        <f ca="1">IFERROR(__xludf.DUMMYFUNCTION("""COMPUTED_VALUE"""),0)</f>
        <v>0</v>
      </c>
      <c r="T419" s="24">
        <f ca="1">IFERROR(__xludf.DUMMYFUNCTION("""COMPUTED_VALUE"""),182.5)</f>
        <v>182.5</v>
      </c>
      <c r="U419" s="24">
        <f ca="1">IFERROR(__xludf.DUMMYFUNCTION("""COMPUTED_VALUE"""),182.5)</f>
        <v>182.5</v>
      </c>
      <c r="V419" s="24">
        <f ca="1">IFERROR(__xludf.DUMMYFUNCTION("""COMPUTED_VALUE"""),0)</f>
        <v>0</v>
      </c>
      <c r="W419" s="24">
        <f ca="1">IFERROR(__xludf.DUMMYFUNCTION("""COMPUTED_VALUE"""),0)</f>
        <v>0</v>
      </c>
      <c r="X419" s="24">
        <f ca="1">IFERROR(__xludf.DUMMYFUNCTION("""COMPUTED_VALUE"""),0)</f>
        <v>0</v>
      </c>
      <c r="Y419" s="24">
        <f t="shared" ca="1" si="3"/>
        <v>182.5</v>
      </c>
      <c r="Z419" s="20">
        <f t="shared" ca="1" si="4"/>
        <v>0</v>
      </c>
      <c r="AA419" s="20"/>
      <c r="AB419" s="24">
        <f ca="1">IFERROR(__xludf.DUMMYFUNCTION("""COMPUTED_VALUE"""),0)</f>
        <v>0</v>
      </c>
      <c r="AC419" s="20"/>
      <c r="AD419" s="94">
        <f t="shared" ca="1" si="5"/>
        <v>0</v>
      </c>
      <c r="AE419" s="20"/>
      <c r="AF419" s="20"/>
      <c r="AG419" s="20"/>
      <c r="AH419" s="20"/>
      <c r="AI419" s="20"/>
      <c r="AJ419" s="20"/>
      <c r="AK419" s="20"/>
      <c r="AL419" s="20"/>
      <c r="AM419" s="20"/>
      <c r="AN419" s="20"/>
      <c r="AO419" s="20"/>
      <c r="AP419" s="20"/>
      <c r="AQ419" s="20"/>
      <c r="AR419" s="20"/>
      <c r="AS419" s="20"/>
      <c r="AT419" s="20"/>
    </row>
    <row r="420" spans="1:46" ht="60" x14ac:dyDescent="0.2">
      <c r="A420" s="20"/>
      <c r="B420" s="93"/>
      <c r="C420"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20" s="20" t="str">
        <f ca="1">IFERROR(__xludf.DUMMYFUNCTION("""COMPUTED_VALUE"""),"МинЖКХ")</f>
        <v>МинЖКХ</v>
      </c>
      <c r="E420" s="20" t="str">
        <f ca="1">IFERROR(__xludf.DUMMYFUNCTION("""COMPUTED_VALUE"""),"Строительство блочно-модульной котельной для Клеменовская участковая больница ГБУЗ МО ""Егорьевская ЦРБ"" по адресу: д. Овчагино  (в том числе ПИР)")</f>
        <v>Строительство блочно-модульной котельной для Клеменовская участковая больница ГБУЗ МО "Егорьевская ЦРБ" по адресу: д. Овчагино  (в том числе ПИР)</v>
      </c>
      <c r="F420" s="20" t="str">
        <f ca="1">IFERROR(__xludf.DUMMYFUNCTION("""COMPUTED_VALUE"""),"СМР")</f>
        <v>СМР</v>
      </c>
      <c r="G420" s="20" t="str">
        <f ca="1">IFERROR(__xludf.DUMMYFUNCTION("""COMPUTED_VALUE"""),"МОС АВС")</f>
        <v>МОС АВС</v>
      </c>
      <c r="H420" s="20" t="str">
        <f ca="1">IFERROR(__xludf.DUMMYFUNCTION("""COMPUTED_VALUE"""),"2020-2021")</f>
        <v>2020-2021</v>
      </c>
      <c r="I420" s="20" t="str">
        <f ca="1">IFERROR(__xludf.DUMMYFUNCTION("""COMPUTED_VALUE"""),"10 3 02 40010")</f>
        <v>10 3 02 40010</v>
      </c>
      <c r="J420" s="20">
        <f ca="1">IFERROR(__xludf.DUMMYFUNCTION("""COMPUTED_VALUE"""),414)</f>
        <v>414</v>
      </c>
      <c r="K420" s="24">
        <f t="shared" ca="1" si="1"/>
        <v>2578.6799999999998</v>
      </c>
      <c r="L420" s="24">
        <f ca="1">IFERROR(__xludf.DUMMYFUNCTION("""COMPUTED_VALUE"""),2578.68)</f>
        <v>2578.6799999999998</v>
      </c>
      <c r="M420" s="24">
        <f ca="1">IFERROR(__xludf.DUMMYFUNCTION("""COMPUTED_VALUE"""),0)</f>
        <v>0</v>
      </c>
      <c r="N420" s="24">
        <f ca="1">IFERROR(__xludf.DUMMYFUNCTION("""COMPUTED_VALUE"""),0)</f>
        <v>0</v>
      </c>
      <c r="O420" s="24">
        <f ca="1">IFERROR(__xludf.DUMMYFUNCTION("""COMPUTED_VALUE"""),0)</f>
        <v>0</v>
      </c>
      <c r="P420" s="24">
        <f t="shared" ca="1" si="2"/>
        <v>2578.6799999999998</v>
      </c>
      <c r="Q420" s="20"/>
      <c r="R420" s="20"/>
      <c r="S420" s="24">
        <f ca="1">IFERROR(__xludf.DUMMYFUNCTION("""COMPUTED_VALUE"""),1566.29)</f>
        <v>1566.29</v>
      </c>
      <c r="T420" s="24">
        <f ca="1">IFERROR(__xludf.DUMMYFUNCTION("""COMPUTED_VALUE"""),1012.38999999999)</f>
        <v>1012.38999999999</v>
      </c>
      <c r="U420" s="24">
        <f ca="1">IFERROR(__xludf.DUMMYFUNCTION("""COMPUTED_VALUE"""),1012.38999999999)</f>
        <v>1012.38999999999</v>
      </c>
      <c r="V420" s="24">
        <f ca="1">IFERROR(__xludf.DUMMYFUNCTION("""COMPUTED_VALUE"""),0)</f>
        <v>0</v>
      </c>
      <c r="W420" s="24">
        <f ca="1">IFERROR(__xludf.DUMMYFUNCTION("""COMPUTED_VALUE"""),0)</f>
        <v>0</v>
      </c>
      <c r="X420" s="24">
        <f ca="1">IFERROR(__xludf.DUMMYFUNCTION("""COMPUTED_VALUE"""),0)</f>
        <v>0</v>
      </c>
      <c r="Y420" s="24">
        <f t="shared" ca="1" si="3"/>
        <v>1012.38999999999</v>
      </c>
      <c r="Z420" s="20">
        <f t="shared" ca="1" si="4"/>
        <v>1566.29</v>
      </c>
      <c r="AA420" s="20"/>
      <c r="AB420" s="24">
        <f ca="1">IFERROR(__xludf.DUMMYFUNCTION("""COMPUTED_VALUE"""),1566.29)</f>
        <v>1566.29</v>
      </c>
      <c r="AC420" s="20"/>
      <c r="AD420" s="94">
        <f t="shared" ca="1" si="5"/>
        <v>0.60739991003148897</v>
      </c>
      <c r="AE420" s="20"/>
      <c r="AF420" s="20"/>
      <c r="AG420" s="20"/>
      <c r="AH420" s="20"/>
      <c r="AI420" s="20"/>
      <c r="AJ420" s="20"/>
      <c r="AK420" s="20"/>
      <c r="AL420" s="20"/>
      <c r="AM420" s="20"/>
      <c r="AN420" s="20"/>
      <c r="AO420" s="20"/>
      <c r="AP420" s="20"/>
      <c r="AQ420" s="20"/>
      <c r="AR420" s="20"/>
      <c r="AS420" s="20"/>
      <c r="AT420" s="20"/>
    </row>
    <row r="421" spans="1:46" ht="84" x14ac:dyDescent="0.2">
      <c r="A421" s="20" t="str">
        <f ca="1">IFERROR(__xludf.DUMMYFUNCTION("""COMPUTED_VALUE"""),"ПИР до 25.12.2020")</f>
        <v>ПИР до 25.12.2020</v>
      </c>
      <c r="B421" s="95"/>
      <c r="C421"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21" s="20" t="str">
        <f ca="1">IFERROR(__xludf.DUMMYFUNCTION("""COMPUTED_VALUE"""),"МинЖКХ")</f>
        <v>МинЖКХ</v>
      </c>
      <c r="E421" s="20" t="str">
        <f ca="1">IFERROR(__xludf.DUMMYFUNCTION("""COMPUTED_VALUE"""),"Строительство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f>
        <v>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v>
      </c>
      <c r="F421" s="20" t="str">
        <f ca="1">IFERROR(__xludf.DUMMYFUNCTION("""COMPUTED_VALUE"""),"СМР")</f>
        <v>СМР</v>
      </c>
      <c r="G421" s="20" t="str">
        <f ca="1">IFERROR(__xludf.DUMMYFUNCTION("""COMPUTED_VALUE"""),"МОС АВС")</f>
        <v>МОС АВС</v>
      </c>
      <c r="H421" s="20" t="str">
        <f ca="1">IFERROR(__xludf.DUMMYFUNCTION("""COMPUTED_VALUE"""),"2020-2022")</f>
        <v>2020-2022</v>
      </c>
      <c r="I421" s="20" t="str">
        <f ca="1">IFERROR(__xludf.DUMMYFUNCTION("""COMPUTED_VALUE"""),"10 3 02 40010")</f>
        <v>10 3 02 40010</v>
      </c>
      <c r="J421" s="20">
        <f ca="1">IFERROR(__xludf.DUMMYFUNCTION("""COMPUTED_VALUE"""),414)</f>
        <v>414</v>
      </c>
      <c r="K421" s="24">
        <f t="shared" ca="1" si="1"/>
        <v>804.6</v>
      </c>
      <c r="L421" s="24">
        <f ca="1">IFERROR(__xludf.DUMMYFUNCTION("""COMPUTED_VALUE"""),804.6)</f>
        <v>804.6</v>
      </c>
      <c r="M421" s="24">
        <f ca="1">IFERROR(__xludf.DUMMYFUNCTION("""COMPUTED_VALUE"""),0)</f>
        <v>0</v>
      </c>
      <c r="N421" s="24">
        <f ca="1">IFERROR(__xludf.DUMMYFUNCTION("""COMPUTED_VALUE"""),0)</f>
        <v>0</v>
      </c>
      <c r="O421" s="24">
        <f ca="1">IFERROR(__xludf.DUMMYFUNCTION("""COMPUTED_VALUE"""),0)</f>
        <v>0</v>
      </c>
      <c r="P421" s="24">
        <f t="shared" ca="1" si="2"/>
        <v>804.6</v>
      </c>
      <c r="Q421" s="20"/>
      <c r="R421" s="20"/>
      <c r="S421" s="24">
        <f ca="1">IFERROR(__xludf.DUMMYFUNCTION("""COMPUTED_VALUE"""),0)</f>
        <v>0</v>
      </c>
      <c r="T421" s="24">
        <f ca="1">IFERROR(__xludf.DUMMYFUNCTION("""COMPUTED_VALUE"""),804.6)</f>
        <v>804.6</v>
      </c>
      <c r="U421" s="24">
        <f ca="1">IFERROR(__xludf.DUMMYFUNCTION("""COMPUTED_VALUE"""),804.6)</f>
        <v>804.6</v>
      </c>
      <c r="V421" s="24">
        <f ca="1">IFERROR(__xludf.DUMMYFUNCTION("""COMPUTED_VALUE"""),0)</f>
        <v>0</v>
      </c>
      <c r="W421" s="24">
        <f ca="1">IFERROR(__xludf.DUMMYFUNCTION("""COMPUTED_VALUE"""),0)</f>
        <v>0</v>
      </c>
      <c r="X421" s="24">
        <f ca="1">IFERROR(__xludf.DUMMYFUNCTION("""COMPUTED_VALUE"""),0)</f>
        <v>0</v>
      </c>
      <c r="Y421" s="24">
        <f t="shared" ca="1" si="3"/>
        <v>804.6</v>
      </c>
      <c r="Z421" s="20">
        <f t="shared" ca="1" si="4"/>
        <v>0</v>
      </c>
      <c r="AA421" s="20"/>
      <c r="AB421" s="24">
        <f ca="1">IFERROR(__xludf.DUMMYFUNCTION("""COMPUTED_VALUE"""),0)</f>
        <v>0</v>
      </c>
      <c r="AC421" s="20"/>
      <c r="AD421" s="94">
        <f t="shared" ca="1" si="5"/>
        <v>0</v>
      </c>
      <c r="AE421" s="20"/>
      <c r="AF421" s="20"/>
      <c r="AG421" s="20"/>
      <c r="AH421" s="20"/>
      <c r="AI421" s="20"/>
      <c r="AJ421" s="20"/>
      <c r="AK421" s="20"/>
      <c r="AL421" s="20"/>
      <c r="AM421" s="20"/>
      <c r="AN421" s="20"/>
      <c r="AO421" s="20"/>
      <c r="AP421" s="20"/>
      <c r="AQ421" s="20"/>
      <c r="AR421" s="20"/>
      <c r="AS421" s="20"/>
      <c r="AT421" s="20"/>
    </row>
    <row r="422" spans="1:46" ht="144" hidden="1" x14ac:dyDescent="0.2">
      <c r="A422" s="67"/>
      <c r="B422" s="96"/>
      <c r="C42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2" s="24" t="str">
        <f ca="1">IFERROR(__xludf.DUMMYFUNCTION("""COMPUTED_VALUE"""),"Минобр")</f>
        <v>Минобр</v>
      </c>
      <c r="E422" s="20" t="str">
        <f ca="1">IFERROR(__xludf.DUMMYFUNCTION("""COMPUTED_VALUE"""),"Капитальный ремонт МБОУ «Мещеринская СОШ № 1», пос. Мещерино-1, г.о. Ступино,  военный городок № 1, в/ч 03770")</f>
        <v>Капитальный ремонт МБОУ «Мещеринская СОШ № 1», пос. Мещерино-1, г.о. Ступино,  военный городок № 1, в/ч 03770</v>
      </c>
      <c r="F422" s="97" t="str">
        <f ca="1">IFERROR(__xludf.DUMMYFUNCTION("""COMPUTED_VALUE"""),"Вып")</f>
        <v>Вып</v>
      </c>
      <c r="G422" s="67" t="str">
        <f ca="1">IFERROR(__xludf.DUMMYFUNCTION("""COMPUTED_VALUE"""),"г.о. Ступино")</f>
        <v>г.о. Ступино</v>
      </c>
      <c r="H422" s="67">
        <f ca="1">IFERROR(__xludf.DUMMYFUNCTION("""COMPUTED_VALUE"""),2020)</f>
        <v>2020</v>
      </c>
      <c r="I422" s="67"/>
      <c r="J422" s="67"/>
      <c r="K422" s="97">
        <f t="shared" ca="1" si="1"/>
        <v>51271</v>
      </c>
      <c r="L422" s="97">
        <f ca="1">IFERROR(__xludf.DUMMYFUNCTION("""COMPUTED_VALUE"""),48708)</f>
        <v>48708</v>
      </c>
      <c r="M422" s="67"/>
      <c r="N422" s="97">
        <f ca="1">IFERROR(__xludf.DUMMYFUNCTION("""COMPUTED_VALUE"""),0)</f>
        <v>0</v>
      </c>
      <c r="O422" s="97">
        <f ca="1">IFERROR(__xludf.DUMMYFUNCTION("""COMPUTED_VALUE"""),2563)</f>
        <v>2563</v>
      </c>
      <c r="P422" s="97">
        <f t="shared" ca="1" si="2"/>
        <v>48708</v>
      </c>
      <c r="Q422" s="67"/>
      <c r="R422" s="67"/>
      <c r="S422" s="67">
        <f ca="1">IFERROR(__xludf.DUMMYFUNCTION("""COMPUTED_VALUE"""),33193.68)</f>
        <v>33193.68</v>
      </c>
      <c r="T422" s="97">
        <f ca="1">IFERROR(__xludf.DUMMYFUNCTION("""COMPUTED_VALUE"""),18077.32)</f>
        <v>18077.32</v>
      </c>
      <c r="U422" s="97">
        <f ca="1">IFERROR(__xludf.DUMMYFUNCTION("""COMPUTED_VALUE"""),15514.32)</f>
        <v>15514.32</v>
      </c>
      <c r="V422" s="97">
        <f ca="1">IFERROR(__xludf.DUMMYFUNCTION("""COMPUTED_VALUE"""),0)</f>
        <v>0</v>
      </c>
      <c r="W422" s="97">
        <f ca="1">IFERROR(__xludf.DUMMYFUNCTION("""COMPUTED_VALUE"""),0)</f>
        <v>0</v>
      </c>
      <c r="X422" s="97">
        <f ca="1">IFERROR(__xludf.DUMMYFUNCTION("""COMPUTED_VALUE"""),2563)</f>
        <v>2563</v>
      </c>
      <c r="Y422" s="97">
        <f t="shared" ca="1" si="3"/>
        <v>15514.32</v>
      </c>
      <c r="Z422" s="67">
        <f t="shared" ca="1" si="4"/>
        <v>33193.68</v>
      </c>
      <c r="AA422" s="67"/>
      <c r="AB422" s="67">
        <f ca="1">IFERROR(__xludf.DUMMYFUNCTION("""COMPUTED_VALUE"""),33193.68)</f>
        <v>33193.68</v>
      </c>
      <c r="AC422" s="67"/>
      <c r="AD422" s="99">
        <f t="shared" ca="1" si="5"/>
        <v>0.68148312392214827</v>
      </c>
      <c r="AE422" s="67"/>
      <c r="AF422" s="67"/>
      <c r="AG422" s="67"/>
      <c r="AH422" s="67"/>
      <c r="AI422" s="67"/>
      <c r="AJ422" s="67"/>
      <c r="AK422" s="67"/>
      <c r="AL422" s="67"/>
      <c r="AM422" s="67"/>
      <c r="AN422" s="67"/>
      <c r="AO422" s="67"/>
      <c r="AP422" s="67"/>
      <c r="AQ422" s="67"/>
      <c r="AR422" s="67"/>
      <c r="AS422" s="67"/>
      <c r="AT422" s="67"/>
    </row>
    <row r="423" spans="1:46" ht="144" x14ac:dyDescent="0.2">
      <c r="A423" s="20"/>
      <c r="B423" s="95"/>
      <c r="C42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3" s="24" t="str">
        <f ca="1">IFERROR(__xludf.DUMMYFUNCTION("""COMPUTED_VALUE"""),"МинЖКХ ")</f>
        <v xml:space="preserve">МинЖКХ </v>
      </c>
      <c r="E423" s="20" t="str">
        <f ca="1">IFERROR(__xludf.DUMMYFUNCTION("""COMPUTED_VALUE"""),"Капитальный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облас"&amp;"ти – 3 662,00 тыс.руб.)")</f>
        <v>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области – 3 662,00 тыс.руб.)</v>
      </c>
      <c r="F423" s="24" t="str">
        <f ca="1">IFERROR(__xludf.DUMMYFUNCTION("""COMPUTED_VALUE"""),"Вып")</f>
        <v>Вып</v>
      </c>
      <c r="G423" s="20" t="str">
        <f ca="1">IFERROR(__xludf.DUMMYFUNCTION("""COMPUTED_VALUE"""),"г.о. Балашиха")</f>
        <v>г.о. Балашиха</v>
      </c>
      <c r="H423" s="20" t="str">
        <f ca="1">IFERROR(__xludf.DUMMYFUNCTION("""COMPUTED_VALUE"""),"2019-2020")</f>
        <v>2019-2020</v>
      </c>
      <c r="I423" s="24" t="str">
        <f ca="1">IFERROR(__xludf.DUMMYFUNCTION("""COMPUTED_VALUE"""),"10 3 03 60300")</f>
        <v>10 3 03 60300</v>
      </c>
      <c r="J423" s="20">
        <f ca="1">IFERROR(__xludf.DUMMYFUNCTION("""COMPUTED_VALUE"""),521)</f>
        <v>521</v>
      </c>
      <c r="K423" s="24">
        <f t="shared" ca="1" si="1"/>
        <v>91754.81</v>
      </c>
      <c r="L423" s="24">
        <f ca="1">IFERROR(__xludf.DUMMYFUNCTION("""COMPUTED_VALUE"""),82579.31)</f>
        <v>82579.31</v>
      </c>
      <c r="M423" s="20"/>
      <c r="N423" s="24">
        <f ca="1">IFERROR(__xludf.DUMMYFUNCTION("""COMPUTED_VALUE"""),0)</f>
        <v>0</v>
      </c>
      <c r="O423" s="24">
        <f ca="1">IFERROR(__xludf.DUMMYFUNCTION("""COMPUTED_VALUE"""),9175.5)</f>
        <v>9175.5</v>
      </c>
      <c r="P423" s="24">
        <f t="shared" ca="1" si="2"/>
        <v>82579.31</v>
      </c>
      <c r="Q423" s="20">
        <f ca="1">IFERROR(__xludf.DUMMYFUNCTION("""COMPUTED_VALUE"""),100)</f>
        <v>100</v>
      </c>
      <c r="R423" s="20"/>
      <c r="S423" s="24">
        <f ca="1">IFERROR(__xludf.DUMMYFUNCTION("""COMPUTED_VALUE"""),82579.25)</f>
        <v>82579.25</v>
      </c>
      <c r="T423" s="24">
        <f ca="1">IFERROR(__xludf.DUMMYFUNCTION("""COMPUTED_VALUE"""),9175.55999999999)</f>
        <v>9175.5599999999904</v>
      </c>
      <c r="U423" s="50">
        <f ca="1">IFERROR(__xludf.DUMMYFUNCTION("""COMPUTED_VALUE"""),0.0599999999976716)</f>
        <v>5.9999999997671603E-2</v>
      </c>
      <c r="V423" s="24">
        <f ca="1">IFERROR(__xludf.DUMMYFUNCTION("""COMPUTED_VALUE"""),0)</f>
        <v>0</v>
      </c>
      <c r="W423" s="24">
        <f ca="1">IFERROR(__xludf.DUMMYFUNCTION("""COMPUTED_VALUE"""),0)</f>
        <v>0</v>
      </c>
      <c r="X423" s="24">
        <f ca="1">IFERROR(__xludf.DUMMYFUNCTION("""COMPUTED_VALUE"""),9175.5)</f>
        <v>9175.5</v>
      </c>
      <c r="Y423" s="24">
        <f t="shared" ca="1" si="3"/>
        <v>5.9999999997671603E-2</v>
      </c>
      <c r="Z423" s="20">
        <f t="shared" ca="1" si="4"/>
        <v>82579.25</v>
      </c>
      <c r="AA423" s="20"/>
      <c r="AB423" s="24">
        <f ca="1">IFERROR(__xludf.DUMMYFUNCTION("""COMPUTED_VALUE"""),82579.25)</f>
        <v>82579.25</v>
      </c>
      <c r="AC423" s="20"/>
      <c r="AD423" s="94">
        <f t="shared" ca="1" si="5"/>
        <v>0.99999927342575279</v>
      </c>
      <c r="AE423" s="20"/>
      <c r="AF423" s="20"/>
      <c r="AG423" s="20"/>
      <c r="AH423" s="20"/>
      <c r="AI423" s="20"/>
      <c r="AJ423" s="20"/>
      <c r="AK423" s="20"/>
      <c r="AL423" s="20"/>
      <c r="AM423" s="20"/>
      <c r="AN423" s="20"/>
      <c r="AO423" s="20"/>
      <c r="AP423" s="20"/>
      <c r="AQ423" s="20"/>
      <c r="AR423" s="20"/>
      <c r="AS423" s="20"/>
      <c r="AT423" s="20"/>
    </row>
    <row r="424" spans="1:46" ht="144" x14ac:dyDescent="0.2">
      <c r="A424" s="20"/>
      <c r="B424" s="93"/>
      <c r="C42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4" s="24" t="str">
        <f ca="1">IFERROR(__xludf.DUMMYFUNCTION("""COMPUTED_VALUE"""),"МинЖКХ ")</f>
        <v xml:space="preserve">МинЖКХ </v>
      </c>
      <c r="E424" s="20" t="str">
        <f ca="1">IFERROR(__xludf.DUMMYFUNCTION("""COMPUTED_VALUE"""),"Капитальный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2"&amp;"22,0 тыс.руб.)
")</f>
        <v xml:space="preserv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222,0 тыс.руб.)
</v>
      </c>
      <c r="F424" s="24" t="str">
        <f ca="1">IFERROR(__xludf.DUMMYFUNCTION("""COMPUTED_VALUE"""),"СМР")</f>
        <v>СМР</v>
      </c>
      <c r="G424" s="20" t="str">
        <f ca="1">IFERROR(__xludf.DUMMYFUNCTION("""COMPUTED_VALUE"""),"г.о. Балашиха")</f>
        <v>г.о. Балашиха</v>
      </c>
      <c r="H424" s="20" t="str">
        <f ca="1">IFERROR(__xludf.DUMMYFUNCTION("""COMPUTED_VALUE"""),"2019-2020")</f>
        <v>2019-2020</v>
      </c>
      <c r="I424" s="24" t="str">
        <f ca="1">IFERROR(__xludf.DUMMYFUNCTION("""COMPUTED_VALUE"""),"10 3 03 60300")</f>
        <v>10 3 03 60300</v>
      </c>
      <c r="J424" s="20">
        <f ca="1">IFERROR(__xludf.DUMMYFUNCTION("""COMPUTED_VALUE"""),521)</f>
        <v>521</v>
      </c>
      <c r="K424" s="24">
        <f t="shared" ca="1" si="1"/>
        <v>221183.74</v>
      </c>
      <c r="L424" s="24">
        <f ca="1">IFERROR(__xludf.DUMMYFUNCTION("""COMPUTED_VALUE"""),197225.69)</f>
        <v>197225.69</v>
      </c>
      <c r="M424" s="20"/>
      <c r="N424" s="24">
        <f ca="1">IFERROR(__xludf.DUMMYFUNCTION("""COMPUTED_VALUE"""),0)</f>
        <v>0</v>
      </c>
      <c r="O424" s="24">
        <f ca="1">IFERROR(__xludf.DUMMYFUNCTION("""COMPUTED_VALUE"""),23958.05)</f>
        <v>23958.05</v>
      </c>
      <c r="P424" s="24">
        <f t="shared" ca="1" si="2"/>
        <v>197225.69</v>
      </c>
      <c r="Q424" s="20">
        <f ca="1">IFERROR(__xludf.DUMMYFUNCTION("""COMPUTED_VALUE"""),88)</f>
        <v>88</v>
      </c>
      <c r="R424" s="20"/>
      <c r="S424" s="24">
        <f ca="1">IFERROR(__xludf.DUMMYFUNCTION("""COMPUTED_VALUE"""),172120.6)</f>
        <v>172120.6</v>
      </c>
      <c r="T424" s="24">
        <f ca="1">IFERROR(__xludf.DUMMYFUNCTION("""COMPUTED_VALUE"""),49063.1399999998)</f>
        <v>49063.139999999803</v>
      </c>
      <c r="U424" s="24">
        <f ca="1">IFERROR(__xludf.DUMMYFUNCTION("""COMPUTED_VALUE"""),25105.0899999999)</f>
        <v>25105.089999999898</v>
      </c>
      <c r="V424" s="24">
        <f ca="1">IFERROR(__xludf.DUMMYFUNCTION("""COMPUTED_VALUE"""),0)</f>
        <v>0</v>
      </c>
      <c r="W424" s="24">
        <f ca="1">IFERROR(__xludf.DUMMYFUNCTION("""COMPUTED_VALUE"""),0)</f>
        <v>0</v>
      </c>
      <c r="X424" s="24">
        <f ca="1">IFERROR(__xludf.DUMMYFUNCTION("""COMPUTED_VALUE"""),23958.05)</f>
        <v>23958.05</v>
      </c>
      <c r="Y424" s="24">
        <f t="shared" ca="1" si="3"/>
        <v>25105.089999999898</v>
      </c>
      <c r="Z424" s="20">
        <f t="shared" ca="1" si="4"/>
        <v>172120.6</v>
      </c>
      <c r="AA424" s="20"/>
      <c r="AB424" s="24">
        <f ca="1">IFERROR(__xludf.DUMMYFUNCTION("""COMPUTED_VALUE"""),172120.6)</f>
        <v>172120.6</v>
      </c>
      <c r="AC424" s="20"/>
      <c r="AD424" s="94">
        <f t="shared" ca="1" si="5"/>
        <v>0.8727088240887888</v>
      </c>
      <c r="AE424" s="20"/>
      <c r="AF424" s="20"/>
      <c r="AG424" s="20"/>
      <c r="AH424" s="20"/>
      <c r="AI424" s="20"/>
      <c r="AJ424" s="20"/>
      <c r="AK424" s="20"/>
      <c r="AL424" s="20"/>
      <c r="AM424" s="20"/>
      <c r="AN424" s="20"/>
      <c r="AO424" s="20"/>
      <c r="AP424" s="20"/>
      <c r="AQ424" s="20"/>
      <c r="AR424" s="20"/>
      <c r="AS424" s="20"/>
      <c r="AT424" s="20"/>
    </row>
    <row r="425" spans="1:46" ht="144" hidden="1" x14ac:dyDescent="0.2">
      <c r="A425" s="67"/>
      <c r="B425" s="100"/>
      <c r="C425"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5" s="24" t="str">
        <f ca="1">IFERROR(__xludf.DUMMYFUNCTION("""COMPUTED_VALUE"""),"Минкульт")</f>
        <v>Минкульт</v>
      </c>
      <c r="E425" s="20" t="str">
        <f ca="1">IFERROR(__xludf.DUMMYFUNCTION("""COMPUTED_VALUE"""),"Капитальный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f>
        <v>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v>
      </c>
      <c r="F425" s="67"/>
      <c r="G425" s="67" t="str">
        <f ca="1">IFERROR(__xludf.DUMMYFUNCTION("""COMPUTED_VALUE"""),"г.о. Балашиха")</f>
        <v>г.о. Балашиха</v>
      </c>
      <c r="H425" s="67" t="str">
        <f ca="1">IFERROR(__xludf.DUMMYFUNCTION("""COMPUTED_VALUE"""),"2018-2020")</f>
        <v>2018-2020</v>
      </c>
      <c r="I425" s="67"/>
      <c r="J425" s="67"/>
      <c r="K425" s="97">
        <f t="shared" ca="1" si="1"/>
        <v>70951.600000000006</v>
      </c>
      <c r="L425" s="97">
        <f ca="1">IFERROR(__xludf.DUMMYFUNCTION("""COMPUTED_VALUE"""),67408)</f>
        <v>67408</v>
      </c>
      <c r="M425" s="67"/>
      <c r="N425" s="97">
        <f ca="1">IFERROR(__xludf.DUMMYFUNCTION("""COMPUTED_VALUE"""),0)</f>
        <v>0</v>
      </c>
      <c r="O425" s="97">
        <f ca="1">IFERROR(__xludf.DUMMYFUNCTION("""COMPUTED_VALUE"""),3543.6)</f>
        <v>3543.6</v>
      </c>
      <c r="P425" s="97">
        <f t="shared" ca="1" si="2"/>
        <v>67408</v>
      </c>
      <c r="Q425" s="67"/>
      <c r="R425" s="67"/>
      <c r="S425" s="67">
        <f ca="1">IFERROR(__xludf.DUMMYFUNCTION("""COMPUTED_VALUE"""),0)</f>
        <v>0</v>
      </c>
      <c r="T425" s="97">
        <f ca="1">IFERROR(__xludf.DUMMYFUNCTION("""COMPUTED_VALUE"""),70951.6)</f>
        <v>70951.600000000006</v>
      </c>
      <c r="U425" s="97">
        <f ca="1">IFERROR(__xludf.DUMMYFUNCTION("""COMPUTED_VALUE"""),67408)</f>
        <v>67408</v>
      </c>
      <c r="V425" s="97">
        <f ca="1">IFERROR(__xludf.DUMMYFUNCTION("""COMPUTED_VALUE"""),0)</f>
        <v>0</v>
      </c>
      <c r="W425" s="97">
        <f ca="1">IFERROR(__xludf.DUMMYFUNCTION("""COMPUTED_VALUE"""),0)</f>
        <v>0</v>
      </c>
      <c r="X425" s="97">
        <f ca="1">IFERROR(__xludf.DUMMYFUNCTION("""COMPUTED_VALUE"""),3543.6)</f>
        <v>3543.6</v>
      </c>
      <c r="Y425" s="97">
        <f t="shared" ca="1" si="3"/>
        <v>67408</v>
      </c>
      <c r="Z425" s="67">
        <f t="shared" si="4"/>
        <v>0</v>
      </c>
      <c r="AA425" s="67"/>
      <c r="AB425" s="67"/>
      <c r="AC425" s="67"/>
      <c r="AD425" s="99">
        <f t="shared" ca="1" si="5"/>
        <v>0</v>
      </c>
      <c r="AE425" s="67"/>
      <c r="AF425" s="67"/>
      <c r="AG425" s="67"/>
      <c r="AH425" s="67"/>
      <c r="AI425" s="67"/>
      <c r="AJ425" s="67"/>
      <c r="AK425" s="67"/>
      <c r="AL425" s="67"/>
      <c r="AM425" s="67"/>
      <c r="AN425" s="67"/>
      <c r="AO425" s="67"/>
      <c r="AP425" s="67"/>
      <c r="AQ425" s="67"/>
      <c r="AR425" s="67"/>
      <c r="AS425" s="67"/>
      <c r="AT425" s="67"/>
    </row>
    <row r="426" spans="1:46" ht="96" hidden="1" x14ac:dyDescent="0.2">
      <c r="A426" s="67"/>
      <c r="B426" s="96"/>
      <c r="C42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26" s="24" t="str">
        <f ca="1">IFERROR(__xludf.DUMMYFUNCTION("""COMPUTED_VALUE"""),"МинЖКХ ")</f>
        <v xml:space="preserve">МинЖКХ </v>
      </c>
      <c r="E426" s="20" t="str">
        <f ca="1">IFERROR(__xludf.DUMMYFUNCTION("""COMPUTED_VALUE"""),"Строительство газовой котельной 20МВт по адресу: городской округ Балашиха, мкр. Северный, в том числе:: ПИР")</f>
        <v>Строительство газовой котельной 20МВт по адресу: городской округ Балашиха, мкр. Северный, в том числе:: ПИР</v>
      </c>
      <c r="F426" s="97" t="str">
        <f ca="1">IFERROR(__xludf.DUMMYFUNCTION("""COMPUTED_VALUE"""),"ПИР")</f>
        <v>ПИР</v>
      </c>
      <c r="G426" s="67" t="str">
        <f ca="1">IFERROR(__xludf.DUMMYFUNCTION("""COMPUTED_VALUE"""),"г.о. Балашиха")</f>
        <v>г.о. Балашиха</v>
      </c>
      <c r="H426" s="97" t="str">
        <f ca="1">IFERROR(__xludf.DUMMYFUNCTION("""COMPUTED_VALUE"""),"2018, 2021, 2022")</f>
        <v>2018, 2021, 2022</v>
      </c>
      <c r="I426" s="67"/>
      <c r="J426" s="67"/>
      <c r="K426" s="97">
        <f t="shared" ca="1" si="1"/>
        <v>0</v>
      </c>
      <c r="L426" s="97">
        <f ca="1">IFERROR(__xludf.DUMMYFUNCTION("""COMPUTED_VALUE"""),0)</f>
        <v>0</v>
      </c>
      <c r="M426" s="67"/>
      <c r="N426" s="97">
        <f ca="1">IFERROR(__xludf.DUMMYFUNCTION("""COMPUTED_VALUE"""),0)</f>
        <v>0</v>
      </c>
      <c r="O426" s="97">
        <f ca="1">IFERROR(__xludf.DUMMYFUNCTION("""COMPUTED_VALUE"""),0)</f>
        <v>0</v>
      </c>
      <c r="P426" s="97">
        <f t="shared" ca="1" si="2"/>
        <v>0</v>
      </c>
      <c r="Q426" s="67">
        <f ca="1">IFERROR(__xludf.DUMMYFUNCTION("""COMPUTED_VALUE"""),0)</f>
        <v>0</v>
      </c>
      <c r="R426" s="67"/>
      <c r="S426" s="97">
        <f ca="1">IFERROR(__xludf.DUMMYFUNCTION("""COMPUTED_VALUE"""),0)</f>
        <v>0</v>
      </c>
      <c r="T426" s="97">
        <f ca="1">IFERROR(__xludf.DUMMYFUNCTION("""COMPUTED_VALUE"""),0)</f>
        <v>0</v>
      </c>
      <c r="U426" s="97">
        <f ca="1">IFERROR(__xludf.DUMMYFUNCTION("""COMPUTED_VALUE"""),0)</f>
        <v>0</v>
      </c>
      <c r="V426" s="97">
        <f ca="1">IFERROR(__xludf.DUMMYFUNCTION("""COMPUTED_VALUE"""),0)</f>
        <v>0</v>
      </c>
      <c r="W426" s="97">
        <f ca="1">IFERROR(__xludf.DUMMYFUNCTION("""COMPUTED_VALUE"""),0)</f>
        <v>0</v>
      </c>
      <c r="X426" s="97">
        <f ca="1">IFERROR(__xludf.DUMMYFUNCTION("""COMPUTED_VALUE"""),0)</f>
        <v>0</v>
      </c>
      <c r="Y426" s="97">
        <f t="shared" ca="1" si="3"/>
        <v>0</v>
      </c>
      <c r="Z426" s="67">
        <f t="shared" ca="1" si="4"/>
        <v>0</v>
      </c>
      <c r="AA426" s="67"/>
      <c r="AB426" s="97">
        <f ca="1">IFERROR(__xludf.DUMMYFUNCTION("""COMPUTED_VALUE"""),0)</f>
        <v>0</v>
      </c>
      <c r="AC426" s="67"/>
      <c r="AD426" s="99" t="e">
        <f t="shared" ca="1" si="5"/>
        <v>#DIV/0!</v>
      </c>
      <c r="AE426" s="67"/>
      <c r="AF426" s="67"/>
      <c r="AG426" s="67"/>
      <c r="AH426" s="67"/>
      <c r="AI426" s="67"/>
      <c r="AJ426" s="67"/>
      <c r="AK426" s="67"/>
      <c r="AL426" s="67"/>
      <c r="AM426" s="67"/>
      <c r="AN426" s="67"/>
      <c r="AO426" s="67"/>
      <c r="AP426" s="67"/>
      <c r="AQ426" s="67"/>
      <c r="AR426" s="67"/>
      <c r="AS426" s="67"/>
      <c r="AT426" s="67"/>
    </row>
    <row r="427" spans="1:46" ht="96" x14ac:dyDescent="0.2">
      <c r="A427" s="20"/>
      <c r="B427" s="95"/>
      <c r="C42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27" s="24" t="str">
        <f ca="1">IFERROR(__xludf.DUMMYFUNCTION("""COMPUTED_VALUE"""),"МинЖКХ ")</f>
        <v xml:space="preserve">МинЖКХ </v>
      </c>
      <c r="E427" s="20" t="str">
        <f ca="1">IFERROR(__xludf.DUMMYFUNCTION("""COMPUTED_VALUE"""),"Реконструкция котельной № 123 по адресу: Ногинский муниципальный район, с.п. Мамонтовское, военный городок Ногинск-9, в том числе:проектно-изыскательские работы")</f>
        <v>Реконструкция котельной № 123 по адресу: Ногинский муниципальный район, с.п. Мамонтовское, военный городок Ногинск-9, в том числе:проектно-изыскательские работы</v>
      </c>
      <c r="F427" s="24" t="str">
        <f ca="1">IFERROR(__xludf.DUMMYFUNCTION("""COMPUTED_VALUE"""),"Вып")</f>
        <v>Вып</v>
      </c>
      <c r="G427" s="20" t="str">
        <f ca="1">IFERROR(__xludf.DUMMYFUNCTION("""COMPUTED_VALUE"""),"г.о. Богородский")</f>
        <v>г.о. Богородский</v>
      </c>
      <c r="H427" s="20" t="str">
        <f ca="1">IFERROR(__xludf.DUMMYFUNCTION("""COMPUTED_VALUE"""),"2018-2020")</f>
        <v>2018-2020</v>
      </c>
      <c r="I427" s="20" t="str">
        <f ca="1">IFERROR(__xludf.DUMMYFUNCTION("""COMPUTED_VALUE"""),"10 3 03 64460")</f>
        <v>10 3 03 64460</v>
      </c>
      <c r="J427" s="20">
        <f ca="1">IFERROR(__xludf.DUMMYFUNCTION("""COMPUTED_VALUE"""),522)</f>
        <v>522</v>
      </c>
      <c r="K427" s="24">
        <f t="shared" ca="1" si="1"/>
        <v>203043.52</v>
      </c>
      <c r="L427" s="24">
        <f ca="1">IFERROR(__xludf.DUMMYFUNCTION("""COMPUTED_VALUE"""),12150.65)</f>
        <v>12150.65</v>
      </c>
      <c r="M427" s="20"/>
      <c r="N427" s="24">
        <f ca="1">IFERROR(__xludf.DUMMYFUNCTION("""COMPUTED_VALUE"""),182162)</f>
        <v>182162</v>
      </c>
      <c r="O427" s="24">
        <f ca="1">IFERROR(__xludf.DUMMYFUNCTION("""COMPUTED_VALUE"""),8730.87)</f>
        <v>8730.8700000000008</v>
      </c>
      <c r="P427" s="24">
        <f t="shared" ca="1" si="2"/>
        <v>194312.65</v>
      </c>
      <c r="Q427" s="20">
        <f ca="1">IFERROR(__xludf.DUMMYFUNCTION("""COMPUTED_VALUE"""),100)</f>
        <v>100</v>
      </c>
      <c r="R427" s="20"/>
      <c r="S427" s="24">
        <f ca="1">IFERROR(__xludf.DUMMYFUNCTION("""COMPUTED_VALUE"""),193864.79)</f>
        <v>193864.79</v>
      </c>
      <c r="T427" s="24">
        <f ca="1">IFERROR(__xludf.DUMMYFUNCTION("""COMPUTED_VALUE"""),9178.72999999998)</f>
        <v>9178.7299999999796</v>
      </c>
      <c r="U427" s="24">
        <f ca="1">IFERROR(__xludf.DUMMYFUNCTION("""COMPUTED_VALUE"""),447.859999999998)</f>
        <v>447.85999999999802</v>
      </c>
      <c r="V427" s="24">
        <f ca="1">IFERROR(__xludf.DUMMYFUNCTION("""COMPUTED_VALUE"""),0)</f>
        <v>0</v>
      </c>
      <c r="W427" s="24">
        <f ca="1">IFERROR(__xludf.DUMMYFUNCTION("""COMPUTED_VALUE"""),0)</f>
        <v>0</v>
      </c>
      <c r="X427" s="24">
        <f ca="1">IFERROR(__xludf.DUMMYFUNCTION("""COMPUTED_VALUE"""),8730.87)</f>
        <v>8730.8700000000008</v>
      </c>
      <c r="Y427" s="24">
        <f t="shared" ca="1" si="3"/>
        <v>447.85999999999802</v>
      </c>
      <c r="Z427" s="20">
        <f t="shared" ca="1" si="4"/>
        <v>193864.79</v>
      </c>
      <c r="AA427" s="20"/>
      <c r="AB427" s="24">
        <f ca="1">IFERROR(__xludf.DUMMYFUNCTION("""COMPUTED_VALUE"""),11702.79)</f>
        <v>11702.79</v>
      </c>
      <c r="AC427" s="24">
        <f ca="1">IFERROR(__xludf.DUMMYFUNCTION("""COMPUTED_VALUE"""),182162)</f>
        <v>182162</v>
      </c>
      <c r="AD427" s="94">
        <f t="shared" ca="1" si="5"/>
        <v>0.99769515777794193</v>
      </c>
      <c r="AE427" s="20"/>
      <c r="AF427" s="20"/>
      <c r="AG427" s="20"/>
      <c r="AH427" s="20"/>
      <c r="AI427" s="20"/>
      <c r="AJ427" s="20"/>
      <c r="AK427" s="20"/>
      <c r="AL427" s="20"/>
      <c r="AM427" s="20"/>
      <c r="AN427" s="20"/>
      <c r="AO427" s="20"/>
      <c r="AP427" s="20"/>
      <c r="AQ427" s="20"/>
      <c r="AR427" s="20"/>
      <c r="AS427" s="20"/>
      <c r="AT427" s="20"/>
    </row>
    <row r="428" spans="1:46" ht="144" hidden="1" x14ac:dyDescent="0.2">
      <c r="A428" s="67"/>
      <c r="B428" s="100"/>
      <c r="C428"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8" s="24" t="str">
        <f ca="1">IFERROR(__xludf.DUMMYFUNCTION("""COMPUTED_VALUE"""),"МинЖКХ ")</f>
        <v xml:space="preserve">МинЖКХ </v>
      </c>
      <c r="E428" s="20" t="str">
        <f ca="1">IFERROR(__xludf.DUMMYFUNCTION("""COMPUTED_VALUE"""),"Капитальный ремонт наружных тепловых сетей и ГВС в в/г Ногинск-9 Богородского городского округа Московской области")</f>
        <v>Капитальный ремонт наружных тепловых сетей и ГВС в в/г Ногинск-9 Богородского городского округа Московской области</v>
      </c>
      <c r="F428" s="67"/>
      <c r="G428" s="67" t="str">
        <f ca="1">IFERROR(__xludf.DUMMYFUNCTION("""COMPUTED_VALUE"""),"г.о. Богородский")</f>
        <v>г.о. Богородский</v>
      </c>
      <c r="H428" s="67">
        <f ca="1">IFERROR(__xludf.DUMMYFUNCTION("""COMPUTED_VALUE"""),2021)</f>
        <v>2021</v>
      </c>
      <c r="I428" s="67"/>
      <c r="J428" s="67"/>
      <c r="K428" s="97">
        <f t="shared" ca="1" si="1"/>
        <v>0</v>
      </c>
      <c r="L428" s="97">
        <f ca="1">IFERROR(__xludf.DUMMYFUNCTION("""COMPUTED_VALUE"""),0)</f>
        <v>0</v>
      </c>
      <c r="M428" s="67"/>
      <c r="N428" s="97">
        <f ca="1">IFERROR(__xludf.DUMMYFUNCTION("""COMPUTED_VALUE"""),0)</f>
        <v>0</v>
      </c>
      <c r="O428" s="97">
        <f ca="1">IFERROR(__xludf.DUMMYFUNCTION("""COMPUTED_VALUE"""),0)</f>
        <v>0</v>
      </c>
      <c r="P428" s="97">
        <f t="shared" ca="1" si="2"/>
        <v>0</v>
      </c>
      <c r="Q428" s="67">
        <f ca="1">IFERROR(__xludf.DUMMYFUNCTION("""COMPUTED_VALUE"""),0)</f>
        <v>0</v>
      </c>
      <c r="R428" s="67"/>
      <c r="S428" s="97">
        <f ca="1">IFERROR(__xludf.DUMMYFUNCTION("""COMPUTED_VALUE"""),0)</f>
        <v>0</v>
      </c>
      <c r="T428" s="97">
        <f ca="1">IFERROR(__xludf.DUMMYFUNCTION("""COMPUTED_VALUE"""),0)</f>
        <v>0</v>
      </c>
      <c r="U428" s="97">
        <f ca="1">IFERROR(__xludf.DUMMYFUNCTION("""COMPUTED_VALUE"""),0)</f>
        <v>0</v>
      </c>
      <c r="V428" s="97">
        <f ca="1">IFERROR(__xludf.DUMMYFUNCTION("""COMPUTED_VALUE"""),0)</f>
        <v>0</v>
      </c>
      <c r="W428" s="97">
        <f ca="1">IFERROR(__xludf.DUMMYFUNCTION("""COMPUTED_VALUE"""),0)</f>
        <v>0</v>
      </c>
      <c r="X428" s="97">
        <f ca="1">IFERROR(__xludf.DUMMYFUNCTION("""COMPUTED_VALUE"""),0)</f>
        <v>0</v>
      </c>
      <c r="Y428" s="97">
        <f t="shared" ca="1" si="3"/>
        <v>0</v>
      </c>
      <c r="Z428" s="67">
        <f t="shared" ca="1" si="4"/>
        <v>0</v>
      </c>
      <c r="AA428" s="67"/>
      <c r="AB428" s="97">
        <f ca="1">IFERROR(__xludf.DUMMYFUNCTION("""COMPUTED_VALUE"""),0)</f>
        <v>0</v>
      </c>
      <c r="AC428" s="67"/>
      <c r="AD428" s="99" t="e">
        <f t="shared" ca="1" si="5"/>
        <v>#DIV/0!</v>
      </c>
      <c r="AE428" s="67"/>
      <c r="AF428" s="67"/>
      <c r="AG428" s="67"/>
      <c r="AH428" s="67"/>
      <c r="AI428" s="67"/>
      <c r="AJ428" s="67"/>
      <c r="AK428" s="67"/>
      <c r="AL428" s="67"/>
      <c r="AM428" s="67"/>
      <c r="AN428" s="67"/>
      <c r="AO428" s="67"/>
      <c r="AP428" s="67"/>
      <c r="AQ428" s="67"/>
      <c r="AR428" s="67"/>
      <c r="AS428" s="67"/>
      <c r="AT428" s="67"/>
    </row>
    <row r="429" spans="1:46" ht="144" hidden="1" x14ac:dyDescent="0.2">
      <c r="A429" s="67"/>
      <c r="B429" s="96"/>
      <c r="C42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9" s="24" t="str">
        <f ca="1">IFERROR(__xludf.DUMMYFUNCTION("""COMPUTED_VALUE"""),"МинЖКХ ")</f>
        <v xml:space="preserve">МинЖКХ </v>
      </c>
      <c r="E429" s="20" t="str">
        <f ca="1">IFERROR(__xludf.DUMMYFUNCTION("""COMPUTED_VALUE"""),"Капитальный ремонт наружных водопроводных сетей в в/г Ногинск-9 Богородского городского округа Московской области")</f>
        <v>Капитальный ремонт наружных водопроводных сетей в в/г Ногинск-9 Богородского городского округа Московской области</v>
      </c>
      <c r="F429" s="67"/>
      <c r="G429" s="67" t="str">
        <f ca="1">IFERROR(__xludf.DUMMYFUNCTION("""COMPUTED_VALUE"""),"г.о. Богородский")</f>
        <v>г.о. Богородский</v>
      </c>
      <c r="H429" s="67">
        <f ca="1">IFERROR(__xludf.DUMMYFUNCTION("""COMPUTED_VALUE"""),2021)</f>
        <v>2021</v>
      </c>
      <c r="I429" s="67"/>
      <c r="J429" s="67"/>
      <c r="K429" s="97">
        <f t="shared" ca="1" si="1"/>
        <v>0</v>
      </c>
      <c r="L429" s="97">
        <f ca="1">IFERROR(__xludf.DUMMYFUNCTION("""COMPUTED_VALUE"""),0)</f>
        <v>0</v>
      </c>
      <c r="M429" s="67"/>
      <c r="N429" s="97">
        <f ca="1">IFERROR(__xludf.DUMMYFUNCTION("""COMPUTED_VALUE"""),0)</f>
        <v>0</v>
      </c>
      <c r="O429" s="97">
        <f ca="1">IFERROR(__xludf.DUMMYFUNCTION("""COMPUTED_VALUE"""),0)</f>
        <v>0</v>
      </c>
      <c r="P429" s="97">
        <f t="shared" ca="1" si="2"/>
        <v>0</v>
      </c>
      <c r="Q429" s="67">
        <f ca="1">IFERROR(__xludf.DUMMYFUNCTION("""COMPUTED_VALUE"""),0)</f>
        <v>0</v>
      </c>
      <c r="R429" s="67"/>
      <c r="S429" s="97">
        <f ca="1">IFERROR(__xludf.DUMMYFUNCTION("""COMPUTED_VALUE"""),0)</f>
        <v>0</v>
      </c>
      <c r="T429" s="97">
        <f ca="1">IFERROR(__xludf.DUMMYFUNCTION("""COMPUTED_VALUE"""),0)</f>
        <v>0</v>
      </c>
      <c r="U429" s="97">
        <f ca="1">IFERROR(__xludf.DUMMYFUNCTION("""COMPUTED_VALUE"""),0)</f>
        <v>0</v>
      </c>
      <c r="V429" s="97">
        <f ca="1">IFERROR(__xludf.DUMMYFUNCTION("""COMPUTED_VALUE"""),0)</f>
        <v>0</v>
      </c>
      <c r="W429" s="97">
        <f ca="1">IFERROR(__xludf.DUMMYFUNCTION("""COMPUTED_VALUE"""),0)</f>
        <v>0</v>
      </c>
      <c r="X429" s="97">
        <f ca="1">IFERROR(__xludf.DUMMYFUNCTION("""COMPUTED_VALUE"""),0)</f>
        <v>0</v>
      </c>
      <c r="Y429" s="97">
        <f t="shared" ca="1" si="3"/>
        <v>0</v>
      </c>
      <c r="Z429" s="67">
        <f t="shared" ca="1" si="4"/>
        <v>0</v>
      </c>
      <c r="AA429" s="67"/>
      <c r="AB429" s="97">
        <f ca="1">IFERROR(__xludf.DUMMYFUNCTION("""COMPUTED_VALUE"""),0)</f>
        <v>0</v>
      </c>
      <c r="AC429" s="67"/>
      <c r="AD429" s="99" t="e">
        <f t="shared" ca="1" si="5"/>
        <v>#DIV/0!</v>
      </c>
      <c r="AE429" s="67"/>
      <c r="AF429" s="67"/>
      <c r="AG429" s="67"/>
      <c r="AH429" s="67"/>
      <c r="AI429" s="67"/>
      <c r="AJ429" s="67"/>
      <c r="AK429" s="67"/>
      <c r="AL429" s="67"/>
      <c r="AM429" s="67"/>
      <c r="AN429" s="67"/>
      <c r="AO429" s="67"/>
      <c r="AP429" s="67"/>
      <c r="AQ429" s="67"/>
      <c r="AR429" s="67"/>
      <c r="AS429" s="67"/>
      <c r="AT429" s="67"/>
    </row>
    <row r="430" spans="1:46" ht="144" hidden="1" x14ac:dyDescent="0.2">
      <c r="A430" s="67"/>
      <c r="B430" s="96"/>
      <c r="C430"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0" s="24" t="str">
        <f ca="1">IFERROR(__xludf.DUMMYFUNCTION("""COMPUTED_VALUE"""),"МинЖКХ ")</f>
        <v xml:space="preserve">МинЖКХ </v>
      </c>
      <c r="E430" s="20" t="str">
        <f ca="1">IFERROR(__xludf.DUMMYFUNCTION("""COMPUTED_VALUE"""),"Капитальный ремонт наружных сетей канализации сельское поселение Степановское, село Всеволодово военный городок Ногинск-5")</f>
        <v>Капитальный ремонт наружных сетей канализации сельское поселение Степановское, село Всеволодово военный городок Ногинск-5</v>
      </c>
      <c r="F430" s="67"/>
      <c r="G430" s="67" t="str">
        <f ca="1">IFERROR(__xludf.DUMMYFUNCTION("""COMPUTED_VALUE"""),"г.о. Электросталь")</f>
        <v>г.о. Электросталь</v>
      </c>
      <c r="H430" s="67">
        <f ca="1">IFERROR(__xludf.DUMMYFUNCTION("""COMPUTED_VALUE"""),2019)</f>
        <v>2019</v>
      </c>
      <c r="I430" s="67"/>
      <c r="J430" s="67"/>
      <c r="K430" s="97">
        <f t="shared" ca="1" si="1"/>
        <v>0</v>
      </c>
      <c r="L430" s="97">
        <f ca="1">IFERROR(__xludf.DUMMYFUNCTION("""COMPUTED_VALUE"""),0)</f>
        <v>0</v>
      </c>
      <c r="M430" s="67"/>
      <c r="N430" s="97">
        <f ca="1">IFERROR(__xludf.DUMMYFUNCTION("""COMPUTED_VALUE"""),0)</f>
        <v>0</v>
      </c>
      <c r="O430" s="97">
        <f ca="1">IFERROR(__xludf.DUMMYFUNCTION("""COMPUTED_VALUE"""),0)</f>
        <v>0</v>
      </c>
      <c r="P430" s="97">
        <f t="shared" ca="1" si="2"/>
        <v>0</v>
      </c>
      <c r="Q430" s="67"/>
      <c r="R430" s="67"/>
      <c r="S430" s="67">
        <f ca="1">IFERROR(__xludf.DUMMYFUNCTION("""COMPUTED_VALUE"""),0)</f>
        <v>0</v>
      </c>
      <c r="T430" s="97">
        <f ca="1">IFERROR(__xludf.DUMMYFUNCTION("""COMPUTED_VALUE"""),0)</f>
        <v>0</v>
      </c>
      <c r="U430" s="97">
        <f ca="1">IFERROR(__xludf.DUMMYFUNCTION("""COMPUTED_VALUE"""),0)</f>
        <v>0</v>
      </c>
      <c r="V430" s="97">
        <f ca="1">IFERROR(__xludf.DUMMYFUNCTION("""COMPUTED_VALUE"""),0)</f>
        <v>0</v>
      </c>
      <c r="W430" s="97">
        <f ca="1">IFERROR(__xludf.DUMMYFUNCTION("""COMPUTED_VALUE"""),0)</f>
        <v>0</v>
      </c>
      <c r="X430" s="97">
        <f ca="1">IFERROR(__xludf.DUMMYFUNCTION("""COMPUTED_VALUE"""),0)</f>
        <v>0</v>
      </c>
      <c r="Y430" s="97">
        <f t="shared" ca="1" si="3"/>
        <v>0</v>
      </c>
      <c r="Z430" s="67">
        <f t="shared" si="4"/>
        <v>0</v>
      </c>
      <c r="AA430" s="67"/>
      <c r="AB430" s="67"/>
      <c r="AC430" s="67"/>
      <c r="AD430" s="99" t="e">
        <f t="shared" ca="1" si="5"/>
        <v>#DIV/0!</v>
      </c>
      <c r="AE430" s="67"/>
      <c r="AF430" s="67"/>
      <c r="AG430" s="67"/>
      <c r="AH430" s="67"/>
      <c r="AI430" s="67"/>
      <c r="AJ430" s="67"/>
      <c r="AK430" s="67"/>
      <c r="AL430" s="67"/>
      <c r="AM430" s="67"/>
      <c r="AN430" s="67"/>
      <c r="AO430" s="67"/>
      <c r="AP430" s="67"/>
      <c r="AQ430" s="67"/>
      <c r="AR430" s="67"/>
      <c r="AS430" s="67"/>
      <c r="AT430" s="67"/>
    </row>
    <row r="431" spans="1:46" ht="96" hidden="1" x14ac:dyDescent="0.2">
      <c r="A431" s="67"/>
      <c r="B431" s="96"/>
      <c r="C431"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1" s="24" t="str">
        <f ca="1">IFERROR(__xludf.DUMMYFUNCTION("""COMPUTED_VALUE"""),"МинЖКХ ")</f>
        <v xml:space="preserve">МинЖКХ </v>
      </c>
      <c r="E431" s="20" t="str">
        <f ca="1">IFERROR(__xludf.DUMMYFUNCTION("""COMPUTED_VALUE"""),"Реконструкция тепловой сети в подземном исполнении по адресу: Московская область, городской округ Власиха, п. Власиха, ул. Цветной бульвар")</f>
        <v>Реконструкция тепловой сети в подземном исполнении по адресу: Московская область, городской округ Власиха, п. Власиха, ул. Цветной бульвар</v>
      </c>
      <c r="F431" s="67"/>
      <c r="G431" s="67" t="str">
        <f ca="1">IFERROR(__xludf.DUMMYFUNCTION("""COMPUTED_VALUE"""),"ЗАТО Власиха")</f>
        <v>ЗАТО Власиха</v>
      </c>
      <c r="H431" s="97" t="str">
        <f ca="1">IFERROR(__xludf.DUMMYFUNCTION("""COMPUTED_VALUE"""),"2021-2022")</f>
        <v>2021-2022</v>
      </c>
      <c r="I431" s="67"/>
      <c r="J431" s="67"/>
      <c r="K431" s="97">
        <f t="shared" ca="1" si="1"/>
        <v>0</v>
      </c>
      <c r="L431" s="97">
        <f ca="1">IFERROR(__xludf.DUMMYFUNCTION("""COMPUTED_VALUE"""),0)</f>
        <v>0</v>
      </c>
      <c r="M431" s="67"/>
      <c r="N431" s="97">
        <f ca="1">IFERROR(__xludf.DUMMYFUNCTION("""COMPUTED_VALUE"""),0)</f>
        <v>0</v>
      </c>
      <c r="O431" s="97">
        <f ca="1">IFERROR(__xludf.DUMMYFUNCTION("""COMPUTED_VALUE"""),0)</f>
        <v>0</v>
      </c>
      <c r="P431" s="97">
        <f t="shared" ca="1" si="2"/>
        <v>0</v>
      </c>
      <c r="Q431" s="67">
        <f ca="1">IFERROR(__xludf.DUMMYFUNCTION("""COMPUTED_VALUE"""),0)</f>
        <v>0</v>
      </c>
      <c r="R431" s="67"/>
      <c r="S431" s="97">
        <f ca="1">IFERROR(__xludf.DUMMYFUNCTION("""COMPUTED_VALUE"""),0)</f>
        <v>0</v>
      </c>
      <c r="T431" s="97">
        <f ca="1">IFERROR(__xludf.DUMMYFUNCTION("""COMPUTED_VALUE"""),0)</f>
        <v>0</v>
      </c>
      <c r="U431" s="97">
        <f ca="1">IFERROR(__xludf.DUMMYFUNCTION("""COMPUTED_VALUE"""),0)</f>
        <v>0</v>
      </c>
      <c r="V431" s="97">
        <f ca="1">IFERROR(__xludf.DUMMYFUNCTION("""COMPUTED_VALUE"""),0)</f>
        <v>0</v>
      </c>
      <c r="W431" s="97">
        <f ca="1">IFERROR(__xludf.DUMMYFUNCTION("""COMPUTED_VALUE"""),0)</f>
        <v>0</v>
      </c>
      <c r="X431" s="97">
        <f ca="1">IFERROR(__xludf.DUMMYFUNCTION("""COMPUTED_VALUE"""),0)</f>
        <v>0</v>
      </c>
      <c r="Y431" s="97">
        <f t="shared" ca="1" si="3"/>
        <v>0</v>
      </c>
      <c r="Z431" s="67">
        <f t="shared" ca="1" si="4"/>
        <v>0</v>
      </c>
      <c r="AA431" s="67"/>
      <c r="AB431" s="97">
        <f ca="1">IFERROR(__xludf.DUMMYFUNCTION("""COMPUTED_VALUE"""),0)</f>
        <v>0</v>
      </c>
      <c r="AC431" s="67"/>
      <c r="AD431" s="99" t="e">
        <f t="shared" ca="1" si="5"/>
        <v>#DIV/0!</v>
      </c>
      <c r="AE431" s="67"/>
      <c r="AF431" s="67"/>
      <c r="AG431" s="67"/>
      <c r="AH431" s="67"/>
      <c r="AI431" s="67"/>
      <c r="AJ431" s="67"/>
      <c r="AK431" s="67"/>
      <c r="AL431" s="67"/>
      <c r="AM431" s="67"/>
      <c r="AN431" s="67"/>
      <c r="AO431" s="67"/>
      <c r="AP431" s="67"/>
      <c r="AQ431" s="67"/>
      <c r="AR431" s="67"/>
      <c r="AS431" s="67"/>
      <c r="AT431" s="67"/>
    </row>
    <row r="432" spans="1:46" ht="144" hidden="1" x14ac:dyDescent="0.2">
      <c r="A432" s="67"/>
      <c r="B432" s="96"/>
      <c r="C43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2" s="24" t="str">
        <f ca="1">IFERROR(__xludf.DUMMYFUNCTION("""COMPUTED_VALUE"""),"Минкульт")</f>
        <v>Минкульт</v>
      </c>
      <c r="E432" s="20" t="str">
        <f ca="1">IFERROR(__xludf.DUMMYFUNCTION("""COMPUTED_VALUE"""),"Капитальный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f>
        <v xml:space="preserv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v>
      </c>
      <c r="F432" s="67"/>
      <c r="G432" s="67" t="str">
        <f ca="1">IFERROR(__xludf.DUMMYFUNCTION("""COMPUTED_VALUE"""),"г.о. Балашиха")</f>
        <v>г.о. Балашиха</v>
      </c>
      <c r="H432" s="67" t="str">
        <f ca="1">IFERROR(__xludf.DUMMYFUNCTION("""COMPUTED_VALUE"""),"2019-2020")</f>
        <v>2019-2020</v>
      </c>
      <c r="I432" s="67"/>
      <c r="J432" s="67"/>
      <c r="K432" s="97">
        <f t="shared" ca="1" si="1"/>
        <v>0</v>
      </c>
      <c r="L432" s="97">
        <f ca="1">IFERROR(__xludf.DUMMYFUNCTION("""COMPUTED_VALUE"""),0)</f>
        <v>0</v>
      </c>
      <c r="M432" s="67"/>
      <c r="N432" s="97">
        <f ca="1">IFERROR(__xludf.DUMMYFUNCTION("""COMPUTED_VALUE"""),0)</f>
        <v>0</v>
      </c>
      <c r="O432" s="97">
        <f ca="1">IFERROR(__xludf.DUMMYFUNCTION("""COMPUTED_VALUE"""),0)</f>
        <v>0</v>
      </c>
      <c r="P432" s="97">
        <f t="shared" ca="1" si="2"/>
        <v>0</v>
      </c>
      <c r="Q432" s="67"/>
      <c r="R432" s="67"/>
      <c r="S432" s="67">
        <f ca="1">IFERROR(__xludf.DUMMYFUNCTION("""COMPUTED_VALUE"""),0)</f>
        <v>0</v>
      </c>
      <c r="T432" s="97">
        <f ca="1">IFERROR(__xludf.DUMMYFUNCTION("""COMPUTED_VALUE"""),0)</f>
        <v>0</v>
      </c>
      <c r="U432" s="97">
        <f ca="1">IFERROR(__xludf.DUMMYFUNCTION("""COMPUTED_VALUE"""),0)</f>
        <v>0</v>
      </c>
      <c r="V432" s="97">
        <f ca="1">IFERROR(__xludf.DUMMYFUNCTION("""COMPUTED_VALUE"""),0)</f>
        <v>0</v>
      </c>
      <c r="W432" s="97">
        <f ca="1">IFERROR(__xludf.DUMMYFUNCTION("""COMPUTED_VALUE"""),0)</f>
        <v>0</v>
      </c>
      <c r="X432" s="97">
        <f ca="1">IFERROR(__xludf.DUMMYFUNCTION("""COMPUTED_VALUE"""),0)</f>
        <v>0</v>
      </c>
      <c r="Y432" s="97">
        <f t="shared" ca="1" si="3"/>
        <v>0</v>
      </c>
      <c r="Z432" s="67">
        <f t="shared" si="4"/>
        <v>0</v>
      </c>
      <c r="AA432" s="67"/>
      <c r="AB432" s="67"/>
      <c r="AC432" s="67"/>
      <c r="AD432" s="99" t="e">
        <f t="shared" ca="1" si="5"/>
        <v>#DIV/0!</v>
      </c>
      <c r="AE432" s="67"/>
      <c r="AF432" s="67"/>
      <c r="AG432" s="67"/>
      <c r="AH432" s="67"/>
      <c r="AI432" s="67"/>
      <c r="AJ432" s="67"/>
      <c r="AK432" s="67"/>
      <c r="AL432" s="67"/>
      <c r="AM432" s="67"/>
      <c r="AN432" s="67"/>
      <c r="AO432" s="67"/>
      <c r="AP432" s="67"/>
      <c r="AQ432" s="67"/>
      <c r="AR432" s="67"/>
      <c r="AS432" s="67"/>
      <c r="AT432" s="67"/>
    </row>
    <row r="433" spans="1:46" ht="96" hidden="1" x14ac:dyDescent="0.2">
      <c r="A433" s="67"/>
      <c r="B433" s="96"/>
      <c r="C433"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3" s="24" t="str">
        <f ca="1">IFERROR(__xludf.DUMMYFUNCTION("""COMPUTED_VALUE"""),"МинЖКХ ")</f>
        <v xml:space="preserve">МинЖКХ </v>
      </c>
      <c r="E433" s="20" t="str">
        <f ca="1">IFERROR(__xludf.DUMMYFUNCTION("""COMPUTED_VALUE"""),"Реконструкция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f>
        <v>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v>
      </c>
      <c r="F433" s="67"/>
      <c r="G433" s="67" t="str">
        <f ca="1">IFERROR(__xludf.DUMMYFUNCTION("""COMPUTED_VALUE"""),"ЗАТО Власиха")</f>
        <v>ЗАТО Власиха</v>
      </c>
      <c r="H433" s="101" t="str">
        <f ca="1">IFERROR(__xludf.DUMMYFUNCTION("""COMPUTED_VALUE"""),"2019")</f>
        <v>2019</v>
      </c>
      <c r="I433" s="67"/>
      <c r="J433" s="67"/>
      <c r="K433" s="97">
        <f t="shared" ca="1" si="1"/>
        <v>0</v>
      </c>
      <c r="L433" s="97">
        <f ca="1">IFERROR(__xludf.DUMMYFUNCTION("""COMPUTED_VALUE"""),0)</f>
        <v>0</v>
      </c>
      <c r="M433" s="67"/>
      <c r="N433" s="97">
        <f ca="1">IFERROR(__xludf.DUMMYFUNCTION("""COMPUTED_VALUE"""),0)</f>
        <v>0</v>
      </c>
      <c r="O433" s="97">
        <f ca="1">IFERROR(__xludf.DUMMYFUNCTION("""COMPUTED_VALUE"""),0)</f>
        <v>0</v>
      </c>
      <c r="P433" s="97">
        <f t="shared" ca="1" si="2"/>
        <v>0</v>
      </c>
      <c r="Q433" s="67"/>
      <c r="R433" s="67"/>
      <c r="S433" s="67">
        <f ca="1">IFERROR(__xludf.DUMMYFUNCTION("""COMPUTED_VALUE"""),0)</f>
        <v>0</v>
      </c>
      <c r="T433" s="97">
        <f ca="1">IFERROR(__xludf.DUMMYFUNCTION("""COMPUTED_VALUE"""),0)</f>
        <v>0</v>
      </c>
      <c r="U433" s="97">
        <f ca="1">IFERROR(__xludf.DUMMYFUNCTION("""COMPUTED_VALUE"""),0)</f>
        <v>0</v>
      </c>
      <c r="V433" s="97">
        <f ca="1">IFERROR(__xludf.DUMMYFUNCTION("""COMPUTED_VALUE"""),0)</f>
        <v>0</v>
      </c>
      <c r="W433" s="97">
        <f ca="1">IFERROR(__xludf.DUMMYFUNCTION("""COMPUTED_VALUE"""),0)</f>
        <v>0</v>
      </c>
      <c r="X433" s="97">
        <f ca="1">IFERROR(__xludf.DUMMYFUNCTION("""COMPUTED_VALUE"""),0)</f>
        <v>0</v>
      </c>
      <c r="Y433" s="97">
        <f t="shared" ca="1" si="3"/>
        <v>0</v>
      </c>
      <c r="Z433" s="67">
        <f t="shared" si="4"/>
        <v>0</v>
      </c>
      <c r="AA433" s="67"/>
      <c r="AB433" s="67"/>
      <c r="AC433" s="67"/>
      <c r="AD433" s="99" t="e">
        <f t="shared" ca="1" si="5"/>
        <v>#DIV/0!</v>
      </c>
      <c r="AE433" s="67"/>
      <c r="AF433" s="67"/>
      <c r="AG433" s="67"/>
      <c r="AH433" s="67"/>
      <c r="AI433" s="67"/>
      <c r="AJ433" s="67"/>
      <c r="AK433" s="67"/>
      <c r="AL433" s="67"/>
      <c r="AM433" s="67"/>
      <c r="AN433" s="67"/>
      <c r="AO433" s="67"/>
      <c r="AP433" s="67"/>
      <c r="AQ433" s="67"/>
      <c r="AR433" s="67"/>
      <c r="AS433" s="67"/>
      <c r="AT433" s="67"/>
    </row>
    <row r="434" spans="1:46" ht="144" hidden="1" x14ac:dyDescent="0.2">
      <c r="A434" s="67"/>
      <c r="B434" s="96"/>
      <c r="C43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4" s="24" t="str">
        <f ca="1">IFERROR(__xludf.DUMMYFUNCTION("""COMPUTED_VALUE"""),"МинЖКХ ")</f>
        <v xml:space="preserve">МинЖКХ </v>
      </c>
      <c r="E434" s="20" t="str">
        <f ca="1">IFERROR(__xludf.DUMMYFUNCTION("""COMPUTED_VALUE"""),"Капитальный ремонт сетей водоснабжения п. Власиха военный городок № 22/1 (г.Одинцово-10)
")</f>
        <v xml:space="preserve">Капитальный ремонт сетей водоснабжения п. Власиха военный городок № 22/1 (г.Одинцово-10)
</v>
      </c>
      <c r="F434" s="67"/>
      <c r="G434" s="67" t="str">
        <f ca="1">IFERROR(__xludf.DUMMYFUNCTION("""COMPUTED_VALUE"""),"ЗАТО Власиха")</f>
        <v>ЗАТО Власиха</v>
      </c>
      <c r="H434" s="67">
        <f ca="1">IFERROR(__xludf.DUMMYFUNCTION("""COMPUTED_VALUE"""),2019)</f>
        <v>2019</v>
      </c>
      <c r="I434" s="67"/>
      <c r="J434" s="67"/>
      <c r="K434" s="97">
        <f t="shared" ca="1" si="1"/>
        <v>0</v>
      </c>
      <c r="L434" s="97">
        <f ca="1">IFERROR(__xludf.DUMMYFUNCTION("""COMPUTED_VALUE"""),0)</f>
        <v>0</v>
      </c>
      <c r="M434" s="67"/>
      <c r="N434" s="97">
        <f ca="1">IFERROR(__xludf.DUMMYFUNCTION("""COMPUTED_VALUE"""),0)</f>
        <v>0</v>
      </c>
      <c r="O434" s="97">
        <f ca="1">IFERROR(__xludf.DUMMYFUNCTION("""COMPUTED_VALUE"""),0)</f>
        <v>0</v>
      </c>
      <c r="P434" s="97">
        <f t="shared" ca="1" si="2"/>
        <v>0</v>
      </c>
      <c r="Q434" s="67"/>
      <c r="R434" s="67"/>
      <c r="S434" s="67">
        <f ca="1">IFERROR(__xludf.DUMMYFUNCTION("""COMPUTED_VALUE"""),0)</f>
        <v>0</v>
      </c>
      <c r="T434" s="97">
        <f ca="1">IFERROR(__xludf.DUMMYFUNCTION("""COMPUTED_VALUE"""),0)</f>
        <v>0</v>
      </c>
      <c r="U434" s="97">
        <f ca="1">IFERROR(__xludf.DUMMYFUNCTION("""COMPUTED_VALUE"""),0)</f>
        <v>0</v>
      </c>
      <c r="V434" s="97">
        <f ca="1">IFERROR(__xludf.DUMMYFUNCTION("""COMPUTED_VALUE"""),0)</f>
        <v>0</v>
      </c>
      <c r="W434" s="97">
        <f ca="1">IFERROR(__xludf.DUMMYFUNCTION("""COMPUTED_VALUE"""),0)</f>
        <v>0</v>
      </c>
      <c r="X434" s="97">
        <f ca="1">IFERROR(__xludf.DUMMYFUNCTION("""COMPUTED_VALUE"""),0)</f>
        <v>0</v>
      </c>
      <c r="Y434" s="97">
        <f t="shared" ca="1" si="3"/>
        <v>0</v>
      </c>
      <c r="Z434" s="67">
        <f t="shared" si="4"/>
        <v>0</v>
      </c>
      <c r="AA434" s="67"/>
      <c r="AB434" s="67"/>
      <c r="AC434" s="67"/>
      <c r="AD434" s="99" t="e">
        <f t="shared" ca="1" si="5"/>
        <v>#DIV/0!</v>
      </c>
      <c r="AE434" s="67"/>
      <c r="AF434" s="67"/>
      <c r="AG434" s="67"/>
      <c r="AH434" s="67"/>
      <c r="AI434" s="67"/>
      <c r="AJ434" s="67"/>
      <c r="AK434" s="67"/>
      <c r="AL434" s="67"/>
      <c r="AM434" s="67"/>
      <c r="AN434" s="67"/>
      <c r="AO434" s="67"/>
      <c r="AP434" s="67"/>
      <c r="AQ434" s="67"/>
      <c r="AR434" s="67"/>
      <c r="AS434" s="67"/>
      <c r="AT434" s="67"/>
    </row>
    <row r="435" spans="1:46" ht="144" hidden="1" x14ac:dyDescent="0.2">
      <c r="A435" s="67"/>
      <c r="B435" s="96"/>
      <c r="C435"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5" s="24" t="str">
        <f ca="1">IFERROR(__xludf.DUMMYFUNCTION("""COMPUTED_VALUE"""),"Минкульт")</f>
        <v>Минкульт</v>
      </c>
      <c r="E435" s="20" t="str">
        <f ca="1">IFERROR(__xludf.DUMMYFUNCTION("""COMPUTED_VALUE"""),"Капитальный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f>
        <v xml:space="preserv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v>
      </c>
      <c r="F435" s="67"/>
      <c r="G435" s="67" t="str">
        <f ca="1">IFERROR(__xludf.DUMMYFUNCTION("""COMPUTED_VALUE"""),"ЗАТО Власиха")</f>
        <v>ЗАТО Власиха</v>
      </c>
      <c r="H435" s="67" t="str">
        <f ca="1">IFERROR(__xludf.DUMMYFUNCTION("""COMPUTED_VALUE"""),"2018-2020")</f>
        <v>2018-2020</v>
      </c>
      <c r="I435" s="67"/>
      <c r="J435" s="67"/>
      <c r="K435" s="97">
        <f t="shared" ca="1" si="1"/>
        <v>62635.589999999989</v>
      </c>
      <c r="L435" s="97">
        <f ca="1">IFERROR(__xludf.DUMMYFUNCTION("""COMPUTED_VALUE"""),59503.81)</f>
        <v>59503.81</v>
      </c>
      <c r="M435" s="67"/>
      <c r="N435" s="97">
        <f ca="1">IFERROR(__xludf.DUMMYFUNCTION("""COMPUTED_VALUE"""),0)</f>
        <v>0</v>
      </c>
      <c r="O435" s="97">
        <f ca="1">IFERROR(__xludf.DUMMYFUNCTION("""COMPUTED_VALUE"""),3131.77999999999)</f>
        <v>3131.7799999999902</v>
      </c>
      <c r="P435" s="97">
        <f t="shared" ca="1" si="2"/>
        <v>59503.81</v>
      </c>
      <c r="Q435" s="67"/>
      <c r="R435" s="67"/>
      <c r="S435" s="67">
        <f ca="1">IFERROR(__xludf.DUMMYFUNCTION("""COMPUTED_VALUE"""),0)</f>
        <v>0</v>
      </c>
      <c r="T435" s="97">
        <f ca="1">IFERROR(__xludf.DUMMYFUNCTION("""COMPUTED_VALUE"""),62635.59)</f>
        <v>62635.59</v>
      </c>
      <c r="U435" s="97">
        <f ca="1">IFERROR(__xludf.DUMMYFUNCTION("""COMPUTED_VALUE"""),59503.81)</f>
        <v>59503.81</v>
      </c>
      <c r="V435" s="97">
        <f ca="1">IFERROR(__xludf.DUMMYFUNCTION("""COMPUTED_VALUE"""),0)</f>
        <v>0</v>
      </c>
      <c r="W435" s="97">
        <f ca="1">IFERROR(__xludf.DUMMYFUNCTION("""COMPUTED_VALUE"""),0)</f>
        <v>0</v>
      </c>
      <c r="X435" s="97">
        <f ca="1">IFERROR(__xludf.DUMMYFUNCTION("""COMPUTED_VALUE"""),3131.77999999999)</f>
        <v>3131.7799999999902</v>
      </c>
      <c r="Y435" s="97">
        <f t="shared" ca="1" si="3"/>
        <v>59503.81</v>
      </c>
      <c r="Z435" s="67">
        <f t="shared" si="4"/>
        <v>0</v>
      </c>
      <c r="AA435" s="67"/>
      <c r="AB435" s="67"/>
      <c r="AC435" s="67"/>
      <c r="AD435" s="99">
        <f t="shared" ca="1" si="5"/>
        <v>0</v>
      </c>
      <c r="AE435" s="67"/>
      <c r="AF435" s="67"/>
      <c r="AG435" s="67"/>
      <c r="AH435" s="67"/>
      <c r="AI435" s="67"/>
      <c r="AJ435" s="67"/>
      <c r="AK435" s="67"/>
      <c r="AL435" s="67"/>
      <c r="AM435" s="67"/>
      <c r="AN435" s="67"/>
      <c r="AO435" s="67"/>
      <c r="AP435" s="67"/>
      <c r="AQ435" s="67"/>
      <c r="AR435" s="67"/>
      <c r="AS435" s="67"/>
      <c r="AT435" s="67"/>
    </row>
    <row r="436" spans="1:46" ht="96" hidden="1" x14ac:dyDescent="0.2">
      <c r="A436" s="67"/>
      <c r="B436" s="96"/>
      <c r="C43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6" s="24" t="str">
        <f ca="1">IFERROR(__xludf.DUMMYFUNCTION("""COMPUTED_VALUE"""),"МинЖКХ ")</f>
        <v xml:space="preserve">МинЖКХ </v>
      </c>
      <c r="E436" s="20" t="str">
        <f ca="1">IFERROR(__xludf.DUMMYFUNCTION("""COMPUTED_VALUE"""),"Канализационные очистные сооружения хозяйственно-бытовых сточных вод производительностью 1500 куб.м/сут. по адресу: п. Молодежный (в том числе ПИР)")</f>
        <v>Канализационные очистные сооружения хозяйственно-бытовых сточных вод производительностью 1500 куб.м/сут. по адресу: п. Молодежный (в том числе ПИР)</v>
      </c>
      <c r="F436" s="67"/>
      <c r="G436" s="67" t="str">
        <f ca="1">IFERROR(__xludf.DUMMYFUNCTION("""COMPUTED_VALUE"""),"ЗАТО Молодежный")</f>
        <v>ЗАТО Молодежный</v>
      </c>
      <c r="H436" s="67" t="str">
        <f ca="1">IFERROR(__xludf.DUMMYFUNCTION("""COMPUTED_VALUE"""),"2016, 2022")</f>
        <v>2016, 2022</v>
      </c>
      <c r="I436" s="67"/>
      <c r="J436" s="67"/>
      <c r="K436" s="97">
        <f t="shared" ca="1" si="1"/>
        <v>0</v>
      </c>
      <c r="L436" s="97">
        <f ca="1">IFERROR(__xludf.DUMMYFUNCTION("""COMPUTED_VALUE"""),0)</f>
        <v>0</v>
      </c>
      <c r="M436" s="67"/>
      <c r="N436" s="97">
        <f ca="1">IFERROR(__xludf.DUMMYFUNCTION("""COMPUTED_VALUE"""),0)</f>
        <v>0</v>
      </c>
      <c r="O436" s="97">
        <f ca="1">IFERROR(__xludf.DUMMYFUNCTION("""COMPUTED_VALUE"""),0)</f>
        <v>0</v>
      </c>
      <c r="P436" s="97">
        <f t="shared" ca="1" si="2"/>
        <v>0</v>
      </c>
      <c r="Q436" s="98">
        <f ca="1">IFERROR(__xludf.DUMMYFUNCTION("""COMPUTED_VALUE"""),0)</f>
        <v>0</v>
      </c>
      <c r="R436" s="67"/>
      <c r="S436" s="97">
        <f ca="1">IFERROR(__xludf.DUMMYFUNCTION("""COMPUTED_VALUE"""),0)</f>
        <v>0</v>
      </c>
      <c r="T436" s="97">
        <f ca="1">IFERROR(__xludf.DUMMYFUNCTION("""COMPUTED_VALUE"""),0)</f>
        <v>0</v>
      </c>
      <c r="U436" s="97">
        <f ca="1">IFERROR(__xludf.DUMMYFUNCTION("""COMPUTED_VALUE"""),0)</f>
        <v>0</v>
      </c>
      <c r="V436" s="97">
        <f ca="1">IFERROR(__xludf.DUMMYFUNCTION("""COMPUTED_VALUE"""),0)</f>
        <v>0</v>
      </c>
      <c r="W436" s="97">
        <f ca="1">IFERROR(__xludf.DUMMYFUNCTION("""COMPUTED_VALUE"""),0)</f>
        <v>0</v>
      </c>
      <c r="X436" s="97">
        <f ca="1">IFERROR(__xludf.DUMMYFUNCTION("""COMPUTED_VALUE"""),0)</f>
        <v>0</v>
      </c>
      <c r="Y436" s="97">
        <f t="shared" ca="1" si="3"/>
        <v>0</v>
      </c>
      <c r="Z436" s="67">
        <f t="shared" ca="1" si="4"/>
        <v>0</v>
      </c>
      <c r="AA436" s="67"/>
      <c r="AB436" s="97">
        <f ca="1">IFERROR(__xludf.DUMMYFUNCTION("""COMPUTED_VALUE"""),0)</f>
        <v>0</v>
      </c>
      <c r="AC436" s="67"/>
      <c r="AD436" s="99" t="e">
        <f t="shared" ca="1" si="5"/>
        <v>#DIV/0!</v>
      </c>
      <c r="AE436" s="67"/>
      <c r="AF436" s="67"/>
      <c r="AG436" s="67"/>
      <c r="AH436" s="67"/>
      <c r="AI436" s="67"/>
      <c r="AJ436" s="67"/>
      <c r="AK436" s="67"/>
      <c r="AL436" s="67"/>
      <c r="AM436" s="67"/>
      <c r="AN436" s="67"/>
      <c r="AO436" s="67"/>
      <c r="AP436" s="67"/>
      <c r="AQ436" s="67"/>
      <c r="AR436" s="67"/>
      <c r="AS436" s="67"/>
      <c r="AT436" s="67"/>
    </row>
    <row r="437" spans="1:46" ht="96" hidden="1" x14ac:dyDescent="0.2">
      <c r="A437" s="67"/>
      <c r="B437" s="96"/>
      <c r="C43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7" s="24" t="str">
        <f ca="1">IFERROR(__xludf.DUMMYFUNCTION("""COMPUTED_VALUE"""),"Минстрой")</f>
        <v>Минстрой</v>
      </c>
      <c r="E437" s="20" t="str">
        <f ca="1">IFERROR(__xludf.DUMMYFUNCTION("""COMPUTED_VALUE"""),"Физкультурно-оздоровительный комплекс с универсальным спортивным залом (ПИР и строительство) в ЗАТО Молодежный")</f>
        <v>Физкультурно-оздоровительный комплекс с универсальным спортивным залом (ПИР и строительство) в ЗАТО Молодежный</v>
      </c>
      <c r="F437" s="67"/>
      <c r="G437" s="67" t="str">
        <f ca="1">IFERROR(__xludf.DUMMYFUNCTION("""COMPUTED_VALUE"""),"ЗАТО Молодежный")</f>
        <v>ЗАТО Молодежный</v>
      </c>
      <c r="H437" s="67" t="str">
        <f ca="1">IFERROR(__xludf.DUMMYFUNCTION("""COMPUTED_VALUE"""),"2018-2020")</f>
        <v>2018-2020</v>
      </c>
      <c r="I437" s="67"/>
      <c r="J437" s="67"/>
      <c r="K437" s="97">
        <f t="shared" ca="1" si="1"/>
        <v>0</v>
      </c>
      <c r="L437" s="97">
        <f ca="1">IFERROR(__xludf.DUMMYFUNCTION("""COMPUTED_VALUE"""),0)</f>
        <v>0</v>
      </c>
      <c r="M437" s="67"/>
      <c r="N437" s="97">
        <f ca="1">IFERROR(__xludf.DUMMYFUNCTION("""COMPUTED_VALUE"""),0)</f>
        <v>0</v>
      </c>
      <c r="O437" s="97">
        <f ca="1">IFERROR(__xludf.DUMMYFUNCTION("""COMPUTED_VALUE"""),0)</f>
        <v>0</v>
      </c>
      <c r="P437" s="97">
        <f t="shared" ca="1" si="2"/>
        <v>0</v>
      </c>
      <c r="Q437" s="67"/>
      <c r="R437" s="67"/>
      <c r="S437" s="67">
        <f ca="1">IFERROR(__xludf.DUMMYFUNCTION("""COMPUTED_VALUE"""),0)</f>
        <v>0</v>
      </c>
      <c r="T437" s="97">
        <f ca="1">IFERROR(__xludf.DUMMYFUNCTION("""COMPUTED_VALUE"""),0)</f>
        <v>0</v>
      </c>
      <c r="U437" s="97">
        <f ca="1">IFERROR(__xludf.DUMMYFUNCTION("""COMPUTED_VALUE"""),0)</f>
        <v>0</v>
      </c>
      <c r="V437" s="97">
        <f ca="1">IFERROR(__xludf.DUMMYFUNCTION("""COMPUTED_VALUE"""),0)</f>
        <v>0</v>
      </c>
      <c r="W437" s="97">
        <f ca="1">IFERROR(__xludf.DUMMYFUNCTION("""COMPUTED_VALUE"""),0)</f>
        <v>0</v>
      </c>
      <c r="X437" s="97">
        <f ca="1">IFERROR(__xludf.DUMMYFUNCTION("""COMPUTED_VALUE"""),0)</f>
        <v>0</v>
      </c>
      <c r="Y437" s="97">
        <f t="shared" ca="1" si="3"/>
        <v>0</v>
      </c>
      <c r="Z437" s="67">
        <f t="shared" si="4"/>
        <v>0</v>
      </c>
      <c r="AA437" s="67"/>
      <c r="AB437" s="67"/>
      <c r="AC437" s="67"/>
      <c r="AD437" s="99" t="e">
        <f t="shared" ca="1" si="5"/>
        <v>#DIV/0!</v>
      </c>
      <c r="AE437" s="67"/>
      <c r="AF437" s="67"/>
      <c r="AG437" s="67"/>
      <c r="AH437" s="67"/>
      <c r="AI437" s="67"/>
      <c r="AJ437" s="67"/>
      <c r="AK437" s="67"/>
      <c r="AL437" s="67"/>
      <c r="AM437" s="67"/>
      <c r="AN437" s="67"/>
      <c r="AO437" s="67"/>
      <c r="AP437" s="67"/>
      <c r="AQ437" s="67"/>
      <c r="AR437" s="67"/>
      <c r="AS437" s="67"/>
      <c r="AT437" s="67"/>
    </row>
    <row r="438" spans="1:46" ht="96" x14ac:dyDescent="0.2">
      <c r="A438" s="20"/>
      <c r="B438" s="95"/>
      <c r="C438"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8" s="24" t="str">
        <f ca="1">IFERROR(__xludf.DUMMYFUNCTION("""COMPUTED_VALUE"""),"МинЖКХ ")</f>
        <v xml:space="preserve">МинЖКХ </v>
      </c>
      <c r="E438" s="20" t="str">
        <f ca="1">IFERROR(__xludf.DUMMYFUNCTION("""COMPUTED_VALUE"""),"Реконструкция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f>
        <v>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v>
      </c>
      <c r="F438" s="24" t="str">
        <f ca="1">IFERROR(__xludf.DUMMYFUNCTION("""COMPUTED_VALUE"""),"Вып")</f>
        <v>Вып</v>
      </c>
      <c r="G438" s="20" t="str">
        <f ca="1">IFERROR(__xludf.DUMMYFUNCTION("""COMPUTED_VALUE"""),"г.о. Коломенский")</f>
        <v>г.о. Коломенский</v>
      </c>
      <c r="H438" s="41" t="str">
        <f ca="1">IFERROR(__xludf.DUMMYFUNCTION("""COMPUTED_VALUE"""),"2019-2020")</f>
        <v>2019-2020</v>
      </c>
      <c r="I438" s="20" t="str">
        <f ca="1">IFERROR(__xludf.DUMMYFUNCTION("""COMPUTED_VALUE"""),"10 3 03 64460")</f>
        <v>10 3 03 64460</v>
      </c>
      <c r="J438" s="20">
        <f ca="1">IFERROR(__xludf.DUMMYFUNCTION("""COMPUTED_VALUE"""),522)</f>
        <v>522</v>
      </c>
      <c r="K438" s="24">
        <f t="shared" ca="1" si="1"/>
        <v>43313.36</v>
      </c>
      <c r="L438" s="24">
        <f ca="1">IFERROR(__xludf.DUMMYFUNCTION("""COMPUTED_VALUE"""),0)</f>
        <v>0</v>
      </c>
      <c r="M438" s="20"/>
      <c r="N438" s="24">
        <f ca="1">IFERROR(__xludf.DUMMYFUNCTION("""COMPUTED_VALUE"""),41166.72)</f>
        <v>41166.720000000001</v>
      </c>
      <c r="O438" s="24">
        <f ca="1">IFERROR(__xludf.DUMMYFUNCTION("""COMPUTED_VALUE"""),2146.64)</f>
        <v>2146.64</v>
      </c>
      <c r="P438" s="24">
        <f t="shared" ca="1" si="2"/>
        <v>41166.720000000001</v>
      </c>
      <c r="Q438" s="20">
        <f ca="1">IFERROR(__xludf.DUMMYFUNCTION("""COMPUTED_VALUE"""),100)</f>
        <v>100</v>
      </c>
      <c r="R438" s="20"/>
      <c r="S438" s="24">
        <f ca="1">IFERROR(__xludf.DUMMYFUNCTION("""COMPUTED_VALUE"""),40322.18)</f>
        <v>40322.18</v>
      </c>
      <c r="T438" s="24">
        <f ca="1">IFERROR(__xludf.DUMMYFUNCTION("""COMPUTED_VALUE"""),2991.18)</f>
        <v>2991.18</v>
      </c>
      <c r="U438" s="24">
        <f ca="1">IFERROR(__xludf.DUMMYFUNCTION("""COMPUTED_VALUE"""),0)</f>
        <v>0</v>
      </c>
      <c r="V438" s="24">
        <f ca="1">IFERROR(__xludf.DUMMYFUNCTION("""COMPUTED_VALUE"""),0)</f>
        <v>0</v>
      </c>
      <c r="W438" s="24">
        <f ca="1">IFERROR(__xludf.DUMMYFUNCTION("""COMPUTED_VALUE"""),844.54)</f>
        <v>844.54</v>
      </c>
      <c r="X438" s="24">
        <f ca="1">IFERROR(__xludf.DUMMYFUNCTION("""COMPUTED_VALUE"""),2146.64)</f>
        <v>2146.64</v>
      </c>
      <c r="Y438" s="24">
        <f t="shared" ca="1" si="3"/>
        <v>844.54</v>
      </c>
      <c r="Z438" s="20">
        <f t="shared" ca="1" si="4"/>
        <v>40322.18</v>
      </c>
      <c r="AA438" s="20"/>
      <c r="AB438" s="20"/>
      <c r="AC438" s="24">
        <f ca="1">IFERROR(__xludf.DUMMYFUNCTION("""COMPUTED_VALUE"""),40322.18)</f>
        <v>40322.18</v>
      </c>
      <c r="AD438" s="94">
        <f t="shared" ca="1" si="5"/>
        <v>0.97948488487788188</v>
      </c>
      <c r="AE438" s="20"/>
      <c r="AF438" s="20"/>
      <c r="AG438" s="20"/>
      <c r="AH438" s="20"/>
      <c r="AI438" s="20"/>
      <c r="AJ438" s="20"/>
      <c r="AK438" s="20"/>
      <c r="AL438" s="20"/>
      <c r="AM438" s="20"/>
      <c r="AN438" s="20"/>
      <c r="AO438" s="20"/>
      <c r="AP438" s="20"/>
      <c r="AQ438" s="20"/>
      <c r="AR438" s="20"/>
      <c r="AS438" s="20"/>
      <c r="AT438" s="20"/>
    </row>
    <row r="439" spans="1:46" ht="84" hidden="1" x14ac:dyDescent="0.2">
      <c r="A439" s="67"/>
      <c r="B439" s="100"/>
      <c r="C439"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39" s="24" t="str">
        <f ca="1">IFERROR(__xludf.DUMMYFUNCTION("""COMPUTED_VALUE"""),"МинЖКХ ")</f>
        <v xml:space="preserve">МинЖКХ </v>
      </c>
      <c r="E439" s="20" t="str">
        <f ca="1">IFERROR(__xludf.DUMMYFUNCTION("""COMPUTED_VALUE"""),"Реконструкция инженерных сетей на территории городского округа Звездный городок Московской области
 ")</f>
        <v xml:space="preserve">Реконструкция инженерных сетей на территории городского округа Звездный городок Московской области
 </v>
      </c>
      <c r="F439" s="67"/>
      <c r="G439" s="67" t="str">
        <f ca="1">IFERROR(__xludf.DUMMYFUNCTION("""COMPUTED_VALUE"""),"г.о. Звездный городок")</f>
        <v>г.о. Звездный городок</v>
      </c>
      <c r="H439" s="67">
        <f ca="1">IFERROR(__xludf.DUMMYFUNCTION("""COMPUTED_VALUE"""),2019)</f>
        <v>2019</v>
      </c>
      <c r="I439" s="67"/>
      <c r="J439" s="67"/>
      <c r="K439" s="97">
        <f t="shared" ca="1" si="1"/>
        <v>0</v>
      </c>
      <c r="L439" s="97">
        <f ca="1">IFERROR(__xludf.DUMMYFUNCTION("""COMPUTED_VALUE"""),0)</f>
        <v>0</v>
      </c>
      <c r="M439" s="67"/>
      <c r="N439" s="97">
        <f ca="1">IFERROR(__xludf.DUMMYFUNCTION("""COMPUTED_VALUE"""),0)</f>
        <v>0</v>
      </c>
      <c r="O439" s="97">
        <f ca="1">IFERROR(__xludf.DUMMYFUNCTION("""COMPUTED_VALUE"""),0)</f>
        <v>0</v>
      </c>
      <c r="P439" s="97">
        <f t="shared" ca="1" si="2"/>
        <v>0</v>
      </c>
      <c r="Q439" s="67"/>
      <c r="R439" s="67"/>
      <c r="S439" s="67">
        <f ca="1">IFERROR(__xludf.DUMMYFUNCTION("""COMPUTED_VALUE"""),0)</f>
        <v>0</v>
      </c>
      <c r="T439" s="97">
        <f ca="1">IFERROR(__xludf.DUMMYFUNCTION("""COMPUTED_VALUE"""),0)</f>
        <v>0</v>
      </c>
      <c r="U439" s="97">
        <f ca="1">IFERROR(__xludf.DUMMYFUNCTION("""COMPUTED_VALUE"""),0)</f>
        <v>0</v>
      </c>
      <c r="V439" s="97">
        <f ca="1">IFERROR(__xludf.DUMMYFUNCTION("""COMPUTED_VALUE"""),0)</f>
        <v>0</v>
      </c>
      <c r="W439" s="97">
        <f ca="1">IFERROR(__xludf.DUMMYFUNCTION("""COMPUTED_VALUE"""),0)</f>
        <v>0</v>
      </c>
      <c r="X439" s="97">
        <f ca="1">IFERROR(__xludf.DUMMYFUNCTION("""COMPUTED_VALUE"""),0)</f>
        <v>0</v>
      </c>
      <c r="Y439" s="97">
        <f t="shared" ca="1" si="3"/>
        <v>0</v>
      </c>
      <c r="Z439" s="67">
        <f t="shared" si="4"/>
        <v>0</v>
      </c>
      <c r="AA439" s="67"/>
      <c r="AB439" s="67"/>
      <c r="AC439" s="67"/>
      <c r="AD439" s="99" t="e">
        <f t="shared" ca="1" si="5"/>
        <v>#DIV/0!</v>
      </c>
      <c r="AE439" s="67"/>
      <c r="AF439" s="67"/>
      <c r="AG439" s="67"/>
      <c r="AH439" s="67"/>
      <c r="AI439" s="67"/>
      <c r="AJ439" s="67"/>
      <c r="AK439" s="67"/>
      <c r="AL439" s="67"/>
      <c r="AM439" s="67"/>
      <c r="AN439" s="67"/>
      <c r="AO439" s="67"/>
      <c r="AP439" s="67"/>
      <c r="AQ439" s="67"/>
      <c r="AR439" s="67"/>
      <c r="AS439" s="67"/>
      <c r="AT439" s="67"/>
    </row>
    <row r="440" spans="1:46" ht="144" hidden="1" x14ac:dyDescent="0.2">
      <c r="A440" s="67"/>
      <c r="B440" s="96"/>
      <c r="C440"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0" s="24" t="str">
        <f ca="1">IFERROR(__xludf.DUMMYFUNCTION("""COMPUTED_VALUE"""),"МинЖКХ")</f>
        <v>МинЖКХ</v>
      </c>
      <c r="E440" s="20" t="str">
        <f ca="1">IFERROR(__xludf.DUMMYFUNCTION("""COMPUTED_VALUE"""),"Капитальный ремонт тепловых сетей и сетей горячего водоснабжения, поселок Звёздный городок, военный городок № 1, в/ч 26266
")</f>
        <v xml:space="preserve">Капитальный ремонт тепловых сетей и сетей горячего водоснабжения, поселок Звёздный городок, военный городок № 1, в/ч 26266
</v>
      </c>
      <c r="F440" s="67"/>
      <c r="G440" s="67" t="str">
        <f ca="1">IFERROR(__xludf.DUMMYFUNCTION("""COMPUTED_VALUE"""),"г.о. Звездный городок")</f>
        <v>г.о. Звездный городок</v>
      </c>
      <c r="H440" s="67" t="str">
        <f ca="1">IFERROR(__xludf.DUMMYFUNCTION("""COMPUTED_VALUE"""),"2018-2019")</f>
        <v>2018-2019</v>
      </c>
      <c r="I440" s="67"/>
      <c r="J440" s="67"/>
      <c r="K440" s="97">
        <f t="shared" ca="1" si="1"/>
        <v>0</v>
      </c>
      <c r="L440" s="97">
        <f ca="1">IFERROR(__xludf.DUMMYFUNCTION("""COMPUTED_VALUE"""),0)</f>
        <v>0</v>
      </c>
      <c r="M440" s="67"/>
      <c r="N440" s="97">
        <f ca="1">IFERROR(__xludf.DUMMYFUNCTION("""COMPUTED_VALUE"""),0)</f>
        <v>0</v>
      </c>
      <c r="O440" s="97">
        <f ca="1">IFERROR(__xludf.DUMMYFUNCTION("""COMPUTED_VALUE"""),0)</f>
        <v>0</v>
      </c>
      <c r="P440" s="97">
        <f t="shared" ca="1" si="2"/>
        <v>0</v>
      </c>
      <c r="Q440" s="67"/>
      <c r="R440" s="67"/>
      <c r="S440" s="67">
        <f ca="1">IFERROR(__xludf.DUMMYFUNCTION("""COMPUTED_VALUE"""),0)</f>
        <v>0</v>
      </c>
      <c r="T440" s="97">
        <f ca="1">IFERROR(__xludf.DUMMYFUNCTION("""COMPUTED_VALUE"""),0)</f>
        <v>0</v>
      </c>
      <c r="U440" s="97">
        <f ca="1">IFERROR(__xludf.DUMMYFUNCTION("""COMPUTED_VALUE"""),0)</f>
        <v>0</v>
      </c>
      <c r="V440" s="97">
        <f ca="1">IFERROR(__xludf.DUMMYFUNCTION("""COMPUTED_VALUE"""),0)</f>
        <v>0</v>
      </c>
      <c r="W440" s="97">
        <f ca="1">IFERROR(__xludf.DUMMYFUNCTION("""COMPUTED_VALUE"""),0)</f>
        <v>0</v>
      </c>
      <c r="X440" s="97">
        <f ca="1">IFERROR(__xludf.DUMMYFUNCTION("""COMPUTED_VALUE"""),0)</f>
        <v>0</v>
      </c>
      <c r="Y440" s="97">
        <f t="shared" ca="1" si="3"/>
        <v>0</v>
      </c>
      <c r="Z440" s="67">
        <f t="shared" si="4"/>
        <v>0</v>
      </c>
      <c r="AA440" s="67"/>
      <c r="AB440" s="67"/>
      <c r="AC440" s="67"/>
      <c r="AD440" s="99" t="e">
        <f t="shared" ca="1" si="5"/>
        <v>#DIV/0!</v>
      </c>
      <c r="AE440" s="67"/>
      <c r="AF440" s="67"/>
      <c r="AG440" s="67"/>
      <c r="AH440" s="67"/>
      <c r="AI440" s="67"/>
      <c r="AJ440" s="67"/>
      <c r="AK440" s="67"/>
      <c r="AL440" s="67"/>
      <c r="AM440" s="67"/>
      <c r="AN440" s="67"/>
      <c r="AO440" s="67"/>
      <c r="AP440" s="67"/>
      <c r="AQ440" s="67"/>
      <c r="AR440" s="67"/>
      <c r="AS440" s="67"/>
      <c r="AT440" s="67"/>
    </row>
    <row r="441" spans="1:46" ht="144" hidden="1" x14ac:dyDescent="0.2">
      <c r="A441" s="67"/>
      <c r="B441" s="96"/>
      <c r="C44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1" s="24" t="str">
        <f ca="1">IFERROR(__xludf.DUMMYFUNCTION("""COMPUTED_VALUE"""),"МинЖКХ ")</f>
        <v xml:space="preserve">МинЖКХ </v>
      </c>
      <c r="E441" s="20" t="str">
        <f ca="1">IFERROR(__xludf.DUMMYFUNCTION("""COMPUTED_VALUE"""),"Приобретение, монтаж и ввод в эксплуатациюблочно-модульной станции обезжелезивания воды в Клин-9")</f>
        <v>Приобретение, монтаж и ввод в эксплуатациюблочно-модульной станции обезжелезивания воды в Клин-9</v>
      </c>
      <c r="F441" s="67"/>
      <c r="G441" s="67" t="str">
        <f ca="1">IFERROR(__xludf.DUMMYFUNCTION("""COMPUTED_VALUE"""),"г.о. Клин")</f>
        <v>г.о. Клин</v>
      </c>
      <c r="H441" s="67">
        <f ca="1">IFERROR(__xludf.DUMMYFUNCTION("""COMPUTED_VALUE"""),2019)</f>
        <v>2019</v>
      </c>
      <c r="I441" s="67"/>
      <c r="J441" s="67"/>
      <c r="K441" s="97">
        <f t="shared" ca="1" si="1"/>
        <v>0</v>
      </c>
      <c r="L441" s="97">
        <f ca="1">IFERROR(__xludf.DUMMYFUNCTION("""COMPUTED_VALUE"""),0)</f>
        <v>0</v>
      </c>
      <c r="M441" s="67"/>
      <c r="N441" s="97">
        <f ca="1">IFERROR(__xludf.DUMMYFUNCTION("""COMPUTED_VALUE"""),0)</f>
        <v>0</v>
      </c>
      <c r="O441" s="97">
        <f ca="1">IFERROR(__xludf.DUMMYFUNCTION("""COMPUTED_VALUE"""),0)</f>
        <v>0</v>
      </c>
      <c r="P441" s="97">
        <f t="shared" ca="1" si="2"/>
        <v>0</v>
      </c>
      <c r="Q441" s="67"/>
      <c r="R441" s="67"/>
      <c r="S441" s="67">
        <f ca="1">IFERROR(__xludf.DUMMYFUNCTION("""COMPUTED_VALUE"""),0)</f>
        <v>0</v>
      </c>
      <c r="T441" s="97">
        <f ca="1">IFERROR(__xludf.DUMMYFUNCTION("""COMPUTED_VALUE"""),0)</f>
        <v>0</v>
      </c>
      <c r="U441" s="97">
        <f ca="1">IFERROR(__xludf.DUMMYFUNCTION("""COMPUTED_VALUE"""),0)</f>
        <v>0</v>
      </c>
      <c r="V441" s="97">
        <f ca="1">IFERROR(__xludf.DUMMYFUNCTION("""COMPUTED_VALUE"""),0)</f>
        <v>0</v>
      </c>
      <c r="W441" s="97">
        <f ca="1">IFERROR(__xludf.DUMMYFUNCTION("""COMPUTED_VALUE"""),0)</f>
        <v>0</v>
      </c>
      <c r="X441" s="97">
        <f ca="1">IFERROR(__xludf.DUMMYFUNCTION("""COMPUTED_VALUE"""),0)</f>
        <v>0</v>
      </c>
      <c r="Y441" s="97">
        <f t="shared" ca="1" si="3"/>
        <v>0</v>
      </c>
      <c r="Z441" s="67">
        <f t="shared" si="4"/>
        <v>0</v>
      </c>
      <c r="AA441" s="67"/>
      <c r="AB441" s="67"/>
      <c r="AC441" s="67"/>
      <c r="AD441" s="99" t="e">
        <f t="shared" ca="1" si="5"/>
        <v>#DIV/0!</v>
      </c>
      <c r="AE441" s="67"/>
      <c r="AF441" s="67"/>
      <c r="AG441" s="67"/>
      <c r="AH441" s="67"/>
      <c r="AI441" s="67"/>
      <c r="AJ441" s="67"/>
      <c r="AK441" s="67"/>
      <c r="AL441" s="67"/>
      <c r="AM441" s="67"/>
      <c r="AN441" s="67"/>
      <c r="AO441" s="67"/>
      <c r="AP441" s="67"/>
      <c r="AQ441" s="67"/>
      <c r="AR441" s="67"/>
      <c r="AS441" s="67"/>
      <c r="AT441" s="67"/>
    </row>
    <row r="442" spans="1:46" ht="96" x14ac:dyDescent="0.2">
      <c r="A442" s="20"/>
      <c r="B442" s="95"/>
      <c r="C442"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2" s="24" t="str">
        <f ca="1">IFERROR(__xludf.DUMMYFUNCTION("""COMPUTED_VALUE"""),"МинЖКХ ")</f>
        <v xml:space="preserve">МинЖКХ </v>
      </c>
      <c r="E442" s="20" t="str">
        <f ca="1">IFERROR(__xludf.DUMMYFUNCTION("""COMPUTED_VALUE"""),"Строительство БМК, г. Коломна-1, военный городок Сосновый бор,  в/ч 17204 (в том числе ПИР) ")</f>
        <v xml:space="preserve">Строительство БМК, г. Коломна-1, военный городок Сосновый бор,  в/ч 17204 (в том числе ПИР) </v>
      </c>
      <c r="F442" s="24" t="str">
        <f ca="1">IFERROR(__xludf.DUMMYFUNCTION("""COMPUTED_VALUE"""),"ПИР")</f>
        <v>ПИР</v>
      </c>
      <c r="G442" s="20" t="str">
        <f ca="1">IFERROR(__xludf.DUMMYFUNCTION("""COMPUTED_VALUE"""),"г.о. Коломенский")</f>
        <v>г.о. Коломенский</v>
      </c>
      <c r="H442" s="41" t="str">
        <f ca="1">IFERROR(__xludf.DUMMYFUNCTION("""COMPUTED_VALUE"""),"2020-2022")</f>
        <v>2020-2022</v>
      </c>
      <c r="I442" s="20"/>
      <c r="J442" s="20"/>
      <c r="K442" s="24">
        <f t="shared" ca="1" si="1"/>
        <v>3950</v>
      </c>
      <c r="L442" s="24">
        <f ca="1">IFERROR(__xludf.DUMMYFUNCTION("""COMPUTED_VALUE"""),0)</f>
        <v>0</v>
      </c>
      <c r="M442" s="20"/>
      <c r="N442" s="24">
        <f ca="1">IFERROR(__xludf.DUMMYFUNCTION("""COMPUTED_VALUE"""),3752.5)</f>
        <v>3752.5</v>
      </c>
      <c r="O442" s="24">
        <f ca="1">IFERROR(__xludf.DUMMYFUNCTION("""COMPUTED_VALUE"""),197.5)</f>
        <v>197.5</v>
      </c>
      <c r="P442" s="24">
        <f t="shared" ca="1" si="2"/>
        <v>3752.5</v>
      </c>
      <c r="Q442" s="20">
        <f ca="1">IFERROR(__xludf.DUMMYFUNCTION("""COMPUTED_VALUE"""),100)</f>
        <v>100</v>
      </c>
      <c r="R442" s="20"/>
      <c r="S442" s="24">
        <f ca="1">IFERROR(__xludf.DUMMYFUNCTION("""COMPUTED_VALUE"""),3752.5)</f>
        <v>3752.5</v>
      </c>
      <c r="T442" s="24">
        <f ca="1">IFERROR(__xludf.DUMMYFUNCTION("""COMPUTED_VALUE"""),197.5)</f>
        <v>197.5</v>
      </c>
      <c r="U442" s="24">
        <f ca="1">IFERROR(__xludf.DUMMYFUNCTION("""COMPUTED_VALUE"""),0)</f>
        <v>0</v>
      </c>
      <c r="V442" s="24">
        <f ca="1">IFERROR(__xludf.DUMMYFUNCTION("""COMPUTED_VALUE"""),0)</f>
        <v>0</v>
      </c>
      <c r="W442" s="24">
        <f ca="1">IFERROR(__xludf.DUMMYFUNCTION("""COMPUTED_VALUE"""),0)</f>
        <v>0</v>
      </c>
      <c r="X442" s="24">
        <f ca="1">IFERROR(__xludf.DUMMYFUNCTION("""COMPUTED_VALUE"""),197.5)</f>
        <v>197.5</v>
      </c>
      <c r="Y442" s="24">
        <f t="shared" ca="1" si="3"/>
        <v>0</v>
      </c>
      <c r="Z442" s="20">
        <f t="shared" ca="1" si="4"/>
        <v>3752.5</v>
      </c>
      <c r="AA442" s="20"/>
      <c r="AB442" s="20"/>
      <c r="AC442" s="24">
        <f ca="1">IFERROR(__xludf.DUMMYFUNCTION("""COMPUTED_VALUE"""),3752.5)</f>
        <v>3752.5</v>
      </c>
      <c r="AD442" s="94">
        <f t="shared" ca="1" si="5"/>
        <v>1</v>
      </c>
      <c r="AE442" s="20"/>
      <c r="AF442" s="20"/>
      <c r="AG442" s="20"/>
      <c r="AH442" s="20"/>
      <c r="AI442" s="20"/>
      <c r="AJ442" s="20"/>
      <c r="AK442" s="20"/>
      <c r="AL442" s="20"/>
      <c r="AM442" s="20"/>
      <c r="AN442" s="20"/>
      <c r="AO442" s="20"/>
      <c r="AP442" s="20"/>
      <c r="AQ442" s="20"/>
      <c r="AR442" s="20"/>
      <c r="AS442" s="20"/>
      <c r="AT442" s="20"/>
    </row>
    <row r="443" spans="1:46" ht="96" hidden="1" x14ac:dyDescent="0.2">
      <c r="A443" s="67"/>
      <c r="B443" s="100"/>
      <c r="C443"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3" s="24" t="str">
        <f ca="1">IFERROR(__xludf.DUMMYFUNCTION("""COMPUTED_VALUE"""),"МинЖКХ ")</f>
        <v xml:space="preserve">МинЖКХ </v>
      </c>
      <c r="E443" s="20" t="str">
        <f ca="1">IFERROR(__xludf.DUMMYFUNCTION("""COMPUTED_VALUE"""),"Строительство скважины в п. Военный городок, Орехово-Зуевский городской округ")</f>
        <v>Строительство скважины в п. Военный городок, Орехово-Зуевский городской округ</v>
      </c>
      <c r="F443" s="67"/>
      <c r="G443" s="67" t="str">
        <f ca="1">IFERROR(__xludf.DUMMYFUNCTION("""COMPUTED_VALUE"""),"г.о. Орехово-Зуево")</f>
        <v>г.о. Орехово-Зуево</v>
      </c>
      <c r="H443" s="67">
        <f ca="1">IFERROR(__xludf.DUMMYFUNCTION("""COMPUTED_VALUE"""),2023)</f>
        <v>2023</v>
      </c>
      <c r="I443" s="67"/>
      <c r="J443" s="67"/>
      <c r="K443" s="97">
        <f t="shared" ca="1" si="1"/>
        <v>0</v>
      </c>
      <c r="L443" s="97">
        <f ca="1">IFERROR(__xludf.DUMMYFUNCTION("""COMPUTED_VALUE"""),0)</f>
        <v>0</v>
      </c>
      <c r="M443" s="67"/>
      <c r="N443" s="97">
        <f ca="1">IFERROR(__xludf.DUMMYFUNCTION("""COMPUTED_VALUE"""),0)</f>
        <v>0</v>
      </c>
      <c r="O443" s="97">
        <f ca="1">IFERROR(__xludf.DUMMYFUNCTION("""COMPUTED_VALUE"""),0)</f>
        <v>0</v>
      </c>
      <c r="P443" s="97">
        <f t="shared" ca="1" si="2"/>
        <v>0</v>
      </c>
      <c r="Q443" s="67">
        <f ca="1">IFERROR(__xludf.DUMMYFUNCTION("""COMPUTED_VALUE"""),0)</f>
        <v>0</v>
      </c>
      <c r="R443" s="67"/>
      <c r="S443" s="97">
        <f ca="1">IFERROR(__xludf.DUMMYFUNCTION("""COMPUTED_VALUE"""),0)</f>
        <v>0</v>
      </c>
      <c r="T443" s="97">
        <f ca="1">IFERROR(__xludf.DUMMYFUNCTION("""COMPUTED_VALUE"""),0)</f>
        <v>0</v>
      </c>
      <c r="U443" s="97">
        <f ca="1">IFERROR(__xludf.DUMMYFUNCTION("""COMPUTED_VALUE"""),0)</f>
        <v>0</v>
      </c>
      <c r="V443" s="97">
        <f ca="1">IFERROR(__xludf.DUMMYFUNCTION("""COMPUTED_VALUE"""),0)</f>
        <v>0</v>
      </c>
      <c r="W443" s="97">
        <f ca="1">IFERROR(__xludf.DUMMYFUNCTION("""COMPUTED_VALUE"""),0)</f>
        <v>0</v>
      </c>
      <c r="X443" s="97">
        <f ca="1">IFERROR(__xludf.DUMMYFUNCTION("""COMPUTED_VALUE"""),0)</f>
        <v>0</v>
      </c>
      <c r="Y443" s="97">
        <f t="shared" ca="1" si="3"/>
        <v>0</v>
      </c>
      <c r="Z443" s="67">
        <f t="shared" ca="1" si="4"/>
        <v>0</v>
      </c>
      <c r="AA443" s="67"/>
      <c r="AB443" s="97">
        <f ca="1">IFERROR(__xludf.DUMMYFUNCTION("""COMPUTED_VALUE"""),0)</f>
        <v>0</v>
      </c>
      <c r="AC443" s="67"/>
      <c r="AD443" s="99" t="e">
        <f t="shared" ca="1" si="5"/>
        <v>#DIV/0!</v>
      </c>
      <c r="AE443" s="67"/>
      <c r="AF443" s="67"/>
      <c r="AG443" s="67"/>
      <c r="AH443" s="67"/>
      <c r="AI443" s="67"/>
      <c r="AJ443" s="67"/>
      <c r="AK443" s="67"/>
      <c r="AL443" s="67"/>
      <c r="AM443" s="67"/>
      <c r="AN443" s="67"/>
      <c r="AO443" s="67"/>
      <c r="AP443" s="67"/>
      <c r="AQ443" s="67"/>
      <c r="AR443" s="67"/>
      <c r="AS443" s="67"/>
      <c r="AT443" s="67"/>
    </row>
    <row r="444" spans="1:46" ht="144" hidden="1" x14ac:dyDescent="0.2">
      <c r="A444" s="67"/>
      <c r="B444" s="96"/>
      <c r="C44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4" s="24" t="str">
        <f ca="1">IFERROR(__xludf.DUMMYFUNCTION("""COMPUTED_VALUE"""),"Минкульт")</f>
        <v>Минкульт</v>
      </c>
      <c r="E444" s="20" t="str">
        <f ca="1">IFERROR(__xludf.DUMMYFUNCTION("""COMPUTED_VALUE"""),"
Капитальный ремонт техническое переоснащение здания МБУК «Дом офицеров» Московская область, г. Краснознаменск, ул. Молодёжная, д. 2")</f>
        <v xml:space="preserve">
Капитальный ремонт техническое переоснащение здания МБУК «Дом офицеров» Московская область, г. Краснознаменск, ул. Молодёжная, д. 2</v>
      </c>
      <c r="F444" s="67"/>
      <c r="G444" s="67" t="str">
        <f ca="1">IFERROR(__xludf.DUMMYFUNCTION("""COMPUTED_VALUE"""),"г.о. Краснознаменск")</f>
        <v>г.о. Краснознаменск</v>
      </c>
      <c r="H444" s="67" t="str">
        <f ca="1">IFERROR(__xludf.DUMMYFUNCTION("""COMPUTED_VALUE"""),"2017-2020")</f>
        <v>2017-2020</v>
      </c>
      <c r="I444" s="67"/>
      <c r="J444" s="67"/>
      <c r="K444" s="97">
        <f t="shared" ca="1" si="1"/>
        <v>3125.26</v>
      </c>
      <c r="L444" s="97">
        <f ca="1">IFERROR(__xludf.DUMMYFUNCTION("""COMPUTED_VALUE"""),1484.5)</f>
        <v>1484.5</v>
      </c>
      <c r="M444" s="67"/>
      <c r="N444" s="97">
        <f ca="1">IFERROR(__xludf.DUMMYFUNCTION("""COMPUTED_VALUE"""),1562.63)</f>
        <v>1562.63</v>
      </c>
      <c r="O444" s="97">
        <f ca="1">IFERROR(__xludf.DUMMYFUNCTION("""COMPUTED_VALUE"""),78.13)</f>
        <v>78.13</v>
      </c>
      <c r="P444" s="97">
        <f t="shared" ca="1" si="2"/>
        <v>3047.13</v>
      </c>
      <c r="Q444" s="67"/>
      <c r="R444" s="67"/>
      <c r="S444" s="67">
        <f ca="1">IFERROR(__xludf.DUMMYFUNCTION("""COMPUTED_VALUE"""),0)</f>
        <v>0</v>
      </c>
      <c r="T444" s="97">
        <f ca="1">IFERROR(__xludf.DUMMYFUNCTION("""COMPUTED_VALUE"""),3125.26)</f>
        <v>3125.26</v>
      </c>
      <c r="U444" s="97">
        <f ca="1">IFERROR(__xludf.DUMMYFUNCTION("""COMPUTED_VALUE"""),1484.5)</f>
        <v>1484.5</v>
      </c>
      <c r="V444" s="97">
        <f ca="1">IFERROR(__xludf.DUMMYFUNCTION("""COMPUTED_VALUE"""),0)</f>
        <v>0</v>
      </c>
      <c r="W444" s="97">
        <f ca="1">IFERROR(__xludf.DUMMYFUNCTION("""COMPUTED_VALUE"""),1562.63)</f>
        <v>1562.63</v>
      </c>
      <c r="X444" s="97">
        <f ca="1">IFERROR(__xludf.DUMMYFUNCTION("""COMPUTED_VALUE"""),78.13)</f>
        <v>78.13</v>
      </c>
      <c r="Y444" s="97">
        <f t="shared" ca="1" si="3"/>
        <v>3047.13</v>
      </c>
      <c r="Z444" s="67">
        <f t="shared" si="4"/>
        <v>0</v>
      </c>
      <c r="AA444" s="67"/>
      <c r="AB444" s="67"/>
      <c r="AC444" s="67"/>
      <c r="AD444" s="99">
        <f t="shared" ca="1" si="5"/>
        <v>0</v>
      </c>
      <c r="AE444" s="67"/>
      <c r="AF444" s="67"/>
      <c r="AG444" s="67"/>
      <c r="AH444" s="67"/>
      <c r="AI444" s="67"/>
      <c r="AJ444" s="67"/>
      <c r="AK444" s="67"/>
      <c r="AL444" s="67"/>
      <c r="AM444" s="67"/>
      <c r="AN444" s="67"/>
      <c r="AO444" s="67"/>
      <c r="AP444" s="67"/>
      <c r="AQ444" s="67"/>
      <c r="AR444" s="67"/>
      <c r="AS444" s="67"/>
      <c r="AT444" s="67"/>
    </row>
    <row r="445" spans="1:46" ht="144" hidden="1" x14ac:dyDescent="0.2">
      <c r="A445" s="67"/>
      <c r="B445" s="96"/>
      <c r="C445"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5" s="24" t="str">
        <f ca="1">IFERROR(__xludf.DUMMYFUNCTION("""COMPUTED_VALUE"""),"Минобр")</f>
        <v>Минобр</v>
      </c>
      <c r="E445" s="20" t="str">
        <f ca="1">IFERROR(__xludf.DUMMYFUNCTION("""COMPUTED_VALUE"""),"Капитальный ремонт здания клуба ""Искатель"" для размещения детского сада Новый городок Кубинка-7 Одинцовский м.р.                 ")</f>
        <v xml:space="preserve">Капитальный ремонт здания клуба "Искатель" для размещения детского сада Новый городок Кубинка-7 Одинцовский м.р.                 </v>
      </c>
      <c r="F445" s="97" t="str">
        <f ca="1">IFERROR(__xludf.DUMMYFUNCTION("""COMPUTED_VALUE"""),"Вып")</f>
        <v>Вып</v>
      </c>
      <c r="G445" s="67" t="str">
        <f ca="1">IFERROR(__xludf.DUMMYFUNCTION("""COMPUTED_VALUE"""),"г.о. Одинцово")</f>
        <v>г.о. Одинцово</v>
      </c>
      <c r="H445" s="67">
        <f ca="1">IFERROR(__xludf.DUMMYFUNCTION("""COMPUTED_VALUE"""),2020)</f>
        <v>2020</v>
      </c>
      <c r="I445" s="67"/>
      <c r="J445" s="67"/>
      <c r="K445" s="97">
        <f t="shared" ca="1" si="1"/>
        <v>149508</v>
      </c>
      <c r="L445" s="97">
        <f ca="1">IFERROR(__xludf.DUMMYFUNCTION("""COMPUTED_VALUE"""),142032)</f>
        <v>142032</v>
      </c>
      <c r="M445" s="67"/>
      <c r="N445" s="97">
        <f ca="1">IFERROR(__xludf.DUMMYFUNCTION("""COMPUTED_VALUE"""),0)</f>
        <v>0</v>
      </c>
      <c r="O445" s="97">
        <f ca="1">IFERROR(__xludf.DUMMYFUNCTION("""COMPUTED_VALUE"""),7476)</f>
        <v>7476</v>
      </c>
      <c r="P445" s="97">
        <f t="shared" ca="1" si="2"/>
        <v>142032</v>
      </c>
      <c r="Q445" s="67"/>
      <c r="R445" s="67"/>
      <c r="S445" s="67">
        <f ca="1">IFERROR(__xludf.DUMMYFUNCTION("""COMPUTED_VALUE"""),0)</f>
        <v>0</v>
      </c>
      <c r="T445" s="97">
        <f ca="1">IFERROR(__xludf.DUMMYFUNCTION("""COMPUTED_VALUE"""),149508)</f>
        <v>149508</v>
      </c>
      <c r="U445" s="97">
        <f ca="1">IFERROR(__xludf.DUMMYFUNCTION("""COMPUTED_VALUE"""),142032)</f>
        <v>142032</v>
      </c>
      <c r="V445" s="97">
        <f ca="1">IFERROR(__xludf.DUMMYFUNCTION("""COMPUTED_VALUE"""),0)</f>
        <v>0</v>
      </c>
      <c r="W445" s="97">
        <f ca="1">IFERROR(__xludf.DUMMYFUNCTION("""COMPUTED_VALUE"""),0)</f>
        <v>0</v>
      </c>
      <c r="X445" s="97">
        <f ca="1">IFERROR(__xludf.DUMMYFUNCTION("""COMPUTED_VALUE"""),7476)</f>
        <v>7476</v>
      </c>
      <c r="Y445" s="97">
        <f t="shared" ca="1" si="3"/>
        <v>142032</v>
      </c>
      <c r="Z445" s="67">
        <f t="shared" si="4"/>
        <v>0</v>
      </c>
      <c r="AA445" s="67"/>
      <c r="AB445" s="67"/>
      <c r="AC445" s="67"/>
      <c r="AD445" s="99">
        <f t="shared" ca="1" si="5"/>
        <v>0</v>
      </c>
      <c r="AE445" s="67"/>
      <c r="AF445" s="67"/>
      <c r="AG445" s="67"/>
      <c r="AH445" s="67"/>
      <c r="AI445" s="67"/>
      <c r="AJ445" s="67"/>
      <c r="AK445" s="67"/>
      <c r="AL445" s="67"/>
      <c r="AM445" s="67"/>
      <c r="AN445" s="67"/>
      <c r="AO445" s="67"/>
      <c r="AP445" s="67"/>
      <c r="AQ445" s="67"/>
      <c r="AR445" s="67"/>
      <c r="AS445" s="67"/>
      <c r="AT445" s="67"/>
    </row>
    <row r="446" spans="1:46" ht="144" hidden="1" x14ac:dyDescent="0.2">
      <c r="A446" s="67"/>
      <c r="B446" s="96"/>
      <c r="C446"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6" s="24" t="str">
        <f ca="1">IFERROR(__xludf.DUMMYFUNCTION("""COMPUTED_VALUE"""),"Минобр")</f>
        <v>Минобр</v>
      </c>
      <c r="E446" s="20" t="str">
        <f ca="1">IFERROR(__xludf.DUMMYFUNCTION("""COMPUTED_VALUE"""),"Капитальный ремонт МБОУ Новогородковская городская средняя образовательная школа с.п. Никольское, пос. Новый Городок военный городок Кубинка-7")</f>
        <v>Капитальный ремонт МБОУ Новогородковская городская средняя образовательная школа с.п. Никольское, пос. Новый Городок военный городок Кубинка-7</v>
      </c>
      <c r="F446" s="97" t="str">
        <f ca="1">IFERROR(__xludf.DUMMYFUNCTION("""COMPUTED_VALUE"""),"Вып")</f>
        <v>Вып</v>
      </c>
      <c r="G446" s="67" t="str">
        <f ca="1">IFERROR(__xludf.DUMMYFUNCTION("""COMPUTED_VALUE"""),"г.о. Одинцово")</f>
        <v>г.о. Одинцово</v>
      </c>
      <c r="H446" s="67" t="str">
        <f ca="1">IFERROR(__xludf.DUMMYFUNCTION("""COMPUTED_VALUE"""),"2019-2020")</f>
        <v>2019-2020</v>
      </c>
      <c r="I446" s="67"/>
      <c r="J446" s="67"/>
      <c r="K446" s="97">
        <f t="shared" ca="1" si="1"/>
        <v>227831</v>
      </c>
      <c r="L446" s="97">
        <f ca="1">IFERROR(__xludf.DUMMYFUNCTION("""COMPUTED_VALUE"""),205047)</f>
        <v>205047</v>
      </c>
      <c r="M446" s="67"/>
      <c r="N446" s="97">
        <f ca="1">IFERROR(__xludf.DUMMYFUNCTION("""COMPUTED_VALUE"""),0)</f>
        <v>0</v>
      </c>
      <c r="O446" s="97">
        <f ca="1">IFERROR(__xludf.DUMMYFUNCTION("""COMPUTED_VALUE"""),22784)</f>
        <v>22784</v>
      </c>
      <c r="P446" s="97">
        <f t="shared" ca="1" si="2"/>
        <v>205047</v>
      </c>
      <c r="Q446" s="67"/>
      <c r="R446" s="67"/>
      <c r="S446" s="67">
        <f ca="1">IFERROR(__xludf.DUMMYFUNCTION("""COMPUTED_VALUE"""),0)</f>
        <v>0</v>
      </c>
      <c r="T446" s="97">
        <f ca="1">IFERROR(__xludf.DUMMYFUNCTION("""COMPUTED_VALUE"""),227831)</f>
        <v>227831</v>
      </c>
      <c r="U446" s="97">
        <f ca="1">IFERROR(__xludf.DUMMYFUNCTION("""COMPUTED_VALUE"""),205047)</f>
        <v>205047</v>
      </c>
      <c r="V446" s="97">
        <f ca="1">IFERROR(__xludf.DUMMYFUNCTION("""COMPUTED_VALUE"""),0)</f>
        <v>0</v>
      </c>
      <c r="W446" s="97">
        <f ca="1">IFERROR(__xludf.DUMMYFUNCTION("""COMPUTED_VALUE"""),0)</f>
        <v>0</v>
      </c>
      <c r="X446" s="97">
        <f ca="1">IFERROR(__xludf.DUMMYFUNCTION("""COMPUTED_VALUE"""),22784)</f>
        <v>22784</v>
      </c>
      <c r="Y446" s="97">
        <f t="shared" ca="1" si="3"/>
        <v>205047</v>
      </c>
      <c r="Z446" s="67">
        <f t="shared" si="4"/>
        <v>0</v>
      </c>
      <c r="AA446" s="67"/>
      <c r="AB446" s="67"/>
      <c r="AC446" s="67"/>
      <c r="AD446" s="99">
        <f t="shared" ca="1" si="5"/>
        <v>0</v>
      </c>
      <c r="AE446" s="67"/>
      <c r="AF446" s="67"/>
      <c r="AG446" s="67"/>
      <c r="AH446" s="67"/>
      <c r="AI446" s="67"/>
      <c r="AJ446" s="67"/>
      <c r="AK446" s="67"/>
      <c r="AL446" s="67"/>
      <c r="AM446" s="67"/>
      <c r="AN446" s="67"/>
      <c r="AO446" s="67"/>
      <c r="AP446" s="67"/>
      <c r="AQ446" s="67"/>
      <c r="AR446" s="67"/>
      <c r="AS446" s="67"/>
      <c r="AT446" s="67"/>
    </row>
    <row r="447" spans="1:46" ht="96" hidden="1" x14ac:dyDescent="0.2">
      <c r="A447" s="67"/>
      <c r="B447" s="96"/>
      <c r="C44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7" s="24" t="str">
        <f ca="1">IFERROR(__xludf.DUMMYFUNCTION("""COMPUTED_VALUE"""),"МинЖКХ ")</f>
        <v xml:space="preserve">МинЖКХ </v>
      </c>
      <c r="E447" s="20" t="str">
        <f ca="1">IFERROR(__xludf.DUMMYFUNCTION("""COMPUTED_VALUE"""),"Строительство локальных очистных сооружений п. Военный городок объемом до 30 куб.м.  Орехово-Зуевский городской округ")</f>
        <v>Строительство локальных очистных сооружений п. Военный городок объемом до 30 куб.м.  Орехово-Зуевский городской округ</v>
      </c>
      <c r="F447" s="67"/>
      <c r="G447" s="67" t="str">
        <f ca="1">IFERROR(__xludf.DUMMYFUNCTION("""COMPUTED_VALUE"""),"г.о. Орехово-Зуево")</f>
        <v>г.о. Орехово-Зуево</v>
      </c>
      <c r="H447" s="67">
        <f ca="1">IFERROR(__xludf.DUMMYFUNCTION("""COMPUTED_VALUE"""),2023)</f>
        <v>2023</v>
      </c>
      <c r="I447" s="67"/>
      <c r="J447" s="67"/>
      <c r="K447" s="97">
        <f t="shared" ca="1" si="1"/>
        <v>0</v>
      </c>
      <c r="L447" s="97">
        <f ca="1">IFERROR(__xludf.DUMMYFUNCTION("""COMPUTED_VALUE"""),0)</f>
        <v>0</v>
      </c>
      <c r="M447" s="67"/>
      <c r="N447" s="97">
        <f ca="1">IFERROR(__xludf.DUMMYFUNCTION("""COMPUTED_VALUE"""),0)</f>
        <v>0</v>
      </c>
      <c r="O447" s="97">
        <f ca="1">IFERROR(__xludf.DUMMYFUNCTION("""COMPUTED_VALUE"""),0)</f>
        <v>0</v>
      </c>
      <c r="P447" s="97">
        <f t="shared" ca="1" si="2"/>
        <v>0</v>
      </c>
      <c r="Q447" s="67">
        <f ca="1">IFERROR(__xludf.DUMMYFUNCTION("""COMPUTED_VALUE"""),0)</f>
        <v>0</v>
      </c>
      <c r="R447" s="67"/>
      <c r="S447" s="97">
        <f ca="1">IFERROR(__xludf.DUMMYFUNCTION("""COMPUTED_VALUE"""),0)</f>
        <v>0</v>
      </c>
      <c r="T447" s="97">
        <f ca="1">IFERROR(__xludf.DUMMYFUNCTION("""COMPUTED_VALUE"""),0)</f>
        <v>0</v>
      </c>
      <c r="U447" s="97">
        <f ca="1">IFERROR(__xludf.DUMMYFUNCTION("""COMPUTED_VALUE"""),0)</f>
        <v>0</v>
      </c>
      <c r="V447" s="97">
        <f ca="1">IFERROR(__xludf.DUMMYFUNCTION("""COMPUTED_VALUE"""),0)</f>
        <v>0</v>
      </c>
      <c r="W447" s="97">
        <f ca="1">IFERROR(__xludf.DUMMYFUNCTION("""COMPUTED_VALUE"""),0)</f>
        <v>0</v>
      </c>
      <c r="X447" s="97">
        <f ca="1">IFERROR(__xludf.DUMMYFUNCTION("""COMPUTED_VALUE"""),0)</f>
        <v>0</v>
      </c>
      <c r="Y447" s="97">
        <f t="shared" ca="1" si="3"/>
        <v>0</v>
      </c>
      <c r="Z447" s="67">
        <f t="shared" ca="1" si="4"/>
        <v>0</v>
      </c>
      <c r="AA447" s="67"/>
      <c r="AB447" s="97">
        <f ca="1">IFERROR(__xludf.DUMMYFUNCTION("""COMPUTED_VALUE"""),0)</f>
        <v>0</v>
      </c>
      <c r="AC447" s="67"/>
      <c r="AD447" s="99" t="e">
        <f t="shared" ca="1" si="5"/>
        <v>#DIV/0!</v>
      </c>
      <c r="AE447" s="67"/>
      <c r="AF447" s="67"/>
      <c r="AG447" s="67"/>
      <c r="AH447" s="67"/>
      <c r="AI447" s="67"/>
      <c r="AJ447" s="67"/>
      <c r="AK447" s="67"/>
      <c r="AL447" s="67"/>
      <c r="AM447" s="67"/>
      <c r="AN447" s="67"/>
      <c r="AO447" s="67"/>
      <c r="AP447" s="67"/>
      <c r="AQ447" s="67"/>
      <c r="AR447" s="67"/>
      <c r="AS447" s="67"/>
      <c r="AT447" s="67"/>
    </row>
    <row r="448" spans="1:46" ht="96" x14ac:dyDescent="0.2">
      <c r="A448" s="20"/>
      <c r="B448" s="95"/>
      <c r="C448"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8" s="24" t="str">
        <f ca="1">IFERROR(__xludf.DUMMYFUNCTION("""COMPUTED_VALUE"""),"МинЖКХ ")</f>
        <v xml:space="preserve">МинЖКХ </v>
      </c>
      <c r="E448" s="20" t="str">
        <f ca="1">IFERROR(__xludf.DUMMYFUNCTION("""COMPUTED_VALUE"""),"Строительство блочно-модульной котельной в военном городке № 112 Михнево-3 Ступинский муниципальный район (в том числе ПИР)")</f>
        <v>Строительство блочно-модульной котельной в военном городке № 112 Михнево-3 Ступинский муниципальный район (в том числе ПИР)</v>
      </c>
      <c r="F448" s="24" t="str">
        <f ca="1">IFERROR(__xludf.DUMMYFUNCTION("""COMPUTED_VALUE"""),"СМР")</f>
        <v>СМР</v>
      </c>
      <c r="G448" s="20" t="str">
        <f ca="1">IFERROR(__xludf.DUMMYFUNCTION("""COMPUTED_VALUE"""),"г.о. Ступино")</f>
        <v>г.о. Ступино</v>
      </c>
      <c r="H448" s="41" t="str">
        <f ca="1">IFERROR(__xludf.DUMMYFUNCTION("""COMPUTED_VALUE"""),"2020")</f>
        <v>2020</v>
      </c>
      <c r="I448" s="20" t="str">
        <f ca="1">IFERROR(__xludf.DUMMYFUNCTION("""COMPUTED_VALUE"""),"10 3 03 64460")</f>
        <v>10 3 03 64460</v>
      </c>
      <c r="J448" s="20">
        <f ca="1">IFERROR(__xludf.DUMMYFUNCTION("""COMPUTED_VALUE"""),522)</f>
        <v>522</v>
      </c>
      <c r="K448" s="24">
        <f t="shared" ca="1" si="1"/>
        <v>9327.4699999999993</v>
      </c>
      <c r="L448" s="24">
        <f ca="1">IFERROR(__xludf.DUMMYFUNCTION("""COMPUTED_VALUE"""),0)</f>
        <v>0</v>
      </c>
      <c r="M448" s="20"/>
      <c r="N448" s="24">
        <f ca="1">IFERROR(__xludf.DUMMYFUNCTION("""COMPUTED_VALUE"""),7163.5)</f>
        <v>7163.5</v>
      </c>
      <c r="O448" s="24">
        <f ca="1">IFERROR(__xludf.DUMMYFUNCTION("""COMPUTED_VALUE"""),2163.97)</f>
        <v>2163.9699999999998</v>
      </c>
      <c r="P448" s="24">
        <f t="shared" ca="1" si="2"/>
        <v>7163.5</v>
      </c>
      <c r="Q448" s="20">
        <f ca="1">IFERROR(__xludf.DUMMYFUNCTION("""COMPUTED_VALUE"""),10)</f>
        <v>10</v>
      </c>
      <c r="R448" s="20"/>
      <c r="S448" s="24">
        <f ca="1">IFERROR(__xludf.DUMMYFUNCTION("""COMPUTED_VALUE"""),0)</f>
        <v>0</v>
      </c>
      <c r="T448" s="24">
        <f ca="1">IFERROR(__xludf.DUMMYFUNCTION("""COMPUTED_VALUE"""),9327.47)</f>
        <v>9327.4699999999993</v>
      </c>
      <c r="U448" s="24">
        <f ca="1">IFERROR(__xludf.DUMMYFUNCTION("""COMPUTED_VALUE"""),0)</f>
        <v>0</v>
      </c>
      <c r="V448" s="24">
        <f ca="1">IFERROR(__xludf.DUMMYFUNCTION("""COMPUTED_VALUE"""),0)</f>
        <v>0</v>
      </c>
      <c r="W448" s="24">
        <f ca="1">IFERROR(__xludf.DUMMYFUNCTION("""COMPUTED_VALUE"""),7163.5)</f>
        <v>7163.5</v>
      </c>
      <c r="X448" s="24">
        <f ca="1">IFERROR(__xludf.DUMMYFUNCTION("""COMPUTED_VALUE"""),2163.97)</f>
        <v>2163.9699999999998</v>
      </c>
      <c r="Y448" s="24">
        <f t="shared" ca="1" si="3"/>
        <v>7163.5</v>
      </c>
      <c r="Z448" s="20">
        <f t="shared" ca="1" si="4"/>
        <v>0</v>
      </c>
      <c r="AA448" s="20"/>
      <c r="AB448" s="24">
        <f ca="1">IFERROR(__xludf.DUMMYFUNCTION("""COMPUTED_VALUE"""),0)</f>
        <v>0</v>
      </c>
      <c r="AC448" s="20"/>
      <c r="AD448" s="94">
        <f t="shared" ca="1" si="5"/>
        <v>0</v>
      </c>
      <c r="AE448" s="20"/>
      <c r="AF448" s="20"/>
      <c r="AG448" s="20"/>
      <c r="AH448" s="20"/>
      <c r="AI448" s="20"/>
      <c r="AJ448" s="20"/>
      <c r="AK448" s="20"/>
      <c r="AL448" s="20"/>
      <c r="AM448" s="20"/>
      <c r="AN448" s="20"/>
      <c r="AO448" s="20"/>
      <c r="AP448" s="20"/>
      <c r="AQ448" s="20"/>
      <c r="AR448" s="20"/>
      <c r="AS448" s="20"/>
      <c r="AT448" s="20"/>
    </row>
    <row r="449" spans="1:46" ht="144" hidden="1" x14ac:dyDescent="0.2">
      <c r="A449" s="67"/>
      <c r="B449" s="100"/>
      <c r="C44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9" s="24" t="str">
        <f ca="1">IFERROR(__xludf.DUMMYFUNCTION("""COMPUTED_VALUE"""),"Минобр")</f>
        <v>Минобр</v>
      </c>
      <c r="E449" s="20" t="str">
        <f ca="1">IFERROR(__xludf.DUMMYFUNCTION("""COMPUTED_VALUE"""),"Капитальный ремонт МДОУ детский сад № 39 «Золотой ключик» по адресу: г. Серпухов, Московское шоссе, д. 62 ")</f>
        <v xml:space="preserve">Капитальный ремонт МДОУ детский сад № 39 «Золотой ключик» по адресу: г. Серпухов, Московское шоссе, д. 62 </v>
      </c>
      <c r="F449" s="97" t="str">
        <f ca="1">IFERROR(__xludf.DUMMYFUNCTION("""COMPUTED_VALUE"""),"Вып")</f>
        <v>Вып</v>
      </c>
      <c r="G449" s="67" t="str">
        <f ca="1">IFERROR(__xludf.DUMMYFUNCTION("""COMPUTED_VALUE"""),"г.о. Серпухов")</f>
        <v>г.о. Серпухов</v>
      </c>
      <c r="H449" s="67" t="str">
        <f ca="1">IFERROR(__xludf.DUMMYFUNCTION("""COMPUTED_VALUE"""),"2019-2020")</f>
        <v>2019-2020</v>
      </c>
      <c r="I449" s="67"/>
      <c r="J449" s="67"/>
      <c r="K449" s="97">
        <f t="shared" ca="1" si="1"/>
        <v>7850.83</v>
      </c>
      <c r="L449" s="97">
        <f ca="1">IFERROR(__xludf.DUMMYFUNCTION("""COMPUTED_VALUE"""),0)</f>
        <v>0</v>
      </c>
      <c r="M449" s="67"/>
      <c r="N449" s="97">
        <f ca="1">IFERROR(__xludf.DUMMYFUNCTION("""COMPUTED_VALUE"""),0)</f>
        <v>0</v>
      </c>
      <c r="O449" s="97">
        <f ca="1">IFERROR(__xludf.DUMMYFUNCTION("""COMPUTED_VALUE"""),7850.83)</f>
        <v>7850.83</v>
      </c>
      <c r="P449" s="97">
        <f t="shared" ca="1" si="2"/>
        <v>0</v>
      </c>
      <c r="Q449" s="67"/>
      <c r="R449" s="67"/>
      <c r="S449" s="67">
        <f ca="1">IFERROR(__xludf.DUMMYFUNCTION("""COMPUTED_VALUE"""),0)</f>
        <v>0</v>
      </c>
      <c r="T449" s="97">
        <f ca="1">IFERROR(__xludf.DUMMYFUNCTION("""COMPUTED_VALUE"""),7850.83)</f>
        <v>7850.83</v>
      </c>
      <c r="U449" s="97">
        <f ca="1">IFERROR(__xludf.DUMMYFUNCTION("""COMPUTED_VALUE"""),0)</f>
        <v>0</v>
      </c>
      <c r="V449" s="97">
        <f ca="1">IFERROR(__xludf.DUMMYFUNCTION("""COMPUTED_VALUE"""),0)</f>
        <v>0</v>
      </c>
      <c r="W449" s="97">
        <f ca="1">IFERROR(__xludf.DUMMYFUNCTION("""COMPUTED_VALUE"""),0)</f>
        <v>0</v>
      </c>
      <c r="X449" s="97">
        <f ca="1">IFERROR(__xludf.DUMMYFUNCTION("""COMPUTED_VALUE"""),7850.83)</f>
        <v>7850.83</v>
      </c>
      <c r="Y449" s="97">
        <f t="shared" ca="1" si="3"/>
        <v>0</v>
      </c>
      <c r="Z449" s="67">
        <f t="shared" si="4"/>
        <v>0</v>
      </c>
      <c r="AA449" s="67"/>
      <c r="AB449" s="67"/>
      <c r="AC449" s="67"/>
      <c r="AD449" s="99" t="e">
        <f t="shared" ca="1" si="5"/>
        <v>#DIV/0!</v>
      </c>
      <c r="AE449" s="67"/>
      <c r="AF449" s="67"/>
      <c r="AG449" s="67"/>
      <c r="AH449" s="67"/>
      <c r="AI449" s="67"/>
      <c r="AJ449" s="67"/>
      <c r="AK449" s="67"/>
      <c r="AL449" s="67"/>
      <c r="AM449" s="67"/>
      <c r="AN449" s="67"/>
      <c r="AO449" s="67"/>
      <c r="AP449" s="67"/>
      <c r="AQ449" s="67"/>
      <c r="AR449" s="67"/>
      <c r="AS449" s="67"/>
      <c r="AT449" s="67"/>
    </row>
    <row r="450" spans="1:46" ht="144" hidden="1" x14ac:dyDescent="0.2">
      <c r="A450" s="67"/>
      <c r="B450" s="96"/>
      <c r="C450"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0" s="24" t="str">
        <f ca="1">IFERROR(__xludf.DUMMYFUNCTION("""COMPUTED_VALUE"""),"Минкульт")</f>
        <v>Минкульт</v>
      </c>
      <c r="E450" s="20" t="str">
        <f ca="1">IFERROR(__xludf.DUMMYFUNCTION("""COMPUTED_VALUE"""),"Капитальный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f>
        <v>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v>
      </c>
      <c r="F450" s="67"/>
      <c r="G450" s="67" t="str">
        <f ca="1">IFERROR(__xludf.DUMMYFUNCTION("""COMPUTED_VALUE"""),"г.о. Солнечногорск")</f>
        <v>г.о. Солнечногорск</v>
      </c>
      <c r="H450" s="67" t="str">
        <f ca="1">IFERROR(__xludf.DUMMYFUNCTION("""COMPUTED_VALUE"""),"2019-2020")</f>
        <v>2019-2020</v>
      </c>
      <c r="I450" s="67"/>
      <c r="J450" s="67"/>
      <c r="K450" s="97">
        <f t="shared" ca="1" si="1"/>
        <v>150468.41</v>
      </c>
      <c r="L450" s="97">
        <f ca="1">IFERROR(__xludf.DUMMYFUNCTION("""COMPUTED_VALUE"""),142945)</f>
        <v>142945</v>
      </c>
      <c r="M450" s="67"/>
      <c r="N450" s="97">
        <f ca="1">IFERROR(__xludf.DUMMYFUNCTION("""COMPUTED_VALUE"""),0)</f>
        <v>0</v>
      </c>
      <c r="O450" s="97">
        <f ca="1">IFERROR(__xludf.DUMMYFUNCTION("""COMPUTED_VALUE"""),7523.41)</f>
        <v>7523.41</v>
      </c>
      <c r="P450" s="97">
        <f t="shared" ca="1" si="2"/>
        <v>142945</v>
      </c>
      <c r="Q450" s="67"/>
      <c r="R450" s="67"/>
      <c r="S450" s="67">
        <f ca="1">IFERROR(__xludf.DUMMYFUNCTION("""COMPUTED_VALUE"""),0)</f>
        <v>0</v>
      </c>
      <c r="T450" s="97">
        <f ca="1">IFERROR(__xludf.DUMMYFUNCTION("""COMPUTED_VALUE"""),150468.41)</f>
        <v>150468.41</v>
      </c>
      <c r="U450" s="97">
        <f ca="1">IFERROR(__xludf.DUMMYFUNCTION("""COMPUTED_VALUE"""),142945)</f>
        <v>142945</v>
      </c>
      <c r="V450" s="97">
        <f ca="1">IFERROR(__xludf.DUMMYFUNCTION("""COMPUTED_VALUE"""),0)</f>
        <v>0</v>
      </c>
      <c r="W450" s="97">
        <f ca="1">IFERROR(__xludf.DUMMYFUNCTION("""COMPUTED_VALUE"""),0)</f>
        <v>0</v>
      </c>
      <c r="X450" s="97">
        <f ca="1">IFERROR(__xludf.DUMMYFUNCTION("""COMPUTED_VALUE"""),7523.41)</f>
        <v>7523.41</v>
      </c>
      <c r="Y450" s="97">
        <f t="shared" ca="1" si="3"/>
        <v>142945</v>
      </c>
      <c r="Z450" s="67">
        <f t="shared" si="4"/>
        <v>0</v>
      </c>
      <c r="AA450" s="67"/>
      <c r="AB450" s="67"/>
      <c r="AC450" s="67"/>
      <c r="AD450" s="99">
        <f t="shared" ca="1" si="5"/>
        <v>0</v>
      </c>
      <c r="AE450" s="67"/>
      <c r="AF450" s="67"/>
      <c r="AG450" s="67"/>
      <c r="AH450" s="67"/>
      <c r="AI450" s="67"/>
      <c r="AJ450" s="67"/>
      <c r="AK450" s="67"/>
      <c r="AL450" s="67"/>
      <c r="AM450" s="67"/>
      <c r="AN450" s="67"/>
      <c r="AO450" s="67"/>
      <c r="AP450" s="67"/>
      <c r="AQ450" s="67"/>
      <c r="AR450" s="67"/>
      <c r="AS450" s="67"/>
      <c r="AT450" s="67"/>
    </row>
    <row r="451" spans="1:46" ht="96" x14ac:dyDescent="0.2">
      <c r="A451" s="20"/>
      <c r="B451" s="95"/>
      <c r="C451"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51" s="24" t="str">
        <f ca="1">IFERROR(__xludf.DUMMYFUNCTION("""COMPUTED_VALUE"""),"МинЖКХ ")</f>
        <v xml:space="preserve">МинЖКХ </v>
      </c>
      <c r="E451" s="20" t="str">
        <f ca="1">IFERROR(__xludf.DUMMYFUNCTION("""COMPUTED_VALUE"""),"Строительство канализационных очистных сооружений, по адресу: военный городок Ногинск-4,
с. Макарово, городской округ Черноголовка (в т.ч. ПИР)    
")</f>
        <v xml:space="preserve">Строительство канализационных очистных сооружений, по адресу: военный городок Ногинск-4,
с. Макарово, городской округ Черноголовка (в т.ч. ПИР)    
</v>
      </c>
      <c r="F451" s="24" t="str">
        <f ca="1">IFERROR(__xludf.DUMMYFUNCTION("""COMPUTED_VALUE"""),"ПИР")</f>
        <v>ПИР</v>
      </c>
      <c r="G451" s="20" t="str">
        <f ca="1">IFERROR(__xludf.DUMMYFUNCTION("""COMPUTED_VALUE"""),"г.о. Черноголовка")</f>
        <v>г.о. Черноголовка</v>
      </c>
      <c r="H451" s="41" t="str">
        <f ca="1">IFERROR(__xludf.DUMMYFUNCTION("""COMPUTED_VALUE"""),"2020-2021")</f>
        <v>2020-2021</v>
      </c>
      <c r="I451" s="20" t="str">
        <f ca="1">IFERROR(__xludf.DUMMYFUNCTION("""COMPUTED_VALUE"""),"10 3 03 64460")</f>
        <v>10 3 03 64460</v>
      </c>
      <c r="J451" s="20"/>
      <c r="K451" s="24">
        <f t="shared" ca="1" si="1"/>
        <v>22985.29</v>
      </c>
      <c r="L451" s="24">
        <f ca="1">IFERROR(__xludf.DUMMYFUNCTION("""COMPUTED_VALUE"""),0)</f>
        <v>0</v>
      </c>
      <c r="M451" s="20"/>
      <c r="N451" s="24">
        <f ca="1">IFERROR(__xludf.DUMMYFUNCTION("""COMPUTED_VALUE"""),20319)</f>
        <v>20319</v>
      </c>
      <c r="O451" s="24">
        <f ca="1">IFERROR(__xludf.DUMMYFUNCTION("""COMPUTED_VALUE"""),2666.29)</f>
        <v>2666.29</v>
      </c>
      <c r="P451" s="24">
        <f t="shared" ca="1" si="2"/>
        <v>20319</v>
      </c>
      <c r="Q451" s="20">
        <f ca="1">IFERROR(__xludf.DUMMYFUNCTION("""COMPUTED_VALUE"""),0)</f>
        <v>0</v>
      </c>
      <c r="R451" s="20"/>
      <c r="S451" s="24">
        <f ca="1">IFERROR(__xludf.DUMMYFUNCTION("""COMPUTED_VALUE"""),0)</f>
        <v>0</v>
      </c>
      <c r="T451" s="24">
        <f ca="1">IFERROR(__xludf.DUMMYFUNCTION("""COMPUTED_VALUE"""),22985.29)</f>
        <v>22985.29</v>
      </c>
      <c r="U451" s="24">
        <f ca="1">IFERROR(__xludf.DUMMYFUNCTION("""COMPUTED_VALUE"""),0)</f>
        <v>0</v>
      </c>
      <c r="V451" s="24">
        <f ca="1">IFERROR(__xludf.DUMMYFUNCTION("""COMPUTED_VALUE"""),0)</f>
        <v>0</v>
      </c>
      <c r="W451" s="24">
        <f ca="1">IFERROR(__xludf.DUMMYFUNCTION("""COMPUTED_VALUE"""),20319)</f>
        <v>20319</v>
      </c>
      <c r="X451" s="24">
        <f ca="1">IFERROR(__xludf.DUMMYFUNCTION("""COMPUTED_VALUE"""),2666.29)</f>
        <v>2666.29</v>
      </c>
      <c r="Y451" s="24">
        <f t="shared" ca="1" si="3"/>
        <v>20319</v>
      </c>
      <c r="Z451" s="20">
        <f t="shared" ca="1" si="4"/>
        <v>0</v>
      </c>
      <c r="AA451" s="20"/>
      <c r="AB451" s="24">
        <f ca="1">IFERROR(__xludf.DUMMYFUNCTION("""COMPUTED_VALUE"""),0)</f>
        <v>0</v>
      </c>
      <c r="AC451" s="20"/>
      <c r="AD451" s="94">
        <f t="shared" ca="1" si="5"/>
        <v>0</v>
      </c>
      <c r="AE451" s="20"/>
      <c r="AF451" s="20"/>
      <c r="AG451" s="20"/>
      <c r="AH451" s="20"/>
      <c r="AI451" s="20"/>
      <c r="AJ451" s="20"/>
      <c r="AK451" s="20"/>
      <c r="AL451" s="20"/>
      <c r="AM451" s="20"/>
      <c r="AN451" s="20"/>
      <c r="AO451" s="20"/>
      <c r="AP451" s="20"/>
      <c r="AQ451" s="20"/>
      <c r="AR451" s="20"/>
      <c r="AS451" s="20"/>
      <c r="AT451" s="20"/>
    </row>
    <row r="452" spans="1:46" ht="144" hidden="1" x14ac:dyDescent="0.2">
      <c r="A452" s="67"/>
      <c r="B452" s="100"/>
      <c r="C45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2" s="24" t="str">
        <f ca="1">IFERROR(__xludf.DUMMYFUNCTION("""COMPUTED_VALUE"""),"Минобр")</f>
        <v>Минобр</v>
      </c>
      <c r="E452" s="20" t="str">
        <f ca="1">IFERROR(__xludf.DUMMYFUNCTION("""COMPUTED_VALUE"""),"Капитальный ремонт МАДОУ «Мещеринский детский сад комбинированного вида «Солнышко» г.о. Ступино, в/ч 03770")</f>
        <v>Капитальный ремонт МАДОУ «Мещеринский детский сад комбинированного вида «Солнышко» г.о. Ступино, в/ч 03770</v>
      </c>
      <c r="F452" s="97" t="str">
        <f ca="1">IFERROR(__xludf.DUMMYFUNCTION("""COMPUTED_VALUE"""),"Вып")</f>
        <v>Вып</v>
      </c>
      <c r="G452" s="67" t="str">
        <f ca="1">IFERROR(__xludf.DUMMYFUNCTION("""COMPUTED_VALUE"""),"г.о. Ступино")</f>
        <v>г.о. Ступино</v>
      </c>
      <c r="H452" s="67">
        <f ca="1">IFERROR(__xludf.DUMMYFUNCTION("""COMPUTED_VALUE"""),2020)</f>
        <v>2020</v>
      </c>
      <c r="I452" s="67"/>
      <c r="J452" s="67"/>
      <c r="K452" s="97">
        <f t="shared" ca="1" si="1"/>
        <v>26885</v>
      </c>
      <c r="L452" s="97">
        <f ca="1">IFERROR(__xludf.DUMMYFUNCTION("""COMPUTED_VALUE"""),25541)</f>
        <v>25541</v>
      </c>
      <c r="M452" s="67"/>
      <c r="N452" s="97">
        <f ca="1">IFERROR(__xludf.DUMMYFUNCTION("""COMPUTED_VALUE"""),0)</f>
        <v>0</v>
      </c>
      <c r="O452" s="97">
        <f ca="1">IFERROR(__xludf.DUMMYFUNCTION("""COMPUTED_VALUE"""),1344)</f>
        <v>1344</v>
      </c>
      <c r="P452" s="97">
        <f t="shared" ca="1" si="2"/>
        <v>25541</v>
      </c>
      <c r="Q452" s="67"/>
      <c r="R452" s="67"/>
      <c r="S452" s="67">
        <f ca="1">IFERROR(__xludf.DUMMYFUNCTION("""COMPUTED_VALUE"""),0)</f>
        <v>0</v>
      </c>
      <c r="T452" s="97">
        <f ca="1">IFERROR(__xludf.DUMMYFUNCTION("""COMPUTED_VALUE"""),26885)</f>
        <v>26885</v>
      </c>
      <c r="U452" s="97">
        <f ca="1">IFERROR(__xludf.DUMMYFUNCTION("""COMPUTED_VALUE"""),25541)</f>
        <v>25541</v>
      </c>
      <c r="V452" s="97">
        <f ca="1">IFERROR(__xludf.DUMMYFUNCTION("""COMPUTED_VALUE"""),0)</f>
        <v>0</v>
      </c>
      <c r="W452" s="97">
        <f ca="1">IFERROR(__xludf.DUMMYFUNCTION("""COMPUTED_VALUE"""),0)</f>
        <v>0</v>
      </c>
      <c r="X452" s="97">
        <f ca="1">IFERROR(__xludf.DUMMYFUNCTION("""COMPUTED_VALUE"""),1344)</f>
        <v>1344</v>
      </c>
      <c r="Y452" s="97">
        <f t="shared" ca="1" si="3"/>
        <v>25541</v>
      </c>
      <c r="Z452" s="67">
        <f t="shared" si="4"/>
        <v>0</v>
      </c>
      <c r="AA452" s="67"/>
      <c r="AB452" s="67"/>
      <c r="AC452" s="67"/>
      <c r="AD452" s="99">
        <f t="shared" ca="1" si="5"/>
        <v>0</v>
      </c>
      <c r="AE452" s="67"/>
      <c r="AF452" s="67"/>
      <c r="AG452" s="67"/>
      <c r="AH452" s="67"/>
      <c r="AI452" s="67"/>
      <c r="AJ452" s="67"/>
      <c r="AK452" s="67"/>
      <c r="AL452" s="67"/>
      <c r="AM452" s="67"/>
      <c r="AN452" s="67"/>
      <c r="AO452" s="67"/>
      <c r="AP452" s="67"/>
      <c r="AQ452" s="67"/>
      <c r="AR452" s="67"/>
      <c r="AS452" s="67"/>
      <c r="AT452" s="67"/>
    </row>
    <row r="453" spans="1:46" ht="144" hidden="1" x14ac:dyDescent="0.2">
      <c r="A453" s="67"/>
      <c r="B453" s="96"/>
      <c r="C45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3" s="24" t="str">
        <f ca="1">IFERROR(__xludf.DUMMYFUNCTION("""COMPUTED_VALUE"""),"Минобр")</f>
        <v>Минобр</v>
      </c>
      <c r="E453" s="20" t="str">
        <f ca="1">IFERROR(__xludf.DUMMYFUNCTION("""COMPUTED_VALUE"""),"Капитальный ремонт МАДОУ «Мещеринский детский сад общеразвивающего вида «Светлячок» г.о. Ступино, в/ч 92551")</f>
        <v>Капитальный ремонт МАДОУ «Мещеринский детский сад общеразвивающего вида «Светлячок» г.о. Ступино, в/ч 92551</v>
      </c>
      <c r="F453" s="67"/>
      <c r="G453" s="67" t="str">
        <f ca="1">IFERROR(__xludf.DUMMYFUNCTION("""COMPUTED_VALUE"""),"г.о. Ступино")</f>
        <v>г.о. Ступино</v>
      </c>
      <c r="H453" s="67">
        <f ca="1">IFERROR(__xludf.DUMMYFUNCTION("""COMPUTED_VALUE"""),2020)</f>
        <v>2020</v>
      </c>
      <c r="I453" s="67"/>
      <c r="J453" s="67"/>
      <c r="K453" s="97">
        <f t="shared" ca="1" si="1"/>
        <v>22732</v>
      </c>
      <c r="L453" s="97">
        <f ca="1">IFERROR(__xludf.DUMMYFUNCTION("""COMPUTED_VALUE"""),21595)</f>
        <v>21595</v>
      </c>
      <c r="M453" s="67"/>
      <c r="N453" s="97">
        <f ca="1">IFERROR(__xludf.DUMMYFUNCTION("""COMPUTED_VALUE"""),0)</f>
        <v>0</v>
      </c>
      <c r="O453" s="97">
        <f ca="1">IFERROR(__xludf.DUMMYFUNCTION("""COMPUTED_VALUE"""),1137)</f>
        <v>1137</v>
      </c>
      <c r="P453" s="97">
        <f t="shared" ca="1" si="2"/>
        <v>21595</v>
      </c>
      <c r="Q453" s="67"/>
      <c r="R453" s="67"/>
      <c r="S453" s="67">
        <f ca="1">IFERROR(__xludf.DUMMYFUNCTION("""COMPUTED_VALUE"""),0)</f>
        <v>0</v>
      </c>
      <c r="T453" s="97">
        <f ca="1">IFERROR(__xludf.DUMMYFUNCTION("""COMPUTED_VALUE"""),22732)</f>
        <v>22732</v>
      </c>
      <c r="U453" s="97">
        <f ca="1">IFERROR(__xludf.DUMMYFUNCTION("""COMPUTED_VALUE"""),21595)</f>
        <v>21595</v>
      </c>
      <c r="V453" s="97">
        <f ca="1">IFERROR(__xludf.DUMMYFUNCTION("""COMPUTED_VALUE"""),0)</f>
        <v>0</v>
      </c>
      <c r="W453" s="97">
        <f ca="1">IFERROR(__xludf.DUMMYFUNCTION("""COMPUTED_VALUE"""),0)</f>
        <v>0</v>
      </c>
      <c r="X453" s="97">
        <f ca="1">IFERROR(__xludf.DUMMYFUNCTION("""COMPUTED_VALUE"""),1137)</f>
        <v>1137</v>
      </c>
      <c r="Y453" s="97">
        <f t="shared" ca="1" si="3"/>
        <v>21595</v>
      </c>
      <c r="Z453" s="67">
        <f t="shared" si="4"/>
        <v>0</v>
      </c>
      <c r="AA453" s="67"/>
      <c r="AB453" s="67"/>
      <c r="AC453" s="67"/>
      <c r="AD453" s="99">
        <f t="shared" ca="1" si="5"/>
        <v>0</v>
      </c>
      <c r="AE453" s="67"/>
      <c r="AF453" s="67"/>
      <c r="AG453" s="67"/>
      <c r="AH453" s="67"/>
      <c r="AI453" s="67"/>
      <c r="AJ453" s="67"/>
      <c r="AK453" s="67"/>
      <c r="AL453" s="67"/>
      <c r="AM453" s="67"/>
      <c r="AN453" s="67"/>
      <c r="AO453" s="67"/>
      <c r="AP453" s="67"/>
      <c r="AQ453" s="67"/>
      <c r="AR453" s="67"/>
      <c r="AS453" s="67"/>
      <c r="AT453" s="67"/>
    </row>
    <row r="454" spans="1:46" ht="84" x14ac:dyDescent="0.2">
      <c r="A454" s="20"/>
      <c r="B454" s="95"/>
      <c r="C454"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4" s="24" t="str">
        <f ca="1">IFERROR(__xludf.DUMMYFUNCTION("""COMPUTED_VALUE"""),"МинЖКХ ")</f>
        <v xml:space="preserve">МинЖКХ </v>
      </c>
      <c r="E454" s="20" t="str">
        <f ca="1">IFERROR(__xludf.DUMMYFUNCTION("""COMPUTED_VALUE"""),"Реконструкция очистных сооружений канализации по адресу: пос.Чернецкое, г. Чехов-7, ул. Победы, военный городок №  18, в том числе: проектно-изыскательские работы")</f>
        <v>Реконструкция очистных сооружений канализации по адресу: пос.Чернецкое, г. Чехов-7, ул. Победы, военный городок №  18, в том числе: проектно-изыскательские работы</v>
      </c>
      <c r="F454" s="24" t="str">
        <f ca="1">IFERROR(__xludf.DUMMYFUNCTION("""COMPUTED_VALUE"""),"СМР")</f>
        <v>СМР</v>
      </c>
      <c r="G454" s="20" t="str">
        <f ca="1">IFERROR(__xludf.DUMMYFUNCTION("""COMPUTED_VALUE"""),"г.о. Чехов")</f>
        <v>г.о. Чехов</v>
      </c>
      <c r="H454" s="20" t="str">
        <f ca="1">IFERROR(__xludf.DUMMYFUNCTION("""COMPUTED_VALUE"""),"2019-2022")</f>
        <v>2019-2022</v>
      </c>
      <c r="I454" s="20" t="str">
        <f ca="1">IFERROR(__xludf.DUMMYFUNCTION("""COMPUTED_VALUE"""),"10 3 03 64460")</f>
        <v>10 3 03 64460</v>
      </c>
      <c r="J454" s="20">
        <f ca="1">IFERROR(__xludf.DUMMYFUNCTION("""COMPUTED_VALUE"""),522)</f>
        <v>522</v>
      </c>
      <c r="K454" s="24">
        <f t="shared" ca="1" si="1"/>
        <v>106805.8</v>
      </c>
      <c r="L454" s="24">
        <f ca="1">IFERROR(__xludf.DUMMYFUNCTION("""COMPUTED_VALUE"""),0)</f>
        <v>0</v>
      </c>
      <c r="M454" s="20"/>
      <c r="N454" s="24">
        <f ca="1">IFERROR(__xludf.DUMMYFUNCTION("""COMPUTED_VALUE"""),101465.53)</f>
        <v>101465.53</v>
      </c>
      <c r="O454" s="24">
        <f ca="1">IFERROR(__xludf.DUMMYFUNCTION("""COMPUTED_VALUE"""),5340.27)</f>
        <v>5340.27</v>
      </c>
      <c r="P454" s="24">
        <f t="shared" ca="1" si="2"/>
        <v>101465.53</v>
      </c>
      <c r="Q454" s="20">
        <f ca="1">IFERROR(__xludf.DUMMYFUNCTION("""COMPUTED_VALUE"""),5)</f>
        <v>5</v>
      </c>
      <c r="R454" s="20"/>
      <c r="S454" s="24">
        <f ca="1">IFERROR(__xludf.DUMMYFUNCTION("""COMPUTED_VALUE"""),29863.29)</f>
        <v>29863.29</v>
      </c>
      <c r="T454" s="24">
        <f ca="1">IFERROR(__xludf.DUMMYFUNCTION("""COMPUTED_VALUE"""),76942.51)</f>
        <v>76942.509999999995</v>
      </c>
      <c r="U454" s="24">
        <f ca="1">IFERROR(__xludf.DUMMYFUNCTION("""COMPUTED_VALUE"""),0)</f>
        <v>0</v>
      </c>
      <c r="V454" s="24">
        <f ca="1">IFERROR(__xludf.DUMMYFUNCTION("""COMPUTED_VALUE"""),0)</f>
        <v>0</v>
      </c>
      <c r="W454" s="24">
        <f ca="1">IFERROR(__xludf.DUMMYFUNCTION("""COMPUTED_VALUE"""),71602.2399999999)</f>
        <v>71602.239999999903</v>
      </c>
      <c r="X454" s="24">
        <f ca="1">IFERROR(__xludf.DUMMYFUNCTION("""COMPUTED_VALUE"""),5340.27)</f>
        <v>5340.27</v>
      </c>
      <c r="Y454" s="24">
        <f t="shared" ca="1" si="3"/>
        <v>71602.239999999903</v>
      </c>
      <c r="Z454" s="20">
        <f t="shared" ca="1" si="4"/>
        <v>29863.29</v>
      </c>
      <c r="AA454" s="20"/>
      <c r="AB454" s="24">
        <f ca="1">IFERROR(__xludf.DUMMYFUNCTION("""COMPUTED_VALUE"""),0)</f>
        <v>0</v>
      </c>
      <c r="AC454" s="24">
        <f ca="1">IFERROR(__xludf.DUMMYFUNCTION("""COMPUTED_VALUE"""),29863.29)</f>
        <v>29863.29</v>
      </c>
      <c r="AD454" s="94">
        <f t="shared" ca="1" si="5"/>
        <v>0.2943195585732416</v>
      </c>
      <c r="AE454" s="20"/>
      <c r="AF454" s="20"/>
      <c r="AG454" s="20"/>
      <c r="AH454" s="20"/>
      <c r="AI454" s="20"/>
      <c r="AJ454" s="20"/>
      <c r="AK454" s="20"/>
      <c r="AL454" s="20"/>
      <c r="AM454" s="20"/>
      <c r="AN454" s="20"/>
      <c r="AO454" s="20"/>
      <c r="AP454" s="20"/>
      <c r="AQ454" s="20"/>
      <c r="AR454" s="20"/>
      <c r="AS454" s="20"/>
      <c r="AT454" s="20"/>
    </row>
    <row r="455" spans="1:46" ht="132" x14ac:dyDescent="0.2">
      <c r="A455" s="20" t="str">
        <f ca="1">IFERROR(__xludf.DUMMYFUNCTION("""COMPUTED_VALUE"""),"Документация направлена на получение РС в ИСОГД – 09.11.2020 (возможны замечания, потребуется время на их устранение).
Запланировано перепроектирование. 
Ориентировочный заход в МОГЭ – 24.11.2020. Ориентировочный срок выхода из МОГЭ – февраль 2021 г. Ждут"&amp;" письмо от Минжилполитики, что РС не требуется, далее планируется оплата для закупки оборудования.")</f>
        <v>Документация направлена на получение РС в ИСОГД – 09.11.2020 (возможны замечания, потребуется время на их устранение).
Запланировано перепроектирование. 
Ориентировочный заход в МОГЭ – 24.11.2020. Ориентировочный срок выхода из МОГЭ – февраль 2021 г. Ждут письмо от Минжилполитики, что РС не требуется, далее планируется оплата для закупки оборудования.</v>
      </c>
      <c r="B455" s="93"/>
      <c r="C455"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5" s="24" t="str">
        <f ca="1">IFERROR(__xludf.DUMMYFUNCTION("""COMPUTED_VALUE"""),"МинЖКХ ")</f>
        <v xml:space="preserve">МинЖКХ </v>
      </c>
      <c r="E455" s="20" t="str">
        <f ca="1">IFERROR(__xludf.DUMMYFUNCTION("""COMPUTED_VALUE"""),"Реконструкция котельной № 6 по адресу: пос.Чернецкое, г. Чехов-7, ул. Победы, военный городок №  18 (в том числе ПИР)")</f>
        <v>Реконструкция котельной № 6 по адресу: пос.Чернецкое, г. Чехов-7, ул. Победы, военный городок №  18 (в том числе ПИР)</v>
      </c>
      <c r="F455" s="24" t="str">
        <f ca="1">IFERROR(__xludf.DUMMYFUNCTION("""COMPUTED_VALUE"""),"СМР")</f>
        <v>СМР</v>
      </c>
      <c r="G455" s="20" t="str">
        <f ca="1">IFERROR(__xludf.DUMMYFUNCTION("""COMPUTED_VALUE"""),"г.о. Чехов")</f>
        <v>г.о. Чехов</v>
      </c>
      <c r="H455" s="20" t="str">
        <f ca="1">IFERROR(__xludf.DUMMYFUNCTION("""COMPUTED_VALUE"""),"2019-2022")</f>
        <v>2019-2022</v>
      </c>
      <c r="I455" s="20" t="str">
        <f ca="1">IFERROR(__xludf.DUMMYFUNCTION("""COMPUTED_VALUE"""),"10 3 03 64460")</f>
        <v>10 3 03 64460</v>
      </c>
      <c r="J455" s="20">
        <f ca="1">IFERROR(__xludf.DUMMYFUNCTION("""COMPUTED_VALUE"""),522)</f>
        <v>522</v>
      </c>
      <c r="K455" s="24">
        <f t="shared" ca="1" si="1"/>
        <v>37587</v>
      </c>
      <c r="L455" s="24">
        <f ca="1">IFERROR(__xludf.DUMMYFUNCTION("""COMPUTED_VALUE"""),0)</f>
        <v>0</v>
      </c>
      <c r="M455" s="20"/>
      <c r="N455" s="24">
        <f ca="1">IFERROR(__xludf.DUMMYFUNCTION("""COMPUTED_VALUE"""),35707.65)</f>
        <v>35707.65</v>
      </c>
      <c r="O455" s="24">
        <f ca="1">IFERROR(__xludf.DUMMYFUNCTION("""COMPUTED_VALUE"""),1879.35)</f>
        <v>1879.35</v>
      </c>
      <c r="P455" s="24">
        <f t="shared" ca="1" si="2"/>
        <v>35707.65</v>
      </c>
      <c r="Q455" s="20">
        <f ca="1">IFERROR(__xludf.DUMMYFUNCTION("""COMPUTED_VALUE"""),15)</f>
        <v>15</v>
      </c>
      <c r="R455" s="20"/>
      <c r="S455" s="24">
        <f ca="1">IFERROR(__xludf.DUMMYFUNCTION("""COMPUTED_VALUE"""),6978.66)</f>
        <v>6978.66</v>
      </c>
      <c r="T455" s="24">
        <f ca="1">IFERROR(__xludf.DUMMYFUNCTION("""COMPUTED_VALUE"""),30608.34)</f>
        <v>30608.34</v>
      </c>
      <c r="U455" s="24">
        <f ca="1">IFERROR(__xludf.DUMMYFUNCTION("""COMPUTED_VALUE"""),0)</f>
        <v>0</v>
      </c>
      <c r="V455" s="24">
        <f ca="1">IFERROR(__xludf.DUMMYFUNCTION("""COMPUTED_VALUE"""),0)</f>
        <v>0</v>
      </c>
      <c r="W455" s="24">
        <f ca="1">IFERROR(__xludf.DUMMYFUNCTION("""COMPUTED_VALUE"""),28728.99)</f>
        <v>28728.99</v>
      </c>
      <c r="X455" s="24">
        <f ca="1">IFERROR(__xludf.DUMMYFUNCTION("""COMPUTED_VALUE"""),1879.35)</f>
        <v>1879.35</v>
      </c>
      <c r="Y455" s="24">
        <f t="shared" ca="1" si="3"/>
        <v>28728.99</v>
      </c>
      <c r="Z455" s="20">
        <f t="shared" ca="1" si="4"/>
        <v>6978.66</v>
      </c>
      <c r="AA455" s="20"/>
      <c r="AB455" s="24">
        <f ca="1">IFERROR(__xludf.DUMMYFUNCTION("""COMPUTED_VALUE"""),0)</f>
        <v>0</v>
      </c>
      <c r="AC455" s="24">
        <f ca="1">IFERROR(__xludf.DUMMYFUNCTION("""COMPUTED_VALUE"""),6978.66)</f>
        <v>6978.66</v>
      </c>
      <c r="AD455" s="94">
        <f t="shared" ca="1" si="5"/>
        <v>0.19543879252765162</v>
      </c>
      <c r="AE455" s="20"/>
      <c r="AF455" s="20"/>
      <c r="AG455" s="20"/>
      <c r="AH455" s="20"/>
      <c r="AI455" s="20"/>
      <c r="AJ455" s="20"/>
      <c r="AK455" s="20"/>
      <c r="AL455" s="20"/>
      <c r="AM455" s="20"/>
      <c r="AN455" s="20"/>
      <c r="AO455" s="20"/>
      <c r="AP455" s="20"/>
      <c r="AQ455" s="20"/>
      <c r="AR455" s="20"/>
      <c r="AS455" s="20"/>
      <c r="AT455" s="20"/>
    </row>
    <row r="456" spans="1:46" ht="120" x14ac:dyDescent="0.2">
      <c r="A456" s="20"/>
      <c r="B456" s="93"/>
      <c r="C45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6" s="24" t="str">
        <f ca="1">IFERROR(__xludf.DUMMYFUNCTION("""COMPUTED_VALUE"""),"МинЖКХ ")</f>
        <v xml:space="preserve">МинЖКХ </v>
      </c>
      <c r="E456" s="20" t="str">
        <f ca="1">IFERROR(__xludf.DUMMYFUNCTION("""COMPUTED_VALUE"""),"Реконструкция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- 17 992,0"&amp;"  т.р. за счет средств поступивших из города Москвы) в том числе:")</f>
        <v>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  т.р. за счет средств поступивших из города Москвы) в том числе:</v>
      </c>
      <c r="F456" s="24" t="str">
        <f ca="1">IFERROR(__xludf.DUMMYFUNCTION("""COMPUTED_VALUE"""),"Вып")</f>
        <v>Вып</v>
      </c>
      <c r="G456" s="20" t="str">
        <f ca="1">IFERROR(__xludf.DUMMYFUNCTION("""COMPUTED_VALUE"""),"г.о. Чехов")</f>
        <v>г.о. Чехов</v>
      </c>
      <c r="H456" s="20" t="str">
        <f ca="1">IFERROR(__xludf.DUMMYFUNCTION("""COMPUTED_VALUE"""),"2018-2020")</f>
        <v>2018-2020</v>
      </c>
      <c r="I456" s="20"/>
      <c r="J456" s="20"/>
      <c r="K456" s="24">
        <f t="shared" ca="1" si="1"/>
        <v>17992.28</v>
      </c>
      <c r="L456" s="24">
        <f ca="1">IFERROR(__xludf.DUMMYFUNCTION("""COMPUTED_VALUE"""),0)</f>
        <v>0</v>
      </c>
      <c r="M456" s="20"/>
      <c r="N456" s="24">
        <f ca="1">IFERROR(__xludf.DUMMYFUNCTION("""COMPUTED_VALUE"""),17992)</f>
        <v>17992</v>
      </c>
      <c r="O456" s="24">
        <f ca="1">IFERROR(__xludf.DUMMYFUNCTION("""COMPUTED_VALUE"""),0.28)</f>
        <v>0.28000000000000003</v>
      </c>
      <c r="P456" s="24">
        <f t="shared" ca="1" si="2"/>
        <v>17992</v>
      </c>
      <c r="Q456" s="20">
        <f ca="1">IFERROR(__xludf.DUMMYFUNCTION("""COMPUTED_VALUE"""),100)</f>
        <v>100</v>
      </c>
      <c r="R456" s="20"/>
      <c r="S456" s="24">
        <f ca="1">IFERROR(__xludf.DUMMYFUNCTION("""COMPUTED_VALUE"""),17992.28)</f>
        <v>17992.28</v>
      </c>
      <c r="T456" s="24">
        <f ca="1">IFERROR(__xludf.DUMMYFUNCTION("""COMPUTED_VALUE"""),0)</f>
        <v>0</v>
      </c>
      <c r="U456" s="24">
        <f ca="1">IFERROR(__xludf.DUMMYFUNCTION("""COMPUTED_VALUE"""),0)</f>
        <v>0</v>
      </c>
      <c r="V456" s="24">
        <f ca="1">IFERROR(__xludf.DUMMYFUNCTION("""COMPUTED_VALUE"""),0)</f>
        <v>0</v>
      </c>
      <c r="W456" s="24">
        <f ca="1">IFERROR(__xludf.DUMMYFUNCTION("""COMPUTED_VALUE"""),0)</f>
        <v>0</v>
      </c>
      <c r="X456" s="24">
        <f ca="1">IFERROR(__xludf.DUMMYFUNCTION("""COMPUTED_VALUE"""),0)</f>
        <v>0</v>
      </c>
      <c r="Y456" s="24">
        <f t="shared" ca="1" si="3"/>
        <v>0</v>
      </c>
      <c r="Z456" s="20">
        <f t="shared" ca="1" si="4"/>
        <v>17992</v>
      </c>
      <c r="AA456" s="20"/>
      <c r="AB456" s="20"/>
      <c r="AC456" s="24">
        <f ca="1">IFERROR(__xludf.DUMMYFUNCTION("""COMPUTED_VALUE"""),17992)</f>
        <v>17992</v>
      </c>
      <c r="AD456" s="94">
        <f t="shared" ca="1" si="5"/>
        <v>1</v>
      </c>
      <c r="AE456" s="20"/>
      <c r="AF456" s="20"/>
      <c r="AG456" s="20"/>
      <c r="AH456" s="20"/>
      <c r="AI456" s="20"/>
      <c r="AJ456" s="20"/>
      <c r="AK456" s="20"/>
      <c r="AL456" s="20"/>
      <c r="AM456" s="20"/>
      <c r="AN456" s="20"/>
      <c r="AO456" s="20"/>
      <c r="AP456" s="20"/>
      <c r="AQ456" s="20"/>
      <c r="AR456" s="20"/>
      <c r="AS456" s="20"/>
      <c r="AT456" s="20"/>
    </row>
    <row r="457" spans="1:46" ht="120" x14ac:dyDescent="0.2">
      <c r="A457" s="20"/>
      <c r="B457" s="93"/>
      <c r="C45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7" s="24" t="str">
        <f ca="1">IFERROR(__xludf.DUMMYFUNCTION("""COMPUTED_VALUE"""),"МинЖКХ ")</f>
        <v xml:space="preserve">МинЖКХ </v>
      </c>
      <c r="E457" s="20" t="str">
        <f ca="1">IFERROR(__xludf.DUMMYFUNCTION("""COMPUTED_VALUE"""),"Реконструкция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поступивших"&amp;" из города Москвы
 ")</f>
        <v xml:space="preserv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 из города Москвы
 </v>
      </c>
      <c r="F457" s="24" t="str">
        <f ca="1">IFERROR(__xludf.DUMMYFUNCTION("""COMPUTED_VALUE"""),"Вып")</f>
        <v>Вып</v>
      </c>
      <c r="G457" s="20" t="str">
        <f ca="1">IFERROR(__xludf.DUMMYFUNCTION("""COMPUTED_VALUE"""),"г.о. Чехов")</f>
        <v>г.о. Чехов</v>
      </c>
      <c r="H457" s="20" t="str">
        <f ca="1">IFERROR(__xludf.DUMMYFUNCTION("""COMPUTED_VALUE"""),"2019-2020")</f>
        <v>2019-2020</v>
      </c>
      <c r="I457" s="24" t="str">
        <f ca="1">IFERROR(__xludf.DUMMYFUNCTION("""COMPUTED_VALUE"""),"10 3 03 64460")</f>
        <v>10 3 03 64460</v>
      </c>
      <c r="J457" s="20">
        <f ca="1">IFERROR(__xludf.DUMMYFUNCTION("""COMPUTED_VALUE"""),522)</f>
        <v>522</v>
      </c>
      <c r="K457" s="24">
        <f t="shared" ca="1" si="1"/>
        <v>98978.23000000001</v>
      </c>
      <c r="L457" s="24">
        <f ca="1">IFERROR(__xludf.DUMMYFUNCTION("""COMPUTED_VALUE"""),0)</f>
        <v>0</v>
      </c>
      <c r="M457" s="20"/>
      <c r="N457" s="24">
        <f ca="1">IFERROR(__xludf.DUMMYFUNCTION("""COMPUTED_VALUE"""),95347.66)</f>
        <v>95347.66</v>
      </c>
      <c r="O457" s="24">
        <f ca="1">IFERROR(__xludf.DUMMYFUNCTION("""COMPUTED_VALUE"""),3630.57)</f>
        <v>3630.57</v>
      </c>
      <c r="P457" s="24">
        <f t="shared" ca="1" si="2"/>
        <v>95347.66</v>
      </c>
      <c r="Q457" s="20">
        <f ca="1">IFERROR(__xludf.DUMMYFUNCTION("""COMPUTED_VALUE"""),100)</f>
        <v>100</v>
      </c>
      <c r="R457" s="20"/>
      <c r="S457" s="24">
        <f ca="1">IFERROR(__xludf.DUMMYFUNCTION("""COMPUTED_VALUE"""),65700.56)</f>
        <v>65700.56</v>
      </c>
      <c r="T457" s="24">
        <f ca="1">IFERROR(__xludf.DUMMYFUNCTION("""COMPUTED_VALUE"""),33277.67)</f>
        <v>33277.67</v>
      </c>
      <c r="U457" s="24">
        <f ca="1">IFERROR(__xludf.DUMMYFUNCTION("""COMPUTED_VALUE"""),0)</f>
        <v>0</v>
      </c>
      <c r="V457" s="24">
        <f ca="1">IFERROR(__xludf.DUMMYFUNCTION("""COMPUTED_VALUE"""),0)</f>
        <v>0</v>
      </c>
      <c r="W457" s="24">
        <f ca="1">IFERROR(__xludf.DUMMYFUNCTION("""COMPUTED_VALUE"""),29647.1)</f>
        <v>29647.1</v>
      </c>
      <c r="X457" s="24">
        <f ca="1">IFERROR(__xludf.DUMMYFUNCTION("""COMPUTED_VALUE"""),3630.57)</f>
        <v>3630.57</v>
      </c>
      <c r="Y457" s="24">
        <f t="shared" ca="1" si="3"/>
        <v>29647.1</v>
      </c>
      <c r="Z457" s="20">
        <f t="shared" ca="1" si="4"/>
        <v>65700.56</v>
      </c>
      <c r="AA457" s="20"/>
      <c r="AB457" s="20"/>
      <c r="AC457" s="24">
        <f ca="1">IFERROR(__xludf.DUMMYFUNCTION("""COMPUTED_VALUE"""),65700.56)</f>
        <v>65700.56</v>
      </c>
      <c r="AD457" s="94">
        <f t="shared" ca="1" si="5"/>
        <v>0.68906316106761289</v>
      </c>
      <c r="AE457" s="20"/>
      <c r="AF457" s="20"/>
      <c r="AG457" s="20"/>
      <c r="AH457" s="20"/>
      <c r="AI457" s="20"/>
      <c r="AJ457" s="20"/>
      <c r="AK457" s="20"/>
      <c r="AL457" s="20"/>
      <c r="AM457" s="20"/>
      <c r="AN457" s="20"/>
      <c r="AO457" s="20"/>
      <c r="AP457" s="20"/>
      <c r="AQ457" s="20"/>
      <c r="AR457" s="20"/>
      <c r="AS457" s="20"/>
      <c r="AT457" s="20"/>
    </row>
    <row r="458" spans="1:46" ht="96" hidden="1" x14ac:dyDescent="0.2">
      <c r="A458" s="67"/>
      <c r="B458" s="100"/>
      <c r="C458"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58" s="24" t="str">
        <f ca="1">IFERROR(__xludf.DUMMYFUNCTION("""COMPUTED_VALUE"""),"МинЖКХ ")</f>
        <v xml:space="preserve">МинЖКХ </v>
      </c>
      <c r="E458" s="20" t="str">
        <f ca="1">IFERROR(__xludf.DUMMYFUNCTION("""COMPUTED_VALUE"""),"Строительство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f>
        <v>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v>
      </c>
      <c r="F458" s="67"/>
      <c r="G458" s="67" t="str">
        <f ca="1">IFERROR(__xludf.DUMMYFUNCTION("""COMPUTED_VALUE"""),"г.о. Щелково")</f>
        <v>г.о. Щелково</v>
      </c>
      <c r="H458" s="97" t="str">
        <f ca="1">IFERROR(__xludf.DUMMYFUNCTION("""COMPUTED_VALUE"""),"2021-2022")</f>
        <v>2021-2022</v>
      </c>
      <c r="I458" s="67"/>
      <c r="J458" s="67"/>
      <c r="K458" s="97">
        <f t="shared" ca="1" si="1"/>
        <v>0</v>
      </c>
      <c r="L458" s="97">
        <f ca="1">IFERROR(__xludf.DUMMYFUNCTION("""COMPUTED_VALUE"""),0)</f>
        <v>0</v>
      </c>
      <c r="M458" s="67"/>
      <c r="N458" s="97">
        <f ca="1">IFERROR(__xludf.DUMMYFUNCTION("""COMPUTED_VALUE"""),0)</f>
        <v>0</v>
      </c>
      <c r="O458" s="97">
        <f ca="1">IFERROR(__xludf.DUMMYFUNCTION("""COMPUTED_VALUE"""),0)</f>
        <v>0</v>
      </c>
      <c r="P458" s="97">
        <f t="shared" ca="1" si="2"/>
        <v>0</v>
      </c>
      <c r="Q458" s="67">
        <f ca="1">IFERROR(__xludf.DUMMYFUNCTION("""COMPUTED_VALUE"""),0)</f>
        <v>0</v>
      </c>
      <c r="R458" s="67"/>
      <c r="S458" s="97">
        <f ca="1">IFERROR(__xludf.DUMMYFUNCTION("""COMPUTED_VALUE"""),0)</f>
        <v>0</v>
      </c>
      <c r="T458" s="97">
        <f ca="1">IFERROR(__xludf.DUMMYFUNCTION("""COMPUTED_VALUE"""),0)</f>
        <v>0</v>
      </c>
      <c r="U458" s="97">
        <f ca="1">IFERROR(__xludf.DUMMYFUNCTION("""COMPUTED_VALUE"""),0)</f>
        <v>0</v>
      </c>
      <c r="V458" s="97">
        <f ca="1">IFERROR(__xludf.DUMMYFUNCTION("""COMPUTED_VALUE"""),0)</f>
        <v>0</v>
      </c>
      <c r="W458" s="97">
        <f ca="1">IFERROR(__xludf.DUMMYFUNCTION("""COMPUTED_VALUE"""),0)</f>
        <v>0</v>
      </c>
      <c r="X458" s="97">
        <f ca="1">IFERROR(__xludf.DUMMYFUNCTION("""COMPUTED_VALUE"""),0)</f>
        <v>0</v>
      </c>
      <c r="Y458" s="97">
        <f t="shared" ca="1" si="3"/>
        <v>0</v>
      </c>
      <c r="Z458" s="67">
        <f t="shared" ca="1" si="4"/>
        <v>0</v>
      </c>
      <c r="AA458" s="67"/>
      <c r="AB458" s="97">
        <f ca="1">IFERROR(__xludf.DUMMYFUNCTION("""COMPUTED_VALUE"""),0)</f>
        <v>0</v>
      </c>
      <c r="AC458" s="67"/>
      <c r="AD458" s="99" t="e">
        <f t="shared" ca="1" si="5"/>
        <v>#DIV/0!</v>
      </c>
      <c r="AE458" s="67"/>
      <c r="AF458" s="67"/>
      <c r="AG458" s="67"/>
      <c r="AH458" s="67"/>
      <c r="AI458" s="67"/>
      <c r="AJ458" s="67"/>
      <c r="AK458" s="67"/>
      <c r="AL458" s="67"/>
      <c r="AM458" s="67"/>
      <c r="AN458" s="67"/>
      <c r="AO458" s="67"/>
      <c r="AP458" s="67"/>
      <c r="AQ458" s="67"/>
      <c r="AR458" s="67"/>
      <c r="AS458" s="67"/>
      <c r="AT458" s="67"/>
    </row>
    <row r="459" spans="1:46" ht="144" hidden="1" x14ac:dyDescent="0.2">
      <c r="A459" s="67"/>
      <c r="B459" s="96"/>
      <c r="C45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9" s="24" t="str">
        <f ca="1">IFERROR(__xludf.DUMMYFUNCTION("""COMPUTED_VALUE"""),"Минкульт")</f>
        <v>Минкульт</v>
      </c>
      <c r="E459" s="20" t="str">
        <f ca="1">IFERROR(__xludf.DUMMYFUNCTION("""COMPUTED_VALUE"""),"Капитальный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f>
        <v xml:space="preserv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v>
      </c>
      <c r="F459" s="67"/>
      <c r="G459" s="67" t="str">
        <f ca="1">IFERROR(__xludf.DUMMYFUNCTION("""COMPUTED_VALUE"""),"г.о. Щелково ")</f>
        <v xml:space="preserve">г.о. Щелково </v>
      </c>
      <c r="H459" s="67" t="str">
        <f ca="1">IFERROR(__xludf.DUMMYFUNCTION("""COMPUTED_VALUE"""),"2016-2022")</f>
        <v>2016-2022</v>
      </c>
      <c r="I459" s="67"/>
      <c r="J459" s="67"/>
      <c r="K459" s="97">
        <f t="shared" ca="1" si="1"/>
        <v>14150.8999999999</v>
      </c>
      <c r="L459" s="97">
        <f ca="1">IFERROR(__xludf.DUMMYFUNCTION("""COMPUTED_VALUE"""),13535.5999999999)</f>
        <v>13535.5999999999</v>
      </c>
      <c r="M459" s="67"/>
      <c r="N459" s="97">
        <f ca="1">IFERROR(__xludf.DUMMYFUNCTION("""COMPUTED_VALUE"""),0)</f>
        <v>0</v>
      </c>
      <c r="O459" s="97">
        <f ca="1">IFERROR(__xludf.DUMMYFUNCTION("""COMPUTED_VALUE"""),615.3)</f>
        <v>615.29999999999995</v>
      </c>
      <c r="P459" s="97">
        <f t="shared" ca="1" si="2"/>
        <v>13535.5999999999</v>
      </c>
      <c r="Q459" s="67"/>
      <c r="R459" s="67"/>
      <c r="S459" s="67">
        <f ca="1">IFERROR(__xludf.DUMMYFUNCTION("""COMPUTED_VALUE"""),0)</f>
        <v>0</v>
      </c>
      <c r="T459" s="97">
        <f ca="1">IFERROR(__xludf.DUMMYFUNCTION("""COMPUTED_VALUE"""),14150.8999999999)</f>
        <v>14150.8999999999</v>
      </c>
      <c r="U459" s="97">
        <f ca="1">IFERROR(__xludf.DUMMYFUNCTION("""COMPUTED_VALUE"""),13535.5999999999)</f>
        <v>13535.5999999999</v>
      </c>
      <c r="V459" s="97">
        <f ca="1">IFERROR(__xludf.DUMMYFUNCTION("""COMPUTED_VALUE"""),0)</f>
        <v>0</v>
      </c>
      <c r="W459" s="97">
        <f ca="1">IFERROR(__xludf.DUMMYFUNCTION("""COMPUTED_VALUE"""),0)</f>
        <v>0</v>
      </c>
      <c r="X459" s="97">
        <f ca="1">IFERROR(__xludf.DUMMYFUNCTION("""COMPUTED_VALUE"""),615.3)</f>
        <v>615.29999999999995</v>
      </c>
      <c r="Y459" s="97">
        <f t="shared" ca="1" si="3"/>
        <v>13535.5999999999</v>
      </c>
      <c r="Z459" s="67">
        <f t="shared" si="4"/>
        <v>0</v>
      </c>
      <c r="AA459" s="67"/>
      <c r="AB459" s="67"/>
      <c r="AC459" s="67"/>
      <c r="AD459" s="99">
        <f t="shared" ca="1" si="5"/>
        <v>0</v>
      </c>
      <c r="AE459" s="67"/>
      <c r="AF459" s="67"/>
      <c r="AG459" s="67"/>
      <c r="AH459" s="67"/>
      <c r="AI459" s="67"/>
      <c r="AJ459" s="67"/>
      <c r="AK459" s="67"/>
      <c r="AL459" s="67"/>
      <c r="AM459" s="67"/>
      <c r="AN459" s="67"/>
      <c r="AO459" s="67"/>
      <c r="AP459" s="67"/>
      <c r="AQ459" s="67"/>
      <c r="AR459" s="67"/>
      <c r="AS459" s="67"/>
      <c r="AT459" s="67"/>
    </row>
    <row r="460" spans="1:46" ht="144" hidden="1" x14ac:dyDescent="0.2">
      <c r="A460" s="67"/>
      <c r="B460" s="96"/>
      <c r="C460"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0" s="24" t="str">
        <f ca="1">IFERROR(__xludf.DUMMYFUNCTION("""COMPUTED_VALUE"""),"Минкульт")</f>
        <v>Минкульт</v>
      </c>
      <c r="E460" s="20" t="str">
        <f ca="1">IFERROR(__xludf.DUMMYFUNCTION("""COMPUTED_VALUE"""),"Капитальный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f>
        <v xml:space="preserv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v>
      </c>
      <c r="F460" s="67"/>
      <c r="G460" s="67" t="str">
        <f ca="1">IFERROR(__xludf.DUMMYFUNCTION("""COMPUTED_VALUE"""),"г.о. Щелково ")</f>
        <v xml:space="preserve">г.о. Щелково </v>
      </c>
      <c r="H460" s="67" t="str">
        <f ca="1">IFERROR(__xludf.DUMMYFUNCTION("""COMPUTED_VALUE"""),"2019-2021")</f>
        <v>2019-2021</v>
      </c>
      <c r="I460" s="67"/>
      <c r="J460" s="67"/>
      <c r="K460" s="97">
        <f t="shared" ca="1" si="1"/>
        <v>80826.669999999896</v>
      </c>
      <c r="L460" s="97">
        <f ca="1">IFERROR(__xludf.DUMMYFUNCTION("""COMPUTED_VALUE"""),76785.2999999999)</f>
        <v>76785.299999999901</v>
      </c>
      <c r="M460" s="67"/>
      <c r="N460" s="97">
        <f ca="1">IFERROR(__xludf.DUMMYFUNCTION("""COMPUTED_VALUE"""),0)</f>
        <v>0</v>
      </c>
      <c r="O460" s="97">
        <f ca="1">IFERROR(__xludf.DUMMYFUNCTION("""COMPUTED_VALUE"""),4041.37)</f>
        <v>4041.37</v>
      </c>
      <c r="P460" s="97">
        <f t="shared" ca="1" si="2"/>
        <v>76785.299999999901</v>
      </c>
      <c r="Q460" s="67"/>
      <c r="R460" s="67"/>
      <c r="S460" s="67">
        <f ca="1">IFERROR(__xludf.DUMMYFUNCTION("""COMPUTED_VALUE"""),0)</f>
        <v>0</v>
      </c>
      <c r="T460" s="97">
        <f ca="1">IFERROR(__xludf.DUMMYFUNCTION("""COMPUTED_VALUE"""),80826.6699999999)</f>
        <v>80826.669999999896</v>
      </c>
      <c r="U460" s="97">
        <f ca="1">IFERROR(__xludf.DUMMYFUNCTION("""COMPUTED_VALUE"""),76785.2999999999)</f>
        <v>76785.299999999901</v>
      </c>
      <c r="V460" s="97">
        <f ca="1">IFERROR(__xludf.DUMMYFUNCTION("""COMPUTED_VALUE"""),0)</f>
        <v>0</v>
      </c>
      <c r="W460" s="97">
        <f ca="1">IFERROR(__xludf.DUMMYFUNCTION("""COMPUTED_VALUE"""),0)</f>
        <v>0</v>
      </c>
      <c r="X460" s="97">
        <f ca="1">IFERROR(__xludf.DUMMYFUNCTION("""COMPUTED_VALUE"""),4041.37)</f>
        <v>4041.37</v>
      </c>
      <c r="Y460" s="97">
        <f t="shared" ca="1" si="3"/>
        <v>76785.299999999901</v>
      </c>
      <c r="Z460" s="67">
        <f t="shared" si="4"/>
        <v>0</v>
      </c>
      <c r="AA460" s="67"/>
      <c r="AB460" s="67"/>
      <c r="AC460" s="67"/>
      <c r="AD460" s="99">
        <f t="shared" ca="1" si="5"/>
        <v>0</v>
      </c>
      <c r="AE460" s="67"/>
      <c r="AF460" s="67"/>
      <c r="AG460" s="67"/>
      <c r="AH460" s="67"/>
      <c r="AI460" s="67"/>
      <c r="AJ460" s="67"/>
      <c r="AK460" s="67"/>
      <c r="AL460" s="67"/>
      <c r="AM460" s="67"/>
      <c r="AN460" s="67"/>
      <c r="AO460" s="67"/>
      <c r="AP460" s="67"/>
      <c r="AQ460" s="67"/>
      <c r="AR460" s="67"/>
      <c r="AS460" s="67"/>
      <c r="AT460" s="67"/>
    </row>
    <row r="461" spans="1:46" ht="168" x14ac:dyDescent="0.2">
      <c r="A461" s="20"/>
      <c r="B461" s="95"/>
      <c r="C46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1" s="24" t="str">
        <f ca="1">IFERROR(__xludf.DUMMYFUNCTION("""COMPUTED_VALUE"""),"МинЖКХ")</f>
        <v>МинЖКХ</v>
      </c>
      <c r="E461" s="20" t="str">
        <f ca="1">IFERROR(__xludf.DUMMYFUNCTION("""COMPUTED_VALUE"""),"Проведение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Щ"&amp;"елковский район, г. Щелково (Щелково-4, ул. Беляева) - с.п. Анискинское (д. Леониха) - г. Щелково (Щелково-3),военный городок Щелково 3-4")</f>
        <v>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Щелковский район, г. Щелково (Щелково-4, ул. Беляева) - с.п. Анискинское (д. Леониха) - г. Щелково (Щелково-3),военный городок Щелково 3-4</v>
      </c>
      <c r="F461" s="24" t="str">
        <f ca="1">IFERROR(__xludf.DUMMYFUNCTION("""COMPUTED_VALUE"""),"Вып")</f>
        <v>Вып</v>
      </c>
      <c r="G461" s="20" t="str">
        <f ca="1">IFERROR(__xludf.DUMMYFUNCTION("""COMPUTED_VALUE"""),"г.о. Щелково")</f>
        <v>г.о. Щелково</v>
      </c>
      <c r="H461" s="20" t="str">
        <f ca="1">IFERROR(__xludf.DUMMYFUNCTION("""COMPUTED_VALUE"""),"2019-2020")</f>
        <v>2019-2020</v>
      </c>
      <c r="I461" s="20" t="str">
        <f ca="1">IFERROR(__xludf.DUMMYFUNCTION("""COMPUTED_VALUE"""),"10 3 03 60300")</f>
        <v>10 3 03 60300</v>
      </c>
      <c r="J461" s="20">
        <f ca="1">IFERROR(__xludf.DUMMYFUNCTION("""COMPUTED_VALUE"""),521)</f>
        <v>521</v>
      </c>
      <c r="K461" s="24">
        <f t="shared" ca="1" si="1"/>
        <v>90740.19</v>
      </c>
      <c r="L461" s="24">
        <f ca="1">IFERROR(__xludf.DUMMYFUNCTION("""COMPUTED_VALUE"""),81667)</f>
        <v>81667</v>
      </c>
      <c r="M461" s="20"/>
      <c r="N461" s="24">
        <f ca="1">IFERROR(__xludf.DUMMYFUNCTION("""COMPUTED_VALUE"""),0)</f>
        <v>0</v>
      </c>
      <c r="O461" s="24">
        <f ca="1">IFERROR(__xludf.DUMMYFUNCTION("""COMPUTED_VALUE"""),9073.19)</f>
        <v>9073.19</v>
      </c>
      <c r="P461" s="24">
        <f t="shared" ca="1" si="2"/>
        <v>81667</v>
      </c>
      <c r="Q461" s="20">
        <f ca="1">IFERROR(__xludf.DUMMYFUNCTION("""COMPUTED_VALUE"""),100)</f>
        <v>100</v>
      </c>
      <c r="R461" s="20"/>
      <c r="S461" s="24">
        <f ca="1">IFERROR(__xludf.DUMMYFUNCTION("""COMPUTED_VALUE"""),78165.32)</f>
        <v>78165.320000000007</v>
      </c>
      <c r="T461" s="24">
        <f ca="1">IFERROR(__xludf.DUMMYFUNCTION("""COMPUTED_VALUE"""),12574.8699999999)</f>
        <v>12574.869999999901</v>
      </c>
      <c r="U461" s="24">
        <f ca="1">IFERROR(__xludf.DUMMYFUNCTION("""COMPUTED_VALUE"""),3501.67999999999)</f>
        <v>3501.6799999999898</v>
      </c>
      <c r="V461" s="24">
        <f ca="1">IFERROR(__xludf.DUMMYFUNCTION("""COMPUTED_VALUE"""),0)</f>
        <v>0</v>
      </c>
      <c r="W461" s="24">
        <f ca="1">IFERROR(__xludf.DUMMYFUNCTION("""COMPUTED_VALUE"""),0)</f>
        <v>0</v>
      </c>
      <c r="X461" s="24">
        <f ca="1">IFERROR(__xludf.DUMMYFUNCTION("""COMPUTED_VALUE"""),9073.19)</f>
        <v>9073.19</v>
      </c>
      <c r="Y461" s="24">
        <f t="shared" ca="1" si="3"/>
        <v>3501.6799999999898</v>
      </c>
      <c r="Z461" s="20">
        <f t="shared" ca="1" si="4"/>
        <v>78165.320000000007</v>
      </c>
      <c r="AA461" s="20"/>
      <c r="AB461" s="24">
        <f ca="1">IFERROR(__xludf.DUMMYFUNCTION("""COMPUTED_VALUE"""),78165.32)</f>
        <v>78165.320000000007</v>
      </c>
      <c r="AC461" s="20"/>
      <c r="AD461" s="94">
        <f t="shared" ca="1" si="5"/>
        <v>0.95712246072465024</v>
      </c>
      <c r="AE461" s="20"/>
      <c r="AF461" s="20"/>
      <c r="AG461" s="20"/>
      <c r="AH461" s="20"/>
      <c r="AI461" s="20"/>
      <c r="AJ461" s="20"/>
      <c r="AK461" s="20"/>
      <c r="AL461" s="20"/>
      <c r="AM461" s="20"/>
      <c r="AN461" s="20"/>
      <c r="AO461" s="20"/>
      <c r="AP461" s="20"/>
      <c r="AQ461" s="20"/>
      <c r="AR461" s="20"/>
      <c r="AS461" s="20"/>
      <c r="AT461" s="20"/>
    </row>
    <row r="462" spans="1:46" ht="144" hidden="1" x14ac:dyDescent="0.2">
      <c r="A462" s="67"/>
      <c r="B462" s="100"/>
      <c r="C46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2" s="24" t="str">
        <f ca="1">IFERROR(__xludf.DUMMYFUNCTION("""COMPUTED_VALUE"""),"МинЖКХ ")</f>
        <v xml:space="preserve">МинЖКХ </v>
      </c>
      <c r="E462" s="20" t="str">
        <f ca="1">IFERROR(__xludf.DUMMYFUNCTION("""COMPUTED_VALUE"""),"Капитальный ремонт теплообменников и насосного оборудования на ЦТП сельское поселение Степановское, село
Всеволодово, военный городок Ногинск-5
")</f>
        <v xml:space="preserve">Капитальный ремонт теплообменников и насосного оборудования на ЦТП сельское поселение Степановское, село
Всеволодово, военный городок Ногинск-5
</v>
      </c>
      <c r="F462" s="67"/>
      <c r="G462" s="67" t="str">
        <f ca="1">IFERROR(__xludf.DUMMYFUNCTION("""COMPUTED_VALUE"""),"г.о. Электросталь ")</f>
        <v xml:space="preserve">г.о. Электросталь </v>
      </c>
      <c r="H462" s="67">
        <f ca="1">IFERROR(__xludf.DUMMYFUNCTION("""COMPUTED_VALUE"""),2022)</f>
        <v>2022</v>
      </c>
      <c r="I462" s="67"/>
      <c r="J462" s="67"/>
      <c r="K462" s="97">
        <f t="shared" ca="1" si="1"/>
        <v>0</v>
      </c>
      <c r="L462" s="97">
        <f ca="1">IFERROR(__xludf.DUMMYFUNCTION("""COMPUTED_VALUE"""),0)</f>
        <v>0</v>
      </c>
      <c r="M462" s="67"/>
      <c r="N462" s="97">
        <f ca="1">IFERROR(__xludf.DUMMYFUNCTION("""COMPUTED_VALUE"""),0)</f>
        <v>0</v>
      </c>
      <c r="O462" s="97">
        <f ca="1">IFERROR(__xludf.DUMMYFUNCTION("""COMPUTED_VALUE"""),0)</f>
        <v>0</v>
      </c>
      <c r="P462" s="97">
        <f t="shared" ca="1" si="2"/>
        <v>0</v>
      </c>
      <c r="Q462" s="67">
        <f ca="1">IFERROR(__xludf.DUMMYFUNCTION("""COMPUTED_VALUE"""),0)</f>
        <v>0</v>
      </c>
      <c r="R462" s="67"/>
      <c r="S462" s="97">
        <f ca="1">IFERROR(__xludf.DUMMYFUNCTION("""COMPUTED_VALUE"""),0)</f>
        <v>0</v>
      </c>
      <c r="T462" s="97">
        <f ca="1">IFERROR(__xludf.DUMMYFUNCTION("""COMPUTED_VALUE"""),0)</f>
        <v>0</v>
      </c>
      <c r="U462" s="97">
        <f ca="1">IFERROR(__xludf.DUMMYFUNCTION("""COMPUTED_VALUE"""),0)</f>
        <v>0</v>
      </c>
      <c r="V462" s="97">
        <f ca="1">IFERROR(__xludf.DUMMYFUNCTION("""COMPUTED_VALUE"""),0)</f>
        <v>0</v>
      </c>
      <c r="W462" s="97">
        <f ca="1">IFERROR(__xludf.DUMMYFUNCTION("""COMPUTED_VALUE"""),0)</f>
        <v>0</v>
      </c>
      <c r="X462" s="97">
        <f ca="1">IFERROR(__xludf.DUMMYFUNCTION("""COMPUTED_VALUE"""),0)</f>
        <v>0</v>
      </c>
      <c r="Y462" s="97">
        <f t="shared" ca="1" si="3"/>
        <v>0</v>
      </c>
      <c r="Z462" s="67">
        <f t="shared" ca="1" si="4"/>
        <v>0</v>
      </c>
      <c r="AA462" s="67"/>
      <c r="AB462" s="97">
        <f ca="1">IFERROR(__xludf.DUMMYFUNCTION("""COMPUTED_VALUE"""),0)</f>
        <v>0</v>
      </c>
      <c r="AC462" s="67"/>
      <c r="AD462" s="99" t="e">
        <f t="shared" ca="1" si="5"/>
        <v>#DIV/0!</v>
      </c>
      <c r="AE462" s="67"/>
      <c r="AF462" s="67"/>
      <c r="AG462" s="67"/>
      <c r="AH462" s="67"/>
      <c r="AI462" s="67"/>
      <c r="AJ462" s="67"/>
      <c r="AK462" s="67"/>
      <c r="AL462" s="67"/>
      <c r="AM462" s="67"/>
      <c r="AN462" s="67"/>
      <c r="AO462" s="67"/>
      <c r="AP462" s="67"/>
      <c r="AQ462" s="67"/>
      <c r="AR462" s="67"/>
      <c r="AS462" s="67"/>
      <c r="AT462" s="67"/>
    </row>
    <row r="463" spans="1:46" ht="144" hidden="1" x14ac:dyDescent="0.2">
      <c r="A463" s="67"/>
      <c r="B463" s="96"/>
      <c r="C46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3" s="24" t="str">
        <f ca="1">IFERROR(__xludf.DUMMYFUNCTION("""COMPUTED_VALUE"""),"Минкульт")</f>
        <v>Минкульт</v>
      </c>
      <c r="E463" s="20" t="str">
        <f ca="1">IFERROR(__xludf.DUMMYFUNCTION("""COMPUTED_VALUE"""),"Капитальный ремонт и техническое переоснащение здания Дома культуры «Всеволодово» ф-л МБУК «СДК «Елизаветино» д. Всеволодово, д. 90, военный городок Ногинск-5")</f>
        <v>Капитальный ремонт и техническое переоснащение здания Дома культуры «Всеволодово» ф-л МБУК «СДК «Елизаветино» д. Всеволодово, д. 90, военный городок Ногинск-5</v>
      </c>
      <c r="F463" s="67"/>
      <c r="G463" s="67" t="str">
        <f ca="1">IFERROR(__xludf.DUMMYFUNCTION("""COMPUTED_VALUE""")," г.о. Электросталь")</f>
        <v xml:space="preserve"> г.о. Электросталь</v>
      </c>
      <c r="H463" s="67" t="str">
        <f ca="1">IFERROR(__xludf.DUMMYFUNCTION("""COMPUTED_VALUE"""),"2018-2020")</f>
        <v>2018-2020</v>
      </c>
      <c r="I463" s="67"/>
      <c r="J463" s="67"/>
      <c r="K463" s="97">
        <f t="shared" ca="1" si="1"/>
        <v>45452.93</v>
      </c>
      <c r="L463" s="97">
        <f ca="1">IFERROR(__xludf.DUMMYFUNCTION("""COMPUTED_VALUE"""),43181)</f>
        <v>43181</v>
      </c>
      <c r="M463" s="67"/>
      <c r="N463" s="97">
        <f ca="1">IFERROR(__xludf.DUMMYFUNCTION("""COMPUTED_VALUE"""),0)</f>
        <v>0</v>
      </c>
      <c r="O463" s="97">
        <f ca="1">IFERROR(__xludf.DUMMYFUNCTION("""COMPUTED_VALUE"""),2271.93)</f>
        <v>2271.9299999999998</v>
      </c>
      <c r="P463" s="97">
        <f t="shared" ca="1" si="2"/>
        <v>43181</v>
      </c>
      <c r="Q463" s="67"/>
      <c r="R463" s="67"/>
      <c r="S463" s="67">
        <f ca="1">IFERROR(__xludf.DUMMYFUNCTION("""COMPUTED_VALUE"""),0)</f>
        <v>0</v>
      </c>
      <c r="T463" s="97">
        <f ca="1">IFERROR(__xludf.DUMMYFUNCTION("""COMPUTED_VALUE"""),45452.93)</f>
        <v>45452.93</v>
      </c>
      <c r="U463" s="97">
        <f ca="1">IFERROR(__xludf.DUMMYFUNCTION("""COMPUTED_VALUE"""),43181)</f>
        <v>43181</v>
      </c>
      <c r="V463" s="97">
        <f ca="1">IFERROR(__xludf.DUMMYFUNCTION("""COMPUTED_VALUE"""),0)</f>
        <v>0</v>
      </c>
      <c r="W463" s="97">
        <f ca="1">IFERROR(__xludf.DUMMYFUNCTION("""COMPUTED_VALUE"""),0)</f>
        <v>0</v>
      </c>
      <c r="X463" s="97">
        <f ca="1">IFERROR(__xludf.DUMMYFUNCTION("""COMPUTED_VALUE"""),2271.93)</f>
        <v>2271.9299999999998</v>
      </c>
      <c r="Y463" s="97">
        <f t="shared" ca="1" si="3"/>
        <v>43181</v>
      </c>
      <c r="Z463" s="67">
        <f t="shared" si="4"/>
        <v>0</v>
      </c>
      <c r="AA463" s="67"/>
      <c r="AB463" s="67"/>
      <c r="AC463" s="67"/>
      <c r="AD463" s="99">
        <f t="shared" ca="1" si="5"/>
        <v>0</v>
      </c>
      <c r="AE463" s="67"/>
      <c r="AF463" s="67"/>
      <c r="AG463" s="67"/>
      <c r="AH463" s="67"/>
      <c r="AI463" s="67"/>
      <c r="AJ463" s="67"/>
      <c r="AK463" s="67"/>
      <c r="AL463" s="67"/>
      <c r="AM463" s="67"/>
      <c r="AN463" s="67"/>
      <c r="AO463" s="67"/>
      <c r="AP463" s="67"/>
      <c r="AQ463" s="67"/>
      <c r="AR463" s="67"/>
      <c r="AS463" s="67"/>
      <c r="AT463" s="67"/>
    </row>
    <row r="464" spans="1:46" ht="84" x14ac:dyDescent="0.2">
      <c r="A464" s="20"/>
      <c r="B464" s="95"/>
      <c r="C464"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64" s="24" t="str">
        <f ca="1">IFERROR(__xludf.DUMMYFUNCTION("""COMPUTED_VALUE"""),"МинЖКХ ")</f>
        <v xml:space="preserve">МинЖКХ </v>
      </c>
      <c r="E464" s="20" t="str">
        <f ca="1">IFERROR(__xludf.DUMMYFUNCTION("""COMPUTED_VALUE"""),"Реконструкция очистных сооружений, в/г Ногинск-5, д. Всеволодово, Электросталь г.о. ")</f>
        <v xml:space="preserve">Реконструкция очистных сооружений, в/г Ногинск-5, д. Всеволодово, Электросталь г.о. </v>
      </c>
      <c r="F464" s="24" t="str">
        <f ca="1">IFERROR(__xludf.DUMMYFUNCTION("""COMPUTED_VALUE"""),"ПИР")</f>
        <v>ПИР</v>
      </c>
      <c r="G464" s="20" t="str">
        <f ca="1">IFERROR(__xludf.DUMMYFUNCTION("""COMPUTED_VALUE"""),"г.о. Электросталь ")</f>
        <v xml:space="preserve">г.о. Электросталь </v>
      </c>
      <c r="H464" s="41" t="str">
        <f ca="1">IFERROR(__xludf.DUMMYFUNCTION("""COMPUTED_VALUE"""),"2019-2022")</f>
        <v>2019-2022</v>
      </c>
      <c r="I464" s="20"/>
      <c r="J464" s="20"/>
      <c r="K464" s="24">
        <f t="shared" ca="1" si="1"/>
        <v>18509.47</v>
      </c>
      <c r="L464" s="24">
        <f ca="1">IFERROR(__xludf.DUMMYFUNCTION("""COMPUTED_VALUE"""),0)</f>
        <v>0</v>
      </c>
      <c r="M464" s="20"/>
      <c r="N464" s="24">
        <f ca="1">IFERROR(__xludf.DUMMYFUNCTION("""COMPUTED_VALUE"""),17584)</f>
        <v>17584</v>
      </c>
      <c r="O464" s="24">
        <f ca="1">IFERROR(__xludf.DUMMYFUNCTION("""COMPUTED_VALUE"""),925.47)</f>
        <v>925.47</v>
      </c>
      <c r="P464" s="24">
        <f t="shared" ca="1" si="2"/>
        <v>17584</v>
      </c>
      <c r="Q464" s="20">
        <f ca="1">IFERROR(__xludf.DUMMYFUNCTION("""COMPUTED_VALUE"""),100)</f>
        <v>100</v>
      </c>
      <c r="R464" s="20"/>
      <c r="S464" s="24">
        <f ca="1">IFERROR(__xludf.DUMMYFUNCTION("""COMPUTED_VALUE"""),17584)</f>
        <v>17584</v>
      </c>
      <c r="T464" s="24">
        <f ca="1">IFERROR(__xludf.DUMMYFUNCTION("""COMPUTED_VALUE"""),925.470000000001)</f>
        <v>925.47000000000105</v>
      </c>
      <c r="U464" s="24">
        <f ca="1">IFERROR(__xludf.DUMMYFUNCTION("""COMPUTED_VALUE"""),0)</f>
        <v>0</v>
      </c>
      <c r="V464" s="24">
        <f ca="1">IFERROR(__xludf.DUMMYFUNCTION("""COMPUTED_VALUE"""),0)</f>
        <v>0</v>
      </c>
      <c r="W464" s="24">
        <f ca="1">IFERROR(__xludf.DUMMYFUNCTION("""COMPUTED_VALUE"""),0)</f>
        <v>0</v>
      </c>
      <c r="X464" s="24">
        <f ca="1">IFERROR(__xludf.DUMMYFUNCTION("""COMPUTED_VALUE"""),925.47)</f>
        <v>925.47</v>
      </c>
      <c r="Y464" s="24">
        <f t="shared" ca="1" si="3"/>
        <v>0</v>
      </c>
      <c r="Z464" s="20">
        <f t="shared" ca="1" si="4"/>
        <v>17584</v>
      </c>
      <c r="AA464" s="20"/>
      <c r="AB464" s="24">
        <f ca="1">IFERROR(__xludf.DUMMYFUNCTION("""COMPUTED_VALUE"""),0)</f>
        <v>0</v>
      </c>
      <c r="AC464" s="24">
        <f ca="1">IFERROR(__xludf.DUMMYFUNCTION("""COMPUTED_VALUE"""),17584)</f>
        <v>17584</v>
      </c>
      <c r="AD464" s="94">
        <f t="shared" ca="1" si="5"/>
        <v>1</v>
      </c>
      <c r="AE464" s="20"/>
      <c r="AF464" s="20"/>
      <c r="AG464" s="20"/>
      <c r="AH464" s="20"/>
      <c r="AI464" s="20"/>
      <c r="AJ464" s="20"/>
      <c r="AK464" s="20"/>
      <c r="AL464" s="20"/>
      <c r="AM464" s="20"/>
      <c r="AN464" s="20"/>
      <c r="AO464" s="20"/>
      <c r="AP464" s="20"/>
      <c r="AQ464" s="20"/>
      <c r="AR464" s="20"/>
      <c r="AS464" s="20"/>
      <c r="AT464" s="20"/>
    </row>
    <row r="465" spans="1:46" ht="144" hidden="1" x14ac:dyDescent="0.2">
      <c r="A465" s="67"/>
      <c r="B465" s="100"/>
      <c r="C465"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5" s="24" t="str">
        <f ca="1">IFERROR(__xludf.DUMMYFUNCTION("""COMPUTED_VALUE"""),"МинЖКХ ")</f>
        <v xml:space="preserve">МинЖКХ </v>
      </c>
      <c r="E465" s="20" t="str">
        <f ca="1">IFERROR(__xludf.DUMMYFUNCTION("""COMPUTED_VALUE"""),"Капитальный ремонт напорного коллектора сельское поселение Степановское, село Всеволодово военный городок Ногинск-5")</f>
        <v>Капитальный ремонт напорного коллектора сельское поселение Степановское, село Всеволодово военный городок Ногинск-5</v>
      </c>
      <c r="F465" s="67"/>
      <c r="G465" s="67" t="str">
        <f ca="1">IFERROR(__xludf.DUMMYFUNCTION("""COMPUTED_VALUE"""),"г.о. Электросталь ")</f>
        <v xml:space="preserve">г.о. Электросталь </v>
      </c>
      <c r="H465" s="67">
        <f ca="1">IFERROR(__xludf.DUMMYFUNCTION("""COMPUTED_VALUE"""),2019)</f>
        <v>2019</v>
      </c>
      <c r="I465" s="67"/>
      <c r="J465" s="67"/>
      <c r="K465" s="97">
        <f t="shared" ca="1" si="1"/>
        <v>0</v>
      </c>
      <c r="L465" s="97">
        <f ca="1">IFERROR(__xludf.DUMMYFUNCTION("""COMPUTED_VALUE"""),0)</f>
        <v>0</v>
      </c>
      <c r="M465" s="67"/>
      <c r="N465" s="97">
        <f ca="1">IFERROR(__xludf.DUMMYFUNCTION("""COMPUTED_VALUE"""),0)</f>
        <v>0</v>
      </c>
      <c r="O465" s="97">
        <f ca="1">IFERROR(__xludf.DUMMYFUNCTION("""COMPUTED_VALUE"""),0)</f>
        <v>0</v>
      </c>
      <c r="P465" s="97">
        <f t="shared" ca="1" si="2"/>
        <v>0</v>
      </c>
      <c r="Q465" s="67"/>
      <c r="R465" s="67"/>
      <c r="S465" s="67">
        <f ca="1">IFERROR(__xludf.DUMMYFUNCTION("""COMPUTED_VALUE"""),0)</f>
        <v>0</v>
      </c>
      <c r="T465" s="97">
        <f ca="1">IFERROR(__xludf.DUMMYFUNCTION("""COMPUTED_VALUE"""),0)</f>
        <v>0</v>
      </c>
      <c r="U465" s="97">
        <f ca="1">IFERROR(__xludf.DUMMYFUNCTION("""COMPUTED_VALUE"""),0)</f>
        <v>0</v>
      </c>
      <c r="V465" s="97">
        <f ca="1">IFERROR(__xludf.DUMMYFUNCTION("""COMPUTED_VALUE"""),0)</f>
        <v>0</v>
      </c>
      <c r="W465" s="97">
        <f ca="1">IFERROR(__xludf.DUMMYFUNCTION("""COMPUTED_VALUE"""),0)</f>
        <v>0</v>
      </c>
      <c r="X465" s="97">
        <f ca="1">IFERROR(__xludf.DUMMYFUNCTION("""COMPUTED_VALUE"""),0)</f>
        <v>0</v>
      </c>
      <c r="Y465" s="97">
        <f t="shared" ca="1" si="3"/>
        <v>0</v>
      </c>
      <c r="Z465" s="67">
        <f t="shared" si="4"/>
        <v>0</v>
      </c>
      <c r="AA465" s="67"/>
      <c r="AB465" s="67"/>
      <c r="AC465" s="67"/>
      <c r="AD465" s="99" t="e">
        <f t="shared" ca="1" si="5"/>
        <v>#DIV/0!</v>
      </c>
      <c r="AE465" s="67"/>
      <c r="AF465" s="67"/>
      <c r="AG465" s="67"/>
      <c r="AH465" s="67"/>
      <c r="AI465" s="67"/>
      <c r="AJ465" s="67"/>
      <c r="AK465" s="67"/>
      <c r="AL465" s="67"/>
      <c r="AM465" s="67"/>
      <c r="AN465" s="67"/>
      <c r="AO465" s="67"/>
      <c r="AP465" s="67"/>
      <c r="AQ465" s="67"/>
      <c r="AR465" s="67"/>
      <c r="AS465" s="67"/>
      <c r="AT465" s="67"/>
    </row>
    <row r="466" spans="1:46" ht="144" hidden="1" x14ac:dyDescent="0.2">
      <c r="A466" s="67"/>
      <c r="B466" s="96"/>
      <c r="C466"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6" s="24" t="str">
        <f ca="1">IFERROR(__xludf.DUMMYFUNCTION("""COMPUTED_VALUE"""),"МинЖКХ ")</f>
        <v xml:space="preserve">МинЖКХ </v>
      </c>
      <c r="E466" s="20" t="str">
        <f ca="1">IFERROR(__xludf.DUMMYFUNCTION("""COMPUTED_VALUE"""),"Капитальный ремонт котельной (2-й этап)  по адресу: Московская область, г.о. Электросталь, военный городок Ногинск-5")</f>
        <v>Капитальный ремонт котельной (2-й этап)  по адресу: Московская область, г.о. Электросталь, военный городок Ногинск-5</v>
      </c>
      <c r="F466" s="67"/>
      <c r="G466" s="67" t="str">
        <f ca="1">IFERROR(__xludf.DUMMYFUNCTION("""COMPUTED_VALUE"""),"г.о. Электросталь ")</f>
        <v xml:space="preserve">г.о. Электросталь </v>
      </c>
      <c r="H466" s="67">
        <f ca="1">IFERROR(__xludf.DUMMYFUNCTION("""COMPUTED_VALUE"""),2022)</f>
        <v>2022</v>
      </c>
      <c r="I466" s="67"/>
      <c r="J466" s="67"/>
      <c r="K466" s="97">
        <f t="shared" ca="1" si="1"/>
        <v>0</v>
      </c>
      <c r="L466" s="97">
        <f ca="1">IFERROR(__xludf.DUMMYFUNCTION("""COMPUTED_VALUE"""),0)</f>
        <v>0</v>
      </c>
      <c r="M466" s="67"/>
      <c r="N466" s="97">
        <f ca="1">IFERROR(__xludf.DUMMYFUNCTION("""COMPUTED_VALUE"""),0)</f>
        <v>0</v>
      </c>
      <c r="O466" s="97">
        <f ca="1">IFERROR(__xludf.DUMMYFUNCTION("""COMPUTED_VALUE"""),0)</f>
        <v>0</v>
      </c>
      <c r="P466" s="97">
        <f t="shared" ca="1" si="2"/>
        <v>0</v>
      </c>
      <c r="Q466" s="67">
        <f ca="1">IFERROR(__xludf.DUMMYFUNCTION("""COMPUTED_VALUE"""),0)</f>
        <v>0</v>
      </c>
      <c r="R466" s="67"/>
      <c r="S466" s="97">
        <f ca="1">IFERROR(__xludf.DUMMYFUNCTION("""COMPUTED_VALUE"""),0)</f>
        <v>0</v>
      </c>
      <c r="T466" s="97">
        <f ca="1">IFERROR(__xludf.DUMMYFUNCTION("""COMPUTED_VALUE"""),0)</f>
        <v>0</v>
      </c>
      <c r="U466" s="97">
        <f ca="1">IFERROR(__xludf.DUMMYFUNCTION("""COMPUTED_VALUE"""),0)</f>
        <v>0</v>
      </c>
      <c r="V466" s="97">
        <f ca="1">IFERROR(__xludf.DUMMYFUNCTION("""COMPUTED_VALUE"""),0)</f>
        <v>0</v>
      </c>
      <c r="W466" s="97">
        <f ca="1">IFERROR(__xludf.DUMMYFUNCTION("""COMPUTED_VALUE"""),0)</f>
        <v>0</v>
      </c>
      <c r="X466" s="97">
        <f ca="1">IFERROR(__xludf.DUMMYFUNCTION("""COMPUTED_VALUE"""),0)</f>
        <v>0</v>
      </c>
      <c r="Y466" s="97">
        <f t="shared" ca="1" si="3"/>
        <v>0</v>
      </c>
      <c r="Z466" s="67">
        <f t="shared" ca="1" si="4"/>
        <v>0</v>
      </c>
      <c r="AA466" s="67"/>
      <c r="AB466" s="97">
        <f ca="1">IFERROR(__xludf.DUMMYFUNCTION("""COMPUTED_VALUE"""),0)</f>
        <v>0</v>
      </c>
      <c r="AC466" s="67"/>
      <c r="AD466" s="99" t="e">
        <f t="shared" ca="1" si="5"/>
        <v>#DIV/0!</v>
      </c>
      <c r="AE466" s="67"/>
      <c r="AF466" s="67"/>
      <c r="AG466" s="67"/>
      <c r="AH466" s="67"/>
      <c r="AI466" s="67"/>
      <c r="AJ466" s="67"/>
      <c r="AK466" s="67"/>
      <c r="AL466" s="67"/>
      <c r="AM466" s="67"/>
      <c r="AN466" s="67"/>
      <c r="AO466" s="67"/>
      <c r="AP466" s="67"/>
      <c r="AQ466" s="67"/>
      <c r="AR466" s="67"/>
      <c r="AS466" s="67"/>
      <c r="AT466" s="67"/>
    </row>
    <row r="467" spans="1:46" ht="96" x14ac:dyDescent="0.2">
      <c r="A467" s="20"/>
      <c r="B467" s="20"/>
      <c r="C467"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67" s="20"/>
      <c r="E467" s="20" t="str">
        <f ca="1">IFERROR(__xludf.DUMMYFUNCTION("""COMPUTED_VALUE"""),"Строительство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f>
        <v>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v>
      </c>
      <c r="F467" s="20" t="str">
        <f ca="1">IFERROR(__xludf.DUMMYFUNCTION("""COMPUTED_VALUE"""),"СМР")</f>
        <v>СМР</v>
      </c>
      <c r="G467" s="20" t="str">
        <f ca="1">IFERROR(__xludf.DUMMYFUNCTION("""COMPUTED_VALUE"""),"(ЗТО) г.о. Воскресенск")</f>
        <v>(ЗТО) г.о. Воскресенск</v>
      </c>
      <c r="H467" s="20" t="str">
        <f ca="1">IFERROR(__xludf.DUMMYFUNCTION("""COMPUTED_VALUE"""),"2020-2021")</f>
        <v>2020-2021</v>
      </c>
      <c r="I467" s="20"/>
      <c r="J467" s="20"/>
      <c r="K467" s="24">
        <f t="shared" ca="1" si="1"/>
        <v>11813.79</v>
      </c>
      <c r="L467" s="24">
        <f ca="1">IFERROR(__xludf.DUMMYFUNCTION("""COMPUTED_VALUE"""),0)</f>
        <v>0</v>
      </c>
      <c r="M467" s="24">
        <f ca="1">IFERROR(__xludf.DUMMYFUNCTION("""COMPUTED_VALUE"""),0)</f>
        <v>0</v>
      </c>
      <c r="N467" s="24">
        <f ca="1">IFERROR(__xludf.DUMMYFUNCTION("""COMPUTED_VALUE"""),11223.35)</f>
        <v>11223.35</v>
      </c>
      <c r="O467" s="24">
        <f ca="1">IFERROR(__xludf.DUMMYFUNCTION("""COMPUTED_VALUE"""),590.44)</f>
        <v>590.44000000000005</v>
      </c>
      <c r="P467" s="24">
        <f t="shared" ca="1" si="2"/>
        <v>11223.35</v>
      </c>
      <c r="Q467" s="20"/>
      <c r="R467" s="20"/>
      <c r="S467" s="20"/>
      <c r="T467" s="20"/>
      <c r="U467" s="20"/>
      <c r="V467" s="20"/>
      <c r="W467" s="20"/>
      <c r="X467" s="20"/>
      <c r="Y467" s="20"/>
      <c r="Z467" s="20"/>
      <c r="AA467" s="24">
        <f ca="1">IFERROR(__xludf.DUMMYFUNCTION("""COMPUTED_VALUE"""),0)</f>
        <v>0</v>
      </c>
      <c r="AB467" s="24">
        <f ca="1">IFERROR(__xludf.DUMMYFUNCTION("""COMPUTED_VALUE"""),0)</f>
        <v>0</v>
      </c>
      <c r="AC467" s="24">
        <f ca="1">IFERROR(__xludf.DUMMYFUNCTION("""COMPUTED_VALUE"""),0)</f>
        <v>0</v>
      </c>
      <c r="AD467" s="20"/>
      <c r="AE467" s="20"/>
      <c r="AF467" s="20"/>
      <c r="AG467" s="20"/>
      <c r="AH467" s="20"/>
      <c r="AI467" s="20"/>
      <c r="AJ467" s="20"/>
      <c r="AK467" s="20"/>
      <c r="AL467" s="20"/>
      <c r="AM467" s="20"/>
      <c r="AN467" s="20"/>
      <c r="AO467" s="20"/>
      <c r="AP467" s="20"/>
      <c r="AQ467" s="20"/>
      <c r="AR467" s="20"/>
      <c r="AS467" s="20"/>
      <c r="AT467" s="20"/>
    </row>
    <row r="468" spans="1:46" ht="96" x14ac:dyDescent="0.2">
      <c r="A468" s="20"/>
      <c r="B468" s="20"/>
      <c r="C468"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68" s="20"/>
      <c r="E468" s="20" t="str">
        <f ca="1">IFERROR(__xludf.DUMMYFUNCTION("""COMPUTED_VALUE"""),"Строительство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f>
        <v>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v>
      </c>
      <c r="F468" s="20" t="str">
        <f ca="1">IFERROR(__xludf.DUMMYFUNCTION("""COMPUTED_VALUE"""),"СМР")</f>
        <v>СМР</v>
      </c>
      <c r="G468" s="20" t="str">
        <f ca="1">IFERROR(__xludf.DUMMYFUNCTION("""COMPUTED_VALUE"""),"(ЗТО) г.о. Воскресенск")</f>
        <v>(ЗТО) г.о. Воскресенск</v>
      </c>
      <c r="H468" s="20" t="str">
        <f ca="1">IFERROR(__xludf.DUMMYFUNCTION("""COMPUTED_VALUE"""),"2020-2021")</f>
        <v>2020-2021</v>
      </c>
      <c r="I468" s="20"/>
      <c r="J468" s="20"/>
      <c r="K468" s="24">
        <f t="shared" ca="1" si="1"/>
        <v>13588.37</v>
      </c>
      <c r="L468" s="24">
        <f ca="1">IFERROR(__xludf.DUMMYFUNCTION("""COMPUTED_VALUE"""),0)</f>
        <v>0</v>
      </c>
      <c r="M468" s="24">
        <f ca="1">IFERROR(__xludf.DUMMYFUNCTION("""COMPUTED_VALUE"""),0)</f>
        <v>0</v>
      </c>
      <c r="N468" s="24">
        <f ca="1">IFERROR(__xludf.DUMMYFUNCTION("""COMPUTED_VALUE"""),12908.95)</f>
        <v>12908.95</v>
      </c>
      <c r="O468" s="24">
        <f ca="1">IFERROR(__xludf.DUMMYFUNCTION("""COMPUTED_VALUE"""),679.42)</f>
        <v>679.42</v>
      </c>
      <c r="P468" s="24">
        <f t="shared" ca="1" si="2"/>
        <v>12908.95</v>
      </c>
      <c r="Q468" s="20"/>
      <c r="R468" s="20"/>
      <c r="S468" s="20"/>
      <c r="T468" s="20"/>
      <c r="U468" s="20"/>
      <c r="V468" s="20"/>
      <c r="W468" s="20"/>
      <c r="X468" s="20"/>
      <c r="Y468" s="20"/>
      <c r="Z468" s="20"/>
      <c r="AA468" s="24">
        <f ca="1">IFERROR(__xludf.DUMMYFUNCTION("""COMPUTED_VALUE"""),0)</f>
        <v>0</v>
      </c>
      <c r="AB468" s="24">
        <f ca="1">IFERROR(__xludf.DUMMYFUNCTION("""COMPUTED_VALUE"""),0)</f>
        <v>0</v>
      </c>
      <c r="AC468" s="24">
        <f ca="1">IFERROR(__xludf.DUMMYFUNCTION("""COMPUTED_VALUE"""),0)</f>
        <v>0</v>
      </c>
      <c r="AD468" s="20"/>
      <c r="AE468" s="20"/>
      <c r="AF468" s="20"/>
      <c r="AG468" s="20"/>
      <c r="AH468" s="20"/>
      <c r="AI468" s="20"/>
      <c r="AJ468" s="20"/>
      <c r="AK468" s="20"/>
      <c r="AL468" s="20"/>
      <c r="AM468" s="20"/>
      <c r="AN468" s="20"/>
      <c r="AO468" s="20"/>
      <c r="AP468" s="20"/>
      <c r="AQ468" s="20"/>
      <c r="AR468" s="20"/>
      <c r="AS468" s="20"/>
      <c r="AT468" s="20"/>
    </row>
    <row r="469" spans="1:46" ht="84" x14ac:dyDescent="0.2">
      <c r="A469" s="20"/>
      <c r="B469" s="20"/>
      <c r="C469"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69" s="20"/>
      <c r="E469" s="20" t="str">
        <f ca="1">IFERROR(__xludf.DUMMYFUNCTION("""COMPUTED_VALUE"""),"Строительство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f>
        <v>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v>
      </c>
      <c r="F469" s="20" t="str">
        <f ca="1">IFERROR(__xludf.DUMMYFUNCTION("""COMPUTED_VALUE"""),"СМР")</f>
        <v>СМР</v>
      </c>
      <c r="G469" s="20" t="str">
        <f ca="1">IFERROR(__xludf.DUMMYFUNCTION("""COMPUTED_VALUE"""),"(ЗТО) г.о. Воскресенск")</f>
        <v>(ЗТО) г.о. Воскресенск</v>
      </c>
      <c r="H469" s="20" t="str">
        <f ca="1">IFERROR(__xludf.DUMMYFUNCTION("""COMPUTED_VALUE"""),"2020-2021")</f>
        <v>2020-2021</v>
      </c>
      <c r="I469" s="20"/>
      <c r="J469" s="20"/>
      <c r="K469" s="24">
        <f t="shared" ca="1" si="1"/>
        <v>4053</v>
      </c>
      <c r="L469" s="24">
        <f ca="1">IFERROR(__xludf.DUMMYFUNCTION("""COMPUTED_VALUE"""),0)</f>
        <v>0</v>
      </c>
      <c r="M469" s="24">
        <f ca="1">IFERROR(__xludf.DUMMYFUNCTION("""COMPUTED_VALUE"""),0)</f>
        <v>0</v>
      </c>
      <c r="N469" s="24">
        <f ca="1">IFERROR(__xludf.DUMMYFUNCTION("""COMPUTED_VALUE"""),3850)</f>
        <v>3850</v>
      </c>
      <c r="O469" s="24">
        <f ca="1">IFERROR(__xludf.DUMMYFUNCTION("""COMPUTED_VALUE"""),203)</f>
        <v>203</v>
      </c>
      <c r="P469" s="24">
        <f t="shared" ca="1" si="2"/>
        <v>3850</v>
      </c>
      <c r="Q469" s="20"/>
      <c r="R469" s="20"/>
      <c r="S469" s="20"/>
      <c r="T469" s="20"/>
      <c r="U469" s="20"/>
      <c r="V469" s="20"/>
      <c r="W469" s="20"/>
      <c r="X469" s="20"/>
      <c r="Y469" s="20"/>
      <c r="Z469" s="20"/>
      <c r="AA469" s="24">
        <f ca="1">IFERROR(__xludf.DUMMYFUNCTION("""COMPUTED_VALUE"""),0)</f>
        <v>0</v>
      </c>
      <c r="AB469" s="24">
        <f ca="1">IFERROR(__xludf.DUMMYFUNCTION("""COMPUTED_VALUE"""),0)</f>
        <v>0</v>
      </c>
      <c r="AC469" s="24">
        <f ca="1">IFERROR(__xludf.DUMMYFUNCTION("""COMPUTED_VALUE"""),2374.78)</f>
        <v>2374.7800000000002</v>
      </c>
      <c r="AD469" s="20"/>
      <c r="AE469" s="20"/>
      <c r="AF469" s="20"/>
      <c r="AG469" s="20"/>
      <c r="AH469" s="20"/>
      <c r="AI469" s="20"/>
      <c r="AJ469" s="20"/>
      <c r="AK469" s="20"/>
      <c r="AL469" s="20"/>
      <c r="AM469" s="20"/>
      <c r="AN469" s="20"/>
      <c r="AO469" s="20"/>
      <c r="AP469" s="20"/>
      <c r="AQ469" s="20"/>
      <c r="AR469" s="20"/>
      <c r="AS469" s="20"/>
      <c r="AT469" s="20"/>
    </row>
    <row r="470" spans="1:46" ht="120" x14ac:dyDescent="0.2">
      <c r="A470" s="20"/>
      <c r="B470" s="20"/>
      <c r="C470"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0" s="20"/>
      <c r="E470" s="20" t="str">
        <f ca="1">IFERROR(__xludf.DUMMYFUNCTION("""COMPUTED_VALUE"""),"Строительство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п"&amp;"рисоединение к сетям электроснабжения)")</f>
        <v>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присоединение к сетям электроснабжения)</v>
      </c>
      <c r="F470" s="20" t="str">
        <f ca="1">IFERROR(__xludf.DUMMYFUNCTION("""COMPUTED_VALUE"""),"СМР")</f>
        <v>СМР</v>
      </c>
      <c r="G470" s="20" t="str">
        <f ca="1">IFERROR(__xludf.DUMMYFUNCTION("""COMPUTED_VALUE"""),"(ЗТО) г.о. Наро-Фоминск")</f>
        <v>(ЗТО) г.о. Наро-Фоминск</v>
      </c>
      <c r="H470" s="20" t="str">
        <f ca="1">IFERROR(__xludf.DUMMYFUNCTION("""COMPUTED_VALUE"""),"2020-2021")</f>
        <v>2020-2021</v>
      </c>
      <c r="I470" s="20"/>
      <c r="J470" s="20"/>
      <c r="K470" s="24">
        <f t="shared" ca="1" si="1"/>
        <v>56184.21</v>
      </c>
      <c r="L470" s="24">
        <f ca="1">IFERROR(__xludf.DUMMYFUNCTION("""COMPUTED_VALUE"""),0)</f>
        <v>0</v>
      </c>
      <c r="M470" s="24">
        <f ca="1">IFERROR(__xludf.DUMMYFUNCTION("""COMPUTED_VALUE"""),0)</f>
        <v>0</v>
      </c>
      <c r="N470" s="24">
        <f ca="1">IFERROR(__xludf.DUMMYFUNCTION("""COMPUTED_VALUE"""),42784)</f>
        <v>42784</v>
      </c>
      <c r="O470" s="24">
        <f ca="1">IFERROR(__xludf.DUMMYFUNCTION("""COMPUTED_VALUE"""),13400.21)</f>
        <v>13400.21</v>
      </c>
      <c r="P470" s="24">
        <f t="shared" ca="1" si="2"/>
        <v>42784</v>
      </c>
      <c r="Q470" s="20"/>
      <c r="R470" s="20"/>
      <c r="S470" s="20"/>
      <c r="T470" s="20"/>
      <c r="U470" s="20"/>
      <c r="V470" s="20"/>
      <c r="W470" s="20"/>
      <c r="X470" s="20"/>
      <c r="Y470" s="20"/>
      <c r="Z470" s="20"/>
      <c r="AA470" s="24">
        <f ca="1">IFERROR(__xludf.DUMMYFUNCTION("""COMPUTED_VALUE"""),0)</f>
        <v>0</v>
      </c>
      <c r="AB470" s="24">
        <f ca="1">IFERROR(__xludf.DUMMYFUNCTION("""COMPUTED_VALUE"""),0)</f>
        <v>0</v>
      </c>
      <c r="AC470" s="24">
        <f ca="1">IFERROR(__xludf.DUMMYFUNCTION("""COMPUTED_VALUE"""),2931.75)</f>
        <v>2931.75</v>
      </c>
      <c r="AD470" s="20"/>
      <c r="AE470" s="20"/>
      <c r="AF470" s="20"/>
      <c r="AG470" s="20"/>
      <c r="AH470" s="20"/>
      <c r="AI470" s="20"/>
      <c r="AJ470" s="20"/>
      <c r="AK470" s="20"/>
      <c r="AL470" s="20"/>
      <c r="AM470" s="20"/>
      <c r="AN470" s="20"/>
      <c r="AO470" s="20"/>
      <c r="AP470" s="20"/>
      <c r="AQ470" s="20"/>
      <c r="AR470" s="20"/>
      <c r="AS470" s="20"/>
      <c r="AT470" s="20"/>
    </row>
    <row r="471" spans="1:46" ht="156" x14ac:dyDescent="0.2">
      <c r="A471" s="20"/>
      <c r="B471" s="20"/>
      <c r="C471"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1" s="20"/>
      <c r="E471" s="20" t="str">
        <f ca="1">IFERROR(__xludf.DUMMYFUNCTION("""COMPUTED_VALUE"""),"Строительство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3800000"&amp;",00 руб., из них средства бюджета города Москвы – 2899370,00 руб. средства бюджета Московской области, средства бюджета муниципального образования - 900630,00 руб.)")</f>
        <v>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3800000,00 руб., из них средства бюджета города Москвы – 2899370,00 руб. средства бюджета Московской области, средства бюджета муниципального образования - 900630,00 руб.)</v>
      </c>
      <c r="F471" s="20" t="str">
        <f ca="1">IFERROR(__xludf.DUMMYFUNCTION("""COMPUTED_VALUE"""),"СМР")</f>
        <v>СМР</v>
      </c>
      <c r="G471" s="20" t="str">
        <f ca="1">IFERROR(__xludf.DUMMYFUNCTION("""COMPUTED_VALUE"""),"(ЗТО) г.о. Наро-Фоминск")</f>
        <v>(ЗТО) г.о. Наро-Фоминск</v>
      </c>
      <c r="H471" s="20" t="str">
        <f ca="1">IFERROR(__xludf.DUMMYFUNCTION("""COMPUTED_VALUE"""),"2020-2021")</f>
        <v>2020-2021</v>
      </c>
      <c r="I471" s="20"/>
      <c r="J471" s="20"/>
      <c r="K471" s="24">
        <f t="shared" ca="1" si="1"/>
        <v>11034.509999999998</v>
      </c>
      <c r="L471" s="24">
        <f ca="1">IFERROR(__xludf.DUMMYFUNCTION("""COMPUTED_VALUE"""),0)</f>
        <v>0</v>
      </c>
      <c r="M471" s="24">
        <f ca="1">IFERROR(__xludf.DUMMYFUNCTION("""COMPUTED_VALUE"""),0)</f>
        <v>0</v>
      </c>
      <c r="N471" s="24">
        <f ca="1">IFERROR(__xludf.DUMMYFUNCTION("""COMPUTED_VALUE"""),8419.3)</f>
        <v>8419.2999999999993</v>
      </c>
      <c r="O471" s="24">
        <f ca="1">IFERROR(__xludf.DUMMYFUNCTION("""COMPUTED_VALUE"""),2615.21)</f>
        <v>2615.21</v>
      </c>
      <c r="P471" s="24">
        <f t="shared" ca="1" si="2"/>
        <v>8419.2999999999993</v>
      </c>
      <c r="Q471" s="20"/>
      <c r="R471" s="20"/>
      <c r="S471" s="20"/>
      <c r="T471" s="20"/>
      <c r="U471" s="20"/>
      <c r="V471" s="20"/>
      <c r="W471" s="20"/>
      <c r="X471" s="20"/>
      <c r="Y471" s="20"/>
      <c r="Z471" s="20"/>
      <c r="AA471" s="24">
        <f ca="1">IFERROR(__xludf.DUMMYFUNCTION("""COMPUTED_VALUE"""),0)</f>
        <v>0</v>
      </c>
      <c r="AB471" s="24">
        <f ca="1">IFERROR(__xludf.DUMMYFUNCTION("""COMPUTED_VALUE"""),0)</f>
        <v>0</v>
      </c>
      <c r="AC471" s="24">
        <f ca="1">IFERROR(__xludf.DUMMYFUNCTION("""COMPUTED_VALUE"""),2899.37)</f>
        <v>2899.37</v>
      </c>
      <c r="AD471" s="20"/>
      <c r="AE471" s="20"/>
      <c r="AF471" s="20"/>
      <c r="AG471" s="20"/>
      <c r="AH471" s="20"/>
      <c r="AI471" s="20"/>
      <c r="AJ471" s="20"/>
      <c r="AK471" s="20"/>
      <c r="AL471" s="20"/>
      <c r="AM471" s="20"/>
      <c r="AN471" s="20"/>
      <c r="AO471" s="20"/>
      <c r="AP471" s="20"/>
      <c r="AQ471" s="20"/>
      <c r="AR471" s="20"/>
      <c r="AS471" s="20"/>
      <c r="AT471" s="20"/>
    </row>
    <row r="472" spans="1:46" ht="84" x14ac:dyDescent="0.2">
      <c r="A472" s="20"/>
      <c r="B472" s="20"/>
      <c r="C472"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2" s="20"/>
      <c r="E472" s="20" t="str">
        <f ca="1">IFERROR(__xludf.DUMMYFUNCTION("""COMPUTED_VALUE"""),"Строительство канализационной насосной станции для подачи очищенных сточных вод от ЗТО в напорный коллектор, д. Могутово, Наро-Фоминского г.о.")</f>
        <v>Строительство канализационной насосной станции для подачи очищенных сточных вод от ЗТО в напорный коллектор, д. Могутово, Наро-Фоминского г.о.</v>
      </c>
      <c r="F472" s="20" t="str">
        <f ca="1">IFERROR(__xludf.DUMMYFUNCTION("""COMPUTED_VALUE"""),"СМР")</f>
        <v>СМР</v>
      </c>
      <c r="G472" s="20" t="str">
        <f ca="1">IFERROR(__xludf.DUMMYFUNCTION("""COMPUTED_VALUE"""),"(ЗТО) г.о. Наро-Фоминск")</f>
        <v>(ЗТО) г.о. Наро-Фоминск</v>
      </c>
      <c r="H472" s="20">
        <f ca="1">IFERROR(__xludf.DUMMYFUNCTION("""COMPUTED_VALUE"""),2020)</f>
        <v>2020</v>
      </c>
      <c r="I472" s="20"/>
      <c r="J472" s="20"/>
      <c r="K472" s="24">
        <f t="shared" ca="1" si="1"/>
        <v>10670.25</v>
      </c>
      <c r="L472" s="24">
        <f ca="1">IFERROR(__xludf.DUMMYFUNCTION("""COMPUTED_VALUE"""),0)</f>
        <v>0</v>
      </c>
      <c r="M472" s="24">
        <f ca="1">IFERROR(__xludf.DUMMYFUNCTION("""COMPUTED_VALUE"""),0)</f>
        <v>0</v>
      </c>
      <c r="N472" s="24">
        <f ca="1">IFERROR(__xludf.DUMMYFUNCTION("""COMPUTED_VALUE"""),8141.4)</f>
        <v>8141.4</v>
      </c>
      <c r="O472" s="24">
        <f ca="1">IFERROR(__xludf.DUMMYFUNCTION("""COMPUTED_VALUE"""),2528.85)</f>
        <v>2528.85</v>
      </c>
      <c r="P472" s="24">
        <f t="shared" ca="1" si="2"/>
        <v>8141.4</v>
      </c>
      <c r="Q472" s="20"/>
      <c r="R472" s="20"/>
      <c r="S472" s="20"/>
      <c r="T472" s="20"/>
      <c r="U472" s="20"/>
      <c r="V472" s="20"/>
      <c r="W472" s="20"/>
      <c r="X472" s="20"/>
      <c r="Y472" s="20"/>
      <c r="Z472" s="20"/>
      <c r="AA472" s="24">
        <f ca="1">IFERROR(__xludf.DUMMYFUNCTION("""COMPUTED_VALUE"""),0)</f>
        <v>0</v>
      </c>
      <c r="AB472" s="24">
        <f ca="1">IFERROR(__xludf.DUMMYFUNCTION("""COMPUTED_VALUE"""),0)</f>
        <v>0</v>
      </c>
      <c r="AC472" s="24">
        <f ca="1">IFERROR(__xludf.DUMMYFUNCTION("""COMPUTED_VALUE"""),0)</f>
        <v>0</v>
      </c>
      <c r="AD472" s="20"/>
      <c r="AE472" s="20"/>
      <c r="AF472" s="20"/>
      <c r="AG472" s="20"/>
      <c r="AH472" s="20"/>
      <c r="AI472" s="20"/>
      <c r="AJ472" s="20"/>
      <c r="AK472" s="20"/>
      <c r="AL472" s="20"/>
      <c r="AM472" s="20"/>
      <c r="AN472" s="20"/>
      <c r="AO472" s="20"/>
      <c r="AP472" s="20"/>
      <c r="AQ472" s="20"/>
      <c r="AR472" s="20"/>
      <c r="AS472" s="20"/>
      <c r="AT472" s="20"/>
    </row>
    <row r="473" spans="1:46" ht="84" x14ac:dyDescent="0.2">
      <c r="A473" s="20"/>
      <c r="B473" s="20"/>
      <c r="C473"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3" s="20"/>
      <c r="E473" s="20" t="str">
        <f ca="1">IFERROR(__xludf.DUMMYFUNCTION("""COMPUTED_VALUE"""),"Строительство ВЗУ  с сетями водоснабжения Ду 160 для технических нужд ЗТО, д. Тимохово, Богородский г.о. (в том числе ПИР) *")</f>
        <v>Строительство ВЗУ  с сетями водоснабжения Ду 160 для технических нужд ЗТО, д. Тимохово, Богородский г.о. (в том числе ПИР) *</v>
      </c>
      <c r="F473" s="20" t="str">
        <f ca="1">IFERROR(__xludf.DUMMYFUNCTION("""COMPUTED_VALUE"""),"СМР")</f>
        <v>СМР</v>
      </c>
      <c r="G473" s="20" t="str">
        <f ca="1">IFERROR(__xludf.DUMMYFUNCTION("""COMPUTED_VALUE"""),"(ЗТО) г.о. Богородский")</f>
        <v>(ЗТО) г.о. Богородский</v>
      </c>
      <c r="H473" s="20" t="str">
        <f ca="1">IFERROR(__xludf.DUMMYFUNCTION("""COMPUTED_VALUE"""),"2020-2021")</f>
        <v>2020-2021</v>
      </c>
      <c r="I473" s="20"/>
      <c r="J473" s="20"/>
      <c r="K473" s="24">
        <f t="shared" ca="1" si="1"/>
        <v>7286.67</v>
      </c>
      <c r="L473" s="24">
        <f ca="1">IFERROR(__xludf.DUMMYFUNCTION("""COMPUTED_VALUE"""),0)</f>
        <v>0</v>
      </c>
      <c r="M473" s="24">
        <f ca="1">IFERROR(__xludf.DUMMYFUNCTION("""COMPUTED_VALUE"""),0)</f>
        <v>0</v>
      </c>
      <c r="N473" s="24">
        <f ca="1">IFERROR(__xludf.DUMMYFUNCTION("""COMPUTED_VALUE"""),5465)</f>
        <v>5465</v>
      </c>
      <c r="O473" s="24">
        <f ca="1">IFERROR(__xludf.DUMMYFUNCTION("""COMPUTED_VALUE"""),1821.67)</f>
        <v>1821.67</v>
      </c>
      <c r="P473" s="24">
        <f t="shared" ca="1" si="2"/>
        <v>5465</v>
      </c>
      <c r="Q473" s="20"/>
      <c r="R473" s="20"/>
      <c r="S473" s="20"/>
      <c r="T473" s="20"/>
      <c r="U473" s="20"/>
      <c r="V473" s="20"/>
      <c r="W473" s="20"/>
      <c r="X473" s="20"/>
      <c r="Y473" s="20"/>
      <c r="Z473" s="20"/>
      <c r="AA473" s="24">
        <f ca="1">IFERROR(__xludf.DUMMYFUNCTION("""COMPUTED_VALUE"""),0)</f>
        <v>0</v>
      </c>
      <c r="AB473" s="24">
        <f ca="1">IFERROR(__xludf.DUMMYFUNCTION("""COMPUTED_VALUE"""),0)</f>
        <v>0</v>
      </c>
      <c r="AC473" s="24">
        <f ca="1">IFERROR(__xludf.DUMMYFUNCTION("""COMPUTED_VALUE"""),0)</f>
        <v>0</v>
      </c>
      <c r="AD473" s="20"/>
      <c r="AE473" s="20"/>
      <c r="AF473" s="20"/>
      <c r="AG473" s="20"/>
      <c r="AH473" s="20"/>
      <c r="AI473" s="20"/>
      <c r="AJ473" s="20"/>
      <c r="AK473" s="20"/>
      <c r="AL473" s="20"/>
      <c r="AM473" s="20"/>
      <c r="AN473" s="20"/>
      <c r="AO473" s="20"/>
      <c r="AP473" s="20"/>
      <c r="AQ473" s="20"/>
      <c r="AR473" s="20"/>
      <c r="AS473" s="20"/>
      <c r="AT473" s="20"/>
    </row>
    <row r="474" spans="1:46" ht="84" x14ac:dyDescent="0.2">
      <c r="A474" s="20"/>
      <c r="B474" s="20"/>
      <c r="C474"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4" s="20"/>
      <c r="E474" s="20" t="str">
        <f ca="1">IFERROR(__xludf.DUMMYFUNCTION("""COMPUTED_VALUE"""),"Строительство сетей  водоснабжения Ду 80 для хозяйственно-бытовых нужд ЗТО,д.Тимохово, Богородский г.о. (в том числе ПИР)*")</f>
        <v>Строительство сетей  водоснабжения Ду 80 для хозяйственно-бытовых нужд ЗТО,д.Тимохово, Богородский г.о. (в том числе ПИР)*</v>
      </c>
      <c r="F474" s="20" t="str">
        <f ca="1">IFERROR(__xludf.DUMMYFUNCTION("""COMPUTED_VALUE"""),"СМР")</f>
        <v>СМР</v>
      </c>
      <c r="G474" s="20" t="str">
        <f ca="1">IFERROR(__xludf.DUMMYFUNCTION("""COMPUTED_VALUE"""),"(ЗТО) г.о. Богородский")</f>
        <v>(ЗТО) г.о. Богородский</v>
      </c>
      <c r="H474" s="20" t="str">
        <f ca="1">IFERROR(__xludf.DUMMYFUNCTION("""COMPUTED_VALUE"""),"2020-2021")</f>
        <v>2020-2021</v>
      </c>
      <c r="I474" s="20"/>
      <c r="J474" s="20"/>
      <c r="K474" s="24">
        <f t="shared" ca="1" si="1"/>
        <v>4801.33</v>
      </c>
      <c r="L474" s="24">
        <f ca="1">IFERROR(__xludf.DUMMYFUNCTION("""COMPUTED_VALUE"""),0)</f>
        <v>0</v>
      </c>
      <c r="M474" s="24">
        <f ca="1">IFERROR(__xludf.DUMMYFUNCTION("""COMPUTED_VALUE"""),0)</f>
        <v>0</v>
      </c>
      <c r="N474" s="24">
        <f ca="1">IFERROR(__xludf.DUMMYFUNCTION("""COMPUTED_VALUE"""),3601)</f>
        <v>3601</v>
      </c>
      <c r="O474" s="24">
        <f ca="1">IFERROR(__xludf.DUMMYFUNCTION("""COMPUTED_VALUE"""),1200.33)</f>
        <v>1200.33</v>
      </c>
      <c r="P474" s="24">
        <f t="shared" ca="1" si="2"/>
        <v>3601</v>
      </c>
      <c r="Q474" s="20"/>
      <c r="R474" s="20"/>
      <c r="S474" s="20"/>
      <c r="T474" s="20"/>
      <c r="U474" s="20"/>
      <c r="V474" s="20"/>
      <c r="W474" s="20"/>
      <c r="X474" s="20"/>
      <c r="Y474" s="20"/>
      <c r="Z474" s="20"/>
      <c r="AA474" s="24">
        <f ca="1">IFERROR(__xludf.DUMMYFUNCTION("""COMPUTED_VALUE"""),0)</f>
        <v>0</v>
      </c>
      <c r="AB474" s="24">
        <f ca="1">IFERROR(__xludf.DUMMYFUNCTION("""COMPUTED_VALUE"""),0)</f>
        <v>0</v>
      </c>
      <c r="AC474" s="24">
        <f ca="1">IFERROR(__xludf.DUMMYFUNCTION("""COMPUTED_VALUE"""),0)</f>
        <v>0</v>
      </c>
      <c r="AD474" s="20"/>
      <c r="AE474" s="20"/>
      <c r="AF474" s="20"/>
      <c r="AG474" s="20"/>
      <c r="AH474" s="20"/>
      <c r="AI474" s="20"/>
      <c r="AJ474" s="20"/>
      <c r="AK474" s="20"/>
      <c r="AL474" s="20"/>
      <c r="AM474" s="20"/>
      <c r="AN474" s="20"/>
      <c r="AO474" s="20"/>
      <c r="AP474" s="20"/>
      <c r="AQ474" s="20"/>
      <c r="AR474" s="20"/>
      <c r="AS474" s="20"/>
      <c r="AT474" s="20"/>
    </row>
    <row r="475" spans="1:46" ht="84" x14ac:dyDescent="0.2">
      <c r="A475" s="20"/>
      <c r="B475" s="20"/>
      <c r="C475"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5" s="20"/>
      <c r="E475" s="20" t="str">
        <f ca="1">IFERROR(__xludf.DUMMYFUNCTION("""COMPUTED_VALUE"""),"Строительство напорного коллектора Ду200 от ЗТО  до точки сброса в водный объект, д. Тимохово, Богородский г.о. (в том числе ПИР)*")</f>
        <v>Строительство напорного коллектора Ду200 от ЗТО  до точки сброса в водный объект, д. Тимохово, Богородский г.о. (в том числе ПИР)*</v>
      </c>
      <c r="F475" s="20" t="str">
        <f ca="1">IFERROR(__xludf.DUMMYFUNCTION("""COMPUTED_VALUE"""),"СМР")</f>
        <v>СМР</v>
      </c>
      <c r="G475" s="20" t="str">
        <f ca="1">IFERROR(__xludf.DUMMYFUNCTION("""COMPUTED_VALUE"""),"(ЗТО) г.о. Богородский")</f>
        <v>(ЗТО) г.о. Богородский</v>
      </c>
      <c r="H475" s="20" t="str">
        <f ca="1">IFERROR(__xludf.DUMMYFUNCTION("""COMPUTED_VALUE"""),"2020-2021")</f>
        <v>2020-2021</v>
      </c>
      <c r="I475" s="20"/>
      <c r="J475" s="20"/>
      <c r="K475" s="24">
        <f t="shared" ca="1" si="1"/>
        <v>461.33</v>
      </c>
      <c r="L475" s="24">
        <f ca="1">IFERROR(__xludf.DUMMYFUNCTION("""COMPUTED_VALUE"""),0)</f>
        <v>0</v>
      </c>
      <c r="M475" s="24">
        <f ca="1">IFERROR(__xludf.DUMMYFUNCTION("""COMPUTED_VALUE"""),0)</f>
        <v>0</v>
      </c>
      <c r="N475" s="24">
        <f ca="1">IFERROR(__xludf.DUMMYFUNCTION("""COMPUTED_VALUE"""),346)</f>
        <v>346</v>
      </c>
      <c r="O475" s="24">
        <f ca="1">IFERROR(__xludf.DUMMYFUNCTION("""COMPUTED_VALUE"""),115.33)</f>
        <v>115.33</v>
      </c>
      <c r="P475" s="24">
        <f t="shared" ca="1" si="2"/>
        <v>346</v>
      </c>
      <c r="Q475" s="20"/>
      <c r="R475" s="20"/>
      <c r="S475" s="20"/>
      <c r="T475" s="20"/>
      <c r="U475" s="20"/>
      <c r="V475" s="20"/>
      <c r="W475" s="20"/>
      <c r="X475" s="20"/>
      <c r="Y475" s="20"/>
      <c r="Z475" s="20"/>
      <c r="AA475" s="24">
        <f ca="1">IFERROR(__xludf.DUMMYFUNCTION("""COMPUTED_VALUE"""),0)</f>
        <v>0</v>
      </c>
      <c r="AB475" s="24">
        <f ca="1">IFERROR(__xludf.DUMMYFUNCTION("""COMPUTED_VALUE"""),0)</f>
        <v>0</v>
      </c>
      <c r="AC475" s="24">
        <f ca="1">IFERROR(__xludf.DUMMYFUNCTION("""COMPUTED_VALUE"""),0)</f>
        <v>0</v>
      </c>
      <c r="AD475" s="20"/>
      <c r="AE475" s="20"/>
      <c r="AF475" s="20"/>
      <c r="AG475" s="20"/>
      <c r="AH475" s="20"/>
      <c r="AI475" s="20"/>
      <c r="AJ475" s="20"/>
      <c r="AK475" s="20"/>
      <c r="AL475" s="20"/>
      <c r="AM475" s="20"/>
      <c r="AN475" s="20"/>
      <c r="AO475" s="20"/>
      <c r="AP475" s="20"/>
      <c r="AQ475" s="20"/>
      <c r="AR475" s="20"/>
      <c r="AS475" s="20"/>
      <c r="AT475" s="20"/>
    </row>
    <row r="476" spans="1:46" ht="96" x14ac:dyDescent="0.2">
      <c r="A476" s="20"/>
      <c r="B476" s="20"/>
      <c r="C476"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6" s="20"/>
      <c r="E476" s="20" t="str">
        <f ca="1">IFERROR(__xludf.DUMMYFUNCTION("""COMPUTED_VALUE"""),"Строительство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f>
        <v xml:space="preserv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v>
      </c>
      <c r="F476" s="20" t="str">
        <f ca="1">IFERROR(__xludf.DUMMYFUNCTION("""COMPUTED_VALUE"""),"СМР")</f>
        <v>СМР</v>
      </c>
      <c r="G476" s="20" t="str">
        <f ca="1">IFERROR(__xludf.DUMMYFUNCTION("""COMPUTED_VALUE"""),"(ЗТО) г.о. Солнечногорск")</f>
        <v>(ЗТО) г.о. Солнечногорск</v>
      </c>
      <c r="H476" s="20" t="str">
        <f ca="1">IFERROR(__xludf.DUMMYFUNCTION("""COMPUTED_VALUE"""),"2020-2021")</f>
        <v>2020-2021</v>
      </c>
      <c r="I476" s="20"/>
      <c r="J476" s="20"/>
      <c r="K476" s="24">
        <f t="shared" ca="1" si="1"/>
        <v>22300.36</v>
      </c>
      <c r="L476" s="24">
        <f ca="1">IFERROR(__xludf.DUMMYFUNCTION("""COMPUTED_VALUE"""),0)</f>
        <v>0</v>
      </c>
      <c r="M476" s="24">
        <f ca="1">IFERROR(__xludf.DUMMYFUNCTION("""COMPUTED_VALUE"""),0)</f>
        <v>0</v>
      </c>
      <c r="N476" s="24">
        <f ca="1">IFERROR(__xludf.DUMMYFUNCTION("""COMPUTED_VALUE"""),12082.5)</f>
        <v>12082.5</v>
      </c>
      <c r="O476" s="24">
        <f ca="1">IFERROR(__xludf.DUMMYFUNCTION("""COMPUTED_VALUE"""),10217.86)</f>
        <v>10217.86</v>
      </c>
      <c r="P476" s="24">
        <f t="shared" ca="1" si="2"/>
        <v>12082.5</v>
      </c>
      <c r="Q476" s="20"/>
      <c r="R476" s="20"/>
      <c r="S476" s="20"/>
      <c r="T476" s="20"/>
      <c r="U476" s="20"/>
      <c r="V476" s="20"/>
      <c r="W476" s="20"/>
      <c r="X476" s="20"/>
      <c r="Y476" s="20"/>
      <c r="Z476" s="20"/>
      <c r="AA476" s="24">
        <f ca="1">IFERROR(__xludf.DUMMYFUNCTION("""COMPUTED_VALUE"""),0)</f>
        <v>0</v>
      </c>
      <c r="AB476" s="24">
        <f ca="1">IFERROR(__xludf.DUMMYFUNCTION("""COMPUTED_VALUE"""),0)</f>
        <v>0</v>
      </c>
      <c r="AC476" s="24">
        <f ca="1">IFERROR(__xludf.DUMMYFUNCTION("""COMPUTED_VALUE"""),0)</f>
        <v>0</v>
      </c>
      <c r="AD476" s="20"/>
      <c r="AE476" s="20"/>
      <c r="AF476" s="20"/>
      <c r="AG476" s="20"/>
      <c r="AH476" s="20"/>
      <c r="AI476" s="20"/>
      <c r="AJ476" s="20"/>
      <c r="AK476" s="20"/>
      <c r="AL476" s="20"/>
      <c r="AM476" s="20"/>
      <c r="AN476" s="20"/>
      <c r="AO476" s="20"/>
      <c r="AP476" s="20"/>
      <c r="AQ476" s="20"/>
      <c r="AR476" s="20"/>
      <c r="AS476" s="20"/>
      <c r="AT476" s="20"/>
    </row>
    <row r="477" spans="1:46" ht="84" x14ac:dyDescent="0.2">
      <c r="A477" s="20"/>
      <c r="B477" s="20"/>
      <c r="C477"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7" s="20"/>
      <c r="E477" s="20" t="str">
        <f ca="1">IFERROR(__xludf.DUMMYFUNCTION("""COMPUTED_VALUE"""),"Строительство КНС и напорного коллектора Ду 2х 110 до точки подключения в районе п. Санаторий МО, г.о. Солнечногорск (в том числе ПИР)")</f>
        <v>Строительство КНС и напорного коллектора Ду 2х 110 до точки подключения в районе п. Санаторий МО, г.о. Солнечногорск (в том числе ПИР)</v>
      </c>
      <c r="F477" s="20" t="str">
        <f ca="1">IFERROR(__xludf.DUMMYFUNCTION("""COMPUTED_VALUE"""),"СМР")</f>
        <v>СМР</v>
      </c>
      <c r="G477" s="20" t="str">
        <f ca="1">IFERROR(__xludf.DUMMYFUNCTION("""COMPUTED_VALUE"""),"(ЗТО) г.о. Солнечногорск")</f>
        <v>(ЗТО) г.о. Солнечногорск</v>
      </c>
      <c r="H477" s="20" t="str">
        <f ca="1">IFERROR(__xludf.DUMMYFUNCTION("""COMPUTED_VALUE"""),"2020-2021")</f>
        <v>2020-2021</v>
      </c>
      <c r="I477" s="20"/>
      <c r="J477" s="20"/>
      <c r="K477" s="24">
        <f t="shared" ca="1" si="1"/>
        <v>4042.27</v>
      </c>
      <c r="L477" s="24">
        <f ca="1">IFERROR(__xludf.DUMMYFUNCTION("""COMPUTED_VALUE"""),0)</f>
        <v>0</v>
      </c>
      <c r="M477" s="24">
        <f ca="1">IFERROR(__xludf.DUMMYFUNCTION("""COMPUTED_VALUE"""),0)</f>
        <v>0</v>
      </c>
      <c r="N477" s="24">
        <f ca="1">IFERROR(__xludf.DUMMYFUNCTION("""COMPUTED_VALUE"""),1755)</f>
        <v>1755</v>
      </c>
      <c r="O477" s="24">
        <f ca="1">IFERROR(__xludf.DUMMYFUNCTION("""COMPUTED_VALUE"""),2287.27)</f>
        <v>2287.27</v>
      </c>
      <c r="P477" s="24">
        <f t="shared" ca="1" si="2"/>
        <v>1755</v>
      </c>
      <c r="Q477" s="20"/>
      <c r="R477" s="20"/>
      <c r="S477" s="20"/>
      <c r="T477" s="20"/>
      <c r="U477" s="20"/>
      <c r="V477" s="20"/>
      <c r="W477" s="20"/>
      <c r="X477" s="20"/>
      <c r="Y477" s="20"/>
      <c r="Z477" s="20"/>
      <c r="AA477" s="24">
        <f ca="1">IFERROR(__xludf.DUMMYFUNCTION("""COMPUTED_VALUE"""),0)</f>
        <v>0</v>
      </c>
      <c r="AB477" s="24">
        <f ca="1">IFERROR(__xludf.DUMMYFUNCTION("""COMPUTED_VALUE"""),0)</f>
        <v>0</v>
      </c>
      <c r="AC477" s="24">
        <f ca="1">IFERROR(__xludf.DUMMYFUNCTION("""COMPUTED_VALUE"""),0)</f>
        <v>0</v>
      </c>
      <c r="AD477" s="20"/>
      <c r="AE477" s="20"/>
      <c r="AF477" s="20"/>
      <c r="AG477" s="20"/>
      <c r="AH477" s="20"/>
      <c r="AI477" s="20"/>
      <c r="AJ477" s="20"/>
      <c r="AK477" s="20"/>
      <c r="AL477" s="20"/>
      <c r="AM477" s="20"/>
      <c r="AN477" s="20"/>
      <c r="AO477" s="20"/>
      <c r="AP477" s="20"/>
      <c r="AQ477" s="20"/>
      <c r="AR477" s="20"/>
      <c r="AS477" s="20"/>
      <c r="AT477" s="20"/>
    </row>
    <row r="478" spans="1:46" ht="84" x14ac:dyDescent="0.2">
      <c r="A478" s="20"/>
      <c r="B478" s="20"/>
      <c r="C478" s="20" t="str">
        <f ca="1">IFERROR(__xludf.DUMMYFUNCTION("""COMPUTED_VALUE"""),"Строительство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f>
        <v>Строительство и реконструкция объектов инженерной инфраструктуры для заводов по термическому обезвреживанию отходов на территории муниципальных образований Московской области (в части МЖКХ)</v>
      </c>
      <c r="D478" s="20"/>
      <c r="E478" s="20" t="str">
        <f ca="1">IFERROR(__xludf.DUMMYFUNCTION("""COMPUTED_VALUE"""),"Строительство ВЗУ с сетями водоснабжения Ду 160 для технических нужд ЗТО,  д. Хметьево, г.п. Солнечногорск  (в том числе ПИР)")</f>
        <v>Строительство ВЗУ с сетями водоснабжения Ду 160 для технических нужд ЗТО,  д. Хметьево, г.п. Солнечногорск  (в том числе ПИР)</v>
      </c>
      <c r="F478" s="20" t="str">
        <f ca="1">IFERROR(__xludf.DUMMYFUNCTION("""COMPUTED_VALUE"""),"СМР")</f>
        <v>СМР</v>
      </c>
      <c r="G478" s="20" t="str">
        <f ca="1">IFERROR(__xludf.DUMMYFUNCTION("""COMPUTED_VALUE"""),"(ЗТО) г.о. Солнечногорск")</f>
        <v>(ЗТО) г.о. Солнечногорск</v>
      </c>
      <c r="H478" s="20" t="str">
        <f ca="1">IFERROR(__xludf.DUMMYFUNCTION("""COMPUTED_VALUE"""),"2020-2021")</f>
        <v>2020-2021</v>
      </c>
      <c r="I478" s="20"/>
      <c r="J478" s="20"/>
      <c r="K478" s="24">
        <f t="shared" ca="1" si="1"/>
        <v>10950.08</v>
      </c>
      <c r="L478" s="24">
        <f ca="1">IFERROR(__xludf.DUMMYFUNCTION("""COMPUTED_VALUE"""),0)</f>
        <v>0</v>
      </c>
      <c r="M478" s="24">
        <f ca="1">IFERROR(__xludf.DUMMYFUNCTION("""COMPUTED_VALUE"""),0)</f>
        <v>0</v>
      </c>
      <c r="N478" s="24">
        <f ca="1">IFERROR(__xludf.DUMMYFUNCTION("""COMPUTED_VALUE"""),5625.5)</f>
        <v>5625.5</v>
      </c>
      <c r="O478" s="24">
        <f ca="1">IFERROR(__xludf.DUMMYFUNCTION("""COMPUTED_VALUE"""),5324.58)</f>
        <v>5324.58</v>
      </c>
      <c r="P478" s="24">
        <f t="shared" ca="1" si="2"/>
        <v>5625.5</v>
      </c>
      <c r="Q478" s="20"/>
      <c r="R478" s="20"/>
      <c r="S478" s="20"/>
      <c r="T478" s="20"/>
      <c r="U478" s="20"/>
      <c r="V478" s="20"/>
      <c r="W478" s="20"/>
      <c r="X478" s="20"/>
      <c r="Y478" s="20"/>
      <c r="Z478" s="20"/>
      <c r="AA478" s="24">
        <f ca="1">IFERROR(__xludf.DUMMYFUNCTION("""COMPUTED_VALUE"""),0)</f>
        <v>0</v>
      </c>
      <c r="AB478" s="24">
        <f ca="1">IFERROR(__xludf.DUMMYFUNCTION("""COMPUTED_VALUE"""),0)</f>
        <v>0</v>
      </c>
      <c r="AC478" s="24">
        <f ca="1">IFERROR(__xludf.DUMMYFUNCTION("""COMPUTED_VALUE"""),0)</f>
        <v>0</v>
      </c>
      <c r="AD478" s="20"/>
      <c r="AE478" s="20"/>
      <c r="AF478" s="20"/>
      <c r="AG478" s="20"/>
      <c r="AH478" s="20"/>
      <c r="AI478" s="20"/>
      <c r="AJ478" s="20"/>
      <c r="AK478" s="20"/>
      <c r="AL478" s="20"/>
      <c r="AM478" s="20"/>
      <c r="AN478" s="20"/>
      <c r="AO478" s="20"/>
      <c r="AP478" s="20"/>
      <c r="AQ478" s="20"/>
      <c r="AR478" s="20"/>
      <c r="AS478" s="20"/>
      <c r="AT478" s="20"/>
    </row>
    <row r="479" spans="1:46" ht="84" hidden="1" x14ac:dyDescent="0.2">
      <c r="A479" s="20"/>
      <c r="B479" s="20"/>
      <c r="C479" s="20" t="str">
        <f ca="1">IFERROR(__xludf.DUMMYFUNCTION("""COMPUTED_VALUE"""),"Капитальные вложения в объекты инфраструктуры особой экономической зоны технико-внедренческого типа на территории городского округа Дубна")</f>
        <v>Капитальные вложения в объекты инфраструктуры особой экономической зоны технико-внедренческого типа на территории городского округа Дубна</v>
      </c>
      <c r="D479" s="20"/>
      <c r="E479" s="20" t="str">
        <f ca="1">IFERROR(__xludf.DUMMYFUNCTION("""COMPUTED_VALUE"""),"Реконструкция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f>
        <v>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v>
      </c>
      <c r="F479" s="20" t="str">
        <f ca="1">IFERROR(__xludf.DUMMYFUNCTION("""COMPUTED_VALUE"""),"ПИР")</f>
        <v>ПИР</v>
      </c>
      <c r="G479" s="20" t="str">
        <f ca="1">IFERROR(__xludf.DUMMYFUNCTION("""COMPUTED_VALUE"""),"г.о. Дубна")</f>
        <v>г.о. Дубна</v>
      </c>
      <c r="H479" s="20">
        <f ca="1">IFERROR(__xludf.DUMMYFUNCTION("""COMPUTED_VALUE"""),2020)</f>
        <v>2020</v>
      </c>
      <c r="I479" s="20"/>
      <c r="J479" s="20"/>
      <c r="K479" s="24">
        <f t="shared" ca="1" si="1"/>
        <v>0</v>
      </c>
      <c r="L479" s="24">
        <f ca="1">IFERROR(__xludf.DUMMYFUNCTION("""COMPUTED_VALUE"""),0)</f>
        <v>0</v>
      </c>
      <c r="M479" s="24">
        <f ca="1">IFERROR(__xludf.DUMMYFUNCTION("""COMPUTED_VALUE"""),0)</f>
        <v>0</v>
      </c>
      <c r="N479" s="24">
        <f ca="1">IFERROR(__xludf.DUMMYFUNCTION("""COMPUTED_VALUE"""),0)</f>
        <v>0</v>
      </c>
      <c r="O479" s="24">
        <f ca="1">IFERROR(__xludf.DUMMYFUNCTION("""COMPUTED_VALUE"""),0)</f>
        <v>0</v>
      </c>
      <c r="P479" s="24">
        <f t="shared" ca="1" si="2"/>
        <v>0</v>
      </c>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row>
    <row r="480" spans="1:46" ht="96" x14ac:dyDescent="0.2">
      <c r="A480" s="20"/>
      <c r="B480" s="20"/>
      <c r="C480" s="20" t="str">
        <f ca="1">IFERROR(__xludf.DUMMYFUNCTION("""COMPUTED_VALUE"""),"Капитальные вложения в объекты инфраструктуры особой экономической зоны технико-внедренческого типа на территории городского округа Дубна")</f>
        <v>Капитальные вложения в объекты инфраструктуры особой экономической зоны технико-внедренческого типа на территории городского округа Дубна</v>
      </c>
      <c r="D480" s="20"/>
      <c r="E480" s="20" t="str">
        <f ca="1">IFERROR(__xludf.DUMMYFUNCTION("""COMPUTED_VALUE"""),"Проектирование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f>
        <v>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v>
      </c>
      <c r="F480" s="20" t="str">
        <f ca="1">IFERROR(__xludf.DUMMYFUNCTION("""COMPUTED_VALUE"""),"СМР")</f>
        <v>СМР</v>
      </c>
      <c r="G480" s="20" t="str">
        <f ca="1">IFERROR(__xludf.DUMMYFUNCTION("""COMPUTED_VALUE"""),"г.о. Дубна")</f>
        <v>г.о. Дубна</v>
      </c>
      <c r="H480" s="20" t="str">
        <f ca="1">IFERROR(__xludf.DUMMYFUNCTION("""COMPUTED_VALUE"""),"2019-2020")</f>
        <v>2019-2020</v>
      </c>
      <c r="I480" s="20"/>
      <c r="J480" s="20"/>
      <c r="K480" s="24">
        <f t="shared" ca="1" si="1"/>
        <v>3076.91</v>
      </c>
      <c r="L480" s="24">
        <f ca="1">IFERROR(__xludf.DUMMYFUNCTION("""COMPUTED_VALUE"""),3046.14)</f>
        <v>3046.14</v>
      </c>
      <c r="M480" s="24">
        <f ca="1">IFERROR(__xludf.DUMMYFUNCTION("""COMPUTED_VALUE"""),0)</f>
        <v>0</v>
      </c>
      <c r="N480" s="24">
        <f ca="1">IFERROR(__xludf.DUMMYFUNCTION("""COMPUTED_VALUE"""),0)</f>
        <v>0</v>
      </c>
      <c r="O480" s="24">
        <f ca="1">IFERROR(__xludf.DUMMYFUNCTION("""COMPUTED_VALUE"""),30.77)</f>
        <v>30.77</v>
      </c>
      <c r="P480" s="24">
        <f t="shared" ca="1" si="2"/>
        <v>3046.14</v>
      </c>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row>
    <row r="481" spans="1:46" ht="84" x14ac:dyDescent="0.2">
      <c r="A481" s="20"/>
      <c r="B481" s="20"/>
      <c r="C481" s="20" t="str">
        <f ca="1">IFERROR(__xludf.DUMMYFUNCTION("""COMPUTED_VALUE"""),"Капитальные вложения в объекты инфраструктуры особой экономической зоны технико-внедренческого типа на территории городского округа Дубна")</f>
        <v>Капитальные вложения в объекты инфраструктуры особой экономической зоны технико-внедренческого типа на территории городского округа Дубна</v>
      </c>
      <c r="D481" s="20"/>
      <c r="E481" s="20" t="str">
        <f ca="1">IFERROR(__xludf.DUMMYFUNCTION("""COMPUTED_VALUE"""),"""Проектирование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f>
        <v>"Проектирование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v>
      </c>
      <c r="F481" s="20" t="str">
        <f ca="1">IFERROR(__xludf.DUMMYFUNCTION("""COMPUTED_VALUE"""),"СМР")</f>
        <v>СМР</v>
      </c>
      <c r="G481" s="20" t="str">
        <f ca="1">IFERROR(__xludf.DUMMYFUNCTION("""COMPUTED_VALUE"""),"г.о. Дубна")</f>
        <v>г.о. Дубна</v>
      </c>
      <c r="H481" s="20" t="str">
        <f ca="1">IFERROR(__xludf.DUMMYFUNCTION("""COMPUTED_VALUE"""),"2019-2020")</f>
        <v>2019-2020</v>
      </c>
      <c r="I481" s="20"/>
      <c r="J481" s="20"/>
      <c r="K481" s="24">
        <f t="shared" ca="1" si="1"/>
        <v>25639.46</v>
      </c>
      <c r="L481" s="24">
        <f ca="1">IFERROR(__xludf.DUMMYFUNCTION("""COMPUTED_VALUE"""),25383.07)</f>
        <v>25383.07</v>
      </c>
      <c r="M481" s="24">
        <f ca="1">IFERROR(__xludf.DUMMYFUNCTION("""COMPUTED_VALUE"""),0)</f>
        <v>0</v>
      </c>
      <c r="N481" s="24">
        <f ca="1">IFERROR(__xludf.DUMMYFUNCTION("""COMPUTED_VALUE"""),0)</f>
        <v>0</v>
      </c>
      <c r="O481" s="24">
        <f ca="1">IFERROR(__xludf.DUMMYFUNCTION("""COMPUTED_VALUE"""),256.39)</f>
        <v>256.39</v>
      </c>
      <c r="P481" s="24">
        <f t="shared" ca="1" si="2"/>
        <v>25383.07</v>
      </c>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row>
    <row r="482" spans="1:46" ht="14.25" x14ac:dyDescent="0.2">
      <c r="A482" s="102"/>
      <c r="B482" s="102"/>
      <c r="C482" s="1"/>
      <c r="D482" s="1"/>
      <c r="E482" s="1"/>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row>
    <row r="483" spans="1:46" ht="14.25" x14ac:dyDescent="0.2">
      <c r="A483" s="102"/>
      <c r="B483" s="102"/>
      <c r="C483" s="1"/>
      <c r="D483" s="1"/>
      <c r="E483" s="1"/>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row>
    <row r="484" spans="1:46" ht="14.25" x14ac:dyDescent="0.2">
      <c r="A484" s="102"/>
      <c r="B484" s="102"/>
      <c r="C484" s="1"/>
      <c r="D484" s="1"/>
      <c r="E484" s="1"/>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row>
    <row r="485" spans="1:46" ht="14.25" x14ac:dyDescent="0.2">
      <c r="A485" s="102"/>
      <c r="B485" s="102"/>
      <c r="C485" s="1"/>
      <c r="D485" s="1"/>
      <c r="E485" s="1"/>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row>
    <row r="486" spans="1:46" ht="14.25" x14ac:dyDescent="0.2">
      <c r="A486" s="102"/>
      <c r="B486" s="102"/>
      <c r="C486" s="1"/>
      <c r="D486" s="1"/>
      <c r="E486" s="1"/>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row>
    <row r="487" spans="1:46" ht="14.25" x14ac:dyDescent="0.2">
      <c r="A487" s="102"/>
      <c r="B487" s="102"/>
      <c r="C487" s="1"/>
      <c r="D487" s="1"/>
      <c r="E487" s="1"/>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row>
    <row r="488" spans="1:46" ht="14.25" x14ac:dyDescent="0.2">
      <c r="A488" s="102"/>
      <c r="B488" s="102"/>
      <c r="C488" s="1"/>
      <c r="D488" s="1"/>
      <c r="E488" s="1"/>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row>
    <row r="489" spans="1:46" ht="14.25" x14ac:dyDescent="0.2">
      <c r="A489" s="102"/>
      <c r="B489" s="102"/>
      <c r="C489" s="1"/>
      <c r="D489" s="1"/>
      <c r="E489" s="1"/>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row>
    <row r="490" spans="1:46" ht="14.25" x14ac:dyDescent="0.2">
      <c r="A490" s="102"/>
      <c r="B490" s="102"/>
      <c r="C490" s="1"/>
      <c r="D490" s="1"/>
      <c r="E490" s="1"/>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row>
    <row r="491" spans="1:46" ht="14.25" x14ac:dyDescent="0.2">
      <c r="A491" s="102"/>
      <c r="B491" s="102"/>
      <c r="C491" s="1"/>
      <c r="D491" s="1"/>
      <c r="E491" s="1"/>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row>
    <row r="492" spans="1:46" ht="14.25" x14ac:dyDescent="0.2">
      <c r="A492" s="102"/>
      <c r="B492" s="102"/>
      <c r="C492" s="1"/>
      <c r="D492" s="1"/>
      <c r="E492" s="1"/>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row>
    <row r="493" spans="1:46" ht="14.25" x14ac:dyDescent="0.2">
      <c r="A493" s="102"/>
      <c r="B493" s="102"/>
      <c r="C493" s="1"/>
      <c r="D493" s="1"/>
      <c r="E493" s="1"/>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row>
    <row r="494" spans="1:46" ht="14.25" x14ac:dyDescent="0.2">
      <c r="A494" s="102"/>
      <c r="B494" s="102"/>
      <c r="C494" s="1"/>
      <c r="D494" s="1"/>
      <c r="E494" s="1"/>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row>
    <row r="495" spans="1:46" ht="14.25" x14ac:dyDescent="0.2">
      <c r="A495" s="102"/>
      <c r="B495" s="102"/>
      <c r="C495" s="1"/>
      <c r="D495" s="1"/>
      <c r="E495" s="1"/>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row>
    <row r="496" spans="1:46" ht="14.25" x14ac:dyDescent="0.2">
      <c r="A496" s="102"/>
      <c r="B496" s="102"/>
      <c r="C496" s="1"/>
      <c r="D496" s="1"/>
      <c r="E496" s="1"/>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row>
    <row r="497" spans="1:46" ht="14.25" x14ac:dyDescent="0.2">
      <c r="A497" s="102"/>
      <c r="B497" s="102"/>
      <c r="C497" s="1"/>
      <c r="D497" s="1"/>
      <c r="E497" s="1"/>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row>
    <row r="498" spans="1:46" ht="14.25" x14ac:dyDescent="0.2">
      <c r="A498" s="102"/>
      <c r="B498" s="102"/>
      <c r="C498" s="1"/>
      <c r="D498" s="1"/>
      <c r="E498" s="1"/>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row>
    <row r="499" spans="1:46" ht="14.25" x14ac:dyDescent="0.2">
      <c r="A499" s="102"/>
      <c r="B499" s="102"/>
      <c r="C499" s="1"/>
      <c r="D499" s="1"/>
      <c r="E499" s="1"/>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row>
    <row r="500" spans="1:46" ht="14.25" x14ac:dyDescent="0.2">
      <c r="A500" s="102"/>
      <c r="B500" s="102"/>
      <c r="C500" s="1"/>
      <c r="D500" s="1"/>
      <c r="E500" s="1"/>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row>
    <row r="501" spans="1:46" ht="14.25" x14ac:dyDescent="0.2">
      <c r="A501" s="102"/>
      <c r="B501" s="102"/>
      <c r="C501" s="1"/>
      <c r="D501" s="1"/>
      <c r="E501" s="1"/>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row>
    <row r="502" spans="1:46" ht="14.25" x14ac:dyDescent="0.2">
      <c r="A502" s="102"/>
      <c r="B502" s="102"/>
      <c r="C502" s="1"/>
      <c r="D502" s="1"/>
      <c r="E502" s="1"/>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row>
    <row r="503" spans="1:46" ht="14.25" x14ac:dyDescent="0.2">
      <c r="A503" s="102"/>
      <c r="B503" s="102"/>
      <c r="C503" s="1"/>
      <c r="D503" s="1"/>
      <c r="E503" s="1"/>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row>
    <row r="504" spans="1:46" ht="14.25" x14ac:dyDescent="0.2">
      <c r="A504" s="102"/>
      <c r="B504" s="102"/>
      <c r="C504" s="1"/>
      <c r="D504" s="1"/>
      <c r="E504" s="1"/>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row>
    <row r="505" spans="1:46" ht="14.25" x14ac:dyDescent="0.2">
      <c r="A505" s="102"/>
      <c r="B505" s="102"/>
      <c r="C505" s="1"/>
      <c r="D505" s="1"/>
      <c r="E505" s="1"/>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row>
    <row r="506" spans="1:46" ht="14.25" x14ac:dyDescent="0.2">
      <c r="A506" s="102"/>
      <c r="B506" s="102"/>
      <c r="C506" s="1"/>
      <c r="D506" s="1"/>
      <c r="E506" s="1"/>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row>
    <row r="507" spans="1:46" ht="14.25" x14ac:dyDescent="0.2">
      <c r="A507" s="102"/>
      <c r="B507" s="102"/>
      <c r="C507" s="1"/>
      <c r="D507" s="1"/>
      <c r="E507" s="1"/>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row>
    <row r="508" spans="1:46" ht="14.25" x14ac:dyDescent="0.2">
      <c r="A508" s="102"/>
      <c r="B508" s="102"/>
      <c r="C508" s="1"/>
      <c r="D508" s="1"/>
      <c r="E508" s="1"/>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row>
    <row r="509" spans="1:46" ht="14.25" x14ac:dyDescent="0.2">
      <c r="A509" s="102"/>
      <c r="B509" s="102"/>
      <c r="C509" s="1"/>
      <c r="D509" s="1"/>
      <c r="E509" s="1"/>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row>
    <row r="510" spans="1:46" ht="14.25" x14ac:dyDescent="0.2">
      <c r="A510" s="102"/>
      <c r="B510" s="102"/>
      <c r="C510" s="1"/>
      <c r="D510" s="1"/>
      <c r="E510" s="1"/>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row>
    <row r="511" spans="1:46" ht="14.25" x14ac:dyDescent="0.2">
      <c r="A511" s="102"/>
      <c r="B511" s="102"/>
      <c r="C511" s="1"/>
      <c r="D511" s="1"/>
      <c r="E511" s="1"/>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row>
    <row r="512" spans="1:46" ht="14.25" x14ac:dyDescent="0.2">
      <c r="A512" s="102"/>
      <c r="B512" s="102"/>
      <c r="C512" s="1"/>
      <c r="D512" s="1"/>
      <c r="E512" s="1"/>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row>
    <row r="513" spans="1:46" ht="14.25" x14ac:dyDescent="0.2">
      <c r="A513" s="102"/>
      <c r="B513" s="102"/>
      <c r="C513" s="1"/>
      <c r="D513" s="1"/>
      <c r="E513" s="1"/>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row>
    <row r="514" spans="1:46" ht="14.25" x14ac:dyDescent="0.2">
      <c r="A514" s="102"/>
      <c r="B514" s="102"/>
      <c r="C514" s="1"/>
      <c r="D514" s="1"/>
      <c r="E514" s="1"/>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row>
    <row r="515" spans="1:46" ht="14.25" x14ac:dyDescent="0.2">
      <c r="A515" s="102"/>
      <c r="B515" s="102"/>
      <c r="C515" s="1"/>
      <c r="D515" s="1"/>
      <c r="E515" s="1"/>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row>
    <row r="516" spans="1:46" ht="14.25" x14ac:dyDescent="0.2">
      <c r="A516" s="102"/>
      <c r="B516" s="102"/>
      <c r="C516" s="1"/>
      <c r="D516" s="1"/>
      <c r="E516" s="1"/>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row>
    <row r="517" spans="1:46" ht="14.25" x14ac:dyDescent="0.2">
      <c r="A517" s="102"/>
      <c r="B517" s="102"/>
      <c r="C517" s="1"/>
      <c r="D517" s="1"/>
      <c r="E517" s="1"/>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row>
    <row r="518" spans="1:46" ht="14.25" x14ac:dyDescent="0.2">
      <c r="A518" s="102"/>
      <c r="B518" s="102"/>
      <c r="C518" s="1"/>
      <c r="D518" s="1"/>
      <c r="E518" s="1"/>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row>
    <row r="519" spans="1:46" ht="14.25" x14ac:dyDescent="0.2">
      <c r="A519" s="102"/>
      <c r="B519" s="102"/>
      <c r="C519" s="1"/>
      <c r="D519" s="1"/>
      <c r="E519" s="1"/>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row>
    <row r="520" spans="1:46" ht="14.25" x14ac:dyDescent="0.2">
      <c r="A520" s="102"/>
      <c r="B520" s="102"/>
      <c r="C520" s="1"/>
      <c r="D520" s="1"/>
      <c r="E520" s="1"/>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row>
    <row r="521" spans="1:46" ht="14.25" x14ac:dyDescent="0.2">
      <c r="A521" s="102"/>
      <c r="B521" s="102"/>
      <c r="C521" s="1"/>
      <c r="D521" s="1"/>
      <c r="E521" s="1"/>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row>
    <row r="522" spans="1:46" ht="14.25" x14ac:dyDescent="0.2">
      <c r="A522" s="102"/>
      <c r="B522" s="102"/>
      <c r="C522" s="1"/>
      <c r="D522" s="1"/>
      <c r="E522" s="1"/>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row>
    <row r="523" spans="1:46" ht="14.25" x14ac:dyDescent="0.2">
      <c r="A523" s="102"/>
      <c r="B523" s="102"/>
      <c r="C523" s="1"/>
      <c r="D523" s="1"/>
      <c r="E523" s="1"/>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row>
    <row r="524" spans="1:46" ht="14.25" x14ac:dyDescent="0.2">
      <c r="A524" s="102"/>
      <c r="B524" s="102"/>
      <c r="C524" s="1"/>
      <c r="D524" s="1"/>
      <c r="E524" s="1"/>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row>
    <row r="525" spans="1:46" ht="14.25" x14ac:dyDescent="0.2">
      <c r="A525" s="102"/>
      <c r="B525" s="102"/>
      <c r="C525" s="1"/>
      <c r="D525" s="1"/>
      <c r="E525" s="1"/>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row>
    <row r="526" spans="1:46" ht="14.25" x14ac:dyDescent="0.2">
      <c r="A526" s="102"/>
      <c r="B526" s="102"/>
      <c r="C526" s="1"/>
      <c r="D526" s="1"/>
      <c r="E526" s="1"/>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row>
    <row r="527" spans="1:46" ht="14.25" x14ac:dyDescent="0.2">
      <c r="A527" s="102"/>
      <c r="B527" s="102"/>
      <c r="C527" s="1"/>
      <c r="D527" s="1"/>
      <c r="E527" s="1"/>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row>
    <row r="528" spans="1:46" ht="14.25" x14ac:dyDescent="0.2">
      <c r="A528" s="102"/>
      <c r="B528" s="102"/>
      <c r="C528" s="1"/>
      <c r="D528" s="1"/>
      <c r="E528" s="1"/>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row>
    <row r="529" spans="1:46" ht="14.25" x14ac:dyDescent="0.2">
      <c r="A529" s="102"/>
      <c r="B529" s="102"/>
      <c r="C529" s="1"/>
      <c r="D529" s="1"/>
      <c r="E529" s="1"/>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row>
    <row r="530" spans="1:46" ht="14.25" x14ac:dyDescent="0.2">
      <c r="A530" s="102"/>
      <c r="B530" s="102"/>
      <c r="C530" s="1"/>
      <c r="D530" s="1"/>
      <c r="E530" s="1"/>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row>
    <row r="531" spans="1:46" ht="14.25" x14ac:dyDescent="0.2">
      <c r="A531" s="102"/>
      <c r="B531" s="102"/>
      <c r="C531" s="1"/>
      <c r="D531" s="1"/>
      <c r="E531" s="1"/>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row>
    <row r="532" spans="1:46" ht="14.25" x14ac:dyDescent="0.2">
      <c r="A532" s="102"/>
      <c r="B532" s="102"/>
      <c r="C532" s="1"/>
      <c r="D532" s="1"/>
      <c r="E532" s="1"/>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row>
    <row r="533" spans="1:46" ht="14.25" x14ac:dyDescent="0.2">
      <c r="A533" s="102"/>
      <c r="B533" s="102"/>
      <c r="C533" s="1"/>
      <c r="D533" s="1"/>
      <c r="E533" s="1"/>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row>
    <row r="534" spans="1:46" ht="14.25" x14ac:dyDescent="0.2">
      <c r="A534" s="102"/>
      <c r="B534" s="102"/>
      <c r="C534" s="1"/>
      <c r="D534" s="1"/>
      <c r="E534" s="1"/>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row>
    <row r="535" spans="1:46" ht="14.25" x14ac:dyDescent="0.2">
      <c r="A535" s="102"/>
      <c r="B535" s="102"/>
      <c r="C535" s="1"/>
      <c r="D535" s="1"/>
      <c r="E535" s="1"/>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row>
    <row r="536" spans="1:46" ht="14.25" x14ac:dyDescent="0.2">
      <c r="A536" s="102"/>
      <c r="B536" s="102"/>
      <c r="C536" s="1"/>
      <c r="D536" s="1"/>
      <c r="E536" s="1"/>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row>
    <row r="537" spans="1:46" ht="14.25" x14ac:dyDescent="0.2">
      <c r="A537" s="102"/>
      <c r="B537" s="102"/>
      <c r="C537" s="1"/>
      <c r="D537" s="1"/>
      <c r="E537" s="1"/>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row>
    <row r="538" spans="1:46" ht="14.25" x14ac:dyDescent="0.2">
      <c r="A538" s="102"/>
      <c r="B538" s="102"/>
      <c r="C538" s="1"/>
      <c r="D538" s="1"/>
      <c r="E538" s="1"/>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row>
    <row r="539" spans="1:46" ht="14.25" x14ac:dyDescent="0.2">
      <c r="A539" s="102"/>
      <c r="B539" s="102"/>
      <c r="C539" s="1"/>
      <c r="D539" s="1"/>
      <c r="E539" s="1"/>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row>
    <row r="540" spans="1:46" ht="14.25" x14ac:dyDescent="0.2">
      <c r="A540" s="102"/>
      <c r="B540" s="102"/>
      <c r="C540" s="1"/>
      <c r="D540" s="1"/>
      <c r="E540" s="1"/>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row>
    <row r="541" spans="1:46" ht="14.25" x14ac:dyDescent="0.2">
      <c r="A541" s="102"/>
      <c r="B541" s="102"/>
      <c r="C541" s="1"/>
      <c r="D541" s="1"/>
      <c r="E541" s="1"/>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row>
    <row r="542" spans="1:46" ht="14.25" x14ac:dyDescent="0.2">
      <c r="A542" s="102"/>
      <c r="B542" s="102"/>
      <c r="C542" s="1"/>
      <c r="D542" s="1"/>
      <c r="E542" s="1"/>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row>
    <row r="543" spans="1:46" ht="14.25" x14ac:dyDescent="0.2">
      <c r="A543" s="102"/>
      <c r="B543" s="102"/>
      <c r="C543" s="1"/>
      <c r="D543" s="1"/>
      <c r="E543" s="1"/>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row>
    <row r="544" spans="1:46" ht="14.25" x14ac:dyDescent="0.2">
      <c r="A544" s="102"/>
      <c r="B544" s="102"/>
      <c r="C544" s="1"/>
      <c r="D544" s="1"/>
      <c r="E544" s="1"/>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row>
    <row r="545" spans="1:46" ht="14.25" x14ac:dyDescent="0.2">
      <c r="A545" s="102"/>
      <c r="B545" s="102"/>
      <c r="C545" s="1"/>
      <c r="D545" s="1"/>
      <c r="E545" s="1"/>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row>
    <row r="546" spans="1:46" ht="14.25" x14ac:dyDescent="0.2">
      <c r="A546" s="102"/>
      <c r="B546" s="102"/>
      <c r="C546" s="1"/>
      <c r="D546" s="1"/>
      <c r="E546" s="1"/>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row>
    <row r="547" spans="1:46" ht="14.25" x14ac:dyDescent="0.2">
      <c r="A547" s="102"/>
      <c r="B547" s="102"/>
      <c r="C547" s="1"/>
      <c r="D547" s="1"/>
      <c r="E547" s="1"/>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row>
    <row r="548" spans="1:46" ht="14.25" x14ac:dyDescent="0.2">
      <c r="A548" s="102"/>
      <c r="B548" s="102"/>
      <c r="C548" s="1"/>
      <c r="D548" s="1"/>
      <c r="E548" s="1"/>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row>
    <row r="549" spans="1:46" ht="14.25" x14ac:dyDescent="0.2">
      <c r="A549" s="102"/>
      <c r="B549" s="102"/>
      <c r="C549" s="1"/>
      <c r="D549" s="1"/>
      <c r="E549" s="1"/>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row>
    <row r="550" spans="1:46" ht="14.25" x14ac:dyDescent="0.2">
      <c r="A550" s="102"/>
      <c r="B550" s="102"/>
      <c r="C550" s="1"/>
      <c r="D550" s="1"/>
      <c r="E550" s="1"/>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row>
    <row r="551" spans="1:46" ht="14.25" x14ac:dyDescent="0.2">
      <c r="A551" s="102"/>
      <c r="B551" s="102"/>
      <c r="C551" s="1"/>
      <c r="D551" s="1"/>
      <c r="E551" s="1"/>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row>
    <row r="552" spans="1:46" ht="14.25" x14ac:dyDescent="0.2">
      <c r="A552" s="102"/>
      <c r="B552" s="102"/>
      <c r="C552" s="1"/>
      <c r="D552" s="1"/>
      <c r="E552" s="1"/>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row>
    <row r="553" spans="1:46" ht="14.25" x14ac:dyDescent="0.2">
      <c r="A553" s="102"/>
      <c r="B553" s="102"/>
      <c r="C553" s="1"/>
      <c r="D553" s="1"/>
      <c r="E553" s="1"/>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row>
    <row r="554" spans="1:46" ht="14.25" x14ac:dyDescent="0.2">
      <c r="A554" s="102"/>
      <c r="B554" s="102"/>
      <c r="C554" s="1"/>
      <c r="D554" s="1"/>
      <c r="E554" s="1"/>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row>
    <row r="555" spans="1:46" ht="14.25" x14ac:dyDescent="0.2">
      <c r="A555" s="102"/>
      <c r="B555" s="102"/>
      <c r="C555" s="1"/>
      <c r="D555" s="1"/>
      <c r="E555" s="1"/>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row>
    <row r="556" spans="1:46" ht="14.25" x14ac:dyDescent="0.2">
      <c r="A556" s="102"/>
      <c r="B556" s="102"/>
      <c r="C556" s="1"/>
      <c r="D556" s="1"/>
      <c r="E556" s="1"/>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row>
    <row r="557" spans="1:46" ht="14.25" x14ac:dyDescent="0.2">
      <c r="A557" s="102"/>
      <c r="B557" s="102"/>
      <c r="C557" s="1"/>
      <c r="D557" s="1"/>
      <c r="E557" s="1"/>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row>
    <row r="558" spans="1:46" ht="14.25" x14ac:dyDescent="0.2">
      <c r="A558" s="102"/>
      <c r="B558" s="102"/>
      <c r="C558" s="1"/>
      <c r="D558" s="1"/>
      <c r="E558" s="1"/>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row>
    <row r="559" spans="1:46" ht="14.25" x14ac:dyDescent="0.2">
      <c r="A559" s="102"/>
      <c r="B559" s="102"/>
      <c r="C559" s="1"/>
      <c r="D559" s="1"/>
      <c r="E559" s="1"/>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row>
    <row r="560" spans="1:46" ht="14.25" x14ac:dyDescent="0.2">
      <c r="A560" s="102"/>
      <c r="B560" s="102"/>
      <c r="C560" s="1"/>
      <c r="D560" s="1"/>
      <c r="E560" s="1"/>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row>
    <row r="561" spans="1:46" ht="14.25" x14ac:dyDescent="0.2">
      <c r="A561" s="102"/>
      <c r="B561" s="102"/>
      <c r="C561" s="1"/>
      <c r="D561" s="1"/>
      <c r="E561" s="1"/>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row>
    <row r="562" spans="1:46" ht="14.25" x14ac:dyDescent="0.2">
      <c r="A562" s="102"/>
      <c r="B562" s="102"/>
      <c r="C562" s="1"/>
      <c r="D562" s="1"/>
      <c r="E562" s="1"/>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row>
    <row r="563" spans="1:46" ht="14.25" x14ac:dyDescent="0.2">
      <c r="A563" s="102"/>
      <c r="B563" s="102"/>
      <c r="C563" s="1"/>
      <c r="D563" s="1"/>
      <c r="E563" s="1"/>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row>
    <row r="564" spans="1:46" ht="14.25" x14ac:dyDescent="0.2">
      <c r="A564" s="102"/>
      <c r="B564" s="102"/>
      <c r="C564" s="1"/>
      <c r="D564" s="1"/>
      <c r="E564" s="1"/>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row>
    <row r="565" spans="1:46" ht="14.25" x14ac:dyDescent="0.2">
      <c r="A565" s="102"/>
      <c r="B565" s="102"/>
      <c r="C565" s="1"/>
      <c r="D565" s="1"/>
      <c r="E565" s="1"/>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row>
    <row r="566" spans="1:46" ht="14.25" x14ac:dyDescent="0.2">
      <c r="A566" s="102"/>
      <c r="B566" s="102"/>
      <c r="C566" s="1"/>
      <c r="D566" s="1"/>
      <c r="E566" s="1"/>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row>
    <row r="567" spans="1:46" ht="14.25" x14ac:dyDescent="0.2">
      <c r="A567" s="102"/>
      <c r="B567" s="102"/>
      <c r="C567" s="1"/>
      <c r="D567" s="1"/>
      <c r="E567" s="1"/>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row>
    <row r="568" spans="1:46" ht="14.25" x14ac:dyDescent="0.2">
      <c r="A568" s="102"/>
      <c r="B568" s="102"/>
      <c r="C568" s="1"/>
      <c r="D568" s="1"/>
      <c r="E568" s="1"/>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row>
    <row r="569" spans="1:46" ht="14.25" x14ac:dyDescent="0.2">
      <c r="A569" s="102"/>
      <c r="B569" s="102"/>
      <c r="C569" s="1"/>
      <c r="D569" s="1"/>
      <c r="E569" s="1"/>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row>
    <row r="570" spans="1:46" ht="14.25" x14ac:dyDescent="0.2">
      <c r="A570" s="102"/>
      <c r="B570" s="102"/>
      <c r="C570" s="1"/>
      <c r="D570" s="1"/>
      <c r="E570" s="1"/>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row>
    <row r="571" spans="1:46" ht="14.25" x14ac:dyDescent="0.2">
      <c r="A571" s="102"/>
      <c r="B571" s="102"/>
      <c r="C571" s="1"/>
      <c r="D571" s="1"/>
      <c r="E571" s="1"/>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row>
    <row r="572" spans="1:46" ht="14.25" x14ac:dyDescent="0.2">
      <c r="A572" s="102"/>
      <c r="B572" s="102"/>
      <c r="C572" s="1"/>
      <c r="D572" s="1"/>
      <c r="E572" s="1"/>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row>
    <row r="573" spans="1:46" ht="14.25" x14ac:dyDescent="0.2">
      <c r="A573" s="102"/>
      <c r="B573" s="102"/>
      <c r="C573" s="1"/>
      <c r="D573" s="1"/>
      <c r="E573" s="1"/>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row>
    <row r="574" spans="1:46" ht="14.25" x14ac:dyDescent="0.2">
      <c r="A574" s="102"/>
      <c r="B574" s="102"/>
      <c r="C574" s="1"/>
      <c r="D574" s="1"/>
      <c r="E574" s="1"/>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row>
    <row r="575" spans="1:46" ht="14.25" x14ac:dyDescent="0.2">
      <c r="A575" s="102"/>
      <c r="B575" s="102"/>
      <c r="C575" s="1"/>
      <c r="D575" s="1"/>
      <c r="E575" s="1"/>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row>
    <row r="576" spans="1:46" ht="14.25" x14ac:dyDescent="0.2">
      <c r="A576" s="102"/>
      <c r="B576" s="102"/>
      <c r="C576" s="1"/>
      <c r="D576" s="1"/>
      <c r="E576" s="1"/>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row>
    <row r="577" spans="1:46" ht="14.25" x14ac:dyDescent="0.2">
      <c r="A577" s="102"/>
      <c r="B577" s="102"/>
      <c r="C577" s="1"/>
      <c r="D577" s="1"/>
      <c r="E577" s="1"/>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row>
    <row r="578" spans="1:46" ht="14.25" x14ac:dyDescent="0.2">
      <c r="A578" s="102"/>
      <c r="B578" s="102"/>
      <c r="C578" s="1"/>
      <c r="D578" s="1"/>
      <c r="E578" s="1"/>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row>
    <row r="579" spans="1:46" ht="14.25" x14ac:dyDescent="0.2">
      <c r="A579" s="102"/>
      <c r="B579" s="102"/>
      <c r="C579" s="1"/>
      <c r="D579" s="1"/>
      <c r="E579" s="1"/>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row>
    <row r="580" spans="1:46" ht="14.25" x14ac:dyDescent="0.2">
      <c r="A580" s="102"/>
      <c r="B580" s="102"/>
      <c r="C580" s="1"/>
      <c r="D580" s="1"/>
      <c r="E580" s="1"/>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row>
    <row r="581" spans="1:46" ht="14.25" x14ac:dyDescent="0.2">
      <c r="A581" s="102"/>
      <c r="B581" s="102"/>
      <c r="C581" s="1"/>
      <c r="D581" s="1"/>
      <c r="E581" s="1"/>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row>
    <row r="582" spans="1:46" ht="14.25" x14ac:dyDescent="0.2">
      <c r="A582" s="102"/>
      <c r="B582" s="102"/>
      <c r="C582" s="1"/>
      <c r="D582" s="1"/>
      <c r="E582" s="1"/>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row>
    <row r="583" spans="1:46" ht="14.25" x14ac:dyDescent="0.2">
      <c r="A583" s="102"/>
      <c r="B583" s="102"/>
      <c r="C583" s="1"/>
      <c r="D583" s="1"/>
      <c r="E583" s="1"/>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row>
    <row r="584" spans="1:46" ht="14.25" x14ac:dyDescent="0.2">
      <c r="A584" s="102"/>
      <c r="B584" s="102"/>
      <c r="C584" s="1"/>
      <c r="D584" s="1"/>
      <c r="E584" s="1"/>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row>
    <row r="585" spans="1:46" ht="14.25" x14ac:dyDescent="0.2">
      <c r="A585" s="102"/>
      <c r="B585" s="102"/>
      <c r="C585" s="1"/>
      <c r="D585" s="1"/>
      <c r="E585" s="1"/>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row>
    <row r="586" spans="1:46" ht="14.25" x14ac:dyDescent="0.2">
      <c r="A586" s="102"/>
      <c r="B586" s="102"/>
      <c r="C586" s="1"/>
      <c r="D586" s="1"/>
      <c r="E586" s="1"/>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row>
    <row r="587" spans="1:46" ht="14.25" x14ac:dyDescent="0.2">
      <c r="A587" s="102"/>
      <c r="B587" s="102"/>
      <c r="C587" s="1"/>
      <c r="D587" s="1"/>
      <c r="E587" s="1"/>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row>
    <row r="588" spans="1:46" ht="14.25" x14ac:dyDescent="0.2">
      <c r="A588" s="102"/>
      <c r="B588" s="102"/>
      <c r="C588" s="1"/>
      <c r="D588" s="1"/>
      <c r="E588" s="1"/>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row>
    <row r="589" spans="1:46" ht="14.25" x14ac:dyDescent="0.2">
      <c r="A589" s="102"/>
      <c r="B589" s="102"/>
      <c r="C589" s="1"/>
      <c r="D589" s="1"/>
      <c r="E589" s="1"/>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row>
    <row r="590" spans="1:46" ht="14.25" x14ac:dyDescent="0.2">
      <c r="A590" s="102"/>
      <c r="B590" s="102"/>
      <c r="C590" s="1"/>
      <c r="D590" s="1"/>
      <c r="E590" s="1"/>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row>
    <row r="591" spans="1:46" ht="14.25" x14ac:dyDescent="0.2">
      <c r="A591" s="102"/>
      <c r="B591" s="102"/>
      <c r="C591" s="1"/>
      <c r="D591" s="1"/>
      <c r="E591" s="1"/>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row>
    <row r="592" spans="1:46" ht="14.25" x14ac:dyDescent="0.2">
      <c r="A592" s="102"/>
      <c r="B592" s="102"/>
      <c r="C592" s="1"/>
      <c r="D592" s="1"/>
      <c r="E592" s="1"/>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row>
    <row r="593" spans="1:46" ht="14.25" x14ac:dyDescent="0.2">
      <c r="A593" s="102"/>
      <c r="B593" s="102"/>
      <c r="C593" s="1"/>
      <c r="D593" s="1"/>
      <c r="E593" s="1"/>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row>
    <row r="594" spans="1:46" ht="14.25" x14ac:dyDescent="0.2">
      <c r="A594" s="102"/>
      <c r="B594" s="102"/>
      <c r="C594" s="1"/>
      <c r="D594" s="1"/>
      <c r="E594" s="1"/>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row>
    <row r="595" spans="1:46" ht="14.25" x14ac:dyDescent="0.2">
      <c r="A595" s="102"/>
      <c r="B595" s="102"/>
      <c r="C595" s="1"/>
      <c r="D595" s="1"/>
      <c r="E595" s="1"/>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row>
    <row r="596" spans="1:46" ht="14.25" x14ac:dyDescent="0.2">
      <c r="A596" s="102"/>
      <c r="B596" s="102"/>
      <c r="C596" s="1"/>
      <c r="D596" s="1"/>
      <c r="E596" s="1"/>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row>
    <row r="597" spans="1:46" ht="14.25" x14ac:dyDescent="0.2">
      <c r="A597" s="102"/>
      <c r="B597" s="102"/>
      <c r="C597" s="1"/>
      <c r="D597" s="1"/>
      <c r="E597" s="1"/>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row>
    <row r="598" spans="1:46" ht="14.25" x14ac:dyDescent="0.2">
      <c r="A598" s="102"/>
      <c r="B598" s="102"/>
      <c r="C598" s="1"/>
      <c r="D598" s="1"/>
      <c r="E598" s="1"/>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row>
    <row r="599" spans="1:46" ht="14.25" x14ac:dyDescent="0.2">
      <c r="A599" s="102"/>
      <c r="B599" s="102"/>
      <c r="C599" s="1"/>
      <c r="D599" s="1"/>
      <c r="E599" s="1"/>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row>
    <row r="600" spans="1:46" ht="14.25" x14ac:dyDescent="0.2">
      <c r="A600" s="102"/>
      <c r="B600" s="102"/>
      <c r="C600" s="1"/>
      <c r="D600" s="1"/>
      <c r="E600" s="1"/>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row>
    <row r="601" spans="1:46" ht="14.25" x14ac:dyDescent="0.2">
      <c r="A601" s="102"/>
      <c r="B601" s="102"/>
      <c r="C601" s="1"/>
      <c r="D601" s="1"/>
      <c r="E601" s="1"/>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row>
    <row r="602" spans="1:46" ht="14.25" x14ac:dyDescent="0.2">
      <c r="A602" s="102"/>
      <c r="B602" s="102"/>
      <c r="C602" s="1"/>
      <c r="D602" s="1"/>
      <c r="E602" s="1"/>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row>
    <row r="603" spans="1:46" ht="14.25" x14ac:dyDescent="0.2">
      <c r="A603" s="102"/>
      <c r="B603" s="102"/>
      <c r="C603" s="1"/>
      <c r="D603" s="1"/>
      <c r="E603" s="1"/>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row>
    <row r="604" spans="1:46" ht="14.25" x14ac:dyDescent="0.2">
      <c r="A604" s="102"/>
      <c r="B604" s="102"/>
      <c r="C604" s="1"/>
      <c r="D604" s="1"/>
      <c r="E604" s="1"/>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row>
    <row r="605" spans="1:46" ht="14.25" x14ac:dyDescent="0.2">
      <c r="A605" s="102"/>
      <c r="B605" s="102"/>
      <c r="C605" s="1"/>
      <c r="D605" s="1"/>
      <c r="E605" s="1"/>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row>
    <row r="606" spans="1:46" ht="14.25" x14ac:dyDescent="0.2">
      <c r="A606" s="102"/>
      <c r="B606" s="102"/>
      <c r="C606" s="1"/>
      <c r="D606" s="1"/>
      <c r="E606" s="1"/>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row>
    <row r="607" spans="1:46" ht="14.25" x14ac:dyDescent="0.2">
      <c r="A607" s="102"/>
      <c r="B607" s="102"/>
      <c r="C607" s="1"/>
      <c r="D607" s="1"/>
      <c r="E607" s="1"/>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row>
    <row r="608" spans="1:46" ht="14.25" x14ac:dyDescent="0.2">
      <c r="A608" s="102"/>
      <c r="B608" s="102"/>
      <c r="C608" s="1"/>
      <c r="D608" s="1"/>
      <c r="E608" s="1"/>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row>
    <row r="609" spans="1:46" ht="14.25" x14ac:dyDescent="0.2">
      <c r="A609" s="102"/>
      <c r="B609" s="102"/>
      <c r="C609" s="1"/>
      <c r="D609" s="1"/>
      <c r="E609" s="1"/>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row>
    <row r="610" spans="1:46" ht="14.25" x14ac:dyDescent="0.2">
      <c r="A610" s="102"/>
      <c r="B610" s="102"/>
      <c r="C610" s="1"/>
      <c r="D610" s="1"/>
      <c r="E610" s="1"/>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row>
    <row r="611" spans="1:46" ht="14.25" x14ac:dyDescent="0.2">
      <c r="A611" s="102"/>
      <c r="B611" s="102"/>
      <c r="C611" s="1"/>
      <c r="D611" s="1"/>
      <c r="E611" s="1"/>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row>
    <row r="612" spans="1:46" ht="14.25" x14ac:dyDescent="0.2">
      <c r="A612" s="102"/>
      <c r="B612" s="102"/>
      <c r="C612" s="1"/>
      <c r="D612" s="1"/>
      <c r="E612" s="1"/>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row>
    <row r="613" spans="1:46" ht="14.25" x14ac:dyDescent="0.2">
      <c r="A613" s="102"/>
      <c r="B613" s="102"/>
      <c r="C613" s="1"/>
      <c r="D613" s="1"/>
      <c r="E613" s="1"/>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row>
    <row r="614" spans="1:46" ht="14.25" x14ac:dyDescent="0.2">
      <c r="A614" s="102"/>
      <c r="B614" s="102"/>
      <c r="C614" s="1"/>
      <c r="D614" s="1"/>
      <c r="E614" s="1"/>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row>
    <row r="615" spans="1:46" ht="14.25" x14ac:dyDescent="0.2">
      <c r="A615" s="102"/>
      <c r="B615" s="102"/>
      <c r="C615" s="1"/>
      <c r="D615" s="1"/>
      <c r="E615" s="1"/>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row>
    <row r="616" spans="1:46" ht="14.25" x14ac:dyDescent="0.2">
      <c r="A616" s="102"/>
      <c r="B616" s="102"/>
      <c r="C616" s="1"/>
      <c r="D616" s="1"/>
      <c r="E616" s="1"/>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row>
    <row r="617" spans="1:46" ht="14.25" x14ac:dyDescent="0.2">
      <c r="A617" s="102"/>
      <c r="B617" s="102"/>
      <c r="C617" s="1"/>
      <c r="D617" s="1"/>
      <c r="E617" s="1"/>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row>
    <row r="618" spans="1:46" ht="14.25" x14ac:dyDescent="0.2">
      <c r="A618" s="102"/>
      <c r="B618" s="102"/>
      <c r="C618" s="1"/>
      <c r="D618" s="1"/>
      <c r="E618" s="1"/>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row>
    <row r="619" spans="1:46" ht="14.25" x14ac:dyDescent="0.2">
      <c r="A619" s="102"/>
      <c r="B619" s="102"/>
      <c r="C619" s="1"/>
      <c r="D619" s="1"/>
      <c r="E619" s="1"/>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row>
    <row r="620" spans="1:46" ht="14.25" x14ac:dyDescent="0.2">
      <c r="A620" s="102"/>
      <c r="B620" s="102"/>
      <c r="C620" s="1"/>
      <c r="D620" s="1"/>
      <c r="E620" s="1"/>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row>
    <row r="621" spans="1:46" ht="14.25" x14ac:dyDescent="0.2">
      <c r="A621" s="102"/>
      <c r="B621" s="102"/>
      <c r="C621" s="1"/>
      <c r="D621" s="1"/>
      <c r="E621" s="1"/>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row>
    <row r="622" spans="1:46" ht="14.25" x14ac:dyDescent="0.2">
      <c r="A622" s="102"/>
      <c r="B622" s="102"/>
      <c r="C622" s="1"/>
      <c r="D622" s="1"/>
      <c r="E622" s="1"/>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row>
    <row r="623" spans="1:46" ht="14.25" x14ac:dyDescent="0.2">
      <c r="A623" s="102"/>
      <c r="B623" s="102"/>
      <c r="C623" s="1"/>
      <c r="D623" s="1"/>
      <c r="E623" s="1"/>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row>
    <row r="624" spans="1:46" ht="14.25" x14ac:dyDescent="0.2">
      <c r="A624" s="102"/>
      <c r="B624" s="102"/>
      <c r="C624" s="1"/>
      <c r="D624" s="1"/>
      <c r="E624" s="1"/>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row>
    <row r="625" spans="1:46" ht="14.25" x14ac:dyDescent="0.2">
      <c r="A625" s="102"/>
      <c r="B625" s="102"/>
      <c r="C625" s="1"/>
      <c r="D625" s="1"/>
      <c r="E625" s="1"/>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row>
    <row r="626" spans="1:46" ht="14.25" x14ac:dyDescent="0.2">
      <c r="A626" s="102"/>
      <c r="B626" s="102"/>
      <c r="C626" s="1"/>
      <c r="D626" s="1"/>
      <c r="E626" s="1"/>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row>
    <row r="627" spans="1:46" ht="14.25" x14ac:dyDescent="0.2">
      <c r="A627" s="102"/>
      <c r="B627" s="102"/>
      <c r="C627" s="1"/>
      <c r="D627" s="1"/>
      <c r="E627" s="1"/>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row>
    <row r="628" spans="1:46" ht="14.25" x14ac:dyDescent="0.2">
      <c r="A628" s="102"/>
      <c r="B628" s="102"/>
      <c r="C628" s="1"/>
      <c r="D628" s="1"/>
      <c r="E628" s="1"/>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row>
    <row r="629" spans="1:46" ht="14.25" x14ac:dyDescent="0.2">
      <c r="A629" s="102"/>
      <c r="B629" s="102"/>
      <c r="C629" s="1"/>
      <c r="D629" s="1"/>
      <c r="E629" s="1"/>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row>
    <row r="630" spans="1:46" ht="14.25" x14ac:dyDescent="0.2">
      <c r="A630" s="102"/>
      <c r="B630" s="102"/>
      <c r="C630" s="1"/>
      <c r="D630" s="1"/>
      <c r="E630" s="1"/>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row>
    <row r="631" spans="1:46" ht="14.25" x14ac:dyDescent="0.2">
      <c r="A631" s="102"/>
      <c r="B631" s="102"/>
      <c r="C631" s="1"/>
      <c r="D631" s="1"/>
      <c r="E631" s="1"/>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row>
    <row r="632" spans="1:46" ht="14.25" x14ac:dyDescent="0.2">
      <c r="A632" s="102"/>
      <c r="B632" s="102"/>
      <c r="C632" s="1"/>
      <c r="D632" s="1"/>
      <c r="E632" s="1"/>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row>
    <row r="633" spans="1:46" ht="14.25" x14ac:dyDescent="0.2">
      <c r="A633" s="102"/>
      <c r="B633" s="102"/>
      <c r="C633" s="1"/>
      <c r="D633" s="1"/>
      <c r="E633" s="1"/>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row>
    <row r="634" spans="1:46" ht="14.25" x14ac:dyDescent="0.2">
      <c r="A634" s="102"/>
      <c r="B634" s="102"/>
      <c r="C634" s="1"/>
      <c r="D634" s="1"/>
      <c r="E634" s="1"/>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row>
    <row r="635" spans="1:46" ht="14.25" x14ac:dyDescent="0.2">
      <c r="A635" s="102"/>
      <c r="B635" s="102"/>
      <c r="C635" s="1"/>
      <c r="D635" s="1"/>
      <c r="E635" s="1"/>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row>
    <row r="636" spans="1:46" ht="14.25" x14ac:dyDescent="0.2">
      <c r="A636" s="102"/>
      <c r="B636" s="102"/>
      <c r="C636" s="1"/>
      <c r="D636" s="1"/>
      <c r="E636" s="1"/>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row>
    <row r="637" spans="1:46" ht="14.25" x14ac:dyDescent="0.2">
      <c r="A637" s="102"/>
      <c r="B637" s="102"/>
      <c r="C637" s="1"/>
      <c r="D637" s="1"/>
      <c r="E637" s="1"/>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row>
    <row r="638" spans="1:46" ht="14.25" x14ac:dyDescent="0.2">
      <c r="A638" s="102"/>
      <c r="B638" s="102"/>
      <c r="C638" s="1"/>
      <c r="D638" s="1"/>
      <c r="E638" s="1"/>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row>
    <row r="639" spans="1:46" ht="14.25" x14ac:dyDescent="0.2">
      <c r="A639" s="102"/>
      <c r="B639" s="102"/>
      <c r="C639" s="1"/>
      <c r="D639" s="1"/>
      <c r="E639" s="1"/>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row>
    <row r="640" spans="1:46" ht="14.25" x14ac:dyDescent="0.2">
      <c r="A640" s="102"/>
      <c r="B640" s="102"/>
      <c r="C640" s="1"/>
      <c r="D640" s="1"/>
      <c r="E640" s="1"/>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row>
    <row r="641" spans="1:46" ht="14.25" x14ac:dyDescent="0.2">
      <c r="A641" s="102"/>
      <c r="B641" s="102"/>
      <c r="C641" s="1"/>
      <c r="D641" s="1"/>
      <c r="E641" s="1"/>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row>
    <row r="642" spans="1:46" ht="14.25" x14ac:dyDescent="0.2">
      <c r="A642" s="102"/>
      <c r="B642" s="102"/>
      <c r="C642" s="1"/>
      <c r="D642" s="1"/>
      <c r="E642" s="1"/>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row>
    <row r="643" spans="1:46" ht="14.25" x14ac:dyDescent="0.2">
      <c r="A643" s="102"/>
      <c r="B643" s="102"/>
      <c r="C643" s="1"/>
      <c r="D643" s="1"/>
      <c r="E643" s="1"/>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row>
    <row r="644" spans="1:46" ht="14.25" x14ac:dyDescent="0.2">
      <c r="A644" s="102"/>
      <c r="B644" s="102"/>
      <c r="C644" s="1"/>
      <c r="D644" s="1"/>
      <c r="E644" s="1"/>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row>
    <row r="645" spans="1:46" ht="14.25" x14ac:dyDescent="0.2">
      <c r="A645" s="102"/>
      <c r="B645" s="102"/>
      <c r="C645" s="1"/>
      <c r="D645" s="1"/>
      <c r="E645" s="1"/>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row>
    <row r="646" spans="1:46" ht="14.25" x14ac:dyDescent="0.2">
      <c r="A646" s="102"/>
      <c r="B646" s="102"/>
      <c r="C646" s="1"/>
      <c r="D646" s="1"/>
      <c r="E646" s="1"/>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row>
    <row r="647" spans="1:46" ht="14.25" x14ac:dyDescent="0.2">
      <c r="A647" s="102"/>
      <c r="B647" s="102"/>
      <c r="C647" s="1"/>
      <c r="D647" s="1"/>
      <c r="E647" s="1"/>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row>
    <row r="648" spans="1:46" ht="14.25" x14ac:dyDescent="0.2">
      <c r="A648" s="102"/>
      <c r="B648" s="102"/>
      <c r="C648" s="1"/>
      <c r="D648" s="1"/>
      <c r="E648" s="1"/>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row>
    <row r="649" spans="1:46" ht="14.25" x14ac:dyDescent="0.2">
      <c r="A649" s="102"/>
      <c r="B649" s="102"/>
      <c r="C649" s="1"/>
      <c r="D649" s="1"/>
      <c r="E649" s="1"/>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row>
    <row r="650" spans="1:46" ht="14.25" x14ac:dyDescent="0.2">
      <c r="A650" s="102"/>
      <c r="B650" s="102"/>
      <c r="C650" s="1"/>
      <c r="D650" s="1"/>
      <c r="E650" s="1"/>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row>
    <row r="651" spans="1:46" ht="14.25" x14ac:dyDescent="0.2">
      <c r="A651" s="102"/>
      <c r="B651" s="102"/>
      <c r="C651" s="1"/>
      <c r="D651" s="1"/>
      <c r="E651" s="1"/>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row>
    <row r="652" spans="1:46" ht="14.25" x14ac:dyDescent="0.2">
      <c r="A652" s="102"/>
      <c r="B652" s="102"/>
      <c r="C652" s="1"/>
      <c r="D652" s="1"/>
      <c r="E652" s="1"/>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row>
    <row r="653" spans="1:46" ht="14.25" x14ac:dyDescent="0.2">
      <c r="A653" s="102"/>
      <c r="B653" s="102"/>
      <c r="C653" s="1"/>
      <c r="D653" s="1"/>
      <c r="E653" s="1"/>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row>
    <row r="654" spans="1:46" ht="14.25" x14ac:dyDescent="0.2">
      <c r="A654" s="102"/>
      <c r="B654" s="102"/>
      <c r="C654" s="1"/>
      <c r="D654" s="1"/>
      <c r="E654" s="1"/>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row>
    <row r="655" spans="1:46" ht="14.25" x14ac:dyDescent="0.2">
      <c r="A655" s="102"/>
      <c r="B655" s="102"/>
      <c r="C655" s="1"/>
      <c r="D655" s="1"/>
      <c r="E655" s="1"/>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row>
    <row r="656" spans="1:46" ht="14.25" x14ac:dyDescent="0.2">
      <c r="A656" s="102"/>
      <c r="B656" s="102"/>
      <c r="C656" s="1"/>
      <c r="D656" s="1"/>
      <c r="E656" s="1"/>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row>
    <row r="657" spans="1:46" ht="14.25" x14ac:dyDescent="0.2">
      <c r="A657" s="102"/>
      <c r="B657" s="102"/>
      <c r="C657" s="1"/>
      <c r="D657" s="1"/>
      <c r="E657" s="1"/>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row>
    <row r="658" spans="1:46" ht="14.25" x14ac:dyDescent="0.2">
      <c r="A658" s="102"/>
      <c r="B658" s="102"/>
      <c r="C658" s="1"/>
      <c r="D658" s="1"/>
      <c r="E658" s="1"/>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row>
    <row r="659" spans="1:46" ht="14.25" x14ac:dyDescent="0.2">
      <c r="A659" s="102"/>
      <c r="B659" s="102"/>
      <c r="C659" s="1"/>
      <c r="D659" s="1"/>
      <c r="E659" s="1"/>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row>
    <row r="660" spans="1:46" ht="14.25" x14ac:dyDescent="0.2">
      <c r="A660" s="102"/>
      <c r="B660" s="102"/>
      <c r="C660" s="1"/>
      <c r="D660" s="1"/>
      <c r="E660" s="1"/>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row>
    <row r="661" spans="1:46" ht="14.25" x14ac:dyDescent="0.2">
      <c r="A661" s="102"/>
      <c r="B661" s="102"/>
      <c r="C661" s="1"/>
      <c r="D661" s="1"/>
      <c r="E661" s="1"/>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row>
    <row r="662" spans="1:46" ht="14.25" x14ac:dyDescent="0.2">
      <c r="A662" s="102"/>
      <c r="B662" s="102"/>
      <c r="C662" s="1"/>
      <c r="D662" s="1"/>
      <c r="E662" s="1"/>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row>
    <row r="663" spans="1:46" ht="14.25" x14ac:dyDescent="0.2">
      <c r="A663" s="102"/>
      <c r="B663" s="102"/>
      <c r="C663" s="1"/>
      <c r="D663" s="1"/>
      <c r="E663" s="1"/>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row>
    <row r="664" spans="1:46" ht="14.25" x14ac:dyDescent="0.2">
      <c r="A664" s="102"/>
      <c r="B664" s="102"/>
      <c r="C664" s="1"/>
      <c r="D664" s="1"/>
      <c r="E664" s="1"/>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row>
    <row r="665" spans="1:46" ht="14.25" x14ac:dyDescent="0.2">
      <c r="A665" s="102"/>
      <c r="B665" s="102"/>
      <c r="C665" s="1"/>
      <c r="D665" s="1"/>
      <c r="E665" s="1"/>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row>
    <row r="666" spans="1:46" ht="14.25" x14ac:dyDescent="0.2">
      <c r="A666" s="102"/>
      <c r="B666" s="102"/>
      <c r="C666" s="1"/>
      <c r="D666" s="1"/>
      <c r="E666" s="1"/>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row>
    <row r="667" spans="1:46" ht="14.25" x14ac:dyDescent="0.2">
      <c r="A667" s="102"/>
      <c r="B667" s="102"/>
      <c r="C667" s="1"/>
      <c r="D667" s="1"/>
      <c r="E667" s="1"/>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row>
    <row r="668" spans="1:46" ht="14.25" x14ac:dyDescent="0.2">
      <c r="A668" s="102"/>
      <c r="B668" s="102"/>
      <c r="C668" s="1"/>
      <c r="D668" s="1"/>
      <c r="E668" s="1"/>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row>
    <row r="669" spans="1:46" ht="14.25" x14ac:dyDescent="0.2">
      <c r="A669" s="102"/>
      <c r="B669" s="102"/>
      <c r="C669" s="1"/>
      <c r="D669" s="1"/>
      <c r="E669" s="1"/>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row>
    <row r="670" spans="1:46" ht="14.25" x14ac:dyDescent="0.2">
      <c r="A670" s="102"/>
      <c r="B670" s="102"/>
      <c r="C670" s="1"/>
      <c r="D670" s="1"/>
      <c r="E670" s="1"/>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row>
    <row r="671" spans="1:46" ht="14.25" x14ac:dyDescent="0.2">
      <c r="A671" s="102"/>
      <c r="B671" s="102"/>
      <c r="C671" s="1"/>
      <c r="D671" s="1"/>
      <c r="E671" s="1"/>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row>
    <row r="672" spans="1:46" ht="14.25" x14ac:dyDescent="0.2">
      <c r="A672" s="102"/>
      <c r="B672" s="102"/>
      <c r="C672" s="1"/>
      <c r="D672" s="1"/>
      <c r="E672" s="1"/>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row>
    <row r="673" spans="1:46" ht="14.25" x14ac:dyDescent="0.2">
      <c r="A673" s="102"/>
      <c r="B673" s="102"/>
      <c r="C673" s="1"/>
      <c r="D673" s="1"/>
      <c r="E673" s="1"/>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row>
    <row r="674" spans="1:46" ht="14.25" x14ac:dyDescent="0.2">
      <c r="A674" s="102"/>
      <c r="B674" s="102"/>
      <c r="C674" s="1"/>
      <c r="D674" s="1"/>
      <c r="E674" s="1"/>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row>
    <row r="675" spans="1:46" ht="14.25" x14ac:dyDescent="0.2">
      <c r="A675" s="102"/>
      <c r="B675" s="102"/>
      <c r="C675" s="1"/>
      <c r="D675" s="1"/>
      <c r="E675" s="1"/>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row>
    <row r="676" spans="1:46" ht="14.25" x14ac:dyDescent="0.2">
      <c r="A676" s="102"/>
      <c r="B676" s="102"/>
      <c r="C676" s="1"/>
      <c r="D676" s="1"/>
      <c r="E676" s="1"/>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row>
    <row r="677" spans="1:46" ht="14.25" x14ac:dyDescent="0.2">
      <c r="A677" s="102"/>
      <c r="B677" s="102"/>
      <c r="C677" s="1"/>
      <c r="D677" s="1"/>
      <c r="E677" s="1"/>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row>
    <row r="678" spans="1:46" ht="14.25" x14ac:dyDescent="0.2">
      <c r="A678" s="102"/>
      <c r="B678" s="102"/>
      <c r="C678" s="1"/>
      <c r="D678" s="1"/>
      <c r="E678" s="1"/>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row>
    <row r="679" spans="1:46" ht="14.25" x14ac:dyDescent="0.2">
      <c r="A679" s="102"/>
      <c r="B679" s="102"/>
      <c r="C679" s="1"/>
      <c r="D679" s="1"/>
      <c r="E679" s="1"/>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row>
    <row r="680" spans="1:46" ht="14.25" x14ac:dyDescent="0.2">
      <c r="A680" s="102"/>
      <c r="B680" s="102"/>
      <c r="C680" s="1"/>
      <c r="D680" s="1"/>
      <c r="E680" s="1"/>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row>
    <row r="681" spans="1:46" ht="14.25" x14ac:dyDescent="0.2">
      <c r="A681" s="102"/>
      <c r="B681" s="102"/>
      <c r="C681" s="1"/>
      <c r="D681" s="1"/>
      <c r="E681" s="1"/>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row>
    <row r="682" spans="1:46" ht="14.25" x14ac:dyDescent="0.2">
      <c r="A682" s="102"/>
      <c r="B682" s="102"/>
      <c r="C682" s="1"/>
      <c r="D682" s="1"/>
      <c r="E682" s="1"/>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row>
    <row r="683" spans="1:46" ht="14.25" x14ac:dyDescent="0.2">
      <c r="A683" s="102"/>
      <c r="B683" s="102"/>
      <c r="C683" s="1"/>
      <c r="D683" s="1"/>
      <c r="E683" s="1"/>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row>
    <row r="684" spans="1:46" ht="14.25" x14ac:dyDescent="0.2">
      <c r="A684" s="102"/>
      <c r="B684" s="102"/>
      <c r="C684" s="1"/>
      <c r="D684" s="1"/>
      <c r="E684" s="1"/>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row>
    <row r="685" spans="1:46" ht="14.25" x14ac:dyDescent="0.2">
      <c r="A685" s="102"/>
      <c r="B685" s="102"/>
      <c r="C685" s="1"/>
      <c r="D685" s="1"/>
      <c r="E685" s="1"/>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row>
    <row r="686" spans="1:46" ht="14.25" x14ac:dyDescent="0.2">
      <c r="A686" s="102"/>
      <c r="B686" s="102"/>
      <c r="C686" s="1"/>
      <c r="D686" s="1"/>
      <c r="E686" s="1"/>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row>
    <row r="687" spans="1:46" ht="14.25" x14ac:dyDescent="0.2">
      <c r="A687" s="102"/>
      <c r="B687" s="102"/>
      <c r="C687" s="1"/>
      <c r="D687" s="1"/>
      <c r="E687" s="1"/>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row>
    <row r="688" spans="1:46" ht="14.25" x14ac:dyDescent="0.2">
      <c r="A688" s="102"/>
      <c r="B688" s="102"/>
      <c r="C688" s="1"/>
      <c r="D688" s="1"/>
      <c r="E688" s="1"/>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row>
    <row r="689" spans="1:46" ht="14.25" x14ac:dyDescent="0.2">
      <c r="A689" s="102"/>
      <c r="B689" s="102"/>
      <c r="C689" s="1"/>
      <c r="D689" s="1"/>
      <c r="E689" s="1"/>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row>
    <row r="690" spans="1:46" ht="14.25" x14ac:dyDescent="0.2">
      <c r="A690" s="102"/>
      <c r="B690" s="102"/>
      <c r="C690" s="1"/>
      <c r="D690" s="1"/>
      <c r="E690" s="1"/>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row>
    <row r="691" spans="1:46" ht="14.25" x14ac:dyDescent="0.2">
      <c r="A691" s="102"/>
      <c r="B691" s="102"/>
      <c r="C691" s="1"/>
      <c r="D691" s="1"/>
      <c r="E691" s="1"/>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row>
    <row r="692" spans="1:46" ht="14.25" x14ac:dyDescent="0.2">
      <c r="A692" s="102"/>
      <c r="B692" s="102"/>
      <c r="C692" s="1"/>
      <c r="D692" s="1"/>
      <c r="E692" s="1"/>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row>
    <row r="693" spans="1:46" ht="14.25" x14ac:dyDescent="0.2">
      <c r="A693" s="102"/>
      <c r="B693" s="102"/>
      <c r="C693" s="1"/>
      <c r="D693" s="1"/>
      <c r="E693" s="1"/>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row>
    <row r="694" spans="1:46" ht="14.25" x14ac:dyDescent="0.2">
      <c r="A694" s="102"/>
      <c r="B694" s="102"/>
      <c r="C694" s="1"/>
      <c r="D694" s="1"/>
      <c r="E694" s="1"/>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row>
    <row r="695" spans="1:46" ht="14.25" x14ac:dyDescent="0.2">
      <c r="A695" s="102"/>
      <c r="B695" s="102"/>
      <c r="C695" s="1"/>
      <c r="D695" s="1"/>
      <c r="E695" s="1"/>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row>
    <row r="696" spans="1:46" ht="14.25" x14ac:dyDescent="0.2">
      <c r="A696" s="102"/>
      <c r="B696" s="102"/>
      <c r="C696" s="1"/>
      <c r="D696" s="1"/>
      <c r="E696" s="1"/>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row>
    <row r="697" spans="1:46" ht="14.25" x14ac:dyDescent="0.2">
      <c r="A697" s="102"/>
      <c r="B697" s="102"/>
      <c r="C697" s="1"/>
      <c r="D697" s="1"/>
      <c r="E697" s="1"/>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row>
    <row r="698" spans="1:46" ht="14.25" x14ac:dyDescent="0.2">
      <c r="A698" s="102"/>
      <c r="B698" s="102"/>
      <c r="C698" s="1"/>
      <c r="D698" s="1"/>
      <c r="E698" s="1"/>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row>
    <row r="699" spans="1:46" ht="14.25" x14ac:dyDescent="0.2">
      <c r="A699" s="102"/>
      <c r="B699" s="102"/>
      <c r="C699" s="1"/>
      <c r="D699" s="1"/>
      <c r="E699" s="1"/>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row>
    <row r="700" spans="1:46" ht="14.25" x14ac:dyDescent="0.2">
      <c r="A700" s="102"/>
      <c r="B700" s="102"/>
      <c r="C700" s="1"/>
      <c r="D700" s="1"/>
      <c r="E700" s="1"/>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row>
    <row r="701" spans="1:46" ht="14.25" x14ac:dyDescent="0.2">
      <c r="A701" s="102"/>
      <c r="B701" s="102"/>
      <c r="C701" s="1"/>
      <c r="D701" s="1"/>
      <c r="E701" s="1"/>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row>
    <row r="702" spans="1:46" ht="14.25" x14ac:dyDescent="0.2">
      <c r="A702" s="102"/>
      <c r="B702" s="102"/>
      <c r="C702" s="1"/>
      <c r="D702" s="1"/>
      <c r="E702" s="1"/>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row>
    <row r="703" spans="1:46" ht="14.25" x14ac:dyDescent="0.2">
      <c r="A703" s="102"/>
      <c r="B703" s="102"/>
      <c r="C703" s="1"/>
      <c r="D703" s="1"/>
      <c r="E703" s="1"/>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row>
    <row r="704" spans="1:46" ht="14.25" x14ac:dyDescent="0.2">
      <c r="A704" s="102"/>
      <c r="B704" s="102"/>
      <c r="C704" s="1"/>
      <c r="D704" s="1"/>
      <c r="E704" s="1"/>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row>
    <row r="705" spans="1:46" ht="14.25" x14ac:dyDescent="0.2">
      <c r="A705" s="102"/>
      <c r="B705" s="102"/>
      <c r="C705" s="1"/>
      <c r="D705" s="1"/>
      <c r="E705" s="1"/>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row>
    <row r="706" spans="1:46" ht="14.25" x14ac:dyDescent="0.2">
      <c r="A706" s="102"/>
      <c r="B706" s="102"/>
      <c r="C706" s="1"/>
      <c r="D706" s="1"/>
      <c r="E706" s="1"/>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row>
    <row r="707" spans="1:46" ht="14.25" x14ac:dyDescent="0.2">
      <c r="A707" s="102"/>
      <c r="B707" s="102"/>
      <c r="C707" s="1"/>
      <c r="D707" s="1"/>
      <c r="E707" s="1"/>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row>
    <row r="708" spans="1:46" ht="14.25" x14ac:dyDescent="0.2">
      <c r="A708" s="102"/>
      <c r="B708" s="102"/>
      <c r="C708" s="1"/>
      <c r="D708" s="1"/>
      <c r="E708" s="1"/>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row>
    <row r="709" spans="1:46" ht="14.25" x14ac:dyDescent="0.2">
      <c r="A709" s="102"/>
      <c r="B709" s="102"/>
      <c r="C709" s="1"/>
      <c r="D709" s="1"/>
      <c r="E709" s="1"/>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row>
    <row r="710" spans="1:46" ht="14.25" x14ac:dyDescent="0.2">
      <c r="A710" s="102"/>
      <c r="B710" s="102"/>
      <c r="C710" s="1"/>
      <c r="D710" s="1"/>
      <c r="E710" s="1"/>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row>
    <row r="711" spans="1:46" ht="14.25" x14ac:dyDescent="0.2">
      <c r="A711" s="102"/>
      <c r="B711" s="102"/>
      <c r="C711" s="1"/>
      <c r="D711" s="1"/>
      <c r="E711" s="1"/>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row>
    <row r="712" spans="1:46" ht="14.25" x14ac:dyDescent="0.2">
      <c r="A712" s="102"/>
      <c r="B712" s="102"/>
      <c r="C712" s="1"/>
      <c r="D712" s="1"/>
      <c r="E712" s="1"/>
      <c r="F712" s="102"/>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row>
    <row r="713" spans="1:46" ht="14.25" x14ac:dyDescent="0.2">
      <c r="A713" s="102"/>
      <c r="B713" s="102"/>
      <c r="C713" s="1"/>
      <c r="D713" s="1"/>
      <c r="E713" s="1"/>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row>
    <row r="714" spans="1:46" ht="14.25" x14ac:dyDescent="0.2">
      <c r="A714" s="102"/>
      <c r="B714" s="102"/>
      <c r="C714" s="1"/>
      <c r="D714" s="1"/>
      <c r="E714" s="1"/>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row>
    <row r="715" spans="1:46" ht="14.25" x14ac:dyDescent="0.2">
      <c r="A715" s="102"/>
      <c r="B715" s="102"/>
      <c r="C715" s="1"/>
      <c r="D715" s="1"/>
      <c r="E715" s="1"/>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row>
    <row r="716" spans="1:46" ht="14.25" x14ac:dyDescent="0.2">
      <c r="A716" s="102"/>
      <c r="B716" s="102"/>
      <c r="C716" s="1"/>
      <c r="D716" s="1"/>
      <c r="E716" s="1"/>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row>
    <row r="717" spans="1:46" ht="14.25" x14ac:dyDescent="0.2">
      <c r="A717" s="102"/>
      <c r="B717" s="102"/>
      <c r="C717" s="1"/>
      <c r="D717" s="1"/>
      <c r="E717" s="1"/>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row>
    <row r="718" spans="1:46" ht="14.25" x14ac:dyDescent="0.2">
      <c r="A718" s="102"/>
      <c r="B718" s="102"/>
      <c r="C718" s="1"/>
      <c r="D718" s="1"/>
      <c r="E718" s="1"/>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row>
    <row r="719" spans="1:46" ht="14.25" x14ac:dyDescent="0.2">
      <c r="A719" s="102"/>
      <c r="B719" s="102"/>
      <c r="C719" s="1"/>
      <c r="D719" s="1"/>
      <c r="E719" s="1"/>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row>
    <row r="720" spans="1:46" ht="14.25" x14ac:dyDescent="0.2">
      <c r="A720" s="102"/>
      <c r="B720" s="102"/>
      <c r="C720" s="1"/>
      <c r="D720" s="1"/>
      <c r="E720" s="1"/>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row>
    <row r="721" spans="1:46" ht="14.25" x14ac:dyDescent="0.2">
      <c r="A721" s="102"/>
      <c r="B721" s="102"/>
      <c r="C721" s="1"/>
      <c r="D721" s="1"/>
      <c r="E721" s="1"/>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row>
    <row r="722" spans="1:46" ht="14.25" x14ac:dyDescent="0.2">
      <c r="A722" s="102"/>
      <c r="B722" s="102"/>
      <c r="C722" s="1"/>
      <c r="D722" s="1"/>
      <c r="E722" s="1"/>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row>
    <row r="723" spans="1:46" ht="14.25" x14ac:dyDescent="0.2">
      <c r="A723" s="102"/>
      <c r="B723" s="102"/>
      <c r="C723" s="1"/>
      <c r="D723" s="1"/>
      <c r="E723" s="1"/>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row>
    <row r="724" spans="1:46" ht="14.25" x14ac:dyDescent="0.2">
      <c r="A724" s="102"/>
      <c r="B724" s="102"/>
      <c r="C724" s="1"/>
      <c r="D724" s="1"/>
      <c r="E724" s="1"/>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row>
    <row r="725" spans="1:46" ht="14.25" x14ac:dyDescent="0.2">
      <c r="A725" s="102"/>
      <c r="B725" s="102"/>
      <c r="C725" s="1"/>
      <c r="D725" s="1"/>
      <c r="E725" s="1"/>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row>
    <row r="726" spans="1:46" ht="14.25" x14ac:dyDescent="0.2">
      <c r="A726" s="102"/>
      <c r="B726" s="102"/>
      <c r="C726" s="1"/>
      <c r="D726" s="1"/>
      <c r="E726" s="1"/>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row>
    <row r="727" spans="1:46" ht="14.25" x14ac:dyDescent="0.2">
      <c r="A727" s="102"/>
      <c r="B727" s="102"/>
      <c r="C727" s="1"/>
      <c r="D727" s="1"/>
      <c r="E727" s="1"/>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row>
    <row r="728" spans="1:46" ht="14.25" x14ac:dyDescent="0.2">
      <c r="A728" s="102"/>
      <c r="B728" s="102"/>
      <c r="C728" s="1"/>
      <c r="D728" s="1"/>
      <c r="E728" s="1"/>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row>
    <row r="729" spans="1:46" ht="14.25" x14ac:dyDescent="0.2">
      <c r="A729" s="102"/>
      <c r="B729" s="102"/>
      <c r="C729" s="1"/>
      <c r="D729" s="1"/>
      <c r="E729" s="1"/>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row>
    <row r="730" spans="1:46" ht="14.25" x14ac:dyDescent="0.2">
      <c r="A730" s="102"/>
      <c r="B730" s="102"/>
      <c r="C730" s="1"/>
      <c r="D730" s="1"/>
      <c r="E730" s="1"/>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row>
    <row r="731" spans="1:46" ht="14.25" x14ac:dyDescent="0.2">
      <c r="A731" s="102"/>
      <c r="B731" s="102"/>
      <c r="C731" s="1"/>
      <c r="D731" s="1"/>
      <c r="E731" s="1"/>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row>
    <row r="732" spans="1:46" ht="14.25" x14ac:dyDescent="0.2">
      <c r="A732" s="102"/>
      <c r="B732" s="102"/>
      <c r="C732" s="1"/>
      <c r="D732" s="1"/>
      <c r="E732" s="1"/>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row>
    <row r="733" spans="1:46" ht="14.25" x14ac:dyDescent="0.2">
      <c r="A733" s="102"/>
      <c r="B733" s="102"/>
      <c r="C733" s="1"/>
      <c r="D733" s="1"/>
      <c r="E733" s="1"/>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row>
    <row r="734" spans="1:46" ht="14.25" x14ac:dyDescent="0.2">
      <c r="A734" s="102"/>
      <c r="B734" s="102"/>
      <c r="C734" s="1"/>
      <c r="D734" s="1"/>
      <c r="E734" s="1"/>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row>
    <row r="735" spans="1:46" ht="14.25" x14ac:dyDescent="0.2">
      <c r="A735" s="102"/>
      <c r="B735" s="102"/>
      <c r="C735" s="1"/>
      <c r="D735" s="1"/>
      <c r="E735" s="1"/>
      <c r="F735" s="102"/>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row>
    <row r="736" spans="1:46" ht="14.25" x14ac:dyDescent="0.2">
      <c r="A736" s="102"/>
      <c r="B736" s="102"/>
      <c r="C736" s="1"/>
      <c r="D736" s="1"/>
      <c r="E736" s="1"/>
      <c r="F736" s="102"/>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row>
    <row r="737" spans="1:46" ht="14.25" x14ac:dyDescent="0.2">
      <c r="A737" s="102"/>
      <c r="B737" s="102"/>
      <c r="C737" s="1"/>
      <c r="D737" s="1"/>
      <c r="E737" s="1"/>
      <c r="F737" s="102"/>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row>
    <row r="738" spans="1:46" ht="14.25" x14ac:dyDescent="0.2">
      <c r="A738" s="102"/>
      <c r="B738" s="102"/>
      <c r="C738" s="1"/>
      <c r="D738" s="1"/>
      <c r="E738" s="1"/>
      <c r="F738" s="102"/>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row>
    <row r="739" spans="1:46" ht="14.25" x14ac:dyDescent="0.2">
      <c r="A739" s="102"/>
      <c r="B739" s="102"/>
      <c r="C739" s="1"/>
      <c r="D739" s="1"/>
      <c r="E739" s="1"/>
      <c r="F739" s="102"/>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row>
    <row r="740" spans="1:46" ht="14.25" x14ac:dyDescent="0.2">
      <c r="A740" s="102"/>
      <c r="B740" s="102"/>
      <c r="C740" s="1"/>
      <c r="D740" s="1"/>
      <c r="E740" s="1"/>
      <c r="F740" s="102"/>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row>
    <row r="741" spans="1:46" ht="14.25" x14ac:dyDescent="0.2">
      <c r="A741" s="102"/>
      <c r="B741" s="102"/>
      <c r="C741" s="1"/>
      <c r="D741" s="1"/>
      <c r="E741" s="1"/>
      <c r="F741" s="102"/>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row>
    <row r="742" spans="1:46" ht="14.25" x14ac:dyDescent="0.2">
      <c r="A742" s="102"/>
      <c r="B742" s="102"/>
      <c r="C742" s="1"/>
      <c r="D742" s="1"/>
      <c r="E742" s="1"/>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row>
    <row r="743" spans="1:46" ht="14.25" x14ac:dyDescent="0.2">
      <c r="A743" s="102"/>
      <c r="B743" s="102"/>
      <c r="C743" s="1"/>
      <c r="D743" s="1"/>
      <c r="E743" s="1"/>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row>
    <row r="744" spans="1:46" ht="14.25" x14ac:dyDescent="0.2">
      <c r="A744" s="102"/>
      <c r="B744" s="102"/>
      <c r="C744" s="1"/>
      <c r="D744" s="1"/>
      <c r="E744" s="1"/>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row>
    <row r="745" spans="1:46" ht="14.25" x14ac:dyDescent="0.2">
      <c r="A745" s="102"/>
      <c r="B745" s="102"/>
      <c r="C745" s="1"/>
      <c r="D745" s="1"/>
      <c r="E745" s="1"/>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row>
    <row r="746" spans="1:46" ht="14.25" x14ac:dyDescent="0.2">
      <c r="A746" s="102"/>
      <c r="B746" s="102"/>
      <c r="C746" s="1"/>
      <c r="D746" s="1"/>
      <c r="E746" s="1"/>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row>
    <row r="747" spans="1:46" ht="14.25" x14ac:dyDescent="0.2">
      <c r="A747" s="102"/>
      <c r="B747" s="102"/>
      <c r="C747" s="1"/>
      <c r="D747" s="1"/>
      <c r="E747" s="1"/>
      <c r="F747" s="102"/>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row>
    <row r="748" spans="1:46" ht="14.25" x14ac:dyDescent="0.2">
      <c r="A748" s="102"/>
      <c r="B748" s="102"/>
      <c r="C748" s="1"/>
      <c r="D748" s="1"/>
      <c r="E748" s="1"/>
      <c r="F748" s="102"/>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row>
    <row r="749" spans="1:46" ht="14.25" x14ac:dyDescent="0.2">
      <c r="A749" s="102"/>
      <c r="B749" s="102"/>
      <c r="C749" s="1"/>
      <c r="D749" s="1"/>
      <c r="E749" s="1"/>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row>
    <row r="750" spans="1:46" ht="14.25" x14ac:dyDescent="0.2">
      <c r="A750" s="102"/>
      <c r="B750" s="102"/>
      <c r="C750" s="1"/>
      <c r="D750" s="1"/>
      <c r="E750" s="1"/>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row>
    <row r="751" spans="1:46" ht="14.25" x14ac:dyDescent="0.2">
      <c r="A751" s="102"/>
      <c r="B751" s="102"/>
      <c r="C751" s="1"/>
      <c r="D751" s="1"/>
      <c r="E751" s="1"/>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row>
    <row r="752" spans="1:46" ht="14.25" x14ac:dyDescent="0.2">
      <c r="A752" s="102"/>
      <c r="B752" s="102"/>
      <c r="C752" s="1"/>
      <c r="D752" s="1"/>
      <c r="E752" s="1"/>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row>
    <row r="753" spans="1:46" ht="14.25" x14ac:dyDescent="0.2">
      <c r="A753" s="102"/>
      <c r="B753" s="102"/>
      <c r="C753" s="1"/>
      <c r="D753" s="1"/>
      <c r="E753" s="1"/>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row>
    <row r="754" spans="1:46" ht="14.25" x14ac:dyDescent="0.2">
      <c r="A754" s="102"/>
      <c r="B754" s="102"/>
      <c r="C754" s="1"/>
      <c r="D754" s="1"/>
      <c r="E754" s="1"/>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row>
    <row r="755" spans="1:46" ht="14.25" x14ac:dyDescent="0.2">
      <c r="A755" s="102"/>
      <c r="B755" s="102"/>
      <c r="C755" s="1"/>
      <c r="D755" s="1"/>
      <c r="E755" s="1"/>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row>
    <row r="756" spans="1:46" ht="14.25" x14ac:dyDescent="0.2">
      <c r="A756" s="102"/>
      <c r="B756" s="102"/>
      <c r="C756" s="1"/>
      <c r="D756" s="1"/>
      <c r="E756" s="1"/>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row>
    <row r="757" spans="1:46" ht="14.25" x14ac:dyDescent="0.2">
      <c r="A757" s="102"/>
      <c r="B757" s="102"/>
      <c r="C757" s="1"/>
      <c r="D757" s="1"/>
      <c r="E757" s="1"/>
      <c r="F757" s="102"/>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row>
    <row r="758" spans="1:46" ht="14.25" x14ac:dyDescent="0.2">
      <c r="A758" s="102"/>
      <c r="B758" s="102"/>
      <c r="C758" s="1"/>
      <c r="D758" s="1"/>
      <c r="E758" s="1"/>
      <c r="F758" s="102"/>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row>
    <row r="759" spans="1:46" ht="14.25" x14ac:dyDescent="0.2">
      <c r="A759" s="102"/>
      <c r="B759" s="102"/>
      <c r="C759" s="1"/>
      <c r="D759" s="1"/>
      <c r="E759" s="1"/>
      <c r="F759" s="102"/>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row>
    <row r="760" spans="1:46" ht="14.25" x14ac:dyDescent="0.2">
      <c r="A760" s="102"/>
      <c r="B760" s="102"/>
      <c r="C760" s="1"/>
      <c r="D760" s="1"/>
      <c r="E760" s="1"/>
      <c r="F760" s="102"/>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row>
    <row r="761" spans="1:46" ht="14.25" x14ac:dyDescent="0.2">
      <c r="A761" s="102"/>
      <c r="B761" s="102"/>
      <c r="C761" s="1"/>
      <c r="D761" s="1"/>
      <c r="E761" s="1"/>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row>
    <row r="762" spans="1:46" ht="14.25" x14ac:dyDescent="0.2">
      <c r="A762" s="102"/>
      <c r="B762" s="102"/>
      <c r="C762" s="1"/>
      <c r="D762" s="1"/>
      <c r="E762" s="1"/>
      <c r="F762" s="102"/>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row>
    <row r="763" spans="1:46" ht="14.25" x14ac:dyDescent="0.2">
      <c r="A763" s="102"/>
      <c r="B763" s="102"/>
      <c r="C763" s="1"/>
      <c r="D763" s="1"/>
      <c r="E763" s="1"/>
      <c r="F763" s="102"/>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row>
    <row r="764" spans="1:46" ht="14.25" x14ac:dyDescent="0.2">
      <c r="A764" s="102"/>
      <c r="B764" s="102"/>
      <c r="C764" s="1"/>
      <c r="D764" s="1"/>
      <c r="E764" s="1"/>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row>
    <row r="765" spans="1:46" ht="14.25" x14ac:dyDescent="0.2">
      <c r="A765" s="102"/>
      <c r="B765" s="102"/>
      <c r="C765" s="1"/>
      <c r="D765" s="1"/>
      <c r="E765" s="1"/>
      <c r="F765" s="102"/>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row>
    <row r="766" spans="1:46" ht="14.25" x14ac:dyDescent="0.2">
      <c r="A766" s="102"/>
      <c r="B766" s="102"/>
      <c r="C766" s="1"/>
      <c r="D766" s="1"/>
      <c r="E766" s="1"/>
      <c r="F766" s="102"/>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row>
    <row r="767" spans="1:46" ht="14.25" x14ac:dyDescent="0.2">
      <c r="A767" s="102"/>
      <c r="B767" s="102"/>
      <c r="C767" s="1"/>
      <c r="D767" s="1"/>
      <c r="E767" s="1"/>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row>
    <row r="768" spans="1:46" ht="14.25" x14ac:dyDescent="0.2">
      <c r="A768" s="102"/>
      <c r="B768" s="102"/>
      <c r="C768" s="1"/>
      <c r="D768" s="1"/>
      <c r="E768" s="1"/>
      <c r="F768" s="102"/>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row>
    <row r="769" spans="1:46" ht="14.25" x14ac:dyDescent="0.2">
      <c r="A769" s="102"/>
      <c r="B769" s="102"/>
      <c r="C769" s="1"/>
      <c r="D769" s="1"/>
      <c r="E769" s="1"/>
      <c r="F769" s="102"/>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row>
    <row r="770" spans="1:46" ht="14.25" x14ac:dyDescent="0.2">
      <c r="A770" s="102"/>
      <c r="B770" s="102"/>
      <c r="C770" s="1"/>
      <c r="D770" s="1"/>
      <c r="E770" s="1"/>
      <c r="F770" s="102"/>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row>
    <row r="771" spans="1:46" ht="14.25" x14ac:dyDescent="0.2">
      <c r="A771" s="102"/>
      <c r="B771" s="102"/>
      <c r="C771" s="1"/>
      <c r="D771" s="1"/>
      <c r="E771" s="1"/>
      <c r="F771" s="102"/>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row>
    <row r="772" spans="1:46" ht="14.25" x14ac:dyDescent="0.2">
      <c r="A772" s="102"/>
      <c r="B772" s="102"/>
      <c r="C772" s="1"/>
      <c r="D772" s="1"/>
      <c r="E772" s="1"/>
      <c r="F772" s="102"/>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row>
    <row r="773" spans="1:46" ht="14.25" x14ac:dyDescent="0.2">
      <c r="A773" s="102"/>
      <c r="B773" s="102"/>
      <c r="C773" s="1"/>
      <c r="D773" s="1"/>
      <c r="E773" s="1"/>
      <c r="F773" s="102"/>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row>
    <row r="774" spans="1:46" ht="14.25" x14ac:dyDescent="0.2">
      <c r="A774" s="102"/>
      <c r="B774" s="102"/>
      <c r="C774" s="1"/>
      <c r="D774" s="1"/>
      <c r="E774" s="1"/>
      <c r="F774" s="102"/>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row>
    <row r="775" spans="1:46" ht="14.25" x14ac:dyDescent="0.2">
      <c r="A775" s="102"/>
      <c r="B775" s="102"/>
      <c r="C775" s="1"/>
      <c r="D775" s="1"/>
      <c r="E775" s="1"/>
      <c r="F775" s="102"/>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row>
    <row r="776" spans="1:46" ht="14.25" x14ac:dyDescent="0.2">
      <c r="A776" s="102"/>
      <c r="B776" s="102"/>
      <c r="C776" s="1"/>
      <c r="D776" s="1"/>
      <c r="E776" s="1"/>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row>
    <row r="777" spans="1:46" ht="14.25" x14ac:dyDescent="0.2">
      <c r="A777" s="102"/>
      <c r="B777" s="102"/>
      <c r="C777" s="1"/>
      <c r="D777" s="1"/>
      <c r="E777" s="1"/>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row>
    <row r="778" spans="1:46" ht="14.25" x14ac:dyDescent="0.2">
      <c r="A778" s="102"/>
      <c r="B778" s="102"/>
      <c r="C778" s="1"/>
      <c r="D778" s="1"/>
      <c r="E778" s="1"/>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row>
    <row r="779" spans="1:46" ht="14.25" x14ac:dyDescent="0.2">
      <c r="A779" s="102"/>
      <c r="B779" s="102"/>
      <c r="C779" s="1"/>
      <c r="D779" s="1"/>
      <c r="E779" s="1"/>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row>
    <row r="780" spans="1:46" ht="14.25" x14ac:dyDescent="0.2">
      <c r="A780" s="102"/>
      <c r="B780" s="102"/>
      <c r="C780" s="1"/>
      <c r="D780" s="1"/>
      <c r="E780" s="1"/>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row>
    <row r="781" spans="1:46" ht="14.25" x14ac:dyDescent="0.2">
      <c r="A781" s="102"/>
      <c r="B781" s="102"/>
      <c r="C781" s="1"/>
      <c r="D781" s="1"/>
      <c r="E781" s="1"/>
      <c r="F781" s="102"/>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row>
    <row r="782" spans="1:46" ht="14.25" x14ac:dyDescent="0.2">
      <c r="A782" s="102"/>
      <c r="B782" s="102"/>
      <c r="C782" s="1"/>
      <c r="D782" s="1"/>
      <c r="E782" s="1"/>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row>
    <row r="783" spans="1:46" ht="14.25" x14ac:dyDescent="0.2">
      <c r="A783" s="102"/>
      <c r="B783" s="102"/>
      <c r="C783" s="1"/>
      <c r="D783" s="1"/>
      <c r="E783" s="1"/>
      <c r="F783" s="102"/>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row>
    <row r="784" spans="1:46" ht="14.25" x14ac:dyDescent="0.2">
      <c r="A784" s="102"/>
      <c r="B784" s="102"/>
      <c r="C784" s="1"/>
      <c r="D784" s="1"/>
      <c r="E784" s="1"/>
      <c r="F784" s="102"/>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row>
    <row r="785" spans="1:46" ht="14.25" x14ac:dyDescent="0.2">
      <c r="A785" s="102"/>
      <c r="B785" s="102"/>
      <c r="C785" s="1"/>
      <c r="D785" s="1"/>
      <c r="E785" s="1"/>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row>
    <row r="786" spans="1:46" ht="14.25" x14ac:dyDescent="0.2">
      <c r="A786" s="102"/>
      <c r="B786" s="102"/>
      <c r="C786" s="1"/>
      <c r="D786" s="1"/>
      <c r="E786" s="1"/>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row>
    <row r="787" spans="1:46" ht="14.25" x14ac:dyDescent="0.2">
      <c r="A787" s="102"/>
      <c r="B787" s="102"/>
      <c r="C787" s="1"/>
      <c r="D787" s="1"/>
      <c r="E787" s="1"/>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row>
    <row r="788" spans="1:46" ht="14.25" x14ac:dyDescent="0.2">
      <c r="A788" s="102"/>
      <c r="B788" s="102"/>
      <c r="C788" s="1"/>
      <c r="D788" s="1"/>
      <c r="E788" s="1"/>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row>
    <row r="789" spans="1:46" ht="14.25" x14ac:dyDescent="0.2">
      <c r="A789" s="102"/>
      <c r="B789" s="102"/>
      <c r="C789" s="1"/>
      <c r="D789" s="1"/>
      <c r="E789" s="1"/>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row>
    <row r="790" spans="1:46" ht="14.25" x14ac:dyDescent="0.2">
      <c r="A790" s="102"/>
      <c r="B790" s="102"/>
      <c r="C790" s="1"/>
      <c r="D790" s="1"/>
      <c r="E790" s="1"/>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row>
    <row r="791" spans="1:46" ht="14.25" x14ac:dyDescent="0.2">
      <c r="A791" s="102"/>
      <c r="B791" s="102"/>
      <c r="C791" s="1"/>
      <c r="D791" s="1"/>
      <c r="E791" s="1"/>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row>
    <row r="792" spans="1:46" ht="14.25" x14ac:dyDescent="0.2">
      <c r="A792" s="102"/>
      <c r="B792" s="102"/>
      <c r="C792" s="1"/>
      <c r="D792" s="1"/>
      <c r="E792" s="1"/>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row>
    <row r="793" spans="1:46" ht="14.25" x14ac:dyDescent="0.2">
      <c r="A793" s="102"/>
      <c r="B793" s="102"/>
      <c r="C793" s="1"/>
      <c r="D793" s="1"/>
      <c r="E793" s="1"/>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row>
    <row r="794" spans="1:46" ht="14.25" x14ac:dyDescent="0.2">
      <c r="A794" s="102"/>
      <c r="B794" s="102"/>
      <c r="C794" s="1"/>
      <c r="D794" s="1"/>
      <c r="E794" s="1"/>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row>
    <row r="795" spans="1:46" ht="14.25" x14ac:dyDescent="0.2">
      <c r="A795" s="102"/>
      <c r="B795" s="102"/>
      <c r="C795" s="1"/>
      <c r="D795" s="1"/>
      <c r="E795" s="1"/>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row>
    <row r="796" spans="1:46" ht="14.25" x14ac:dyDescent="0.2">
      <c r="A796" s="102"/>
      <c r="B796" s="102"/>
      <c r="C796" s="1"/>
      <c r="D796" s="1"/>
      <c r="E796" s="1"/>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row>
    <row r="797" spans="1:46" ht="14.25" x14ac:dyDescent="0.2">
      <c r="A797" s="102"/>
      <c r="B797" s="102"/>
      <c r="C797" s="1"/>
      <c r="D797" s="1"/>
      <c r="E797" s="1"/>
      <c r="F797" s="102"/>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row>
    <row r="798" spans="1:46" ht="14.25" x14ac:dyDescent="0.2">
      <c r="A798" s="102"/>
      <c r="B798" s="102"/>
      <c r="C798" s="1"/>
      <c r="D798" s="1"/>
      <c r="E798" s="1"/>
      <c r="F798" s="102"/>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row>
    <row r="799" spans="1:46" ht="14.25" x14ac:dyDescent="0.2">
      <c r="A799" s="102"/>
      <c r="B799" s="102"/>
      <c r="C799" s="1"/>
      <c r="D799" s="1"/>
      <c r="E799" s="1"/>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row>
    <row r="800" spans="1:46" ht="14.25" x14ac:dyDescent="0.2">
      <c r="A800" s="102"/>
      <c r="B800" s="102"/>
      <c r="C800" s="1"/>
      <c r="D800" s="1"/>
      <c r="E800" s="1"/>
      <c r="F800" s="102"/>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row>
    <row r="801" spans="1:46" ht="14.25" x14ac:dyDescent="0.2">
      <c r="A801" s="102"/>
      <c r="B801" s="102"/>
      <c r="C801" s="1"/>
      <c r="D801" s="1"/>
      <c r="E801" s="1"/>
      <c r="F801" s="102"/>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row>
    <row r="802" spans="1:46" ht="14.25" x14ac:dyDescent="0.2">
      <c r="A802" s="102"/>
      <c r="B802" s="102"/>
      <c r="C802" s="1"/>
      <c r="D802" s="1"/>
      <c r="E802" s="1"/>
      <c r="F802" s="102"/>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row>
    <row r="803" spans="1:46" ht="14.25" x14ac:dyDescent="0.2">
      <c r="A803" s="102"/>
      <c r="B803" s="102"/>
      <c r="C803" s="1"/>
      <c r="D803" s="1"/>
      <c r="E803" s="1"/>
      <c r="F803" s="102"/>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row>
    <row r="804" spans="1:46" ht="14.25" x14ac:dyDescent="0.2">
      <c r="A804" s="102"/>
      <c r="B804" s="102"/>
      <c r="C804" s="1"/>
      <c r="D804" s="1"/>
      <c r="E804" s="1"/>
      <c r="F804" s="102"/>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row>
    <row r="805" spans="1:46" ht="14.25" x14ac:dyDescent="0.2">
      <c r="A805" s="102"/>
      <c r="B805" s="102"/>
      <c r="C805" s="1"/>
      <c r="D805" s="1"/>
      <c r="E805" s="1"/>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row>
    <row r="806" spans="1:46" ht="14.25" x14ac:dyDescent="0.2">
      <c r="A806" s="102"/>
      <c r="B806" s="102"/>
      <c r="C806" s="1"/>
      <c r="D806" s="1"/>
      <c r="E806" s="1"/>
      <c r="F806" s="102"/>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row>
    <row r="807" spans="1:46" ht="14.25" x14ac:dyDescent="0.2">
      <c r="A807" s="102"/>
      <c r="B807" s="102"/>
      <c r="C807" s="1"/>
      <c r="D807" s="1"/>
      <c r="E807" s="1"/>
      <c r="F807" s="102"/>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row>
    <row r="808" spans="1:46" ht="14.25" x14ac:dyDescent="0.2">
      <c r="A808" s="102"/>
      <c r="B808" s="102"/>
      <c r="C808" s="1"/>
      <c r="D808" s="1"/>
      <c r="E808" s="1"/>
      <c r="F808" s="102"/>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row>
    <row r="809" spans="1:46" ht="14.25" x14ac:dyDescent="0.2">
      <c r="A809" s="102"/>
      <c r="B809" s="102"/>
      <c r="C809" s="1"/>
      <c r="D809" s="1"/>
      <c r="E809" s="1"/>
      <c r="F809" s="102"/>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row>
    <row r="810" spans="1:46" ht="14.25" x14ac:dyDescent="0.2">
      <c r="A810" s="102"/>
      <c r="B810" s="102"/>
      <c r="C810" s="1"/>
      <c r="D810" s="1"/>
      <c r="E810" s="1"/>
      <c r="F810" s="102"/>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row>
    <row r="811" spans="1:46" ht="14.25" x14ac:dyDescent="0.2">
      <c r="A811" s="102"/>
      <c r="B811" s="102"/>
      <c r="C811" s="1"/>
      <c r="D811" s="1"/>
      <c r="E811" s="1"/>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row>
    <row r="812" spans="1:46" ht="14.25" x14ac:dyDescent="0.2">
      <c r="A812" s="102"/>
      <c r="B812" s="102"/>
      <c r="C812" s="1"/>
      <c r="D812" s="1"/>
      <c r="E812" s="1"/>
      <c r="F812" s="102"/>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row>
    <row r="813" spans="1:46" ht="14.25" x14ac:dyDescent="0.2">
      <c r="A813" s="102"/>
      <c r="B813" s="102"/>
      <c r="C813" s="1"/>
      <c r="D813" s="1"/>
      <c r="E813" s="1"/>
      <c r="F813" s="102"/>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row>
    <row r="814" spans="1:46" ht="14.25" x14ac:dyDescent="0.2">
      <c r="A814" s="102"/>
      <c r="B814" s="102"/>
      <c r="C814" s="1"/>
      <c r="D814" s="1"/>
      <c r="E814" s="1"/>
      <c r="F814" s="102"/>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row>
    <row r="815" spans="1:46" ht="14.25" x14ac:dyDescent="0.2">
      <c r="A815" s="102"/>
      <c r="B815" s="102"/>
      <c r="C815" s="1"/>
      <c r="D815" s="1"/>
      <c r="E815" s="1"/>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row>
    <row r="816" spans="1:46" ht="14.25" x14ac:dyDescent="0.2">
      <c r="A816" s="102"/>
      <c r="B816" s="102"/>
      <c r="C816" s="1"/>
      <c r="D816" s="1"/>
      <c r="E816" s="1"/>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row>
    <row r="817" spans="1:46" ht="14.25" x14ac:dyDescent="0.2">
      <c r="A817" s="102"/>
      <c r="B817" s="102"/>
      <c r="C817" s="1"/>
      <c r="D817" s="1"/>
      <c r="E817" s="1"/>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row>
    <row r="818" spans="1:46" ht="14.25" x14ac:dyDescent="0.2">
      <c r="A818" s="102"/>
      <c r="B818" s="102"/>
      <c r="C818" s="1"/>
      <c r="D818" s="1"/>
      <c r="E818" s="1"/>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row>
    <row r="819" spans="1:46" ht="14.25" x14ac:dyDescent="0.2">
      <c r="A819" s="102"/>
      <c r="B819" s="102"/>
      <c r="C819" s="1"/>
      <c r="D819" s="1"/>
      <c r="E819" s="1"/>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row>
    <row r="820" spans="1:46" ht="14.25" x14ac:dyDescent="0.2">
      <c r="A820" s="102"/>
      <c r="B820" s="102"/>
      <c r="C820" s="1"/>
      <c r="D820" s="1"/>
      <c r="E820" s="1"/>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row>
    <row r="821" spans="1:46" ht="14.25" x14ac:dyDescent="0.2">
      <c r="A821" s="102"/>
      <c r="B821" s="102"/>
      <c r="C821" s="1"/>
      <c r="D821" s="1"/>
      <c r="E821" s="1"/>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row>
    <row r="822" spans="1:46" ht="14.25" x14ac:dyDescent="0.2">
      <c r="A822" s="102"/>
      <c r="B822" s="102"/>
      <c r="C822" s="1"/>
      <c r="D822" s="1"/>
      <c r="E822" s="1"/>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row>
    <row r="823" spans="1:46" ht="14.25" x14ac:dyDescent="0.2">
      <c r="A823" s="102"/>
      <c r="B823" s="102"/>
      <c r="C823" s="1"/>
      <c r="D823" s="1"/>
      <c r="E823" s="1"/>
      <c r="F823" s="102"/>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row>
    <row r="824" spans="1:46" ht="14.25" x14ac:dyDescent="0.2">
      <c r="A824" s="102"/>
      <c r="B824" s="102"/>
      <c r="C824" s="1"/>
      <c r="D824" s="1"/>
      <c r="E824" s="1"/>
      <c r="F824" s="102"/>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row>
    <row r="825" spans="1:46" ht="14.25" x14ac:dyDescent="0.2">
      <c r="A825" s="102"/>
      <c r="B825" s="102"/>
      <c r="C825" s="1"/>
      <c r="D825" s="1"/>
      <c r="E825" s="1"/>
      <c r="F825" s="102"/>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row>
    <row r="826" spans="1:46" ht="14.25" x14ac:dyDescent="0.2">
      <c r="A826" s="102"/>
      <c r="B826" s="102"/>
      <c r="C826" s="1"/>
      <c r="D826" s="1"/>
      <c r="E826" s="1"/>
      <c r="F826" s="102"/>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row>
    <row r="827" spans="1:46" ht="14.25" x14ac:dyDescent="0.2">
      <c r="A827" s="102"/>
      <c r="B827" s="102"/>
      <c r="C827" s="1"/>
      <c r="D827" s="1"/>
      <c r="E827" s="1"/>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row>
    <row r="828" spans="1:46" ht="14.25" x14ac:dyDescent="0.2">
      <c r="A828" s="102"/>
      <c r="B828" s="102"/>
      <c r="C828" s="1"/>
      <c r="D828" s="1"/>
      <c r="E828" s="1"/>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row>
    <row r="829" spans="1:46" ht="14.25" x14ac:dyDescent="0.2">
      <c r="A829" s="102"/>
      <c r="B829" s="102"/>
      <c r="C829" s="1"/>
      <c r="D829" s="1"/>
      <c r="E829" s="1"/>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row>
    <row r="830" spans="1:46" ht="14.25" x14ac:dyDescent="0.2">
      <c r="A830" s="102"/>
      <c r="B830" s="102"/>
      <c r="C830" s="1"/>
      <c r="D830" s="1"/>
      <c r="E830" s="1"/>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row>
    <row r="831" spans="1:46" ht="14.25" x14ac:dyDescent="0.2">
      <c r="A831" s="102"/>
      <c r="B831" s="102"/>
      <c r="C831" s="1"/>
      <c r="D831" s="1"/>
      <c r="E831" s="1"/>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row>
    <row r="832" spans="1:46" ht="14.25" x14ac:dyDescent="0.2">
      <c r="A832" s="102"/>
      <c r="B832" s="102"/>
      <c r="C832" s="1"/>
      <c r="D832" s="1"/>
      <c r="E832" s="1"/>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row>
    <row r="833" spans="1:46" ht="14.25" x14ac:dyDescent="0.2">
      <c r="A833" s="102"/>
      <c r="B833" s="102"/>
      <c r="C833" s="1"/>
      <c r="D833" s="1"/>
      <c r="E833" s="1"/>
      <c r="F833" s="102"/>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row>
    <row r="834" spans="1:46" ht="14.25" x14ac:dyDescent="0.2">
      <c r="A834" s="102"/>
      <c r="B834" s="102"/>
      <c r="C834" s="1"/>
      <c r="D834" s="1"/>
      <c r="E834" s="1"/>
      <c r="F834" s="102"/>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row>
    <row r="835" spans="1:46" ht="14.25" x14ac:dyDescent="0.2">
      <c r="A835" s="102"/>
      <c r="B835" s="102"/>
      <c r="C835" s="1"/>
      <c r="D835" s="1"/>
      <c r="E835" s="1"/>
      <c r="F835" s="102"/>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row>
    <row r="836" spans="1:46" ht="14.25" x14ac:dyDescent="0.2">
      <c r="A836" s="102"/>
      <c r="B836" s="102"/>
      <c r="C836" s="1"/>
      <c r="D836" s="1"/>
      <c r="E836" s="1"/>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row>
    <row r="837" spans="1:46" ht="14.25" x14ac:dyDescent="0.2">
      <c r="A837" s="102"/>
      <c r="B837" s="102"/>
      <c r="C837" s="1"/>
      <c r="D837" s="1"/>
      <c r="E837" s="1"/>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row>
    <row r="838" spans="1:46" ht="14.25" x14ac:dyDescent="0.2">
      <c r="A838" s="102"/>
      <c r="B838" s="102"/>
      <c r="C838" s="1"/>
      <c r="D838" s="1"/>
      <c r="E838" s="1"/>
      <c r="F838" s="102"/>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row>
    <row r="839" spans="1:46" ht="14.25" x14ac:dyDescent="0.2">
      <c r="A839" s="102"/>
      <c r="B839" s="102"/>
      <c r="C839" s="1"/>
      <c r="D839" s="1"/>
      <c r="E839" s="1"/>
      <c r="F839" s="102"/>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row>
    <row r="840" spans="1:46" ht="14.25" x14ac:dyDescent="0.2">
      <c r="A840" s="102"/>
      <c r="B840" s="102"/>
      <c r="C840" s="1"/>
      <c r="D840" s="1"/>
      <c r="E840" s="1"/>
      <c r="F840" s="102"/>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row>
    <row r="841" spans="1:46" ht="14.25" x14ac:dyDescent="0.2">
      <c r="A841" s="102"/>
      <c r="B841" s="102"/>
      <c r="C841" s="1"/>
      <c r="D841" s="1"/>
      <c r="E841" s="1"/>
      <c r="F841" s="102"/>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row>
    <row r="842" spans="1:46" ht="14.25" x14ac:dyDescent="0.2">
      <c r="A842" s="102"/>
      <c r="B842" s="102"/>
      <c r="C842" s="1"/>
      <c r="D842" s="1"/>
      <c r="E842" s="1"/>
      <c r="F842" s="102"/>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row>
    <row r="843" spans="1:46" ht="14.25" x14ac:dyDescent="0.2">
      <c r="A843" s="102"/>
      <c r="B843" s="102"/>
      <c r="C843" s="1"/>
      <c r="D843" s="1"/>
      <c r="E843" s="1"/>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row>
    <row r="844" spans="1:46" ht="14.25" x14ac:dyDescent="0.2">
      <c r="A844" s="102"/>
      <c r="B844" s="102"/>
      <c r="C844" s="1"/>
      <c r="D844" s="1"/>
      <c r="E844" s="1"/>
      <c r="F844" s="102"/>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row>
    <row r="845" spans="1:46" ht="14.25" x14ac:dyDescent="0.2">
      <c r="A845" s="102"/>
      <c r="B845" s="102"/>
      <c r="C845" s="1"/>
      <c r="D845" s="1"/>
      <c r="E845" s="1"/>
      <c r="F845" s="102"/>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row>
    <row r="846" spans="1:46" ht="14.25" x14ac:dyDescent="0.2">
      <c r="A846" s="102"/>
      <c r="B846" s="102"/>
      <c r="C846" s="1"/>
      <c r="D846" s="1"/>
      <c r="E846" s="1"/>
      <c r="F846" s="102"/>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row>
    <row r="847" spans="1:46" ht="14.25" x14ac:dyDescent="0.2">
      <c r="A847" s="102"/>
      <c r="B847" s="102"/>
      <c r="C847" s="1"/>
      <c r="D847" s="1"/>
      <c r="E847" s="1"/>
      <c r="F847" s="102"/>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row>
    <row r="848" spans="1:46" ht="14.25" x14ac:dyDescent="0.2">
      <c r="A848" s="102"/>
      <c r="B848" s="102"/>
      <c r="C848" s="1"/>
      <c r="D848" s="1"/>
      <c r="E848" s="1"/>
      <c r="F848" s="102"/>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row>
    <row r="849" spans="1:46" ht="14.25" x14ac:dyDescent="0.2">
      <c r="A849" s="102"/>
      <c r="B849" s="102"/>
      <c r="C849" s="1"/>
      <c r="D849" s="1"/>
      <c r="E849" s="1"/>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row>
    <row r="850" spans="1:46" ht="14.25" x14ac:dyDescent="0.2">
      <c r="A850" s="102"/>
      <c r="B850" s="102"/>
      <c r="C850" s="1"/>
      <c r="D850" s="1"/>
      <c r="E850" s="1"/>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row>
    <row r="851" spans="1:46" ht="14.25" x14ac:dyDescent="0.2">
      <c r="A851" s="102"/>
      <c r="B851" s="102"/>
      <c r="C851" s="1"/>
      <c r="D851" s="1"/>
      <c r="E851" s="1"/>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row>
    <row r="852" spans="1:46" ht="14.25" x14ac:dyDescent="0.2">
      <c r="A852" s="102"/>
      <c r="B852" s="102"/>
      <c r="C852" s="1"/>
      <c r="D852" s="1"/>
      <c r="E852" s="1"/>
      <c r="F852" s="102"/>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row>
    <row r="853" spans="1:46" ht="14.25" x14ac:dyDescent="0.2">
      <c r="A853" s="102"/>
      <c r="B853" s="102"/>
      <c r="C853" s="1"/>
      <c r="D853" s="1"/>
      <c r="E853" s="1"/>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row>
    <row r="854" spans="1:46" ht="14.25" x14ac:dyDescent="0.2">
      <c r="A854" s="102"/>
      <c r="B854" s="102"/>
      <c r="C854" s="1"/>
      <c r="D854" s="1"/>
      <c r="E854" s="1"/>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row>
    <row r="855" spans="1:46" ht="14.25" x14ac:dyDescent="0.2">
      <c r="A855" s="102"/>
      <c r="B855" s="102"/>
      <c r="C855" s="1"/>
      <c r="D855" s="1"/>
      <c r="E855" s="1"/>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row>
    <row r="856" spans="1:46" ht="14.25" x14ac:dyDescent="0.2">
      <c r="A856" s="102"/>
      <c r="B856" s="102"/>
      <c r="C856" s="1"/>
      <c r="D856" s="1"/>
      <c r="E856" s="1"/>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row>
    <row r="857" spans="1:46" ht="14.25" x14ac:dyDescent="0.2">
      <c r="A857" s="102"/>
      <c r="B857" s="102"/>
      <c r="C857" s="1"/>
      <c r="D857" s="1"/>
      <c r="E857" s="1"/>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row>
    <row r="858" spans="1:46" ht="14.25" x14ac:dyDescent="0.2">
      <c r="A858" s="102"/>
      <c r="B858" s="102"/>
      <c r="C858" s="1"/>
      <c r="D858" s="1"/>
      <c r="E858" s="1"/>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row>
    <row r="859" spans="1:46" ht="14.25" x14ac:dyDescent="0.2">
      <c r="A859" s="102"/>
      <c r="B859" s="102"/>
      <c r="C859" s="1"/>
      <c r="D859" s="1"/>
      <c r="E859" s="1"/>
      <c r="F859" s="102"/>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row>
    <row r="860" spans="1:46" ht="14.25" x14ac:dyDescent="0.2">
      <c r="A860" s="102"/>
      <c r="B860" s="102"/>
      <c r="C860" s="1"/>
      <c r="D860" s="1"/>
      <c r="E860" s="1"/>
      <c r="F860" s="102"/>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row>
    <row r="861" spans="1:46" ht="14.25" x14ac:dyDescent="0.2">
      <c r="A861" s="102"/>
      <c r="B861" s="102"/>
      <c r="C861" s="1"/>
      <c r="D861" s="1"/>
      <c r="E861" s="1"/>
      <c r="F861" s="102"/>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row>
    <row r="862" spans="1:46" ht="14.25" x14ac:dyDescent="0.2">
      <c r="A862" s="102"/>
      <c r="B862" s="102"/>
      <c r="C862" s="1"/>
      <c r="D862" s="1"/>
      <c r="E862" s="1"/>
      <c r="F862" s="102"/>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row>
    <row r="863" spans="1:46" ht="14.25" x14ac:dyDescent="0.2">
      <c r="A863" s="102"/>
      <c r="B863" s="102"/>
      <c r="C863" s="1"/>
      <c r="D863" s="1"/>
      <c r="E863" s="1"/>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row>
    <row r="864" spans="1:46" ht="14.25" x14ac:dyDescent="0.2">
      <c r="A864" s="102"/>
      <c r="B864" s="102"/>
      <c r="C864" s="1"/>
      <c r="D864" s="1"/>
      <c r="E864" s="1"/>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row>
    <row r="865" spans="1:46" ht="14.25" x14ac:dyDescent="0.2">
      <c r="A865" s="102"/>
      <c r="B865" s="102"/>
      <c r="C865" s="1"/>
      <c r="D865" s="1"/>
      <c r="E865" s="1"/>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row>
    <row r="866" spans="1:46" ht="14.25" x14ac:dyDescent="0.2">
      <c r="A866" s="102"/>
      <c r="B866" s="102"/>
      <c r="C866" s="1"/>
      <c r="D866" s="1"/>
      <c r="E866" s="1"/>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row>
    <row r="867" spans="1:46" ht="14.25" x14ac:dyDescent="0.2">
      <c r="A867" s="102"/>
      <c r="B867" s="102"/>
      <c r="C867" s="1"/>
      <c r="D867" s="1"/>
      <c r="E867" s="1"/>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row>
    <row r="868" spans="1:46" ht="14.25" x14ac:dyDescent="0.2">
      <c r="A868" s="102"/>
      <c r="B868" s="102"/>
      <c r="C868" s="1"/>
      <c r="D868" s="1"/>
      <c r="E868" s="1"/>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row>
    <row r="869" spans="1:46" ht="14.25" x14ac:dyDescent="0.2">
      <c r="A869" s="102"/>
      <c r="B869" s="102"/>
      <c r="C869" s="1"/>
      <c r="D869" s="1"/>
      <c r="E869" s="1"/>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row>
    <row r="870" spans="1:46" ht="14.25" x14ac:dyDescent="0.2">
      <c r="A870" s="102"/>
      <c r="B870" s="102"/>
      <c r="C870" s="1"/>
      <c r="D870" s="1"/>
      <c r="E870" s="1"/>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row>
    <row r="871" spans="1:46" ht="14.25" x14ac:dyDescent="0.2">
      <c r="A871" s="102"/>
      <c r="B871" s="102"/>
      <c r="C871" s="1"/>
      <c r="D871" s="1"/>
      <c r="E871" s="1"/>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row>
    <row r="872" spans="1:46" ht="14.25" x14ac:dyDescent="0.2">
      <c r="A872" s="102"/>
      <c r="B872" s="102"/>
      <c r="C872" s="1"/>
      <c r="D872" s="1"/>
      <c r="E872" s="1"/>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row>
    <row r="873" spans="1:46" ht="14.25" x14ac:dyDescent="0.2">
      <c r="A873" s="102"/>
      <c r="B873" s="102"/>
      <c r="C873" s="1"/>
      <c r="D873" s="1"/>
      <c r="E873" s="1"/>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row>
    <row r="874" spans="1:46" ht="14.25" x14ac:dyDescent="0.2">
      <c r="A874" s="102"/>
      <c r="B874" s="102"/>
      <c r="C874" s="1"/>
      <c r="D874" s="1"/>
      <c r="E874" s="1"/>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row>
    <row r="875" spans="1:46" ht="14.25" x14ac:dyDescent="0.2">
      <c r="A875" s="102"/>
      <c r="B875" s="102"/>
      <c r="C875" s="1"/>
      <c r="D875" s="1"/>
      <c r="E875" s="1"/>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row>
    <row r="876" spans="1:46" ht="14.25" x14ac:dyDescent="0.2">
      <c r="A876" s="102"/>
      <c r="B876" s="102"/>
      <c r="C876" s="1"/>
      <c r="D876" s="1"/>
      <c r="E876" s="1"/>
      <c r="F876" s="102"/>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row>
    <row r="877" spans="1:46" ht="14.25" x14ac:dyDescent="0.2">
      <c r="A877" s="102"/>
      <c r="B877" s="102"/>
      <c r="C877" s="1"/>
      <c r="D877" s="1"/>
      <c r="E877" s="1"/>
      <c r="F877" s="102"/>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row>
    <row r="878" spans="1:46" ht="14.25" x14ac:dyDescent="0.2">
      <c r="A878" s="102"/>
      <c r="B878" s="102"/>
      <c r="C878" s="1"/>
      <c r="D878" s="1"/>
      <c r="E878" s="1"/>
      <c r="F878" s="102"/>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row>
    <row r="879" spans="1:46" ht="14.25" x14ac:dyDescent="0.2">
      <c r="A879" s="102"/>
      <c r="B879" s="102"/>
      <c r="C879" s="1"/>
      <c r="D879" s="1"/>
      <c r="E879" s="1"/>
      <c r="F879" s="102"/>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row>
    <row r="880" spans="1:46" ht="14.25" x14ac:dyDescent="0.2">
      <c r="A880" s="102"/>
      <c r="B880" s="102"/>
      <c r="C880" s="1"/>
      <c r="D880" s="1"/>
      <c r="E880" s="1"/>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row>
    <row r="881" spans="1:46" ht="14.25" x14ac:dyDescent="0.2">
      <c r="A881" s="102"/>
      <c r="B881" s="102"/>
      <c r="C881" s="1"/>
      <c r="D881" s="1"/>
      <c r="E881" s="1"/>
      <c r="F881" s="102"/>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row>
    <row r="882" spans="1:46" ht="14.25" x14ac:dyDescent="0.2">
      <c r="A882" s="102"/>
      <c r="B882" s="102"/>
      <c r="C882" s="1"/>
      <c r="D882" s="1"/>
      <c r="E882" s="1"/>
      <c r="F882" s="102"/>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row>
    <row r="883" spans="1:46" ht="14.25" x14ac:dyDescent="0.2">
      <c r="A883" s="102"/>
      <c r="B883" s="102"/>
      <c r="C883" s="1"/>
      <c r="D883" s="1"/>
      <c r="E883" s="1"/>
      <c r="F883" s="102"/>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row>
    <row r="884" spans="1:46" ht="14.25" x14ac:dyDescent="0.2">
      <c r="A884" s="102"/>
      <c r="B884" s="102"/>
      <c r="C884" s="1"/>
      <c r="D884" s="1"/>
      <c r="E884" s="1"/>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row>
    <row r="885" spans="1:46" ht="14.25" x14ac:dyDescent="0.2">
      <c r="A885" s="102"/>
      <c r="B885" s="102"/>
      <c r="C885" s="1"/>
      <c r="D885" s="1"/>
      <c r="E885" s="1"/>
      <c r="F885" s="102"/>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row>
    <row r="886" spans="1:46" ht="14.25" x14ac:dyDescent="0.2">
      <c r="A886" s="102"/>
      <c r="B886" s="102"/>
      <c r="C886" s="1"/>
      <c r="D886" s="1"/>
      <c r="E886" s="1"/>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row>
    <row r="887" spans="1:46" ht="14.25" x14ac:dyDescent="0.2">
      <c r="A887" s="102"/>
      <c r="B887" s="102"/>
      <c r="C887" s="1"/>
      <c r="D887" s="1"/>
      <c r="E887" s="1"/>
      <c r="F887" s="102"/>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row>
    <row r="888" spans="1:46" ht="14.25" x14ac:dyDescent="0.2">
      <c r="A888" s="102"/>
      <c r="B888" s="102"/>
      <c r="C888" s="1"/>
      <c r="D888" s="1"/>
      <c r="E888" s="1"/>
      <c r="F888" s="102"/>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row>
    <row r="889" spans="1:46" ht="14.25" x14ac:dyDescent="0.2">
      <c r="A889" s="102"/>
      <c r="B889" s="102"/>
      <c r="C889" s="1"/>
      <c r="D889" s="1"/>
      <c r="E889" s="1"/>
      <c r="F889" s="102"/>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row>
    <row r="890" spans="1:46" ht="14.25" x14ac:dyDescent="0.2">
      <c r="A890" s="102"/>
      <c r="B890" s="102"/>
      <c r="C890" s="1"/>
      <c r="D890" s="1"/>
      <c r="E890" s="1"/>
      <c r="F890" s="102"/>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row>
    <row r="891" spans="1:46" ht="14.25" x14ac:dyDescent="0.2">
      <c r="A891" s="102"/>
      <c r="B891" s="102"/>
      <c r="C891" s="1"/>
      <c r="D891" s="1"/>
      <c r="E891" s="1"/>
      <c r="F891" s="102"/>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row>
    <row r="892" spans="1:46" ht="14.25" x14ac:dyDescent="0.2">
      <c r="A892" s="102"/>
      <c r="B892" s="102"/>
      <c r="C892" s="1"/>
      <c r="D892" s="1"/>
      <c r="E892" s="1"/>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row>
    <row r="893" spans="1:46" ht="14.25" x14ac:dyDescent="0.2">
      <c r="A893" s="102"/>
      <c r="B893" s="102"/>
      <c r="C893" s="1"/>
      <c r="D893" s="1"/>
      <c r="E893" s="1"/>
      <c r="F893" s="102"/>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row>
    <row r="894" spans="1:46" ht="14.25" x14ac:dyDescent="0.2">
      <c r="A894" s="102"/>
      <c r="B894" s="102"/>
      <c r="C894" s="1"/>
      <c r="D894" s="1"/>
      <c r="E894" s="1"/>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row>
    <row r="895" spans="1:46" ht="14.25" x14ac:dyDescent="0.2">
      <c r="A895" s="102"/>
      <c r="B895" s="102"/>
      <c r="C895" s="1"/>
      <c r="D895" s="1"/>
      <c r="E895" s="1"/>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row>
    <row r="896" spans="1:46" ht="14.25" x14ac:dyDescent="0.2">
      <c r="A896" s="102"/>
      <c r="B896" s="102"/>
      <c r="C896" s="1"/>
      <c r="D896" s="1"/>
      <c r="E896" s="1"/>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row>
    <row r="897" spans="1:46" ht="14.25" x14ac:dyDescent="0.2">
      <c r="A897" s="102"/>
      <c r="B897" s="102"/>
      <c r="C897" s="1"/>
      <c r="D897" s="1"/>
      <c r="E897" s="1"/>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row>
    <row r="898" spans="1:46" ht="14.25" x14ac:dyDescent="0.2">
      <c r="A898" s="102"/>
      <c r="B898" s="102"/>
      <c r="C898" s="1"/>
      <c r="D898" s="1"/>
      <c r="E898" s="1"/>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row>
    <row r="899" spans="1:46" ht="14.25" x14ac:dyDescent="0.2">
      <c r="A899" s="102"/>
      <c r="B899" s="102"/>
      <c r="C899" s="1"/>
      <c r="D899" s="1"/>
      <c r="E899" s="1"/>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row>
    <row r="900" spans="1:46" ht="14.25" x14ac:dyDescent="0.2">
      <c r="A900" s="102"/>
      <c r="B900" s="102"/>
      <c r="C900" s="1"/>
      <c r="D900" s="1"/>
      <c r="E900" s="1"/>
      <c r="F900" s="102"/>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row>
    <row r="901" spans="1:46" ht="14.25" x14ac:dyDescent="0.2">
      <c r="A901" s="102"/>
      <c r="B901" s="102"/>
      <c r="C901" s="1"/>
      <c r="D901" s="1"/>
      <c r="E901" s="1"/>
      <c r="F901" s="102"/>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row>
    <row r="902" spans="1:46" ht="14.25" x14ac:dyDescent="0.2">
      <c r="A902" s="102"/>
      <c r="B902" s="102"/>
      <c r="C902" s="1"/>
      <c r="D902" s="1"/>
      <c r="E902" s="1"/>
      <c r="F902" s="102"/>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row>
    <row r="903" spans="1:46" ht="14.25" x14ac:dyDescent="0.2">
      <c r="A903" s="102"/>
      <c r="B903" s="102"/>
      <c r="C903" s="1"/>
      <c r="D903" s="1"/>
      <c r="E903" s="1"/>
      <c r="F903" s="102"/>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row>
    <row r="904" spans="1:46" ht="14.25" x14ac:dyDescent="0.2">
      <c r="A904" s="102"/>
      <c r="B904" s="102"/>
      <c r="C904" s="1"/>
      <c r="D904" s="1"/>
      <c r="E904" s="1"/>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row>
    <row r="905" spans="1:46" ht="14.25" x14ac:dyDescent="0.2">
      <c r="A905" s="102"/>
      <c r="B905" s="102"/>
      <c r="C905" s="1"/>
      <c r="D905" s="1"/>
      <c r="E905" s="1"/>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row>
    <row r="906" spans="1:46" ht="14.25" x14ac:dyDescent="0.2">
      <c r="A906" s="102"/>
      <c r="B906" s="102"/>
      <c r="C906" s="1"/>
      <c r="D906" s="1"/>
      <c r="E906" s="1"/>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row>
    <row r="907" spans="1:46" ht="14.25" x14ac:dyDescent="0.2">
      <c r="A907" s="102"/>
      <c r="B907" s="102"/>
      <c r="C907" s="1"/>
      <c r="D907" s="1"/>
      <c r="E907" s="1"/>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row>
    <row r="908" spans="1:46" ht="14.25" x14ac:dyDescent="0.2">
      <c r="A908" s="102"/>
      <c r="B908" s="102"/>
      <c r="C908" s="1"/>
      <c r="D908" s="1"/>
      <c r="E908" s="1"/>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row>
    <row r="909" spans="1:46" ht="14.25" x14ac:dyDescent="0.2">
      <c r="A909" s="102"/>
      <c r="B909" s="102"/>
      <c r="C909" s="1"/>
      <c r="D909" s="1"/>
      <c r="E909" s="1"/>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row>
    <row r="910" spans="1:46" ht="14.25" x14ac:dyDescent="0.2">
      <c r="A910" s="102"/>
      <c r="B910" s="102"/>
      <c r="C910" s="1"/>
      <c r="D910" s="1"/>
      <c r="E910" s="1"/>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row>
    <row r="911" spans="1:46" ht="14.25" x14ac:dyDescent="0.2">
      <c r="A911" s="102"/>
      <c r="B911" s="102"/>
      <c r="C911" s="1"/>
      <c r="D911" s="1"/>
      <c r="E911" s="1"/>
      <c r="F911" s="102"/>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row>
    <row r="912" spans="1:46" ht="14.25" x14ac:dyDescent="0.2">
      <c r="A912" s="102"/>
      <c r="B912" s="102"/>
      <c r="C912" s="1"/>
      <c r="D912" s="1"/>
      <c r="E912" s="1"/>
      <c r="F912" s="102"/>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row>
    <row r="913" spans="1:46" ht="14.25" x14ac:dyDescent="0.2">
      <c r="A913" s="102"/>
      <c r="B913" s="102"/>
      <c r="C913" s="1"/>
      <c r="D913" s="1"/>
      <c r="E913" s="1"/>
      <c r="F913" s="102"/>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row>
    <row r="914" spans="1:46" ht="14.25" x14ac:dyDescent="0.2">
      <c r="A914" s="102"/>
      <c r="B914" s="102"/>
      <c r="C914" s="1"/>
      <c r="D914" s="1"/>
      <c r="E914" s="1"/>
      <c r="F914" s="102"/>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row>
    <row r="915" spans="1:46" ht="14.25" x14ac:dyDescent="0.2">
      <c r="A915" s="102"/>
      <c r="B915" s="102"/>
      <c r="C915" s="1"/>
      <c r="D915" s="1"/>
      <c r="E915" s="1"/>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row>
    <row r="916" spans="1:46" ht="14.25" x14ac:dyDescent="0.2">
      <c r="A916" s="102"/>
      <c r="B916" s="102"/>
      <c r="C916" s="1"/>
      <c r="D916" s="1"/>
      <c r="E916" s="1"/>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row>
    <row r="917" spans="1:46" ht="14.25" x14ac:dyDescent="0.2">
      <c r="A917" s="102"/>
      <c r="B917" s="102"/>
      <c r="C917" s="1"/>
      <c r="D917" s="1"/>
      <c r="E917" s="1"/>
      <c r="F917" s="102"/>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row>
    <row r="918" spans="1:46" ht="14.25" x14ac:dyDescent="0.2">
      <c r="A918" s="102"/>
      <c r="B918" s="102"/>
      <c r="C918" s="1"/>
      <c r="D918" s="1"/>
      <c r="E918" s="1"/>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row>
    <row r="919" spans="1:46" ht="14.25" x14ac:dyDescent="0.2">
      <c r="A919" s="102"/>
      <c r="B919" s="102"/>
      <c r="C919" s="1"/>
      <c r="D919" s="1"/>
      <c r="E919" s="1"/>
      <c r="F919" s="102"/>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row>
    <row r="920" spans="1:46" ht="14.25" x14ac:dyDescent="0.2">
      <c r="A920" s="102"/>
      <c r="B920" s="102"/>
      <c r="C920" s="1"/>
      <c r="D920" s="1"/>
      <c r="E920" s="1"/>
      <c r="F920" s="102"/>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row>
    <row r="921" spans="1:46" ht="14.25" x14ac:dyDescent="0.2">
      <c r="A921" s="102"/>
      <c r="B921" s="102"/>
      <c r="C921" s="1"/>
      <c r="D921" s="1"/>
      <c r="E921" s="1"/>
      <c r="F921" s="102"/>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row>
    <row r="922" spans="1:46" ht="14.25" x14ac:dyDescent="0.2">
      <c r="A922" s="102"/>
      <c r="B922" s="102"/>
      <c r="C922" s="1"/>
      <c r="D922" s="1"/>
      <c r="E922" s="1"/>
      <c r="F922" s="102"/>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row>
    <row r="923" spans="1:46" ht="14.25" x14ac:dyDescent="0.2">
      <c r="A923" s="102"/>
      <c r="B923" s="102"/>
      <c r="C923" s="1"/>
      <c r="D923" s="1"/>
      <c r="E923" s="1"/>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row>
    <row r="924" spans="1:46" ht="14.25" x14ac:dyDescent="0.2">
      <c r="A924" s="102"/>
      <c r="B924" s="102"/>
      <c r="C924" s="1"/>
      <c r="D924" s="1"/>
      <c r="E924" s="1"/>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row>
    <row r="925" spans="1:46" ht="14.25" x14ac:dyDescent="0.2">
      <c r="A925" s="102"/>
      <c r="B925" s="102"/>
      <c r="C925" s="1"/>
      <c r="D925" s="1"/>
      <c r="E925" s="1"/>
      <c r="F925" s="102"/>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row>
    <row r="926" spans="1:46" ht="14.25" x14ac:dyDescent="0.2">
      <c r="A926" s="102"/>
      <c r="B926" s="102"/>
      <c r="C926" s="1"/>
      <c r="D926" s="1"/>
      <c r="E926" s="1"/>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row>
    <row r="927" spans="1:46" ht="14.25" x14ac:dyDescent="0.2">
      <c r="A927" s="102"/>
      <c r="B927" s="102"/>
      <c r="C927" s="1"/>
      <c r="D927" s="1"/>
      <c r="E927" s="1"/>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row>
    <row r="928" spans="1:46" ht="14.25" x14ac:dyDescent="0.2">
      <c r="A928" s="102"/>
      <c r="B928" s="102"/>
      <c r="C928" s="1"/>
      <c r="D928" s="1"/>
      <c r="E928" s="1"/>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row>
    <row r="929" spans="1:46" ht="14.25" x14ac:dyDescent="0.2">
      <c r="A929" s="102"/>
      <c r="B929" s="102"/>
      <c r="C929" s="1"/>
      <c r="D929" s="1"/>
      <c r="E929" s="1"/>
      <c r="F929" s="102"/>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row>
    <row r="930" spans="1:46" ht="14.25" x14ac:dyDescent="0.2">
      <c r="A930" s="102"/>
      <c r="B930" s="102"/>
      <c r="C930" s="1"/>
      <c r="D930" s="1"/>
      <c r="E930" s="1"/>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row>
    <row r="931" spans="1:46" ht="14.25" x14ac:dyDescent="0.2">
      <c r="A931" s="102"/>
      <c r="B931" s="102"/>
      <c r="C931" s="1"/>
      <c r="D931" s="1"/>
      <c r="E931" s="1"/>
      <c r="F931" s="102"/>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row>
    <row r="932" spans="1:46" ht="14.25" x14ac:dyDescent="0.2">
      <c r="A932" s="102"/>
      <c r="B932" s="102"/>
      <c r="C932" s="1"/>
      <c r="D932" s="1"/>
      <c r="E932" s="1"/>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row>
    <row r="933" spans="1:46" ht="14.25" x14ac:dyDescent="0.2">
      <c r="A933" s="102"/>
      <c r="B933" s="102"/>
      <c r="C933" s="1"/>
      <c r="D933" s="1"/>
      <c r="E933" s="1"/>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row>
    <row r="934" spans="1:46" ht="14.25" x14ac:dyDescent="0.2">
      <c r="A934" s="102"/>
      <c r="B934" s="102"/>
      <c r="C934" s="1"/>
      <c r="D934" s="1"/>
      <c r="E934" s="1"/>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row>
    <row r="935" spans="1:46" ht="14.25" x14ac:dyDescent="0.2">
      <c r="A935" s="102"/>
      <c r="B935" s="102"/>
      <c r="C935" s="1"/>
      <c r="D935" s="1"/>
      <c r="E935" s="1"/>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row>
    <row r="936" spans="1:46" ht="14.25" x14ac:dyDescent="0.2">
      <c r="A936" s="102"/>
      <c r="B936" s="102"/>
      <c r="C936" s="1"/>
      <c r="D936" s="1"/>
      <c r="E936" s="1"/>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row>
    <row r="937" spans="1:46" ht="14.25" x14ac:dyDescent="0.2">
      <c r="A937" s="102"/>
      <c r="B937" s="102"/>
      <c r="C937" s="1"/>
      <c r="D937" s="1"/>
      <c r="E937" s="1"/>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row>
    <row r="938" spans="1:46" ht="14.25" x14ac:dyDescent="0.2">
      <c r="A938" s="102"/>
      <c r="B938" s="102"/>
      <c r="C938" s="1"/>
      <c r="D938" s="1"/>
      <c r="E938" s="1"/>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row>
    <row r="939" spans="1:46" ht="14.25" x14ac:dyDescent="0.2">
      <c r="A939" s="102"/>
      <c r="B939" s="102"/>
      <c r="C939" s="1"/>
      <c r="D939" s="1"/>
      <c r="E939" s="1"/>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row>
    <row r="940" spans="1:46" ht="14.25" x14ac:dyDescent="0.2">
      <c r="A940" s="102"/>
      <c r="B940" s="102"/>
      <c r="C940" s="1"/>
      <c r="D940" s="1"/>
      <c r="E940" s="1"/>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row>
    <row r="941" spans="1:46" ht="14.25" x14ac:dyDescent="0.2">
      <c r="A941" s="102"/>
      <c r="B941" s="102"/>
      <c r="C941" s="1"/>
      <c r="D941" s="1"/>
      <c r="E941" s="1"/>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row>
    <row r="942" spans="1:46" ht="14.25" x14ac:dyDescent="0.2">
      <c r="A942" s="102"/>
      <c r="B942" s="102"/>
      <c r="C942" s="1"/>
      <c r="D942" s="1"/>
      <c r="E942" s="1"/>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row>
    <row r="943" spans="1:46" ht="14.25" x14ac:dyDescent="0.2">
      <c r="A943" s="102"/>
      <c r="B943" s="102"/>
      <c r="C943" s="1"/>
      <c r="D943" s="1"/>
      <c r="E943" s="1"/>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row>
    <row r="944" spans="1:46" ht="14.25" x14ac:dyDescent="0.2">
      <c r="A944" s="102"/>
      <c r="B944" s="102"/>
      <c r="C944" s="1"/>
      <c r="D944" s="1"/>
      <c r="E944" s="1"/>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row>
    <row r="945" spans="1:46" ht="14.25" x14ac:dyDescent="0.2">
      <c r="A945" s="102"/>
      <c r="B945" s="102"/>
      <c r="C945" s="1"/>
      <c r="D945" s="1"/>
      <c r="E945" s="1"/>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row>
    <row r="946" spans="1:46" ht="14.25" x14ac:dyDescent="0.2">
      <c r="A946" s="102"/>
      <c r="B946" s="102"/>
      <c r="C946" s="1"/>
      <c r="D946" s="1"/>
      <c r="E946" s="1"/>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row>
    <row r="947" spans="1:46" ht="14.25" x14ac:dyDescent="0.2">
      <c r="A947" s="102"/>
      <c r="B947" s="102"/>
      <c r="C947" s="1"/>
      <c r="D947" s="1"/>
      <c r="E947" s="1"/>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row>
    <row r="948" spans="1:46" ht="14.25" x14ac:dyDescent="0.2">
      <c r="A948" s="102"/>
      <c r="B948" s="102"/>
      <c r="C948" s="1"/>
      <c r="D948" s="1"/>
      <c r="E948" s="1"/>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row>
    <row r="949" spans="1:46" ht="14.25" x14ac:dyDescent="0.2">
      <c r="A949" s="102"/>
      <c r="B949" s="102"/>
      <c r="C949" s="1"/>
      <c r="D949" s="1"/>
      <c r="E949" s="1"/>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row>
    <row r="950" spans="1:46" ht="14.25" x14ac:dyDescent="0.2">
      <c r="A950" s="102"/>
      <c r="B950" s="102"/>
      <c r="C950" s="1"/>
      <c r="D950" s="1"/>
      <c r="E950" s="1"/>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row>
    <row r="951" spans="1:46" ht="14.25" x14ac:dyDescent="0.2">
      <c r="A951" s="102"/>
      <c r="B951" s="102"/>
      <c r="C951" s="1"/>
      <c r="D951" s="1"/>
      <c r="E951" s="1"/>
      <c r="F951" s="102"/>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row>
    <row r="952" spans="1:46" ht="14.25" x14ac:dyDescent="0.2">
      <c r="A952" s="102"/>
      <c r="B952" s="102"/>
      <c r="C952" s="1"/>
      <c r="D952" s="1"/>
      <c r="E952" s="1"/>
      <c r="F952" s="102"/>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row>
    <row r="953" spans="1:46" ht="14.25" x14ac:dyDescent="0.2">
      <c r="A953" s="102"/>
      <c r="B953" s="102"/>
      <c r="C953" s="1"/>
      <c r="D953" s="1"/>
      <c r="E953" s="1"/>
      <c r="F953" s="102"/>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row>
    <row r="954" spans="1:46" ht="14.25" x14ac:dyDescent="0.2">
      <c r="A954" s="102"/>
      <c r="B954" s="102"/>
      <c r="C954" s="1"/>
      <c r="D954" s="1"/>
      <c r="E954" s="1"/>
      <c r="F954" s="102"/>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row>
    <row r="955" spans="1:46" ht="14.25" x14ac:dyDescent="0.2">
      <c r="A955" s="102"/>
      <c r="B955" s="102"/>
      <c r="C955" s="1"/>
      <c r="D955" s="1"/>
      <c r="E955" s="1"/>
      <c r="F955" s="102"/>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row>
    <row r="956" spans="1:46" ht="14.25" x14ac:dyDescent="0.2">
      <c r="A956" s="102"/>
      <c r="B956" s="102"/>
      <c r="C956" s="1"/>
      <c r="D956" s="1"/>
      <c r="E956" s="1"/>
      <c r="F956" s="102"/>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row>
    <row r="957" spans="1:46" ht="14.25" x14ac:dyDescent="0.2">
      <c r="A957" s="102"/>
      <c r="B957" s="102"/>
      <c r="C957" s="1"/>
      <c r="D957" s="1"/>
      <c r="E957" s="1"/>
      <c r="F957" s="102"/>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row>
    <row r="958" spans="1:46" ht="14.25" x14ac:dyDescent="0.2">
      <c r="A958" s="102"/>
      <c r="B958" s="102"/>
      <c r="C958" s="1"/>
      <c r="D958" s="1"/>
      <c r="E958" s="1"/>
      <c r="F958" s="102"/>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row>
    <row r="959" spans="1:46" ht="14.25" x14ac:dyDescent="0.2">
      <c r="A959" s="102"/>
      <c r="B959" s="102"/>
      <c r="C959" s="1"/>
      <c r="D959" s="1"/>
      <c r="E959" s="1"/>
      <c r="F959" s="102"/>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row>
    <row r="960" spans="1:46" ht="14.25" x14ac:dyDescent="0.2">
      <c r="A960" s="102"/>
      <c r="B960" s="102"/>
      <c r="C960" s="1"/>
      <c r="D960" s="1"/>
      <c r="E960" s="1"/>
      <c r="F960" s="102"/>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row>
    <row r="961" spans="1:46" ht="14.25" x14ac:dyDescent="0.2">
      <c r="A961" s="102"/>
      <c r="B961" s="102"/>
      <c r="C961" s="1"/>
      <c r="D961" s="1"/>
      <c r="E961" s="1"/>
      <c r="F961" s="102"/>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row>
    <row r="962" spans="1:46" ht="14.25" x14ac:dyDescent="0.2">
      <c r="A962" s="102"/>
      <c r="B962" s="102"/>
      <c r="C962" s="1"/>
      <c r="D962" s="1"/>
      <c r="E962" s="1"/>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row>
    <row r="963" spans="1:46" ht="14.25" x14ac:dyDescent="0.2">
      <c r="A963" s="102"/>
      <c r="B963" s="102"/>
      <c r="C963" s="1"/>
      <c r="D963" s="1"/>
      <c r="E963" s="1"/>
      <c r="F963" s="102"/>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row>
    <row r="964" spans="1:46" ht="14.25" x14ac:dyDescent="0.2">
      <c r="A964" s="102"/>
      <c r="B964" s="102"/>
      <c r="C964" s="1"/>
      <c r="D964" s="1"/>
      <c r="E964" s="1"/>
      <c r="F964" s="102"/>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row>
    <row r="965" spans="1:46" ht="14.25" x14ac:dyDescent="0.2">
      <c r="A965" s="102"/>
      <c r="B965" s="102"/>
      <c r="C965" s="1"/>
      <c r="D965" s="1"/>
      <c r="E965" s="1"/>
      <c r="F965" s="102"/>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row>
    <row r="966" spans="1:46" ht="14.25" x14ac:dyDescent="0.2">
      <c r="A966" s="102"/>
      <c r="B966" s="102"/>
      <c r="C966" s="1"/>
      <c r="D966" s="1"/>
      <c r="E966" s="1"/>
      <c r="F966" s="102"/>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row>
    <row r="967" spans="1:46" ht="14.25" x14ac:dyDescent="0.2">
      <c r="A967" s="102"/>
      <c r="B967" s="102"/>
      <c r="C967" s="1"/>
      <c r="D967" s="1"/>
      <c r="E967" s="1"/>
      <c r="F967" s="102"/>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row>
    <row r="968" spans="1:46" ht="14.25" x14ac:dyDescent="0.2">
      <c r="A968" s="102"/>
      <c r="B968" s="102"/>
      <c r="C968" s="1"/>
      <c r="D968" s="1"/>
      <c r="E968" s="1"/>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row>
    <row r="969" spans="1:46" ht="14.25" x14ac:dyDescent="0.2">
      <c r="A969" s="102"/>
      <c r="B969" s="102"/>
      <c r="C969" s="1"/>
      <c r="D969" s="1"/>
      <c r="E969" s="1"/>
      <c r="F969" s="102"/>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row>
    <row r="970" spans="1:46" ht="14.25" x14ac:dyDescent="0.2">
      <c r="A970" s="102"/>
      <c r="B970" s="102"/>
      <c r="C970" s="1"/>
      <c r="D970" s="1"/>
      <c r="E970" s="1"/>
      <c r="F970" s="102"/>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row>
    <row r="971" spans="1:46" ht="14.25" x14ac:dyDescent="0.2">
      <c r="A971" s="102"/>
      <c r="B971" s="102"/>
      <c r="C971" s="1"/>
      <c r="D971" s="1"/>
      <c r="E971" s="1"/>
      <c r="F971" s="102"/>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row>
    <row r="972" spans="1:46" ht="14.25" x14ac:dyDescent="0.2">
      <c r="A972" s="102"/>
      <c r="B972" s="102"/>
      <c r="C972" s="1"/>
      <c r="D972" s="1"/>
      <c r="E972" s="1"/>
      <c r="F972" s="102"/>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row>
    <row r="973" spans="1:46" ht="14.25" x14ac:dyDescent="0.2">
      <c r="A973" s="102"/>
      <c r="B973" s="102"/>
      <c r="C973" s="1"/>
      <c r="D973" s="1"/>
      <c r="E973" s="1"/>
      <c r="F973" s="102"/>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row>
    <row r="974" spans="1:46" ht="14.25" x14ac:dyDescent="0.2">
      <c r="A974" s="102"/>
      <c r="B974" s="102"/>
      <c r="C974" s="1"/>
      <c r="D974" s="1"/>
      <c r="E974" s="1"/>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row>
    <row r="975" spans="1:46" ht="14.25" x14ac:dyDescent="0.2">
      <c r="A975" s="102"/>
      <c r="B975" s="102"/>
      <c r="C975" s="1"/>
      <c r="D975" s="1"/>
      <c r="E975" s="1"/>
      <c r="F975" s="102"/>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row>
    <row r="976" spans="1:46" ht="14.25" x14ac:dyDescent="0.2">
      <c r="A976" s="102"/>
      <c r="B976" s="102"/>
      <c r="C976" s="1"/>
      <c r="D976" s="1"/>
      <c r="E976" s="1"/>
      <c r="F976" s="102"/>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row>
    <row r="977" spans="1:46" ht="14.25" x14ac:dyDescent="0.2">
      <c r="A977" s="102"/>
      <c r="B977" s="102"/>
      <c r="C977" s="1"/>
      <c r="D977" s="1"/>
      <c r="E977" s="1"/>
      <c r="F977" s="102"/>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row>
    <row r="978" spans="1:46" ht="14.25" x14ac:dyDescent="0.2">
      <c r="A978" s="102"/>
      <c r="B978" s="102"/>
      <c r="C978" s="1"/>
      <c r="D978" s="1"/>
      <c r="E978" s="1"/>
      <c r="F978" s="102"/>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row>
    <row r="979" spans="1:46" ht="14.25" x14ac:dyDescent="0.2">
      <c r="A979" s="102"/>
      <c r="B979" s="102"/>
      <c r="C979" s="1"/>
      <c r="D979" s="1"/>
      <c r="E979" s="1"/>
      <c r="F979" s="102"/>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row>
    <row r="980" spans="1:46" ht="14.25" x14ac:dyDescent="0.2">
      <c r="A980" s="102"/>
      <c r="B980" s="102"/>
      <c r="C980" s="1"/>
      <c r="D980" s="1"/>
      <c r="E980" s="1"/>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row>
    <row r="981" spans="1:46" ht="14.25" x14ac:dyDescent="0.2">
      <c r="A981" s="102"/>
      <c r="B981" s="102"/>
      <c r="C981" s="1"/>
      <c r="D981" s="1"/>
      <c r="E981" s="1"/>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row>
    <row r="982" spans="1:46" ht="14.25" x14ac:dyDescent="0.2">
      <c r="A982" s="102"/>
      <c r="B982" s="102"/>
      <c r="C982" s="1"/>
      <c r="D982" s="1"/>
      <c r="E982" s="1"/>
      <c r="F982" s="102"/>
      <c r="G982" s="102"/>
      <c r="H982" s="102"/>
      <c r="I982" s="102"/>
      <c r="J982" s="102"/>
      <c r="K982" s="102"/>
      <c r="L982" s="102"/>
      <c r="M982" s="102"/>
      <c r="N982" s="102"/>
      <c r="O982" s="102"/>
      <c r="P982" s="102"/>
      <c r="Q982" s="102"/>
      <c r="R982" s="102"/>
      <c r="S982" s="102"/>
      <c r="T982" s="102"/>
      <c r="U982" s="102"/>
      <c r="V982" s="102"/>
      <c r="W982" s="102"/>
      <c r="X982" s="102"/>
      <c r="Y982" s="102"/>
      <c r="Z982" s="10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row>
    <row r="983" spans="1:46" ht="14.25" x14ac:dyDescent="0.2">
      <c r="A983" s="102"/>
      <c r="B983" s="102"/>
      <c r="C983" s="1"/>
      <c r="D983" s="1"/>
      <c r="E983" s="1"/>
      <c r="F983" s="102"/>
      <c r="G983" s="102"/>
      <c r="H983" s="102"/>
      <c r="I983" s="102"/>
      <c r="J983" s="102"/>
      <c r="K983" s="102"/>
      <c r="L983" s="102"/>
      <c r="M983" s="102"/>
      <c r="N983" s="102"/>
      <c r="O983" s="102"/>
      <c r="P983" s="102"/>
      <c r="Q983" s="102"/>
      <c r="R983" s="102"/>
      <c r="S983" s="102"/>
      <c r="T983" s="102"/>
      <c r="U983" s="102"/>
      <c r="V983" s="102"/>
      <c r="W983" s="102"/>
      <c r="X983" s="102"/>
      <c r="Y983" s="102"/>
      <c r="Z983" s="102"/>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row>
    <row r="984" spans="1:46" ht="14.25" x14ac:dyDescent="0.2">
      <c r="A984" s="102"/>
      <c r="B984" s="102"/>
      <c r="C984" s="1"/>
      <c r="D984" s="1"/>
      <c r="E984" s="1"/>
      <c r="F984" s="102"/>
      <c r="G984" s="102"/>
      <c r="H984" s="102"/>
      <c r="I984" s="102"/>
      <c r="J984" s="102"/>
      <c r="K984" s="102"/>
      <c r="L984" s="102"/>
      <c r="M984" s="102"/>
      <c r="N984" s="102"/>
      <c r="O984" s="102"/>
      <c r="P984" s="102"/>
      <c r="Q984" s="102"/>
      <c r="R984" s="102"/>
      <c r="S984" s="102"/>
      <c r="T984" s="102"/>
      <c r="U984" s="102"/>
      <c r="V984" s="102"/>
      <c r="W984" s="102"/>
      <c r="X984" s="102"/>
      <c r="Y984" s="102"/>
      <c r="Z984" s="102"/>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row>
    <row r="985" spans="1:46" ht="14.25" x14ac:dyDescent="0.2">
      <c r="A985" s="102"/>
      <c r="B985" s="102"/>
      <c r="C985" s="1"/>
      <c r="D985" s="1"/>
      <c r="E985" s="1"/>
      <c r="F985" s="102"/>
      <c r="G985" s="102"/>
      <c r="H985" s="102"/>
      <c r="I985" s="102"/>
      <c r="J985" s="102"/>
      <c r="K985" s="102"/>
      <c r="L985" s="102"/>
      <c r="M985" s="102"/>
      <c r="N985" s="102"/>
      <c r="O985" s="102"/>
      <c r="P985" s="102"/>
      <c r="Q985" s="102"/>
      <c r="R985" s="102"/>
      <c r="S985" s="102"/>
      <c r="T985" s="102"/>
      <c r="U985" s="102"/>
      <c r="V985" s="102"/>
      <c r="W985" s="102"/>
      <c r="X985" s="102"/>
      <c r="Y985" s="102"/>
      <c r="Z985" s="102"/>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row>
    <row r="986" spans="1:46" ht="14.25" x14ac:dyDescent="0.2">
      <c r="A986" s="102"/>
      <c r="B986" s="102"/>
      <c r="C986" s="1"/>
      <c r="D986" s="1"/>
      <c r="E986" s="1"/>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row>
    <row r="987" spans="1:46" ht="14.25" x14ac:dyDescent="0.2">
      <c r="A987" s="102"/>
      <c r="B987" s="102"/>
      <c r="C987" s="1"/>
      <c r="D987" s="1"/>
      <c r="E987" s="1"/>
      <c r="F987" s="102"/>
      <c r="G987" s="102"/>
      <c r="H987" s="102"/>
      <c r="I987" s="102"/>
      <c r="J987" s="102"/>
      <c r="K987" s="102"/>
      <c r="L987" s="102"/>
      <c r="M987" s="102"/>
      <c r="N987" s="102"/>
      <c r="O987" s="102"/>
      <c r="P987" s="102"/>
      <c r="Q987" s="102"/>
      <c r="R987" s="102"/>
      <c r="S987" s="102"/>
      <c r="T987" s="102"/>
      <c r="U987" s="102"/>
      <c r="V987" s="102"/>
      <c r="W987" s="102"/>
      <c r="X987" s="102"/>
      <c r="Y987" s="102"/>
      <c r="Z987" s="102"/>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row>
    <row r="988" spans="1:46" ht="14.25" x14ac:dyDescent="0.2">
      <c r="A988" s="102"/>
      <c r="B988" s="102"/>
      <c r="C988" s="1"/>
      <c r="D988" s="1"/>
      <c r="E988" s="1"/>
      <c r="F988" s="102"/>
      <c r="G988" s="102"/>
      <c r="H988" s="102"/>
      <c r="I988" s="102"/>
      <c r="J988" s="102"/>
      <c r="K988" s="102"/>
      <c r="L988" s="102"/>
      <c r="M988" s="102"/>
      <c r="N988" s="102"/>
      <c r="O988" s="102"/>
      <c r="P988" s="102"/>
      <c r="Q988" s="102"/>
      <c r="R988" s="102"/>
      <c r="S988" s="102"/>
      <c r="T988" s="102"/>
      <c r="U988" s="102"/>
      <c r="V988" s="102"/>
      <c r="W988" s="102"/>
      <c r="X988" s="102"/>
      <c r="Y988" s="102"/>
      <c r="Z988" s="102"/>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row>
    <row r="989" spans="1:46" ht="14.25" x14ac:dyDescent="0.2">
      <c r="A989" s="102"/>
      <c r="B989" s="102"/>
      <c r="C989" s="1"/>
      <c r="D989" s="1"/>
      <c r="E989" s="1"/>
      <c r="F989" s="102"/>
      <c r="G989" s="102"/>
      <c r="H989" s="102"/>
      <c r="I989" s="102"/>
      <c r="J989" s="102"/>
      <c r="K989" s="102"/>
      <c r="L989" s="102"/>
      <c r="M989" s="102"/>
      <c r="N989" s="102"/>
      <c r="O989" s="102"/>
      <c r="P989" s="102"/>
      <c r="Q989" s="102"/>
      <c r="R989" s="102"/>
      <c r="S989" s="102"/>
      <c r="T989" s="102"/>
      <c r="U989" s="102"/>
      <c r="V989" s="102"/>
      <c r="W989" s="102"/>
      <c r="X989" s="102"/>
      <c r="Y989" s="102"/>
      <c r="Z989" s="102"/>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row>
    <row r="990" spans="1:46" ht="14.25" x14ac:dyDescent="0.2">
      <c r="A990" s="102"/>
      <c r="B990" s="102"/>
      <c r="C990" s="1"/>
      <c r="D990" s="1"/>
      <c r="E990" s="1"/>
      <c r="F990" s="102"/>
      <c r="G990" s="102"/>
      <c r="H990" s="102"/>
      <c r="I990" s="102"/>
      <c r="J990" s="102"/>
      <c r="K990" s="102"/>
      <c r="L990" s="102"/>
      <c r="M990" s="102"/>
      <c r="N990" s="102"/>
      <c r="O990" s="102"/>
      <c r="P990" s="102"/>
      <c r="Q990" s="102"/>
      <c r="R990" s="102"/>
      <c r="S990" s="102"/>
      <c r="T990" s="102"/>
      <c r="U990" s="102"/>
      <c r="V990" s="102"/>
      <c r="W990" s="102"/>
      <c r="X990" s="102"/>
      <c r="Y990" s="102"/>
      <c r="Z990" s="102"/>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row>
    <row r="991" spans="1:46" ht="14.25" x14ac:dyDescent="0.2">
      <c r="A991" s="102"/>
      <c r="B991" s="102"/>
      <c r="C991" s="1"/>
      <c r="D991" s="1"/>
      <c r="E991" s="1"/>
      <c r="F991" s="102"/>
      <c r="G991" s="102"/>
      <c r="H991" s="102"/>
      <c r="I991" s="102"/>
      <c r="J991" s="102"/>
      <c r="K991" s="102"/>
      <c r="L991" s="102"/>
      <c r="M991" s="102"/>
      <c r="N991" s="102"/>
      <c r="O991" s="102"/>
      <c r="P991" s="102"/>
      <c r="Q991" s="102"/>
      <c r="R991" s="102"/>
      <c r="S991" s="102"/>
      <c r="T991" s="102"/>
      <c r="U991" s="102"/>
      <c r="V991" s="102"/>
      <c r="W991" s="102"/>
      <c r="X991" s="102"/>
      <c r="Y991" s="102"/>
      <c r="Z991" s="102"/>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row>
    <row r="992" spans="1:46" ht="14.25" x14ac:dyDescent="0.2">
      <c r="A992" s="102"/>
      <c r="B992" s="102"/>
      <c r="C992" s="1"/>
      <c r="D992" s="1"/>
      <c r="E992" s="1"/>
      <c r="F992" s="102"/>
      <c r="G992" s="102"/>
      <c r="H992" s="102"/>
      <c r="I992" s="102"/>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row>
    <row r="993" spans="1:46" ht="14.25" x14ac:dyDescent="0.2">
      <c r="A993" s="102"/>
      <c r="B993" s="102"/>
      <c r="C993" s="1"/>
      <c r="D993" s="1"/>
      <c r="E993" s="1"/>
      <c r="F993" s="102"/>
      <c r="G993" s="102"/>
      <c r="H993" s="102"/>
      <c r="I993" s="102"/>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row>
    <row r="994" spans="1:46" ht="14.25" x14ac:dyDescent="0.2">
      <c r="A994" s="102"/>
      <c r="B994" s="102"/>
      <c r="C994" s="1"/>
      <c r="D994" s="1"/>
      <c r="E994" s="1"/>
      <c r="F994" s="102"/>
      <c r="G994" s="102"/>
      <c r="H994" s="102"/>
      <c r="I994" s="102"/>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row>
    <row r="995" spans="1:46" ht="14.25" x14ac:dyDescent="0.2">
      <c r="A995" s="102"/>
      <c r="B995" s="102"/>
      <c r="C995" s="1"/>
      <c r="D995" s="1"/>
      <c r="E995" s="1"/>
      <c r="F995" s="102"/>
      <c r="G995" s="102"/>
      <c r="H995" s="102"/>
      <c r="I995" s="102"/>
      <c r="J995" s="102"/>
      <c r="K995" s="102"/>
      <c r="L995" s="102"/>
      <c r="M995" s="102"/>
      <c r="N995" s="102"/>
      <c r="O995" s="102"/>
      <c r="P995" s="102"/>
      <c r="Q995" s="102"/>
      <c r="R995" s="102"/>
      <c r="S995" s="102"/>
      <c r="T995" s="102"/>
      <c r="U995" s="102"/>
      <c r="V995" s="102"/>
      <c r="W995" s="102"/>
      <c r="X995" s="102"/>
      <c r="Y995" s="102"/>
      <c r="Z995" s="102"/>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row>
    <row r="996" spans="1:46" ht="14.25" x14ac:dyDescent="0.2">
      <c r="A996" s="102"/>
      <c r="B996" s="102"/>
      <c r="C996" s="1"/>
      <c r="D996" s="1"/>
      <c r="E996" s="1"/>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row>
    <row r="997" spans="1:46" ht="14.25" x14ac:dyDescent="0.2">
      <c r="A997" s="102"/>
      <c r="B997" s="102"/>
      <c r="C997" s="1"/>
      <c r="D997" s="1"/>
      <c r="E997" s="1"/>
      <c r="F997" s="102"/>
      <c r="G997" s="102"/>
      <c r="H997" s="102"/>
      <c r="I997" s="102"/>
      <c r="J997" s="102"/>
      <c r="K997" s="102"/>
      <c r="L997" s="102"/>
      <c r="M997" s="102"/>
      <c r="N997" s="102"/>
      <c r="O997" s="102"/>
      <c r="P997" s="102"/>
      <c r="Q997" s="102"/>
      <c r="R997" s="102"/>
      <c r="S997" s="102"/>
      <c r="T997" s="102"/>
      <c r="U997" s="102"/>
      <c r="V997" s="102"/>
      <c r="W997" s="102"/>
      <c r="X997" s="102"/>
      <c r="Y997" s="102"/>
      <c r="Z997" s="102"/>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row>
    <row r="998" spans="1:46" ht="14.25" x14ac:dyDescent="0.2">
      <c r="A998" s="102"/>
      <c r="B998" s="102"/>
      <c r="C998" s="1"/>
      <c r="D998" s="1"/>
      <c r="E998" s="1"/>
      <c r="F998" s="102"/>
      <c r="G998" s="102"/>
      <c r="H998" s="102"/>
      <c r="I998" s="102"/>
      <c r="J998" s="102"/>
      <c r="K998" s="102"/>
      <c r="L998" s="102"/>
      <c r="M998" s="102"/>
      <c r="N998" s="102"/>
      <c r="O998" s="102"/>
      <c r="P998" s="102"/>
      <c r="Q998" s="102"/>
      <c r="R998" s="102"/>
      <c r="S998" s="102"/>
      <c r="T998" s="102"/>
      <c r="U998" s="102"/>
      <c r="V998" s="102"/>
      <c r="W998" s="102"/>
      <c r="X998" s="102"/>
      <c r="Y998" s="102"/>
      <c r="Z998" s="102"/>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row>
    <row r="999" spans="1:46" ht="14.25" x14ac:dyDescent="0.2">
      <c r="A999" s="102"/>
      <c r="B999" s="102"/>
      <c r="C999" s="1"/>
      <c r="D999" s="1"/>
      <c r="E999" s="1"/>
      <c r="F999" s="102"/>
      <c r="G999" s="102"/>
      <c r="H999" s="102"/>
      <c r="I999" s="102"/>
      <c r="J999" s="102"/>
      <c r="K999" s="102"/>
      <c r="L999" s="102"/>
      <c r="M999" s="102"/>
      <c r="N999" s="102"/>
      <c r="O999" s="102"/>
      <c r="P999" s="102"/>
      <c r="Q999" s="102"/>
      <c r="R999" s="102"/>
      <c r="S999" s="102"/>
      <c r="T999" s="102"/>
      <c r="U999" s="102"/>
      <c r="V999" s="102"/>
      <c r="W999" s="102"/>
      <c r="X999" s="102"/>
      <c r="Y999" s="102"/>
      <c r="Z999" s="102"/>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row>
  </sheetData>
  <autoFilter ref="A5:AT481" xr:uid="{00000000-0009-0000-0000-000002000000}">
    <filterColumn colId="3">
      <filters blank="1">
        <filter val="МинЖКХ"/>
        <filter val="МинЖКХ &quot;ТОП 5 (1 этап)&quot;"/>
        <filter val="МинЖКХ &quot;ТОП 5 (2 этап)&quot;"/>
      </filters>
    </filterColumn>
    <filterColumn colId="15">
      <filters>
        <filter val="0.00"/>
        <filter val="1,374.00"/>
        <filter val="1,465.60"/>
        <filter val="1,472.00"/>
        <filter val="1,479.56"/>
        <filter val="1,493.74"/>
        <filter val="1,507.14"/>
        <filter val="1,511.40"/>
        <filter val="1,582.61"/>
        <filter val="1,598.00"/>
        <filter val="1,694.60"/>
        <filter val="1,752.42"/>
        <filter val="1,755.00"/>
        <filter val="1,759.40"/>
        <filter val="1,761.42"/>
        <filter val="1,843.74"/>
        <filter val="1,874.20"/>
        <filter val="1,874.40"/>
        <filter val="1,886.52"/>
        <filter val="1,904.20"/>
        <filter val="10,903.94"/>
        <filter val="101,465.53"/>
        <filter val="11,223.35"/>
        <filter val="11,507.63"/>
        <filter val="117,296.00"/>
        <filter val="12,082.50"/>
        <filter val="12,228.30"/>
        <filter val="12,593.00"/>
        <filter val="12,908.95"/>
        <filter val="123,235.00"/>
        <filter val="13,115.22"/>
        <filter val="13,280.75"/>
        <filter val="13,535.60"/>
        <filter val="13,848.30"/>
        <filter val="14,502.00"/>
        <filter val="14,874.62"/>
        <filter val="14,941.00"/>
        <filter val="140,263.00"/>
        <filter val="142,032.00"/>
        <filter val="142,945.00"/>
        <filter val="145,000.00"/>
        <filter val="147,800.80"/>
        <filter val="15,000.00"/>
        <filter val="15,280.00"/>
        <filter val="15,809.00"/>
        <filter val="158.05"/>
        <filter val="16,397.90"/>
        <filter val="160,854.00"/>
        <filter val="166,468.00"/>
        <filter val="17,057.25"/>
        <filter val="17,584.00"/>
        <filter val="17,659.48"/>
        <filter val="17,992.00"/>
        <filter val="182.50"/>
        <filter val="19,816.00"/>
        <filter val="194,312.65"/>
        <filter val="197,225.69"/>
        <filter val="2,047.19"/>
        <filter val="2,269.47"/>
        <filter val="2,290.00"/>
        <filter val="2,315.00"/>
        <filter val="2,474.67"/>
        <filter val="2,578.68"/>
        <filter val="2,579.50"/>
        <filter val="2,579.54"/>
        <filter val="2,611.17"/>
        <filter val="2,611.20"/>
        <filter val="2,642.78"/>
        <filter val="2,697.78"/>
        <filter val="2,708.83"/>
        <filter val="2,820.00"/>
        <filter val="20,319.00"/>
        <filter val="20,442.06"/>
        <filter val="205,047.00"/>
        <filter val="21,260.00"/>
        <filter val="21,595.00"/>
        <filter val="21,653.86"/>
        <filter val="214.65"/>
        <filter val="22,586.00"/>
        <filter val="23,141.28"/>
        <filter val="23,950.49"/>
        <filter val="230,000.00"/>
        <filter val="233,190.98"/>
        <filter val="24,558.72"/>
        <filter val="25,383.07"/>
        <filter val="25,541.00"/>
        <filter val="25,676.53"/>
        <filter val="26,407.94"/>
        <filter val="29,244.82"/>
        <filter val="290,743.00"/>
        <filter val="3,015.00"/>
        <filter val="3,046.14"/>
        <filter val="3,047.13"/>
        <filter val="3,182.88"/>
        <filter val="3,234,474.67"/>
        <filter val="3,243.71"/>
        <filter val="3,476.73"/>
        <filter val="3,495.00"/>
        <filter val="3,601.00"/>
        <filter val="3,752.50"/>
        <filter val="3,850.00"/>
        <filter val="3,928.00"/>
        <filter val="3,962.00"/>
        <filter val="3,986.50"/>
        <filter val="30,025.00"/>
        <filter val="30,816.00"/>
        <filter val="32,300.00"/>
        <filter val="32,375.00"/>
        <filter val="324,742.00"/>
        <filter val="34,108.27"/>
        <filter val="34,403.00"/>
        <filter val="34,613.00"/>
        <filter val="346.00"/>
        <filter val="35,226.27"/>
        <filter val="35,631.00"/>
        <filter val="35,707.65"/>
        <filter val="37,024.80"/>
        <filter val="37,431.00"/>
        <filter val="371,650.00"/>
        <filter val="38,076.79"/>
        <filter val="4,019.45"/>
        <filter val="4,213.60"/>
        <filter val="4,264.00"/>
        <filter val="4,607.30"/>
        <filter val="4,702.40"/>
        <filter val="4,790.00"/>
        <filter val="4,918.85"/>
        <filter val="41,166.72"/>
        <filter val="41,833.54"/>
        <filter val="42,784.00"/>
        <filter val="43,181.00"/>
        <filter val="458.00"/>
        <filter val="48,708.00"/>
        <filter val="480.00"/>
        <filter val="483,097.28"/>
        <filter val="5,465.00"/>
        <filter val="5,625.50"/>
        <filter val="5,632.58"/>
        <filter val="5,800.00"/>
        <filter val="50,136.64"/>
        <filter val="50.10"/>
        <filter val="52,158.00"/>
        <filter val="52,728.28"/>
        <filter val="52,778.00"/>
        <filter val="53,524.00"/>
        <filter val="56,534.59"/>
        <filter val="59,503.81"/>
        <filter val="59,709.00"/>
        <filter val="59,893.56"/>
        <filter val="597.42"/>
        <filter val="6,258.83"/>
        <filter val="6,555.00"/>
        <filter val="6,600.25"/>
        <filter val="6,958.36"/>
        <filter val="61,790.72"/>
        <filter val="61.36"/>
        <filter val="63,059.30"/>
        <filter val="63,304.82"/>
        <filter val="64,772.00"/>
        <filter val="658.32"/>
        <filter val="665.00"/>
        <filter val="67,408.00"/>
        <filter val="7,092.00"/>
        <filter val="7,163.50"/>
        <filter val="7,211.71"/>
        <filter val="7,226.00"/>
        <filter val="7,365.00"/>
        <filter val="7,841.00"/>
        <filter val="7,943.00"/>
        <filter val="7,970.03"/>
        <filter val="742.19"/>
        <filter val="76,025.00"/>
        <filter val="76,785.30"/>
        <filter val="762,583.05"/>
        <filter val="8,037.89"/>
        <filter val="8,141.40"/>
        <filter val="8,419.30"/>
        <filter val="8,782.79"/>
        <filter val="8,881.97"/>
        <filter val="80,414.00"/>
        <filter val="80,753.00"/>
        <filter val="804.60"/>
        <filter val="81,667.00"/>
        <filter val="82,579.31"/>
        <filter val="82,782.00"/>
        <filter val="860,940.53"/>
        <filter val="9,715.00"/>
        <filter val="95,035.00"/>
        <filter val="95,347.66"/>
      </filters>
    </filterColumn>
  </autoFilter>
  <customSheetViews>
    <customSheetView guid="{6D1DED28-A9AF-40F9-BE49-9FF3E154A839}" filter="1" showAutoFilter="1">
      <pageMargins left="0.7" right="0.7" top="0.75" bottom="0.75" header="0.3" footer="0.3"/>
      <autoFilter ref="A5:AT466" xr:uid="{00000000-0000-0000-0000-000000000000}"/>
    </customSheetView>
  </customSheetViews>
  <mergeCells count="35">
    <mergeCell ref="Q2:Q3"/>
    <mergeCell ref="R2:R3"/>
    <mergeCell ref="S2:S3"/>
    <mergeCell ref="T2:T3"/>
    <mergeCell ref="L2:L3"/>
    <mergeCell ref="M2:M3"/>
    <mergeCell ref="N2:N3"/>
    <mergeCell ref="O2:O3"/>
    <mergeCell ref="P2:P3"/>
    <mergeCell ref="AE2:AH2"/>
    <mergeCell ref="AI2:AL2"/>
    <mergeCell ref="AM2:AP2"/>
    <mergeCell ref="AQ2:AT2"/>
    <mergeCell ref="A1:AT1"/>
    <mergeCell ref="A2:A3"/>
    <mergeCell ref="B2:B3"/>
    <mergeCell ref="C2:C3"/>
    <mergeCell ref="D2:D3"/>
    <mergeCell ref="E2:E3"/>
    <mergeCell ref="F2:F3"/>
    <mergeCell ref="G2:G3"/>
    <mergeCell ref="H2:H3"/>
    <mergeCell ref="I2:I3"/>
    <mergeCell ref="J2:J3"/>
    <mergeCell ref="K2:K3"/>
    <mergeCell ref="Z2:Z3"/>
    <mergeCell ref="AA2:AA3"/>
    <mergeCell ref="AB2:AB3"/>
    <mergeCell ref="AC2:AC3"/>
    <mergeCell ref="AD2:AD3"/>
    <mergeCell ref="U2:U3"/>
    <mergeCell ref="V2:V3"/>
    <mergeCell ref="W2:W3"/>
    <mergeCell ref="X2:X3"/>
    <mergeCell ref="Y2:Y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000"/>
  <sheetViews>
    <sheetView workbookViewId="0"/>
  </sheetViews>
  <sheetFormatPr defaultColWidth="12.625" defaultRowHeight="15" customHeight="1" outlineLevelCol="2" x14ac:dyDescent="0.2"/>
  <cols>
    <col min="1" max="1" width="5.5" customWidth="1"/>
    <col min="4" max="4" width="25.875" customWidth="1"/>
    <col min="5" max="6" width="12.625" outlineLevel="1"/>
    <col min="7" max="9" width="12.625" outlineLevel="2"/>
    <col min="10" max="10" width="21.625" customWidth="1" outlineLevel="1"/>
    <col min="11" max="11" width="12.625" outlineLevel="1"/>
    <col min="12" max="12" width="14.625" customWidth="1" outlineLevel="1"/>
    <col min="13" max="13" width="25.5" customWidth="1" outlineLevel="1"/>
    <col min="14" max="16" width="12.625" outlineLevel="1"/>
  </cols>
  <sheetData>
    <row r="1" spans="1:27" ht="15" customHeight="1" x14ac:dyDescent="0.2">
      <c r="A1" s="159" t="s">
        <v>537</v>
      </c>
      <c r="B1" s="143"/>
      <c r="C1" s="143"/>
      <c r="D1" s="143"/>
      <c r="E1" s="143"/>
      <c r="F1" s="143"/>
      <c r="G1" s="143"/>
      <c r="H1" s="143"/>
      <c r="I1" s="143"/>
      <c r="J1" s="143"/>
      <c r="K1" s="143"/>
      <c r="L1" s="143"/>
      <c r="M1" s="143"/>
      <c r="N1" s="143"/>
      <c r="O1" s="143"/>
      <c r="P1" s="143"/>
      <c r="Q1" s="144"/>
      <c r="R1" s="103"/>
      <c r="S1" s="103"/>
      <c r="T1" s="103"/>
      <c r="U1" s="103"/>
      <c r="V1" s="103"/>
      <c r="W1" s="103"/>
      <c r="X1" s="103"/>
      <c r="Y1" s="103"/>
      <c r="Z1" s="103"/>
      <c r="AA1" s="103"/>
    </row>
    <row r="2" spans="1:27" ht="15" customHeight="1" x14ac:dyDescent="0.2">
      <c r="A2" s="104" t="s">
        <v>0</v>
      </c>
      <c r="B2" s="105" t="s">
        <v>3</v>
      </c>
      <c r="C2" s="104" t="s">
        <v>1</v>
      </c>
      <c r="D2" s="106" t="s">
        <v>538</v>
      </c>
      <c r="E2" s="106" t="s">
        <v>539</v>
      </c>
      <c r="F2" s="104" t="s">
        <v>523</v>
      </c>
      <c r="G2" s="106" t="s">
        <v>540</v>
      </c>
      <c r="H2" s="106" t="s">
        <v>541</v>
      </c>
      <c r="I2" s="106" t="s">
        <v>542</v>
      </c>
      <c r="J2" s="104" t="s">
        <v>543</v>
      </c>
      <c r="K2" s="104" t="s">
        <v>544</v>
      </c>
      <c r="L2" s="106" t="s">
        <v>545</v>
      </c>
      <c r="M2" s="106" t="s">
        <v>546</v>
      </c>
      <c r="N2" s="106" t="s">
        <v>547</v>
      </c>
      <c r="O2" s="106" t="s">
        <v>548</v>
      </c>
      <c r="P2" s="106" t="s">
        <v>549</v>
      </c>
      <c r="Q2" s="107" t="s">
        <v>550</v>
      </c>
      <c r="R2" s="103"/>
      <c r="S2" s="103"/>
      <c r="T2" s="103"/>
      <c r="U2" s="103"/>
      <c r="V2" s="103"/>
      <c r="W2" s="103"/>
      <c r="X2" s="103"/>
      <c r="Y2" s="103"/>
      <c r="Z2" s="103"/>
      <c r="AA2" s="103"/>
    </row>
    <row r="3" spans="1:27" ht="15" customHeight="1" x14ac:dyDescent="0.2">
      <c r="A3" s="105">
        <v>1</v>
      </c>
      <c r="B3" s="108"/>
      <c r="C3" s="108">
        <v>2</v>
      </c>
      <c r="D3" s="105">
        <v>3</v>
      </c>
      <c r="E3" s="108">
        <v>4</v>
      </c>
      <c r="F3" s="105">
        <v>5</v>
      </c>
      <c r="G3" s="108">
        <v>6</v>
      </c>
      <c r="H3" s="105">
        <v>7</v>
      </c>
      <c r="I3" s="108">
        <v>8</v>
      </c>
      <c r="J3" s="105">
        <v>9</v>
      </c>
      <c r="K3" s="108">
        <v>10</v>
      </c>
      <c r="L3" s="105">
        <v>11</v>
      </c>
      <c r="M3" s="108">
        <v>12</v>
      </c>
      <c r="N3" s="105">
        <v>13</v>
      </c>
      <c r="O3" s="108">
        <v>14</v>
      </c>
      <c r="P3" s="105">
        <v>15</v>
      </c>
      <c r="Q3" s="109"/>
      <c r="R3" s="103"/>
      <c r="S3" s="103"/>
      <c r="T3" s="103"/>
      <c r="U3" s="103"/>
      <c r="V3" s="103"/>
      <c r="W3" s="103"/>
      <c r="X3" s="103"/>
      <c r="Y3" s="103"/>
      <c r="Z3" s="103"/>
      <c r="AA3" s="103"/>
    </row>
    <row r="4" spans="1:27" ht="15" customHeight="1" x14ac:dyDescent="0.2">
      <c r="A4" s="110">
        <v>1</v>
      </c>
      <c r="B4" s="111" t="str">
        <f ca="1">IFERROR(__xludf.DUMMYFUNCTION("IMPORTRANGE(""https://docs.google.com/spreadsheets/d/1ZpB0joDVH_P6wgS1qdxv2Cg30eSt21FXcCJZMPEFRM4/edit#gid=85105103&amp;range=D6:D481"", ""'Касса  '!D6:D481"")"),"МинЖКХ")</f>
        <v>МинЖКХ</v>
      </c>
      <c r="C4" s="111" t="str">
        <f ca="1">IFERROR(__xludf.DUMMYFUNCTION("IMPORTRANGE(""https://docs.google.com/spreadsheets/d/1ZpB0joDVH_P6wgS1qdxv2Cg30eSt21FXcCJZMPEFRM4/edit#gid=85105103&amp;range=G6:G481"", ""'Касса  '!G6:G481"")"),"г.о. Фрязино")</f>
        <v>г.о. Фрязино</v>
      </c>
      <c r="D4" s="112" t="str">
        <f ca="1">IFERROR(__xludf.DUMMYFUNCTION("IMPORTRANGE(""https://docs.google.com/spreadsheets/d/1ZpB0joDVH_P6wgS1qdxv2Cg30eSt21FXcCJZMPEFRM4/edit#gid=85105103&amp;range=E6:E481"", ""'Касса  '!E6:E481"")"),"Реконструкция ВЗУ №4 с установкой станции водоподготовки , г. Фрязино,  Окружной проезд, дом 2, стр. 1                                     ")</f>
        <v xml:space="preserve">Реконструкция ВЗУ №4 с установкой станции водоподготовки , г. Фрязино,  Окружной проезд, дом 2, стр. 1                                     </v>
      </c>
      <c r="E4" s="111" t="str">
        <f ca="1">IFERROR(__xludf.DUMMYFUNCTION("IMPORTRANGE(""https://docs.google.com/spreadsheets/d/1ZpB0joDVH_P6wgS1qdxv2Cg30eSt21FXcCJZMPEFRM4/edit#gid=85105103&amp;range=H6:H481"", ""'Касса  '!H6:H481"")"),"2020-2021")</f>
        <v>2020-2021</v>
      </c>
      <c r="F4" s="113">
        <f ca="1">IFERROR(__xludf.DUMMYFUNCTION("IMPORTRANGE(""https://docs.google.com/spreadsheets/d/1ZpB0joDVH_P6wgS1qdxv2Cg30eSt21FXcCJZMPEFRM4/edit#gid=85105103&amp;range=P6:P481"", ""'Касса  '!P6:P481"")"),147800.8)</f>
        <v>147800.79999999999</v>
      </c>
      <c r="G4" s="113">
        <f ca="1">IFERROR(__xludf.DUMMYFUNCTION("IMPORTRANGE(""https://docs.google.com/spreadsheets/d/1ZpB0joDVH_P6wgS1qdxv2Cg30eSt21FXcCJZMPEFRM4/edit#gid=85105103&amp;range=L6:L481"", ""'Касса  '!L6:L481"")"),36950.2)</f>
        <v>36950.199999999997</v>
      </c>
      <c r="H4" s="113">
        <f ca="1">IFERROR(__xludf.DUMMYFUNCTION("IMPORTRANGE(""https://docs.google.com/spreadsheets/d/1ZpB0joDVH_P6wgS1qdxv2Cg30eSt21FXcCJZMPEFRM4/edit#gid=85105103&amp;range=M6:M481"", ""'Касса  '!M6:M481"")"),110850.6)</f>
        <v>110850.6</v>
      </c>
      <c r="I4" s="111" t="str">
        <f ca="1">IFERROR(__xludf.DUMMYFUNCTION("IMPORTRANGE(""https://docs.google.com/spreadsheets/d/1ZpB0joDVH_P6wgS1qdxv2Cg30eSt21FXcCJZMPEFRM4/edit#gid=85105103&amp;range=N6:N481"", ""'Касса  '!N6:N481"")"),"")</f>
        <v/>
      </c>
      <c r="J4" s="113">
        <f ca="1">IFERROR(__xludf.DUMMYFUNCTION("IMPORTRANGE(""https://docs.google.com/spreadsheets/d/1ZpB0joDVH_P6wgS1qdxv2Cg30eSt21FXcCJZMPEFRM4/edit#gid=85105103&amp;range=Z6:Z466"", ""'Касса  '!Z6:Z466"")"),114329.62)</f>
        <v>114329.62</v>
      </c>
      <c r="K4" s="113">
        <f ca="1">IFERROR(__xludf.DUMMYFUNCTION("IMPORTRANGE(""https://docs.google.com/spreadsheets/d/1ZpB0joDVH_P6wgS1qdxv2Cg30eSt21FXcCJZMPEFRM4/edit#gid=85105103&amp;range=Y6:Y466"", ""'Касса  '!Y6:Y466"")"),33471.1799999999)</f>
        <v>33471.179999999898</v>
      </c>
      <c r="L4" s="114">
        <f ca="1">IFERROR(__xludf.DUMMYFUNCTION("IMPORTRANGE(""https://docs.google.com/spreadsheets/d/1ZpB0joDVH_P6wgS1qdxv2Cg30eSt21FXcCJZMPEFRM4/edit#gid=85105103&amp;range=AD6:AD466"", ""'Касса  '!AD6:AD466"")"),0.77353857353952)</f>
        <v>0.77353857353952005</v>
      </c>
      <c r="M4" s="111" t="str">
        <f ca="1">IFERROR(__xludf.DUMMYFUNCTION("IMPORTRANGE(""https://docs.google.com/spreadsheets/d/1ZpB0joDVH_P6wgS1qdxv2Cg30eSt21FXcCJZMPEFRM4/edit#gid=85105103&amp;range=A6:A481"", ""'Касса  '!A6:A481"")"),"Требуется корректировка проекта в части замены технологического оборудования. Протокол ислледования качетсва воды для согласования ТТХ аналогичного оборудования отсутствует.
 Получение РС до 10.12.2020")</f>
        <v>Требуется корректировка проекта в части замены технологического оборудования. Протокол ислледования качетсва воды для согласования ТТХ аналогичного оборудования отсутствует.
 Получение РС до 10.12.2020</v>
      </c>
      <c r="N4" s="111"/>
      <c r="O4" s="111"/>
      <c r="P4" s="111"/>
      <c r="Q4" s="112"/>
      <c r="R4" s="103"/>
      <c r="S4" s="103"/>
      <c r="T4" s="103"/>
      <c r="U4" s="103"/>
      <c r="V4" s="103"/>
      <c r="W4" s="103"/>
      <c r="X4" s="103"/>
      <c r="Y4" s="103"/>
      <c r="Z4" s="103"/>
      <c r="AA4" s="103"/>
    </row>
    <row r="5" spans="1:27" ht="15" customHeight="1" x14ac:dyDescent="0.2">
      <c r="A5" s="110">
        <v>2</v>
      </c>
      <c r="B5" s="111" t="str">
        <f ca="1">IFERROR(__xludf.DUMMYFUNCTION("""COMPUTED_VALUE"""),"МинЖКХ")</f>
        <v>МинЖКХ</v>
      </c>
      <c r="C5" s="111" t="str">
        <f ca="1">IFERROR(__xludf.DUMMYFUNCTION("""COMPUTED_VALUE"""),"г.о. Фрязино")</f>
        <v>г.о. Фрязино</v>
      </c>
      <c r="D5" s="112" t="str">
        <f ca="1">IFERROR(__xludf.DUMMYFUNCTION("""COMPUTED_VALUE"""),"Реконструкция ВЗУ №5 с установкой станции водоподготовки по адресу: Московская область, г. Фрязино, площадь Введенского, д. 1, стр. 1")</f>
        <v>Реконструкция ВЗУ №5 с установкой станции водоподготовки по адресу: Московская область, г. Фрязино, площадь Введенского, д. 1, стр. 1</v>
      </c>
      <c r="E5" s="111" t="str">
        <f ca="1">IFERROR(__xludf.DUMMYFUNCTION("""COMPUTED_VALUE"""),"2020-2021")</f>
        <v>2020-2021</v>
      </c>
      <c r="F5" s="113">
        <f ca="1">IFERROR(__xludf.DUMMYFUNCTION("""COMPUTED_VALUE"""),52728.28)</f>
        <v>52728.28</v>
      </c>
      <c r="G5" s="113">
        <f ca="1">IFERROR(__xludf.DUMMYFUNCTION("""COMPUTED_VALUE"""),13182.08)</f>
        <v>13182.08</v>
      </c>
      <c r="H5" s="113">
        <f ca="1">IFERROR(__xludf.DUMMYFUNCTION("""COMPUTED_VALUE"""),39546.2)</f>
        <v>39546.199999999997</v>
      </c>
      <c r="I5" s="111"/>
      <c r="J5" s="113">
        <f ca="1">IFERROR(__xludf.DUMMYFUNCTION("""COMPUTED_VALUE"""),40614.78)</f>
        <v>40614.78</v>
      </c>
      <c r="K5" s="113">
        <f ca="1">IFERROR(__xludf.DUMMYFUNCTION("""COMPUTED_VALUE"""),12113.4999999999)</f>
        <v>12113.4999999999</v>
      </c>
      <c r="L5" s="114">
        <f ca="1">IFERROR(__xludf.DUMMYFUNCTION("""COMPUTED_VALUE"""),0.770265595615863)</f>
        <v>0.77026559561586305</v>
      </c>
      <c r="M5" s="111" t="str">
        <f ca="1">IFERROR(__xludf.DUMMYFUNCTION("""COMPUTED_VALUE"""),"Прорабатывается вопрос увеличения авансирования под лимиты 2020 года после перераспределения части финансирования с ВЗУ-4.
 Получение РС до 10.12.2020")</f>
        <v>Прорабатывается вопрос увеличения авансирования под лимиты 2020 года после перераспределения части финансирования с ВЗУ-4.
 Получение РС до 10.12.2020</v>
      </c>
      <c r="N5" s="111"/>
      <c r="O5" s="111"/>
      <c r="P5" s="111"/>
      <c r="Q5" s="112"/>
      <c r="R5" s="103"/>
      <c r="S5" s="103"/>
      <c r="T5" s="103"/>
      <c r="U5" s="103"/>
      <c r="V5" s="103"/>
      <c r="W5" s="103"/>
      <c r="X5" s="103"/>
      <c r="Y5" s="103"/>
      <c r="Z5" s="103"/>
      <c r="AA5" s="103"/>
    </row>
    <row r="6" spans="1:27" ht="15" customHeight="1" x14ac:dyDescent="0.2">
      <c r="A6" s="111"/>
      <c r="B6" s="111" t="str">
        <f ca="1">IFERROR(__xludf.DUMMYFUNCTION("""COMPUTED_VALUE"""),"МинЖКХ")</f>
        <v>МинЖКХ</v>
      </c>
      <c r="C6" s="111" t="str">
        <f ca="1">IFERROR(__xludf.DUMMYFUNCTION("""COMPUTED_VALUE""")," г.о. Воскресенск")</f>
        <v xml:space="preserve"> г.о. Воскресенск</v>
      </c>
      <c r="D6" s="111"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f>
        <v>Реконструкция ВЗУ Степанщино Воскресенский м.р., с устройством РЧВ 500 м. куб. и установкой станции обезжелезования; бурение доп. артскважин</v>
      </c>
      <c r="E6" s="111" t="str">
        <f ca="1">IFERROR(__xludf.DUMMYFUNCTION("""COMPUTED_VALUE"""),"2022-2023")</f>
        <v>2022-2023</v>
      </c>
      <c r="F6" s="113">
        <f ca="1">IFERROR(__xludf.DUMMYFUNCTION("""COMPUTED_VALUE"""),0)</f>
        <v>0</v>
      </c>
      <c r="G6" s="113">
        <f ca="1">IFERROR(__xludf.DUMMYFUNCTION("""COMPUTED_VALUE"""),0)</f>
        <v>0</v>
      </c>
      <c r="H6" s="113">
        <f ca="1">IFERROR(__xludf.DUMMYFUNCTION("""COMPUTED_VALUE"""),0)</f>
        <v>0</v>
      </c>
      <c r="I6" s="111"/>
      <c r="J6" s="111">
        <f ca="1">IFERROR(__xludf.DUMMYFUNCTION("""COMPUTED_VALUE"""),0)</f>
        <v>0</v>
      </c>
      <c r="K6" s="113">
        <f ca="1">IFERROR(__xludf.DUMMYFUNCTION("""COMPUTED_VALUE"""),0)</f>
        <v>0</v>
      </c>
      <c r="L6" s="114" t="str">
        <f ca="1">IFERROR(__xludf.DUMMYFUNCTION("""COMPUTED_VALUE"""),"#DIV/0!")</f>
        <v>#DIV/0!</v>
      </c>
      <c r="M6" s="111"/>
      <c r="N6" s="111"/>
      <c r="O6" s="111"/>
      <c r="P6" s="111"/>
      <c r="Q6" s="112"/>
      <c r="R6" s="103"/>
      <c r="S6" s="103"/>
      <c r="T6" s="103"/>
      <c r="U6" s="103"/>
      <c r="V6" s="103"/>
      <c r="W6" s="103"/>
      <c r="X6" s="103"/>
      <c r="Y6" s="103"/>
      <c r="Z6" s="103"/>
      <c r="AA6" s="103"/>
    </row>
    <row r="7" spans="1:27" ht="15" customHeight="1" x14ac:dyDescent="0.2">
      <c r="A7" s="111"/>
      <c r="B7" s="111" t="str">
        <f ca="1">IFERROR(__xludf.DUMMYFUNCTION("""COMPUTED_VALUE"""),"МинЖКХ")</f>
        <v>МинЖКХ</v>
      </c>
      <c r="C7" s="111" t="str">
        <f ca="1">IFERROR(__xludf.DUMMYFUNCTION("""COMPUTED_VALUE"""),"г.о. Егорьевск ")</f>
        <v xml:space="preserve">г.о. Егорьевск </v>
      </c>
      <c r="D7" s="111" t="str">
        <f ca="1">IFERROR(__xludf.DUMMYFUNCTION("""COMPUTED_VALUE"""),"Реконструкция ВЗУ в пгт.Новый, г.о. Егорьевск")</f>
        <v>Реконструкция ВЗУ в пгт.Новый, г.о. Егорьевск</v>
      </c>
      <c r="E7" s="111">
        <f ca="1">IFERROR(__xludf.DUMMYFUNCTION("""COMPUTED_VALUE"""),2023)</f>
        <v>2023</v>
      </c>
      <c r="F7" s="113">
        <f ca="1">IFERROR(__xludf.DUMMYFUNCTION("""COMPUTED_VALUE"""),0)</f>
        <v>0</v>
      </c>
      <c r="G7" s="113">
        <f ca="1">IFERROR(__xludf.DUMMYFUNCTION("""COMPUTED_VALUE"""),0)</f>
        <v>0</v>
      </c>
      <c r="H7" s="113">
        <f ca="1">IFERROR(__xludf.DUMMYFUNCTION("""COMPUTED_VALUE"""),0)</f>
        <v>0</v>
      </c>
      <c r="I7" s="111"/>
      <c r="J7" s="111">
        <f ca="1">IFERROR(__xludf.DUMMYFUNCTION("""COMPUTED_VALUE"""),0)</f>
        <v>0</v>
      </c>
      <c r="K7" s="113">
        <f ca="1">IFERROR(__xludf.DUMMYFUNCTION("""COMPUTED_VALUE"""),0)</f>
        <v>0</v>
      </c>
      <c r="L7" s="114" t="str">
        <f ca="1">IFERROR(__xludf.DUMMYFUNCTION("""COMPUTED_VALUE"""),"#DIV/0!")</f>
        <v>#DIV/0!</v>
      </c>
      <c r="M7" s="111"/>
      <c r="N7" s="111"/>
      <c r="O7" s="111"/>
      <c r="P7" s="111"/>
      <c r="Q7" s="112"/>
      <c r="R7" s="103"/>
      <c r="S7" s="103"/>
      <c r="T7" s="103"/>
      <c r="U7" s="103"/>
      <c r="V7" s="103"/>
      <c r="W7" s="103"/>
      <c r="X7" s="103"/>
      <c r="Y7" s="103"/>
      <c r="Z7" s="103"/>
      <c r="AA7" s="103"/>
    </row>
    <row r="8" spans="1:27" ht="15" customHeight="1" x14ac:dyDescent="0.2">
      <c r="A8" s="111"/>
      <c r="B8" s="111" t="str">
        <f ca="1">IFERROR(__xludf.DUMMYFUNCTION("""COMPUTED_VALUE"""),"МинЖКХ")</f>
        <v>МинЖКХ</v>
      </c>
      <c r="C8" s="111" t="str">
        <f ca="1">IFERROR(__xludf.DUMMYFUNCTION("""COMPUTED_VALUE"""),"г.о. Люберцы")</f>
        <v>г.о. Люберцы</v>
      </c>
      <c r="D8" s="111" t="str">
        <f ca="1">IFERROR(__xludf.DUMMYFUNCTION("""COMPUTED_VALUE"""),"Реконструкция ВЗУ Звездочка скважина №2 д Мотяково, д. б/н г.о. Люберцы")</f>
        <v>Реконструкция ВЗУ Звездочка скважина №2 д Мотяково, д. б/н г.о. Люберцы</v>
      </c>
      <c r="E8" s="111">
        <f ca="1">IFERROR(__xludf.DUMMYFUNCTION("""COMPUTED_VALUE"""),2021)</f>
        <v>2021</v>
      </c>
      <c r="F8" s="113">
        <f ca="1">IFERROR(__xludf.DUMMYFUNCTION("""COMPUTED_VALUE"""),0)</f>
        <v>0</v>
      </c>
      <c r="G8" s="113">
        <f ca="1">IFERROR(__xludf.DUMMYFUNCTION("""COMPUTED_VALUE"""),0)</f>
        <v>0</v>
      </c>
      <c r="H8" s="113">
        <f ca="1">IFERROR(__xludf.DUMMYFUNCTION("""COMPUTED_VALUE"""),0)</f>
        <v>0</v>
      </c>
      <c r="I8" s="111"/>
      <c r="J8" s="111">
        <f ca="1">IFERROR(__xludf.DUMMYFUNCTION("""COMPUTED_VALUE"""),0)</f>
        <v>0</v>
      </c>
      <c r="K8" s="113">
        <f ca="1">IFERROR(__xludf.DUMMYFUNCTION("""COMPUTED_VALUE"""),0)</f>
        <v>0</v>
      </c>
      <c r="L8" s="114" t="str">
        <f ca="1">IFERROR(__xludf.DUMMYFUNCTION("""COMPUTED_VALUE"""),"#DIV/0!")</f>
        <v>#DIV/0!</v>
      </c>
      <c r="M8" s="111"/>
      <c r="N8" s="111"/>
      <c r="O8" s="111"/>
      <c r="P8" s="111"/>
      <c r="Q8" s="112"/>
      <c r="R8" s="103"/>
      <c r="S8" s="103"/>
      <c r="T8" s="103"/>
      <c r="U8" s="103"/>
      <c r="V8" s="103"/>
      <c r="W8" s="103"/>
      <c r="X8" s="103"/>
      <c r="Y8" s="103"/>
      <c r="Z8" s="103"/>
      <c r="AA8" s="103"/>
    </row>
    <row r="9" spans="1:27" ht="15" customHeight="1" x14ac:dyDescent="0.2">
      <c r="A9" s="111"/>
      <c r="B9" s="111" t="str">
        <f ca="1">IFERROR(__xludf.DUMMYFUNCTION("""COMPUTED_VALUE"""),"МинЖКХ")</f>
        <v>МинЖКХ</v>
      </c>
      <c r="C9" s="111" t="str">
        <f ca="1">IFERROR(__xludf.DUMMYFUNCTION("""COMPUTED_VALUE"""),"г.о. Люберцы")</f>
        <v>г.о. Люберцы</v>
      </c>
      <c r="D9" s="111" t="str">
        <f ca="1">IFERROR(__xludf.DUMMYFUNCTION("""COMPUTED_VALUE"""),"Реконструкция ВЗУ №21 д.п. Красково г.о. Люберцы")</f>
        <v>Реконструкция ВЗУ №21 д.п. Красково г.о. Люберцы</v>
      </c>
      <c r="E9" s="111" t="str">
        <f ca="1">IFERROR(__xludf.DUMMYFUNCTION("""COMPUTED_VALUE"""),"2021-2023")</f>
        <v>2021-2023</v>
      </c>
      <c r="F9" s="113">
        <f ca="1">IFERROR(__xludf.DUMMYFUNCTION("""COMPUTED_VALUE"""),0)</f>
        <v>0</v>
      </c>
      <c r="G9" s="113">
        <f ca="1">IFERROR(__xludf.DUMMYFUNCTION("""COMPUTED_VALUE"""),0)</f>
        <v>0</v>
      </c>
      <c r="H9" s="113">
        <f ca="1">IFERROR(__xludf.DUMMYFUNCTION("""COMPUTED_VALUE"""),0)</f>
        <v>0</v>
      </c>
      <c r="I9" s="111"/>
      <c r="J9" s="111">
        <f ca="1">IFERROR(__xludf.DUMMYFUNCTION("""COMPUTED_VALUE"""),0)</f>
        <v>0</v>
      </c>
      <c r="K9" s="113">
        <f ca="1">IFERROR(__xludf.DUMMYFUNCTION("""COMPUTED_VALUE"""),0)</f>
        <v>0</v>
      </c>
      <c r="L9" s="114" t="str">
        <f ca="1">IFERROR(__xludf.DUMMYFUNCTION("""COMPUTED_VALUE"""),"#DIV/0!")</f>
        <v>#DIV/0!</v>
      </c>
      <c r="M9" s="111"/>
      <c r="N9" s="111"/>
      <c r="O9" s="111"/>
      <c r="P9" s="111"/>
      <c r="Q9" s="112"/>
      <c r="R9" s="103"/>
      <c r="S9" s="103"/>
      <c r="T9" s="103"/>
      <c r="U9" s="103"/>
      <c r="V9" s="103"/>
      <c r="W9" s="103"/>
      <c r="X9" s="103"/>
      <c r="Y9" s="103"/>
      <c r="Z9" s="103"/>
      <c r="AA9" s="103"/>
    </row>
    <row r="10" spans="1:27" ht="15" customHeight="1" x14ac:dyDescent="0.2">
      <c r="A10" s="111"/>
      <c r="B10" s="111" t="str">
        <f ca="1">IFERROR(__xludf.DUMMYFUNCTION("""COMPUTED_VALUE"""),"МинЖКХ")</f>
        <v>МинЖКХ</v>
      </c>
      <c r="C10" s="111" t="str">
        <f ca="1">IFERROR(__xludf.DUMMYFUNCTION("""COMPUTED_VALUE"""),"г.о. Люберцы")</f>
        <v>г.о. Люберцы</v>
      </c>
      <c r="D10" s="111" t="str">
        <f ca="1">IFERROR(__xludf.DUMMYFUNCTION("""COMPUTED_VALUE"""),"Реконструкция ВЗУ №11 г.п.Малаховка г.о. Люберцы")</f>
        <v>Реконструкция ВЗУ №11 г.п.Малаховка г.о. Люберцы</v>
      </c>
      <c r="E10" s="111" t="str">
        <f ca="1">IFERROR(__xludf.DUMMYFUNCTION("""COMPUTED_VALUE"""),"Н/Л")</f>
        <v>Н/Л</v>
      </c>
      <c r="F10" s="113">
        <f ca="1">IFERROR(__xludf.DUMMYFUNCTION("""COMPUTED_VALUE"""),0)</f>
        <v>0</v>
      </c>
      <c r="G10" s="113">
        <f ca="1">IFERROR(__xludf.DUMMYFUNCTION("""COMPUTED_VALUE"""),0)</f>
        <v>0</v>
      </c>
      <c r="H10" s="113">
        <f ca="1">IFERROR(__xludf.DUMMYFUNCTION("""COMPUTED_VALUE"""),0)</f>
        <v>0</v>
      </c>
      <c r="I10" s="111"/>
      <c r="J10" s="111">
        <f ca="1">IFERROR(__xludf.DUMMYFUNCTION("""COMPUTED_VALUE"""),0)</f>
        <v>0</v>
      </c>
      <c r="K10" s="113">
        <f ca="1">IFERROR(__xludf.DUMMYFUNCTION("""COMPUTED_VALUE"""),0)</f>
        <v>0</v>
      </c>
      <c r="L10" s="114" t="str">
        <f ca="1">IFERROR(__xludf.DUMMYFUNCTION("""COMPUTED_VALUE"""),"#DIV/0!")</f>
        <v>#DIV/0!</v>
      </c>
      <c r="M10" s="111"/>
      <c r="N10" s="111"/>
      <c r="O10" s="111"/>
      <c r="P10" s="111"/>
      <c r="Q10" s="112"/>
      <c r="R10" s="103"/>
      <c r="S10" s="103"/>
      <c r="T10" s="103"/>
      <c r="U10" s="103"/>
      <c r="V10" s="103"/>
      <c r="W10" s="103"/>
      <c r="X10" s="103"/>
      <c r="Y10" s="103"/>
      <c r="Z10" s="103"/>
      <c r="AA10" s="103"/>
    </row>
    <row r="11" spans="1:27" ht="15" customHeight="1" x14ac:dyDescent="0.2">
      <c r="A11" s="111"/>
      <c r="B11" s="111" t="str">
        <f ca="1">IFERROR(__xludf.DUMMYFUNCTION("""COMPUTED_VALUE"""),"МинЖКХ")</f>
        <v>МинЖКХ</v>
      </c>
      <c r="C11" s="111" t="str">
        <f ca="1">IFERROR(__xludf.DUMMYFUNCTION("""COMPUTED_VALUE"""),"г.о. Люберцы")</f>
        <v>г.о. Люберцы</v>
      </c>
      <c r="D11" s="111" t="str">
        <f ca="1">IFERROR(__xludf.DUMMYFUNCTION("""COMPUTED_VALUE"""),"Реконструкция ВЗУ №5  г.о. Люберцы")</f>
        <v>Реконструкция ВЗУ №5  г.о. Люберцы</v>
      </c>
      <c r="E11" s="111" t="str">
        <f ca="1">IFERROR(__xludf.DUMMYFUNCTION("""COMPUTED_VALUE"""),"Н/Л")</f>
        <v>Н/Л</v>
      </c>
      <c r="F11" s="113">
        <f ca="1">IFERROR(__xludf.DUMMYFUNCTION("""COMPUTED_VALUE"""),0)</f>
        <v>0</v>
      </c>
      <c r="G11" s="113">
        <f ca="1">IFERROR(__xludf.DUMMYFUNCTION("""COMPUTED_VALUE"""),0)</f>
        <v>0</v>
      </c>
      <c r="H11" s="113">
        <f ca="1">IFERROR(__xludf.DUMMYFUNCTION("""COMPUTED_VALUE"""),0)</f>
        <v>0</v>
      </c>
      <c r="I11" s="111"/>
      <c r="J11" s="111">
        <f ca="1">IFERROR(__xludf.DUMMYFUNCTION("""COMPUTED_VALUE"""),0)</f>
        <v>0</v>
      </c>
      <c r="K11" s="113">
        <f ca="1">IFERROR(__xludf.DUMMYFUNCTION("""COMPUTED_VALUE"""),0)</f>
        <v>0</v>
      </c>
      <c r="L11" s="114" t="str">
        <f ca="1">IFERROR(__xludf.DUMMYFUNCTION("""COMPUTED_VALUE"""),"#DIV/0!")</f>
        <v>#DIV/0!</v>
      </c>
      <c r="M11" s="111"/>
      <c r="N11" s="111"/>
      <c r="O11" s="111"/>
      <c r="P11" s="111"/>
      <c r="Q11" s="112"/>
      <c r="R11" s="103"/>
      <c r="S11" s="103"/>
      <c r="T11" s="103"/>
      <c r="U11" s="103"/>
      <c r="V11" s="103"/>
      <c r="W11" s="103"/>
      <c r="X11" s="103"/>
      <c r="Y11" s="103"/>
      <c r="Z11" s="103"/>
      <c r="AA11" s="103"/>
    </row>
    <row r="12" spans="1:27" ht="15" customHeight="1" x14ac:dyDescent="0.2">
      <c r="A12" s="111"/>
      <c r="B12" s="111" t="str">
        <f ca="1">IFERROR(__xludf.DUMMYFUNCTION("""COMPUTED_VALUE"""),"МинЖКХ")</f>
        <v>МинЖКХ</v>
      </c>
      <c r="C12" s="111" t="str">
        <f ca="1">IFERROR(__xludf.DUMMYFUNCTION("""COMPUTED_VALUE"""),"г.о. Люберцы")</f>
        <v>г.о. Люберцы</v>
      </c>
      <c r="D12" s="111" t="str">
        <f ca="1">IFERROR(__xludf.DUMMYFUNCTION("""COMPUTED_VALUE"""),"Реконструкция ВЗУ№20-Томилино  г.о. Люберцы")</f>
        <v>Реконструкция ВЗУ№20-Томилино  г.о. Люберцы</v>
      </c>
      <c r="E12" s="111">
        <f ca="1">IFERROR(__xludf.DUMMYFUNCTION("""COMPUTED_VALUE"""),2022)</f>
        <v>2022</v>
      </c>
      <c r="F12" s="113">
        <f ca="1">IFERROR(__xludf.DUMMYFUNCTION("""COMPUTED_VALUE"""),0)</f>
        <v>0</v>
      </c>
      <c r="G12" s="113">
        <f ca="1">IFERROR(__xludf.DUMMYFUNCTION("""COMPUTED_VALUE"""),0)</f>
        <v>0</v>
      </c>
      <c r="H12" s="113">
        <f ca="1">IFERROR(__xludf.DUMMYFUNCTION("""COMPUTED_VALUE"""),0)</f>
        <v>0</v>
      </c>
      <c r="I12" s="111"/>
      <c r="J12" s="111">
        <f ca="1">IFERROR(__xludf.DUMMYFUNCTION("""COMPUTED_VALUE"""),0)</f>
        <v>0</v>
      </c>
      <c r="K12" s="113">
        <f ca="1">IFERROR(__xludf.DUMMYFUNCTION("""COMPUTED_VALUE"""),0)</f>
        <v>0</v>
      </c>
      <c r="L12" s="114" t="str">
        <f ca="1">IFERROR(__xludf.DUMMYFUNCTION("""COMPUTED_VALUE"""),"#DIV/0!")</f>
        <v>#DIV/0!</v>
      </c>
      <c r="M12" s="111"/>
      <c r="N12" s="111"/>
      <c r="O12" s="111"/>
      <c r="P12" s="111"/>
      <c r="Q12" s="112"/>
      <c r="R12" s="103"/>
      <c r="S12" s="103"/>
      <c r="T12" s="103"/>
      <c r="U12" s="103"/>
      <c r="V12" s="103"/>
      <c r="W12" s="103"/>
      <c r="X12" s="103"/>
      <c r="Y12" s="103"/>
      <c r="Z12" s="103"/>
      <c r="AA12" s="103"/>
    </row>
    <row r="13" spans="1:27" ht="15" customHeight="1" x14ac:dyDescent="0.2">
      <c r="A13" s="111"/>
      <c r="B13" s="111" t="str">
        <f ca="1">IFERROR(__xludf.DUMMYFUNCTION("""COMPUTED_VALUE"""),"МинЖКХ")</f>
        <v>МинЖКХ</v>
      </c>
      <c r="C13" s="111" t="str">
        <f ca="1">IFERROR(__xludf.DUMMYFUNCTION("""COMPUTED_VALUE"""),"г.о. Люберцы")</f>
        <v>г.о. Люберцы</v>
      </c>
      <c r="D13" s="111" t="str">
        <f ca="1">IFERROR(__xludf.DUMMYFUNCTION("""COMPUTED_VALUE"""),"Реконструкция ВЗУ-Птицефабрика  г.о. Люберцы")</f>
        <v>Реконструкция ВЗУ-Птицефабрика  г.о. Люберцы</v>
      </c>
      <c r="E13" s="111">
        <f ca="1">IFERROR(__xludf.DUMMYFUNCTION("""COMPUTED_VALUE"""),2022)</f>
        <v>2022</v>
      </c>
      <c r="F13" s="113">
        <f ca="1">IFERROR(__xludf.DUMMYFUNCTION("""COMPUTED_VALUE"""),0)</f>
        <v>0</v>
      </c>
      <c r="G13" s="113">
        <f ca="1">IFERROR(__xludf.DUMMYFUNCTION("""COMPUTED_VALUE"""),0)</f>
        <v>0</v>
      </c>
      <c r="H13" s="113">
        <f ca="1">IFERROR(__xludf.DUMMYFUNCTION("""COMPUTED_VALUE"""),0)</f>
        <v>0</v>
      </c>
      <c r="I13" s="111"/>
      <c r="J13" s="111">
        <f ca="1">IFERROR(__xludf.DUMMYFUNCTION("""COMPUTED_VALUE"""),0)</f>
        <v>0</v>
      </c>
      <c r="K13" s="113">
        <f ca="1">IFERROR(__xludf.DUMMYFUNCTION("""COMPUTED_VALUE"""),0)</f>
        <v>0</v>
      </c>
      <c r="L13" s="114" t="str">
        <f ca="1">IFERROR(__xludf.DUMMYFUNCTION("""COMPUTED_VALUE"""),"#DIV/0!")</f>
        <v>#DIV/0!</v>
      </c>
      <c r="M13" s="111"/>
      <c r="N13" s="111"/>
      <c r="O13" s="111"/>
      <c r="P13" s="111"/>
      <c r="Q13" s="112"/>
      <c r="R13" s="103"/>
      <c r="S13" s="103"/>
      <c r="T13" s="103"/>
      <c r="U13" s="103"/>
      <c r="V13" s="103"/>
      <c r="W13" s="103"/>
      <c r="X13" s="103"/>
      <c r="Y13" s="103"/>
      <c r="Z13" s="103"/>
      <c r="AA13" s="103"/>
    </row>
    <row r="14" spans="1:27" ht="15" customHeight="1" x14ac:dyDescent="0.2">
      <c r="A14" s="110">
        <v>3</v>
      </c>
      <c r="B14" s="111" t="str">
        <f ca="1">IFERROR(__xludf.DUMMYFUNCTION("""COMPUTED_VALUE"""),"МинЖКХ")</f>
        <v>МинЖКХ</v>
      </c>
      <c r="C14" s="111" t="str">
        <f ca="1">IFERROR(__xludf.DUMMYFUNCTION("""COMPUTED_VALUE"""),"г.о. Люберцы")</f>
        <v>г.о. Люберцы</v>
      </c>
      <c r="D14" s="111" t="str">
        <f ca="1">IFERROR(__xludf.DUMMYFUNCTION("""COMPUTED_VALUE"""),"Строительство ПВНС г. Люберцы по адресу: г. Люберцы, ул. Московская у дома № 1 (в том числе техническое присоединение)")</f>
        <v>Строительство ПВНС г. Люберцы по адресу: г. Люберцы, ул. Московская у дома № 1 (в том числе техническое присоединение)</v>
      </c>
      <c r="E14" s="111" t="str">
        <f ca="1">IFERROR(__xludf.DUMMYFUNCTION("""COMPUTED_VALUE"""),"2020-2021")</f>
        <v>2020-2021</v>
      </c>
      <c r="F14" s="113">
        <f ca="1">IFERROR(__xludf.DUMMYFUNCTION("""COMPUTED_VALUE"""),34108.27)</f>
        <v>34108.269999999997</v>
      </c>
      <c r="G14" s="113">
        <f ca="1">IFERROR(__xludf.DUMMYFUNCTION("""COMPUTED_VALUE"""),8527.07)</f>
        <v>8527.07</v>
      </c>
      <c r="H14" s="113">
        <f ca="1">IFERROR(__xludf.DUMMYFUNCTION("""COMPUTED_VALUE"""),25581.2)</f>
        <v>25581.200000000001</v>
      </c>
      <c r="I14" s="111"/>
      <c r="J14" s="113">
        <f ca="1">IFERROR(__xludf.DUMMYFUNCTION("""COMPUTED_VALUE"""),19570.48)</f>
        <v>19570.48</v>
      </c>
      <c r="K14" s="113">
        <f ca="1">IFERROR(__xludf.DUMMYFUNCTION("""COMPUTED_VALUE"""),14537.79)</f>
        <v>14537.79</v>
      </c>
      <c r="L14" s="114">
        <f ca="1">IFERROR(__xludf.DUMMYFUNCTION("""COMPUTED_VALUE"""),0.573775216391801)</f>
        <v>0.57377521639180096</v>
      </c>
      <c r="M14" s="111" t="str">
        <f ca="1">IFERROR(__xludf.DUMMYFUNCTION("""COMPUTED_VALUE"""),"Отсутсвует ГПР. Прорабатывается вопрос увеличения аванса до 50% после предоставления увеличенной БГ подрядчиком
Получение РС до 30.11.2020")</f>
        <v>Отсутсвует ГПР. Прорабатывается вопрос увеличения аванса до 50% после предоставления увеличенной БГ подрядчиком
Получение РС до 30.11.2020</v>
      </c>
      <c r="N14" s="111"/>
      <c r="O14" s="111"/>
      <c r="P14" s="111"/>
      <c r="Q14" s="112"/>
      <c r="R14" s="103"/>
      <c r="S14" s="103"/>
      <c r="T14" s="103"/>
      <c r="U14" s="103"/>
      <c r="V14" s="103"/>
      <c r="W14" s="103"/>
      <c r="X14" s="103"/>
      <c r="Y14" s="103"/>
      <c r="Z14" s="103"/>
      <c r="AA14" s="103"/>
    </row>
    <row r="15" spans="1:27" ht="15" customHeight="1" x14ac:dyDescent="0.2">
      <c r="A15" s="110">
        <v>4</v>
      </c>
      <c r="B15" s="111" t="str">
        <f ca="1">IFERROR(__xludf.DUMMYFUNCTION("""COMPUTED_VALUE"""),"МинЖКХ")</f>
        <v>МинЖКХ</v>
      </c>
      <c r="C15" s="111" t="str">
        <f ca="1">IFERROR(__xludf.DUMMYFUNCTION("""COMPUTED_VALUE"""),"г.о. Одинцово")</f>
        <v>г.о. Одинцово</v>
      </c>
      <c r="D15" s="111" t="str">
        <f ca="1">IFERROR(__xludf.DUMMYFUNCTION("""COMPUTED_VALUE"""),"Реконструкция ВЗУ-1 г.п. Одинцово Одинцовский г.о.")</f>
        <v>Реконструкция ВЗУ-1 г.п. Одинцово Одинцовский г.о.</v>
      </c>
      <c r="E15" s="111" t="str">
        <f ca="1">IFERROR(__xludf.DUMMYFUNCTION("""COMPUTED_VALUE"""),"2020-2021")</f>
        <v>2020-2021</v>
      </c>
      <c r="F15" s="113">
        <f ca="1">IFERROR(__xludf.DUMMYFUNCTION("""COMPUTED_VALUE"""),145000)</f>
        <v>145000</v>
      </c>
      <c r="G15" s="113">
        <f ca="1">IFERROR(__xludf.DUMMYFUNCTION("""COMPUTED_VALUE"""),36250)</f>
        <v>36250</v>
      </c>
      <c r="H15" s="113">
        <f ca="1">IFERROR(__xludf.DUMMYFUNCTION("""COMPUTED_VALUE"""),108750)</f>
        <v>108750</v>
      </c>
      <c r="I15" s="111"/>
      <c r="J15" s="113">
        <f ca="1">IFERROR(__xludf.DUMMYFUNCTION("""COMPUTED_VALUE"""),135035.08)</f>
        <v>135035.07999999999</v>
      </c>
      <c r="K15" s="113">
        <f ca="1">IFERROR(__xludf.DUMMYFUNCTION("""COMPUTED_VALUE"""),9964.92)</f>
        <v>9964.92</v>
      </c>
      <c r="L15" s="114">
        <f ca="1">IFERROR(__xludf.DUMMYFUNCTION("""COMPUTED_VALUE"""),0.931276413793103)</f>
        <v>0.931276413793103</v>
      </c>
      <c r="M15" s="111" t="str">
        <f ca="1">IFERROR(__xludf.DUMMYFUNCTION("""COMPUTED_VALUE"""),"Получение РС до 10.12.2020")</f>
        <v>Получение РС до 10.12.2020</v>
      </c>
      <c r="N15" s="111"/>
      <c r="O15" s="111"/>
      <c r="P15" s="111"/>
      <c r="Q15" s="112"/>
      <c r="R15" s="103"/>
      <c r="S15" s="103"/>
      <c r="T15" s="103"/>
      <c r="U15" s="103"/>
      <c r="V15" s="103"/>
      <c r="W15" s="103"/>
      <c r="X15" s="103"/>
      <c r="Y15" s="103"/>
      <c r="Z15" s="103"/>
      <c r="AA15" s="103"/>
    </row>
    <row r="16" spans="1:27" ht="15" customHeight="1" x14ac:dyDescent="0.2">
      <c r="A16" s="111"/>
      <c r="B16" s="111" t="str">
        <f ca="1">IFERROR(__xludf.DUMMYFUNCTION("""COMPUTED_VALUE"""),"МинЖКХ")</f>
        <v>МинЖКХ</v>
      </c>
      <c r="C16" s="111" t="str">
        <f ca="1">IFERROR(__xludf.DUMMYFUNCTION("""COMPUTED_VALUE"""),"г.о. Одинцово")</f>
        <v>г.о. Одинцово</v>
      </c>
      <c r="D16" s="111" t="str">
        <f ca="1">IFERROR(__xludf.DUMMYFUNCTION("""COMPUTED_VALUE"""),"Реконструкция ВЗУ-8 г.п. Одинцово Одинцовский г.о.")</f>
        <v>Реконструкция ВЗУ-8 г.п. Одинцово Одинцовский г.о.</v>
      </c>
      <c r="E16" s="111">
        <f ca="1">IFERROR(__xludf.DUMMYFUNCTION("""COMPUTED_VALUE"""),2024)</f>
        <v>2024</v>
      </c>
      <c r="F16" s="113">
        <f ca="1">IFERROR(__xludf.DUMMYFUNCTION("""COMPUTED_VALUE"""),0)</f>
        <v>0</v>
      </c>
      <c r="G16" s="113">
        <f ca="1">IFERROR(__xludf.DUMMYFUNCTION("""COMPUTED_VALUE"""),0)</f>
        <v>0</v>
      </c>
      <c r="H16" s="113">
        <f ca="1">IFERROR(__xludf.DUMMYFUNCTION("""COMPUTED_VALUE"""),0)</f>
        <v>0</v>
      </c>
      <c r="I16" s="111"/>
      <c r="J16" s="111">
        <f ca="1">IFERROR(__xludf.DUMMYFUNCTION("""COMPUTED_VALUE"""),0)</f>
        <v>0</v>
      </c>
      <c r="K16" s="113">
        <f ca="1">IFERROR(__xludf.DUMMYFUNCTION("""COMPUTED_VALUE"""),0)</f>
        <v>0</v>
      </c>
      <c r="L16" s="114" t="str">
        <f ca="1">IFERROR(__xludf.DUMMYFUNCTION("""COMPUTED_VALUE"""),"#DIV/0!")</f>
        <v>#DIV/0!</v>
      </c>
      <c r="M16" s="111"/>
      <c r="N16" s="111"/>
      <c r="O16" s="111"/>
      <c r="P16" s="111"/>
      <c r="Q16" s="112"/>
      <c r="R16" s="103"/>
      <c r="S16" s="103"/>
      <c r="T16" s="103"/>
      <c r="U16" s="103"/>
      <c r="V16" s="103"/>
      <c r="W16" s="103"/>
      <c r="X16" s="103"/>
      <c r="Y16" s="103"/>
      <c r="Z16" s="103"/>
      <c r="AA16" s="103"/>
    </row>
    <row r="17" spans="1:27" ht="15" customHeight="1" x14ac:dyDescent="0.2">
      <c r="A17" s="111"/>
      <c r="B17" s="111" t="str">
        <f ca="1">IFERROR(__xludf.DUMMYFUNCTION("""COMPUTED_VALUE"""),"МинЖКХ")</f>
        <v>МинЖКХ</v>
      </c>
      <c r="C17" s="111" t="str">
        <f ca="1">IFERROR(__xludf.DUMMYFUNCTION("""COMPUTED_VALUE"""),"г.о. Одинцово")</f>
        <v>г.о. Одинцово</v>
      </c>
      <c r="D17" s="111" t="str">
        <f ca="1">IFERROR(__xludf.DUMMYFUNCTION("""COMPUTED_VALUE"""),"Реконструкция ВЗУ-7 г.п. Одинцово Одинцовский г.о.")</f>
        <v>Реконструкция ВЗУ-7 г.п. Одинцово Одинцовский г.о.</v>
      </c>
      <c r="E17" s="111">
        <f ca="1">IFERROR(__xludf.DUMMYFUNCTION("""COMPUTED_VALUE"""),2024)</f>
        <v>2024</v>
      </c>
      <c r="F17" s="113">
        <f ca="1">IFERROR(__xludf.DUMMYFUNCTION("""COMPUTED_VALUE"""),0)</f>
        <v>0</v>
      </c>
      <c r="G17" s="113">
        <f ca="1">IFERROR(__xludf.DUMMYFUNCTION("""COMPUTED_VALUE"""),0)</f>
        <v>0</v>
      </c>
      <c r="H17" s="113">
        <f ca="1">IFERROR(__xludf.DUMMYFUNCTION("""COMPUTED_VALUE"""),0)</f>
        <v>0</v>
      </c>
      <c r="I17" s="111"/>
      <c r="J17" s="111">
        <f ca="1">IFERROR(__xludf.DUMMYFUNCTION("""COMPUTED_VALUE"""),0)</f>
        <v>0</v>
      </c>
      <c r="K17" s="113">
        <f ca="1">IFERROR(__xludf.DUMMYFUNCTION("""COMPUTED_VALUE"""),0)</f>
        <v>0</v>
      </c>
      <c r="L17" s="114" t="str">
        <f ca="1">IFERROR(__xludf.DUMMYFUNCTION("""COMPUTED_VALUE"""),"#DIV/0!")</f>
        <v>#DIV/0!</v>
      </c>
      <c r="M17" s="111"/>
      <c r="N17" s="111"/>
      <c r="O17" s="111"/>
      <c r="P17" s="111"/>
      <c r="Q17" s="112"/>
      <c r="R17" s="103"/>
      <c r="S17" s="103"/>
      <c r="T17" s="103"/>
      <c r="U17" s="103"/>
      <c r="V17" s="103"/>
      <c r="W17" s="103"/>
      <c r="X17" s="103"/>
      <c r="Y17" s="103"/>
      <c r="Z17" s="103"/>
      <c r="AA17" s="103"/>
    </row>
    <row r="18" spans="1:27" ht="15" customHeight="1" x14ac:dyDescent="0.2">
      <c r="A18" s="111"/>
      <c r="B18" s="111" t="str">
        <f ca="1">IFERROR(__xludf.DUMMYFUNCTION("""COMPUTED_VALUE"""),"МинЖКХ")</f>
        <v>МинЖКХ</v>
      </c>
      <c r="C18" s="111" t="str">
        <f ca="1">IFERROR(__xludf.DUMMYFUNCTION("""COMPUTED_VALUE"""),"г.о. Одинцово")</f>
        <v>г.о. Одинцово</v>
      </c>
      <c r="D18" s="111" t="str">
        <f ca="1">IFERROR(__xludf.DUMMYFUNCTION("""COMPUTED_VALUE"""),"Реконструкция ВЗУ-6 г.п. Одинцово Одинцовский г.о.")</f>
        <v>Реконструкция ВЗУ-6 г.п. Одинцово Одинцовский г.о.</v>
      </c>
      <c r="E18" s="111">
        <f ca="1">IFERROR(__xludf.DUMMYFUNCTION("""COMPUTED_VALUE"""),2024)</f>
        <v>2024</v>
      </c>
      <c r="F18" s="113">
        <f ca="1">IFERROR(__xludf.DUMMYFUNCTION("""COMPUTED_VALUE"""),0)</f>
        <v>0</v>
      </c>
      <c r="G18" s="113">
        <f ca="1">IFERROR(__xludf.DUMMYFUNCTION("""COMPUTED_VALUE"""),0)</f>
        <v>0</v>
      </c>
      <c r="H18" s="113">
        <f ca="1">IFERROR(__xludf.DUMMYFUNCTION("""COMPUTED_VALUE"""),0)</f>
        <v>0</v>
      </c>
      <c r="I18" s="111"/>
      <c r="J18" s="111">
        <f ca="1">IFERROR(__xludf.DUMMYFUNCTION("""COMPUTED_VALUE"""),0)</f>
        <v>0</v>
      </c>
      <c r="K18" s="113">
        <f ca="1">IFERROR(__xludf.DUMMYFUNCTION("""COMPUTED_VALUE"""),0)</f>
        <v>0</v>
      </c>
      <c r="L18" s="114" t="str">
        <f ca="1">IFERROR(__xludf.DUMMYFUNCTION("""COMPUTED_VALUE"""),"#DIV/0!")</f>
        <v>#DIV/0!</v>
      </c>
      <c r="M18" s="111"/>
      <c r="N18" s="111"/>
      <c r="O18" s="111"/>
      <c r="P18" s="111"/>
      <c r="Q18" s="112"/>
      <c r="R18" s="103"/>
      <c r="S18" s="103"/>
      <c r="T18" s="103"/>
      <c r="U18" s="103"/>
      <c r="V18" s="103"/>
      <c r="W18" s="103"/>
      <c r="X18" s="103"/>
      <c r="Y18" s="103"/>
      <c r="Z18" s="103"/>
      <c r="AA18" s="103"/>
    </row>
    <row r="19" spans="1:27" ht="15" customHeight="1" x14ac:dyDescent="0.2">
      <c r="A19" s="111"/>
      <c r="B19" s="111" t="str">
        <f ca="1">IFERROR(__xludf.DUMMYFUNCTION("""COMPUTED_VALUE"""),"МинЖКХ")</f>
        <v>МинЖКХ</v>
      </c>
      <c r="C19" s="111" t="str">
        <f ca="1">IFERROR(__xludf.DUMMYFUNCTION("""COMPUTED_VALUE"""),"г.о. Одинцово")</f>
        <v>г.о. Одинцово</v>
      </c>
      <c r="D19" s="111" t="str">
        <f ca="1">IFERROR(__xludf.DUMMYFUNCTION("""COMPUTED_VALUE"""),"Реконструкция ВЗУ-10 г.п. Одинцово Одинцовский г.о.")</f>
        <v>Реконструкция ВЗУ-10 г.п. Одинцово Одинцовский г.о.</v>
      </c>
      <c r="E19" s="111">
        <f ca="1">IFERROR(__xludf.DUMMYFUNCTION("""COMPUTED_VALUE"""),2024)</f>
        <v>2024</v>
      </c>
      <c r="F19" s="113">
        <f ca="1">IFERROR(__xludf.DUMMYFUNCTION("""COMPUTED_VALUE"""),0)</f>
        <v>0</v>
      </c>
      <c r="G19" s="113">
        <f ca="1">IFERROR(__xludf.DUMMYFUNCTION("""COMPUTED_VALUE"""),0)</f>
        <v>0</v>
      </c>
      <c r="H19" s="113">
        <f ca="1">IFERROR(__xludf.DUMMYFUNCTION("""COMPUTED_VALUE"""),0)</f>
        <v>0</v>
      </c>
      <c r="I19" s="111"/>
      <c r="J19" s="111">
        <f ca="1">IFERROR(__xludf.DUMMYFUNCTION("""COMPUTED_VALUE"""),0)</f>
        <v>0</v>
      </c>
      <c r="K19" s="113">
        <f ca="1">IFERROR(__xludf.DUMMYFUNCTION("""COMPUTED_VALUE"""),0)</f>
        <v>0</v>
      </c>
      <c r="L19" s="114" t="str">
        <f ca="1">IFERROR(__xludf.DUMMYFUNCTION("""COMPUTED_VALUE"""),"#DIV/0!")</f>
        <v>#DIV/0!</v>
      </c>
      <c r="M19" s="111"/>
      <c r="N19" s="111"/>
      <c r="O19" s="111"/>
      <c r="P19" s="111"/>
      <c r="Q19" s="112"/>
      <c r="R19" s="103"/>
      <c r="S19" s="103"/>
      <c r="T19" s="103"/>
      <c r="U19" s="103"/>
      <c r="V19" s="103"/>
      <c r="W19" s="103"/>
      <c r="X19" s="103"/>
      <c r="Y19" s="103"/>
      <c r="Z19" s="103"/>
      <c r="AA19" s="103"/>
    </row>
    <row r="20" spans="1:27" ht="15" customHeight="1" x14ac:dyDescent="0.2">
      <c r="A20" s="111"/>
      <c r="B20" s="111" t="str">
        <f ca="1">IFERROR(__xludf.DUMMYFUNCTION("""COMPUTED_VALUE"""),"МинЖКХ")</f>
        <v>МинЖКХ</v>
      </c>
      <c r="C20" s="111" t="str">
        <f ca="1">IFERROR(__xludf.DUMMYFUNCTION("""COMPUTED_VALUE"""),"г.о. Одинцово")</f>
        <v>г.о. Одинцово</v>
      </c>
      <c r="D20" s="111" t="str">
        <f ca="1">IFERROR(__xludf.DUMMYFUNCTION("""COMPUTED_VALUE"""),"Реконструкция ВЗУ ВНИИССОК г.п. Лесной городок Одинцовский г.о.")</f>
        <v>Реконструкция ВЗУ ВНИИССОК г.п. Лесной городок Одинцовский г.о.</v>
      </c>
      <c r="E20" s="111">
        <f ca="1">IFERROR(__xludf.DUMMYFUNCTION("""COMPUTED_VALUE"""),2024)</f>
        <v>2024</v>
      </c>
      <c r="F20" s="113">
        <f ca="1">IFERROR(__xludf.DUMMYFUNCTION("""COMPUTED_VALUE"""),0)</f>
        <v>0</v>
      </c>
      <c r="G20" s="113">
        <f ca="1">IFERROR(__xludf.DUMMYFUNCTION("""COMPUTED_VALUE"""),0)</f>
        <v>0</v>
      </c>
      <c r="H20" s="113">
        <f ca="1">IFERROR(__xludf.DUMMYFUNCTION("""COMPUTED_VALUE"""),0)</f>
        <v>0</v>
      </c>
      <c r="I20" s="111"/>
      <c r="J20" s="111">
        <f ca="1">IFERROR(__xludf.DUMMYFUNCTION("""COMPUTED_VALUE"""),0)</f>
        <v>0</v>
      </c>
      <c r="K20" s="113">
        <f ca="1">IFERROR(__xludf.DUMMYFUNCTION("""COMPUTED_VALUE"""),0)</f>
        <v>0</v>
      </c>
      <c r="L20" s="114" t="str">
        <f ca="1">IFERROR(__xludf.DUMMYFUNCTION("""COMPUTED_VALUE"""),"#DIV/0!")</f>
        <v>#DIV/0!</v>
      </c>
      <c r="M20" s="111"/>
      <c r="N20" s="111"/>
      <c r="O20" s="111"/>
      <c r="P20" s="111"/>
      <c r="Q20" s="112"/>
      <c r="R20" s="103"/>
      <c r="S20" s="103"/>
      <c r="T20" s="103"/>
      <c r="U20" s="103"/>
      <c r="V20" s="103"/>
      <c r="W20" s="103"/>
      <c r="X20" s="103"/>
      <c r="Y20" s="103"/>
      <c r="Z20" s="103"/>
      <c r="AA20" s="103"/>
    </row>
    <row r="21" spans="1:27" ht="15" customHeight="1" x14ac:dyDescent="0.2">
      <c r="A21" s="111"/>
      <c r="B21" s="111" t="str">
        <f ca="1">IFERROR(__xludf.DUMMYFUNCTION("""COMPUTED_VALUE"""),"МинЖКХ")</f>
        <v>МинЖКХ</v>
      </c>
      <c r="C21" s="111" t="str">
        <f ca="1">IFERROR(__xludf.DUMMYFUNCTION("""COMPUTED_VALUE"""),"г.о. Одинцово")</f>
        <v>г.о. Одинцово</v>
      </c>
      <c r="D21" s="111" t="str">
        <f ca="1">IFERROR(__xludf.DUMMYFUNCTION("""COMPUTED_VALUE"""),"Реконструкция ВЗУ 1 г.п. Большие Вяземы Одинцовский г.о.")</f>
        <v>Реконструкция ВЗУ 1 г.п. Большие Вяземы Одинцовский г.о.</v>
      </c>
      <c r="E21" s="111">
        <f ca="1">IFERROR(__xludf.DUMMYFUNCTION("""COMPUTED_VALUE"""),2024)</f>
        <v>2024</v>
      </c>
      <c r="F21" s="113">
        <f ca="1">IFERROR(__xludf.DUMMYFUNCTION("""COMPUTED_VALUE"""),0)</f>
        <v>0</v>
      </c>
      <c r="G21" s="113">
        <f ca="1">IFERROR(__xludf.DUMMYFUNCTION("""COMPUTED_VALUE"""),0)</f>
        <v>0</v>
      </c>
      <c r="H21" s="113">
        <f ca="1">IFERROR(__xludf.DUMMYFUNCTION("""COMPUTED_VALUE"""),0)</f>
        <v>0</v>
      </c>
      <c r="I21" s="111"/>
      <c r="J21" s="111">
        <f ca="1">IFERROR(__xludf.DUMMYFUNCTION("""COMPUTED_VALUE"""),0)</f>
        <v>0</v>
      </c>
      <c r="K21" s="113">
        <f ca="1">IFERROR(__xludf.DUMMYFUNCTION("""COMPUTED_VALUE"""),0)</f>
        <v>0</v>
      </c>
      <c r="L21" s="114" t="str">
        <f ca="1">IFERROR(__xludf.DUMMYFUNCTION("""COMPUTED_VALUE"""),"#DIV/0!")</f>
        <v>#DIV/0!</v>
      </c>
      <c r="M21" s="111"/>
      <c r="N21" s="111"/>
      <c r="O21" s="111"/>
      <c r="P21" s="111"/>
      <c r="Q21" s="112"/>
      <c r="R21" s="103"/>
      <c r="S21" s="103"/>
      <c r="T21" s="103"/>
      <c r="U21" s="103"/>
      <c r="V21" s="103"/>
      <c r="W21" s="103"/>
      <c r="X21" s="103"/>
      <c r="Y21" s="103"/>
      <c r="Z21" s="103"/>
      <c r="AA21" s="103"/>
    </row>
    <row r="22" spans="1:27" ht="15" customHeight="1" x14ac:dyDescent="0.2">
      <c r="A22" s="111"/>
      <c r="B22" s="111" t="str">
        <f ca="1">IFERROR(__xludf.DUMMYFUNCTION("""COMPUTED_VALUE"""),"МинЖКХ")</f>
        <v>МинЖКХ</v>
      </c>
      <c r="C22" s="111" t="str">
        <f ca="1">IFERROR(__xludf.DUMMYFUNCTION("""COMPUTED_VALUE"""),"г.о. Одинцово")</f>
        <v>г.о. Одинцово</v>
      </c>
      <c r="D22" s="111" t="str">
        <f ca="1">IFERROR(__xludf.DUMMYFUNCTION("""COMPUTED_VALUE"""),"Реконструкция ВЗУ 2 г.п. Большие Вяземы Одинцовский г.о.")</f>
        <v>Реконструкция ВЗУ 2 г.п. Большие Вяземы Одинцовский г.о.</v>
      </c>
      <c r="E22" s="111">
        <f ca="1">IFERROR(__xludf.DUMMYFUNCTION("""COMPUTED_VALUE"""),2024)</f>
        <v>2024</v>
      </c>
      <c r="F22" s="113">
        <f ca="1">IFERROR(__xludf.DUMMYFUNCTION("""COMPUTED_VALUE"""),0)</f>
        <v>0</v>
      </c>
      <c r="G22" s="113">
        <f ca="1">IFERROR(__xludf.DUMMYFUNCTION("""COMPUTED_VALUE"""),0)</f>
        <v>0</v>
      </c>
      <c r="H22" s="113">
        <f ca="1">IFERROR(__xludf.DUMMYFUNCTION("""COMPUTED_VALUE"""),0)</f>
        <v>0</v>
      </c>
      <c r="I22" s="111"/>
      <c r="J22" s="111">
        <f ca="1">IFERROR(__xludf.DUMMYFUNCTION("""COMPUTED_VALUE"""),0)</f>
        <v>0</v>
      </c>
      <c r="K22" s="113">
        <f ca="1">IFERROR(__xludf.DUMMYFUNCTION("""COMPUTED_VALUE"""),0)</f>
        <v>0</v>
      </c>
      <c r="L22" s="114" t="str">
        <f ca="1">IFERROR(__xludf.DUMMYFUNCTION("""COMPUTED_VALUE"""),"#DIV/0!")</f>
        <v>#DIV/0!</v>
      </c>
      <c r="M22" s="111"/>
      <c r="N22" s="111"/>
      <c r="O22" s="111"/>
      <c r="P22" s="111"/>
      <c r="Q22" s="112"/>
      <c r="R22" s="103"/>
      <c r="S22" s="103"/>
      <c r="T22" s="103"/>
      <c r="U22" s="103"/>
      <c r="V22" s="103"/>
      <c r="W22" s="103"/>
      <c r="X22" s="103"/>
      <c r="Y22" s="103"/>
      <c r="Z22" s="103"/>
      <c r="AA22" s="103"/>
    </row>
    <row r="23" spans="1:27" ht="15" customHeight="1" x14ac:dyDescent="0.2">
      <c r="A23" s="111"/>
      <c r="B23" s="111" t="str">
        <f ca="1">IFERROR(__xludf.DUMMYFUNCTION("""COMPUTED_VALUE"""),"МинЖКХ")</f>
        <v>МинЖКХ</v>
      </c>
      <c r="C23" s="111" t="str">
        <f ca="1">IFERROR(__xludf.DUMMYFUNCTION("""COMPUTED_VALUE"""),"г.о. Одинцово")</f>
        <v>г.о. Одинцово</v>
      </c>
      <c r="D23" s="111" t="str">
        <f ca="1">IFERROR(__xludf.DUMMYFUNCTION("""COMPUTED_VALUE"""),"Реконструкция ВЗУ 9 Одинцовский г.о.")</f>
        <v>Реконструкция ВЗУ 9 Одинцовский г.о.</v>
      </c>
      <c r="E23" s="111">
        <f ca="1">IFERROR(__xludf.DUMMYFUNCTION("""COMPUTED_VALUE"""),2024)</f>
        <v>2024</v>
      </c>
      <c r="F23" s="113">
        <f ca="1">IFERROR(__xludf.DUMMYFUNCTION("""COMPUTED_VALUE"""),0)</f>
        <v>0</v>
      </c>
      <c r="G23" s="113">
        <f ca="1">IFERROR(__xludf.DUMMYFUNCTION("""COMPUTED_VALUE"""),0)</f>
        <v>0</v>
      </c>
      <c r="H23" s="113">
        <f ca="1">IFERROR(__xludf.DUMMYFUNCTION("""COMPUTED_VALUE"""),0)</f>
        <v>0</v>
      </c>
      <c r="I23" s="111"/>
      <c r="J23" s="111">
        <f ca="1">IFERROR(__xludf.DUMMYFUNCTION("""COMPUTED_VALUE"""),0)</f>
        <v>0</v>
      </c>
      <c r="K23" s="113">
        <f ca="1">IFERROR(__xludf.DUMMYFUNCTION("""COMPUTED_VALUE"""),0)</f>
        <v>0</v>
      </c>
      <c r="L23" s="114" t="str">
        <f ca="1">IFERROR(__xludf.DUMMYFUNCTION("""COMPUTED_VALUE"""),"#DIV/0!")</f>
        <v>#DIV/0!</v>
      </c>
      <c r="M23" s="111"/>
      <c r="N23" s="111"/>
      <c r="O23" s="111"/>
      <c r="P23" s="111"/>
      <c r="Q23" s="112"/>
      <c r="R23" s="103"/>
      <c r="S23" s="103"/>
      <c r="T23" s="103"/>
      <c r="U23" s="103"/>
      <c r="V23" s="103"/>
      <c r="W23" s="103"/>
      <c r="X23" s="103"/>
      <c r="Y23" s="103"/>
      <c r="Z23" s="103"/>
      <c r="AA23" s="103"/>
    </row>
    <row r="24" spans="1:27" ht="15" customHeight="1" x14ac:dyDescent="0.2">
      <c r="A24" s="111"/>
      <c r="B24" s="111" t="str">
        <f ca="1">IFERROR(__xludf.DUMMYFUNCTION("""COMPUTED_VALUE"""),"МинЖКХ")</f>
        <v>МинЖКХ</v>
      </c>
      <c r="C24" s="111" t="str">
        <f ca="1">IFERROR(__xludf.DUMMYFUNCTION("""COMPUTED_VALUE"""),"г.о. Одинцово")</f>
        <v>г.о. Одинцово</v>
      </c>
      <c r="D24" s="111" t="str">
        <f ca="1">IFERROR(__xludf.DUMMYFUNCTION("""COMPUTED_VALUE"""),"Реконструкция ВЗУ В.Ромашково Одинцовский г.о.")</f>
        <v>Реконструкция ВЗУ В.Ромашково Одинцовский г.о.</v>
      </c>
      <c r="E24" s="111">
        <f ca="1">IFERROR(__xludf.DUMMYFUNCTION("""COMPUTED_VALUE"""),2024)</f>
        <v>2024</v>
      </c>
      <c r="F24" s="113">
        <f ca="1">IFERROR(__xludf.DUMMYFUNCTION("""COMPUTED_VALUE"""),0)</f>
        <v>0</v>
      </c>
      <c r="G24" s="113">
        <f ca="1">IFERROR(__xludf.DUMMYFUNCTION("""COMPUTED_VALUE"""),0)</f>
        <v>0</v>
      </c>
      <c r="H24" s="113">
        <f ca="1">IFERROR(__xludf.DUMMYFUNCTION("""COMPUTED_VALUE"""),0)</f>
        <v>0</v>
      </c>
      <c r="I24" s="111"/>
      <c r="J24" s="111">
        <f ca="1">IFERROR(__xludf.DUMMYFUNCTION("""COMPUTED_VALUE"""),0)</f>
        <v>0</v>
      </c>
      <c r="K24" s="113">
        <f ca="1">IFERROR(__xludf.DUMMYFUNCTION("""COMPUTED_VALUE"""),0)</f>
        <v>0</v>
      </c>
      <c r="L24" s="114" t="str">
        <f ca="1">IFERROR(__xludf.DUMMYFUNCTION("""COMPUTED_VALUE"""),"#DIV/0!")</f>
        <v>#DIV/0!</v>
      </c>
      <c r="M24" s="111"/>
      <c r="N24" s="111"/>
      <c r="O24" s="111"/>
      <c r="P24" s="111"/>
      <c r="Q24" s="112"/>
      <c r="R24" s="103"/>
      <c r="S24" s="103"/>
      <c r="T24" s="103"/>
      <c r="U24" s="103"/>
      <c r="V24" s="103"/>
      <c r="W24" s="103"/>
      <c r="X24" s="103"/>
      <c r="Y24" s="103"/>
      <c r="Z24" s="103"/>
      <c r="AA24" s="103"/>
    </row>
    <row r="25" spans="1:27" ht="15" customHeight="1" x14ac:dyDescent="0.2">
      <c r="A25" s="111"/>
      <c r="B25" s="111" t="str">
        <f ca="1">IFERROR(__xludf.DUMMYFUNCTION("""COMPUTED_VALUE"""),"МинЖКХ")</f>
        <v>МинЖКХ</v>
      </c>
      <c r="C25" s="111" t="str">
        <f ca="1">IFERROR(__xludf.DUMMYFUNCTION("""COMPUTED_VALUE"""),"г.о. Одинцово")</f>
        <v>г.о. Одинцово</v>
      </c>
      <c r="D25" s="111" t="str">
        <f ca="1">IFERROR(__xludf.DUMMYFUNCTION("""COMPUTED_VALUE"""),"Реконструкция ВЗУ Н. Ромашково Одинцовский г.о.")</f>
        <v>Реконструкция ВЗУ Н. Ромашково Одинцовский г.о.</v>
      </c>
      <c r="E25" s="111">
        <f ca="1">IFERROR(__xludf.DUMMYFUNCTION("""COMPUTED_VALUE"""),2024)</f>
        <v>2024</v>
      </c>
      <c r="F25" s="113">
        <f ca="1">IFERROR(__xludf.DUMMYFUNCTION("""COMPUTED_VALUE"""),0)</f>
        <v>0</v>
      </c>
      <c r="G25" s="113">
        <f ca="1">IFERROR(__xludf.DUMMYFUNCTION("""COMPUTED_VALUE"""),0)</f>
        <v>0</v>
      </c>
      <c r="H25" s="113">
        <f ca="1">IFERROR(__xludf.DUMMYFUNCTION("""COMPUTED_VALUE"""),0)</f>
        <v>0</v>
      </c>
      <c r="I25" s="111"/>
      <c r="J25" s="111">
        <f ca="1">IFERROR(__xludf.DUMMYFUNCTION("""COMPUTED_VALUE"""),0)</f>
        <v>0</v>
      </c>
      <c r="K25" s="113">
        <f ca="1">IFERROR(__xludf.DUMMYFUNCTION("""COMPUTED_VALUE"""),0)</f>
        <v>0</v>
      </c>
      <c r="L25" s="114" t="str">
        <f ca="1">IFERROR(__xludf.DUMMYFUNCTION("""COMPUTED_VALUE"""),"#DIV/0!")</f>
        <v>#DIV/0!</v>
      </c>
      <c r="M25" s="111"/>
      <c r="N25" s="111"/>
      <c r="O25" s="111"/>
      <c r="P25" s="111"/>
      <c r="Q25" s="112"/>
      <c r="R25" s="103"/>
      <c r="S25" s="103"/>
      <c r="T25" s="103"/>
      <c r="U25" s="103"/>
      <c r="V25" s="103"/>
      <c r="W25" s="103"/>
      <c r="X25" s="103"/>
      <c r="Y25" s="103"/>
      <c r="Z25" s="103"/>
      <c r="AA25" s="103"/>
    </row>
    <row r="26" spans="1:27" ht="15" customHeight="1" x14ac:dyDescent="0.2">
      <c r="A26" s="111"/>
      <c r="B26" s="111" t="str">
        <f ca="1">IFERROR(__xludf.DUMMYFUNCTION("""COMPUTED_VALUE"""),"МинЖКХ")</f>
        <v>МинЖКХ</v>
      </c>
      <c r="C26" s="111" t="str">
        <f ca="1">IFERROR(__xludf.DUMMYFUNCTION("""COMPUTED_VALUE"""),"г.о. Одинцово")</f>
        <v>г.о. Одинцово</v>
      </c>
      <c r="D26" s="111" t="str">
        <f ca="1">IFERROR(__xludf.DUMMYFUNCTION("""COMPUTED_VALUE"""),"Реконструкция ВЗУ Ликино п. Жаворонковские Одинцовский г.о.")</f>
        <v>Реконструкция ВЗУ Ликино п. Жаворонковские Одинцовский г.о.</v>
      </c>
      <c r="E26" s="111">
        <f ca="1">IFERROR(__xludf.DUMMYFUNCTION("""COMPUTED_VALUE"""),2024)</f>
        <v>2024</v>
      </c>
      <c r="F26" s="113">
        <f ca="1">IFERROR(__xludf.DUMMYFUNCTION("""COMPUTED_VALUE"""),0)</f>
        <v>0</v>
      </c>
      <c r="G26" s="113">
        <f ca="1">IFERROR(__xludf.DUMMYFUNCTION("""COMPUTED_VALUE"""),0)</f>
        <v>0</v>
      </c>
      <c r="H26" s="113">
        <f ca="1">IFERROR(__xludf.DUMMYFUNCTION("""COMPUTED_VALUE"""),0)</f>
        <v>0</v>
      </c>
      <c r="I26" s="111"/>
      <c r="J26" s="111">
        <f ca="1">IFERROR(__xludf.DUMMYFUNCTION("""COMPUTED_VALUE"""),0)</f>
        <v>0</v>
      </c>
      <c r="K26" s="113">
        <f ca="1">IFERROR(__xludf.DUMMYFUNCTION("""COMPUTED_VALUE"""),0)</f>
        <v>0</v>
      </c>
      <c r="L26" s="114" t="str">
        <f ca="1">IFERROR(__xludf.DUMMYFUNCTION("""COMPUTED_VALUE"""),"#DIV/0!")</f>
        <v>#DIV/0!</v>
      </c>
      <c r="M26" s="111"/>
      <c r="N26" s="111"/>
      <c r="O26" s="111"/>
      <c r="P26" s="111"/>
      <c r="Q26" s="112"/>
      <c r="R26" s="103"/>
      <c r="S26" s="103"/>
      <c r="T26" s="103"/>
      <c r="U26" s="103"/>
      <c r="V26" s="103"/>
      <c r="W26" s="103"/>
      <c r="X26" s="103"/>
      <c r="Y26" s="103"/>
      <c r="Z26" s="103"/>
      <c r="AA26" s="103"/>
    </row>
    <row r="27" spans="1:27" ht="15" customHeight="1" x14ac:dyDescent="0.2">
      <c r="A27" s="111"/>
      <c r="B27" s="111" t="str">
        <f ca="1">IFERROR(__xludf.DUMMYFUNCTION("""COMPUTED_VALUE"""),"МинЖКХ")</f>
        <v>МинЖКХ</v>
      </c>
      <c r="C27" s="111" t="str">
        <f ca="1">IFERROR(__xludf.DUMMYFUNCTION("""COMPUTED_VALUE"""),"г.о. Одинцово")</f>
        <v>г.о. Одинцово</v>
      </c>
      <c r="D27" s="111" t="str">
        <f ca="1">IFERROR(__xludf.DUMMYFUNCTION("""COMPUTED_VALUE"""),"Реконструкция ВЗУ ПМС-4 п. Часцовское Одинцовский г.о.")</f>
        <v>Реконструкция ВЗУ ПМС-4 п. Часцовское Одинцовский г.о.</v>
      </c>
      <c r="E27" s="111">
        <f ca="1">IFERROR(__xludf.DUMMYFUNCTION("""COMPUTED_VALUE"""),2024)</f>
        <v>2024</v>
      </c>
      <c r="F27" s="113">
        <f ca="1">IFERROR(__xludf.DUMMYFUNCTION("""COMPUTED_VALUE"""),0)</f>
        <v>0</v>
      </c>
      <c r="G27" s="113">
        <f ca="1">IFERROR(__xludf.DUMMYFUNCTION("""COMPUTED_VALUE"""),0)</f>
        <v>0</v>
      </c>
      <c r="H27" s="113">
        <f ca="1">IFERROR(__xludf.DUMMYFUNCTION("""COMPUTED_VALUE"""),0)</f>
        <v>0</v>
      </c>
      <c r="I27" s="111"/>
      <c r="J27" s="111">
        <f ca="1">IFERROR(__xludf.DUMMYFUNCTION("""COMPUTED_VALUE"""),0)</f>
        <v>0</v>
      </c>
      <c r="K27" s="113">
        <f ca="1">IFERROR(__xludf.DUMMYFUNCTION("""COMPUTED_VALUE"""),0)</f>
        <v>0</v>
      </c>
      <c r="L27" s="114" t="str">
        <f ca="1">IFERROR(__xludf.DUMMYFUNCTION("""COMPUTED_VALUE"""),"#DIV/0!")</f>
        <v>#DIV/0!</v>
      </c>
      <c r="M27" s="111"/>
      <c r="N27" s="111"/>
      <c r="O27" s="111"/>
      <c r="P27" s="111"/>
      <c r="Q27" s="112"/>
      <c r="R27" s="103"/>
      <c r="S27" s="103"/>
      <c r="T27" s="103"/>
      <c r="U27" s="103"/>
      <c r="V27" s="103"/>
      <c r="W27" s="103"/>
      <c r="X27" s="103"/>
      <c r="Y27" s="103"/>
      <c r="Z27" s="103"/>
      <c r="AA27" s="103"/>
    </row>
    <row r="28" spans="1:27" ht="15" customHeight="1" x14ac:dyDescent="0.2">
      <c r="A28" s="111"/>
      <c r="B28" s="111" t="str">
        <f ca="1">IFERROR(__xludf.DUMMYFUNCTION("""COMPUTED_VALUE"""),"МинЖКХ")</f>
        <v>МинЖКХ</v>
      </c>
      <c r="C28" s="111" t="str">
        <f ca="1">IFERROR(__xludf.DUMMYFUNCTION("""COMPUTED_VALUE"""),"г.о. Одинцово")</f>
        <v>г.о. Одинцово</v>
      </c>
      <c r="D28" s="111" t="str">
        <f ca="1">IFERROR(__xludf.DUMMYFUNCTION("""COMPUTED_VALUE"""),"Реконструкция ВЗУ Аниково г.Кубинка Одинцовский г.о.")</f>
        <v>Реконструкция ВЗУ Аниково г.Кубинка Одинцовский г.о.</v>
      </c>
      <c r="E28" s="111">
        <f ca="1">IFERROR(__xludf.DUMMYFUNCTION("""COMPUTED_VALUE"""),2024)</f>
        <v>2024</v>
      </c>
      <c r="F28" s="113">
        <f ca="1">IFERROR(__xludf.DUMMYFUNCTION("""COMPUTED_VALUE"""),0)</f>
        <v>0</v>
      </c>
      <c r="G28" s="113">
        <f ca="1">IFERROR(__xludf.DUMMYFUNCTION("""COMPUTED_VALUE"""),0)</f>
        <v>0</v>
      </c>
      <c r="H28" s="113">
        <f ca="1">IFERROR(__xludf.DUMMYFUNCTION("""COMPUTED_VALUE"""),0)</f>
        <v>0</v>
      </c>
      <c r="I28" s="111"/>
      <c r="J28" s="111">
        <f ca="1">IFERROR(__xludf.DUMMYFUNCTION("""COMPUTED_VALUE"""),0)</f>
        <v>0</v>
      </c>
      <c r="K28" s="113">
        <f ca="1">IFERROR(__xludf.DUMMYFUNCTION("""COMPUTED_VALUE"""),0)</f>
        <v>0</v>
      </c>
      <c r="L28" s="114" t="str">
        <f ca="1">IFERROR(__xludf.DUMMYFUNCTION("""COMPUTED_VALUE"""),"#DIV/0!")</f>
        <v>#DIV/0!</v>
      </c>
      <c r="M28" s="111"/>
      <c r="N28" s="111"/>
      <c r="O28" s="111"/>
      <c r="P28" s="111"/>
      <c r="Q28" s="112"/>
      <c r="R28" s="103"/>
      <c r="S28" s="103"/>
      <c r="T28" s="103"/>
      <c r="U28" s="103"/>
      <c r="V28" s="103"/>
      <c r="W28" s="103"/>
      <c r="X28" s="103"/>
      <c r="Y28" s="103"/>
      <c r="Z28" s="103"/>
      <c r="AA28" s="103"/>
    </row>
    <row r="29" spans="1:27" ht="15" customHeight="1" x14ac:dyDescent="0.2">
      <c r="A29" s="110">
        <v>5</v>
      </c>
      <c r="B29" s="111" t="str">
        <f ca="1">IFERROR(__xludf.DUMMYFUNCTION("""COMPUTED_VALUE"""),"МинЖКХ")</f>
        <v>МинЖКХ</v>
      </c>
      <c r="C29" s="111" t="str">
        <f ca="1">IFERROR(__xludf.DUMMYFUNCTION("""COMPUTED_VALUE"""),"г.о. Чехов")</f>
        <v>г.о. Чехов</v>
      </c>
      <c r="D29" s="111" t="str">
        <f ca="1">IFERROR(__xludf.DUMMYFUNCTION("""COMPUTED_VALUE"""),"Строительство станции второго подъема и станции обезжелезивания по адресу: Московская область, Чеховский район, п. Мещерское")</f>
        <v>Строительство станции второго подъема и станции обезжелезивания по адресу: Московская область, Чеховский район, п. Мещерское</v>
      </c>
      <c r="E29" s="111" t="str">
        <f ca="1">IFERROR(__xludf.DUMMYFUNCTION("""COMPUTED_VALUE"""),"2020-2021")</f>
        <v>2020-2021</v>
      </c>
      <c r="F29" s="113">
        <f ca="1">IFERROR(__xludf.DUMMYFUNCTION("""COMPUTED_VALUE"""),35226.27)</f>
        <v>35226.269999999997</v>
      </c>
      <c r="G29" s="113">
        <f ca="1">IFERROR(__xludf.DUMMYFUNCTION("""COMPUTED_VALUE"""),8806.57)</f>
        <v>8806.57</v>
      </c>
      <c r="H29" s="113">
        <f ca="1">IFERROR(__xludf.DUMMYFUNCTION("""COMPUTED_VALUE"""),26419.7)</f>
        <v>26419.7</v>
      </c>
      <c r="I29" s="111"/>
      <c r="J29" s="113">
        <f ca="1">IFERROR(__xludf.DUMMYFUNCTION("""COMPUTED_VALUE"""),26206.39)</f>
        <v>26206.39</v>
      </c>
      <c r="K29" s="113">
        <f ca="1">IFERROR(__xludf.DUMMYFUNCTION("""COMPUTED_VALUE"""),9019.88)</f>
        <v>9019.8799999999992</v>
      </c>
      <c r="L29" s="114">
        <f ca="1">IFERROR(__xludf.DUMMYFUNCTION("""COMPUTED_VALUE"""),0.743944505052621)</f>
        <v>0.743944505052621</v>
      </c>
      <c r="M29" s="111" t="str">
        <f ca="1">IFERROR(__xludf.DUMMYFUNCTION("""COMPUTED_VALUE"""),"В связи с тем, что проектные решения не позволяют обеспечить должное функционирование объекта требуется корректировка проекта. Получение РС до 10.12.2020")</f>
        <v>В связи с тем, что проектные решения не позволяют обеспечить должное функционирование объекта требуется корректировка проекта. Получение РС до 10.12.2020</v>
      </c>
      <c r="N29" s="111"/>
      <c r="O29" s="111"/>
      <c r="P29" s="111"/>
      <c r="Q29" s="112"/>
      <c r="R29" s="103"/>
      <c r="S29" s="103"/>
      <c r="T29" s="103"/>
      <c r="U29" s="103"/>
      <c r="V29" s="103"/>
      <c r="W29" s="103"/>
      <c r="X29" s="103"/>
      <c r="Y29" s="103"/>
      <c r="Z29" s="103"/>
      <c r="AA29" s="103"/>
    </row>
    <row r="30" spans="1:27" ht="15" customHeight="1" x14ac:dyDescent="0.2">
      <c r="A30" s="111"/>
      <c r="B30" s="111" t="str">
        <f ca="1">IFERROR(__xludf.DUMMYFUNCTION("""COMPUTED_VALUE"""),"МинЖКХ")</f>
        <v>МинЖКХ</v>
      </c>
      <c r="C30" s="111" t="str">
        <f ca="1">IFERROR(__xludf.DUMMYFUNCTION("""COMPUTED_VALUE"""),"г.о. Чехов")</f>
        <v>г.о. Чехов</v>
      </c>
      <c r="D30" s="111" t="str">
        <f ca="1">IFERROR(__xludf.DUMMYFUNCTION("""COMPUTED_VALUE"""),"Строительство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f>
        <v>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v>
      </c>
      <c r="E30" s="111" t="str">
        <f ca="1">IFERROR(__xludf.DUMMYFUNCTION("""COMPUTED_VALUE"""),"2021-2022")</f>
        <v>2021-2022</v>
      </c>
      <c r="F30" s="113">
        <f ca="1">IFERROR(__xludf.DUMMYFUNCTION("""COMPUTED_VALUE"""),0)</f>
        <v>0</v>
      </c>
      <c r="G30" s="113">
        <f ca="1">IFERROR(__xludf.DUMMYFUNCTION("""COMPUTED_VALUE"""),0)</f>
        <v>0</v>
      </c>
      <c r="H30" s="113">
        <f ca="1">IFERROR(__xludf.DUMMYFUNCTION("""COMPUTED_VALUE"""),0)</f>
        <v>0</v>
      </c>
      <c r="I30" s="111"/>
      <c r="J30" s="111">
        <f ca="1">IFERROR(__xludf.DUMMYFUNCTION("""COMPUTED_VALUE"""),0)</f>
        <v>0</v>
      </c>
      <c r="K30" s="113">
        <f ca="1">IFERROR(__xludf.DUMMYFUNCTION("""COMPUTED_VALUE"""),0)</f>
        <v>0</v>
      </c>
      <c r="L30" s="114" t="str">
        <f ca="1">IFERROR(__xludf.DUMMYFUNCTION("""COMPUTED_VALUE"""),"#DIV/0!")</f>
        <v>#DIV/0!</v>
      </c>
      <c r="M30" s="111"/>
      <c r="N30" s="111"/>
      <c r="O30" s="111"/>
      <c r="P30" s="111"/>
      <c r="Q30" s="112"/>
      <c r="R30" s="103"/>
      <c r="S30" s="103"/>
      <c r="T30" s="103"/>
      <c r="U30" s="103"/>
      <c r="V30" s="103"/>
      <c r="W30" s="103"/>
      <c r="X30" s="103"/>
      <c r="Y30" s="103"/>
      <c r="Z30" s="103"/>
      <c r="AA30" s="103"/>
    </row>
    <row r="31" spans="1:27" ht="15" customHeight="1" x14ac:dyDescent="0.2">
      <c r="A31" s="111"/>
      <c r="B31" s="111" t="str">
        <f ca="1">IFERROR(__xludf.DUMMYFUNCTION("""COMPUTED_VALUE"""),"МинЖКХ")</f>
        <v>МинЖКХ</v>
      </c>
      <c r="C31" s="111" t="str">
        <f ca="1">IFERROR(__xludf.DUMMYFUNCTION("""COMPUTED_VALUE"""),"г.о. Электросталь")</f>
        <v>г.о. Электросталь</v>
      </c>
      <c r="D31" s="111" t="str">
        <f ca="1">IFERROR(__xludf.DUMMYFUNCTION("""COMPUTED_VALUE"""),"Строительство ВЗУ  Есино г.о. Электросталь ")</f>
        <v xml:space="preserve">Строительство ВЗУ  Есино г.о. Электросталь </v>
      </c>
      <c r="E31" s="111">
        <f ca="1">IFERROR(__xludf.DUMMYFUNCTION("""COMPUTED_VALUE"""),2022)</f>
        <v>2022</v>
      </c>
      <c r="F31" s="113">
        <f ca="1">IFERROR(__xludf.DUMMYFUNCTION("""COMPUTED_VALUE"""),0)</f>
        <v>0</v>
      </c>
      <c r="G31" s="113">
        <f ca="1">IFERROR(__xludf.DUMMYFUNCTION("""COMPUTED_VALUE"""),0)</f>
        <v>0</v>
      </c>
      <c r="H31" s="113">
        <f ca="1">IFERROR(__xludf.DUMMYFUNCTION("""COMPUTED_VALUE"""),0)</f>
        <v>0</v>
      </c>
      <c r="I31" s="111"/>
      <c r="J31" s="111">
        <f ca="1">IFERROR(__xludf.DUMMYFUNCTION("""COMPUTED_VALUE"""),0)</f>
        <v>0</v>
      </c>
      <c r="K31" s="113">
        <f ca="1">IFERROR(__xludf.DUMMYFUNCTION("""COMPUTED_VALUE"""),0)</f>
        <v>0</v>
      </c>
      <c r="L31" s="114" t="str">
        <f ca="1">IFERROR(__xludf.DUMMYFUNCTION("""COMPUTED_VALUE"""),"#DIV/0!")</f>
        <v>#DIV/0!</v>
      </c>
      <c r="M31" s="111"/>
      <c r="N31" s="111"/>
      <c r="O31" s="111"/>
      <c r="P31" s="111"/>
      <c r="Q31" s="112"/>
      <c r="R31" s="103"/>
      <c r="S31" s="103"/>
      <c r="T31" s="103"/>
      <c r="U31" s="103"/>
      <c r="V31" s="103"/>
      <c r="W31" s="103"/>
      <c r="X31" s="103"/>
      <c r="Y31" s="103"/>
      <c r="Z31" s="103"/>
      <c r="AA31" s="103"/>
    </row>
    <row r="32" spans="1:27" ht="15" customHeight="1" x14ac:dyDescent="0.2">
      <c r="A32" s="111"/>
      <c r="B32" s="111" t="str">
        <f ca="1">IFERROR(__xludf.DUMMYFUNCTION("""COMPUTED_VALUE"""),"МинЖКХ")</f>
        <v>МинЖКХ</v>
      </c>
      <c r="C32" s="111" t="str">
        <f ca="1">IFERROR(__xludf.DUMMYFUNCTION("""COMPUTED_VALUE"""),"г.о. Орехово-Зуево")</f>
        <v>г.о. Орехово-Зуево</v>
      </c>
      <c r="D32" s="111" t="str">
        <f ca="1">IFERROR(__xludf.DUMMYFUNCTION("""COMPUTED_VALUE"""),"Строительство ВЗУ ""Верея Ск №1"" п. Верея (Верейское с/п), ул. Почтовая, д. 7 Орехово-Зуевский г.о. ")</f>
        <v xml:space="preserve">Строительство ВЗУ "Верея Ск №1" п. Верея (Верейское с/п), ул. Почтовая, д. 7 Орехово-Зуевский г.о. </v>
      </c>
      <c r="E32" s="111">
        <f ca="1">IFERROR(__xludf.DUMMYFUNCTION("""COMPUTED_VALUE"""),2022)</f>
        <v>2022</v>
      </c>
      <c r="F32" s="113">
        <f ca="1">IFERROR(__xludf.DUMMYFUNCTION("""COMPUTED_VALUE"""),0)</f>
        <v>0</v>
      </c>
      <c r="G32" s="113">
        <f ca="1">IFERROR(__xludf.DUMMYFUNCTION("""COMPUTED_VALUE"""),0)</f>
        <v>0</v>
      </c>
      <c r="H32" s="113">
        <f ca="1">IFERROR(__xludf.DUMMYFUNCTION("""COMPUTED_VALUE"""),0)</f>
        <v>0</v>
      </c>
      <c r="I32" s="111"/>
      <c r="J32" s="111">
        <f ca="1">IFERROR(__xludf.DUMMYFUNCTION("""COMPUTED_VALUE"""),0)</f>
        <v>0</v>
      </c>
      <c r="K32" s="113">
        <f ca="1">IFERROR(__xludf.DUMMYFUNCTION("""COMPUTED_VALUE"""),0)</f>
        <v>0</v>
      </c>
      <c r="L32" s="114" t="str">
        <f ca="1">IFERROR(__xludf.DUMMYFUNCTION("""COMPUTED_VALUE"""),"#DIV/0!")</f>
        <v>#DIV/0!</v>
      </c>
      <c r="M32" s="111"/>
      <c r="N32" s="111"/>
      <c r="O32" s="111"/>
      <c r="P32" s="111"/>
      <c r="Q32" s="112"/>
      <c r="R32" s="103"/>
      <c r="S32" s="103"/>
      <c r="T32" s="103"/>
      <c r="U32" s="103"/>
      <c r="V32" s="103"/>
      <c r="W32" s="103"/>
      <c r="X32" s="103"/>
      <c r="Y32" s="103"/>
      <c r="Z32" s="103"/>
      <c r="AA32" s="103"/>
    </row>
    <row r="33" spans="1:27" ht="15" customHeight="1" x14ac:dyDescent="0.2">
      <c r="A33" s="111"/>
      <c r="B33" s="111" t="str">
        <f ca="1">IFERROR(__xludf.DUMMYFUNCTION("""COMPUTED_VALUE"""),"МинЖКХ")</f>
        <v>МинЖКХ</v>
      </c>
      <c r="C33" s="111" t="str">
        <f ca="1">IFERROR(__xludf.DUMMYFUNCTION("""COMPUTED_VALUE"""),"г.о. Орехово-Зуево")</f>
        <v>г.о. Орехово-Зуево</v>
      </c>
      <c r="D33" s="111" t="str">
        <f ca="1">IFERROR(__xludf.DUMMYFUNCTION("""COMPUTED_VALUE"""),"Реконструкция ВЗУ ""Кировский"" г. Орехово-Зуево, ул. Кирова,  Орехово-Зуевский г.о. ")</f>
        <v xml:space="preserve">Реконструкция ВЗУ "Кировский" г. Орехово-Зуево, ул. Кирова,  Орехово-Зуевский г.о. </v>
      </c>
      <c r="E33" s="111">
        <f ca="1">IFERROR(__xludf.DUMMYFUNCTION("""COMPUTED_VALUE"""),2022)</f>
        <v>2022</v>
      </c>
      <c r="F33" s="113">
        <f ca="1">IFERROR(__xludf.DUMMYFUNCTION("""COMPUTED_VALUE"""),0)</f>
        <v>0</v>
      </c>
      <c r="G33" s="113">
        <f ca="1">IFERROR(__xludf.DUMMYFUNCTION("""COMPUTED_VALUE"""),0)</f>
        <v>0</v>
      </c>
      <c r="H33" s="113">
        <f ca="1">IFERROR(__xludf.DUMMYFUNCTION("""COMPUTED_VALUE"""),0)</f>
        <v>0</v>
      </c>
      <c r="I33" s="111"/>
      <c r="J33" s="111">
        <f ca="1">IFERROR(__xludf.DUMMYFUNCTION("""COMPUTED_VALUE"""),0)</f>
        <v>0</v>
      </c>
      <c r="K33" s="113">
        <f ca="1">IFERROR(__xludf.DUMMYFUNCTION("""COMPUTED_VALUE"""),0)</f>
        <v>0</v>
      </c>
      <c r="L33" s="114" t="str">
        <f ca="1">IFERROR(__xludf.DUMMYFUNCTION("""COMPUTED_VALUE"""),"#DIV/0!")</f>
        <v>#DIV/0!</v>
      </c>
      <c r="M33" s="111"/>
      <c r="N33" s="111"/>
      <c r="O33" s="111"/>
      <c r="P33" s="111"/>
      <c r="Q33" s="112"/>
      <c r="R33" s="103"/>
      <c r="S33" s="103"/>
      <c r="T33" s="103"/>
      <c r="U33" s="103"/>
      <c r="V33" s="103"/>
      <c r="W33" s="103"/>
      <c r="X33" s="103"/>
      <c r="Y33" s="103"/>
      <c r="Z33" s="103"/>
      <c r="AA33" s="103"/>
    </row>
    <row r="34" spans="1:27" ht="15" customHeight="1" x14ac:dyDescent="0.2">
      <c r="A34" s="111"/>
      <c r="B34" s="111" t="str">
        <f ca="1">IFERROR(__xludf.DUMMYFUNCTION("""COMPUTED_VALUE"""),"МинЖКХ")</f>
        <v>МинЖКХ</v>
      </c>
      <c r="C34" s="111" t="str">
        <f ca="1">IFERROR(__xludf.DUMMYFUNCTION("""COMPUTED_VALUE"""),"г.о. Орехово-Зуево")</f>
        <v>г.о. Орехово-Зуево</v>
      </c>
      <c r="D34" s="111" t="str">
        <f ca="1">IFERROR(__xludf.DUMMYFUNCTION("""COMPUTED_VALUE"""),"Реконструкция ВЗУ ""Стрелки"" г. Орехово-Зуево, проезд. Сосновый, Орехово-Зуевский  г.о.")</f>
        <v>Реконструкция ВЗУ "Стрелки" г. Орехово-Зуево, проезд. Сосновый, Орехово-Зуевский  г.о.</v>
      </c>
      <c r="E34" s="111">
        <f ca="1">IFERROR(__xludf.DUMMYFUNCTION("""COMPUTED_VALUE"""),2022)</f>
        <v>2022</v>
      </c>
      <c r="F34" s="113">
        <f ca="1">IFERROR(__xludf.DUMMYFUNCTION("""COMPUTED_VALUE"""),0)</f>
        <v>0</v>
      </c>
      <c r="G34" s="113">
        <f ca="1">IFERROR(__xludf.DUMMYFUNCTION("""COMPUTED_VALUE"""),0)</f>
        <v>0</v>
      </c>
      <c r="H34" s="113">
        <f ca="1">IFERROR(__xludf.DUMMYFUNCTION("""COMPUTED_VALUE"""),0)</f>
        <v>0</v>
      </c>
      <c r="I34" s="111"/>
      <c r="J34" s="111">
        <f ca="1">IFERROR(__xludf.DUMMYFUNCTION("""COMPUTED_VALUE"""),0)</f>
        <v>0</v>
      </c>
      <c r="K34" s="113">
        <f ca="1">IFERROR(__xludf.DUMMYFUNCTION("""COMPUTED_VALUE"""),0)</f>
        <v>0</v>
      </c>
      <c r="L34" s="114" t="str">
        <f ca="1">IFERROR(__xludf.DUMMYFUNCTION("""COMPUTED_VALUE"""),"#DIV/0!")</f>
        <v>#DIV/0!</v>
      </c>
      <c r="M34" s="111"/>
      <c r="N34" s="111"/>
      <c r="O34" s="111"/>
      <c r="P34" s="111"/>
      <c r="Q34" s="112"/>
      <c r="R34" s="103"/>
      <c r="S34" s="103"/>
      <c r="T34" s="103"/>
      <c r="U34" s="103"/>
      <c r="V34" s="103"/>
      <c r="W34" s="103"/>
      <c r="X34" s="103"/>
      <c r="Y34" s="103"/>
      <c r="Z34" s="103"/>
      <c r="AA34" s="103"/>
    </row>
    <row r="35" spans="1:27" ht="15" customHeight="1" x14ac:dyDescent="0.2">
      <c r="A35" s="111"/>
      <c r="B35" s="111" t="str">
        <f ca="1">IFERROR(__xludf.DUMMYFUNCTION("""COMPUTED_VALUE"""),"МинЖКХ")</f>
        <v>МинЖКХ</v>
      </c>
      <c r="C35" s="111" t="str">
        <f ca="1">IFERROR(__xludf.DUMMYFUNCTION("""COMPUTED_VALUE"""),"г.о. Орехово-Зуево")</f>
        <v>г.о. Орехово-Зуево</v>
      </c>
      <c r="D35" s="111" t="str">
        <f ca="1">IFERROR(__xludf.DUMMYFUNCTION("""COMPUTED_VALUE"""),"Реконструкция водопровода от ВЗУ ""Новая стройка"" до городского парка с переходом по железной дорогой, L=750 м  Орехово-Зуевский г.о.  ")</f>
        <v xml:space="preserve">Реконструкция водопровода от ВЗУ "Новая стройка" до городского парка с переходом по железной дорогой, L=750 м  Орехово-Зуевский г.о.  </v>
      </c>
      <c r="E35" s="111">
        <f ca="1">IFERROR(__xludf.DUMMYFUNCTION("""COMPUTED_VALUE"""),2023)</f>
        <v>2023</v>
      </c>
      <c r="F35" s="113">
        <f ca="1">IFERROR(__xludf.DUMMYFUNCTION("""COMPUTED_VALUE"""),0)</f>
        <v>0</v>
      </c>
      <c r="G35" s="113">
        <f ca="1">IFERROR(__xludf.DUMMYFUNCTION("""COMPUTED_VALUE"""),0)</f>
        <v>0</v>
      </c>
      <c r="H35" s="113">
        <f ca="1">IFERROR(__xludf.DUMMYFUNCTION("""COMPUTED_VALUE"""),0)</f>
        <v>0</v>
      </c>
      <c r="I35" s="111"/>
      <c r="J35" s="111">
        <f ca="1">IFERROR(__xludf.DUMMYFUNCTION("""COMPUTED_VALUE"""),0)</f>
        <v>0</v>
      </c>
      <c r="K35" s="113">
        <f ca="1">IFERROR(__xludf.DUMMYFUNCTION("""COMPUTED_VALUE"""),0)</f>
        <v>0</v>
      </c>
      <c r="L35" s="114" t="str">
        <f ca="1">IFERROR(__xludf.DUMMYFUNCTION("""COMPUTED_VALUE"""),"#DIV/0!")</f>
        <v>#DIV/0!</v>
      </c>
      <c r="M35" s="111"/>
      <c r="N35" s="111"/>
      <c r="O35" s="111"/>
      <c r="P35" s="111"/>
      <c r="Q35" s="112"/>
      <c r="R35" s="103"/>
      <c r="S35" s="103"/>
      <c r="T35" s="103"/>
      <c r="U35" s="103"/>
      <c r="V35" s="103"/>
      <c r="W35" s="103"/>
      <c r="X35" s="103"/>
      <c r="Y35" s="103"/>
      <c r="Z35" s="103"/>
      <c r="AA35" s="103"/>
    </row>
    <row r="36" spans="1:27" ht="15" customHeight="1" x14ac:dyDescent="0.2">
      <c r="A36" s="111"/>
      <c r="B36" s="111" t="str">
        <f ca="1">IFERROR(__xludf.DUMMYFUNCTION("""COMPUTED_VALUE"""),"МинЖКХ")</f>
        <v>МинЖКХ</v>
      </c>
      <c r="C36" s="111" t="str">
        <f ca="1">IFERROR(__xludf.DUMMYFUNCTION("""COMPUTED_VALUE"""),"г.о. Орехово-Зуево")</f>
        <v>г.о. Орехово-Зуево</v>
      </c>
      <c r="D36" s="111" t="str">
        <f ca="1">IFERROR(__xludf.DUMMYFUNCTION("""COMPUTED_VALUE"""),"Реконструкция водопровода от Водозаборного узла ""Стрелки"" до ДСК, далее до перекрестка Малодубенское шоссе-ул. Северная,  L= 2950 м  Орехово-Зуевский г.о.")</f>
        <v>Реконструкция водопровода от Водозаборного узла "Стрелки" до ДСК, далее до перекрестка Малодубенское шоссе-ул. Северная,  L= 2950 м  Орехово-Зуевский г.о.</v>
      </c>
      <c r="E36" s="111">
        <f ca="1">IFERROR(__xludf.DUMMYFUNCTION("""COMPUTED_VALUE"""),2023)</f>
        <v>2023</v>
      </c>
      <c r="F36" s="113">
        <f ca="1">IFERROR(__xludf.DUMMYFUNCTION("""COMPUTED_VALUE"""),0)</f>
        <v>0</v>
      </c>
      <c r="G36" s="113">
        <f ca="1">IFERROR(__xludf.DUMMYFUNCTION("""COMPUTED_VALUE"""),0)</f>
        <v>0</v>
      </c>
      <c r="H36" s="113">
        <f ca="1">IFERROR(__xludf.DUMMYFUNCTION("""COMPUTED_VALUE"""),0)</f>
        <v>0</v>
      </c>
      <c r="I36" s="111"/>
      <c r="J36" s="111">
        <f ca="1">IFERROR(__xludf.DUMMYFUNCTION("""COMPUTED_VALUE"""),0)</f>
        <v>0</v>
      </c>
      <c r="K36" s="113">
        <f ca="1">IFERROR(__xludf.DUMMYFUNCTION("""COMPUTED_VALUE"""),0)</f>
        <v>0</v>
      </c>
      <c r="L36" s="114" t="str">
        <f ca="1">IFERROR(__xludf.DUMMYFUNCTION("""COMPUTED_VALUE"""),"#DIV/0!")</f>
        <v>#DIV/0!</v>
      </c>
      <c r="M36" s="111"/>
      <c r="N36" s="111"/>
      <c r="O36" s="111"/>
      <c r="P36" s="111"/>
      <c r="Q36" s="112"/>
      <c r="R36" s="103"/>
      <c r="S36" s="103"/>
      <c r="T36" s="103"/>
      <c r="U36" s="103"/>
      <c r="V36" s="103"/>
      <c r="W36" s="103"/>
      <c r="X36" s="103"/>
      <c r="Y36" s="103"/>
      <c r="Z36" s="103"/>
      <c r="AA36" s="103"/>
    </row>
    <row r="37" spans="1:27" ht="25.5" x14ac:dyDescent="0.2">
      <c r="A37" s="111"/>
      <c r="B37" s="111" t="str">
        <f ca="1">IFERROR(__xludf.DUMMYFUNCTION("""COMPUTED_VALUE"""),"МинЖКХ")</f>
        <v>МинЖКХ</v>
      </c>
      <c r="C37" s="111" t="str">
        <f ca="1">IFERROR(__xludf.DUMMYFUNCTION("""COMPUTED_VALUE"""),"г.о. Жуковский")</f>
        <v>г.о. Жуковский</v>
      </c>
      <c r="D37" s="111" t="str">
        <f ca="1">IFERROR(__xludf.DUMMYFUNCTION("""COMPUTED_VALUE"""),"Реконструкция ВЗУ №4 г.о. Жуковский")</f>
        <v>Реконструкция ВЗУ №4 г.о. Жуковский</v>
      </c>
      <c r="E37" s="111" t="str">
        <f ca="1">IFERROR(__xludf.DUMMYFUNCTION("""COMPUTED_VALUE"""),"Н/Л")</f>
        <v>Н/Л</v>
      </c>
      <c r="F37" s="113">
        <f ca="1">IFERROR(__xludf.DUMMYFUNCTION("""COMPUTED_VALUE"""),0)</f>
        <v>0</v>
      </c>
      <c r="G37" s="113">
        <f ca="1">IFERROR(__xludf.DUMMYFUNCTION("""COMPUTED_VALUE"""),0)</f>
        <v>0</v>
      </c>
      <c r="H37" s="113">
        <f ca="1">IFERROR(__xludf.DUMMYFUNCTION("""COMPUTED_VALUE"""),0)</f>
        <v>0</v>
      </c>
      <c r="I37" s="111"/>
      <c r="J37" s="111">
        <f ca="1">IFERROR(__xludf.DUMMYFUNCTION("""COMPUTED_VALUE"""),0)</f>
        <v>0</v>
      </c>
      <c r="K37" s="113">
        <f ca="1">IFERROR(__xludf.DUMMYFUNCTION("""COMPUTED_VALUE"""),0)</f>
        <v>0</v>
      </c>
      <c r="L37" s="114" t="str">
        <f ca="1">IFERROR(__xludf.DUMMYFUNCTION("""COMPUTED_VALUE"""),"#DIV/0!")</f>
        <v>#DIV/0!</v>
      </c>
      <c r="M37" s="111"/>
      <c r="N37" s="111"/>
      <c r="O37" s="111"/>
      <c r="P37" s="111"/>
      <c r="Q37" s="112"/>
      <c r="R37" s="103"/>
      <c r="S37" s="103"/>
      <c r="T37" s="103"/>
      <c r="U37" s="103"/>
      <c r="V37" s="103"/>
      <c r="W37" s="103"/>
      <c r="X37" s="103"/>
      <c r="Y37" s="103"/>
      <c r="Z37" s="103"/>
      <c r="AA37" s="103"/>
    </row>
    <row r="38" spans="1:27" ht="25.5" x14ac:dyDescent="0.2">
      <c r="A38" s="111"/>
      <c r="B38" s="111" t="str">
        <f ca="1">IFERROR(__xludf.DUMMYFUNCTION("""COMPUTED_VALUE"""),"МинЖКХ")</f>
        <v>МинЖКХ</v>
      </c>
      <c r="C38" s="111" t="str">
        <f ca="1">IFERROR(__xludf.DUMMYFUNCTION("""COMPUTED_VALUE"""),"г.о. Жуковский")</f>
        <v>г.о. Жуковский</v>
      </c>
      <c r="D38" s="111" t="str">
        <f ca="1">IFERROR(__xludf.DUMMYFUNCTION("""COMPUTED_VALUE"""),"Реконструкция ВЗУ №1 г.о. Жуковский")</f>
        <v>Реконструкция ВЗУ №1 г.о. Жуковский</v>
      </c>
      <c r="E38" s="111">
        <f ca="1">IFERROR(__xludf.DUMMYFUNCTION("""COMPUTED_VALUE"""),2022)</f>
        <v>2022</v>
      </c>
      <c r="F38" s="113">
        <f ca="1">IFERROR(__xludf.DUMMYFUNCTION("""COMPUTED_VALUE"""),0)</f>
        <v>0</v>
      </c>
      <c r="G38" s="113">
        <f ca="1">IFERROR(__xludf.DUMMYFUNCTION("""COMPUTED_VALUE"""),0)</f>
        <v>0</v>
      </c>
      <c r="H38" s="113">
        <f ca="1">IFERROR(__xludf.DUMMYFUNCTION("""COMPUTED_VALUE"""),0)</f>
        <v>0</v>
      </c>
      <c r="I38" s="111"/>
      <c r="J38" s="111">
        <f ca="1">IFERROR(__xludf.DUMMYFUNCTION("""COMPUTED_VALUE"""),0)</f>
        <v>0</v>
      </c>
      <c r="K38" s="113">
        <f ca="1">IFERROR(__xludf.DUMMYFUNCTION("""COMPUTED_VALUE"""),0)</f>
        <v>0</v>
      </c>
      <c r="L38" s="114" t="str">
        <f ca="1">IFERROR(__xludf.DUMMYFUNCTION("""COMPUTED_VALUE"""),"#DIV/0!")</f>
        <v>#DIV/0!</v>
      </c>
      <c r="M38" s="111"/>
      <c r="N38" s="111"/>
      <c r="O38" s="111"/>
      <c r="P38" s="111"/>
      <c r="Q38" s="112"/>
      <c r="R38" s="103"/>
      <c r="S38" s="103"/>
      <c r="T38" s="103"/>
      <c r="U38" s="103"/>
      <c r="V38" s="103"/>
      <c r="W38" s="103"/>
      <c r="X38" s="103"/>
      <c r="Y38" s="103"/>
      <c r="Z38" s="103"/>
      <c r="AA38" s="103"/>
    </row>
    <row r="39" spans="1:27" ht="25.5" x14ac:dyDescent="0.2">
      <c r="A39" s="111"/>
      <c r="B39" s="111" t="str">
        <f ca="1">IFERROR(__xludf.DUMMYFUNCTION("""COMPUTED_VALUE"""),"МинЖКХ")</f>
        <v>МинЖКХ</v>
      </c>
      <c r="C39" s="111" t="str">
        <f ca="1">IFERROR(__xludf.DUMMYFUNCTION("""COMPUTED_VALUE"""),"г.о. Жуковский")</f>
        <v>г.о. Жуковский</v>
      </c>
      <c r="D39" s="111" t="str">
        <f ca="1">IFERROR(__xludf.DUMMYFUNCTION("""COMPUTED_VALUE"""),"Реконструкция ВЗУ №2 г.о. Жуковский")</f>
        <v>Реконструкция ВЗУ №2 г.о. Жуковский</v>
      </c>
      <c r="E39" s="111" t="str">
        <f ca="1">IFERROR(__xludf.DUMMYFUNCTION("""COMPUTED_VALUE"""),"Н/Л")</f>
        <v>Н/Л</v>
      </c>
      <c r="F39" s="113">
        <f ca="1">IFERROR(__xludf.DUMMYFUNCTION("""COMPUTED_VALUE"""),0)</f>
        <v>0</v>
      </c>
      <c r="G39" s="113">
        <f ca="1">IFERROR(__xludf.DUMMYFUNCTION("""COMPUTED_VALUE"""),0)</f>
        <v>0</v>
      </c>
      <c r="H39" s="113">
        <f ca="1">IFERROR(__xludf.DUMMYFUNCTION("""COMPUTED_VALUE"""),0)</f>
        <v>0</v>
      </c>
      <c r="I39" s="111"/>
      <c r="J39" s="111">
        <f ca="1">IFERROR(__xludf.DUMMYFUNCTION("""COMPUTED_VALUE"""),0)</f>
        <v>0</v>
      </c>
      <c r="K39" s="113">
        <f ca="1">IFERROR(__xludf.DUMMYFUNCTION("""COMPUTED_VALUE"""),0)</f>
        <v>0</v>
      </c>
      <c r="L39" s="114" t="str">
        <f ca="1">IFERROR(__xludf.DUMMYFUNCTION("""COMPUTED_VALUE"""),"#DIV/0!")</f>
        <v>#DIV/0!</v>
      </c>
      <c r="M39" s="111"/>
      <c r="N39" s="111"/>
      <c r="O39" s="111"/>
      <c r="P39" s="111"/>
      <c r="Q39" s="112"/>
      <c r="R39" s="103"/>
      <c r="S39" s="103"/>
      <c r="T39" s="103"/>
      <c r="U39" s="103"/>
      <c r="V39" s="103"/>
      <c r="W39" s="103"/>
      <c r="X39" s="103"/>
      <c r="Y39" s="103"/>
      <c r="Z39" s="103"/>
      <c r="AA39" s="103"/>
    </row>
    <row r="40" spans="1:27" ht="25.5" x14ac:dyDescent="0.2">
      <c r="A40" s="111"/>
      <c r="B40" s="111" t="str">
        <f ca="1">IFERROR(__xludf.DUMMYFUNCTION("""COMPUTED_VALUE"""),"МинЖКХ")</f>
        <v>МинЖКХ</v>
      </c>
      <c r="C40" s="111" t="str">
        <f ca="1">IFERROR(__xludf.DUMMYFUNCTION("""COMPUTED_VALUE"""),"г.о. Пушкинский")</f>
        <v>г.о. Пушкинский</v>
      </c>
      <c r="D40" s="111" t="str">
        <f ca="1">IFERROR(__xludf.DUMMYFUNCTION("""COMPUTED_VALUE"""),"Реконструкция ВЗУ № 1 г. Пушкино Пушкинский г.о. ")</f>
        <v xml:space="preserve">Реконструкция ВЗУ № 1 г. Пушкино Пушкинский г.о. </v>
      </c>
      <c r="E40" s="111">
        <f ca="1">IFERROR(__xludf.DUMMYFUNCTION("""COMPUTED_VALUE"""),2023)</f>
        <v>2023</v>
      </c>
      <c r="F40" s="113">
        <f ca="1">IFERROR(__xludf.DUMMYFUNCTION("""COMPUTED_VALUE"""),0)</f>
        <v>0</v>
      </c>
      <c r="G40" s="113">
        <f ca="1">IFERROR(__xludf.DUMMYFUNCTION("""COMPUTED_VALUE"""),0)</f>
        <v>0</v>
      </c>
      <c r="H40" s="113">
        <f ca="1">IFERROR(__xludf.DUMMYFUNCTION("""COMPUTED_VALUE"""),0)</f>
        <v>0</v>
      </c>
      <c r="I40" s="111"/>
      <c r="J40" s="111">
        <f ca="1">IFERROR(__xludf.DUMMYFUNCTION("""COMPUTED_VALUE"""),0)</f>
        <v>0</v>
      </c>
      <c r="K40" s="113">
        <f ca="1">IFERROR(__xludf.DUMMYFUNCTION("""COMPUTED_VALUE"""),0)</f>
        <v>0</v>
      </c>
      <c r="L40" s="114" t="str">
        <f ca="1">IFERROR(__xludf.DUMMYFUNCTION("""COMPUTED_VALUE"""),"#DIV/0!")</f>
        <v>#DIV/0!</v>
      </c>
      <c r="M40" s="111"/>
      <c r="N40" s="111"/>
      <c r="O40" s="111"/>
      <c r="P40" s="111"/>
      <c r="Q40" s="112"/>
      <c r="R40" s="103"/>
      <c r="S40" s="103"/>
      <c r="T40" s="103"/>
      <c r="U40" s="103"/>
      <c r="V40" s="103"/>
      <c r="W40" s="103"/>
      <c r="X40" s="103"/>
      <c r="Y40" s="103"/>
      <c r="Z40" s="103"/>
      <c r="AA40" s="103"/>
    </row>
    <row r="41" spans="1:27" ht="25.5" x14ac:dyDescent="0.2">
      <c r="A41" s="111"/>
      <c r="B41" s="111" t="str">
        <f ca="1">IFERROR(__xludf.DUMMYFUNCTION("""COMPUTED_VALUE"""),"МинЖКХ")</f>
        <v>МинЖКХ</v>
      </c>
      <c r="C41" s="111" t="str">
        <f ca="1">IFERROR(__xludf.DUMMYFUNCTION("""COMPUTED_VALUE"""),"г.о. Пушкинский")</f>
        <v>г.о. Пушкинский</v>
      </c>
      <c r="D41" s="111" t="str">
        <f ca="1">IFERROR(__xludf.DUMMYFUNCTION("""COMPUTED_VALUE"""),"Реконструкция ВЗУ № 3 г. Пушкино г.о. Пушкино")</f>
        <v>Реконструкция ВЗУ № 3 г. Пушкино г.о. Пушкино</v>
      </c>
      <c r="E41" s="111" t="str">
        <f ca="1">IFERROR(__xludf.DUMMYFUNCTION("""COMPUTED_VALUE"""),"Н/Л")</f>
        <v>Н/Л</v>
      </c>
      <c r="F41" s="113">
        <f ca="1">IFERROR(__xludf.DUMMYFUNCTION("""COMPUTED_VALUE"""),0)</f>
        <v>0</v>
      </c>
      <c r="G41" s="113">
        <f ca="1">IFERROR(__xludf.DUMMYFUNCTION("""COMPUTED_VALUE"""),0)</f>
        <v>0</v>
      </c>
      <c r="H41" s="113">
        <f ca="1">IFERROR(__xludf.DUMMYFUNCTION("""COMPUTED_VALUE"""),0)</f>
        <v>0</v>
      </c>
      <c r="I41" s="111"/>
      <c r="J41" s="111">
        <f ca="1">IFERROR(__xludf.DUMMYFUNCTION("""COMPUTED_VALUE"""),0)</f>
        <v>0</v>
      </c>
      <c r="K41" s="113">
        <f ca="1">IFERROR(__xludf.DUMMYFUNCTION("""COMPUTED_VALUE"""),0)</f>
        <v>0</v>
      </c>
      <c r="L41" s="114" t="str">
        <f ca="1">IFERROR(__xludf.DUMMYFUNCTION("""COMPUTED_VALUE"""),"#DIV/0!")</f>
        <v>#DIV/0!</v>
      </c>
      <c r="M41" s="111"/>
      <c r="N41" s="111"/>
      <c r="O41" s="111"/>
      <c r="P41" s="111"/>
      <c r="Q41" s="112"/>
      <c r="R41" s="103"/>
      <c r="S41" s="103"/>
      <c r="T41" s="103"/>
      <c r="U41" s="103"/>
      <c r="V41" s="103"/>
      <c r="W41" s="103"/>
      <c r="X41" s="103"/>
      <c r="Y41" s="103"/>
      <c r="Z41" s="103"/>
      <c r="AA41" s="103"/>
    </row>
    <row r="42" spans="1:27" ht="25.5" x14ac:dyDescent="0.2">
      <c r="A42" s="111"/>
      <c r="B42" s="111" t="str">
        <f ca="1">IFERROR(__xludf.DUMMYFUNCTION("""COMPUTED_VALUE"""),"МинЖКХ")</f>
        <v>МинЖКХ</v>
      </c>
      <c r="C42" s="111" t="str">
        <f ca="1">IFERROR(__xludf.DUMMYFUNCTION("""COMPUTED_VALUE"""),"г.о. Пушкинский")</f>
        <v>г.о. Пушкинский</v>
      </c>
      <c r="D42" s="111" t="str">
        <f ca="1">IFERROR(__xludf.DUMMYFUNCTION("""COMPUTED_VALUE"""),"Реконструкция ВЗУ № 12 г. Пушкино Пушкинский г.о.")</f>
        <v>Реконструкция ВЗУ № 12 г. Пушкино Пушкинский г.о.</v>
      </c>
      <c r="E42" s="111">
        <f ca="1">IFERROR(__xludf.DUMMYFUNCTION("""COMPUTED_VALUE"""),2024)</f>
        <v>2024</v>
      </c>
      <c r="F42" s="113">
        <f ca="1">IFERROR(__xludf.DUMMYFUNCTION("""COMPUTED_VALUE"""),0)</f>
        <v>0</v>
      </c>
      <c r="G42" s="113">
        <f ca="1">IFERROR(__xludf.DUMMYFUNCTION("""COMPUTED_VALUE"""),0)</f>
        <v>0</v>
      </c>
      <c r="H42" s="113">
        <f ca="1">IFERROR(__xludf.DUMMYFUNCTION("""COMPUTED_VALUE"""),0)</f>
        <v>0</v>
      </c>
      <c r="I42" s="111"/>
      <c r="J42" s="111">
        <f ca="1">IFERROR(__xludf.DUMMYFUNCTION("""COMPUTED_VALUE"""),0)</f>
        <v>0</v>
      </c>
      <c r="K42" s="113">
        <f ca="1">IFERROR(__xludf.DUMMYFUNCTION("""COMPUTED_VALUE"""),0)</f>
        <v>0</v>
      </c>
      <c r="L42" s="114" t="str">
        <f ca="1">IFERROR(__xludf.DUMMYFUNCTION("""COMPUTED_VALUE"""),"#DIV/0!")</f>
        <v>#DIV/0!</v>
      </c>
      <c r="M42" s="111"/>
      <c r="N42" s="111"/>
      <c r="O42" s="111"/>
      <c r="P42" s="111"/>
      <c r="Q42" s="112"/>
      <c r="R42" s="103"/>
      <c r="S42" s="103"/>
      <c r="T42" s="103"/>
      <c r="U42" s="103"/>
      <c r="V42" s="103"/>
      <c r="W42" s="103"/>
      <c r="X42" s="103"/>
      <c r="Y42" s="103"/>
      <c r="Z42" s="103"/>
      <c r="AA42" s="103"/>
    </row>
    <row r="43" spans="1:27" ht="25.5" x14ac:dyDescent="0.2">
      <c r="A43" s="111"/>
      <c r="B43" s="111" t="str">
        <f ca="1">IFERROR(__xludf.DUMMYFUNCTION("""COMPUTED_VALUE"""),"МинЖКХ")</f>
        <v>МинЖКХ</v>
      </c>
      <c r="C43" s="111" t="str">
        <f ca="1">IFERROR(__xludf.DUMMYFUNCTION("""COMPUTED_VALUE"""),"г.о. Пушкинский")</f>
        <v>г.о. Пушкинский</v>
      </c>
      <c r="D43" s="111" t="str">
        <f ca="1">IFERROR(__xludf.DUMMYFUNCTION("""COMPUTED_VALUE"""),"Реконструкция ВЗУ № 14 пос. Правдинский  Пушкинский г.о.")</f>
        <v>Реконструкция ВЗУ № 14 пос. Правдинский  Пушкинский г.о.</v>
      </c>
      <c r="E43" s="111">
        <f ca="1">IFERROR(__xludf.DUMMYFUNCTION("""COMPUTED_VALUE"""),2024)</f>
        <v>2024</v>
      </c>
      <c r="F43" s="113">
        <f ca="1">IFERROR(__xludf.DUMMYFUNCTION("""COMPUTED_VALUE"""),0)</f>
        <v>0</v>
      </c>
      <c r="G43" s="113">
        <f ca="1">IFERROR(__xludf.DUMMYFUNCTION("""COMPUTED_VALUE"""),0)</f>
        <v>0</v>
      </c>
      <c r="H43" s="113">
        <f ca="1">IFERROR(__xludf.DUMMYFUNCTION("""COMPUTED_VALUE"""),0)</f>
        <v>0</v>
      </c>
      <c r="I43" s="111"/>
      <c r="J43" s="111">
        <f ca="1">IFERROR(__xludf.DUMMYFUNCTION("""COMPUTED_VALUE"""),0)</f>
        <v>0</v>
      </c>
      <c r="K43" s="113">
        <f ca="1">IFERROR(__xludf.DUMMYFUNCTION("""COMPUTED_VALUE"""),0)</f>
        <v>0</v>
      </c>
      <c r="L43" s="114" t="str">
        <f ca="1">IFERROR(__xludf.DUMMYFUNCTION("""COMPUTED_VALUE"""),"#DIV/0!")</f>
        <v>#DIV/0!</v>
      </c>
      <c r="M43" s="111"/>
      <c r="N43" s="111"/>
      <c r="O43" s="111"/>
      <c r="P43" s="111"/>
      <c r="Q43" s="112"/>
      <c r="R43" s="103"/>
      <c r="S43" s="103"/>
      <c r="T43" s="103"/>
      <c r="U43" s="103"/>
      <c r="V43" s="103"/>
      <c r="W43" s="103"/>
      <c r="X43" s="103"/>
      <c r="Y43" s="103"/>
      <c r="Z43" s="103"/>
      <c r="AA43" s="103"/>
    </row>
    <row r="44" spans="1:27" ht="25.5" x14ac:dyDescent="0.2">
      <c r="A44" s="111"/>
      <c r="B44" s="111" t="str">
        <f ca="1">IFERROR(__xludf.DUMMYFUNCTION("""COMPUTED_VALUE"""),"МинЖКХ")</f>
        <v>МинЖКХ</v>
      </c>
      <c r="C44" s="111" t="str">
        <f ca="1">IFERROR(__xludf.DUMMYFUNCTION("""COMPUTED_VALUE"""),"г.о. Пушкинский")</f>
        <v>г.о. Пушкинский</v>
      </c>
      <c r="D44" s="111" t="str">
        <f ca="1">IFERROR(__xludf.DUMMYFUNCTION("""COMPUTED_VALUE"""),"Реконструкция ВЗУ № 18 пос. Правдинский  г.о. Пушкино")</f>
        <v>Реконструкция ВЗУ № 18 пос. Правдинский  г.о. Пушкино</v>
      </c>
      <c r="E44" s="111" t="str">
        <f ca="1">IFERROR(__xludf.DUMMYFUNCTION("""COMPUTED_VALUE"""),"Н/Л")</f>
        <v>Н/Л</v>
      </c>
      <c r="F44" s="113">
        <f ca="1">IFERROR(__xludf.DUMMYFUNCTION("""COMPUTED_VALUE"""),0)</f>
        <v>0</v>
      </c>
      <c r="G44" s="113">
        <f ca="1">IFERROR(__xludf.DUMMYFUNCTION("""COMPUTED_VALUE"""),0)</f>
        <v>0</v>
      </c>
      <c r="H44" s="113">
        <f ca="1">IFERROR(__xludf.DUMMYFUNCTION("""COMPUTED_VALUE"""),0)</f>
        <v>0</v>
      </c>
      <c r="I44" s="111"/>
      <c r="J44" s="111">
        <f ca="1">IFERROR(__xludf.DUMMYFUNCTION("""COMPUTED_VALUE"""),0)</f>
        <v>0</v>
      </c>
      <c r="K44" s="113">
        <f ca="1">IFERROR(__xludf.DUMMYFUNCTION("""COMPUTED_VALUE"""),0)</f>
        <v>0</v>
      </c>
      <c r="L44" s="114" t="str">
        <f ca="1">IFERROR(__xludf.DUMMYFUNCTION("""COMPUTED_VALUE"""),"#DIV/0!")</f>
        <v>#DIV/0!</v>
      </c>
      <c r="M44" s="111"/>
      <c r="N44" s="111"/>
      <c r="O44" s="111"/>
      <c r="P44" s="111"/>
      <c r="Q44" s="112"/>
      <c r="R44" s="103"/>
      <c r="S44" s="103"/>
      <c r="T44" s="103"/>
      <c r="U44" s="103"/>
      <c r="V44" s="103"/>
      <c r="W44" s="103"/>
      <c r="X44" s="103"/>
      <c r="Y44" s="103"/>
      <c r="Z44" s="103"/>
      <c r="AA44" s="103"/>
    </row>
    <row r="45" spans="1:27" ht="25.5" x14ac:dyDescent="0.2">
      <c r="A45" s="111"/>
      <c r="B45" s="111" t="str">
        <f ca="1">IFERROR(__xludf.DUMMYFUNCTION("""COMPUTED_VALUE"""),"МинЖКХ")</f>
        <v>МинЖКХ</v>
      </c>
      <c r="C45" s="111" t="str">
        <f ca="1">IFERROR(__xludf.DUMMYFUNCTION("""COMPUTED_VALUE"""),"г.о. Пушкинский")</f>
        <v>г.о. Пушкинский</v>
      </c>
      <c r="D45" s="111" t="str">
        <f ca="1">IFERROR(__xludf.DUMMYFUNCTION("""COMPUTED_VALUE"""),"Реконструкция ВЗУ № 42  пос. Царевское Пушкинский г.о.")</f>
        <v>Реконструкция ВЗУ № 42  пос. Царевское Пушкинский г.о.</v>
      </c>
      <c r="E45" s="111">
        <f ca="1">IFERROR(__xludf.DUMMYFUNCTION("""COMPUTED_VALUE"""),2024)</f>
        <v>2024</v>
      </c>
      <c r="F45" s="113">
        <f ca="1">IFERROR(__xludf.DUMMYFUNCTION("""COMPUTED_VALUE"""),0)</f>
        <v>0</v>
      </c>
      <c r="G45" s="113">
        <f ca="1">IFERROR(__xludf.DUMMYFUNCTION("""COMPUTED_VALUE"""),0)</f>
        <v>0</v>
      </c>
      <c r="H45" s="113">
        <f ca="1">IFERROR(__xludf.DUMMYFUNCTION("""COMPUTED_VALUE"""),0)</f>
        <v>0</v>
      </c>
      <c r="I45" s="111"/>
      <c r="J45" s="111">
        <f ca="1">IFERROR(__xludf.DUMMYFUNCTION("""COMPUTED_VALUE"""),0)</f>
        <v>0</v>
      </c>
      <c r="K45" s="113">
        <f ca="1">IFERROR(__xludf.DUMMYFUNCTION("""COMPUTED_VALUE"""),0)</f>
        <v>0</v>
      </c>
      <c r="L45" s="114" t="str">
        <f ca="1">IFERROR(__xludf.DUMMYFUNCTION("""COMPUTED_VALUE"""),"#DIV/0!")</f>
        <v>#DIV/0!</v>
      </c>
      <c r="M45" s="111"/>
      <c r="N45" s="111"/>
      <c r="O45" s="111"/>
      <c r="P45" s="111"/>
      <c r="Q45" s="112"/>
      <c r="R45" s="103"/>
      <c r="S45" s="103"/>
      <c r="T45" s="103"/>
      <c r="U45" s="103"/>
      <c r="V45" s="103"/>
      <c r="W45" s="103"/>
      <c r="X45" s="103"/>
      <c r="Y45" s="103"/>
      <c r="Z45" s="103"/>
      <c r="AA45" s="103"/>
    </row>
    <row r="46" spans="1:27" ht="25.5" x14ac:dyDescent="0.2">
      <c r="A46" s="111"/>
      <c r="B46" s="111" t="str">
        <f ca="1">IFERROR(__xludf.DUMMYFUNCTION("""COMPUTED_VALUE"""),"МинЖКХ")</f>
        <v>МинЖКХ</v>
      </c>
      <c r="C46" s="111" t="str">
        <f ca="1">IFERROR(__xludf.DUMMYFUNCTION("""COMPUTED_VALUE"""),"г.о. Пушкинский")</f>
        <v>г.о. Пушкинский</v>
      </c>
      <c r="D46" s="111" t="str">
        <f ca="1">IFERROR(__xludf.DUMMYFUNCTION("""COMPUTED_VALUE"""),"Реконструкция ВЗУ № 8  пос. Царевское  г.о. Пушкино")</f>
        <v>Реконструкция ВЗУ № 8  пос. Царевское  г.о. Пушкино</v>
      </c>
      <c r="E46" s="111">
        <f ca="1">IFERROR(__xludf.DUMMYFUNCTION("""COMPUTED_VALUE"""),2024)</f>
        <v>2024</v>
      </c>
      <c r="F46" s="113">
        <f ca="1">IFERROR(__xludf.DUMMYFUNCTION("""COMPUTED_VALUE"""),0)</f>
        <v>0</v>
      </c>
      <c r="G46" s="113">
        <f ca="1">IFERROR(__xludf.DUMMYFUNCTION("""COMPUTED_VALUE"""),0)</f>
        <v>0</v>
      </c>
      <c r="H46" s="113">
        <f ca="1">IFERROR(__xludf.DUMMYFUNCTION("""COMPUTED_VALUE"""),0)</f>
        <v>0</v>
      </c>
      <c r="I46" s="111"/>
      <c r="J46" s="111">
        <f ca="1">IFERROR(__xludf.DUMMYFUNCTION("""COMPUTED_VALUE"""),0)</f>
        <v>0</v>
      </c>
      <c r="K46" s="113">
        <f ca="1">IFERROR(__xludf.DUMMYFUNCTION("""COMPUTED_VALUE"""),0)</f>
        <v>0</v>
      </c>
      <c r="L46" s="114" t="str">
        <f ca="1">IFERROR(__xludf.DUMMYFUNCTION("""COMPUTED_VALUE"""),"#DIV/0!")</f>
        <v>#DIV/0!</v>
      </c>
      <c r="M46" s="111"/>
      <c r="N46" s="111"/>
      <c r="O46" s="111"/>
      <c r="P46" s="111"/>
      <c r="Q46" s="112"/>
      <c r="R46" s="103"/>
      <c r="S46" s="103"/>
      <c r="T46" s="103"/>
      <c r="U46" s="103"/>
      <c r="V46" s="103"/>
      <c r="W46" s="103"/>
      <c r="X46" s="103"/>
      <c r="Y46" s="103"/>
      <c r="Z46" s="103"/>
      <c r="AA46" s="103"/>
    </row>
    <row r="47" spans="1:27" ht="63.75" x14ac:dyDescent="0.2">
      <c r="A47" s="111"/>
      <c r="B47" s="111" t="str">
        <f ca="1">IFERROR(__xludf.DUMMYFUNCTION("""COMPUTED_VALUE"""),"МинЖКХ")</f>
        <v>МинЖКХ</v>
      </c>
      <c r="C47" s="111" t="str">
        <f ca="1">IFERROR(__xludf.DUMMYFUNCTION("""COMPUTED_VALUE"""),"г.о. Можайск")</f>
        <v>г.о. Можайск</v>
      </c>
      <c r="D47" s="111" t="str">
        <f ca="1">IFERROR(__xludf.DUMMYFUNCTION("""COMPUTED_VALUE"""),"Реконструкция ВЗУ Большие Парфенки Московская область, Можайский городской округ, с.п. Борисовское, д. Большие Парфенки")</f>
        <v>Реконструкция ВЗУ Большие Парфенки Московская область, Можайский городской округ, с.п. Борисовское, д. Большие Парфенки</v>
      </c>
      <c r="E47" s="111">
        <f ca="1">IFERROR(__xludf.DUMMYFUNCTION("""COMPUTED_VALUE"""),2022)</f>
        <v>2022</v>
      </c>
      <c r="F47" s="113">
        <f ca="1">IFERROR(__xludf.DUMMYFUNCTION("""COMPUTED_VALUE"""),0)</f>
        <v>0</v>
      </c>
      <c r="G47" s="113">
        <f ca="1">IFERROR(__xludf.DUMMYFUNCTION("""COMPUTED_VALUE"""),0)</f>
        <v>0</v>
      </c>
      <c r="H47" s="113">
        <f ca="1">IFERROR(__xludf.DUMMYFUNCTION("""COMPUTED_VALUE"""),0)</f>
        <v>0</v>
      </c>
      <c r="I47" s="111"/>
      <c r="J47" s="111">
        <f ca="1">IFERROR(__xludf.DUMMYFUNCTION("""COMPUTED_VALUE"""),0)</f>
        <v>0</v>
      </c>
      <c r="K47" s="113">
        <f ca="1">IFERROR(__xludf.DUMMYFUNCTION("""COMPUTED_VALUE"""),0)</f>
        <v>0</v>
      </c>
      <c r="L47" s="114" t="str">
        <f ca="1">IFERROR(__xludf.DUMMYFUNCTION("""COMPUTED_VALUE"""),"#DIV/0!")</f>
        <v>#DIV/0!</v>
      </c>
      <c r="M47" s="111"/>
      <c r="N47" s="111"/>
      <c r="O47" s="111"/>
      <c r="P47" s="111"/>
      <c r="Q47" s="112"/>
      <c r="R47" s="103"/>
      <c r="S47" s="103"/>
      <c r="T47" s="103"/>
      <c r="U47" s="103"/>
      <c r="V47" s="103"/>
      <c r="W47" s="103"/>
      <c r="X47" s="103"/>
      <c r="Y47" s="103"/>
      <c r="Z47" s="103"/>
      <c r="AA47" s="103"/>
    </row>
    <row r="48" spans="1:27" ht="25.5" x14ac:dyDescent="0.2">
      <c r="A48" s="111"/>
      <c r="B48" s="111" t="str">
        <f ca="1">IFERROR(__xludf.DUMMYFUNCTION("""COMPUTED_VALUE"""),"МинЖКХ")</f>
        <v>МинЖКХ</v>
      </c>
      <c r="C48" s="111" t="str">
        <f ca="1">IFERROR(__xludf.DUMMYFUNCTION("""COMPUTED_VALUE"""),"г.о. Солнечногорск")</f>
        <v>г.о. Солнечногорск</v>
      </c>
      <c r="D48" s="111" t="str">
        <f ca="1">IFERROR(__xludf.DUMMYFUNCTION("""COMPUTED_VALUE"""),"Реконструкция ВЗУ № 5 ЦМИС г.о. Солнечногорск")</f>
        <v>Реконструкция ВЗУ № 5 ЦМИС г.о. Солнечногорск</v>
      </c>
      <c r="E48" s="111">
        <f ca="1">IFERROR(__xludf.DUMMYFUNCTION("""COMPUTED_VALUE"""),2022)</f>
        <v>2022</v>
      </c>
      <c r="F48" s="113">
        <f ca="1">IFERROR(__xludf.DUMMYFUNCTION("""COMPUTED_VALUE"""),0)</f>
        <v>0</v>
      </c>
      <c r="G48" s="113">
        <f ca="1">IFERROR(__xludf.DUMMYFUNCTION("""COMPUTED_VALUE"""),0)</f>
        <v>0</v>
      </c>
      <c r="H48" s="113">
        <f ca="1">IFERROR(__xludf.DUMMYFUNCTION("""COMPUTED_VALUE"""),0)</f>
        <v>0</v>
      </c>
      <c r="I48" s="111"/>
      <c r="J48" s="111">
        <f ca="1">IFERROR(__xludf.DUMMYFUNCTION("""COMPUTED_VALUE"""),0)</f>
        <v>0</v>
      </c>
      <c r="K48" s="113">
        <f ca="1">IFERROR(__xludf.DUMMYFUNCTION("""COMPUTED_VALUE"""),0)</f>
        <v>0</v>
      </c>
      <c r="L48" s="114" t="str">
        <f ca="1">IFERROR(__xludf.DUMMYFUNCTION("""COMPUTED_VALUE"""),"#DIV/0!")</f>
        <v>#DIV/0!</v>
      </c>
      <c r="M48" s="111"/>
      <c r="N48" s="111"/>
      <c r="O48" s="111"/>
      <c r="P48" s="111"/>
      <c r="Q48" s="112"/>
      <c r="R48" s="103"/>
      <c r="S48" s="103"/>
      <c r="T48" s="103"/>
      <c r="U48" s="103"/>
      <c r="V48" s="103"/>
      <c r="W48" s="103"/>
      <c r="X48" s="103"/>
      <c r="Y48" s="103"/>
      <c r="Z48" s="103"/>
      <c r="AA48" s="103"/>
    </row>
    <row r="49" spans="1:27" ht="25.5" x14ac:dyDescent="0.2">
      <c r="A49" s="111"/>
      <c r="B49" s="111" t="str">
        <f ca="1">IFERROR(__xludf.DUMMYFUNCTION("""COMPUTED_VALUE"""),"МинЖКХ")</f>
        <v>МинЖКХ</v>
      </c>
      <c r="C49" s="111" t="str">
        <f ca="1">IFERROR(__xludf.DUMMYFUNCTION("""COMPUTED_VALUE"""),"г.о. Солнечногорск")</f>
        <v>г.о. Солнечногорск</v>
      </c>
      <c r="D49" s="111" t="str">
        <f ca="1">IFERROR(__xludf.DUMMYFUNCTION("""COMPUTED_VALUE"""),"Реконструкция ВЗУ д.Брехово г.о. Солнечногорск")</f>
        <v>Реконструкция ВЗУ д.Брехово г.о. Солнечногорск</v>
      </c>
      <c r="E49" s="111">
        <f ca="1">IFERROR(__xludf.DUMMYFUNCTION("""COMPUTED_VALUE"""),2022)</f>
        <v>2022</v>
      </c>
      <c r="F49" s="113">
        <f ca="1">IFERROR(__xludf.DUMMYFUNCTION("""COMPUTED_VALUE"""),0)</f>
        <v>0</v>
      </c>
      <c r="G49" s="113">
        <f ca="1">IFERROR(__xludf.DUMMYFUNCTION("""COMPUTED_VALUE"""),0)</f>
        <v>0</v>
      </c>
      <c r="H49" s="113">
        <f ca="1">IFERROR(__xludf.DUMMYFUNCTION("""COMPUTED_VALUE"""),0)</f>
        <v>0</v>
      </c>
      <c r="I49" s="111"/>
      <c r="J49" s="111">
        <f ca="1">IFERROR(__xludf.DUMMYFUNCTION("""COMPUTED_VALUE"""),0)</f>
        <v>0</v>
      </c>
      <c r="K49" s="113">
        <f ca="1">IFERROR(__xludf.DUMMYFUNCTION("""COMPUTED_VALUE"""),0)</f>
        <v>0</v>
      </c>
      <c r="L49" s="114" t="str">
        <f ca="1">IFERROR(__xludf.DUMMYFUNCTION("""COMPUTED_VALUE"""),"#DIV/0!")</f>
        <v>#DIV/0!</v>
      </c>
      <c r="M49" s="111"/>
      <c r="N49" s="111"/>
      <c r="O49" s="111"/>
      <c r="P49" s="111"/>
      <c r="Q49" s="112"/>
      <c r="R49" s="103"/>
      <c r="S49" s="103"/>
      <c r="T49" s="103"/>
      <c r="U49" s="103"/>
      <c r="V49" s="103"/>
      <c r="W49" s="103"/>
      <c r="X49" s="103"/>
      <c r="Y49" s="103"/>
      <c r="Z49" s="103"/>
      <c r="AA49" s="103"/>
    </row>
    <row r="50" spans="1:27" ht="25.5" x14ac:dyDescent="0.2">
      <c r="A50" s="111"/>
      <c r="B50" s="111" t="str">
        <f ca="1">IFERROR(__xludf.DUMMYFUNCTION("""COMPUTED_VALUE"""),"МинЖКХ")</f>
        <v>МинЖКХ</v>
      </c>
      <c r="C50" s="111" t="str">
        <f ca="1">IFERROR(__xludf.DUMMYFUNCTION("""COMPUTED_VALUE"""),"г.о. Солнечногорск")</f>
        <v>г.о. Солнечногорск</v>
      </c>
      <c r="D50" s="111" t="str">
        <f ca="1">IFERROR(__xludf.DUMMYFUNCTION("""COMPUTED_VALUE"""),"Реконструкция ВЗУ №4 д. Кресты  г.о. Солнечногорск")</f>
        <v>Реконструкция ВЗУ №4 д. Кресты  г.о. Солнечногорск</v>
      </c>
      <c r="E50" s="111">
        <f ca="1">IFERROR(__xludf.DUMMYFUNCTION("""COMPUTED_VALUE"""),2022)</f>
        <v>2022</v>
      </c>
      <c r="F50" s="113">
        <f ca="1">IFERROR(__xludf.DUMMYFUNCTION("""COMPUTED_VALUE"""),0)</f>
        <v>0</v>
      </c>
      <c r="G50" s="113">
        <f ca="1">IFERROR(__xludf.DUMMYFUNCTION("""COMPUTED_VALUE"""),0)</f>
        <v>0</v>
      </c>
      <c r="H50" s="113">
        <f ca="1">IFERROR(__xludf.DUMMYFUNCTION("""COMPUTED_VALUE"""),0)</f>
        <v>0</v>
      </c>
      <c r="I50" s="111"/>
      <c r="J50" s="111">
        <f ca="1">IFERROR(__xludf.DUMMYFUNCTION("""COMPUTED_VALUE"""),0)</f>
        <v>0</v>
      </c>
      <c r="K50" s="113">
        <f ca="1">IFERROR(__xludf.DUMMYFUNCTION("""COMPUTED_VALUE"""),0)</f>
        <v>0</v>
      </c>
      <c r="L50" s="114" t="str">
        <f ca="1">IFERROR(__xludf.DUMMYFUNCTION("""COMPUTED_VALUE"""),"#DIV/0!")</f>
        <v>#DIV/0!</v>
      </c>
      <c r="M50" s="111"/>
      <c r="N50" s="111"/>
      <c r="O50" s="111"/>
      <c r="P50" s="111"/>
      <c r="Q50" s="112"/>
      <c r="R50" s="103"/>
      <c r="S50" s="103"/>
      <c r="T50" s="103"/>
      <c r="U50" s="103"/>
      <c r="V50" s="103"/>
      <c r="W50" s="103"/>
      <c r="X50" s="103"/>
      <c r="Y50" s="103"/>
      <c r="Z50" s="103"/>
      <c r="AA50" s="103"/>
    </row>
    <row r="51" spans="1:27" ht="25.5" x14ac:dyDescent="0.2">
      <c r="A51" s="111"/>
      <c r="B51" s="111" t="str">
        <f ca="1">IFERROR(__xludf.DUMMYFUNCTION("""COMPUTED_VALUE"""),"МинЖКХ")</f>
        <v>МинЖКХ</v>
      </c>
      <c r="C51" s="111" t="str">
        <f ca="1">IFERROR(__xludf.DUMMYFUNCTION("""COMPUTED_VALUE"""),"г.о. Солнечногорск")</f>
        <v>г.о. Солнечногорск</v>
      </c>
      <c r="D51" s="111" t="str">
        <f ca="1">IFERROR(__xludf.DUMMYFUNCTION("""COMPUTED_VALUE"""),"Реконструкция ВЗУ №8 д. Тимоново  г.о. Солнечногорск")</f>
        <v>Реконструкция ВЗУ №8 д. Тимоново  г.о. Солнечногорск</v>
      </c>
      <c r="E51" s="111" t="str">
        <f ca="1">IFERROR(__xludf.DUMMYFUNCTION("""COMPUTED_VALUE"""),"Н/Л")</f>
        <v>Н/Л</v>
      </c>
      <c r="F51" s="113">
        <f ca="1">IFERROR(__xludf.DUMMYFUNCTION("""COMPUTED_VALUE"""),0)</f>
        <v>0</v>
      </c>
      <c r="G51" s="113">
        <f ca="1">IFERROR(__xludf.DUMMYFUNCTION("""COMPUTED_VALUE"""),0)</f>
        <v>0</v>
      </c>
      <c r="H51" s="113">
        <f ca="1">IFERROR(__xludf.DUMMYFUNCTION("""COMPUTED_VALUE"""),0)</f>
        <v>0</v>
      </c>
      <c r="I51" s="111"/>
      <c r="J51" s="111">
        <f ca="1">IFERROR(__xludf.DUMMYFUNCTION("""COMPUTED_VALUE"""),0)</f>
        <v>0</v>
      </c>
      <c r="K51" s="113">
        <f ca="1">IFERROR(__xludf.DUMMYFUNCTION("""COMPUTED_VALUE"""),0)</f>
        <v>0</v>
      </c>
      <c r="L51" s="114" t="str">
        <f ca="1">IFERROR(__xludf.DUMMYFUNCTION("""COMPUTED_VALUE"""),"#DIV/0!")</f>
        <v>#DIV/0!</v>
      </c>
      <c r="M51" s="111"/>
      <c r="N51" s="111"/>
      <c r="O51" s="111"/>
      <c r="P51" s="111"/>
      <c r="Q51" s="112"/>
      <c r="R51" s="103"/>
      <c r="S51" s="103"/>
      <c r="T51" s="103"/>
      <c r="U51" s="103"/>
      <c r="V51" s="103"/>
      <c r="W51" s="103"/>
      <c r="X51" s="103"/>
      <c r="Y51" s="103"/>
      <c r="Z51" s="103"/>
      <c r="AA51" s="103"/>
    </row>
    <row r="52" spans="1:27" ht="25.5" x14ac:dyDescent="0.2">
      <c r="A52" s="111"/>
      <c r="B52" s="111" t="str">
        <f ca="1">IFERROR(__xludf.DUMMYFUNCTION("""COMPUTED_VALUE"""),"МинЖКХ")</f>
        <v>МинЖКХ</v>
      </c>
      <c r="C52" s="111" t="str">
        <f ca="1">IFERROR(__xludf.DUMMYFUNCTION("""COMPUTED_VALUE"""),"г.о. Солнечногорск")</f>
        <v>г.о. Солнечногорск</v>
      </c>
      <c r="D52" s="111" t="str">
        <f ca="1">IFERROR(__xludf.DUMMYFUNCTION("""COMPUTED_VALUE"""),"Реконструкция ВЗУ №6 СЭМЗ  г.о. Солнечногорск")</f>
        <v>Реконструкция ВЗУ №6 СЭМЗ  г.о. Солнечногорск</v>
      </c>
      <c r="E52" s="111" t="str">
        <f ca="1">IFERROR(__xludf.DUMMYFUNCTION("""COMPUTED_VALUE"""),"Н/Л")</f>
        <v>Н/Л</v>
      </c>
      <c r="F52" s="113">
        <f ca="1">IFERROR(__xludf.DUMMYFUNCTION("""COMPUTED_VALUE"""),0)</f>
        <v>0</v>
      </c>
      <c r="G52" s="113">
        <f ca="1">IFERROR(__xludf.DUMMYFUNCTION("""COMPUTED_VALUE"""),0)</f>
        <v>0</v>
      </c>
      <c r="H52" s="113">
        <f ca="1">IFERROR(__xludf.DUMMYFUNCTION("""COMPUTED_VALUE"""),0)</f>
        <v>0</v>
      </c>
      <c r="I52" s="111"/>
      <c r="J52" s="111">
        <f ca="1">IFERROR(__xludf.DUMMYFUNCTION("""COMPUTED_VALUE"""),0)</f>
        <v>0</v>
      </c>
      <c r="K52" s="113">
        <f ca="1">IFERROR(__xludf.DUMMYFUNCTION("""COMPUTED_VALUE"""),0)</f>
        <v>0</v>
      </c>
      <c r="L52" s="114" t="str">
        <f ca="1">IFERROR(__xludf.DUMMYFUNCTION("""COMPUTED_VALUE"""),"#DIV/0!")</f>
        <v>#DIV/0!</v>
      </c>
      <c r="M52" s="111"/>
      <c r="N52" s="111"/>
      <c r="O52" s="111"/>
      <c r="P52" s="111"/>
      <c r="Q52" s="112"/>
      <c r="R52" s="103"/>
      <c r="S52" s="103"/>
      <c r="T52" s="103"/>
      <c r="U52" s="103"/>
      <c r="V52" s="103"/>
      <c r="W52" s="103"/>
      <c r="X52" s="103"/>
      <c r="Y52" s="103"/>
      <c r="Z52" s="103"/>
      <c r="AA52" s="103"/>
    </row>
    <row r="53" spans="1:27" ht="25.5" x14ac:dyDescent="0.2">
      <c r="A53" s="111"/>
      <c r="B53" s="111" t="str">
        <f ca="1">IFERROR(__xludf.DUMMYFUNCTION("""COMPUTED_VALUE"""),"МинЖКХ")</f>
        <v>МинЖКХ</v>
      </c>
      <c r="C53" s="111" t="str">
        <f ca="1">IFERROR(__xludf.DUMMYFUNCTION("""COMPUTED_VALUE"""),"г.о. Солнечногорск")</f>
        <v>г.о. Солнечногорск</v>
      </c>
      <c r="D53" s="111" t="str">
        <f ca="1">IFERROR(__xludf.DUMMYFUNCTION("""COMPUTED_VALUE"""),"Реконструкция ВЗУ №2 ул. Рабочая  г.о. Солнечногорск")</f>
        <v>Реконструкция ВЗУ №2 ул. Рабочая  г.о. Солнечногорск</v>
      </c>
      <c r="E53" s="111">
        <f ca="1">IFERROR(__xludf.DUMMYFUNCTION("""COMPUTED_VALUE"""),2023)</f>
        <v>2023</v>
      </c>
      <c r="F53" s="113">
        <f ca="1">IFERROR(__xludf.DUMMYFUNCTION("""COMPUTED_VALUE"""),0)</f>
        <v>0</v>
      </c>
      <c r="G53" s="113">
        <f ca="1">IFERROR(__xludf.DUMMYFUNCTION("""COMPUTED_VALUE"""),0)</f>
        <v>0</v>
      </c>
      <c r="H53" s="113">
        <f ca="1">IFERROR(__xludf.DUMMYFUNCTION("""COMPUTED_VALUE"""),0)</f>
        <v>0</v>
      </c>
      <c r="I53" s="111"/>
      <c r="J53" s="111">
        <f ca="1">IFERROR(__xludf.DUMMYFUNCTION("""COMPUTED_VALUE"""),0)</f>
        <v>0</v>
      </c>
      <c r="K53" s="113">
        <f ca="1">IFERROR(__xludf.DUMMYFUNCTION("""COMPUTED_VALUE"""),0)</f>
        <v>0</v>
      </c>
      <c r="L53" s="114" t="str">
        <f ca="1">IFERROR(__xludf.DUMMYFUNCTION("""COMPUTED_VALUE"""),"#DIV/0!")</f>
        <v>#DIV/0!</v>
      </c>
      <c r="M53" s="111"/>
      <c r="N53" s="111"/>
      <c r="O53" s="111"/>
      <c r="P53" s="111"/>
      <c r="Q53" s="112"/>
      <c r="R53" s="103"/>
      <c r="S53" s="103"/>
      <c r="T53" s="103"/>
      <c r="U53" s="103"/>
      <c r="V53" s="103"/>
      <c r="W53" s="103"/>
      <c r="X53" s="103"/>
      <c r="Y53" s="103"/>
      <c r="Z53" s="103"/>
      <c r="AA53" s="103"/>
    </row>
    <row r="54" spans="1:27" ht="25.5" x14ac:dyDescent="0.2">
      <c r="A54" s="111"/>
      <c r="B54" s="111" t="str">
        <f ca="1">IFERROR(__xludf.DUMMYFUNCTION("""COMPUTED_VALUE"""),"МинЖКХ")</f>
        <v>МинЖКХ</v>
      </c>
      <c r="C54" s="111" t="str">
        <f ca="1">IFERROR(__xludf.DUMMYFUNCTION("""COMPUTED_VALUE"""),"г.о. Солнечногорск")</f>
        <v>г.о. Солнечногорск</v>
      </c>
      <c r="D54" s="111" t="str">
        <f ca="1">IFERROR(__xludf.DUMMYFUNCTION("""COMPUTED_VALUE"""),"Реконструкция ВЗУ №1Ул. Крупской  г.о. Солнечногорск")</f>
        <v>Реконструкция ВЗУ №1Ул. Крупской  г.о. Солнечногорск</v>
      </c>
      <c r="E54" s="111" t="str">
        <f ca="1">IFERROR(__xludf.DUMMYFUNCTION("""COMPUTED_VALUE"""),"Н/Л")</f>
        <v>Н/Л</v>
      </c>
      <c r="F54" s="113">
        <f ca="1">IFERROR(__xludf.DUMMYFUNCTION("""COMPUTED_VALUE"""),0)</f>
        <v>0</v>
      </c>
      <c r="G54" s="113">
        <f ca="1">IFERROR(__xludf.DUMMYFUNCTION("""COMPUTED_VALUE"""),0)</f>
        <v>0</v>
      </c>
      <c r="H54" s="113">
        <f ca="1">IFERROR(__xludf.DUMMYFUNCTION("""COMPUTED_VALUE"""),0)</f>
        <v>0</v>
      </c>
      <c r="I54" s="111"/>
      <c r="J54" s="111">
        <f ca="1">IFERROR(__xludf.DUMMYFUNCTION("""COMPUTED_VALUE"""),0)</f>
        <v>0</v>
      </c>
      <c r="K54" s="113">
        <f ca="1">IFERROR(__xludf.DUMMYFUNCTION("""COMPUTED_VALUE"""),0)</f>
        <v>0</v>
      </c>
      <c r="L54" s="114" t="str">
        <f ca="1">IFERROR(__xludf.DUMMYFUNCTION("""COMPUTED_VALUE"""),"#DIV/0!")</f>
        <v>#DIV/0!</v>
      </c>
      <c r="M54" s="111"/>
      <c r="N54" s="111"/>
      <c r="O54" s="111"/>
      <c r="P54" s="111"/>
      <c r="Q54" s="112"/>
      <c r="R54" s="103"/>
      <c r="S54" s="103"/>
      <c r="T54" s="103"/>
      <c r="U54" s="103"/>
      <c r="V54" s="103"/>
      <c r="W54" s="103"/>
      <c r="X54" s="103"/>
      <c r="Y54" s="103"/>
      <c r="Z54" s="103"/>
      <c r="AA54" s="103"/>
    </row>
    <row r="55" spans="1:27" ht="25.5" x14ac:dyDescent="0.2">
      <c r="A55" s="111"/>
      <c r="B55" s="111" t="str">
        <f ca="1">IFERROR(__xludf.DUMMYFUNCTION("""COMPUTED_VALUE"""),"МинЖКХ")</f>
        <v>МинЖКХ</v>
      </c>
      <c r="C55" s="111" t="str">
        <f ca="1">IFERROR(__xludf.DUMMYFUNCTION("""COMPUTED_VALUE"""),"г.о. Солнечногорск")</f>
        <v>г.о. Солнечногорск</v>
      </c>
      <c r="D55" s="111" t="str">
        <f ca="1">IFERROR(__xludf.DUMMYFUNCTION("""COMPUTED_VALUE"""),"Реконструкция ВЗУ №3 пос. Матросова  г.о. Солнечногорск")</f>
        <v>Реконструкция ВЗУ №3 пос. Матросова  г.о. Солнечногорск</v>
      </c>
      <c r="E55" s="111" t="str">
        <f ca="1">IFERROR(__xludf.DUMMYFUNCTION("""COMPUTED_VALUE"""),"Н/Л")</f>
        <v>Н/Л</v>
      </c>
      <c r="F55" s="113">
        <f ca="1">IFERROR(__xludf.DUMMYFUNCTION("""COMPUTED_VALUE"""),0)</f>
        <v>0</v>
      </c>
      <c r="G55" s="113">
        <f ca="1">IFERROR(__xludf.DUMMYFUNCTION("""COMPUTED_VALUE"""),0)</f>
        <v>0</v>
      </c>
      <c r="H55" s="113">
        <f ca="1">IFERROR(__xludf.DUMMYFUNCTION("""COMPUTED_VALUE"""),0)</f>
        <v>0</v>
      </c>
      <c r="I55" s="111"/>
      <c r="J55" s="111">
        <f ca="1">IFERROR(__xludf.DUMMYFUNCTION("""COMPUTED_VALUE"""),0)</f>
        <v>0</v>
      </c>
      <c r="K55" s="113">
        <f ca="1">IFERROR(__xludf.DUMMYFUNCTION("""COMPUTED_VALUE"""),0)</f>
        <v>0</v>
      </c>
      <c r="L55" s="114" t="str">
        <f ca="1">IFERROR(__xludf.DUMMYFUNCTION("""COMPUTED_VALUE"""),"#DIV/0!")</f>
        <v>#DIV/0!</v>
      </c>
      <c r="M55" s="111"/>
      <c r="N55" s="111"/>
      <c r="O55" s="111"/>
      <c r="P55" s="111"/>
      <c r="Q55" s="112"/>
      <c r="R55" s="103"/>
      <c r="S55" s="103"/>
      <c r="T55" s="103"/>
      <c r="U55" s="103"/>
      <c r="V55" s="103"/>
      <c r="W55" s="103"/>
      <c r="X55" s="103"/>
      <c r="Y55" s="103"/>
      <c r="Z55" s="103"/>
      <c r="AA55" s="103"/>
    </row>
    <row r="56" spans="1:27" ht="25.5" x14ac:dyDescent="0.2">
      <c r="A56" s="111"/>
      <c r="B56" s="111" t="str">
        <f ca="1">IFERROR(__xludf.DUMMYFUNCTION("""COMPUTED_VALUE"""),"МинЖКХ")</f>
        <v>МинЖКХ</v>
      </c>
      <c r="C56" s="111" t="str">
        <f ca="1">IFERROR(__xludf.DUMMYFUNCTION("""COMPUTED_VALUE"""),"г.о. Солнечногорск")</f>
        <v>г.о. Солнечногорск</v>
      </c>
      <c r="D56" s="111" t="str">
        <f ca="1">IFERROR(__xludf.DUMMYFUNCTION("""COMPUTED_VALUE"""),"Реконструкция ВЗУ №9 пос. Сан.МО  г.о. Солнечногорск")</f>
        <v>Реконструкция ВЗУ №9 пос. Сан.МО  г.о. Солнечногорск</v>
      </c>
      <c r="E56" s="111">
        <f ca="1">IFERROR(__xludf.DUMMYFUNCTION("""COMPUTED_VALUE"""),2022)</f>
        <v>2022</v>
      </c>
      <c r="F56" s="113">
        <f ca="1">IFERROR(__xludf.DUMMYFUNCTION("""COMPUTED_VALUE"""),0)</f>
        <v>0</v>
      </c>
      <c r="G56" s="113">
        <f ca="1">IFERROR(__xludf.DUMMYFUNCTION("""COMPUTED_VALUE"""),0)</f>
        <v>0</v>
      </c>
      <c r="H56" s="113">
        <f ca="1">IFERROR(__xludf.DUMMYFUNCTION("""COMPUTED_VALUE"""),0)</f>
        <v>0</v>
      </c>
      <c r="I56" s="111"/>
      <c r="J56" s="111">
        <f ca="1">IFERROR(__xludf.DUMMYFUNCTION("""COMPUTED_VALUE"""),0)</f>
        <v>0</v>
      </c>
      <c r="K56" s="113">
        <f ca="1">IFERROR(__xludf.DUMMYFUNCTION("""COMPUTED_VALUE"""),0)</f>
        <v>0</v>
      </c>
      <c r="L56" s="114" t="str">
        <f ca="1">IFERROR(__xludf.DUMMYFUNCTION("""COMPUTED_VALUE"""),"#DIV/0!")</f>
        <v>#DIV/0!</v>
      </c>
      <c r="M56" s="111"/>
      <c r="N56" s="111"/>
      <c r="O56" s="111"/>
      <c r="P56" s="111"/>
      <c r="Q56" s="112"/>
      <c r="R56" s="103"/>
      <c r="S56" s="103"/>
      <c r="T56" s="103"/>
      <c r="U56" s="103"/>
      <c r="V56" s="103"/>
      <c r="W56" s="103"/>
      <c r="X56" s="103"/>
      <c r="Y56" s="103"/>
      <c r="Z56" s="103"/>
      <c r="AA56" s="103"/>
    </row>
    <row r="57" spans="1:27" ht="63.75" x14ac:dyDescent="0.2">
      <c r="A57" s="111"/>
      <c r="B57" s="111" t="str">
        <f ca="1">IFERROR(__xludf.DUMMYFUNCTION("""COMPUTED_VALUE"""),"МинЖКХ")</f>
        <v>МинЖКХ</v>
      </c>
      <c r="C57" s="111" t="str">
        <f ca="1">IFERROR(__xludf.DUMMYFUNCTION("""COMPUTED_VALUE"""),"г.о. Солнечногорск")</f>
        <v>г.о. Солнечногорск</v>
      </c>
      <c r="D57" s="111" t="str">
        <f ca="1">IFERROR(__xludf.DUMMYFUNCTION("""COMPUTED_VALUE"""),"Реконструкция ВЗУ №14  д. Новая  городского округа Солнечногорск (доукомплектация станцией очистки воды) (в т.ч. Тех.присоединение)")</f>
        <v>Реконструкция ВЗУ №14  д. Новая  городского округа Солнечногорск (доукомплектация станцией очистки воды) (в т.ч. Тех.присоединение)</v>
      </c>
      <c r="E57" s="111">
        <f ca="1">IFERROR(__xludf.DUMMYFUNCTION("""COMPUTED_VALUE"""),2021)</f>
        <v>2021</v>
      </c>
      <c r="F57" s="113">
        <f ca="1">IFERROR(__xludf.DUMMYFUNCTION("""COMPUTED_VALUE"""),0)</f>
        <v>0</v>
      </c>
      <c r="G57" s="113">
        <f ca="1">IFERROR(__xludf.DUMMYFUNCTION("""COMPUTED_VALUE"""),0)</f>
        <v>0</v>
      </c>
      <c r="H57" s="113">
        <f ca="1">IFERROR(__xludf.DUMMYFUNCTION("""COMPUTED_VALUE"""),0)</f>
        <v>0</v>
      </c>
      <c r="I57" s="111"/>
      <c r="J57" s="111">
        <f ca="1">IFERROR(__xludf.DUMMYFUNCTION("""COMPUTED_VALUE"""),0)</f>
        <v>0</v>
      </c>
      <c r="K57" s="113">
        <f ca="1">IFERROR(__xludf.DUMMYFUNCTION("""COMPUTED_VALUE"""),0)</f>
        <v>0</v>
      </c>
      <c r="L57" s="114" t="str">
        <f ca="1">IFERROR(__xludf.DUMMYFUNCTION("""COMPUTED_VALUE"""),"#DIV/0!")</f>
        <v>#DIV/0!</v>
      </c>
      <c r="M57" s="111"/>
      <c r="N57" s="111"/>
      <c r="O57" s="111"/>
      <c r="P57" s="111"/>
      <c r="Q57" s="112"/>
      <c r="R57" s="103"/>
      <c r="S57" s="103"/>
      <c r="T57" s="103"/>
      <c r="U57" s="103"/>
      <c r="V57" s="103"/>
      <c r="W57" s="103"/>
      <c r="X57" s="103"/>
      <c r="Y57" s="103"/>
      <c r="Z57" s="103"/>
      <c r="AA57" s="103"/>
    </row>
    <row r="58" spans="1:27" ht="25.5" x14ac:dyDescent="0.2">
      <c r="A58" s="111"/>
      <c r="B58" s="111" t="str">
        <f ca="1">IFERROR(__xludf.DUMMYFUNCTION("""COMPUTED_VALUE"""),"МинЖКХ")</f>
        <v>МинЖКХ</v>
      </c>
      <c r="C58" s="111" t="str">
        <f ca="1">IFERROR(__xludf.DUMMYFUNCTION("""COMPUTED_VALUE"""),"г.о. Солнечногорск")</f>
        <v>г.о. Солнечногорск</v>
      </c>
      <c r="D58" s="111" t="str">
        <f ca="1">IFERROR(__xludf.DUMMYFUNCTION("""COMPUTED_VALUE"""),"Реконструкция ВЗУ №19 д. Толстяково г.о. Солнечногорск")</f>
        <v>Реконструкция ВЗУ №19 д. Толстяково г.о. Солнечногорск</v>
      </c>
      <c r="E58" s="111">
        <f ca="1">IFERROR(__xludf.DUMMYFUNCTION("""COMPUTED_VALUE"""),2022)</f>
        <v>2022</v>
      </c>
      <c r="F58" s="113">
        <f ca="1">IFERROR(__xludf.DUMMYFUNCTION("""COMPUTED_VALUE"""),0)</f>
        <v>0</v>
      </c>
      <c r="G58" s="113">
        <f ca="1">IFERROR(__xludf.DUMMYFUNCTION("""COMPUTED_VALUE"""),0)</f>
        <v>0</v>
      </c>
      <c r="H58" s="113">
        <f ca="1">IFERROR(__xludf.DUMMYFUNCTION("""COMPUTED_VALUE"""),0)</f>
        <v>0</v>
      </c>
      <c r="I58" s="111"/>
      <c r="J58" s="111">
        <f ca="1">IFERROR(__xludf.DUMMYFUNCTION("""COMPUTED_VALUE"""),0)</f>
        <v>0</v>
      </c>
      <c r="K58" s="113">
        <f ca="1">IFERROR(__xludf.DUMMYFUNCTION("""COMPUTED_VALUE"""),0)</f>
        <v>0</v>
      </c>
      <c r="L58" s="114" t="str">
        <f ca="1">IFERROR(__xludf.DUMMYFUNCTION("""COMPUTED_VALUE"""),"#DIV/0!")</f>
        <v>#DIV/0!</v>
      </c>
      <c r="M58" s="111"/>
      <c r="N58" s="111"/>
      <c r="O58" s="111"/>
      <c r="P58" s="111"/>
      <c r="Q58" s="112"/>
      <c r="R58" s="103"/>
      <c r="S58" s="103"/>
      <c r="T58" s="103"/>
      <c r="U58" s="103"/>
      <c r="V58" s="103"/>
      <c r="W58" s="103"/>
      <c r="X58" s="103"/>
      <c r="Y58" s="103"/>
      <c r="Z58" s="103"/>
      <c r="AA58" s="103"/>
    </row>
    <row r="59" spans="1:27" ht="63.75" x14ac:dyDescent="0.2">
      <c r="A59" s="111"/>
      <c r="B59" s="111" t="str">
        <f ca="1">IFERROR(__xludf.DUMMYFUNCTION("""COMPUTED_VALUE"""),"МинЖКХ")</f>
        <v>МинЖКХ</v>
      </c>
      <c r="C59" s="111" t="str">
        <f ca="1">IFERROR(__xludf.DUMMYFUNCTION("""COMPUTED_VALUE"""),"г.о. Солнечногорск")</f>
        <v>г.о. Солнечногорск</v>
      </c>
      <c r="D59" s="111" t="str">
        <f ca="1">IFERROR(__xludf.DUMMYFUNCTION("""COMPUTED_VALUE"""),"Реконструкция ВЗУ №1 д.п. Поварово мкрн. Поваровка городского округа Солнечногорск (доукомплектация станцией очистки воды)")</f>
        <v>Реконструкция ВЗУ №1 д.п. Поварово мкрн. Поваровка городского округа Солнечногорск (доукомплектация станцией очистки воды)</v>
      </c>
      <c r="E59" s="111" t="str">
        <f ca="1">IFERROR(__xludf.DUMMYFUNCTION("""COMPUTED_VALUE"""),"2021-2022")</f>
        <v>2021-2022</v>
      </c>
      <c r="F59" s="113">
        <f ca="1">IFERROR(__xludf.DUMMYFUNCTION("""COMPUTED_VALUE"""),0)</f>
        <v>0</v>
      </c>
      <c r="G59" s="113">
        <f ca="1">IFERROR(__xludf.DUMMYFUNCTION("""COMPUTED_VALUE"""),0)</f>
        <v>0</v>
      </c>
      <c r="H59" s="113">
        <f ca="1">IFERROR(__xludf.DUMMYFUNCTION("""COMPUTED_VALUE"""),0)</f>
        <v>0</v>
      </c>
      <c r="I59" s="111"/>
      <c r="J59" s="111">
        <f ca="1">IFERROR(__xludf.DUMMYFUNCTION("""COMPUTED_VALUE"""),0)</f>
        <v>0</v>
      </c>
      <c r="K59" s="113">
        <f ca="1">IFERROR(__xludf.DUMMYFUNCTION("""COMPUTED_VALUE"""),0)</f>
        <v>0</v>
      </c>
      <c r="L59" s="114" t="str">
        <f ca="1">IFERROR(__xludf.DUMMYFUNCTION("""COMPUTED_VALUE"""),"#DIV/0!")</f>
        <v>#DIV/0!</v>
      </c>
      <c r="M59" s="111"/>
      <c r="N59" s="111"/>
      <c r="O59" s="111"/>
      <c r="P59" s="111"/>
      <c r="Q59" s="112"/>
      <c r="R59" s="103"/>
      <c r="S59" s="103"/>
      <c r="T59" s="103"/>
      <c r="U59" s="103"/>
      <c r="V59" s="103"/>
      <c r="W59" s="103"/>
      <c r="X59" s="103"/>
      <c r="Y59" s="103"/>
      <c r="Z59" s="103"/>
      <c r="AA59" s="103"/>
    </row>
    <row r="60" spans="1:27" ht="38.25" x14ac:dyDescent="0.2">
      <c r="A60" s="111"/>
      <c r="B60" s="111" t="str">
        <f ca="1">IFERROR(__xludf.DUMMYFUNCTION("""COMPUTED_VALUE"""),"МинЖКХ")</f>
        <v>МинЖКХ</v>
      </c>
      <c r="C60" s="111" t="str">
        <f ca="1">IFERROR(__xludf.DUMMYFUNCTION("""COMPUTED_VALUE"""),"г.о. Дмитровский")</f>
        <v>г.о. Дмитровский</v>
      </c>
      <c r="D60" s="111" t="str">
        <f ca="1">IFERROR(__xludf.DUMMYFUNCTION("""COMPUTED_VALUE"""),"Реконструкция ВЗУ №3 п. Деденево, ул. Набережная, г.о. Дмтровский")</f>
        <v>Реконструкция ВЗУ №3 п. Деденево, ул. Набережная, г.о. Дмтровский</v>
      </c>
      <c r="E60" s="111" t="str">
        <f ca="1">IFERROR(__xludf.DUMMYFUNCTION("""COMPUTED_VALUE"""),"Н/Л")</f>
        <v>Н/Л</v>
      </c>
      <c r="F60" s="113">
        <f ca="1">IFERROR(__xludf.DUMMYFUNCTION("""COMPUTED_VALUE"""),0)</f>
        <v>0</v>
      </c>
      <c r="G60" s="113">
        <f ca="1">IFERROR(__xludf.DUMMYFUNCTION("""COMPUTED_VALUE"""),0)</f>
        <v>0</v>
      </c>
      <c r="H60" s="113">
        <f ca="1">IFERROR(__xludf.DUMMYFUNCTION("""COMPUTED_VALUE"""),0)</f>
        <v>0</v>
      </c>
      <c r="I60" s="111"/>
      <c r="J60" s="111">
        <f ca="1">IFERROR(__xludf.DUMMYFUNCTION("""COMPUTED_VALUE"""),0)</f>
        <v>0</v>
      </c>
      <c r="K60" s="113">
        <f ca="1">IFERROR(__xludf.DUMMYFUNCTION("""COMPUTED_VALUE"""),0)</f>
        <v>0</v>
      </c>
      <c r="L60" s="114" t="str">
        <f ca="1">IFERROR(__xludf.DUMMYFUNCTION("""COMPUTED_VALUE"""),"#DIV/0!")</f>
        <v>#DIV/0!</v>
      </c>
      <c r="M60" s="111"/>
      <c r="N60" s="111"/>
      <c r="O60" s="111"/>
      <c r="P60" s="111"/>
      <c r="Q60" s="112"/>
      <c r="R60" s="103"/>
      <c r="S60" s="103"/>
      <c r="T60" s="103"/>
      <c r="U60" s="103"/>
      <c r="V60" s="103"/>
      <c r="W60" s="103"/>
      <c r="X60" s="103"/>
      <c r="Y60" s="103"/>
      <c r="Z60" s="103"/>
      <c r="AA60" s="103"/>
    </row>
    <row r="61" spans="1:27" ht="25.5" x14ac:dyDescent="0.2">
      <c r="A61" s="111"/>
      <c r="B61" s="111" t="str">
        <f ca="1">IFERROR(__xludf.DUMMYFUNCTION("""COMPUTED_VALUE"""),"МинЖКХ")</f>
        <v>МинЖКХ</v>
      </c>
      <c r="C61" s="111" t="str">
        <f ca="1">IFERROR(__xludf.DUMMYFUNCTION("""COMPUTED_VALUE"""),"г.о. Дмитровский")</f>
        <v>г.о. Дмитровский</v>
      </c>
      <c r="D61" s="111" t="str">
        <f ca="1">IFERROR(__xludf.DUMMYFUNCTION("""COMPUTED_VALUE"""),"Реконструкция ВЗУ№1 г. Яхрома, ул. Рабочая; Дмитровский г.о")</f>
        <v>Реконструкция ВЗУ№1 г. Яхрома, ул. Рабочая; Дмитровский г.о</v>
      </c>
      <c r="E61" s="111">
        <f ca="1">IFERROR(__xludf.DUMMYFUNCTION("""COMPUTED_VALUE"""),2023)</f>
        <v>2023</v>
      </c>
      <c r="F61" s="113">
        <f ca="1">IFERROR(__xludf.DUMMYFUNCTION("""COMPUTED_VALUE"""),0)</f>
        <v>0</v>
      </c>
      <c r="G61" s="113">
        <f ca="1">IFERROR(__xludf.DUMMYFUNCTION("""COMPUTED_VALUE"""),0)</f>
        <v>0</v>
      </c>
      <c r="H61" s="113">
        <f ca="1">IFERROR(__xludf.DUMMYFUNCTION("""COMPUTED_VALUE"""),0)</f>
        <v>0</v>
      </c>
      <c r="I61" s="111"/>
      <c r="J61" s="111">
        <f ca="1">IFERROR(__xludf.DUMMYFUNCTION("""COMPUTED_VALUE"""),0)</f>
        <v>0</v>
      </c>
      <c r="K61" s="113">
        <f ca="1">IFERROR(__xludf.DUMMYFUNCTION("""COMPUTED_VALUE"""),0)</f>
        <v>0</v>
      </c>
      <c r="L61" s="114" t="str">
        <f ca="1">IFERROR(__xludf.DUMMYFUNCTION("""COMPUTED_VALUE"""),"#DIV/0!")</f>
        <v>#DIV/0!</v>
      </c>
      <c r="M61" s="111"/>
      <c r="N61" s="111"/>
      <c r="O61" s="111"/>
      <c r="P61" s="111"/>
      <c r="Q61" s="112"/>
      <c r="R61" s="103"/>
      <c r="S61" s="103"/>
      <c r="T61" s="103"/>
      <c r="U61" s="103"/>
      <c r="V61" s="103"/>
      <c r="W61" s="103"/>
      <c r="X61" s="103"/>
      <c r="Y61" s="103"/>
      <c r="Z61" s="103"/>
      <c r="AA61" s="103"/>
    </row>
    <row r="62" spans="1:27" ht="25.5" x14ac:dyDescent="0.2">
      <c r="A62" s="111"/>
      <c r="B62" s="111" t="str">
        <f ca="1">IFERROR(__xludf.DUMMYFUNCTION("""COMPUTED_VALUE"""),"МинЖКХ")</f>
        <v>МинЖКХ</v>
      </c>
      <c r="C62" s="111" t="str">
        <f ca="1">IFERROR(__xludf.DUMMYFUNCTION("""COMPUTED_VALUE"""),"г.о. Дмитровский")</f>
        <v>г.о. Дмитровский</v>
      </c>
      <c r="D62" s="111" t="str">
        <f ca="1">IFERROR(__xludf.DUMMYFUNCTION("""COMPUTED_VALUE"""),"Реконструкция ВЗУ  п. Орево   г.о.")</f>
        <v>Реконструкция ВЗУ  п. Орево   г.о.</v>
      </c>
      <c r="E62" s="111">
        <f ca="1">IFERROR(__xludf.DUMMYFUNCTION("""COMPUTED_VALUE"""),2023)</f>
        <v>2023</v>
      </c>
      <c r="F62" s="113">
        <f ca="1">IFERROR(__xludf.DUMMYFUNCTION("""COMPUTED_VALUE"""),0)</f>
        <v>0</v>
      </c>
      <c r="G62" s="113">
        <f ca="1">IFERROR(__xludf.DUMMYFUNCTION("""COMPUTED_VALUE"""),0)</f>
        <v>0</v>
      </c>
      <c r="H62" s="113">
        <f ca="1">IFERROR(__xludf.DUMMYFUNCTION("""COMPUTED_VALUE"""),0)</f>
        <v>0</v>
      </c>
      <c r="I62" s="111"/>
      <c r="J62" s="111">
        <f ca="1">IFERROR(__xludf.DUMMYFUNCTION("""COMPUTED_VALUE"""),0)</f>
        <v>0</v>
      </c>
      <c r="K62" s="113">
        <f ca="1">IFERROR(__xludf.DUMMYFUNCTION("""COMPUTED_VALUE"""),0)</f>
        <v>0</v>
      </c>
      <c r="L62" s="114" t="str">
        <f ca="1">IFERROR(__xludf.DUMMYFUNCTION("""COMPUTED_VALUE"""),"#DIV/0!")</f>
        <v>#DIV/0!</v>
      </c>
      <c r="M62" s="111"/>
      <c r="N62" s="111"/>
      <c r="O62" s="111"/>
      <c r="P62" s="111"/>
      <c r="Q62" s="112"/>
      <c r="R62" s="103"/>
      <c r="S62" s="103"/>
      <c r="T62" s="103"/>
      <c r="U62" s="103"/>
      <c r="V62" s="103"/>
      <c r="W62" s="103"/>
      <c r="X62" s="103"/>
      <c r="Y62" s="103"/>
      <c r="Z62" s="103"/>
      <c r="AA62" s="103"/>
    </row>
    <row r="63" spans="1:27" ht="25.5" x14ac:dyDescent="0.2">
      <c r="A63" s="111"/>
      <c r="B63" s="111" t="str">
        <f ca="1">IFERROR(__xludf.DUMMYFUNCTION("""COMPUTED_VALUE"""),"МинЖКХ")</f>
        <v>МинЖКХ</v>
      </c>
      <c r="C63" s="111" t="str">
        <f ca="1">IFERROR(__xludf.DUMMYFUNCTION("""COMPUTED_VALUE"""),"г.о. Дмитровский")</f>
        <v>г.о. Дмитровский</v>
      </c>
      <c r="D63" s="111" t="str">
        <f ca="1">IFERROR(__xludf.DUMMYFUNCTION("""COMPUTED_VALUE"""),"Реконструкция ВЗУп. Насадкино г.о. Дмтровский")</f>
        <v>Реконструкция ВЗУп. Насадкино г.о. Дмтровский</v>
      </c>
      <c r="E63" s="111" t="str">
        <f ca="1">IFERROR(__xludf.DUMMYFUNCTION("""COMPUTED_VALUE"""),"Н/Л")</f>
        <v>Н/Л</v>
      </c>
      <c r="F63" s="113">
        <f ca="1">IFERROR(__xludf.DUMMYFUNCTION("""COMPUTED_VALUE"""),0)</f>
        <v>0</v>
      </c>
      <c r="G63" s="113">
        <f ca="1">IFERROR(__xludf.DUMMYFUNCTION("""COMPUTED_VALUE"""),0)</f>
        <v>0</v>
      </c>
      <c r="H63" s="113">
        <f ca="1">IFERROR(__xludf.DUMMYFUNCTION("""COMPUTED_VALUE"""),0)</f>
        <v>0</v>
      </c>
      <c r="I63" s="111"/>
      <c r="J63" s="111">
        <f ca="1">IFERROR(__xludf.DUMMYFUNCTION("""COMPUTED_VALUE"""),0)</f>
        <v>0</v>
      </c>
      <c r="K63" s="113">
        <f ca="1">IFERROR(__xludf.DUMMYFUNCTION("""COMPUTED_VALUE"""),0)</f>
        <v>0</v>
      </c>
      <c r="L63" s="114" t="str">
        <f ca="1">IFERROR(__xludf.DUMMYFUNCTION("""COMPUTED_VALUE"""),"#DIV/0!")</f>
        <v>#DIV/0!</v>
      </c>
      <c r="M63" s="111"/>
      <c r="N63" s="111"/>
      <c r="O63" s="111"/>
      <c r="P63" s="111"/>
      <c r="Q63" s="112"/>
      <c r="R63" s="103"/>
      <c r="S63" s="103"/>
      <c r="T63" s="103"/>
      <c r="U63" s="103"/>
      <c r="V63" s="103"/>
      <c r="W63" s="103"/>
      <c r="X63" s="103"/>
      <c r="Y63" s="103"/>
      <c r="Z63" s="103"/>
      <c r="AA63" s="103"/>
    </row>
    <row r="64" spans="1:27" ht="25.5" x14ac:dyDescent="0.2">
      <c r="A64" s="111"/>
      <c r="B64" s="111" t="str">
        <f ca="1">IFERROR(__xludf.DUMMYFUNCTION("""COMPUTED_VALUE"""),"МинЖКХ")</f>
        <v>МинЖКХ</v>
      </c>
      <c r="C64" s="111" t="str">
        <f ca="1">IFERROR(__xludf.DUMMYFUNCTION("""COMPUTED_VALUE"""),"г.о. Дмитровский")</f>
        <v>г.о. Дмитровский</v>
      </c>
      <c r="D64" s="111" t="str">
        <f ca="1">IFERROR(__xludf.DUMMYFUNCTION("""COMPUTED_VALUE"""),"Реконструкция ВЗУ д. Бунятино г.о. Дмтровский")</f>
        <v>Реконструкция ВЗУ д. Бунятино г.о. Дмтровский</v>
      </c>
      <c r="E64" s="111" t="str">
        <f ca="1">IFERROR(__xludf.DUMMYFUNCTION("""COMPUTED_VALUE"""),"Н/Л")</f>
        <v>Н/Л</v>
      </c>
      <c r="F64" s="113">
        <f ca="1">IFERROR(__xludf.DUMMYFUNCTION("""COMPUTED_VALUE"""),0)</f>
        <v>0</v>
      </c>
      <c r="G64" s="113">
        <f ca="1">IFERROR(__xludf.DUMMYFUNCTION("""COMPUTED_VALUE"""),0)</f>
        <v>0</v>
      </c>
      <c r="H64" s="113">
        <f ca="1">IFERROR(__xludf.DUMMYFUNCTION("""COMPUTED_VALUE"""),0)</f>
        <v>0</v>
      </c>
      <c r="I64" s="111"/>
      <c r="J64" s="111">
        <f ca="1">IFERROR(__xludf.DUMMYFUNCTION("""COMPUTED_VALUE"""),0)</f>
        <v>0</v>
      </c>
      <c r="K64" s="113">
        <f ca="1">IFERROR(__xludf.DUMMYFUNCTION("""COMPUTED_VALUE"""),0)</f>
        <v>0</v>
      </c>
      <c r="L64" s="114" t="str">
        <f ca="1">IFERROR(__xludf.DUMMYFUNCTION("""COMPUTED_VALUE"""),"#DIV/0!")</f>
        <v>#DIV/0!</v>
      </c>
      <c r="M64" s="111"/>
      <c r="N64" s="111"/>
      <c r="O64" s="111"/>
      <c r="P64" s="111"/>
      <c r="Q64" s="112"/>
      <c r="R64" s="103"/>
      <c r="S64" s="103"/>
      <c r="T64" s="103"/>
      <c r="U64" s="103"/>
      <c r="V64" s="103"/>
      <c r="W64" s="103"/>
      <c r="X64" s="103"/>
      <c r="Y64" s="103"/>
      <c r="Z64" s="103"/>
      <c r="AA64" s="103"/>
    </row>
    <row r="65" spans="1:27" ht="25.5" x14ac:dyDescent="0.2">
      <c r="A65" s="111"/>
      <c r="B65" s="111" t="str">
        <f ca="1">IFERROR(__xludf.DUMMYFUNCTION("""COMPUTED_VALUE"""),"МинЖКХ")</f>
        <v>МинЖКХ</v>
      </c>
      <c r="C65" s="111" t="str">
        <f ca="1">IFERROR(__xludf.DUMMYFUNCTION("""COMPUTED_VALUE"""),"г.о. Талдомский")</f>
        <v>г.о. Талдомский</v>
      </c>
      <c r="D65" s="111" t="str">
        <f ca="1">IFERROR(__xludf.DUMMYFUNCTION("""COMPUTED_VALUE"""),"Реконструкция ВЗУ д. Юркино Талдомский г.о.")</f>
        <v>Реконструкция ВЗУ д. Юркино Талдомский г.о.</v>
      </c>
      <c r="E65" s="111">
        <f ca="1">IFERROR(__xludf.DUMMYFUNCTION("""COMPUTED_VALUE"""),2023)</f>
        <v>2023</v>
      </c>
      <c r="F65" s="113">
        <f ca="1">IFERROR(__xludf.DUMMYFUNCTION("""COMPUTED_VALUE"""),0)</f>
        <v>0</v>
      </c>
      <c r="G65" s="113">
        <f ca="1">IFERROR(__xludf.DUMMYFUNCTION("""COMPUTED_VALUE"""),0)</f>
        <v>0</v>
      </c>
      <c r="H65" s="113">
        <f ca="1">IFERROR(__xludf.DUMMYFUNCTION("""COMPUTED_VALUE"""),0)</f>
        <v>0</v>
      </c>
      <c r="I65" s="111"/>
      <c r="J65" s="111">
        <f ca="1">IFERROR(__xludf.DUMMYFUNCTION("""COMPUTED_VALUE"""),0)</f>
        <v>0</v>
      </c>
      <c r="K65" s="113">
        <f ca="1">IFERROR(__xludf.DUMMYFUNCTION("""COMPUTED_VALUE"""),0)</f>
        <v>0</v>
      </c>
      <c r="L65" s="114" t="str">
        <f ca="1">IFERROR(__xludf.DUMMYFUNCTION("""COMPUTED_VALUE"""),"#DIV/0!")</f>
        <v>#DIV/0!</v>
      </c>
      <c r="M65" s="111"/>
      <c r="N65" s="111"/>
      <c r="O65" s="111"/>
      <c r="P65" s="111"/>
      <c r="Q65" s="112"/>
      <c r="R65" s="103"/>
      <c r="S65" s="103"/>
      <c r="T65" s="103"/>
      <c r="U65" s="103"/>
      <c r="V65" s="103"/>
      <c r="W65" s="103"/>
      <c r="X65" s="103"/>
      <c r="Y65" s="103"/>
      <c r="Z65" s="103"/>
      <c r="AA65" s="103"/>
    </row>
    <row r="66" spans="1:27" ht="25.5" x14ac:dyDescent="0.2">
      <c r="A66" s="111"/>
      <c r="B66" s="111" t="str">
        <f ca="1">IFERROR(__xludf.DUMMYFUNCTION("""COMPUTED_VALUE"""),"МинЖКХ")</f>
        <v>МинЖКХ</v>
      </c>
      <c r="C66" s="111" t="str">
        <f ca="1">IFERROR(__xludf.DUMMYFUNCTION("""COMPUTED_VALUE"""),"г.о. Талдомский")</f>
        <v>г.о. Талдомский</v>
      </c>
      <c r="D66" s="111" t="str">
        <f ca="1">IFERROR(__xludf.DUMMYFUNCTION("""COMPUTED_VALUE"""),"Реконструкция ВЗУ Павловичи г.о. Талдомский")</f>
        <v>Реконструкция ВЗУ Павловичи г.о. Талдомский</v>
      </c>
      <c r="E66" s="111">
        <f ca="1">IFERROR(__xludf.DUMMYFUNCTION("""COMPUTED_VALUE"""),2022)</f>
        <v>2022</v>
      </c>
      <c r="F66" s="113">
        <f ca="1">IFERROR(__xludf.DUMMYFUNCTION("""COMPUTED_VALUE"""),0)</f>
        <v>0</v>
      </c>
      <c r="G66" s="113">
        <f ca="1">IFERROR(__xludf.DUMMYFUNCTION("""COMPUTED_VALUE"""),0)</f>
        <v>0</v>
      </c>
      <c r="H66" s="113">
        <f ca="1">IFERROR(__xludf.DUMMYFUNCTION("""COMPUTED_VALUE"""),0)</f>
        <v>0</v>
      </c>
      <c r="I66" s="111"/>
      <c r="J66" s="111">
        <f ca="1">IFERROR(__xludf.DUMMYFUNCTION("""COMPUTED_VALUE"""),0)</f>
        <v>0</v>
      </c>
      <c r="K66" s="113">
        <f ca="1">IFERROR(__xludf.DUMMYFUNCTION("""COMPUTED_VALUE"""),0)</f>
        <v>0</v>
      </c>
      <c r="L66" s="114" t="str">
        <f ca="1">IFERROR(__xludf.DUMMYFUNCTION("""COMPUTED_VALUE"""),"#DIV/0!")</f>
        <v>#DIV/0!</v>
      </c>
      <c r="M66" s="111"/>
      <c r="N66" s="111"/>
      <c r="O66" s="111"/>
      <c r="P66" s="111"/>
      <c r="Q66" s="112"/>
      <c r="R66" s="103"/>
      <c r="S66" s="103"/>
      <c r="T66" s="103"/>
      <c r="U66" s="103"/>
      <c r="V66" s="103"/>
      <c r="W66" s="103"/>
      <c r="X66" s="103"/>
      <c r="Y66" s="103"/>
      <c r="Z66" s="103"/>
      <c r="AA66" s="103"/>
    </row>
    <row r="67" spans="1:27" ht="38.25" x14ac:dyDescent="0.2">
      <c r="A67" s="111"/>
      <c r="B67" s="111" t="str">
        <f ca="1">IFERROR(__xludf.DUMMYFUNCTION("""COMPUTED_VALUE"""),"МинЖКХ")</f>
        <v>МинЖКХ</v>
      </c>
      <c r="C67" s="111" t="str">
        <f ca="1">IFERROR(__xludf.DUMMYFUNCTION("""COMPUTED_VALUE"""),"г.о. Волоколамский")</f>
        <v>г.о. Волоколамский</v>
      </c>
      <c r="D67" s="111" t="str">
        <f ca="1">IFERROR(__xludf.DUMMYFUNCTION("""COMPUTED_VALUE"""),"Строительство ВЗУ №8 г. Волоколамск, ул. Мелиораторов, Волоколамский г.о.")</f>
        <v>Строительство ВЗУ №8 г. Волоколамск, ул. Мелиораторов, Волоколамский г.о.</v>
      </c>
      <c r="E67" s="111">
        <f ca="1">IFERROR(__xludf.DUMMYFUNCTION("""COMPUTED_VALUE"""),2022)</f>
        <v>2022</v>
      </c>
      <c r="F67" s="113">
        <f ca="1">IFERROR(__xludf.DUMMYFUNCTION("""COMPUTED_VALUE"""),0)</f>
        <v>0</v>
      </c>
      <c r="G67" s="113">
        <f ca="1">IFERROR(__xludf.DUMMYFUNCTION("""COMPUTED_VALUE"""),0)</f>
        <v>0</v>
      </c>
      <c r="H67" s="113">
        <f ca="1">IFERROR(__xludf.DUMMYFUNCTION("""COMPUTED_VALUE"""),0)</f>
        <v>0</v>
      </c>
      <c r="I67" s="111"/>
      <c r="J67" s="111">
        <f ca="1">IFERROR(__xludf.DUMMYFUNCTION("""COMPUTED_VALUE"""),0)</f>
        <v>0</v>
      </c>
      <c r="K67" s="113">
        <f ca="1">IFERROR(__xludf.DUMMYFUNCTION("""COMPUTED_VALUE"""),0)</f>
        <v>0</v>
      </c>
      <c r="L67" s="114" t="str">
        <f ca="1">IFERROR(__xludf.DUMMYFUNCTION("""COMPUTED_VALUE"""),"#DIV/0!")</f>
        <v>#DIV/0!</v>
      </c>
      <c r="M67" s="111"/>
      <c r="N67" s="111"/>
      <c r="O67" s="111"/>
      <c r="P67" s="111"/>
      <c r="Q67" s="112"/>
      <c r="R67" s="103"/>
      <c r="S67" s="103"/>
      <c r="T67" s="103"/>
      <c r="U67" s="103"/>
      <c r="V67" s="103"/>
      <c r="W67" s="103"/>
      <c r="X67" s="103"/>
      <c r="Y67" s="103"/>
      <c r="Z67" s="103"/>
      <c r="AA67" s="103"/>
    </row>
    <row r="68" spans="1:27" ht="38.25" x14ac:dyDescent="0.2">
      <c r="A68" s="111"/>
      <c r="B68" s="111" t="str">
        <f ca="1">IFERROR(__xludf.DUMMYFUNCTION("""COMPUTED_VALUE"""),"МинЖКХ")</f>
        <v>МинЖКХ</v>
      </c>
      <c r="C68" s="111" t="str">
        <f ca="1">IFERROR(__xludf.DUMMYFUNCTION("""COMPUTED_VALUE"""),"г.о. Волоколамский")</f>
        <v>г.о. Волоколамский</v>
      </c>
      <c r="D68" s="111" t="str">
        <f ca="1">IFERROR(__xludf.DUMMYFUNCTION("""COMPUTED_VALUE"""),"Реконструкция ВЗУ №14 г. Волоколамск,  ул. Лесная, Волоколамский г.о.")</f>
        <v>Реконструкция ВЗУ №14 г. Волоколамск,  ул. Лесная, Волоколамский г.о.</v>
      </c>
      <c r="E68" s="111">
        <f ca="1">IFERROR(__xludf.DUMMYFUNCTION("""COMPUTED_VALUE"""),2022)</f>
        <v>2022</v>
      </c>
      <c r="F68" s="113">
        <f ca="1">IFERROR(__xludf.DUMMYFUNCTION("""COMPUTED_VALUE"""),0)</f>
        <v>0</v>
      </c>
      <c r="G68" s="113">
        <f ca="1">IFERROR(__xludf.DUMMYFUNCTION("""COMPUTED_VALUE"""),0)</f>
        <v>0</v>
      </c>
      <c r="H68" s="113">
        <f ca="1">IFERROR(__xludf.DUMMYFUNCTION("""COMPUTED_VALUE"""),0)</f>
        <v>0</v>
      </c>
      <c r="I68" s="111"/>
      <c r="J68" s="111">
        <f ca="1">IFERROR(__xludf.DUMMYFUNCTION("""COMPUTED_VALUE"""),0)</f>
        <v>0</v>
      </c>
      <c r="K68" s="113">
        <f ca="1">IFERROR(__xludf.DUMMYFUNCTION("""COMPUTED_VALUE"""),0)</f>
        <v>0</v>
      </c>
      <c r="L68" s="114" t="str">
        <f ca="1">IFERROR(__xludf.DUMMYFUNCTION("""COMPUTED_VALUE"""),"#DIV/0!")</f>
        <v>#DIV/0!</v>
      </c>
      <c r="M68" s="111"/>
      <c r="N68" s="111"/>
      <c r="O68" s="111"/>
      <c r="P68" s="111"/>
      <c r="Q68" s="112"/>
      <c r="R68" s="103"/>
      <c r="S68" s="103"/>
      <c r="T68" s="103"/>
      <c r="U68" s="103"/>
      <c r="V68" s="103"/>
      <c r="W68" s="103"/>
      <c r="X68" s="103"/>
      <c r="Y68" s="103"/>
      <c r="Z68" s="103"/>
      <c r="AA68" s="103"/>
    </row>
    <row r="69" spans="1:27" ht="38.25" x14ac:dyDescent="0.2">
      <c r="A69" s="111"/>
      <c r="B69" s="111" t="str">
        <f ca="1">IFERROR(__xludf.DUMMYFUNCTION("""COMPUTED_VALUE"""),"МинЖКХ")</f>
        <v>МинЖКХ</v>
      </c>
      <c r="C69" s="111" t="str">
        <f ca="1">IFERROR(__xludf.DUMMYFUNCTION("""COMPUTED_VALUE"""),"г.о. Наро-Фоминск")</f>
        <v>г.о. Наро-Фоминск</v>
      </c>
      <c r="D69" s="111" t="str">
        <f ca="1">IFERROR(__xludf.DUMMYFUNCTION("""COMPUTED_VALUE"""),"Реконструкция ВЗУ-442 г. Верея, проезд. Ленинский, Наро-Фоминский г.о.")</f>
        <v>Реконструкция ВЗУ-442 г. Верея, проезд. Ленинский, Наро-Фоминский г.о.</v>
      </c>
      <c r="E69" s="111" t="str">
        <f ca="1">IFERROR(__xludf.DUMMYFUNCTION("""COMPUTED_VALUE"""),"Н/Л")</f>
        <v>Н/Л</v>
      </c>
      <c r="F69" s="113">
        <f ca="1">IFERROR(__xludf.DUMMYFUNCTION("""COMPUTED_VALUE"""),0)</f>
        <v>0</v>
      </c>
      <c r="G69" s="113">
        <f ca="1">IFERROR(__xludf.DUMMYFUNCTION("""COMPUTED_VALUE"""),0)</f>
        <v>0</v>
      </c>
      <c r="H69" s="113">
        <f ca="1">IFERROR(__xludf.DUMMYFUNCTION("""COMPUTED_VALUE"""),0)</f>
        <v>0</v>
      </c>
      <c r="I69" s="111"/>
      <c r="J69" s="111">
        <f ca="1">IFERROR(__xludf.DUMMYFUNCTION("""COMPUTED_VALUE"""),0)</f>
        <v>0</v>
      </c>
      <c r="K69" s="113">
        <f ca="1">IFERROR(__xludf.DUMMYFUNCTION("""COMPUTED_VALUE"""),0)</f>
        <v>0</v>
      </c>
      <c r="L69" s="114" t="str">
        <f ca="1">IFERROR(__xludf.DUMMYFUNCTION("""COMPUTED_VALUE"""),"#DIV/0!")</f>
        <v>#DIV/0!</v>
      </c>
      <c r="M69" s="111"/>
      <c r="N69" s="111"/>
      <c r="O69" s="111"/>
      <c r="P69" s="111"/>
      <c r="Q69" s="112"/>
      <c r="R69" s="103"/>
      <c r="S69" s="103"/>
      <c r="T69" s="103"/>
      <c r="U69" s="103"/>
      <c r="V69" s="103"/>
      <c r="W69" s="103"/>
      <c r="X69" s="103"/>
      <c r="Y69" s="103"/>
      <c r="Z69" s="103"/>
      <c r="AA69" s="103"/>
    </row>
    <row r="70" spans="1:27" ht="25.5" x14ac:dyDescent="0.2">
      <c r="A70" s="111"/>
      <c r="B70" s="111" t="str">
        <f ca="1">IFERROR(__xludf.DUMMYFUNCTION("""COMPUTED_VALUE"""),"МинЖКХ")</f>
        <v>МинЖКХ</v>
      </c>
      <c r="C70" s="111" t="str">
        <f ca="1">IFERROR(__xludf.DUMMYFUNCTION("""COMPUTED_VALUE"""),"г.о. Ленинский")</f>
        <v>г.о. Ленинский</v>
      </c>
      <c r="D70" s="111" t="str">
        <f ca="1">IFERROR(__xludf.DUMMYFUNCTION("""COMPUTED_VALUE"""),"Реконструкция ВЗУ-11пгт. Горки Ленинские, Ленинский г.о.")</f>
        <v>Реконструкция ВЗУ-11пгт. Горки Ленинские, Ленинский г.о.</v>
      </c>
      <c r="E70" s="111" t="str">
        <f ca="1">IFERROR(__xludf.DUMMYFUNCTION("""COMPUTED_VALUE"""),"Н/Л")</f>
        <v>Н/Л</v>
      </c>
      <c r="F70" s="113">
        <f ca="1">IFERROR(__xludf.DUMMYFUNCTION("""COMPUTED_VALUE"""),0)</f>
        <v>0</v>
      </c>
      <c r="G70" s="113">
        <f ca="1">IFERROR(__xludf.DUMMYFUNCTION("""COMPUTED_VALUE"""),0)</f>
        <v>0</v>
      </c>
      <c r="H70" s="113">
        <f ca="1">IFERROR(__xludf.DUMMYFUNCTION("""COMPUTED_VALUE"""),0)</f>
        <v>0</v>
      </c>
      <c r="I70" s="111"/>
      <c r="J70" s="111">
        <f ca="1">IFERROR(__xludf.DUMMYFUNCTION("""COMPUTED_VALUE"""),0)</f>
        <v>0</v>
      </c>
      <c r="K70" s="113">
        <f ca="1">IFERROR(__xludf.DUMMYFUNCTION("""COMPUTED_VALUE"""),0)</f>
        <v>0</v>
      </c>
      <c r="L70" s="114" t="str">
        <f ca="1">IFERROR(__xludf.DUMMYFUNCTION("""COMPUTED_VALUE"""),"#DIV/0!")</f>
        <v>#DIV/0!</v>
      </c>
      <c r="M70" s="111"/>
      <c r="N70" s="111"/>
      <c r="O70" s="111"/>
      <c r="P70" s="111"/>
      <c r="Q70" s="112"/>
      <c r="R70" s="103"/>
      <c r="S70" s="103"/>
      <c r="T70" s="103"/>
      <c r="U70" s="103"/>
      <c r="V70" s="103"/>
      <c r="W70" s="103"/>
      <c r="X70" s="103"/>
      <c r="Y70" s="103"/>
      <c r="Z70" s="103"/>
      <c r="AA70" s="103"/>
    </row>
    <row r="71" spans="1:27" ht="38.25" x14ac:dyDescent="0.2">
      <c r="A71" s="111"/>
      <c r="B71" s="111" t="str">
        <f ca="1">IFERROR(__xludf.DUMMYFUNCTION("""COMPUTED_VALUE"""),"МинЖКХ")</f>
        <v>МинЖКХ</v>
      </c>
      <c r="C71" s="111" t="str">
        <f ca="1">IFERROR(__xludf.DUMMYFUNCTION("""COMPUTED_VALUE"""),"г.о. Ленинский")</f>
        <v>г.о. Ленинский</v>
      </c>
      <c r="D71" s="111" t="str">
        <f ca="1">IFERROR(__xludf.DUMMYFUNCTION("""COMPUTED_VALUE"""),"Реконструкция ВЗУ-18 с/п. Молоковское, с. Остров, ул. Центральная, Ленинский г.о.")</f>
        <v>Реконструкция ВЗУ-18 с/п. Молоковское, с. Остров, ул. Центральная, Ленинский г.о.</v>
      </c>
      <c r="E71" s="111" t="str">
        <f ca="1">IFERROR(__xludf.DUMMYFUNCTION("""COMPUTED_VALUE"""),"Н/Л")</f>
        <v>Н/Л</v>
      </c>
      <c r="F71" s="113">
        <f ca="1">IFERROR(__xludf.DUMMYFUNCTION("""COMPUTED_VALUE"""),0)</f>
        <v>0</v>
      </c>
      <c r="G71" s="113">
        <f ca="1">IFERROR(__xludf.DUMMYFUNCTION("""COMPUTED_VALUE"""),0)</f>
        <v>0</v>
      </c>
      <c r="H71" s="113">
        <f ca="1">IFERROR(__xludf.DUMMYFUNCTION("""COMPUTED_VALUE"""),0)</f>
        <v>0</v>
      </c>
      <c r="I71" s="111"/>
      <c r="J71" s="111">
        <f ca="1">IFERROR(__xludf.DUMMYFUNCTION("""COMPUTED_VALUE"""),0)</f>
        <v>0</v>
      </c>
      <c r="K71" s="113">
        <f ca="1">IFERROR(__xludf.DUMMYFUNCTION("""COMPUTED_VALUE"""),0)</f>
        <v>0</v>
      </c>
      <c r="L71" s="114" t="str">
        <f ca="1">IFERROR(__xludf.DUMMYFUNCTION("""COMPUTED_VALUE"""),"#DIV/0!")</f>
        <v>#DIV/0!</v>
      </c>
      <c r="M71" s="111"/>
      <c r="N71" s="111"/>
      <c r="O71" s="111"/>
      <c r="P71" s="111"/>
      <c r="Q71" s="112"/>
      <c r="R71" s="103"/>
      <c r="S71" s="103"/>
      <c r="T71" s="103"/>
      <c r="U71" s="103"/>
      <c r="V71" s="103"/>
      <c r="W71" s="103"/>
      <c r="X71" s="103"/>
      <c r="Y71" s="103"/>
      <c r="Z71" s="103"/>
      <c r="AA71" s="103"/>
    </row>
    <row r="72" spans="1:27" ht="25.5" x14ac:dyDescent="0.2">
      <c r="A72" s="111"/>
      <c r="B72" s="111" t="str">
        <f ca="1">IFERROR(__xludf.DUMMYFUNCTION("""COMPUTED_VALUE"""),"МинЖКХ")</f>
        <v>МинЖКХ</v>
      </c>
      <c r="C72" s="111" t="str">
        <f ca="1">IFERROR(__xludf.DUMMYFUNCTION("""COMPUTED_VALUE"""),"г.о. Ленинский")</f>
        <v>г.о. Ленинский</v>
      </c>
      <c r="D72" s="111" t="str">
        <f ca="1">IFERROR(__xludf.DUMMYFUNCTION("""COMPUTED_VALUE"""),"Реконструкция ВЗУ-15 с/п. Молоковское,  Ленинский г.о.")</f>
        <v>Реконструкция ВЗУ-15 с/п. Молоковское,  Ленинский г.о.</v>
      </c>
      <c r="E72" s="111">
        <f ca="1">IFERROR(__xludf.DUMMYFUNCTION("""COMPUTED_VALUE"""),2022)</f>
        <v>2022</v>
      </c>
      <c r="F72" s="113">
        <f ca="1">IFERROR(__xludf.DUMMYFUNCTION("""COMPUTED_VALUE"""),0)</f>
        <v>0</v>
      </c>
      <c r="G72" s="113">
        <f ca="1">IFERROR(__xludf.DUMMYFUNCTION("""COMPUTED_VALUE"""),0)</f>
        <v>0</v>
      </c>
      <c r="H72" s="113">
        <f ca="1">IFERROR(__xludf.DUMMYFUNCTION("""COMPUTED_VALUE"""),0)</f>
        <v>0</v>
      </c>
      <c r="I72" s="111"/>
      <c r="J72" s="111">
        <f ca="1">IFERROR(__xludf.DUMMYFUNCTION("""COMPUTED_VALUE"""),0)</f>
        <v>0</v>
      </c>
      <c r="K72" s="113">
        <f ca="1">IFERROR(__xludf.DUMMYFUNCTION("""COMPUTED_VALUE"""),0)</f>
        <v>0</v>
      </c>
      <c r="L72" s="114" t="str">
        <f ca="1">IFERROR(__xludf.DUMMYFUNCTION("""COMPUTED_VALUE"""),"#DIV/0!")</f>
        <v>#DIV/0!</v>
      </c>
      <c r="M72" s="111"/>
      <c r="N72" s="111"/>
      <c r="O72" s="111"/>
      <c r="P72" s="111"/>
      <c r="Q72" s="112"/>
      <c r="R72" s="103"/>
      <c r="S72" s="103"/>
      <c r="T72" s="103"/>
      <c r="U72" s="103"/>
      <c r="V72" s="103"/>
      <c r="W72" s="103"/>
      <c r="X72" s="103"/>
      <c r="Y72" s="103"/>
      <c r="Z72" s="103"/>
      <c r="AA72" s="103"/>
    </row>
    <row r="73" spans="1:27" ht="76.5" x14ac:dyDescent="0.2">
      <c r="A73" s="110">
        <v>6</v>
      </c>
      <c r="B73" s="111" t="str">
        <f ca="1">IFERROR(__xludf.DUMMYFUNCTION("""COMPUTED_VALUE"""),"МинЖКХ")</f>
        <v>МинЖКХ</v>
      </c>
      <c r="C73" s="111" t="str">
        <f ca="1">IFERROR(__xludf.DUMMYFUNCTION("""COMPUTED_VALUE"""),"г.о. Ленинский")</f>
        <v>г.о. Ленинский</v>
      </c>
      <c r="D73" s="111" t="str">
        <f ca="1">IFERROR(__xludf.DUMMYFUNCTION("""COMPUTED_VALUE"""),"Строительство водозаборного узла в д. Дроздово сельского поселения Развилковское Ленинского муниципального района Московской области")</f>
        <v>Строительство водозаборного узла в д. Дроздово сельского поселения Развилковское Ленинского муниципального района Московской области</v>
      </c>
      <c r="E73" s="111" t="str">
        <f ca="1">IFERROR(__xludf.DUMMYFUNCTION("""COMPUTED_VALUE"""),"2020-2021")</f>
        <v>2020-2021</v>
      </c>
      <c r="F73" s="113">
        <f ca="1">IFERROR(__xludf.DUMMYFUNCTION("""COMPUTED_VALUE"""),37024.8)</f>
        <v>37024.800000000003</v>
      </c>
      <c r="G73" s="113">
        <f ca="1">IFERROR(__xludf.DUMMYFUNCTION("""COMPUTED_VALUE"""),9256.2)</f>
        <v>9256.2000000000007</v>
      </c>
      <c r="H73" s="113">
        <f ca="1">IFERROR(__xludf.DUMMYFUNCTION("""COMPUTED_VALUE"""),27768.6)</f>
        <v>27768.6</v>
      </c>
      <c r="I73" s="111"/>
      <c r="J73" s="113">
        <f ca="1">IFERROR(__xludf.DUMMYFUNCTION("""COMPUTED_VALUE"""),35276.91)</f>
        <v>35276.910000000003</v>
      </c>
      <c r="K73" s="113">
        <f ca="1">IFERROR(__xludf.DUMMYFUNCTION("""COMPUTED_VALUE"""),1747.88999999999)</f>
        <v>1747.8899999999901</v>
      </c>
      <c r="L73" s="114">
        <f ca="1">IFERROR(__xludf.DUMMYFUNCTION("""COMPUTED_VALUE"""),0.952791372269397)</f>
        <v>0.95279137226939703</v>
      </c>
      <c r="M73" s="111" t="str">
        <f ca="1">IFERROR(__xludf.DUMMYFUNCTION("""COMPUTED_VALUE"""),"Риск не освоения лимитов финансирования 2020 года. В Минстрой РФ направлены документы на перераспределение части лимитов 2020 году на ВЗУ Орлово.")</f>
        <v>Риск не освоения лимитов финансирования 2020 года. В Минстрой РФ направлены документы на перераспределение части лимитов 2020 году на ВЗУ Орлово.</v>
      </c>
      <c r="N73" s="111"/>
      <c r="O73" s="111"/>
      <c r="P73" s="111"/>
      <c r="Q73" s="112"/>
      <c r="R73" s="103"/>
      <c r="S73" s="103"/>
      <c r="T73" s="103"/>
      <c r="U73" s="103"/>
      <c r="V73" s="103"/>
      <c r="W73" s="103"/>
      <c r="X73" s="103"/>
      <c r="Y73" s="103"/>
      <c r="Z73" s="103"/>
      <c r="AA73" s="103"/>
    </row>
    <row r="74" spans="1:27" ht="63.75" x14ac:dyDescent="0.2">
      <c r="A74" s="111"/>
      <c r="B74" s="111" t="str">
        <f ca="1">IFERROR(__xludf.DUMMYFUNCTION("""COMPUTED_VALUE"""),"МинЖКХ")</f>
        <v>МинЖКХ</v>
      </c>
      <c r="C74" s="111" t="str">
        <f ca="1">IFERROR(__xludf.DUMMYFUNCTION("""COMPUTED_VALUE"""),"г.о. Ленинский")</f>
        <v>г.о. Ленинский</v>
      </c>
      <c r="D74" s="111" t="str">
        <f ca="1">IFERROR(__xludf.DUMMYFUNCTION("""COMPUTED_VALUE"""),"Строительство сети водоснабжения по адресу: Московской области, Ленинский г.о. сельское поселение Булатниковское, с. Булатниково.")</f>
        <v>Строительство сети водоснабжения по адресу: Московской области, Ленинский г.о. сельское поселение Булатниковское, с. Булатниково.</v>
      </c>
      <c r="E74" s="111">
        <f ca="1">IFERROR(__xludf.DUMMYFUNCTION("""COMPUTED_VALUE"""),2021)</f>
        <v>2021</v>
      </c>
      <c r="F74" s="113">
        <f ca="1">IFERROR(__xludf.DUMMYFUNCTION("""COMPUTED_VALUE"""),0)</f>
        <v>0</v>
      </c>
      <c r="G74" s="113">
        <f ca="1">IFERROR(__xludf.DUMMYFUNCTION("""COMPUTED_VALUE"""),0)</f>
        <v>0</v>
      </c>
      <c r="H74" s="113">
        <f ca="1">IFERROR(__xludf.DUMMYFUNCTION("""COMPUTED_VALUE"""),0)</f>
        <v>0</v>
      </c>
      <c r="I74" s="111"/>
      <c r="J74" s="111">
        <f ca="1">IFERROR(__xludf.DUMMYFUNCTION("""COMPUTED_VALUE"""),0)</f>
        <v>0</v>
      </c>
      <c r="K74" s="113">
        <f ca="1">IFERROR(__xludf.DUMMYFUNCTION("""COMPUTED_VALUE"""),0)</f>
        <v>0</v>
      </c>
      <c r="L74" s="114" t="str">
        <f ca="1">IFERROR(__xludf.DUMMYFUNCTION("""COMPUTED_VALUE"""),"#DIV/0!")</f>
        <v>#DIV/0!</v>
      </c>
      <c r="M74" s="111"/>
      <c r="N74" s="111"/>
      <c r="O74" s="111"/>
      <c r="P74" s="111"/>
      <c r="Q74" s="112"/>
      <c r="R74" s="103"/>
      <c r="S74" s="103"/>
      <c r="T74" s="103"/>
      <c r="U74" s="103"/>
      <c r="V74" s="103"/>
      <c r="W74" s="103"/>
      <c r="X74" s="103"/>
      <c r="Y74" s="103"/>
      <c r="Z74" s="103"/>
      <c r="AA74" s="103"/>
    </row>
    <row r="75" spans="1:27" ht="102" x14ac:dyDescent="0.2">
      <c r="A75" s="111"/>
      <c r="B75" s="111" t="str">
        <f ca="1">IFERROR(__xludf.DUMMYFUNCTION("""COMPUTED_VALUE"""),"МинЖКХ")</f>
        <v>МинЖКХ</v>
      </c>
      <c r="C75" s="111" t="str">
        <f ca="1">IFERROR(__xludf.DUMMYFUNCTION("""COMPUTED_VALUE"""),"г.о. Ленинский")</f>
        <v>г.о. Ленинский</v>
      </c>
      <c r="D75" s="111" t="str">
        <f ca="1">IFERROR(__xludf.DUMMYFUNCTION("""COMPUTED_VALUE"""),"Реконструкция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f>
        <v>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v>
      </c>
      <c r="E75" s="111" t="str">
        <f ca="1">IFERROR(__xludf.DUMMYFUNCTION("""COMPUTED_VALUE"""),"2020-2022")</f>
        <v>2020-2022</v>
      </c>
      <c r="F75" s="113">
        <f ca="1">IFERROR(__xludf.DUMMYFUNCTION("""COMPUTED_VALUE"""),17659.48)</f>
        <v>17659.48</v>
      </c>
      <c r="G75" s="113">
        <f ca="1">IFERROR(__xludf.DUMMYFUNCTION("""COMPUTED_VALUE"""),4414.88)</f>
        <v>4414.88</v>
      </c>
      <c r="H75" s="113">
        <f ca="1">IFERROR(__xludf.DUMMYFUNCTION("""COMPUTED_VALUE"""),13244.6)</f>
        <v>13244.6</v>
      </c>
      <c r="I75" s="111"/>
      <c r="J75" s="113">
        <f ca="1">IFERROR(__xludf.DUMMYFUNCTION("""COMPUTED_VALUE"""),16587.2399999999)</f>
        <v>16587.2399999999</v>
      </c>
      <c r="K75" s="113">
        <f ca="1">IFERROR(__xludf.DUMMYFUNCTION("""COMPUTED_VALUE"""),1072.24)</f>
        <v>1072.24</v>
      </c>
      <c r="L75" s="114">
        <f ca="1">IFERROR(__xludf.DUMMYFUNCTION("""COMPUTED_VALUE"""),0.939282470378516)</f>
        <v>0.93928247037851598</v>
      </c>
      <c r="M75" s="111"/>
      <c r="N75" s="111"/>
      <c r="O75" s="111"/>
      <c r="P75" s="111"/>
      <c r="Q75" s="112"/>
      <c r="R75" s="103"/>
      <c r="S75" s="103"/>
      <c r="T75" s="103"/>
      <c r="U75" s="103"/>
      <c r="V75" s="103"/>
      <c r="W75" s="103"/>
      <c r="X75" s="103"/>
      <c r="Y75" s="103"/>
      <c r="Z75" s="103"/>
      <c r="AA75" s="103"/>
    </row>
    <row r="76" spans="1:27" ht="76.5" x14ac:dyDescent="0.2">
      <c r="A76" s="111"/>
      <c r="B76" s="111" t="str">
        <f ca="1">IFERROR(__xludf.DUMMYFUNCTION("""COMPUTED_VALUE"""),"МинЖКХ")</f>
        <v>МинЖКХ</v>
      </c>
      <c r="C76" s="111" t="str">
        <f ca="1">IFERROR(__xludf.DUMMYFUNCTION("""COMPUTED_VALUE"""),"г.о. Ленинский")</f>
        <v>г.о. Ленинский</v>
      </c>
      <c r="D76" s="111" t="str">
        <f ca="1">IFERROR(__xludf.DUMMYFUNCTION("""COMPUTED_VALUE"""),"Реконструкция водозаборного узла в п/о ""Петровское"" городского поселения Горки Ленинские Ленинского муниципального района Московской области")</f>
        <v>Реконструкция водозаборного узла в п/о "Петровское" городского поселения Горки Ленинские Ленинского муниципального района Московской области</v>
      </c>
      <c r="E76" s="111" t="str">
        <f ca="1">IFERROR(__xludf.DUMMYFUNCTION("""COMPUTED_VALUE"""),"2021-2022")</f>
        <v>2021-2022</v>
      </c>
      <c r="F76" s="113">
        <f ca="1">IFERROR(__xludf.DUMMYFUNCTION("""COMPUTED_VALUE"""),0)</f>
        <v>0</v>
      </c>
      <c r="G76" s="113">
        <f ca="1">IFERROR(__xludf.DUMMYFUNCTION("""COMPUTED_VALUE"""),0)</f>
        <v>0</v>
      </c>
      <c r="H76" s="113">
        <f ca="1">IFERROR(__xludf.DUMMYFUNCTION("""COMPUTED_VALUE"""),0)</f>
        <v>0</v>
      </c>
      <c r="I76" s="111"/>
      <c r="J76" s="111">
        <f ca="1">IFERROR(__xludf.DUMMYFUNCTION("""COMPUTED_VALUE"""),0)</f>
        <v>0</v>
      </c>
      <c r="K76" s="113">
        <f ca="1">IFERROR(__xludf.DUMMYFUNCTION("""COMPUTED_VALUE"""),0)</f>
        <v>0</v>
      </c>
      <c r="L76" s="114" t="str">
        <f ca="1">IFERROR(__xludf.DUMMYFUNCTION("""COMPUTED_VALUE"""),"#DIV/0!")</f>
        <v>#DIV/0!</v>
      </c>
      <c r="M76" s="111"/>
      <c r="N76" s="111"/>
      <c r="O76" s="111"/>
      <c r="P76" s="111"/>
      <c r="Q76" s="112"/>
      <c r="R76" s="103"/>
      <c r="S76" s="103"/>
      <c r="T76" s="103"/>
      <c r="U76" s="103"/>
      <c r="V76" s="103"/>
      <c r="W76" s="103"/>
      <c r="X76" s="103"/>
      <c r="Y76" s="103"/>
      <c r="Z76" s="103"/>
      <c r="AA76" s="103"/>
    </row>
    <row r="77" spans="1:27" ht="76.5" x14ac:dyDescent="0.2">
      <c r="A77" s="111"/>
      <c r="B77" s="111" t="str">
        <f ca="1">IFERROR(__xludf.DUMMYFUNCTION("""COMPUTED_VALUE"""),"МинЖКХ")</f>
        <v>МинЖКХ</v>
      </c>
      <c r="C77" s="111" t="str">
        <f ca="1">IFERROR(__xludf.DUMMYFUNCTION("""COMPUTED_VALUE"""),"г.о. Ленинский")</f>
        <v>г.о. Ленинский</v>
      </c>
      <c r="D77" s="111" t="str">
        <f ca="1">IFERROR(__xludf.DUMMYFUNCTION("""COMPUTED_VALUE"""),"Реконструкция водозаборного узла № 8 в п.Горки Ленинские городского поселения Горки Ленинские Ленинского городского округа Московской области")</f>
        <v>Реконструкция водозаборного узла № 8 в п.Горки Ленинские городского поселения Горки Ленинские Ленинского городского округа Московской области</v>
      </c>
      <c r="E77" s="111" t="str">
        <f ca="1">IFERROR(__xludf.DUMMYFUNCTION("""COMPUTED_VALUE"""),"2021-2022")</f>
        <v>2021-2022</v>
      </c>
      <c r="F77" s="113">
        <f ca="1">IFERROR(__xludf.DUMMYFUNCTION("""COMPUTED_VALUE"""),0)</f>
        <v>0</v>
      </c>
      <c r="G77" s="113">
        <f ca="1">IFERROR(__xludf.DUMMYFUNCTION("""COMPUTED_VALUE"""),0)</f>
        <v>0</v>
      </c>
      <c r="H77" s="113">
        <f ca="1">IFERROR(__xludf.DUMMYFUNCTION("""COMPUTED_VALUE"""),0)</f>
        <v>0</v>
      </c>
      <c r="I77" s="111"/>
      <c r="J77" s="111">
        <f ca="1">IFERROR(__xludf.DUMMYFUNCTION("""COMPUTED_VALUE"""),0)</f>
        <v>0</v>
      </c>
      <c r="K77" s="113">
        <f ca="1">IFERROR(__xludf.DUMMYFUNCTION("""COMPUTED_VALUE"""),0)</f>
        <v>0</v>
      </c>
      <c r="L77" s="114" t="str">
        <f ca="1">IFERROR(__xludf.DUMMYFUNCTION("""COMPUTED_VALUE"""),"#DIV/0!")</f>
        <v>#DIV/0!</v>
      </c>
      <c r="M77" s="111"/>
      <c r="N77" s="111"/>
      <c r="O77" s="111"/>
      <c r="P77" s="111"/>
      <c r="Q77" s="112"/>
      <c r="R77" s="103"/>
      <c r="S77" s="103"/>
      <c r="T77" s="103"/>
      <c r="U77" s="103"/>
      <c r="V77" s="103"/>
      <c r="W77" s="103"/>
      <c r="X77" s="103"/>
      <c r="Y77" s="103"/>
      <c r="Z77" s="103"/>
      <c r="AA77" s="103"/>
    </row>
    <row r="78" spans="1:27" ht="25.5" x14ac:dyDescent="0.2">
      <c r="A78" s="111"/>
      <c r="B78" s="111" t="str">
        <f ca="1">IFERROR(__xludf.DUMMYFUNCTION("""COMPUTED_VALUE"""),"МинЖКХ")</f>
        <v>МинЖКХ</v>
      </c>
      <c r="C78" s="111" t="str">
        <f ca="1">IFERROR(__xludf.DUMMYFUNCTION("""COMPUTED_VALUE"""),"г.о. Мытищи")</f>
        <v>г.о. Мытищи</v>
      </c>
      <c r="D78" s="111" t="str">
        <f ca="1">IFERROR(__xludf.DUMMYFUNCTION("""COMPUTED_VALUE"""),"Реконструкция ВЗУ Пироговкий г.о. Мытищи")</f>
        <v>Реконструкция ВЗУ Пироговкий г.о. Мытищи</v>
      </c>
      <c r="E78" s="111" t="str">
        <f ca="1">IFERROR(__xludf.DUMMYFUNCTION("""COMPUTED_VALUE"""),"2023-2024")</f>
        <v>2023-2024</v>
      </c>
      <c r="F78" s="113">
        <f ca="1">IFERROR(__xludf.DUMMYFUNCTION("""COMPUTED_VALUE"""),0)</f>
        <v>0</v>
      </c>
      <c r="G78" s="113">
        <f ca="1">IFERROR(__xludf.DUMMYFUNCTION("""COMPUTED_VALUE"""),0)</f>
        <v>0</v>
      </c>
      <c r="H78" s="113">
        <f ca="1">IFERROR(__xludf.DUMMYFUNCTION("""COMPUTED_VALUE"""),0)</f>
        <v>0</v>
      </c>
      <c r="I78" s="111"/>
      <c r="J78" s="111">
        <f ca="1">IFERROR(__xludf.DUMMYFUNCTION("""COMPUTED_VALUE"""),0)</f>
        <v>0</v>
      </c>
      <c r="K78" s="113">
        <f ca="1">IFERROR(__xludf.DUMMYFUNCTION("""COMPUTED_VALUE"""),0)</f>
        <v>0</v>
      </c>
      <c r="L78" s="114" t="str">
        <f ca="1">IFERROR(__xludf.DUMMYFUNCTION("""COMPUTED_VALUE"""),"#DIV/0!")</f>
        <v>#DIV/0!</v>
      </c>
      <c r="M78" s="111"/>
      <c r="N78" s="111"/>
      <c r="O78" s="111"/>
      <c r="P78" s="111"/>
      <c r="Q78" s="112"/>
      <c r="R78" s="103"/>
      <c r="S78" s="103"/>
      <c r="T78" s="103"/>
      <c r="U78" s="103"/>
      <c r="V78" s="103"/>
      <c r="W78" s="103"/>
      <c r="X78" s="103"/>
      <c r="Y78" s="103"/>
      <c r="Z78" s="103"/>
      <c r="AA78" s="103"/>
    </row>
    <row r="79" spans="1:27" ht="63.75" x14ac:dyDescent="0.2">
      <c r="A79" s="111"/>
      <c r="B79" s="111" t="str">
        <f ca="1">IFERROR(__xludf.DUMMYFUNCTION("""COMPUTED_VALUE"""),"МинЖКХ")</f>
        <v>МинЖКХ</v>
      </c>
      <c r="C79" s="111" t="str">
        <f ca="1">IFERROR(__xludf.DUMMYFUNCTION("""COMPUTED_VALUE"""),"г.о. Дзержинский")</f>
        <v>г.о. Дзержинский</v>
      </c>
      <c r="D79" s="111" t="str">
        <f ca="1">IFERROR(__xludf.DUMMYFUNCTION("""COMPUTED_VALUE"""),"Реконструкция ВЗУ № 1 г.о.Дзержинский с переводом в станцию второго подъема производительностью 10 тыс. м3/сут.")</f>
        <v>Реконструкция ВЗУ № 1 г.о.Дзержинский с переводом в станцию второго подъема производительностью 10 тыс. м3/сут.</v>
      </c>
      <c r="E79" s="111">
        <f ca="1">IFERROR(__xludf.DUMMYFUNCTION("""COMPUTED_VALUE"""),2021)</f>
        <v>2021</v>
      </c>
      <c r="F79" s="113">
        <f ca="1">IFERROR(__xludf.DUMMYFUNCTION("""COMPUTED_VALUE"""),0)</f>
        <v>0</v>
      </c>
      <c r="G79" s="113">
        <f ca="1">IFERROR(__xludf.DUMMYFUNCTION("""COMPUTED_VALUE"""),0)</f>
        <v>0</v>
      </c>
      <c r="H79" s="113">
        <f ca="1">IFERROR(__xludf.DUMMYFUNCTION("""COMPUTED_VALUE"""),0)</f>
        <v>0</v>
      </c>
      <c r="I79" s="111"/>
      <c r="J79" s="111">
        <f ca="1">IFERROR(__xludf.DUMMYFUNCTION("""COMPUTED_VALUE"""),0)</f>
        <v>0</v>
      </c>
      <c r="K79" s="113">
        <f ca="1">IFERROR(__xludf.DUMMYFUNCTION("""COMPUTED_VALUE"""),0)</f>
        <v>0</v>
      </c>
      <c r="L79" s="114" t="str">
        <f ca="1">IFERROR(__xludf.DUMMYFUNCTION("""COMPUTED_VALUE"""),"#DIV/0!")</f>
        <v>#DIV/0!</v>
      </c>
      <c r="M79" s="111"/>
      <c r="N79" s="111"/>
      <c r="O79" s="111"/>
      <c r="P79" s="111"/>
      <c r="Q79" s="112"/>
      <c r="R79" s="103"/>
      <c r="S79" s="103"/>
      <c r="T79" s="103"/>
      <c r="U79" s="103"/>
      <c r="V79" s="103"/>
      <c r="W79" s="103"/>
      <c r="X79" s="103"/>
      <c r="Y79" s="103"/>
      <c r="Z79" s="103"/>
      <c r="AA79" s="103"/>
    </row>
    <row r="80" spans="1:27" ht="63.75" x14ac:dyDescent="0.2">
      <c r="A80" s="111"/>
      <c r="B80" s="111" t="str">
        <f ca="1">IFERROR(__xludf.DUMMYFUNCTION("""COMPUTED_VALUE"""),"МинЖКХ")</f>
        <v>МинЖКХ</v>
      </c>
      <c r="C80" s="111" t="str">
        <f ca="1">IFERROR(__xludf.DUMMYFUNCTION("""COMPUTED_VALUE"""),"г.о. Дзержинский")</f>
        <v>г.о. Дзержинский</v>
      </c>
      <c r="D80" s="111" t="str">
        <f ca="1">IFERROR(__xludf.DUMMYFUNCTION("""COMPUTED_VALUE""")," Реконструкция ВЗУ № 3 г.о.Дзержинский с переводом в станцию второго подъема производительностью 10 тыс. м3/сут")</f>
        <v xml:space="preserve"> Реконструкция ВЗУ № 3 г.о.Дзержинский с переводом в станцию второго подъема производительностью 10 тыс. м3/сут</v>
      </c>
      <c r="E80" s="111">
        <f ca="1">IFERROR(__xludf.DUMMYFUNCTION("""COMPUTED_VALUE"""),2021)</f>
        <v>2021</v>
      </c>
      <c r="F80" s="113">
        <f ca="1">IFERROR(__xludf.DUMMYFUNCTION("""COMPUTED_VALUE"""),0)</f>
        <v>0</v>
      </c>
      <c r="G80" s="113">
        <f ca="1">IFERROR(__xludf.DUMMYFUNCTION("""COMPUTED_VALUE"""),0)</f>
        <v>0</v>
      </c>
      <c r="H80" s="113">
        <f ca="1">IFERROR(__xludf.DUMMYFUNCTION("""COMPUTED_VALUE"""),0)</f>
        <v>0</v>
      </c>
      <c r="I80" s="111"/>
      <c r="J80" s="111">
        <f ca="1">IFERROR(__xludf.DUMMYFUNCTION("""COMPUTED_VALUE"""),0)</f>
        <v>0</v>
      </c>
      <c r="K80" s="113">
        <f ca="1">IFERROR(__xludf.DUMMYFUNCTION("""COMPUTED_VALUE"""),0)</f>
        <v>0</v>
      </c>
      <c r="L80" s="114" t="str">
        <f ca="1">IFERROR(__xludf.DUMMYFUNCTION("""COMPUTED_VALUE"""),"#DIV/0!")</f>
        <v>#DIV/0!</v>
      </c>
      <c r="M80" s="111"/>
      <c r="N80" s="111"/>
      <c r="O80" s="111"/>
      <c r="P80" s="111"/>
      <c r="Q80" s="112"/>
      <c r="R80" s="103"/>
      <c r="S80" s="103"/>
      <c r="T80" s="103"/>
      <c r="U80" s="103"/>
      <c r="V80" s="103"/>
      <c r="W80" s="103"/>
      <c r="X80" s="103"/>
      <c r="Y80" s="103"/>
      <c r="Z80" s="103"/>
      <c r="AA80" s="103"/>
    </row>
    <row r="81" spans="1:27" ht="63.75" x14ac:dyDescent="0.2">
      <c r="A81" s="111"/>
      <c r="B81" s="111" t="str">
        <f ca="1">IFERROR(__xludf.DUMMYFUNCTION("""COMPUTED_VALUE"""),"МинЖКХ")</f>
        <v>МинЖКХ</v>
      </c>
      <c r="C81" s="111" t="str">
        <f ca="1">IFERROR(__xludf.DUMMYFUNCTION("""COMPUTED_VALUE"""),"г.о. Дзержинский")</f>
        <v>г.о. Дзержинский</v>
      </c>
      <c r="D81" s="111" t="str">
        <f ca="1">IFERROR(__xludf.DUMMYFUNCTION("""COMPUTED_VALUE"""),"Строительство сетей водоснабжения от ВРУ до т. А, по адресу: Московская обл., г. Дзержинский, в районе поймы Москвы-реки")</f>
        <v>Строительство сетей водоснабжения от ВРУ до т. А, по адресу: Московская обл., г. Дзержинский, в районе поймы Москвы-реки</v>
      </c>
      <c r="E81" s="111">
        <f ca="1">IFERROR(__xludf.DUMMYFUNCTION("""COMPUTED_VALUE"""),2021)</f>
        <v>2021</v>
      </c>
      <c r="F81" s="113">
        <f ca="1">IFERROR(__xludf.DUMMYFUNCTION("""COMPUTED_VALUE"""),0)</f>
        <v>0</v>
      </c>
      <c r="G81" s="113">
        <f ca="1">IFERROR(__xludf.DUMMYFUNCTION("""COMPUTED_VALUE"""),0)</f>
        <v>0</v>
      </c>
      <c r="H81" s="113">
        <f ca="1">IFERROR(__xludf.DUMMYFUNCTION("""COMPUTED_VALUE"""),0)</f>
        <v>0</v>
      </c>
      <c r="I81" s="111"/>
      <c r="J81" s="111">
        <f ca="1">IFERROR(__xludf.DUMMYFUNCTION("""COMPUTED_VALUE"""),0)</f>
        <v>0</v>
      </c>
      <c r="K81" s="113">
        <f ca="1">IFERROR(__xludf.DUMMYFUNCTION("""COMPUTED_VALUE"""),0)</f>
        <v>0</v>
      </c>
      <c r="L81" s="114" t="str">
        <f ca="1">IFERROR(__xludf.DUMMYFUNCTION("""COMPUTED_VALUE"""),"#DIV/0!")</f>
        <v>#DIV/0!</v>
      </c>
      <c r="M81" s="111"/>
      <c r="N81" s="111"/>
      <c r="O81" s="111"/>
      <c r="P81" s="111"/>
      <c r="Q81" s="112"/>
      <c r="R81" s="103"/>
      <c r="S81" s="103"/>
      <c r="T81" s="103"/>
      <c r="U81" s="103"/>
      <c r="V81" s="103"/>
      <c r="W81" s="103"/>
      <c r="X81" s="103"/>
      <c r="Y81" s="103"/>
      <c r="Z81" s="103"/>
      <c r="AA81" s="103"/>
    </row>
    <row r="82" spans="1:27" ht="51" x14ac:dyDescent="0.2">
      <c r="A82" s="111"/>
      <c r="B82" s="111" t="str">
        <f ca="1">IFERROR(__xludf.DUMMYFUNCTION("""COMPUTED_VALUE"""),"МинЖКХ")</f>
        <v>МинЖКХ</v>
      </c>
      <c r="C82" s="111" t="str">
        <f ca="1">IFERROR(__xludf.DUMMYFUNCTION("""COMPUTED_VALUE"""),"г.о. Дзержинский")</f>
        <v>г.о. Дзержинский</v>
      </c>
      <c r="D82" s="111" t="str">
        <f ca="1">IFERROR(__xludf.DUMMYFUNCTION("""COMPUTED_VALUE"""),"Строительсвто сетей водоснабжения от т.А до ВЗУ-3 по адресу: Московская обл., г. Дзержинский, ул. Дзержинская")</f>
        <v>Строительсвто сетей водоснабжения от т.А до ВЗУ-3 по адресу: Московская обл., г. Дзержинский, ул. Дзержинская</v>
      </c>
      <c r="E82" s="111">
        <f ca="1">IFERROR(__xludf.DUMMYFUNCTION("""COMPUTED_VALUE"""),2021)</f>
        <v>2021</v>
      </c>
      <c r="F82" s="113">
        <f ca="1">IFERROR(__xludf.DUMMYFUNCTION("""COMPUTED_VALUE"""),0)</f>
        <v>0</v>
      </c>
      <c r="G82" s="113">
        <f ca="1">IFERROR(__xludf.DUMMYFUNCTION("""COMPUTED_VALUE"""),0)</f>
        <v>0</v>
      </c>
      <c r="H82" s="113">
        <f ca="1">IFERROR(__xludf.DUMMYFUNCTION("""COMPUTED_VALUE"""),0)</f>
        <v>0</v>
      </c>
      <c r="I82" s="111"/>
      <c r="J82" s="111">
        <f ca="1">IFERROR(__xludf.DUMMYFUNCTION("""COMPUTED_VALUE"""),0)</f>
        <v>0</v>
      </c>
      <c r="K82" s="113">
        <f ca="1">IFERROR(__xludf.DUMMYFUNCTION("""COMPUTED_VALUE"""),0)</f>
        <v>0</v>
      </c>
      <c r="L82" s="114" t="str">
        <f ca="1">IFERROR(__xludf.DUMMYFUNCTION("""COMPUTED_VALUE"""),"#DIV/0!")</f>
        <v>#DIV/0!</v>
      </c>
      <c r="M82" s="111"/>
      <c r="N82" s="111"/>
      <c r="O82" s="111"/>
      <c r="P82" s="111"/>
      <c r="Q82" s="112"/>
      <c r="R82" s="103"/>
      <c r="S82" s="103"/>
      <c r="T82" s="103"/>
      <c r="U82" s="103"/>
      <c r="V82" s="103"/>
      <c r="W82" s="103"/>
      <c r="X82" s="103"/>
      <c r="Y82" s="103"/>
      <c r="Z82" s="103"/>
      <c r="AA82" s="103"/>
    </row>
    <row r="83" spans="1:27" ht="63.75" x14ac:dyDescent="0.2">
      <c r="A83" s="111"/>
      <c r="B83" s="111" t="str">
        <f ca="1">IFERROR(__xludf.DUMMYFUNCTION("""COMPUTED_VALUE"""),"МинЖКХ")</f>
        <v>МинЖКХ</v>
      </c>
      <c r="C83" s="111" t="str">
        <f ca="1">IFERROR(__xludf.DUMMYFUNCTION("""COMPUTED_VALUE"""),"г.о. Дзержинский")</f>
        <v>г.о. Дзержинский</v>
      </c>
      <c r="D83" s="111" t="str">
        <f ca="1">IFERROR(__xludf.DUMMYFUNCTION("""COMPUTED_VALUE"""),"Строительство сетей водоснабжения от т.А до ВЗУ-1 по адресу: Московская обл., г.Дзержинский, ул.Академика Жукова")</f>
        <v>Строительство сетей водоснабжения от т.А до ВЗУ-1 по адресу: Московская обл., г.Дзержинский, ул.Академика Жукова</v>
      </c>
      <c r="E83" s="111">
        <f ca="1">IFERROR(__xludf.DUMMYFUNCTION("""COMPUTED_VALUE"""),2021)</f>
        <v>2021</v>
      </c>
      <c r="F83" s="113">
        <f ca="1">IFERROR(__xludf.DUMMYFUNCTION("""COMPUTED_VALUE"""),0)</f>
        <v>0</v>
      </c>
      <c r="G83" s="113">
        <f ca="1">IFERROR(__xludf.DUMMYFUNCTION("""COMPUTED_VALUE"""),0)</f>
        <v>0</v>
      </c>
      <c r="H83" s="113">
        <f ca="1">IFERROR(__xludf.DUMMYFUNCTION("""COMPUTED_VALUE"""),0)</f>
        <v>0</v>
      </c>
      <c r="I83" s="111"/>
      <c r="J83" s="111">
        <f ca="1">IFERROR(__xludf.DUMMYFUNCTION("""COMPUTED_VALUE"""),0)</f>
        <v>0</v>
      </c>
      <c r="K83" s="113">
        <f ca="1">IFERROR(__xludf.DUMMYFUNCTION("""COMPUTED_VALUE"""),0)</f>
        <v>0</v>
      </c>
      <c r="L83" s="114" t="str">
        <f ca="1">IFERROR(__xludf.DUMMYFUNCTION("""COMPUTED_VALUE"""),"#DIV/0!")</f>
        <v>#DIV/0!</v>
      </c>
      <c r="M83" s="111"/>
      <c r="N83" s="111"/>
      <c r="O83" s="111"/>
      <c r="P83" s="111"/>
      <c r="Q83" s="112"/>
      <c r="R83" s="103"/>
      <c r="S83" s="103"/>
      <c r="T83" s="103"/>
      <c r="U83" s="103"/>
      <c r="V83" s="103"/>
      <c r="W83" s="103"/>
      <c r="X83" s="103"/>
      <c r="Y83" s="103"/>
      <c r="Z83" s="103"/>
      <c r="AA83" s="103"/>
    </row>
    <row r="84" spans="1:27" ht="63.75" x14ac:dyDescent="0.2">
      <c r="A84" s="111"/>
      <c r="B84" s="111" t="str">
        <f ca="1">IFERROR(__xludf.DUMMYFUNCTION("""COMPUTED_VALUE"""),"МинЖКХ")</f>
        <v>МинЖКХ</v>
      </c>
      <c r="C84" s="111" t="str">
        <f ca="1">IFERROR(__xludf.DUMMYFUNCTION("""COMPUTED_VALUE"""),"г.о. Красногорск")</f>
        <v>г.о. Красногорск</v>
      </c>
      <c r="D84" s="111" t="str">
        <f ca="1">IFERROR(__xludf.DUMMYFUNCTION("""COMPUTED_VALUE"""),"Реконструкция водопроводных сетей в мкр. Опалиха, расположенных по адресу: Московская область, г/о Красногорск, мкр. Опалиха")</f>
        <v>Реконструкция водопроводных сетей в мкр. Опалиха, расположенных по адресу: Московская область, г/о Красногорск, мкр. Опалиха</v>
      </c>
      <c r="E84" s="111">
        <f ca="1">IFERROR(__xludf.DUMMYFUNCTION("""COMPUTED_VALUE"""),2022)</f>
        <v>2022</v>
      </c>
      <c r="F84" s="113">
        <f ca="1">IFERROR(__xludf.DUMMYFUNCTION("""COMPUTED_VALUE"""),0)</f>
        <v>0</v>
      </c>
      <c r="G84" s="113">
        <f ca="1">IFERROR(__xludf.DUMMYFUNCTION("""COMPUTED_VALUE"""),0)</f>
        <v>0</v>
      </c>
      <c r="H84" s="113">
        <f ca="1">IFERROR(__xludf.DUMMYFUNCTION("""COMPUTED_VALUE"""),0)</f>
        <v>0</v>
      </c>
      <c r="I84" s="111"/>
      <c r="J84" s="111">
        <f ca="1">IFERROR(__xludf.DUMMYFUNCTION("""COMPUTED_VALUE"""),0)</f>
        <v>0</v>
      </c>
      <c r="K84" s="113">
        <f ca="1">IFERROR(__xludf.DUMMYFUNCTION("""COMPUTED_VALUE"""),0)</f>
        <v>0</v>
      </c>
      <c r="L84" s="114" t="str">
        <f ca="1">IFERROR(__xludf.DUMMYFUNCTION("""COMPUTED_VALUE"""),"#DIV/0!")</f>
        <v>#DIV/0!</v>
      </c>
      <c r="M84" s="111"/>
      <c r="N84" s="111"/>
      <c r="O84" s="111"/>
      <c r="P84" s="111"/>
      <c r="Q84" s="112"/>
      <c r="R84" s="103"/>
      <c r="S84" s="103"/>
      <c r="T84" s="103"/>
      <c r="U84" s="103"/>
      <c r="V84" s="103"/>
      <c r="W84" s="103"/>
      <c r="X84" s="103"/>
      <c r="Y84" s="103"/>
      <c r="Z84" s="103"/>
      <c r="AA84" s="103"/>
    </row>
    <row r="85" spans="1:27" ht="63.75" x14ac:dyDescent="0.2">
      <c r="A85" s="111"/>
      <c r="B85" s="111" t="str">
        <f ca="1">IFERROR(__xludf.DUMMYFUNCTION("""COMPUTED_VALUE"""),"МинЖКХ")</f>
        <v>МинЖКХ</v>
      </c>
      <c r="C85" s="111" t="str">
        <f ca="1">IFERROR(__xludf.DUMMYFUNCTION("""COMPUTED_VALUE"""),"г.о. Богородский")</f>
        <v>г.о. Богородский</v>
      </c>
      <c r="D85" s="111" t="str">
        <f ca="1">IFERROR(__xludf.DUMMYFUNCTION("""COMPUTED_VALUE"""),"Строительство присоединительного водовода от НС-9 в г.п. Старая Купавна к пос. Рыбхоз, к пос. Зеленый и д. Щемилово")</f>
        <v>Строительство присоединительного водовода от НС-9 в г.п. Старая Купавна к пос. Рыбхоз, к пос. Зеленый и д. Щемилово</v>
      </c>
      <c r="E85" s="111">
        <f ca="1">IFERROR(__xludf.DUMMYFUNCTION("""COMPUTED_VALUE"""),2021)</f>
        <v>2021</v>
      </c>
      <c r="F85" s="113">
        <f ca="1">IFERROR(__xludf.DUMMYFUNCTION("""COMPUTED_VALUE"""),0)</f>
        <v>0</v>
      </c>
      <c r="G85" s="113">
        <f ca="1">IFERROR(__xludf.DUMMYFUNCTION("""COMPUTED_VALUE"""),0)</f>
        <v>0</v>
      </c>
      <c r="H85" s="113">
        <f ca="1">IFERROR(__xludf.DUMMYFUNCTION("""COMPUTED_VALUE"""),0)</f>
        <v>0</v>
      </c>
      <c r="I85" s="111"/>
      <c r="J85" s="111">
        <f ca="1">IFERROR(__xludf.DUMMYFUNCTION("""COMPUTED_VALUE"""),0)</f>
        <v>0</v>
      </c>
      <c r="K85" s="113">
        <f ca="1">IFERROR(__xludf.DUMMYFUNCTION("""COMPUTED_VALUE"""),0)</f>
        <v>0</v>
      </c>
      <c r="L85" s="114" t="str">
        <f ca="1">IFERROR(__xludf.DUMMYFUNCTION("""COMPUTED_VALUE"""),"#DIV/0!")</f>
        <v>#DIV/0!</v>
      </c>
      <c r="M85" s="111"/>
      <c r="N85" s="111"/>
      <c r="O85" s="111"/>
      <c r="P85" s="111"/>
      <c r="Q85" s="112"/>
      <c r="R85" s="103"/>
      <c r="S85" s="103"/>
      <c r="T85" s="103"/>
      <c r="U85" s="103"/>
      <c r="V85" s="103"/>
      <c r="W85" s="103"/>
      <c r="X85" s="103"/>
      <c r="Y85" s="103"/>
      <c r="Z85" s="103"/>
      <c r="AA85" s="103"/>
    </row>
    <row r="86" spans="1:27" ht="51" x14ac:dyDescent="0.2">
      <c r="A86" s="111"/>
      <c r="B86" s="111" t="str">
        <f ca="1">IFERROR(__xludf.DUMMYFUNCTION("""COMPUTED_VALUE"""),"МинЖКХ")</f>
        <v>МинЖКХ</v>
      </c>
      <c r="C86" s="111" t="str">
        <f ca="1">IFERROR(__xludf.DUMMYFUNCTION("""COMPUTED_VALUE"""),"г.о. Богородский")</f>
        <v>г.о. Богородский</v>
      </c>
      <c r="D86" s="111" t="str">
        <f ca="1">IFERROR(__xludf.DUMMYFUNCTION("""COMPUTED_VALUE"""),"Строителььство ВЗУ «Заречье» и сетей водоснабжения  с врезкой в существующую сеть,  г.о. Богородский")</f>
        <v>Строителььство ВЗУ «Заречье» и сетей водоснабжения  с врезкой в существующую сеть,  г.о. Богородский</v>
      </c>
      <c r="E86" s="111">
        <f ca="1">IFERROR(__xludf.DUMMYFUNCTION("""COMPUTED_VALUE"""),2023)</f>
        <v>2023</v>
      </c>
      <c r="F86" s="113">
        <f ca="1">IFERROR(__xludf.DUMMYFUNCTION("""COMPUTED_VALUE"""),0)</f>
        <v>0</v>
      </c>
      <c r="G86" s="113">
        <f ca="1">IFERROR(__xludf.DUMMYFUNCTION("""COMPUTED_VALUE"""),0)</f>
        <v>0</v>
      </c>
      <c r="H86" s="113">
        <f ca="1">IFERROR(__xludf.DUMMYFUNCTION("""COMPUTED_VALUE"""),0)</f>
        <v>0</v>
      </c>
      <c r="I86" s="111"/>
      <c r="J86" s="111">
        <f ca="1">IFERROR(__xludf.DUMMYFUNCTION("""COMPUTED_VALUE"""),0)</f>
        <v>0</v>
      </c>
      <c r="K86" s="113">
        <f ca="1">IFERROR(__xludf.DUMMYFUNCTION("""COMPUTED_VALUE"""),0)</f>
        <v>0</v>
      </c>
      <c r="L86" s="114" t="str">
        <f ca="1">IFERROR(__xludf.DUMMYFUNCTION("""COMPUTED_VALUE"""),"#DIV/0!")</f>
        <v>#DIV/0!</v>
      </c>
      <c r="M86" s="111"/>
      <c r="N86" s="111"/>
      <c r="O86" s="111"/>
      <c r="P86" s="111"/>
      <c r="Q86" s="112"/>
      <c r="R86" s="103"/>
      <c r="S86" s="103"/>
      <c r="T86" s="103"/>
      <c r="U86" s="103"/>
      <c r="V86" s="103"/>
      <c r="W86" s="103"/>
      <c r="X86" s="103"/>
      <c r="Y86" s="103"/>
      <c r="Z86" s="103"/>
      <c r="AA86" s="103"/>
    </row>
    <row r="87" spans="1:27" ht="51" x14ac:dyDescent="0.2">
      <c r="A87" s="111"/>
      <c r="B87" s="111" t="str">
        <f ca="1">IFERROR(__xludf.DUMMYFUNCTION("""COMPUTED_VALUE"""),"МинЖКХ")</f>
        <v>МинЖКХ</v>
      </c>
      <c r="C87" s="111" t="str">
        <f ca="1">IFERROR(__xludf.DUMMYFUNCTION("""COMPUTED_VALUE"""),"г.о. Богородский")</f>
        <v>г.о. Богородский</v>
      </c>
      <c r="D87" s="111" t="str">
        <f ca="1">IFERROR(__xludf.DUMMYFUNCTION("""COMPUTED_VALUE"""),"Строительство II-ой нитки присоединительного водовода Ду 500 мм от ВК-7/14 до НС-9 г.о. Богородский")</f>
        <v>Строительство II-ой нитки присоединительного водовода Ду 500 мм от ВК-7/14 до НС-9 г.о. Богородский</v>
      </c>
      <c r="E87" s="111">
        <f ca="1">IFERROR(__xludf.DUMMYFUNCTION("""COMPUTED_VALUE"""),2023)</f>
        <v>2023</v>
      </c>
      <c r="F87" s="113">
        <f ca="1">IFERROR(__xludf.DUMMYFUNCTION("""COMPUTED_VALUE"""),0)</f>
        <v>0</v>
      </c>
      <c r="G87" s="113">
        <f ca="1">IFERROR(__xludf.DUMMYFUNCTION("""COMPUTED_VALUE"""),0)</f>
        <v>0</v>
      </c>
      <c r="H87" s="113">
        <f ca="1">IFERROR(__xludf.DUMMYFUNCTION("""COMPUTED_VALUE"""),0)</f>
        <v>0</v>
      </c>
      <c r="I87" s="111"/>
      <c r="J87" s="111">
        <f ca="1">IFERROR(__xludf.DUMMYFUNCTION("""COMPUTED_VALUE"""),0)</f>
        <v>0</v>
      </c>
      <c r="K87" s="113">
        <f ca="1">IFERROR(__xludf.DUMMYFUNCTION("""COMPUTED_VALUE"""),0)</f>
        <v>0</v>
      </c>
      <c r="L87" s="114" t="str">
        <f ca="1">IFERROR(__xludf.DUMMYFUNCTION("""COMPUTED_VALUE"""),"#DIV/0!")</f>
        <v>#DIV/0!</v>
      </c>
      <c r="M87" s="111"/>
      <c r="N87" s="111"/>
      <c r="O87" s="111"/>
      <c r="P87" s="111"/>
      <c r="Q87" s="112"/>
      <c r="R87" s="103"/>
      <c r="S87" s="103"/>
      <c r="T87" s="103"/>
      <c r="U87" s="103"/>
      <c r="V87" s="103"/>
      <c r="W87" s="103"/>
      <c r="X87" s="103"/>
      <c r="Y87" s="103"/>
      <c r="Z87" s="103"/>
      <c r="AA87" s="103"/>
    </row>
    <row r="88" spans="1:27" ht="38.25" x14ac:dyDescent="0.2">
      <c r="A88" s="111"/>
      <c r="B88" s="111" t="str">
        <f ca="1">IFERROR(__xludf.DUMMYFUNCTION("""COMPUTED_VALUE"""),"МинЖКХ")</f>
        <v>МинЖКХ</v>
      </c>
      <c r="C88" s="111" t="str">
        <f ca="1">IFERROR(__xludf.DUMMYFUNCTION("""COMPUTED_VALUE"""),"г.о. Богородский")</f>
        <v>г.о. Богородский</v>
      </c>
      <c r="D88" s="111" t="str">
        <f ca="1">IFERROR(__xludf.DUMMYFUNCTION("""COMPUTED_VALUE"""),"Строительство сетей водоснабжения в г. Старая Купавна Богородского г.о.")</f>
        <v>Строительство сетей водоснабжения в г. Старая Купавна Богородского г.о.</v>
      </c>
      <c r="E88" s="111">
        <f ca="1">IFERROR(__xludf.DUMMYFUNCTION("""COMPUTED_VALUE"""),2023)</f>
        <v>2023</v>
      </c>
      <c r="F88" s="113">
        <f ca="1">IFERROR(__xludf.DUMMYFUNCTION("""COMPUTED_VALUE"""),0)</f>
        <v>0</v>
      </c>
      <c r="G88" s="113">
        <f ca="1">IFERROR(__xludf.DUMMYFUNCTION("""COMPUTED_VALUE"""),0)</f>
        <v>0</v>
      </c>
      <c r="H88" s="113">
        <f ca="1">IFERROR(__xludf.DUMMYFUNCTION("""COMPUTED_VALUE"""),0)</f>
        <v>0</v>
      </c>
      <c r="I88" s="111"/>
      <c r="J88" s="111">
        <f ca="1">IFERROR(__xludf.DUMMYFUNCTION("""COMPUTED_VALUE"""),0)</f>
        <v>0</v>
      </c>
      <c r="K88" s="113">
        <f ca="1">IFERROR(__xludf.DUMMYFUNCTION("""COMPUTED_VALUE"""),0)</f>
        <v>0</v>
      </c>
      <c r="L88" s="114" t="str">
        <f ca="1">IFERROR(__xludf.DUMMYFUNCTION("""COMPUTED_VALUE"""),"#DIV/0!")</f>
        <v>#DIV/0!</v>
      </c>
      <c r="M88" s="111"/>
      <c r="N88" s="111"/>
      <c r="O88" s="111"/>
      <c r="P88" s="111"/>
      <c r="Q88" s="112"/>
      <c r="R88" s="103"/>
      <c r="S88" s="103"/>
      <c r="T88" s="103"/>
      <c r="U88" s="103"/>
      <c r="V88" s="103"/>
      <c r="W88" s="103"/>
      <c r="X88" s="103"/>
      <c r="Y88" s="103"/>
      <c r="Z88" s="103"/>
      <c r="AA88" s="103"/>
    </row>
    <row r="89" spans="1:27" ht="89.25" x14ac:dyDescent="0.2">
      <c r="A89" s="110">
        <v>7</v>
      </c>
      <c r="B89" s="111" t="str">
        <f ca="1">IFERROR(__xludf.DUMMYFUNCTION("""COMPUTED_VALUE"""),"МинЖКХ")</f>
        <v>МинЖКХ</v>
      </c>
      <c r="C89" s="111" t="str">
        <f ca="1">IFERROR(__xludf.DUMMYFUNCTION("""COMPUTED_VALUE"""),"КСМО")</f>
        <v>КСМО</v>
      </c>
      <c r="D89" s="111" t="str">
        <f ca="1">IFERROR(__xludf.DUMMYFUNCTION("""COMPUTED_VALUE"""),"Строительство  присоеденительного водовода от Восточной системы водоснабжения Московской области к  д. Тимохово Богородский г.о. (в том числе ПИР)")</f>
        <v>Строительство  присоеденительного водовода от Восточной системы водоснабжения Московской области к  д. Тимохово Богородский г.о. (в том числе ПИР)</v>
      </c>
      <c r="E89" s="111" t="str">
        <f ca="1">IFERROR(__xludf.DUMMYFUNCTION("""COMPUTED_VALUE"""),"2020-2022")</f>
        <v>2020-2022</v>
      </c>
      <c r="F89" s="113">
        <f ca="1">IFERROR(__xludf.DUMMYFUNCTION("""COMPUTED_VALUE"""),15000)</f>
        <v>15000</v>
      </c>
      <c r="G89" s="113">
        <f ca="1">IFERROR(__xludf.DUMMYFUNCTION("""COMPUTED_VALUE"""),15000)</f>
        <v>15000</v>
      </c>
      <c r="H89" s="113">
        <f ca="1">IFERROR(__xludf.DUMMYFUNCTION("""COMPUTED_VALUE"""),0)</f>
        <v>0</v>
      </c>
      <c r="I89" s="111"/>
      <c r="J89" s="111">
        <f ca="1">IFERROR(__xludf.DUMMYFUNCTION("""COMPUTED_VALUE"""),15000)</f>
        <v>15000</v>
      </c>
      <c r="K89" s="113">
        <f ca="1">IFERROR(__xludf.DUMMYFUNCTION("""COMPUTED_VALUE"""),0)</f>
        <v>0</v>
      </c>
      <c r="L89" s="114">
        <f ca="1">IFERROR(__xludf.DUMMYFUNCTION("""COMPUTED_VALUE"""),1)</f>
        <v>1</v>
      </c>
      <c r="M89" s="111"/>
      <c r="N89" s="111"/>
      <c r="O89" s="111"/>
      <c r="P89" s="111"/>
      <c r="Q89" s="112"/>
      <c r="R89" s="103"/>
      <c r="S89" s="103"/>
      <c r="T89" s="103"/>
      <c r="U89" s="103"/>
      <c r="V89" s="103"/>
      <c r="W89" s="103"/>
      <c r="X89" s="103"/>
      <c r="Y89" s="103"/>
      <c r="Z89" s="103"/>
      <c r="AA89" s="103"/>
    </row>
    <row r="90" spans="1:27" ht="25.5" x14ac:dyDescent="0.2">
      <c r="A90" s="111"/>
      <c r="B90" s="111" t="str">
        <f ca="1">IFERROR(__xludf.DUMMYFUNCTION("""COMPUTED_VALUE"""),"МинЖКХ")</f>
        <v>МинЖКХ</v>
      </c>
      <c r="C90" s="111" t="str">
        <f ca="1">IFERROR(__xludf.DUMMYFUNCTION("""COMPUTED_VALUE"""),"г.о. Богородский")</f>
        <v>г.о. Богородский</v>
      </c>
      <c r="D90" s="111" t="str">
        <f ca="1">IFERROR(__xludf.DUMMYFUNCTION("""COMPUTED_VALUE"""),"Реконструкция НС-1 Восточнй системы водоснабжения")</f>
        <v>Реконструкция НС-1 Восточнй системы водоснабжения</v>
      </c>
      <c r="E90" s="111" t="str">
        <f ca="1">IFERROR(__xludf.DUMMYFUNCTION("""COMPUTED_VALUE"""),"Н/Л")</f>
        <v>Н/Л</v>
      </c>
      <c r="F90" s="113">
        <f ca="1">IFERROR(__xludf.DUMMYFUNCTION("""COMPUTED_VALUE"""),0)</f>
        <v>0</v>
      </c>
      <c r="G90" s="113">
        <f ca="1">IFERROR(__xludf.DUMMYFUNCTION("""COMPUTED_VALUE"""),0)</f>
        <v>0</v>
      </c>
      <c r="H90" s="113">
        <f ca="1">IFERROR(__xludf.DUMMYFUNCTION("""COMPUTED_VALUE"""),0)</f>
        <v>0</v>
      </c>
      <c r="I90" s="111"/>
      <c r="J90" s="111">
        <f ca="1">IFERROR(__xludf.DUMMYFUNCTION("""COMPUTED_VALUE"""),0)</f>
        <v>0</v>
      </c>
      <c r="K90" s="113">
        <f ca="1">IFERROR(__xludf.DUMMYFUNCTION("""COMPUTED_VALUE"""),0)</f>
        <v>0</v>
      </c>
      <c r="L90" s="114" t="str">
        <f ca="1">IFERROR(__xludf.DUMMYFUNCTION("""COMPUTED_VALUE"""),"#DIV/0!")</f>
        <v>#DIV/0!</v>
      </c>
      <c r="M90" s="111"/>
      <c r="N90" s="111"/>
      <c r="O90" s="111"/>
      <c r="P90" s="111"/>
      <c r="Q90" s="112"/>
      <c r="R90" s="103"/>
      <c r="S90" s="103"/>
      <c r="T90" s="103"/>
      <c r="U90" s="103"/>
      <c r="V90" s="103"/>
      <c r="W90" s="103"/>
      <c r="X90" s="103"/>
      <c r="Y90" s="103"/>
      <c r="Z90" s="103"/>
      <c r="AA90" s="103"/>
    </row>
    <row r="91" spans="1:27" ht="63.75" x14ac:dyDescent="0.2">
      <c r="A91" s="111"/>
      <c r="B91" s="111" t="str">
        <f ca="1">IFERROR(__xludf.DUMMYFUNCTION("""COMPUTED_VALUE"""),"МинЖКХ")</f>
        <v>МинЖКХ</v>
      </c>
      <c r="C91" s="111" t="str">
        <f ca="1">IFERROR(__xludf.DUMMYFUNCTION("""COMPUTED_VALUE"""),"г.о. Можайск")</f>
        <v>г.о. Можайск</v>
      </c>
      <c r="D91" s="111" t="str">
        <f ca="1">IFERROR(__xludf.DUMMYFUNCTION("""COMPUTED_VALUE"""),"Реконструкция ВЗУ Карьероуправление с.п. Дровнинское, д. Карьероуправление г.о. Можайский")</f>
        <v>Реконструкция ВЗУ Карьероуправление с.п. Дровнинское, д. Карьероуправление г.о. Можайский</v>
      </c>
      <c r="E91" s="111">
        <f ca="1">IFERROR(__xludf.DUMMYFUNCTION("""COMPUTED_VALUE"""),2022)</f>
        <v>2022</v>
      </c>
      <c r="F91" s="113">
        <f ca="1">IFERROR(__xludf.DUMMYFUNCTION("""COMPUTED_VALUE"""),0)</f>
        <v>0</v>
      </c>
      <c r="G91" s="113">
        <f ca="1">IFERROR(__xludf.DUMMYFUNCTION("""COMPUTED_VALUE"""),0)</f>
        <v>0</v>
      </c>
      <c r="H91" s="113">
        <f ca="1">IFERROR(__xludf.DUMMYFUNCTION("""COMPUTED_VALUE"""),0)</f>
        <v>0</v>
      </c>
      <c r="I91" s="111"/>
      <c r="J91" s="111">
        <f ca="1">IFERROR(__xludf.DUMMYFUNCTION("""COMPUTED_VALUE"""),0)</f>
        <v>0</v>
      </c>
      <c r="K91" s="113">
        <f ca="1">IFERROR(__xludf.DUMMYFUNCTION("""COMPUTED_VALUE"""),0)</f>
        <v>0</v>
      </c>
      <c r="L91" s="114" t="str">
        <f ca="1">IFERROR(__xludf.DUMMYFUNCTION("""COMPUTED_VALUE"""),"#DIV/0!")</f>
        <v>#DIV/0!</v>
      </c>
      <c r="M91" s="111"/>
      <c r="N91" s="111"/>
      <c r="O91" s="111"/>
      <c r="P91" s="111"/>
      <c r="Q91" s="112"/>
      <c r="R91" s="103"/>
      <c r="S91" s="103"/>
      <c r="T91" s="103"/>
      <c r="U91" s="103"/>
      <c r="V91" s="103"/>
      <c r="W91" s="103"/>
      <c r="X91" s="103"/>
      <c r="Y91" s="103"/>
      <c r="Z91" s="103"/>
      <c r="AA91" s="103"/>
    </row>
    <row r="92" spans="1:27" ht="38.25" x14ac:dyDescent="0.2">
      <c r="A92" s="111"/>
      <c r="B92" s="111" t="str">
        <f ca="1">IFERROR(__xludf.DUMMYFUNCTION("""COMPUTED_VALUE"""),"МинЖКХ")</f>
        <v>МинЖКХ</v>
      </c>
      <c r="C92" s="111" t="str">
        <f ca="1">IFERROR(__xludf.DUMMYFUNCTION("""COMPUTED_VALUE"""),"г.о. Можайск")</f>
        <v>г.о. Можайск</v>
      </c>
      <c r="D92" s="111" t="str">
        <f ca="1">IFERROR(__xludf.DUMMYFUNCTION("""COMPUTED_VALUE"""),"Реконструкция ВЗУ Цветковский с.п. Дровнинское, п. Цветковский г.о. Можайский")</f>
        <v>Реконструкция ВЗУ Цветковский с.п. Дровнинское, п. Цветковский г.о. Можайский</v>
      </c>
      <c r="E92" s="111">
        <f ca="1">IFERROR(__xludf.DUMMYFUNCTION("""COMPUTED_VALUE"""),2022)</f>
        <v>2022</v>
      </c>
      <c r="F92" s="113">
        <f ca="1">IFERROR(__xludf.DUMMYFUNCTION("""COMPUTED_VALUE"""),0)</f>
        <v>0</v>
      </c>
      <c r="G92" s="113">
        <f ca="1">IFERROR(__xludf.DUMMYFUNCTION("""COMPUTED_VALUE"""),0)</f>
        <v>0</v>
      </c>
      <c r="H92" s="113">
        <f ca="1">IFERROR(__xludf.DUMMYFUNCTION("""COMPUTED_VALUE"""),0)</f>
        <v>0</v>
      </c>
      <c r="I92" s="111"/>
      <c r="J92" s="111">
        <f ca="1">IFERROR(__xludf.DUMMYFUNCTION("""COMPUTED_VALUE"""),0)</f>
        <v>0</v>
      </c>
      <c r="K92" s="113">
        <f ca="1">IFERROR(__xludf.DUMMYFUNCTION("""COMPUTED_VALUE"""),0)</f>
        <v>0</v>
      </c>
      <c r="L92" s="114" t="str">
        <f ca="1">IFERROR(__xludf.DUMMYFUNCTION("""COMPUTED_VALUE"""),"#DIV/0!")</f>
        <v>#DIV/0!</v>
      </c>
      <c r="M92" s="111"/>
      <c r="N92" s="111"/>
      <c r="O92" s="111"/>
      <c r="P92" s="111"/>
      <c r="Q92" s="112"/>
      <c r="R92" s="103"/>
      <c r="S92" s="103"/>
      <c r="T92" s="103"/>
      <c r="U92" s="103"/>
      <c r="V92" s="103"/>
      <c r="W92" s="103"/>
      <c r="X92" s="103"/>
      <c r="Y92" s="103"/>
      <c r="Z92" s="103"/>
      <c r="AA92" s="103"/>
    </row>
    <row r="93" spans="1:27" ht="38.25" x14ac:dyDescent="0.2">
      <c r="A93" s="111"/>
      <c r="B93" s="111" t="str">
        <f ca="1">IFERROR(__xludf.DUMMYFUNCTION("""COMPUTED_VALUE"""),"МинЖКХ")</f>
        <v>МинЖКХ</v>
      </c>
      <c r="C93" s="111" t="str">
        <f ca="1">IFERROR(__xludf.DUMMYFUNCTION("""COMPUTED_VALUE"""),"г.о. Можайск")</f>
        <v>г.о. Можайск</v>
      </c>
      <c r="D93" s="111" t="str">
        <f ca="1">IFERROR(__xludf.DUMMYFUNCTION("""COMPUTED_VALUE"""),"Реконструкция ВЗУ Сокольниковос с.п. Юрловское, с. Сокольниково г.о. Можайский")</f>
        <v>Реконструкция ВЗУ Сокольниковос с.п. Юрловское, с. Сокольниково г.о. Можайский</v>
      </c>
      <c r="E93" s="111">
        <f ca="1">IFERROR(__xludf.DUMMYFUNCTION("""COMPUTED_VALUE"""),2022)</f>
        <v>2022</v>
      </c>
      <c r="F93" s="113">
        <f ca="1">IFERROR(__xludf.DUMMYFUNCTION("""COMPUTED_VALUE"""),0)</f>
        <v>0</v>
      </c>
      <c r="G93" s="113">
        <f ca="1">IFERROR(__xludf.DUMMYFUNCTION("""COMPUTED_VALUE"""),0)</f>
        <v>0</v>
      </c>
      <c r="H93" s="113">
        <f ca="1">IFERROR(__xludf.DUMMYFUNCTION("""COMPUTED_VALUE"""),0)</f>
        <v>0</v>
      </c>
      <c r="I93" s="111"/>
      <c r="J93" s="111">
        <f ca="1">IFERROR(__xludf.DUMMYFUNCTION("""COMPUTED_VALUE"""),0)</f>
        <v>0</v>
      </c>
      <c r="K93" s="113">
        <f ca="1">IFERROR(__xludf.DUMMYFUNCTION("""COMPUTED_VALUE"""),0)</f>
        <v>0</v>
      </c>
      <c r="L93" s="114" t="str">
        <f ca="1">IFERROR(__xludf.DUMMYFUNCTION("""COMPUTED_VALUE"""),"#DIV/0!")</f>
        <v>#DIV/0!</v>
      </c>
      <c r="M93" s="111"/>
      <c r="N93" s="111"/>
      <c r="O93" s="111"/>
      <c r="P93" s="111"/>
      <c r="Q93" s="112"/>
      <c r="R93" s="103"/>
      <c r="S93" s="103"/>
      <c r="T93" s="103"/>
      <c r="U93" s="103"/>
      <c r="V93" s="103"/>
      <c r="W93" s="103"/>
      <c r="X93" s="103"/>
      <c r="Y93" s="103"/>
      <c r="Z93" s="103"/>
      <c r="AA93" s="103"/>
    </row>
    <row r="94" spans="1:27" ht="38.25" x14ac:dyDescent="0.2">
      <c r="A94" s="111"/>
      <c r="B94" s="111" t="str">
        <f ca="1">IFERROR(__xludf.DUMMYFUNCTION("""COMPUTED_VALUE"""),"МинЖКХ")</f>
        <v>МинЖКХ</v>
      </c>
      <c r="C94" s="111" t="str">
        <f ca="1">IFERROR(__xludf.DUMMYFUNCTION("""COMPUTED_VALUE"""),"г.о. Можайск")</f>
        <v>г.о. Можайск</v>
      </c>
      <c r="D94" s="111" t="str">
        <f ca="1">IFERROR(__xludf.DUMMYFUNCTION("""COMPUTED_VALUE"""),"Реконструкция ВЗУ Мокрое с.п. Замошинское, д. Мокрое г.о. Можайский")</f>
        <v>Реконструкция ВЗУ Мокрое с.п. Замошинское, д. Мокрое г.о. Можайский</v>
      </c>
      <c r="E94" s="111">
        <f ca="1">IFERROR(__xludf.DUMMYFUNCTION("""COMPUTED_VALUE"""),2022)</f>
        <v>2022</v>
      </c>
      <c r="F94" s="113">
        <f ca="1">IFERROR(__xludf.DUMMYFUNCTION("""COMPUTED_VALUE"""),0)</f>
        <v>0</v>
      </c>
      <c r="G94" s="113">
        <f ca="1">IFERROR(__xludf.DUMMYFUNCTION("""COMPUTED_VALUE"""),0)</f>
        <v>0</v>
      </c>
      <c r="H94" s="113">
        <f ca="1">IFERROR(__xludf.DUMMYFUNCTION("""COMPUTED_VALUE"""),0)</f>
        <v>0</v>
      </c>
      <c r="I94" s="111"/>
      <c r="J94" s="111">
        <f ca="1">IFERROR(__xludf.DUMMYFUNCTION("""COMPUTED_VALUE"""),0)</f>
        <v>0</v>
      </c>
      <c r="K94" s="113">
        <f ca="1">IFERROR(__xludf.DUMMYFUNCTION("""COMPUTED_VALUE"""),0)</f>
        <v>0</v>
      </c>
      <c r="L94" s="114" t="str">
        <f ca="1">IFERROR(__xludf.DUMMYFUNCTION("""COMPUTED_VALUE"""),"#DIV/0!")</f>
        <v>#DIV/0!</v>
      </c>
      <c r="M94" s="111"/>
      <c r="N94" s="111"/>
      <c r="O94" s="111"/>
      <c r="P94" s="111"/>
      <c r="Q94" s="112"/>
      <c r="R94" s="103"/>
      <c r="S94" s="103"/>
      <c r="T94" s="103"/>
      <c r="U94" s="103"/>
      <c r="V94" s="103"/>
      <c r="W94" s="103"/>
      <c r="X94" s="103"/>
      <c r="Y94" s="103"/>
      <c r="Z94" s="103"/>
      <c r="AA94" s="103"/>
    </row>
    <row r="95" spans="1:27" ht="38.25" x14ac:dyDescent="0.2">
      <c r="A95" s="111"/>
      <c r="B95" s="111" t="str">
        <f ca="1">IFERROR(__xludf.DUMMYFUNCTION("""COMPUTED_VALUE"""),"МинЖКХ")</f>
        <v>МинЖКХ</v>
      </c>
      <c r="C95" s="111" t="str">
        <f ca="1">IFERROR(__xludf.DUMMYFUNCTION("""COMPUTED_VALUE"""),"г.о. Можайск")</f>
        <v>г.о. Можайск</v>
      </c>
      <c r="D95" s="111" t="str">
        <f ca="1">IFERROR(__xludf.DUMMYFUNCTION("""COMPUTED_VALUE"""),"Реконструкция ВЗУ Ивакино с.п. Юрловское, д. Ивакино г.о. Можайский")</f>
        <v>Реконструкция ВЗУ Ивакино с.п. Юрловское, д. Ивакино г.о. Можайский</v>
      </c>
      <c r="E95" s="111">
        <f ca="1">IFERROR(__xludf.DUMMYFUNCTION("""COMPUTED_VALUE"""),2022)</f>
        <v>2022</v>
      </c>
      <c r="F95" s="113">
        <f ca="1">IFERROR(__xludf.DUMMYFUNCTION("""COMPUTED_VALUE"""),0)</f>
        <v>0</v>
      </c>
      <c r="G95" s="113">
        <f ca="1">IFERROR(__xludf.DUMMYFUNCTION("""COMPUTED_VALUE"""),0)</f>
        <v>0</v>
      </c>
      <c r="H95" s="113">
        <f ca="1">IFERROR(__xludf.DUMMYFUNCTION("""COMPUTED_VALUE"""),0)</f>
        <v>0</v>
      </c>
      <c r="I95" s="111"/>
      <c r="J95" s="111">
        <f ca="1">IFERROR(__xludf.DUMMYFUNCTION("""COMPUTED_VALUE"""),0)</f>
        <v>0</v>
      </c>
      <c r="K95" s="113">
        <f ca="1">IFERROR(__xludf.DUMMYFUNCTION("""COMPUTED_VALUE"""),0)</f>
        <v>0</v>
      </c>
      <c r="L95" s="114" t="str">
        <f ca="1">IFERROR(__xludf.DUMMYFUNCTION("""COMPUTED_VALUE"""),"#DIV/0!")</f>
        <v>#DIV/0!</v>
      </c>
      <c r="M95" s="111"/>
      <c r="N95" s="111"/>
      <c r="O95" s="111"/>
      <c r="P95" s="111"/>
      <c r="Q95" s="112"/>
      <c r="R95" s="103"/>
      <c r="S95" s="103"/>
      <c r="T95" s="103"/>
      <c r="U95" s="103"/>
      <c r="V95" s="103"/>
      <c r="W95" s="103"/>
      <c r="X95" s="103"/>
      <c r="Y95" s="103"/>
      <c r="Z95" s="103"/>
      <c r="AA95" s="103"/>
    </row>
    <row r="96" spans="1:27" ht="51" x14ac:dyDescent="0.2">
      <c r="A96" s="111"/>
      <c r="B96" s="111" t="str">
        <f ca="1">IFERROR(__xludf.DUMMYFUNCTION("""COMPUTED_VALUE"""),"МинЖКХ")</f>
        <v>МинЖКХ</v>
      </c>
      <c r="C96" s="111" t="str">
        <f ca="1">IFERROR(__xludf.DUMMYFUNCTION("""COMPUTED_VALUE"""),"г.о. Можайск")</f>
        <v>г.о. Можайск</v>
      </c>
      <c r="D96" s="111" t="str">
        <f ca="1">IFERROR(__xludf.DUMMYFUNCTION("""COMPUTED_VALUE"""),"Реконструкция ВЗУ Семеновское Московская область, Можайский городской округ, с.п. Замошинское, д. Семеновское")</f>
        <v>Реконструкция ВЗУ Семеновское Московская область, Можайский городской округ, с.п. Замошинское, д. Семеновское</v>
      </c>
      <c r="E96" s="111">
        <f ca="1">IFERROR(__xludf.DUMMYFUNCTION("""COMPUTED_VALUE"""),2023)</f>
        <v>2023</v>
      </c>
      <c r="F96" s="113">
        <f ca="1">IFERROR(__xludf.DUMMYFUNCTION("""COMPUTED_VALUE"""),0)</f>
        <v>0</v>
      </c>
      <c r="G96" s="113">
        <f ca="1">IFERROR(__xludf.DUMMYFUNCTION("""COMPUTED_VALUE"""),0)</f>
        <v>0</v>
      </c>
      <c r="H96" s="113">
        <f ca="1">IFERROR(__xludf.DUMMYFUNCTION("""COMPUTED_VALUE"""),0)</f>
        <v>0</v>
      </c>
      <c r="I96" s="111"/>
      <c r="J96" s="111">
        <f ca="1">IFERROR(__xludf.DUMMYFUNCTION("""COMPUTED_VALUE"""),0)</f>
        <v>0</v>
      </c>
      <c r="K96" s="113">
        <f ca="1">IFERROR(__xludf.DUMMYFUNCTION("""COMPUTED_VALUE"""),0)</f>
        <v>0</v>
      </c>
      <c r="L96" s="114" t="str">
        <f ca="1">IFERROR(__xludf.DUMMYFUNCTION("""COMPUTED_VALUE"""),"#DIV/0!")</f>
        <v>#DIV/0!</v>
      </c>
      <c r="M96" s="111"/>
      <c r="N96" s="111"/>
      <c r="O96" s="111"/>
      <c r="P96" s="111"/>
      <c r="Q96" s="112"/>
      <c r="R96" s="103"/>
      <c r="S96" s="103"/>
      <c r="T96" s="103"/>
      <c r="U96" s="103"/>
      <c r="V96" s="103"/>
      <c r="W96" s="103"/>
      <c r="X96" s="103"/>
      <c r="Y96" s="103"/>
      <c r="Z96" s="103"/>
      <c r="AA96" s="103"/>
    </row>
    <row r="97" spans="1:27" ht="51" x14ac:dyDescent="0.2">
      <c r="A97" s="111"/>
      <c r="B97" s="111" t="str">
        <f ca="1">IFERROR(__xludf.DUMMYFUNCTION("""COMPUTED_VALUE"""),"МинЖКХ")</f>
        <v>МинЖКХ</v>
      </c>
      <c r="C97" s="111" t="str">
        <f ca="1">IFERROR(__xludf.DUMMYFUNCTION("""COMPUTED_VALUE"""),"г.о. Можайск")</f>
        <v>г.о. Можайск</v>
      </c>
      <c r="D97" s="111" t="str">
        <f ca="1">IFERROR(__xludf.DUMMYFUNCTION("""COMPUTED_VALUE"""),"Реконструкция ВЗУ №1 и №2 Павлищево Московская область, Можайский городской округ, с.п. Клементьевское, д. Павлищево")</f>
        <v>Реконструкция ВЗУ №1 и №2 Павлищево Московская область, Можайский городской округ, с.п. Клементьевское, д. Павлищево</v>
      </c>
      <c r="E97" s="111">
        <f ca="1">IFERROR(__xludf.DUMMYFUNCTION("""COMPUTED_VALUE"""),2023)</f>
        <v>2023</v>
      </c>
      <c r="F97" s="113">
        <f ca="1">IFERROR(__xludf.DUMMYFUNCTION("""COMPUTED_VALUE"""),0)</f>
        <v>0</v>
      </c>
      <c r="G97" s="113">
        <f ca="1">IFERROR(__xludf.DUMMYFUNCTION("""COMPUTED_VALUE"""),0)</f>
        <v>0</v>
      </c>
      <c r="H97" s="113">
        <f ca="1">IFERROR(__xludf.DUMMYFUNCTION("""COMPUTED_VALUE"""),0)</f>
        <v>0</v>
      </c>
      <c r="I97" s="111"/>
      <c r="J97" s="111">
        <f ca="1">IFERROR(__xludf.DUMMYFUNCTION("""COMPUTED_VALUE"""),0)</f>
        <v>0</v>
      </c>
      <c r="K97" s="113">
        <f ca="1">IFERROR(__xludf.DUMMYFUNCTION("""COMPUTED_VALUE"""),0)</f>
        <v>0</v>
      </c>
      <c r="L97" s="114" t="str">
        <f ca="1">IFERROR(__xludf.DUMMYFUNCTION("""COMPUTED_VALUE"""),"#DIV/0!")</f>
        <v>#DIV/0!</v>
      </c>
      <c r="M97" s="111"/>
      <c r="N97" s="111"/>
      <c r="O97" s="111"/>
      <c r="P97" s="111"/>
      <c r="Q97" s="112"/>
      <c r="R97" s="103"/>
      <c r="S97" s="103"/>
      <c r="T97" s="103"/>
      <c r="U97" s="103"/>
      <c r="V97" s="103"/>
      <c r="W97" s="103"/>
      <c r="X97" s="103"/>
      <c r="Y97" s="103"/>
      <c r="Z97" s="103"/>
      <c r="AA97" s="103"/>
    </row>
    <row r="98" spans="1:27" ht="51" x14ac:dyDescent="0.2">
      <c r="A98" s="111"/>
      <c r="B98" s="111" t="str">
        <f ca="1">IFERROR(__xludf.DUMMYFUNCTION("""COMPUTED_VALUE"""),"МинЖКХ")</f>
        <v>МинЖКХ</v>
      </c>
      <c r="C98" s="111" t="str">
        <f ca="1">IFERROR(__xludf.DUMMYFUNCTION("""COMPUTED_VALUE"""),"г.о. Можайск")</f>
        <v>г.о. Можайск</v>
      </c>
      <c r="D98" s="111" t="str">
        <f ca="1">IFERROR(__xludf.DUMMYFUNCTION("""COMPUTED_VALUE"""),"Реконструкция ВЗУ Новая Московская область, Можайский городской округ, г.п. Можайск, д. Новая")</f>
        <v>Реконструкция ВЗУ Новая Московская область, Можайский городской округ, г.п. Можайск, д. Новая</v>
      </c>
      <c r="E98" s="111">
        <f ca="1">IFERROR(__xludf.DUMMYFUNCTION("""COMPUTED_VALUE"""),2023)</f>
        <v>2023</v>
      </c>
      <c r="F98" s="113">
        <f ca="1">IFERROR(__xludf.DUMMYFUNCTION("""COMPUTED_VALUE"""),0)</f>
        <v>0</v>
      </c>
      <c r="G98" s="113">
        <f ca="1">IFERROR(__xludf.DUMMYFUNCTION("""COMPUTED_VALUE"""),0)</f>
        <v>0</v>
      </c>
      <c r="H98" s="113">
        <f ca="1">IFERROR(__xludf.DUMMYFUNCTION("""COMPUTED_VALUE"""),0)</f>
        <v>0</v>
      </c>
      <c r="I98" s="111"/>
      <c r="J98" s="111">
        <f ca="1">IFERROR(__xludf.DUMMYFUNCTION("""COMPUTED_VALUE"""),0)</f>
        <v>0</v>
      </c>
      <c r="K98" s="113">
        <f ca="1">IFERROR(__xludf.DUMMYFUNCTION("""COMPUTED_VALUE"""),0)</f>
        <v>0</v>
      </c>
      <c r="L98" s="114" t="str">
        <f ca="1">IFERROR(__xludf.DUMMYFUNCTION("""COMPUTED_VALUE"""),"#DIV/0!")</f>
        <v>#DIV/0!</v>
      </c>
      <c r="M98" s="111"/>
      <c r="N98" s="111"/>
      <c r="O98" s="111"/>
      <c r="P98" s="111"/>
      <c r="Q98" s="112"/>
      <c r="R98" s="103"/>
      <c r="S98" s="103"/>
      <c r="T98" s="103"/>
      <c r="U98" s="103"/>
      <c r="V98" s="103"/>
      <c r="W98" s="103"/>
      <c r="X98" s="103"/>
      <c r="Y98" s="103"/>
      <c r="Z98" s="103"/>
      <c r="AA98" s="103"/>
    </row>
    <row r="99" spans="1:27" ht="51" x14ac:dyDescent="0.2">
      <c r="A99" s="111"/>
      <c r="B99" s="111" t="str">
        <f ca="1">IFERROR(__xludf.DUMMYFUNCTION("""COMPUTED_VALUE"""),"МинЖКХ")</f>
        <v>МинЖКХ</v>
      </c>
      <c r="C99" s="111" t="str">
        <f ca="1">IFERROR(__xludf.DUMMYFUNCTION("""COMPUTED_VALUE"""),"г.о. Можайск")</f>
        <v>г.о. Можайск</v>
      </c>
      <c r="D99" s="111"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E99" s="111" t="str">
        <f ca="1">IFERROR(__xludf.DUMMYFUNCTION("""COMPUTED_VALUE"""),"Н/Л")</f>
        <v>Н/Л</v>
      </c>
      <c r="F99" s="113">
        <f ca="1">IFERROR(__xludf.DUMMYFUNCTION("""COMPUTED_VALUE"""),0)</f>
        <v>0</v>
      </c>
      <c r="G99" s="113">
        <f ca="1">IFERROR(__xludf.DUMMYFUNCTION("""COMPUTED_VALUE"""),0)</f>
        <v>0</v>
      </c>
      <c r="H99" s="113">
        <f ca="1">IFERROR(__xludf.DUMMYFUNCTION("""COMPUTED_VALUE"""),0)</f>
        <v>0</v>
      </c>
      <c r="I99" s="111"/>
      <c r="J99" s="111">
        <f ca="1">IFERROR(__xludf.DUMMYFUNCTION("""COMPUTED_VALUE"""),0)</f>
        <v>0</v>
      </c>
      <c r="K99" s="113">
        <f ca="1">IFERROR(__xludf.DUMMYFUNCTION("""COMPUTED_VALUE"""),0)</f>
        <v>0</v>
      </c>
      <c r="L99" s="114" t="str">
        <f ca="1">IFERROR(__xludf.DUMMYFUNCTION("""COMPUTED_VALUE"""),"#DIV/0!")</f>
        <v>#DIV/0!</v>
      </c>
      <c r="M99" s="111"/>
      <c r="N99" s="111"/>
      <c r="O99" s="111"/>
      <c r="P99" s="111"/>
      <c r="Q99" s="112"/>
      <c r="R99" s="103"/>
      <c r="S99" s="103"/>
      <c r="T99" s="103"/>
      <c r="U99" s="103"/>
      <c r="V99" s="103"/>
      <c r="W99" s="103"/>
      <c r="X99" s="103"/>
      <c r="Y99" s="103"/>
      <c r="Z99" s="103"/>
      <c r="AA99" s="103"/>
    </row>
    <row r="100" spans="1:27" ht="51" x14ac:dyDescent="0.2">
      <c r="A100" s="111"/>
      <c r="B100" s="111" t="str">
        <f ca="1">IFERROR(__xludf.DUMMYFUNCTION("""COMPUTED_VALUE"""),"МинЖКХ")</f>
        <v>МинЖКХ</v>
      </c>
      <c r="C100" s="111" t="str">
        <f ca="1">IFERROR(__xludf.DUMMYFUNCTION("""COMPUTED_VALUE"""),"г.о. Можайск")</f>
        <v>г.о. Можайск</v>
      </c>
      <c r="D100" s="111" t="str">
        <f ca="1">IFERROR(__xludf.DUMMYFUNCTION("""COMPUTED_VALUE"""),"Реконструкция ВЗУ Сокольниково ул. Верхнее Сокольниково Московская область, Можайский городской округ, с.п. Юрловское")</f>
        <v>Реконструкция ВЗУ Сокольниково ул. Верхнее Сокольниково Московская область, Можайский городской округ, с.п. Юрловское</v>
      </c>
      <c r="E100" s="111">
        <f ca="1">IFERROR(__xludf.DUMMYFUNCTION("""COMPUTED_VALUE"""),2023)</f>
        <v>2023</v>
      </c>
      <c r="F100" s="113">
        <f ca="1">IFERROR(__xludf.DUMMYFUNCTION("""COMPUTED_VALUE"""),0)</f>
        <v>0</v>
      </c>
      <c r="G100" s="113">
        <f ca="1">IFERROR(__xludf.DUMMYFUNCTION("""COMPUTED_VALUE"""),0)</f>
        <v>0</v>
      </c>
      <c r="H100" s="113">
        <f ca="1">IFERROR(__xludf.DUMMYFUNCTION("""COMPUTED_VALUE"""),0)</f>
        <v>0</v>
      </c>
      <c r="I100" s="111"/>
      <c r="J100" s="111">
        <f ca="1">IFERROR(__xludf.DUMMYFUNCTION("""COMPUTED_VALUE"""),0)</f>
        <v>0</v>
      </c>
      <c r="K100" s="113">
        <f ca="1">IFERROR(__xludf.DUMMYFUNCTION("""COMPUTED_VALUE"""),0)</f>
        <v>0</v>
      </c>
      <c r="L100" s="114" t="str">
        <f ca="1">IFERROR(__xludf.DUMMYFUNCTION("""COMPUTED_VALUE"""),"#DIV/0!")</f>
        <v>#DIV/0!</v>
      </c>
      <c r="M100" s="111"/>
      <c r="N100" s="111"/>
      <c r="O100" s="111"/>
      <c r="P100" s="111"/>
      <c r="Q100" s="112"/>
      <c r="R100" s="103"/>
      <c r="S100" s="103"/>
      <c r="T100" s="103"/>
      <c r="U100" s="103"/>
      <c r="V100" s="103"/>
      <c r="W100" s="103"/>
      <c r="X100" s="103"/>
      <c r="Y100" s="103"/>
      <c r="Z100" s="103"/>
      <c r="AA100" s="103"/>
    </row>
    <row r="101" spans="1:27" ht="51" x14ac:dyDescent="0.2">
      <c r="A101" s="111"/>
      <c r="B101" s="111" t="str">
        <f ca="1">IFERROR(__xludf.DUMMYFUNCTION("""COMPUTED_VALUE"""),"МинЖКХ")</f>
        <v>МинЖКХ</v>
      </c>
      <c r="C101" s="111" t="str">
        <f ca="1">IFERROR(__xludf.DUMMYFUNCTION("""COMPUTED_VALUE"""),"г.о. Можайск")</f>
        <v>г.о. Можайск</v>
      </c>
      <c r="D101" s="111" t="str">
        <f ca="1">IFERROR(__xludf.DUMMYFUNCTION("""COMPUTED_VALUE"""),"Реконструкция ВЗУ Преснецово Московская область, Можайский городской округ, с.п. Юрловское, д. Преснецово")</f>
        <v>Реконструкция ВЗУ Преснецово Московская область, Можайский городской округ, с.п. Юрловское, д. Преснецово</v>
      </c>
      <c r="E101" s="111">
        <f ca="1">IFERROR(__xludf.DUMMYFUNCTION("""COMPUTED_VALUE"""),2023)</f>
        <v>2023</v>
      </c>
      <c r="F101" s="113">
        <f ca="1">IFERROR(__xludf.DUMMYFUNCTION("""COMPUTED_VALUE"""),0)</f>
        <v>0</v>
      </c>
      <c r="G101" s="113">
        <f ca="1">IFERROR(__xludf.DUMMYFUNCTION("""COMPUTED_VALUE"""),0)</f>
        <v>0</v>
      </c>
      <c r="H101" s="113">
        <f ca="1">IFERROR(__xludf.DUMMYFUNCTION("""COMPUTED_VALUE"""),0)</f>
        <v>0</v>
      </c>
      <c r="I101" s="111"/>
      <c r="J101" s="111">
        <f ca="1">IFERROR(__xludf.DUMMYFUNCTION("""COMPUTED_VALUE"""),0)</f>
        <v>0</v>
      </c>
      <c r="K101" s="113">
        <f ca="1">IFERROR(__xludf.DUMMYFUNCTION("""COMPUTED_VALUE"""),0)</f>
        <v>0</v>
      </c>
      <c r="L101" s="114" t="str">
        <f ca="1">IFERROR(__xludf.DUMMYFUNCTION("""COMPUTED_VALUE"""),"#DIV/0!")</f>
        <v>#DIV/0!</v>
      </c>
      <c r="M101" s="111"/>
      <c r="N101" s="111"/>
      <c r="O101" s="111"/>
      <c r="P101" s="111"/>
      <c r="Q101" s="112"/>
      <c r="R101" s="103"/>
      <c r="S101" s="103"/>
      <c r="T101" s="103"/>
      <c r="U101" s="103"/>
      <c r="V101" s="103"/>
      <c r="W101" s="103"/>
      <c r="X101" s="103"/>
      <c r="Y101" s="103"/>
      <c r="Z101" s="103"/>
      <c r="AA101" s="103"/>
    </row>
    <row r="102" spans="1:27" ht="51" x14ac:dyDescent="0.2">
      <c r="A102" s="111"/>
      <c r="B102" s="111" t="str">
        <f ca="1">IFERROR(__xludf.DUMMYFUNCTION("""COMPUTED_VALUE"""),"МинЖКХ")</f>
        <v>МинЖКХ</v>
      </c>
      <c r="C102" s="111" t="str">
        <f ca="1">IFERROR(__xludf.DUMMYFUNCTION("""COMPUTED_VALUE"""),"г.о. Можайск")</f>
        <v>г.о. Можайск</v>
      </c>
      <c r="D102" s="111" t="str">
        <f ca="1">IFERROR(__xludf.DUMMYFUNCTION("""COMPUTED_VALUE"""),"Реконструкция ВЗУ Марфин Брод Московская область, Можайский городской округ, г.п. Можайск, д. Марфин Брод")</f>
        <v>Реконструкция ВЗУ Марфин Брод Московская область, Можайский городской округ, г.п. Можайск, д. Марфин Брод</v>
      </c>
      <c r="E102" s="111">
        <f ca="1">IFERROR(__xludf.DUMMYFUNCTION("""COMPUTED_VALUE"""),2023)</f>
        <v>2023</v>
      </c>
      <c r="F102" s="113">
        <f ca="1">IFERROR(__xludf.DUMMYFUNCTION("""COMPUTED_VALUE"""),0)</f>
        <v>0</v>
      </c>
      <c r="G102" s="113">
        <f ca="1">IFERROR(__xludf.DUMMYFUNCTION("""COMPUTED_VALUE"""),0)</f>
        <v>0</v>
      </c>
      <c r="H102" s="113">
        <f ca="1">IFERROR(__xludf.DUMMYFUNCTION("""COMPUTED_VALUE"""),0)</f>
        <v>0</v>
      </c>
      <c r="I102" s="111"/>
      <c r="J102" s="111">
        <f ca="1">IFERROR(__xludf.DUMMYFUNCTION("""COMPUTED_VALUE"""),0)</f>
        <v>0</v>
      </c>
      <c r="K102" s="113">
        <f ca="1">IFERROR(__xludf.DUMMYFUNCTION("""COMPUTED_VALUE"""),0)</f>
        <v>0</v>
      </c>
      <c r="L102" s="114" t="str">
        <f ca="1">IFERROR(__xludf.DUMMYFUNCTION("""COMPUTED_VALUE"""),"#DIV/0!")</f>
        <v>#DIV/0!</v>
      </c>
      <c r="M102" s="111"/>
      <c r="N102" s="111"/>
      <c r="O102" s="111"/>
      <c r="P102" s="111"/>
      <c r="Q102" s="112"/>
      <c r="R102" s="103"/>
      <c r="S102" s="103"/>
      <c r="T102" s="103"/>
      <c r="U102" s="103"/>
      <c r="V102" s="103"/>
      <c r="W102" s="103"/>
      <c r="X102" s="103"/>
      <c r="Y102" s="103"/>
      <c r="Z102" s="103"/>
      <c r="AA102" s="103"/>
    </row>
    <row r="103" spans="1:27" ht="51" x14ac:dyDescent="0.2">
      <c r="A103" s="111"/>
      <c r="B103" s="111" t="str">
        <f ca="1">IFERROR(__xludf.DUMMYFUNCTION("""COMPUTED_VALUE"""),"МинЖКХ")</f>
        <v>МинЖКХ</v>
      </c>
      <c r="C103" s="111" t="str">
        <f ca="1">IFERROR(__xludf.DUMMYFUNCTION("""COMPUTED_VALUE"""),"г.о. Можайск")</f>
        <v>г.о. Можайск</v>
      </c>
      <c r="D103" s="111" t="str">
        <f ca="1">IFERROR(__xludf.DUMMYFUNCTION("""COMPUTED_VALUE"""),"Реконструкция ВЗУ Троица Московская область, Можайский городской округ, с.п. Бородинское, д. Троица")</f>
        <v>Реконструкция ВЗУ Троица Московская область, Можайский городской округ, с.п. Бородинское, д. Троица</v>
      </c>
      <c r="E103" s="111">
        <f ca="1">IFERROR(__xludf.DUMMYFUNCTION("""COMPUTED_VALUE"""),2023)</f>
        <v>2023</v>
      </c>
      <c r="F103" s="113">
        <f ca="1">IFERROR(__xludf.DUMMYFUNCTION("""COMPUTED_VALUE"""),0)</f>
        <v>0</v>
      </c>
      <c r="G103" s="113">
        <f ca="1">IFERROR(__xludf.DUMMYFUNCTION("""COMPUTED_VALUE"""),0)</f>
        <v>0</v>
      </c>
      <c r="H103" s="113">
        <f ca="1">IFERROR(__xludf.DUMMYFUNCTION("""COMPUTED_VALUE"""),0)</f>
        <v>0</v>
      </c>
      <c r="I103" s="111"/>
      <c r="J103" s="111">
        <f ca="1">IFERROR(__xludf.DUMMYFUNCTION("""COMPUTED_VALUE"""),0)</f>
        <v>0</v>
      </c>
      <c r="K103" s="113">
        <f ca="1">IFERROR(__xludf.DUMMYFUNCTION("""COMPUTED_VALUE"""),0)</f>
        <v>0</v>
      </c>
      <c r="L103" s="114" t="str">
        <f ca="1">IFERROR(__xludf.DUMMYFUNCTION("""COMPUTED_VALUE"""),"#DIV/0!")</f>
        <v>#DIV/0!</v>
      </c>
      <c r="M103" s="111"/>
      <c r="N103" s="111"/>
      <c r="O103" s="111"/>
      <c r="P103" s="111"/>
      <c r="Q103" s="112"/>
      <c r="R103" s="103"/>
      <c r="S103" s="103"/>
      <c r="T103" s="103"/>
      <c r="U103" s="103"/>
      <c r="V103" s="103"/>
      <c r="W103" s="103"/>
      <c r="X103" s="103"/>
      <c r="Y103" s="103"/>
      <c r="Z103" s="103"/>
      <c r="AA103" s="103"/>
    </row>
    <row r="104" spans="1:27" ht="38.25" x14ac:dyDescent="0.2">
      <c r="A104" s="111"/>
      <c r="B104" s="111" t="str">
        <f ca="1">IFERROR(__xludf.DUMMYFUNCTION("""COMPUTED_VALUE"""),"МинЖКХ")</f>
        <v>МинЖКХ</v>
      </c>
      <c r="C104" s="111" t="str">
        <f ca="1">IFERROR(__xludf.DUMMYFUNCTION("""COMPUTED_VALUE"""),"г.о. Можайск")</f>
        <v>г.о. Можайск</v>
      </c>
      <c r="D104" s="111" t="str">
        <f ca="1">IFERROR(__xludf.DUMMYFUNCTION("""COMPUTED_VALUE"""),"Реконструкция ВЗУ Клементьево с.п. Клементьевское, д. Клементьево г.о. Можайский")</f>
        <v>Реконструкция ВЗУ Клементьево с.п. Клементьевское, д. Клементьево г.о. Можайский</v>
      </c>
      <c r="E104" s="111">
        <f ca="1">IFERROR(__xludf.DUMMYFUNCTION("""COMPUTED_VALUE"""),2023)</f>
        <v>2023</v>
      </c>
      <c r="F104" s="113">
        <f ca="1">IFERROR(__xludf.DUMMYFUNCTION("""COMPUTED_VALUE"""),0)</f>
        <v>0</v>
      </c>
      <c r="G104" s="113">
        <f ca="1">IFERROR(__xludf.DUMMYFUNCTION("""COMPUTED_VALUE"""),0)</f>
        <v>0</v>
      </c>
      <c r="H104" s="113">
        <f ca="1">IFERROR(__xludf.DUMMYFUNCTION("""COMPUTED_VALUE"""),0)</f>
        <v>0</v>
      </c>
      <c r="I104" s="111"/>
      <c r="J104" s="111">
        <f ca="1">IFERROR(__xludf.DUMMYFUNCTION("""COMPUTED_VALUE"""),0)</f>
        <v>0</v>
      </c>
      <c r="K104" s="113">
        <f ca="1">IFERROR(__xludf.DUMMYFUNCTION("""COMPUTED_VALUE"""),0)</f>
        <v>0</v>
      </c>
      <c r="L104" s="114" t="str">
        <f ca="1">IFERROR(__xludf.DUMMYFUNCTION("""COMPUTED_VALUE"""),"#DIV/0!")</f>
        <v>#DIV/0!</v>
      </c>
      <c r="M104" s="111"/>
      <c r="N104" s="111"/>
      <c r="O104" s="111"/>
      <c r="P104" s="111"/>
      <c r="Q104" s="112"/>
      <c r="R104" s="103"/>
      <c r="S104" s="103"/>
      <c r="T104" s="103"/>
      <c r="U104" s="103"/>
      <c r="V104" s="103"/>
      <c r="W104" s="103"/>
      <c r="X104" s="103"/>
      <c r="Y104" s="103"/>
      <c r="Z104" s="103"/>
      <c r="AA104" s="103"/>
    </row>
    <row r="105" spans="1:27" ht="63.75" x14ac:dyDescent="0.2">
      <c r="A105" s="111"/>
      <c r="B105" s="111" t="str">
        <f ca="1">IFERROR(__xludf.DUMMYFUNCTION("""COMPUTED_VALUE"""),"МинЖКХ")</f>
        <v>МинЖКХ</v>
      </c>
      <c r="C105" s="111" t="str">
        <f ca="1">IFERROR(__xludf.DUMMYFUNCTION("""COMPUTED_VALUE"""),"г.о. Можайск")</f>
        <v>г.о. Можайск</v>
      </c>
      <c r="D105" s="111" t="str">
        <f ca="1">IFERROR(__xludf.DUMMYFUNCTION("""COMPUTED_VALUE"""),"Реконструкция ВЗУ Александрово Московская область, Можайский городской округ, с.п. Бородинское, п. учхоза Александрово")</f>
        <v>Реконструкция ВЗУ Александрово Московская область, Можайский городской округ, с.п. Бородинское, п. учхоза Александрово</v>
      </c>
      <c r="E105" s="111">
        <f ca="1">IFERROR(__xludf.DUMMYFUNCTION("""COMPUTED_VALUE"""),2023)</f>
        <v>2023</v>
      </c>
      <c r="F105" s="113">
        <f ca="1">IFERROR(__xludf.DUMMYFUNCTION("""COMPUTED_VALUE"""),0)</f>
        <v>0</v>
      </c>
      <c r="G105" s="113">
        <f ca="1">IFERROR(__xludf.DUMMYFUNCTION("""COMPUTED_VALUE"""),0)</f>
        <v>0</v>
      </c>
      <c r="H105" s="113">
        <f ca="1">IFERROR(__xludf.DUMMYFUNCTION("""COMPUTED_VALUE"""),0)</f>
        <v>0</v>
      </c>
      <c r="I105" s="111"/>
      <c r="J105" s="111">
        <f ca="1">IFERROR(__xludf.DUMMYFUNCTION("""COMPUTED_VALUE"""),0)</f>
        <v>0</v>
      </c>
      <c r="K105" s="113">
        <f ca="1">IFERROR(__xludf.DUMMYFUNCTION("""COMPUTED_VALUE"""),0)</f>
        <v>0</v>
      </c>
      <c r="L105" s="114" t="str">
        <f ca="1">IFERROR(__xludf.DUMMYFUNCTION("""COMPUTED_VALUE"""),"#DIV/0!")</f>
        <v>#DIV/0!</v>
      </c>
      <c r="M105" s="111"/>
      <c r="N105" s="111"/>
      <c r="O105" s="111"/>
      <c r="P105" s="111"/>
      <c r="Q105" s="112"/>
      <c r="R105" s="103"/>
      <c r="S105" s="103"/>
      <c r="T105" s="103"/>
      <c r="U105" s="103"/>
      <c r="V105" s="103"/>
      <c r="W105" s="103"/>
      <c r="X105" s="103"/>
      <c r="Y105" s="103"/>
      <c r="Z105" s="103"/>
      <c r="AA105" s="103"/>
    </row>
    <row r="106" spans="1:27" ht="51" x14ac:dyDescent="0.2">
      <c r="A106" s="111"/>
      <c r="B106" s="111" t="str">
        <f ca="1">IFERROR(__xludf.DUMMYFUNCTION("""COMPUTED_VALUE"""),"МинЖКХ")</f>
        <v>МинЖКХ</v>
      </c>
      <c r="C106" s="111" t="str">
        <f ca="1">IFERROR(__xludf.DUMMYFUNCTION("""COMPUTED_VALUE"""),"г.о. Можайск")</f>
        <v>г.о. Можайск</v>
      </c>
      <c r="D106" s="111" t="str">
        <f ca="1">IFERROR(__xludf.DUMMYFUNCTION("""COMPUTED_VALUE"""),"Реконструкция ВЗУ Язево  Московская область, Можайский городской округ, с.п. Борисовское, д. Язево")</f>
        <v>Реконструкция ВЗУ Язево  Московская область, Можайский городской округ, с.п. Борисовское, д. Язево</v>
      </c>
      <c r="E106" s="111">
        <f ca="1">IFERROR(__xludf.DUMMYFUNCTION("""COMPUTED_VALUE"""),2023)</f>
        <v>2023</v>
      </c>
      <c r="F106" s="113">
        <f ca="1">IFERROR(__xludf.DUMMYFUNCTION("""COMPUTED_VALUE"""),0)</f>
        <v>0</v>
      </c>
      <c r="G106" s="113">
        <f ca="1">IFERROR(__xludf.DUMMYFUNCTION("""COMPUTED_VALUE"""),0)</f>
        <v>0</v>
      </c>
      <c r="H106" s="113">
        <f ca="1">IFERROR(__xludf.DUMMYFUNCTION("""COMPUTED_VALUE"""),0)</f>
        <v>0</v>
      </c>
      <c r="I106" s="111"/>
      <c r="J106" s="111">
        <f ca="1">IFERROR(__xludf.DUMMYFUNCTION("""COMPUTED_VALUE"""),0)</f>
        <v>0</v>
      </c>
      <c r="K106" s="113">
        <f ca="1">IFERROR(__xludf.DUMMYFUNCTION("""COMPUTED_VALUE"""),0)</f>
        <v>0</v>
      </c>
      <c r="L106" s="114" t="str">
        <f ca="1">IFERROR(__xludf.DUMMYFUNCTION("""COMPUTED_VALUE"""),"#DIV/0!")</f>
        <v>#DIV/0!</v>
      </c>
      <c r="M106" s="111"/>
      <c r="N106" s="111"/>
      <c r="O106" s="111"/>
      <c r="P106" s="111"/>
      <c r="Q106" s="112"/>
      <c r="R106" s="103"/>
      <c r="S106" s="103"/>
      <c r="T106" s="103"/>
      <c r="U106" s="103"/>
      <c r="V106" s="103"/>
      <c r="W106" s="103"/>
      <c r="X106" s="103"/>
      <c r="Y106" s="103"/>
      <c r="Z106" s="103"/>
      <c r="AA106" s="103"/>
    </row>
    <row r="107" spans="1:27" ht="51" x14ac:dyDescent="0.2">
      <c r="A107" s="111"/>
      <c r="B107" s="111" t="str">
        <f ca="1">IFERROR(__xludf.DUMMYFUNCTION("""COMPUTED_VALUE"""),"МинЖКХ")</f>
        <v>МинЖКХ</v>
      </c>
      <c r="C107" s="111" t="str">
        <f ca="1">IFERROR(__xludf.DUMMYFUNCTION("""COMPUTED_VALUE"""),"г.о. Можайск")</f>
        <v>г.о. Можайск</v>
      </c>
      <c r="D107" s="111"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E107" s="111">
        <f ca="1">IFERROR(__xludf.DUMMYFUNCTION("""COMPUTED_VALUE"""),2023)</f>
        <v>2023</v>
      </c>
      <c r="F107" s="113">
        <f ca="1">IFERROR(__xludf.DUMMYFUNCTION("""COMPUTED_VALUE"""),0)</f>
        <v>0</v>
      </c>
      <c r="G107" s="113">
        <f ca="1">IFERROR(__xludf.DUMMYFUNCTION("""COMPUTED_VALUE"""),0)</f>
        <v>0</v>
      </c>
      <c r="H107" s="113">
        <f ca="1">IFERROR(__xludf.DUMMYFUNCTION("""COMPUTED_VALUE"""),0)</f>
        <v>0</v>
      </c>
      <c r="I107" s="111"/>
      <c r="J107" s="111">
        <f ca="1">IFERROR(__xludf.DUMMYFUNCTION("""COMPUTED_VALUE"""),0)</f>
        <v>0</v>
      </c>
      <c r="K107" s="113">
        <f ca="1">IFERROR(__xludf.DUMMYFUNCTION("""COMPUTED_VALUE"""),0)</f>
        <v>0</v>
      </c>
      <c r="L107" s="114" t="str">
        <f ca="1">IFERROR(__xludf.DUMMYFUNCTION("""COMPUTED_VALUE"""),"#DIV/0!")</f>
        <v>#DIV/0!</v>
      </c>
      <c r="M107" s="111"/>
      <c r="N107" s="111"/>
      <c r="O107" s="111"/>
      <c r="P107" s="111"/>
      <c r="Q107" s="112"/>
      <c r="R107" s="103"/>
      <c r="S107" s="103"/>
      <c r="T107" s="103"/>
      <c r="U107" s="103"/>
      <c r="V107" s="103"/>
      <c r="W107" s="103"/>
      <c r="X107" s="103"/>
      <c r="Y107" s="103"/>
      <c r="Z107" s="103"/>
      <c r="AA107" s="103"/>
    </row>
    <row r="108" spans="1:27" ht="63.75" x14ac:dyDescent="0.2">
      <c r="A108" s="110">
        <v>8</v>
      </c>
      <c r="B108" s="111" t="str">
        <f ca="1">IFERROR(__xludf.DUMMYFUNCTION("""COMPUTED_VALUE"""),"МинЖКХ")</f>
        <v>МинЖКХ</v>
      </c>
      <c r="C108" s="111" t="str">
        <f ca="1">IFERROR(__xludf.DUMMYFUNCTION("""COMPUTED_VALUE"""),"г.о. Волоколамский")</f>
        <v>г.о. Волоколамский</v>
      </c>
      <c r="D108" s="111" t="str">
        <f ca="1">IFERROR(__xludf.DUMMYFUNCTION("""COMPUTED_VALUE"""),"Строительство ВЗУ по адресу: г. Волоколамск, ул. Пороховская (в том числе корректировка проекта) (в том числе кредиторская задолженность)")</f>
        <v>Строительство ВЗУ по адресу: г. Волоколамск, ул. Пороховская (в том числе корректировка проекта) (в том числе кредиторская задолженность)</v>
      </c>
      <c r="E108" s="111" t="str">
        <f ca="1">IFERROR(__xludf.DUMMYFUNCTION("""COMPUTED_VALUE"""),"2020-2022")</f>
        <v>2020-2022</v>
      </c>
      <c r="F108" s="113">
        <f ca="1">IFERROR(__xludf.DUMMYFUNCTION("""COMPUTED_VALUE"""),7092)</f>
        <v>7092</v>
      </c>
      <c r="G108" s="113">
        <f ca="1">IFERROR(__xludf.DUMMYFUNCTION("""COMPUTED_VALUE"""),7092)</f>
        <v>7092</v>
      </c>
      <c r="H108" s="113">
        <f ca="1">IFERROR(__xludf.DUMMYFUNCTION("""COMPUTED_VALUE"""),0)</f>
        <v>0</v>
      </c>
      <c r="I108" s="113">
        <f ca="1">IFERROR(__xludf.DUMMYFUNCTION("""COMPUTED_VALUE"""),0)</f>
        <v>0</v>
      </c>
      <c r="J108" s="111">
        <f ca="1">IFERROR(__xludf.DUMMYFUNCTION("""COMPUTED_VALUE"""),7092)</f>
        <v>7092</v>
      </c>
      <c r="K108" s="113">
        <f ca="1">IFERROR(__xludf.DUMMYFUNCTION("""COMPUTED_VALUE"""),0)</f>
        <v>0</v>
      </c>
      <c r="L108" s="114">
        <f ca="1">IFERROR(__xludf.DUMMYFUNCTION("""COMPUTED_VALUE"""),1)</f>
        <v>1</v>
      </c>
      <c r="M108" s="111"/>
      <c r="N108" s="111"/>
      <c r="O108" s="111"/>
      <c r="P108" s="111"/>
      <c r="Q108" s="112"/>
      <c r="R108" s="103"/>
      <c r="S108" s="103"/>
      <c r="T108" s="103"/>
      <c r="U108" s="103"/>
      <c r="V108" s="103"/>
      <c r="W108" s="103"/>
      <c r="X108" s="103"/>
      <c r="Y108" s="103"/>
      <c r="Z108" s="103"/>
      <c r="AA108" s="103"/>
    </row>
    <row r="109" spans="1:27" ht="63.75" x14ac:dyDescent="0.2">
      <c r="A109" s="110">
        <v>9</v>
      </c>
      <c r="B109" s="111" t="str">
        <f ca="1">IFERROR(__xludf.DUMMYFUNCTION("""COMPUTED_VALUE"""),"МинЖКХ")</f>
        <v>МинЖКХ</v>
      </c>
      <c r="C109" s="111" t="str">
        <f ca="1">IFERROR(__xludf.DUMMYFUNCTION("""COMPUTED_VALUE"""),"г.о. Луховицы")</f>
        <v>г.о. Луховицы</v>
      </c>
      <c r="D109" s="111" t="str">
        <f ca="1">IFERROR(__xludf.DUMMYFUNCTION("""COMPUTED_VALUE"""),"Строительство ВЗУ с установкой станции обезжелезивания по адресу: городской округ Луховицы,  д. Круглово (в т.ч. ПИР)")</f>
        <v>Строительство ВЗУ с установкой станции обезжелезивания по адресу: городской округ Луховицы,  д. Круглово (в т.ч. ПИР)</v>
      </c>
      <c r="E109" s="111">
        <f ca="1">IFERROR(__xludf.DUMMYFUNCTION("""COMPUTED_VALUE"""),2020)</f>
        <v>2020</v>
      </c>
      <c r="F109" s="113">
        <f ca="1">IFERROR(__xludf.DUMMYFUNCTION("""COMPUTED_VALUE"""),22586)</f>
        <v>22586</v>
      </c>
      <c r="G109" s="113">
        <f ca="1">IFERROR(__xludf.DUMMYFUNCTION("""COMPUTED_VALUE"""),22586)</f>
        <v>22586</v>
      </c>
      <c r="H109" s="113">
        <f ca="1">IFERROR(__xludf.DUMMYFUNCTION("""COMPUTED_VALUE"""),0)</f>
        <v>0</v>
      </c>
      <c r="I109" s="113">
        <f ca="1">IFERROR(__xludf.DUMMYFUNCTION("""COMPUTED_VALUE"""),0)</f>
        <v>0</v>
      </c>
      <c r="J109" s="111">
        <f ca="1">IFERROR(__xludf.DUMMYFUNCTION("""COMPUTED_VALUE"""),22025.66)</f>
        <v>22025.66</v>
      </c>
      <c r="K109" s="113">
        <f ca="1">IFERROR(__xludf.DUMMYFUNCTION("""COMPUTED_VALUE"""),560.34)</f>
        <v>560.34</v>
      </c>
      <c r="L109" s="114">
        <f ca="1">IFERROR(__xludf.DUMMYFUNCTION("""COMPUTED_VALUE"""),0.975190826175506)</f>
        <v>0.97519082617550601</v>
      </c>
      <c r="M109" s="111" t="str">
        <f ca="1">IFERROR(__xludf.DUMMYFUNCTION("""COMPUTED_VALUE"""),"РС получено. Необходимо запросить график оплат до конца 2020 года. Лимиты в бюджетной заявке исключены.")</f>
        <v>РС получено. Необходимо запросить график оплат до конца 2020 года. Лимиты в бюджетной заявке исключены.</v>
      </c>
      <c r="N109" s="111"/>
      <c r="O109" s="111"/>
      <c r="P109" s="111"/>
      <c r="Q109" s="112"/>
      <c r="R109" s="103"/>
      <c r="S109" s="103"/>
      <c r="T109" s="103"/>
      <c r="U109" s="103"/>
      <c r="V109" s="103"/>
      <c r="W109" s="103"/>
      <c r="X109" s="103"/>
      <c r="Y109" s="103"/>
      <c r="Z109" s="103"/>
      <c r="AA109" s="103"/>
    </row>
    <row r="110" spans="1:27" ht="63.75" x14ac:dyDescent="0.2">
      <c r="A110" s="110">
        <v>10</v>
      </c>
      <c r="B110" s="111" t="str">
        <f ca="1">IFERROR(__xludf.DUMMYFUNCTION("""COMPUTED_VALUE"""),"МинЖКХ")</f>
        <v>МинЖКХ</v>
      </c>
      <c r="C110" s="111" t="str">
        <f ca="1">IFERROR(__xludf.DUMMYFUNCTION("""COMPUTED_VALUE"""),"г.о. Можайск")</f>
        <v>г.о. Можайск</v>
      </c>
      <c r="D110" s="111" t="str">
        <f ca="1">IFERROR(__xludf.DUMMYFUNCTION("""COMPUTED_VALUE"""),"Реконструкция ВЗУ, расположенного по адресу: Московская область, Можайский район, п. Спутник  (в том числе ПИР)")</f>
        <v>Реконструкция ВЗУ, расположенного по адресу: Московская область, Можайский район, п. Спутник  (в том числе ПИР)</v>
      </c>
      <c r="E110" s="111">
        <f ca="1">IFERROR(__xludf.DUMMYFUNCTION("""COMPUTED_VALUE"""),2020)</f>
        <v>2020</v>
      </c>
      <c r="F110" s="113">
        <f ca="1">IFERROR(__xludf.DUMMYFUNCTION("""COMPUTED_VALUE"""),30816)</f>
        <v>30816</v>
      </c>
      <c r="G110" s="113">
        <f ca="1">IFERROR(__xludf.DUMMYFUNCTION("""COMPUTED_VALUE"""),30816)</f>
        <v>30816</v>
      </c>
      <c r="H110" s="113">
        <f ca="1">IFERROR(__xludf.DUMMYFUNCTION("""COMPUTED_VALUE"""),0)</f>
        <v>0</v>
      </c>
      <c r="I110" s="113">
        <f ca="1">IFERROR(__xludf.DUMMYFUNCTION("""COMPUTED_VALUE"""),0)</f>
        <v>0</v>
      </c>
      <c r="J110" s="111">
        <f ca="1">IFERROR(__xludf.DUMMYFUNCTION("""COMPUTED_VALUE"""),30176.4)</f>
        <v>30176.400000000001</v>
      </c>
      <c r="K110" s="113">
        <f ca="1">IFERROR(__xludf.DUMMYFUNCTION("""COMPUTED_VALUE"""),639.599999999998)</f>
        <v>639.59999999999798</v>
      </c>
      <c r="L110" s="114">
        <f ca="1">IFERROR(__xludf.DUMMYFUNCTION("""COMPUTED_VALUE"""),0.979244548286604)</f>
        <v>0.97924454828660401</v>
      </c>
      <c r="M110" s="111" t="str">
        <f ca="1">IFERROR(__xludf.DUMMYFUNCTION("""COMPUTED_VALUE"""),"Отсутствует РС. Не представлена дорожная карта по получению РС.")</f>
        <v>Отсутствует РС. Не представлена дорожная карта по получению РС.</v>
      </c>
      <c r="N110" s="111"/>
      <c r="O110" s="111"/>
      <c r="P110" s="111"/>
      <c r="Q110" s="112"/>
      <c r="R110" s="103"/>
      <c r="S110" s="103"/>
      <c r="T110" s="103"/>
      <c r="U110" s="103"/>
      <c r="V110" s="103"/>
      <c r="W110" s="103"/>
      <c r="X110" s="103"/>
      <c r="Y110" s="103"/>
      <c r="Z110" s="103"/>
      <c r="AA110" s="103"/>
    </row>
    <row r="111" spans="1:27" ht="76.5" x14ac:dyDescent="0.2">
      <c r="A111" s="110">
        <v>11</v>
      </c>
      <c r="B111" s="111" t="str">
        <f ca="1">IFERROR(__xludf.DUMMYFUNCTION("""COMPUTED_VALUE"""),"МинЖКХ")</f>
        <v>МинЖКХ</v>
      </c>
      <c r="C111" s="111" t="str">
        <f ca="1">IFERROR(__xludf.DUMMYFUNCTION("""COMPUTED_VALUE"""),"г.о. Воскресенск")</f>
        <v>г.о. Воскресенск</v>
      </c>
      <c r="D111" s="111"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 (в том числе ПИР)")</f>
        <v>Реконструкция ВЗУ Степанщино Воскресенский м.р., с устройством РЧВ 500 м. куб. и установкой станции обезжелезования; бурение доп. артскважин (в том числе ПИР)</v>
      </c>
      <c r="E111" s="111">
        <f ca="1">IFERROR(__xludf.DUMMYFUNCTION("""COMPUTED_VALUE"""),2020)</f>
        <v>2020</v>
      </c>
      <c r="F111" s="113">
        <f ca="1">IFERROR(__xludf.DUMMYFUNCTION("""COMPUTED_VALUE"""),9715)</f>
        <v>9715</v>
      </c>
      <c r="G111" s="113">
        <f ca="1">IFERROR(__xludf.DUMMYFUNCTION("""COMPUTED_VALUE"""),9715)</f>
        <v>9715</v>
      </c>
      <c r="H111" s="113">
        <f ca="1">IFERROR(__xludf.DUMMYFUNCTION("""COMPUTED_VALUE"""),0)</f>
        <v>0</v>
      </c>
      <c r="I111" s="113">
        <f ca="1">IFERROR(__xludf.DUMMYFUNCTION("""COMPUTED_VALUE"""),0)</f>
        <v>0</v>
      </c>
      <c r="J111" s="111">
        <f ca="1">IFERROR(__xludf.DUMMYFUNCTION("""COMPUTED_VALUE"""),0)</f>
        <v>0</v>
      </c>
      <c r="K111" s="113">
        <f ca="1">IFERROR(__xludf.DUMMYFUNCTION("""COMPUTED_VALUE"""),9715)</f>
        <v>9715</v>
      </c>
      <c r="L111" s="114">
        <f ca="1">IFERROR(__xludf.DUMMYFUNCTION("""COMPUTED_VALUE"""),0)</f>
        <v>0</v>
      </c>
      <c r="M111" s="111" t="str">
        <f ca="1">IFERROR(__xludf.DUMMYFUNCTION("""COMPUTED_VALUE"""),"Нарушен срок получения положительного заключения государственной экспертизы.")</f>
        <v>Нарушен срок получения положительного заключения государственной экспертизы.</v>
      </c>
      <c r="N111" s="111"/>
      <c r="O111" s="111"/>
      <c r="P111" s="111"/>
      <c r="Q111" s="115">
        <v>44154</v>
      </c>
      <c r="R111" s="103"/>
      <c r="S111" s="103"/>
      <c r="T111" s="103"/>
      <c r="U111" s="103"/>
      <c r="V111" s="103"/>
      <c r="W111" s="103"/>
      <c r="X111" s="103"/>
      <c r="Y111" s="103"/>
      <c r="Z111" s="103"/>
      <c r="AA111" s="103"/>
    </row>
    <row r="112" spans="1:27" ht="38.25" x14ac:dyDescent="0.2">
      <c r="A112" s="111"/>
      <c r="B112" s="111" t="str">
        <f ca="1">IFERROR(__xludf.DUMMYFUNCTION("""COMPUTED_VALUE"""),"МинЖКХ")</f>
        <v>МинЖКХ</v>
      </c>
      <c r="C112" s="111" t="str">
        <f ca="1">IFERROR(__xludf.DUMMYFUNCTION("""COMPUTED_VALUE"""),"г.о. Серпухов")</f>
        <v>г.о. Серпухов</v>
      </c>
      <c r="D112" s="111" t="str">
        <f ca="1">IFERROR(__xludf.DUMMYFUNCTION("""COMPUTED_VALUE"""),"Строительство ВЗУ в  д. Глазово, Серпуховский м.р. (в том числе ПИР)")</f>
        <v>Строительство ВЗУ в  д. Глазово, Серпуховский м.р. (в том числе ПИР)</v>
      </c>
      <c r="E112" s="111">
        <f ca="1">IFERROR(__xludf.DUMMYFUNCTION("""COMPUTED_VALUE"""),2022)</f>
        <v>2022</v>
      </c>
      <c r="F112" s="113">
        <f ca="1">IFERROR(__xludf.DUMMYFUNCTION("""COMPUTED_VALUE"""),0)</f>
        <v>0</v>
      </c>
      <c r="G112" s="113">
        <f ca="1">IFERROR(__xludf.DUMMYFUNCTION("""COMPUTED_VALUE"""),0)</f>
        <v>0</v>
      </c>
      <c r="H112" s="113">
        <f ca="1">IFERROR(__xludf.DUMMYFUNCTION("""COMPUTED_VALUE"""),0)</f>
        <v>0</v>
      </c>
      <c r="I112" s="113">
        <f ca="1">IFERROR(__xludf.DUMMYFUNCTION("""COMPUTED_VALUE"""),0)</f>
        <v>0</v>
      </c>
      <c r="J112" s="111">
        <f ca="1">IFERROR(__xludf.DUMMYFUNCTION("""COMPUTED_VALUE"""),0)</f>
        <v>0</v>
      </c>
      <c r="K112" s="113">
        <f ca="1">IFERROR(__xludf.DUMMYFUNCTION("""COMPUTED_VALUE"""),0)</f>
        <v>0</v>
      </c>
      <c r="L112" s="114" t="str">
        <f ca="1">IFERROR(__xludf.DUMMYFUNCTION("""COMPUTED_VALUE"""),"#DIV/0!")</f>
        <v>#DIV/0!</v>
      </c>
      <c r="M112" s="111"/>
      <c r="N112" s="111"/>
      <c r="O112" s="111"/>
      <c r="P112" s="111"/>
      <c r="Q112" s="112"/>
      <c r="R112" s="103"/>
      <c r="S112" s="103"/>
      <c r="T112" s="103"/>
      <c r="U112" s="103"/>
      <c r="V112" s="103"/>
      <c r="W112" s="103"/>
      <c r="X112" s="103"/>
      <c r="Y112" s="103"/>
      <c r="Z112" s="103"/>
      <c r="AA112" s="103"/>
    </row>
    <row r="113" spans="1:27" ht="38.25" x14ac:dyDescent="0.2">
      <c r="A113" s="111"/>
      <c r="B113" s="111" t="str">
        <f ca="1">IFERROR(__xludf.DUMMYFUNCTION("""COMPUTED_VALUE"""),"МинЖКХ")</f>
        <v>МинЖКХ</v>
      </c>
      <c r="C113" s="111" t="str">
        <f ca="1">IFERROR(__xludf.DUMMYFUNCTION("""COMPUTED_VALUE"""),"г.о. Серпухов")</f>
        <v>г.о. Серпухов</v>
      </c>
      <c r="D113" s="111" t="str">
        <f ca="1">IFERROR(__xludf.DUMMYFUNCTION("""COMPUTED_VALUE"""),"Строительство ВЗУ в д. Селино, д. Вечери, Серпуховский м.р. (в том числе ПИР)")</f>
        <v>Строительство ВЗУ в д. Селино, д. Вечери, Серпуховский м.р. (в том числе ПИР)</v>
      </c>
      <c r="E113" s="111">
        <f ca="1">IFERROR(__xludf.DUMMYFUNCTION("""COMPUTED_VALUE"""),2022)</f>
        <v>2022</v>
      </c>
      <c r="F113" s="113">
        <f ca="1">IFERROR(__xludf.DUMMYFUNCTION("""COMPUTED_VALUE"""),0)</f>
        <v>0</v>
      </c>
      <c r="G113" s="113">
        <f ca="1">IFERROR(__xludf.DUMMYFUNCTION("""COMPUTED_VALUE"""),0)</f>
        <v>0</v>
      </c>
      <c r="H113" s="113">
        <f ca="1">IFERROR(__xludf.DUMMYFUNCTION("""COMPUTED_VALUE"""),0)</f>
        <v>0</v>
      </c>
      <c r="I113" s="113">
        <f ca="1">IFERROR(__xludf.DUMMYFUNCTION("""COMPUTED_VALUE"""),0)</f>
        <v>0</v>
      </c>
      <c r="J113" s="111">
        <f ca="1">IFERROR(__xludf.DUMMYFUNCTION("""COMPUTED_VALUE"""),0)</f>
        <v>0</v>
      </c>
      <c r="K113" s="113">
        <f ca="1">IFERROR(__xludf.DUMMYFUNCTION("""COMPUTED_VALUE"""),0)</f>
        <v>0</v>
      </c>
      <c r="L113" s="114" t="str">
        <f ca="1">IFERROR(__xludf.DUMMYFUNCTION("""COMPUTED_VALUE"""),"#DIV/0!")</f>
        <v>#DIV/0!</v>
      </c>
      <c r="M113" s="111"/>
      <c r="N113" s="111"/>
      <c r="O113" s="111"/>
      <c r="P113" s="111"/>
      <c r="Q113" s="112"/>
      <c r="R113" s="103"/>
      <c r="S113" s="103"/>
      <c r="T113" s="103"/>
      <c r="U113" s="103"/>
      <c r="V113" s="103"/>
      <c r="W113" s="103"/>
      <c r="X113" s="103"/>
      <c r="Y113" s="103"/>
      <c r="Z113" s="103"/>
      <c r="AA113" s="103"/>
    </row>
    <row r="114" spans="1:27" ht="38.25" x14ac:dyDescent="0.2">
      <c r="A114" s="111"/>
      <c r="B114" s="111" t="str">
        <f ca="1">IFERROR(__xludf.DUMMYFUNCTION("""COMPUTED_VALUE"""),"МинЖКХ")</f>
        <v>МинЖКХ</v>
      </c>
      <c r="C114" s="111" t="str">
        <f ca="1">IFERROR(__xludf.DUMMYFUNCTION("""COMPUTED_VALUE"""),"г.о. Серпухов")</f>
        <v>г.о. Серпухов</v>
      </c>
      <c r="D114" s="111" t="str">
        <f ca="1">IFERROR(__xludf.DUMMYFUNCTION("""COMPUTED_VALUE"""),"Строительство ВЗУ в д. Б. Грызлово, Серпуховский м.р. (в том числе ПИР)")</f>
        <v>Строительство ВЗУ в д. Б. Грызлово, Серпуховский м.р. (в том числе ПИР)</v>
      </c>
      <c r="E114" s="111">
        <f ca="1">IFERROR(__xludf.DUMMYFUNCTION("""COMPUTED_VALUE"""),2022)</f>
        <v>2022</v>
      </c>
      <c r="F114" s="113">
        <f ca="1">IFERROR(__xludf.DUMMYFUNCTION("""COMPUTED_VALUE"""),0)</f>
        <v>0</v>
      </c>
      <c r="G114" s="113">
        <f ca="1">IFERROR(__xludf.DUMMYFUNCTION("""COMPUTED_VALUE"""),0)</f>
        <v>0</v>
      </c>
      <c r="H114" s="113">
        <f ca="1">IFERROR(__xludf.DUMMYFUNCTION("""COMPUTED_VALUE"""),0)</f>
        <v>0</v>
      </c>
      <c r="I114" s="113">
        <f ca="1">IFERROR(__xludf.DUMMYFUNCTION("""COMPUTED_VALUE"""),0)</f>
        <v>0</v>
      </c>
      <c r="J114" s="111">
        <f ca="1">IFERROR(__xludf.DUMMYFUNCTION("""COMPUTED_VALUE"""),0)</f>
        <v>0</v>
      </c>
      <c r="K114" s="113">
        <f ca="1">IFERROR(__xludf.DUMMYFUNCTION("""COMPUTED_VALUE"""),0)</f>
        <v>0</v>
      </c>
      <c r="L114" s="114" t="str">
        <f ca="1">IFERROR(__xludf.DUMMYFUNCTION("""COMPUTED_VALUE"""),"#DIV/0!")</f>
        <v>#DIV/0!</v>
      </c>
      <c r="M114" s="111"/>
      <c r="N114" s="111"/>
      <c r="O114" s="111"/>
      <c r="P114" s="111"/>
      <c r="Q114" s="112"/>
      <c r="R114" s="103"/>
      <c r="S114" s="103"/>
      <c r="T114" s="103"/>
      <c r="U114" s="103"/>
      <c r="V114" s="103"/>
      <c r="W114" s="103"/>
      <c r="X114" s="103"/>
      <c r="Y114" s="103"/>
      <c r="Z114" s="103"/>
      <c r="AA114" s="103"/>
    </row>
    <row r="115" spans="1:27" ht="38.25" x14ac:dyDescent="0.2">
      <c r="A115" s="111"/>
      <c r="B115" s="111" t="str">
        <f ca="1">IFERROR(__xludf.DUMMYFUNCTION("""COMPUTED_VALUE"""),"МинЖКХ")</f>
        <v>МинЖКХ</v>
      </c>
      <c r="C115" s="111" t="str">
        <f ca="1">IFERROR(__xludf.DUMMYFUNCTION("""COMPUTED_VALUE"""),"г.о. Серпухов")</f>
        <v>г.о. Серпухов</v>
      </c>
      <c r="D115" s="111" t="str">
        <f ca="1">IFERROR(__xludf.DUMMYFUNCTION("""COMPUTED_VALUE"""),"Строительство ВЗУ в д. Калугино, Серпуховский м.р. (в том числе ПИР)")</f>
        <v>Строительство ВЗУ в д. Калугино, Серпуховский м.р. (в том числе ПИР)</v>
      </c>
      <c r="E115" s="111">
        <f ca="1">IFERROR(__xludf.DUMMYFUNCTION("""COMPUTED_VALUE"""),2022)</f>
        <v>2022</v>
      </c>
      <c r="F115" s="113">
        <f ca="1">IFERROR(__xludf.DUMMYFUNCTION("""COMPUTED_VALUE"""),0)</f>
        <v>0</v>
      </c>
      <c r="G115" s="113">
        <f ca="1">IFERROR(__xludf.DUMMYFUNCTION("""COMPUTED_VALUE"""),0)</f>
        <v>0</v>
      </c>
      <c r="H115" s="113">
        <f ca="1">IFERROR(__xludf.DUMMYFUNCTION("""COMPUTED_VALUE"""),0)</f>
        <v>0</v>
      </c>
      <c r="I115" s="113">
        <f ca="1">IFERROR(__xludf.DUMMYFUNCTION("""COMPUTED_VALUE"""),0)</f>
        <v>0</v>
      </c>
      <c r="J115" s="111">
        <f ca="1">IFERROR(__xludf.DUMMYFUNCTION("""COMPUTED_VALUE"""),0)</f>
        <v>0</v>
      </c>
      <c r="K115" s="113">
        <f ca="1">IFERROR(__xludf.DUMMYFUNCTION("""COMPUTED_VALUE"""),0)</f>
        <v>0</v>
      </c>
      <c r="L115" s="114" t="str">
        <f ca="1">IFERROR(__xludf.DUMMYFUNCTION("""COMPUTED_VALUE"""),"#DIV/0!")</f>
        <v>#DIV/0!</v>
      </c>
      <c r="M115" s="111"/>
      <c r="N115" s="111"/>
      <c r="O115" s="111"/>
      <c r="P115" s="111"/>
      <c r="Q115" s="112"/>
      <c r="R115" s="103"/>
      <c r="S115" s="103"/>
      <c r="T115" s="103"/>
      <c r="U115" s="103"/>
      <c r="V115" s="103"/>
      <c r="W115" s="103"/>
      <c r="X115" s="103"/>
      <c r="Y115" s="103"/>
      <c r="Z115" s="103"/>
      <c r="AA115" s="103"/>
    </row>
    <row r="116" spans="1:27" ht="63.75" x14ac:dyDescent="0.2">
      <c r="A116" s="110">
        <v>12</v>
      </c>
      <c r="B116" s="111" t="str">
        <f ca="1">IFERROR(__xludf.DUMMYFUNCTION("""COMPUTED_VALUE"""),"МинЖКХ")</f>
        <v>МинЖКХ</v>
      </c>
      <c r="C116" s="111" t="str">
        <f ca="1">IFERROR(__xludf.DUMMYFUNCTION("""COMPUTED_VALUE"""),"г.о. Фрязино")</f>
        <v>г.о. Фрязино</v>
      </c>
      <c r="D116" s="111" t="str">
        <f ca="1">IFERROR(__xludf.DUMMYFUNCTION("""COMPUTED_VALUE"""),"Реконструкция  ВЗУ №4 с установкой станции водоподготовки , г. Фрязино,  Окружной проезд, дом 2, стр. 1 (ПИР)                                         ")</f>
        <v xml:space="preserve">Реконструкция  ВЗУ №4 с установкой станции водоподготовки , г. Фрязино,  Окружной проезд, дом 2, стр. 1 (ПИР)                                         </v>
      </c>
      <c r="E116" s="111">
        <f ca="1">IFERROR(__xludf.DUMMYFUNCTION("""COMPUTED_VALUE"""),2020)</f>
        <v>2020</v>
      </c>
      <c r="F116" s="113">
        <f ca="1">IFERROR(__xludf.DUMMYFUNCTION("""COMPUTED_VALUE"""),14502)</f>
        <v>14502</v>
      </c>
      <c r="G116" s="113">
        <f ca="1">IFERROR(__xludf.DUMMYFUNCTION("""COMPUTED_VALUE"""),14502)</f>
        <v>14502</v>
      </c>
      <c r="H116" s="113">
        <f ca="1">IFERROR(__xludf.DUMMYFUNCTION("""COMPUTED_VALUE"""),0)</f>
        <v>0</v>
      </c>
      <c r="I116" s="113">
        <f ca="1">IFERROR(__xludf.DUMMYFUNCTION("""COMPUTED_VALUE"""),0)</f>
        <v>0</v>
      </c>
      <c r="J116" s="111">
        <f ca="1">IFERROR(__xludf.DUMMYFUNCTION("""COMPUTED_VALUE"""),14502)</f>
        <v>14502</v>
      </c>
      <c r="K116" s="113">
        <f ca="1">IFERROR(__xludf.DUMMYFUNCTION("""COMPUTED_VALUE"""),0)</f>
        <v>0</v>
      </c>
      <c r="L116" s="114">
        <f ca="1">IFERROR(__xludf.DUMMYFUNCTION("""COMPUTED_VALUE"""),1)</f>
        <v>1</v>
      </c>
      <c r="M116" s="113" t="str">
        <f ca="1">IFERROR(__xludf.DUMMYFUNCTION("""COMPUTED_VALUE"""),"только бмо, завершено")</f>
        <v>только бмо, завершено</v>
      </c>
      <c r="N116" s="111"/>
      <c r="O116" s="111"/>
      <c r="P116" s="111"/>
      <c r="Q116" s="112"/>
      <c r="R116" s="103"/>
      <c r="S116" s="103"/>
      <c r="T116" s="103"/>
      <c r="U116" s="103"/>
      <c r="V116" s="103"/>
      <c r="W116" s="103"/>
      <c r="X116" s="103"/>
      <c r="Y116" s="103"/>
      <c r="Z116" s="103"/>
      <c r="AA116" s="103"/>
    </row>
    <row r="117" spans="1:27" ht="51" x14ac:dyDescent="0.2">
      <c r="A117" s="110">
        <v>13</v>
      </c>
      <c r="B117" s="111" t="str">
        <f ca="1">IFERROR(__xludf.DUMMYFUNCTION("""COMPUTED_VALUE"""),"МинЖКХ")</f>
        <v>МинЖКХ</v>
      </c>
      <c r="C117" s="111" t="str">
        <f ca="1">IFERROR(__xludf.DUMMYFUNCTION("""COMPUTED_VALUE"""),"г.о. Фрязино")</f>
        <v>г.о. Фрязино</v>
      </c>
      <c r="D117" s="111" t="str">
        <f ca="1">IFERROR(__xludf.DUMMYFUNCTION("""COMPUTED_VALUE"""),"Реконструкция  ВЗУ №5 с установкой станции водоподготовки, г. Фрязино, пл. Введенского, дом 1, стр. 1   (ПИР)                                            ")</f>
        <v xml:space="preserve">Реконструкция  ВЗУ №5 с установкой станции водоподготовки, г. Фрязино, пл. Введенского, дом 1, стр. 1   (ПИР)                                            </v>
      </c>
      <c r="E117" s="111">
        <f ca="1">IFERROR(__xludf.DUMMYFUNCTION("""COMPUTED_VALUE"""),2020)</f>
        <v>2020</v>
      </c>
      <c r="F117" s="113">
        <f ca="1">IFERROR(__xludf.DUMMYFUNCTION("""COMPUTED_VALUE"""),12593)</f>
        <v>12593</v>
      </c>
      <c r="G117" s="113">
        <f ca="1">IFERROR(__xludf.DUMMYFUNCTION("""COMPUTED_VALUE"""),12593)</f>
        <v>12593</v>
      </c>
      <c r="H117" s="113">
        <f ca="1">IFERROR(__xludf.DUMMYFUNCTION("""COMPUTED_VALUE"""),0)</f>
        <v>0</v>
      </c>
      <c r="I117" s="113">
        <f ca="1">IFERROR(__xludf.DUMMYFUNCTION("""COMPUTED_VALUE"""),0)</f>
        <v>0</v>
      </c>
      <c r="J117" s="111">
        <f ca="1">IFERROR(__xludf.DUMMYFUNCTION("""COMPUTED_VALUE"""),12593)</f>
        <v>12593</v>
      </c>
      <c r="K117" s="113">
        <f ca="1">IFERROR(__xludf.DUMMYFUNCTION("""COMPUTED_VALUE"""),0)</f>
        <v>0</v>
      </c>
      <c r="L117" s="114">
        <f ca="1">IFERROR(__xludf.DUMMYFUNCTION("""COMPUTED_VALUE"""),1)</f>
        <v>1</v>
      </c>
      <c r="M117" s="113" t="str">
        <f ca="1">IFERROR(__xludf.DUMMYFUNCTION("""COMPUTED_VALUE"""),"только бмо, завершено")</f>
        <v>только бмо, завершено</v>
      </c>
      <c r="N117" s="111"/>
      <c r="O117" s="111"/>
      <c r="P117" s="111"/>
      <c r="Q117" s="112"/>
      <c r="R117" s="103"/>
      <c r="S117" s="103"/>
      <c r="T117" s="103"/>
      <c r="U117" s="103"/>
      <c r="V117" s="103"/>
      <c r="W117" s="103"/>
      <c r="X117" s="103"/>
      <c r="Y117" s="103"/>
      <c r="Z117" s="103"/>
      <c r="AA117" s="103"/>
    </row>
    <row r="118" spans="1:27" ht="127.5" x14ac:dyDescent="0.2">
      <c r="A118" s="110">
        <v>14</v>
      </c>
      <c r="B118" s="111" t="str">
        <f ca="1">IFERROR(__xludf.DUMMYFUNCTION("""COMPUTED_VALUE"""),"МинЖКХ")</f>
        <v>МинЖКХ</v>
      </c>
      <c r="C118" s="111" t="str">
        <f ca="1">IFERROR(__xludf.DUMMYFUNCTION("""COMPUTED_VALUE"""),"г.о. Раменский")</f>
        <v>г.о. Раменский</v>
      </c>
      <c r="D118" s="112" t="str">
        <f ca="1">IFERROR(__xludf.DUMMYFUNCTION("""COMPUTED_VALUE"""),"Строительство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f>
        <v>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v>
      </c>
      <c r="E118" s="111" t="str">
        <f ca="1">IFERROR(__xludf.DUMMYFUNCTION("""COMPUTED_VALUE"""),"2020-2021")</f>
        <v>2020-2021</v>
      </c>
      <c r="F118" s="113">
        <f ca="1">IFERROR(__xludf.DUMMYFUNCTION("""COMPUTED_VALUE"""),35631)</f>
        <v>35631</v>
      </c>
      <c r="G118" s="113">
        <f ca="1">IFERROR(__xludf.DUMMYFUNCTION("""COMPUTED_VALUE"""),35631)</f>
        <v>35631</v>
      </c>
      <c r="H118" s="113">
        <f ca="1">IFERROR(__xludf.DUMMYFUNCTION("""COMPUTED_VALUE"""),0)</f>
        <v>0</v>
      </c>
      <c r="I118" s="113">
        <f ca="1">IFERROR(__xludf.DUMMYFUNCTION("""COMPUTED_VALUE"""),0)</f>
        <v>0</v>
      </c>
      <c r="J118" s="111">
        <f ca="1">IFERROR(__xludf.DUMMYFUNCTION("""COMPUTED_VALUE"""),15852.89)</f>
        <v>15852.89</v>
      </c>
      <c r="K118" s="113">
        <f ca="1">IFERROR(__xludf.DUMMYFUNCTION("""COMPUTED_VALUE"""),19778.11)</f>
        <v>19778.11</v>
      </c>
      <c r="L118" s="114">
        <f ca="1">IFERROR(__xludf.DUMMYFUNCTION("""COMPUTED_VALUE"""),0.44491846987174)</f>
        <v>0.44491846987174</v>
      </c>
      <c r="M118" s="111" t="str">
        <f ca="1">IFERROR(__xludf.DUMMYFUNCTION("""COMPUTED_VALUE"""),"""Отклонена заявка на сумму 154,11 тыс. рублей.
Администарцией направлено письмо от 19.11.2020 № 161-01Исх-17190 о переносе лимитов на 2021 год.""")</f>
        <v>"Отклонена заявка на сумму 154,11 тыс. рублей.
Администарцией направлено письмо от 19.11.2020 № 161-01Исх-17190 о переносе лимитов на 2021 год."</v>
      </c>
      <c r="N118" s="111"/>
      <c r="O118" s="111"/>
      <c r="P118" s="111"/>
      <c r="Q118" s="115">
        <v>44154</v>
      </c>
      <c r="R118" s="103"/>
      <c r="S118" s="103"/>
      <c r="T118" s="103"/>
      <c r="U118" s="103"/>
      <c r="V118" s="103"/>
      <c r="W118" s="103"/>
      <c r="X118" s="103"/>
      <c r="Y118" s="103"/>
      <c r="Z118" s="103"/>
      <c r="AA118" s="103"/>
    </row>
    <row r="119" spans="1:27" ht="102" x14ac:dyDescent="0.2">
      <c r="A119" s="116">
        <v>15</v>
      </c>
      <c r="B119" s="117" t="str">
        <f ca="1">IFERROR(__xludf.DUMMYFUNCTION("""COMPUTED_VALUE"""),"МинЖКХ")</f>
        <v>МинЖКХ</v>
      </c>
      <c r="C119" s="117" t="str">
        <f ca="1">IFERROR(__xludf.DUMMYFUNCTION("""COMPUTED_VALUE"""),"г.о. Жуковский")</f>
        <v>г.о. Жуковский</v>
      </c>
      <c r="D119" s="117" t="str">
        <f ca="1">IFERROR(__xludf.DUMMYFUNCTION("""COMPUTED_VALUE"""),"Реконструкция и модернизация комплекса сооружений водопроводной насосной станции №5 (ВЗУ№5) ,  г. Жуковский")</f>
        <v>Реконструкция и модернизация комплекса сооружений водопроводной насосной станции №5 (ВЗУ№5) ,  г. Жуковский</v>
      </c>
      <c r="E119" s="117" t="str">
        <f ca="1">IFERROR(__xludf.DUMMYFUNCTION("""COMPUTED_VALUE"""),"2020-2022")</f>
        <v>2020-2022</v>
      </c>
      <c r="F119" s="118">
        <f ca="1">IFERROR(__xludf.DUMMYFUNCTION("""COMPUTED_VALUE"""),59709)</f>
        <v>59709</v>
      </c>
      <c r="G119" s="118">
        <f ca="1">IFERROR(__xludf.DUMMYFUNCTION("""COMPUTED_VALUE"""),59709)</f>
        <v>59709</v>
      </c>
      <c r="H119" s="118">
        <f ca="1">IFERROR(__xludf.DUMMYFUNCTION("""COMPUTED_VALUE"""),0)</f>
        <v>0</v>
      </c>
      <c r="I119" s="118">
        <f ca="1">IFERROR(__xludf.DUMMYFUNCTION("""COMPUTED_VALUE"""),0)</f>
        <v>0</v>
      </c>
      <c r="J119" s="117">
        <f ca="1">IFERROR(__xludf.DUMMYFUNCTION("""COMPUTED_VALUE"""),59359.06)</f>
        <v>59359.06</v>
      </c>
      <c r="K119" s="118">
        <f ca="1">IFERROR(__xludf.DUMMYFUNCTION("""COMPUTED_VALUE"""),349.940000000002)</f>
        <v>349.94000000000199</v>
      </c>
      <c r="L119" s="119">
        <f ca="1">IFERROR(__xludf.DUMMYFUNCTION("""COMPUTED_VALUE"""),0.994139241990319)</f>
        <v>0.994139241990319</v>
      </c>
      <c r="M119" s="117" t="str">
        <f ca="1">IFERROR(__xludf.DUMMYFUNCTION("""COMPUTED_VALUE"""),"""Необходима корректировка проекта в части включения укомплектования трансформаторной подстанции.  
 Низкий процент освоения. Повторно направлена заявка с учетом замечаний на сумму 9,3 млн. руб.""")</f>
        <v>"Необходима корректировка проекта в части включения укомплектования трансформаторной подстанции.  
 Низкий процент освоения. Повторно направлена заявка с учетом замечаний на сумму 9,3 млн. руб."</v>
      </c>
      <c r="N119" s="111"/>
      <c r="O119" s="111"/>
      <c r="P119" s="111"/>
      <c r="Q119" s="115">
        <v>44154</v>
      </c>
      <c r="R119" s="103"/>
      <c r="S119" s="103"/>
      <c r="T119" s="103"/>
      <c r="U119" s="103"/>
      <c r="V119" s="103"/>
      <c r="W119" s="103"/>
      <c r="X119" s="103"/>
      <c r="Y119" s="103"/>
      <c r="Z119" s="103"/>
      <c r="AA119" s="103"/>
    </row>
    <row r="120" spans="1:27" ht="102" x14ac:dyDescent="0.2">
      <c r="A120" s="110">
        <v>16</v>
      </c>
      <c r="B120" s="111" t="str">
        <f ca="1">IFERROR(__xludf.DUMMYFUNCTION("""COMPUTED_VALUE"""),"МинЖКХ")</f>
        <v>МинЖКХ</v>
      </c>
      <c r="C120" s="111" t="str">
        <f ca="1">IFERROR(__xludf.DUMMYFUNCTION("""COMPUTED_VALUE"""),"г.о. Дмитровский")</f>
        <v>г.о. Дмитровский</v>
      </c>
      <c r="D120" s="111" t="str">
        <f ca="1">IFERROR(__xludf.DUMMYFUNCTION("""COMPUTED_VALUE"""),"Строительство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f>
        <v>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v>
      </c>
      <c r="E120" s="111">
        <f ca="1">IFERROR(__xludf.DUMMYFUNCTION("""COMPUTED_VALUE"""),2020)</f>
        <v>2020</v>
      </c>
      <c r="F120" s="113">
        <f ca="1">IFERROR(__xludf.DUMMYFUNCTION("""COMPUTED_VALUE"""),14941)</f>
        <v>14941</v>
      </c>
      <c r="G120" s="113">
        <f ca="1">IFERROR(__xludf.DUMMYFUNCTION("""COMPUTED_VALUE"""),14941)</f>
        <v>14941</v>
      </c>
      <c r="H120" s="113">
        <f ca="1">IFERROR(__xludf.DUMMYFUNCTION("""COMPUTED_VALUE"""),0)</f>
        <v>0</v>
      </c>
      <c r="I120" s="113">
        <f ca="1">IFERROR(__xludf.DUMMYFUNCTION("""COMPUTED_VALUE"""),0)</f>
        <v>0</v>
      </c>
      <c r="J120" s="111">
        <f ca="1">IFERROR(__xludf.DUMMYFUNCTION("""COMPUTED_VALUE"""),13172.33)</f>
        <v>13172.33</v>
      </c>
      <c r="K120" s="113">
        <f ca="1">IFERROR(__xludf.DUMMYFUNCTION("""COMPUTED_VALUE"""),1768.67)</f>
        <v>1768.67</v>
      </c>
      <c r="L120" s="114">
        <f ca="1">IFERROR(__xludf.DUMMYFUNCTION("""COMPUTED_VALUE"""),0.881623050665952)</f>
        <v>0.88162305066595203</v>
      </c>
      <c r="M120" s="111"/>
      <c r="N120" s="111"/>
      <c r="O120" s="111"/>
      <c r="P120" s="111"/>
      <c r="Q120" s="112"/>
      <c r="R120" s="103"/>
      <c r="S120" s="103"/>
      <c r="T120" s="103"/>
      <c r="U120" s="103"/>
      <c r="V120" s="103"/>
      <c r="W120" s="103"/>
      <c r="X120" s="103"/>
      <c r="Y120" s="103"/>
      <c r="Z120" s="103"/>
      <c r="AA120" s="103"/>
    </row>
    <row r="121" spans="1:27" ht="38.25" x14ac:dyDescent="0.2">
      <c r="A121" s="111"/>
      <c r="B121" s="111" t="str">
        <f ca="1">IFERROR(__xludf.DUMMYFUNCTION("""COMPUTED_VALUE"""),"МинЖКХ")</f>
        <v>МинЖКХ</v>
      </c>
      <c r="C121" s="111" t="str">
        <f ca="1">IFERROR(__xludf.DUMMYFUNCTION("""COMPUTED_VALUE"""),"г.о. Орехово-Зуево")</f>
        <v>г.о. Орехово-Зуево</v>
      </c>
      <c r="D121" s="111" t="str">
        <f ca="1">IFERROR(__xludf.DUMMYFUNCTION("""COMPUTED_VALUE"""),"Строительство 2х скважин в п.Новый Снопок (в т.ч.  ПИР и разрешительная документация)")</f>
        <v>Строительство 2х скважин в п.Новый Снопок (в т.ч.  ПИР и разрешительная документация)</v>
      </c>
      <c r="E121" s="111">
        <f ca="1">IFERROR(__xludf.DUMMYFUNCTION("""COMPUTED_VALUE"""),2023)</f>
        <v>2023</v>
      </c>
      <c r="F121" s="113">
        <f ca="1">IFERROR(__xludf.DUMMYFUNCTION("""COMPUTED_VALUE"""),0)</f>
        <v>0</v>
      </c>
      <c r="G121" s="113">
        <f ca="1">IFERROR(__xludf.DUMMYFUNCTION("""COMPUTED_VALUE"""),0)</f>
        <v>0</v>
      </c>
      <c r="H121" s="113">
        <f ca="1">IFERROR(__xludf.DUMMYFUNCTION("""COMPUTED_VALUE"""),0)</f>
        <v>0</v>
      </c>
      <c r="I121" s="113">
        <f ca="1">IFERROR(__xludf.DUMMYFUNCTION("""COMPUTED_VALUE"""),0)</f>
        <v>0</v>
      </c>
      <c r="J121" s="111">
        <f ca="1">IFERROR(__xludf.DUMMYFUNCTION("""COMPUTED_VALUE"""),0)</f>
        <v>0</v>
      </c>
      <c r="K121" s="113">
        <f ca="1">IFERROR(__xludf.DUMMYFUNCTION("""COMPUTED_VALUE"""),0)</f>
        <v>0</v>
      </c>
      <c r="L121" s="114" t="str">
        <f ca="1">IFERROR(__xludf.DUMMYFUNCTION("""COMPUTED_VALUE"""),"#DIV/0!")</f>
        <v>#DIV/0!</v>
      </c>
      <c r="M121" s="111"/>
      <c r="N121" s="111"/>
      <c r="O121" s="111"/>
      <c r="P121" s="111"/>
      <c r="Q121" s="112"/>
      <c r="R121" s="103"/>
      <c r="S121" s="103"/>
      <c r="T121" s="103"/>
      <c r="U121" s="103"/>
      <c r="V121" s="103"/>
      <c r="W121" s="103"/>
      <c r="X121" s="103"/>
      <c r="Y121" s="103"/>
      <c r="Z121" s="103"/>
      <c r="AA121" s="103"/>
    </row>
    <row r="122" spans="1:27" ht="38.25" x14ac:dyDescent="0.2">
      <c r="A122" s="111"/>
      <c r="B122" s="111" t="str">
        <f ca="1">IFERROR(__xludf.DUMMYFUNCTION("""COMPUTED_VALUE"""),"МинЖКХ")</f>
        <v>МинЖКХ</v>
      </c>
      <c r="C122" s="111" t="str">
        <f ca="1">IFERROR(__xludf.DUMMYFUNCTION("""COMPUTED_VALUE"""),"г.о. Орехово-Зуево")</f>
        <v>г.о. Орехово-Зуево</v>
      </c>
      <c r="D122" s="111" t="str">
        <f ca="1">IFERROR(__xludf.DUMMYFUNCTION("""COMPUTED_VALUE"""),"Строительство 2х скважин  в п.Озерецкий (в т.ч. ПИР и разрешительная документация)")</f>
        <v>Строительство 2х скважин  в п.Озерецкий (в т.ч. ПИР и разрешительная документация)</v>
      </c>
      <c r="E122" s="111">
        <f ca="1">IFERROR(__xludf.DUMMYFUNCTION("""COMPUTED_VALUE"""),2023)</f>
        <v>2023</v>
      </c>
      <c r="F122" s="113">
        <f ca="1">IFERROR(__xludf.DUMMYFUNCTION("""COMPUTED_VALUE"""),0)</f>
        <v>0</v>
      </c>
      <c r="G122" s="113">
        <f ca="1">IFERROR(__xludf.DUMMYFUNCTION("""COMPUTED_VALUE"""),0)</f>
        <v>0</v>
      </c>
      <c r="H122" s="113">
        <f ca="1">IFERROR(__xludf.DUMMYFUNCTION("""COMPUTED_VALUE"""),0)</f>
        <v>0</v>
      </c>
      <c r="I122" s="113">
        <f ca="1">IFERROR(__xludf.DUMMYFUNCTION("""COMPUTED_VALUE"""),0)</f>
        <v>0</v>
      </c>
      <c r="J122" s="111">
        <f ca="1">IFERROR(__xludf.DUMMYFUNCTION("""COMPUTED_VALUE"""),0)</f>
        <v>0</v>
      </c>
      <c r="K122" s="113">
        <f ca="1">IFERROR(__xludf.DUMMYFUNCTION("""COMPUTED_VALUE"""),0)</f>
        <v>0</v>
      </c>
      <c r="L122" s="114" t="str">
        <f ca="1">IFERROR(__xludf.DUMMYFUNCTION("""COMPUTED_VALUE"""),"#DIV/0!")</f>
        <v>#DIV/0!</v>
      </c>
      <c r="M122" s="111"/>
      <c r="N122" s="111"/>
      <c r="O122" s="111"/>
      <c r="P122" s="111"/>
      <c r="Q122" s="112"/>
      <c r="R122" s="103"/>
      <c r="S122" s="103"/>
      <c r="T122" s="103"/>
      <c r="U122" s="103"/>
      <c r="V122" s="103"/>
      <c r="W122" s="103"/>
      <c r="X122" s="103"/>
      <c r="Y122" s="103"/>
      <c r="Z122" s="103"/>
      <c r="AA122" s="103"/>
    </row>
    <row r="123" spans="1:27" ht="38.25" x14ac:dyDescent="0.2">
      <c r="A123" s="111"/>
      <c r="B123" s="111" t="str">
        <f ca="1">IFERROR(__xludf.DUMMYFUNCTION("""COMPUTED_VALUE"""),"МинЖКХ")</f>
        <v>МинЖКХ</v>
      </c>
      <c r="C123" s="111" t="str">
        <f ca="1">IFERROR(__xludf.DUMMYFUNCTION("""COMPUTED_VALUE"""),"г.о. Орехово-Зуево")</f>
        <v>г.о. Орехово-Зуево</v>
      </c>
      <c r="D123" s="111" t="str">
        <f ca="1">IFERROR(__xludf.DUMMYFUNCTION("""COMPUTED_VALUE"""),"Строительство 2х скважин в п.Малая Дубна (в т.ч.  ПИР и разрешительная документация)")</f>
        <v>Строительство 2х скважин в п.Малая Дубна (в т.ч.  ПИР и разрешительная документация)</v>
      </c>
      <c r="E123" s="111">
        <f ca="1">IFERROR(__xludf.DUMMYFUNCTION("""COMPUTED_VALUE"""),2023)</f>
        <v>2023</v>
      </c>
      <c r="F123" s="113">
        <f ca="1">IFERROR(__xludf.DUMMYFUNCTION("""COMPUTED_VALUE"""),0)</f>
        <v>0</v>
      </c>
      <c r="G123" s="113">
        <f ca="1">IFERROR(__xludf.DUMMYFUNCTION("""COMPUTED_VALUE"""),0)</f>
        <v>0</v>
      </c>
      <c r="H123" s="113">
        <f ca="1">IFERROR(__xludf.DUMMYFUNCTION("""COMPUTED_VALUE"""),0)</f>
        <v>0</v>
      </c>
      <c r="I123" s="113">
        <f ca="1">IFERROR(__xludf.DUMMYFUNCTION("""COMPUTED_VALUE"""),0)</f>
        <v>0</v>
      </c>
      <c r="J123" s="111">
        <f ca="1">IFERROR(__xludf.DUMMYFUNCTION("""COMPUTED_VALUE"""),0)</f>
        <v>0</v>
      </c>
      <c r="K123" s="113">
        <f ca="1">IFERROR(__xludf.DUMMYFUNCTION("""COMPUTED_VALUE"""),0)</f>
        <v>0</v>
      </c>
      <c r="L123" s="114" t="str">
        <f ca="1">IFERROR(__xludf.DUMMYFUNCTION("""COMPUTED_VALUE"""),"#DIV/0!")</f>
        <v>#DIV/0!</v>
      </c>
      <c r="M123" s="111"/>
      <c r="N123" s="111"/>
      <c r="O123" s="111"/>
      <c r="P123" s="111"/>
      <c r="Q123" s="112"/>
      <c r="R123" s="103"/>
      <c r="S123" s="103"/>
      <c r="T123" s="103"/>
      <c r="U123" s="103"/>
      <c r="V123" s="103"/>
      <c r="W123" s="103"/>
      <c r="X123" s="103"/>
      <c r="Y123" s="103"/>
      <c r="Z123" s="103"/>
      <c r="AA123" s="103"/>
    </row>
    <row r="124" spans="1:27" ht="38.25" x14ac:dyDescent="0.2">
      <c r="A124" s="111"/>
      <c r="B124" s="111" t="str">
        <f ca="1">IFERROR(__xludf.DUMMYFUNCTION("""COMPUTED_VALUE"""),"МинЖКХ")</f>
        <v>МинЖКХ</v>
      </c>
      <c r="C124" s="111" t="str">
        <f ca="1">IFERROR(__xludf.DUMMYFUNCTION("""COMPUTED_VALUE"""),"г.о. Орехово-Зуево")</f>
        <v>г.о. Орехово-Зуево</v>
      </c>
      <c r="D124" s="111" t="str">
        <f ca="1">IFERROR(__xludf.DUMMYFUNCTION("""COMPUTED_VALUE"""),"Строительство 1 скважины в м. Крольчатник (в т.ч. ПИР и  разрешительная документация)")</f>
        <v>Строительство 1 скважины в м. Крольчатник (в т.ч. ПИР и  разрешительная документация)</v>
      </c>
      <c r="E124" s="111">
        <f ca="1">IFERROR(__xludf.DUMMYFUNCTION("""COMPUTED_VALUE"""),2023)</f>
        <v>2023</v>
      </c>
      <c r="F124" s="113">
        <f ca="1">IFERROR(__xludf.DUMMYFUNCTION("""COMPUTED_VALUE"""),0)</f>
        <v>0</v>
      </c>
      <c r="G124" s="113">
        <f ca="1">IFERROR(__xludf.DUMMYFUNCTION("""COMPUTED_VALUE"""),0)</f>
        <v>0</v>
      </c>
      <c r="H124" s="113">
        <f ca="1">IFERROR(__xludf.DUMMYFUNCTION("""COMPUTED_VALUE"""),0)</f>
        <v>0</v>
      </c>
      <c r="I124" s="113">
        <f ca="1">IFERROR(__xludf.DUMMYFUNCTION("""COMPUTED_VALUE"""),0)</f>
        <v>0</v>
      </c>
      <c r="J124" s="111">
        <f ca="1">IFERROR(__xludf.DUMMYFUNCTION("""COMPUTED_VALUE"""),0)</f>
        <v>0</v>
      </c>
      <c r="K124" s="113">
        <f ca="1">IFERROR(__xludf.DUMMYFUNCTION("""COMPUTED_VALUE"""),0)</f>
        <v>0</v>
      </c>
      <c r="L124" s="114" t="str">
        <f ca="1">IFERROR(__xludf.DUMMYFUNCTION("""COMPUTED_VALUE"""),"#DIV/0!")</f>
        <v>#DIV/0!</v>
      </c>
      <c r="M124" s="111"/>
      <c r="N124" s="111"/>
      <c r="O124" s="111"/>
      <c r="P124" s="111"/>
      <c r="Q124" s="112"/>
      <c r="R124" s="103"/>
      <c r="S124" s="103"/>
      <c r="T124" s="103"/>
      <c r="U124" s="103"/>
      <c r="V124" s="103"/>
      <c r="W124" s="103"/>
      <c r="X124" s="103"/>
      <c r="Y124" s="103"/>
      <c r="Z124" s="103"/>
      <c r="AA124" s="103"/>
    </row>
    <row r="125" spans="1:27" ht="25.5" x14ac:dyDescent="0.2">
      <c r="A125" s="111"/>
      <c r="B125" s="111" t="str">
        <f ca="1">IFERROR(__xludf.DUMMYFUNCTION("""COMPUTED_VALUE"""),"МинЖКХ")</f>
        <v>МинЖКХ</v>
      </c>
      <c r="C125" s="111" t="str">
        <f ca="1">IFERROR(__xludf.DUMMYFUNCTION("""COMPUTED_VALUE"""),"г.о. Орехово-Зуево")</f>
        <v>г.о. Орехово-Зуево</v>
      </c>
      <c r="D125" s="111" t="str">
        <f ca="1">IFERROR(__xludf.DUMMYFUNCTION("""COMPUTED_VALUE"""),"Строительство ВЗУ  в местечке Крольчатник  г.о. Орехово-Зуево")</f>
        <v>Строительство ВЗУ  в местечке Крольчатник  г.о. Орехово-Зуево</v>
      </c>
      <c r="E125" s="111">
        <f ca="1">IFERROR(__xludf.DUMMYFUNCTION("""COMPUTED_VALUE"""),2023)</f>
        <v>2023</v>
      </c>
      <c r="F125" s="113">
        <f ca="1">IFERROR(__xludf.DUMMYFUNCTION("""COMPUTED_VALUE"""),0)</f>
        <v>0</v>
      </c>
      <c r="G125" s="113">
        <f ca="1">IFERROR(__xludf.DUMMYFUNCTION("""COMPUTED_VALUE"""),0)</f>
        <v>0</v>
      </c>
      <c r="H125" s="113">
        <f ca="1">IFERROR(__xludf.DUMMYFUNCTION("""COMPUTED_VALUE"""),0)</f>
        <v>0</v>
      </c>
      <c r="I125" s="113">
        <f ca="1">IFERROR(__xludf.DUMMYFUNCTION("""COMPUTED_VALUE"""),0)</f>
        <v>0</v>
      </c>
      <c r="J125" s="111">
        <f ca="1">IFERROR(__xludf.DUMMYFUNCTION("""COMPUTED_VALUE"""),0)</f>
        <v>0</v>
      </c>
      <c r="K125" s="113">
        <f ca="1">IFERROR(__xludf.DUMMYFUNCTION("""COMPUTED_VALUE"""),0)</f>
        <v>0</v>
      </c>
      <c r="L125" s="114" t="str">
        <f ca="1">IFERROR(__xludf.DUMMYFUNCTION("""COMPUTED_VALUE"""),"#DIV/0!")</f>
        <v>#DIV/0!</v>
      </c>
      <c r="M125" s="111"/>
      <c r="N125" s="111"/>
      <c r="O125" s="111"/>
      <c r="P125" s="111"/>
      <c r="Q125" s="112"/>
      <c r="R125" s="103"/>
      <c r="S125" s="103"/>
      <c r="T125" s="103"/>
      <c r="U125" s="103"/>
      <c r="V125" s="103"/>
      <c r="W125" s="103"/>
      <c r="X125" s="103"/>
      <c r="Y125" s="103"/>
      <c r="Z125" s="103"/>
      <c r="AA125" s="103"/>
    </row>
    <row r="126" spans="1:27" ht="63.75" x14ac:dyDescent="0.2">
      <c r="A126" s="111"/>
      <c r="B126" s="111" t="str">
        <f ca="1">IFERROR(__xludf.DUMMYFUNCTION("""COMPUTED_VALUE"""),"МинЖКХ")</f>
        <v>МинЖКХ</v>
      </c>
      <c r="C126" s="111" t="str">
        <f ca="1">IFERROR(__xludf.DUMMYFUNCTION("""COMPUTED_VALUE"""),"г.о. Щелково")</f>
        <v>г.о. Щелково</v>
      </c>
      <c r="D126" s="111" t="str">
        <f ca="1">IFERROR(__xludf.DUMMYFUNCTION("""COMPUTED_VALUE"""),"Реконструкция системы водоснабжения с установкой оборудования водоподготовки, ВЗУ №3 гп Фряново Щелковского района Московсой области (ПИР)")</f>
        <v>Реконструкция системы водоснабжения с установкой оборудования водоподготовки, ВЗУ №3 гп Фряново Щелковского района Московсой области (ПИР)</v>
      </c>
      <c r="E126" s="111" t="str">
        <f ca="1">IFERROR(__xludf.DUMMYFUNCTION("""COMPUTED_VALUE"""),"Н/Л")</f>
        <v>Н/Л</v>
      </c>
      <c r="F126" s="113">
        <f ca="1">IFERROR(__xludf.DUMMYFUNCTION("""COMPUTED_VALUE"""),0)</f>
        <v>0</v>
      </c>
      <c r="G126" s="113">
        <f ca="1">IFERROR(__xludf.DUMMYFUNCTION("""COMPUTED_VALUE"""),0)</f>
        <v>0</v>
      </c>
      <c r="H126" s="113">
        <f ca="1">IFERROR(__xludf.DUMMYFUNCTION("""COMPUTED_VALUE"""),0)</f>
        <v>0</v>
      </c>
      <c r="I126" s="113">
        <f ca="1">IFERROR(__xludf.DUMMYFUNCTION("""COMPUTED_VALUE"""),0)</f>
        <v>0</v>
      </c>
      <c r="J126" s="111">
        <f ca="1">IFERROR(__xludf.DUMMYFUNCTION("""COMPUTED_VALUE"""),0)</f>
        <v>0</v>
      </c>
      <c r="K126" s="113">
        <f ca="1">IFERROR(__xludf.DUMMYFUNCTION("""COMPUTED_VALUE"""),0)</f>
        <v>0</v>
      </c>
      <c r="L126" s="114" t="str">
        <f ca="1">IFERROR(__xludf.DUMMYFUNCTION("""COMPUTED_VALUE"""),"#DIV/0!")</f>
        <v>#DIV/0!</v>
      </c>
      <c r="M126" s="111"/>
      <c r="N126" s="111"/>
      <c r="O126" s="111"/>
      <c r="P126" s="111"/>
      <c r="Q126" s="112"/>
      <c r="R126" s="103"/>
      <c r="S126" s="103"/>
      <c r="T126" s="103"/>
      <c r="U126" s="103"/>
      <c r="V126" s="103"/>
      <c r="W126" s="103"/>
      <c r="X126" s="103"/>
      <c r="Y126" s="103"/>
      <c r="Z126" s="103"/>
      <c r="AA126" s="103"/>
    </row>
    <row r="127" spans="1:27" ht="25.5" x14ac:dyDescent="0.2">
      <c r="A127" s="111"/>
      <c r="B127" s="111" t="str">
        <f ca="1">IFERROR(__xludf.DUMMYFUNCTION("""COMPUTED_VALUE"""),"МинЖКХ")</f>
        <v>МинЖКХ</v>
      </c>
      <c r="C127" s="111" t="str">
        <f ca="1">IFERROR(__xludf.DUMMYFUNCTION("""COMPUTED_VALUE"""),"г.о. Дзержинский")</f>
        <v>г.о. Дзержинский</v>
      </c>
      <c r="D127" s="111" t="str">
        <f ca="1">IFERROR(__xludf.DUMMYFUNCTION("""COMPUTED_VALUE"""),"Реконструкция ВЗУ №1 и ВЗУ №3 г.о. Дзержинский (ПИР)")</f>
        <v>Реконструкция ВЗУ №1 и ВЗУ №3 г.о. Дзержинский (ПИР)</v>
      </c>
      <c r="E127" s="111">
        <f ca="1">IFERROR(__xludf.DUMMYFUNCTION("""COMPUTED_VALUE"""),2020)</f>
        <v>2020</v>
      </c>
      <c r="F127" s="113">
        <f ca="1">IFERROR(__xludf.DUMMYFUNCTION("""COMPUTED_VALUE"""),0)</f>
        <v>0</v>
      </c>
      <c r="G127" s="113">
        <f ca="1">IFERROR(__xludf.DUMMYFUNCTION("""COMPUTED_VALUE"""),0)</f>
        <v>0</v>
      </c>
      <c r="H127" s="113">
        <f ca="1">IFERROR(__xludf.DUMMYFUNCTION("""COMPUTED_VALUE"""),0)</f>
        <v>0</v>
      </c>
      <c r="I127" s="113">
        <f ca="1">IFERROR(__xludf.DUMMYFUNCTION("""COMPUTED_VALUE"""),0)</f>
        <v>0</v>
      </c>
      <c r="J127" s="111">
        <f ca="1">IFERROR(__xludf.DUMMYFUNCTION("""COMPUTED_VALUE"""),0)</f>
        <v>0</v>
      </c>
      <c r="K127" s="113">
        <f ca="1">IFERROR(__xludf.DUMMYFUNCTION("""COMPUTED_VALUE"""),0)</f>
        <v>0</v>
      </c>
      <c r="L127" s="114" t="str">
        <f ca="1">IFERROR(__xludf.DUMMYFUNCTION("""COMPUTED_VALUE"""),"#DIV/0!")</f>
        <v>#DIV/0!</v>
      </c>
      <c r="M127" s="111"/>
      <c r="N127" s="111"/>
      <c r="O127" s="111"/>
      <c r="P127" s="111"/>
      <c r="Q127" s="112"/>
      <c r="R127" s="103"/>
      <c r="S127" s="103"/>
      <c r="T127" s="103"/>
      <c r="U127" s="103"/>
      <c r="V127" s="103"/>
      <c r="W127" s="103"/>
      <c r="X127" s="103"/>
      <c r="Y127" s="103"/>
      <c r="Z127" s="103"/>
      <c r="AA127" s="103"/>
    </row>
    <row r="128" spans="1:27" ht="51" x14ac:dyDescent="0.2">
      <c r="A128" s="111"/>
      <c r="B128" s="111" t="str">
        <f ca="1">IFERROR(__xludf.DUMMYFUNCTION("""COMPUTED_VALUE"""),"МинЖКХ")</f>
        <v>МинЖКХ</v>
      </c>
      <c r="C128" s="111" t="str">
        <f ca="1">IFERROR(__xludf.DUMMYFUNCTION("""COMPUTED_VALUE"""),"г.о. Шатура")</f>
        <v>г.о. Шатура</v>
      </c>
      <c r="D128" s="111" t="str">
        <f ca="1">IFERROR(__xludf.DUMMYFUNCTION("""COMPUTED_VALUE"""),"Строительство и реконструкция артезианских скважин г.о. Шатура (бывшая территория г.о. Рошаль) ПИР")</f>
        <v>Строительство и реконструкция артезианских скважин г.о. Шатура (бывшая территория г.о. Рошаль) ПИР</v>
      </c>
      <c r="E128" s="111" t="str">
        <f ca="1">IFERROR(__xludf.DUMMYFUNCTION("""COMPUTED_VALUE"""),"Н/Л")</f>
        <v>Н/Л</v>
      </c>
      <c r="F128" s="113">
        <f ca="1">IFERROR(__xludf.DUMMYFUNCTION("""COMPUTED_VALUE"""),0)</f>
        <v>0</v>
      </c>
      <c r="G128" s="113">
        <f ca="1">IFERROR(__xludf.DUMMYFUNCTION("""COMPUTED_VALUE"""),0)</f>
        <v>0</v>
      </c>
      <c r="H128" s="113">
        <f ca="1">IFERROR(__xludf.DUMMYFUNCTION("""COMPUTED_VALUE"""),0)</f>
        <v>0</v>
      </c>
      <c r="I128" s="113">
        <f ca="1">IFERROR(__xludf.DUMMYFUNCTION("""COMPUTED_VALUE"""),0)</f>
        <v>0</v>
      </c>
      <c r="J128" s="111">
        <f ca="1">IFERROR(__xludf.DUMMYFUNCTION("""COMPUTED_VALUE"""),0)</f>
        <v>0</v>
      </c>
      <c r="K128" s="113">
        <f ca="1">IFERROR(__xludf.DUMMYFUNCTION("""COMPUTED_VALUE"""),0)</f>
        <v>0</v>
      </c>
      <c r="L128" s="114" t="str">
        <f ca="1">IFERROR(__xludf.DUMMYFUNCTION("""COMPUTED_VALUE"""),"#DIV/0!")</f>
        <v>#DIV/0!</v>
      </c>
      <c r="M128" s="111"/>
      <c r="N128" s="111"/>
      <c r="O128" s="111"/>
      <c r="P128" s="111"/>
      <c r="Q128" s="112"/>
      <c r="R128" s="103"/>
      <c r="S128" s="103"/>
      <c r="T128" s="103"/>
      <c r="U128" s="103"/>
      <c r="V128" s="103"/>
      <c r="W128" s="103"/>
      <c r="X128" s="103"/>
      <c r="Y128" s="103"/>
      <c r="Z128" s="103"/>
      <c r="AA128" s="103"/>
    </row>
    <row r="129" spans="1:27" ht="89.25" x14ac:dyDescent="0.2">
      <c r="A129" s="110">
        <v>17</v>
      </c>
      <c r="B129" s="111" t="str">
        <f ca="1">IFERROR(__xludf.DUMMYFUNCTION("""COMPUTED_VALUE"""),"МинЖКХ")</f>
        <v>МинЖКХ</v>
      </c>
      <c r="C129" s="111" t="str">
        <f ca="1">IFERROR(__xludf.DUMMYFUNCTION("""COMPUTED_VALUE"""),"г.о. Балашиха")</f>
        <v>г.о. Балашиха</v>
      </c>
      <c r="D129" s="111" t="str">
        <f ca="1">IFERROR(__xludf.DUMMYFUNCTION("""COMPUTED_VALUE"""),"Строительство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f>
        <v>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v>
      </c>
      <c r="E129" s="111" t="str">
        <f ca="1">IFERROR(__xludf.DUMMYFUNCTION("""COMPUTED_VALUE"""),"2020-2021")</f>
        <v>2020-2021</v>
      </c>
      <c r="F129" s="113">
        <f ca="1">IFERROR(__xludf.DUMMYFUNCTION("""COMPUTED_VALUE"""),7841)</f>
        <v>7841</v>
      </c>
      <c r="G129" s="113">
        <f ca="1">IFERROR(__xludf.DUMMYFUNCTION("""COMPUTED_VALUE"""),7841)</f>
        <v>7841</v>
      </c>
      <c r="H129" s="113">
        <f ca="1">IFERROR(__xludf.DUMMYFUNCTION("""COMPUTED_VALUE"""),0)</f>
        <v>0</v>
      </c>
      <c r="I129" s="113">
        <f ca="1">IFERROR(__xludf.DUMMYFUNCTION("""COMPUTED_VALUE"""),0)</f>
        <v>0</v>
      </c>
      <c r="J129" s="111">
        <f ca="1">IFERROR(__xludf.DUMMYFUNCTION("""COMPUTED_VALUE"""),6441.59)</f>
        <v>6441.59</v>
      </c>
      <c r="K129" s="113">
        <f ca="1">IFERROR(__xludf.DUMMYFUNCTION("""COMPUTED_VALUE"""),1399.40999999999)</f>
        <v>1399.4099999999901</v>
      </c>
      <c r="L129" s="114">
        <f ca="1">IFERROR(__xludf.DUMMYFUNCTION("""COMPUTED_VALUE"""),0.821526590996046)</f>
        <v>0.82152659099604597</v>
      </c>
      <c r="M129" s="111"/>
      <c r="N129" s="111"/>
      <c r="O129" s="111"/>
      <c r="P129" s="111"/>
      <c r="Q129" s="112"/>
      <c r="R129" s="103"/>
      <c r="S129" s="103"/>
      <c r="T129" s="103"/>
      <c r="U129" s="103"/>
      <c r="V129" s="103"/>
      <c r="W129" s="103"/>
      <c r="X129" s="103"/>
      <c r="Y129" s="103"/>
      <c r="Z129" s="103"/>
      <c r="AA129" s="103"/>
    </row>
    <row r="130" spans="1:27" ht="63.75" x14ac:dyDescent="0.2">
      <c r="A130" s="111"/>
      <c r="B130" s="111" t="str">
        <f ca="1">IFERROR(__xludf.DUMMYFUNCTION("""COMPUTED_VALUE"""),"МинЖКХ")</f>
        <v>МинЖКХ</v>
      </c>
      <c r="C130" s="111" t="str">
        <f ca="1">IFERROR(__xludf.DUMMYFUNCTION("""COMPUTED_VALUE"""),"г.о. Пушкинский")</f>
        <v>г.о. Пушкинский</v>
      </c>
      <c r="D130" s="111" t="str">
        <f ca="1">IFERROR(__xludf.DUMMYFUNCTION("""COMPUTED_VALUE"""),"Капитальный ремонт ВНС № 29  с устройством станции обезжелезивания,   пос. Софрино, ул. Комсомольская, д.13, г.п. Софрино")</f>
        <v>Капитальный ремонт ВНС № 29  с устройством станции обезжелезивания,   пос. Софрино, ул. Комсомольская, д.13, г.п. Софрино</v>
      </c>
      <c r="E130" s="111" t="str">
        <f ca="1">IFERROR(__xludf.DUMMYFUNCTION("""COMPUTED_VALUE"""),"Н/Л")</f>
        <v>Н/Л</v>
      </c>
      <c r="F130" s="113">
        <f ca="1">IFERROR(__xludf.DUMMYFUNCTION("""COMPUTED_VALUE"""),0)</f>
        <v>0</v>
      </c>
      <c r="G130" s="113">
        <f ca="1">IFERROR(__xludf.DUMMYFUNCTION("""COMPUTED_VALUE"""),0)</f>
        <v>0</v>
      </c>
      <c r="H130" s="113">
        <f ca="1">IFERROR(__xludf.DUMMYFUNCTION("""COMPUTED_VALUE"""),0)</f>
        <v>0</v>
      </c>
      <c r="I130" s="113">
        <f ca="1">IFERROR(__xludf.DUMMYFUNCTION("""COMPUTED_VALUE"""),0)</f>
        <v>0</v>
      </c>
      <c r="J130" s="111">
        <f ca="1">IFERROR(__xludf.DUMMYFUNCTION("""COMPUTED_VALUE"""),0)</f>
        <v>0</v>
      </c>
      <c r="K130" s="113">
        <f ca="1">IFERROR(__xludf.DUMMYFUNCTION("""COMPUTED_VALUE"""),0)</f>
        <v>0</v>
      </c>
      <c r="L130" s="114" t="str">
        <f ca="1">IFERROR(__xludf.DUMMYFUNCTION("""COMPUTED_VALUE"""),"#DIV/0!")</f>
        <v>#DIV/0!</v>
      </c>
      <c r="M130" s="111"/>
      <c r="N130" s="111"/>
      <c r="O130" s="111"/>
      <c r="P130" s="111"/>
      <c r="Q130" s="112"/>
      <c r="R130" s="103"/>
      <c r="S130" s="103"/>
      <c r="T130" s="103"/>
      <c r="U130" s="103"/>
      <c r="V130" s="103"/>
      <c r="W130" s="103"/>
      <c r="X130" s="103"/>
      <c r="Y130" s="103"/>
      <c r="Z130" s="103"/>
      <c r="AA130" s="103"/>
    </row>
    <row r="131" spans="1:27" ht="63.75" x14ac:dyDescent="0.2">
      <c r="A131" s="111"/>
      <c r="B131" s="111" t="str">
        <f ca="1">IFERROR(__xludf.DUMMYFUNCTION("""COMPUTED_VALUE"""),"МинЖКХ")</f>
        <v>МинЖКХ</v>
      </c>
      <c r="C131" s="111" t="str">
        <f ca="1">IFERROR(__xludf.DUMMYFUNCTION("""COMPUTED_VALUE"""),"г.о. Богородский")</f>
        <v>г.о. Богородский</v>
      </c>
      <c r="D131" s="111" t="str">
        <f ca="1">IFERROR(__xludf.DUMMYFUNCTION("""COMPUTED_VALUE"""),"Приобретение, монтаж и ввод в эксплуатацию  станции водоочистки на ВЗУ дер. Б.Буньково, мкр. Фабрики,  Богородский г.о.")</f>
        <v>Приобретение, монтаж и ввод в эксплуатацию  станции водоочистки на ВЗУ дер. Б.Буньково, мкр. Фабрики,  Богородский г.о.</v>
      </c>
      <c r="E131" s="111" t="str">
        <f ca="1">IFERROR(__xludf.DUMMYFUNCTION("""COMPUTED_VALUE"""),"Н/Л")</f>
        <v>Н/Л</v>
      </c>
      <c r="F131" s="113">
        <f ca="1">IFERROR(__xludf.DUMMYFUNCTION("""COMPUTED_VALUE"""),0)</f>
        <v>0</v>
      </c>
      <c r="G131" s="113">
        <f ca="1">IFERROR(__xludf.DUMMYFUNCTION("""COMPUTED_VALUE"""),0)</f>
        <v>0</v>
      </c>
      <c r="H131" s="113">
        <f ca="1">IFERROR(__xludf.DUMMYFUNCTION("""COMPUTED_VALUE"""),0)</f>
        <v>0</v>
      </c>
      <c r="I131" s="113">
        <f ca="1">IFERROR(__xludf.DUMMYFUNCTION("""COMPUTED_VALUE"""),0)</f>
        <v>0</v>
      </c>
      <c r="J131" s="111">
        <f ca="1">IFERROR(__xludf.DUMMYFUNCTION("""COMPUTED_VALUE"""),0)</f>
        <v>0</v>
      </c>
      <c r="K131" s="113">
        <f ca="1">IFERROR(__xludf.DUMMYFUNCTION("""COMPUTED_VALUE"""),0)</f>
        <v>0</v>
      </c>
      <c r="L131" s="114" t="str">
        <f ca="1">IFERROR(__xludf.DUMMYFUNCTION("""COMPUTED_VALUE"""),"#DIV/0!")</f>
        <v>#DIV/0!</v>
      </c>
      <c r="M131" s="111"/>
      <c r="N131" s="111"/>
      <c r="O131" s="111"/>
      <c r="P131" s="111"/>
      <c r="Q131" s="112"/>
      <c r="R131" s="103"/>
      <c r="S131" s="103"/>
      <c r="T131" s="103"/>
      <c r="U131" s="103"/>
      <c r="V131" s="103"/>
      <c r="W131" s="103"/>
      <c r="X131" s="103"/>
      <c r="Y131" s="103"/>
      <c r="Z131" s="103"/>
      <c r="AA131" s="103"/>
    </row>
    <row r="132" spans="1:27" ht="51" x14ac:dyDescent="0.2">
      <c r="A132" s="111"/>
      <c r="B132" s="111" t="str">
        <f ca="1">IFERROR(__xludf.DUMMYFUNCTION("""COMPUTED_VALUE"""),"МинЖКХ")</f>
        <v>МинЖКХ</v>
      </c>
      <c r="C132" s="111" t="str">
        <f ca="1">IFERROR(__xludf.DUMMYFUNCTION("""COMPUTED_VALUE"""),"г.о. Богородский")</f>
        <v>г.о. Богородский</v>
      </c>
      <c r="D132" s="111" t="str">
        <f ca="1">IFERROR(__xludf.DUMMYFUNCTION("""COMPUTED_VALUE"""),"Приобретение, монтаж и ввод в эксплуатацию  станции водоочистки на ВЗУ дер. Караваево, Богородский г.о.  ")</f>
        <v xml:space="preserve">Приобретение, монтаж и ввод в эксплуатацию  станции водоочистки на ВЗУ дер. Караваево, Богородский г.о.  </v>
      </c>
      <c r="E132" s="111" t="str">
        <f ca="1">IFERROR(__xludf.DUMMYFUNCTION("""COMPUTED_VALUE"""),"Н/Л")</f>
        <v>Н/Л</v>
      </c>
      <c r="F132" s="113">
        <f ca="1">IFERROR(__xludf.DUMMYFUNCTION("""COMPUTED_VALUE"""),0)</f>
        <v>0</v>
      </c>
      <c r="G132" s="113">
        <f ca="1">IFERROR(__xludf.DUMMYFUNCTION("""COMPUTED_VALUE"""),0)</f>
        <v>0</v>
      </c>
      <c r="H132" s="113">
        <f ca="1">IFERROR(__xludf.DUMMYFUNCTION("""COMPUTED_VALUE"""),0)</f>
        <v>0</v>
      </c>
      <c r="I132" s="113">
        <f ca="1">IFERROR(__xludf.DUMMYFUNCTION("""COMPUTED_VALUE"""),0)</f>
        <v>0</v>
      </c>
      <c r="J132" s="111">
        <f ca="1">IFERROR(__xludf.DUMMYFUNCTION("""COMPUTED_VALUE"""),0)</f>
        <v>0</v>
      </c>
      <c r="K132" s="113">
        <f ca="1">IFERROR(__xludf.DUMMYFUNCTION("""COMPUTED_VALUE"""),0)</f>
        <v>0</v>
      </c>
      <c r="L132" s="114" t="str">
        <f ca="1">IFERROR(__xludf.DUMMYFUNCTION("""COMPUTED_VALUE"""),"#DIV/0!")</f>
        <v>#DIV/0!</v>
      </c>
      <c r="M132" s="111"/>
      <c r="N132" s="111"/>
      <c r="O132" s="111"/>
      <c r="P132" s="111"/>
      <c r="Q132" s="112"/>
      <c r="R132" s="103"/>
      <c r="S132" s="103"/>
      <c r="T132" s="103"/>
      <c r="U132" s="103"/>
      <c r="V132" s="103"/>
      <c r="W132" s="103"/>
      <c r="X132" s="103"/>
      <c r="Y132" s="103"/>
      <c r="Z132" s="103"/>
      <c r="AA132" s="103"/>
    </row>
    <row r="133" spans="1:27" ht="63.75" x14ac:dyDescent="0.2">
      <c r="A133" s="111"/>
      <c r="B133" s="111" t="str">
        <f ca="1">IFERROR(__xludf.DUMMYFUNCTION("""COMPUTED_VALUE"""),"МинЖКХ")</f>
        <v>МинЖКХ</v>
      </c>
      <c r="C133" s="111" t="str">
        <f ca="1">IFERROR(__xludf.DUMMYFUNCTION("""COMPUTED_VALUE"""),"г.о. Богородский")</f>
        <v>г.о. Богородский</v>
      </c>
      <c r="D133" s="111" t="str">
        <f ca="1">IFERROR(__xludf.DUMMYFUNCTION("""COMPUTED_VALUE"""),"Приобретение, монтаж и ввод в эксплуатацию   станции водоочистки на ВЗУ дер. Б.Буньково, ул. Ленинская, 126 (БЗКИ), Богородский г.о.")</f>
        <v>Приобретение, монтаж и ввод в эксплуатацию   станции водоочистки на ВЗУ дер. Б.Буньково, ул. Ленинская, 126 (БЗКИ), Богородский г.о.</v>
      </c>
      <c r="E133" s="111" t="str">
        <f ca="1">IFERROR(__xludf.DUMMYFUNCTION("""COMPUTED_VALUE"""),"Н/Л")</f>
        <v>Н/Л</v>
      </c>
      <c r="F133" s="113">
        <f ca="1">IFERROR(__xludf.DUMMYFUNCTION("""COMPUTED_VALUE"""),0)</f>
        <v>0</v>
      </c>
      <c r="G133" s="113">
        <f ca="1">IFERROR(__xludf.DUMMYFUNCTION("""COMPUTED_VALUE"""),0)</f>
        <v>0</v>
      </c>
      <c r="H133" s="113">
        <f ca="1">IFERROR(__xludf.DUMMYFUNCTION("""COMPUTED_VALUE"""),0)</f>
        <v>0</v>
      </c>
      <c r="I133" s="113">
        <f ca="1">IFERROR(__xludf.DUMMYFUNCTION("""COMPUTED_VALUE"""),0)</f>
        <v>0</v>
      </c>
      <c r="J133" s="111">
        <f ca="1">IFERROR(__xludf.DUMMYFUNCTION("""COMPUTED_VALUE"""),0)</f>
        <v>0</v>
      </c>
      <c r="K133" s="113">
        <f ca="1">IFERROR(__xludf.DUMMYFUNCTION("""COMPUTED_VALUE"""),0)</f>
        <v>0</v>
      </c>
      <c r="L133" s="114" t="str">
        <f ca="1">IFERROR(__xludf.DUMMYFUNCTION("""COMPUTED_VALUE"""),"#DIV/0!")</f>
        <v>#DIV/0!</v>
      </c>
      <c r="M133" s="111"/>
      <c r="N133" s="111"/>
      <c r="O133" s="111"/>
      <c r="P133" s="111"/>
      <c r="Q133" s="112"/>
      <c r="R133" s="103"/>
      <c r="S133" s="103"/>
      <c r="T133" s="103"/>
      <c r="U133" s="103"/>
      <c r="V133" s="103"/>
      <c r="W133" s="103"/>
      <c r="X133" s="103"/>
      <c r="Y133" s="103"/>
      <c r="Z133" s="103"/>
      <c r="AA133" s="103"/>
    </row>
    <row r="134" spans="1:27" ht="76.5" x14ac:dyDescent="0.2">
      <c r="A134" s="111"/>
      <c r="B134" s="111" t="str">
        <f ca="1">IFERROR(__xludf.DUMMYFUNCTION("""COMPUTED_VALUE"""),"МинЖКХ")</f>
        <v>МинЖКХ</v>
      </c>
      <c r="C134" s="111" t="str">
        <f ca="1">IFERROR(__xludf.DUMMYFUNCTION("""COMPUTED_VALUE"""),"г.о. Богородский")</f>
        <v>г.о. Богородский</v>
      </c>
      <c r="D134" s="111" t="str">
        <f ca="1">IFERROR(__xludf.DUMMYFUNCTION("""COMPUTED_VALUE"""),"Приобретение, монтаж и ввод в эксплуатацию    станции водоочистки на ВЗУ дер. Б.Буньково, ул. Ленинская, 126 (ул. Демонстрационная), Богородский г.о.")</f>
        <v>Приобретение, монтаж и ввод в эксплуатацию    станции водоочистки на ВЗУ дер. Б.Буньково, ул. Ленинская, 126 (ул. Демонстрационная), Богородский г.о.</v>
      </c>
      <c r="E134" s="111" t="str">
        <f ca="1">IFERROR(__xludf.DUMMYFUNCTION("""COMPUTED_VALUE"""),"Н/Л")</f>
        <v>Н/Л</v>
      </c>
      <c r="F134" s="113">
        <f ca="1">IFERROR(__xludf.DUMMYFUNCTION("""COMPUTED_VALUE"""),0)</f>
        <v>0</v>
      </c>
      <c r="G134" s="113">
        <f ca="1">IFERROR(__xludf.DUMMYFUNCTION("""COMPUTED_VALUE"""),0)</f>
        <v>0</v>
      </c>
      <c r="H134" s="113">
        <f ca="1">IFERROR(__xludf.DUMMYFUNCTION("""COMPUTED_VALUE"""),0)</f>
        <v>0</v>
      </c>
      <c r="I134" s="113">
        <f ca="1">IFERROR(__xludf.DUMMYFUNCTION("""COMPUTED_VALUE"""),0)</f>
        <v>0</v>
      </c>
      <c r="J134" s="111">
        <f ca="1">IFERROR(__xludf.DUMMYFUNCTION("""COMPUTED_VALUE"""),0)</f>
        <v>0</v>
      </c>
      <c r="K134" s="113">
        <f ca="1">IFERROR(__xludf.DUMMYFUNCTION("""COMPUTED_VALUE"""),0)</f>
        <v>0</v>
      </c>
      <c r="L134" s="114" t="str">
        <f ca="1">IFERROR(__xludf.DUMMYFUNCTION("""COMPUTED_VALUE"""),"#DIV/0!")</f>
        <v>#DIV/0!</v>
      </c>
      <c r="M134" s="111"/>
      <c r="N134" s="111"/>
      <c r="O134" s="111"/>
      <c r="P134" s="111"/>
      <c r="Q134" s="112"/>
      <c r="R134" s="103"/>
      <c r="S134" s="103"/>
      <c r="T134" s="103"/>
      <c r="U134" s="103"/>
      <c r="V134" s="103"/>
      <c r="W134" s="103"/>
      <c r="X134" s="103"/>
      <c r="Y134" s="103"/>
      <c r="Z134" s="103"/>
      <c r="AA134" s="103"/>
    </row>
    <row r="135" spans="1:27" ht="38.25" x14ac:dyDescent="0.2">
      <c r="A135" s="111"/>
      <c r="B135" s="111" t="str">
        <f ca="1">IFERROR(__xludf.DUMMYFUNCTION("""COMPUTED_VALUE"""),"МинЖКХ")</f>
        <v>МинЖКХ</v>
      </c>
      <c r="C135" s="111" t="str">
        <f ca="1">IFERROR(__xludf.DUMMYFUNCTION("""COMPUTED_VALUE"""),"г.о. Богородский")</f>
        <v>г.о. Богородский</v>
      </c>
      <c r="D135" s="111" t="str">
        <f ca="1">IFERROR(__xludf.DUMMYFUNCTION("""COMPUTED_VALUE"""),"Капитальный ремонт участка водопровода Ду-500 мм в г.п.  Старая Купавна ")</f>
        <v xml:space="preserve">Капитальный ремонт участка водопровода Ду-500 мм в г.п.  Старая Купавна </v>
      </c>
      <c r="E135" s="111" t="str">
        <f ca="1">IFERROR(__xludf.DUMMYFUNCTION("""COMPUTED_VALUE"""),"Н/Л")</f>
        <v>Н/Л</v>
      </c>
      <c r="F135" s="113">
        <f ca="1">IFERROR(__xludf.DUMMYFUNCTION("""COMPUTED_VALUE"""),0)</f>
        <v>0</v>
      </c>
      <c r="G135" s="113">
        <f ca="1">IFERROR(__xludf.DUMMYFUNCTION("""COMPUTED_VALUE"""),0)</f>
        <v>0</v>
      </c>
      <c r="H135" s="113">
        <f ca="1">IFERROR(__xludf.DUMMYFUNCTION("""COMPUTED_VALUE"""),0)</f>
        <v>0</v>
      </c>
      <c r="I135" s="113">
        <f ca="1">IFERROR(__xludf.DUMMYFUNCTION("""COMPUTED_VALUE"""),0)</f>
        <v>0</v>
      </c>
      <c r="J135" s="111">
        <f ca="1">IFERROR(__xludf.DUMMYFUNCTION("""COMPUTED_VALUE"""),0)</f>
        <v>0</v>
      </c>
      <c r="K135" s="113">
        <f ca="1">IFERROR(__xludf.DUMMYFUNCTION("""COMPUTED_VALUE"""),0)</f>
        <v>0</v>
      </c>
      <c r="L135" s="114" t="str">
        <f ca="1">IFERROR(__xludf.DUMMYFUNCTION("""COMPUTED_VALUE"""),"#DIV/0!")</f>
        <v>#DIV/0!</v>
      </c>
      <c r="M135" s="111"/>
      <c r="N135" s="111"/>
      <c r="O135" s="111"/>
      <c r="P135" s="111"/>
      <c r="Q135" s="112"/>
      <c r="R135" s="103"/>
      <c r="S135" s="103"/>
      <c r="T135" s="103"/>
      <c r="U135" s="103"/>
      <c r="V135" s="103"/>
      <c r="W135" s="103"/>
      <c r="X135" s="103"/>
      <c r="Y135" s="103"/>
      <c r="Z135" s="103"/>
      <c r="AA135" s="103"/>
    </row>
    <row r="136" spans="1:27" ht="63.75" x14ac:dyDescent="0.2">
      <c r="A136" s="111"/>
      <c r="B136" s="111" t="str">
        <f ca="1">IFERROR(__xludf.DUMMYFUNCTION("""COMPUTED_VALUE"""),"МинЖКХ")</f>
        <v>МинЖКХ</v>
      </c>
      <c r="C136" s="111" t="str">
        <f ca="1">IFERROR(__xludf.DUMMYFUNCTION("""COMPUTED_VALUE"""),"г.о. Воскресенск")</f>
        <v>г.о. Воскресенск</v>
      </c>
      <c r="D136" s="111" t="str">
        <f ca="1">IFERROR(__xludf.DUMMYFUNCTION("""COMPUTED_VALUE"""),"Приобретение, монтаж и ввод в эксплуатацию станции водоподготовки на ВЗУ-5, Воскресенский м.р., д. Цибино г.п. Белоозерский")</f>
        <v>Приобретение, монтаж и ввод в эксплуатацию станции водоподготовки на ВЗУ-5, Воскресенский м.р., д. Цибино г.п. Белоозерский</v>
      </c>
      <c r="E136" s="111" t="str">
        <f ca="1">IFERROR(__xludf.DUMMYFUNCTION("""COMPUTED_VALUE"""),"Н/Л")</f>
        <v>Н/Л</v>
      </c>
      <c r="F136" s="113">
        <f ca="1">IFERROR(__xludf.DUMMYFUNCTION("""COMPUTED_VALUE"""),0)</f>
        <v>0</v>
      </c>
      <c r="G136" s="113">
        <f ca="1">IFERROR(__xludf.DUMMYFUNCTION("""COMPUTED_VALUE"""),0)</f>
        <v>0</v>
      </c>
      <c r="H136" s="113">
        <f ca="1">IFERROR(__xludf.DUMMYFUNCTION("""COMPUTED_VALUE"""),0)</f>
        <v>0</v>
      </c>
      <c r="I136" s="113">
        <f ca="1">IFERROR(__xludf.DUMMYFUNCTION("""COMPUTED_VALUE"""),0)</f>
        <v>0</v>
      </c>
      <c r="J136" s="111">
        <f ca="1">IFERROR(__xludf.DUMMYFUNCTION("""COMPUTED_VALUE"""),0)</f>
        <v>0</v>
      </c>
      <c r="K136" s="113">
        <f ca="1">IFERROR(__xludf.DUMMYFUNCTION("""COMPUTED_VALUE"""),0)</f>
        <v>0</v>
      </c>
      <c r="L136" s="114" t="str">
        <f ca="1">IFERROR(__xludf.DUMMYFUNCTION("""COMPUTED_VALUE"""),"#DIV/0!")</f>
        <v>#DIV/0!</v>
      </c>
      <c r="M136" s="111"/>
      <c r="N136" s="111"/>
      <c r="O136" s="111"/>
      <c r="P136" s="111"/>
      <c r="Q136" s="112"/>
      <c r="R136" s="103"/>
      <c r="S136" s="103"/>
      <c r="T136" s="103"/>
      <c r="U136" s="103"/>
      <c r="V136" s="103"/>
      <c r="W136" s="103"/>
      <c r="X136" s="103"/>
      <c r="Y136" s="103"/>
      <c r="Z136" s="103"/>
      <c r="AA136" s="103"/>
    </row>
    <row r="137" spans="1:27" ht="63.75" x14ac:dyDescent="0.2">
      <c r="A137" s="111"/>
      <c r="B137" s="111" t="str">
        <f ca="1">IFERROR(__xludf.DUMMYFUNCTION("""COMPUTED_VALUE"""),"МинЖКХ")</f>
        <v>МинЖКХ</v>
      </c>
      <c r="C137" s="111" t="str">
        <f ca="1">IFERROR(__xludf.DUMMYFUNCTION("""COMPUTED_VALUE"""),"г.о. Воскресенск")</f>
        <v>г.о. Воскресенск</v>
      </c>
      <c r="D137" s="111" t="str">
        <f ca="1">IFERROR(__xludf.DUMMYFUNCTION("""COMPUTED_VALUE"""),"Приобретение, монтаж и ввод в эксплуатацию станции водоподготовки на ВЗУ-6, Воскресенский м.р., дер. Ивановка  г.п. Белоозерский")</f>
        <v>Приобретение, монтаж и ввод в эксплуатацию станции водоподготовки на ВЗУ-6, Воскресенский м.р., дер. Ивановка  г.п. Белоозерский</v>
      </c>
      <c r="E137" s="111" t="str">
        <f ca="1">IFERROR(__xludf.DUMMYFUNCTION("""COMPUTED_VALUE"""),"Н/Л")</f>
        <v>Н/Л</v>
      </c>
      <c r="F137" s="113">
        <f ca="1">IFERROR(__xludf.DUMMYFUNCTION("""COMPUTED_VALUE"""),0)</f>
        <v>0</v>
      </c>
      <c r="G137" s="113">
        <f ca="1">IFERROR(__xludf.DUMMYFUNCTION("""COMPUTED_VALUE"""),0)</f>
        <v>0</v>
      </c>
      <c r="H137" s="113">
        <f ca="1">IFERROR(__xludf.DUMMYFUNCTION("""COMPUTED_VALUE"""),0)</f>
        <v>0</v>
      </c>
      <c r="I137" s="113">
        <f ca="1">IFERROR(__xludf.DUMMYFUNCTION("""COMPUTED_VALUE"""),0)</f>
        <v>0</v>
      </c>
      <c r="J137" s="111">
        <f ca="1">IFERROR(__xludf.DUMMYFUNCTION("""COMPUTED_VALUE"""),0)</f>
        <v>0</v>
      </c>
      <c r="K137" s="113">
        <f ca="1">IFERROR(__xludf.DUMMYFUNCTION("""COMPUTED_VALUE"""),0)</f>
        <v>0</v>
      </c>
      <c r="L137" s="114" t="str">
        <f ca="1">IFERROR(__xludf.DUMMYFUNCTION("""COMPUTED_VALUE"""),"#DIV/0!")</f>
        <v>#DIV/0!</v>
      </c>
      <c r="M137" s="111"/>
      <c r="N137" s="111"/>
      <c r="O137" s="111"/>
      <c r="P137" s="111"/>
      <c r="Q137" s="112"/>
      <c r="R137" s="103"/>
      <c r="S137" s="103"/>
      <c r="T137" s="103"/>
      <c r="U137" s="103"/>
      <c r="V137" s="103"/>
      <c r="W137" s="103"/>
      <c r="X137" s="103"/>
      <c r="Y137" s="103"/>
      <c r="Z137" s="103"/>
      <c r="AA137" s="103"/>
    </row>
    <row r="138" spans="1:27" ht="63.75" x14ac:dyDescent="0.2">
      <c r="A138" s="111"/>
      <c r="B138" s="111" t="str">
        <f ca="1">IFERROR(__xludf.DUMMYFUNCTION("""COMPUTED_VALUE"""),"МинЖКХ")</f>
        <v>МинЖКХ</v>
      </c>
      <c r="C138" s="111" t="str">
        <f ca="1">IFERROR(__xludf.DUMMYFUNCTION("""COMPUTED_VALUE"""),"г.о. Воскресенск")</f>
        <v>г.о. Воскресенск</v>
      </c>
      <c r="D138" s="111" t="str">
        <f ca="1">IFERROR(__xludf.DUMMYFUNCTION("""COMPUTED_VALUE"""),"Приобретение, монтаж и ввод в эксплуатацию станции водоподготовки на ВЗУ-8,  Воскресенский м.р.,  дер. Ворщиково  г.п. Белоозерский")</f>
        <v>Приобретение, монтаж и ввод в эксплуатацию станции водоподготовки на ВЗУ-8,  Воскресенский м.р.,  дер. Ворщиково  г.п. Белоозерский</v>
      </c>
      <c r="E138" s="111" t="str">
        <f ca="1">IFERROR(__xludf.DUMMYFUNCTION("""COMPUTED_VALUE"""),"Н/Л")</f>
        <v>Н/Л</v>
      </c>
      <c r="F138" s="113">
        <f ca="1">IFERROR(__xludf.DUMMYFUNCTION("""COMPUTED_VALUE"""),0)</f>
        <v>0</v>
      </c>
      <c r="G138" s="113">
        <f ca="1">IFERROR(__xludf.DUMMYFUNCTION("""COMPUTED_VALUE"""),0)</f>
        <v>0</v>
      </c>
      <c r="H138" s="113">
        <f ca="1">IFERROR(__xludf.DUMMYFUNCTION("""COMPUTED_VALUE"""),0)</f>
        <v>0</v>
      </c>
      <c r="I138" s="113">
        <f ca="1">IFERROR(__xludf.DUMMYFUNCTION("""COMPUTED_VALUE"""),0)</f>
        <v>0</v>
      </c>
      <c r="J138" s="111">
        <f ca="1">IFERROR(__xludf.DUMMYFUNCTION("""COMPUTED_VALUE"""),0)</f>
        <v>0</v>
      </c>
      <c r="K138" s="113">
        <f ca="1">IFERROR(__xludf.DUMMYFUNCTION("""COMPUTED_VALUE"""),0)</f>
        <v>0</v>
      </c>
      <c r="L138" s="114" t="str">
        <f ca="1">IFERROR(__xludf.DUMMYFUNCTION("""COMPUTED_VALUE"""),"#DIV/0!")</f>
        <v>#DIV/0!</v>
      </c>
      <c r="M138" s="111"/>
      <c r="N138" s="111"/>
      <c r="O138" s="111"/>
      <c r="P138" s="111"/>
      <c r="Q138" s="112"/>
      <c r="R138" s="103"/>
      <c r="S138" s="103"/>
      <c r="T138" s="103"/>
      <c r="U138" s="103"/>
      <c r="V138" s="103"/>
      <c r="W138" s="103"/>
      <c r="X138" s="103"/>
      <c r="Y138" s="103"/>
      <c r="Z138" s="103"/>
      <c r="AA138" s="103"/>
    </row>
    <row r="139" spans="1:27" ht="63.75" x14ac:dyDescent="0.2">
      <c r="A139" s="111"/>
      <c r="B139" s="111" t="str">
        <f ca="1">IFERROR(__xludf.DUMMYFUNCTION("""COMPUTED_VALUE"""),"МинЖКХ")</f>
        <v>МинЖКХ</v>
      </c>
      <c r="C139" s="111" t="str">
        <f ca="1">IFERROR(__xludf.DUMMYFUNCTION("""COMPUTED_VALUE"""),"г.о. Воскресенск")</f>
        <v>г.о. Воскресенск</v>
      </c>
      <c r="D139" s="111" t="str">
        <f ca="1">IFERROR(__xludf.DUMMYFUNCTION("""COMPUTED_VALUE"""),"Приобретение, монтаж и ввод в эксплуатацию станции водоподготовки на ВЗУ - 9, Воскресенский м.р., дер.  Ворщиково г.п. Белоозерский ")</f>
        <v xml:space="preserve">Приобретение, монтаж и ввод в эксплуатацию станции водоподготовки на ВЗУ - 9, Воскресенский м.р., дер.  Ворщиково г.п. Белоозерский </v>
      </c>
      <c r="E139" s="111" t="str">
        <f ca="1">IFERROR(__xludf.DUMMYFUNCTION("""COMPUTED_VALUE"""),"Н/Л")</f>
        <v>Н/Л</v>
      </c>
      <c r="F139" s="113">
        <f ca="1">IFERROR(__xludf.DUMMYFUNCTION("""COMPUTED_VALUE"""),0)</f>
        <v>0</v>
      </c>
      <c r="G139" s="113">
        <f ca="1">IFERROR(__xludf.DUMMYFUNCTION("""COMPUTED_VALUE"""),0)</f>
        <v>0</v>
      </c>
      <c r="H139" s="113">
        <f ca="1">IFERROR(__xludf.DUMMYFUNCTION("""COMPUTED_VALUE"""),0)</f>
        <v>0</v>
      </c>
      <c r="I139" s="113">
        <f ca="1">IFERROR(__xludf.DUMMYFUNCTION("""COMPUTED_VALUE"""),0)</f>
        <v>0</v>
      </c>
      <c r="J139" s="111">
        <f ca="1">IFERROR(__xludf.DUMMYFUNCTION("""COMPUTED_VALUE"""),0)</f>
        <v>0</v>
      </c>
      <c r="K139" s="113">
        <f ca="1">IFERROR(__xludf.DUMMYFUNCTION("""COMPUTED_VALUE"""),0)</f>
        <v>0</v>
      </c>
      <c r="L139" s="114" t="str">
        <f ca="1">IFERROR(__xludf.DUMMYFUNCTION("""COMPUTED_VALUE"""),"#DIV/0!")</f>
        <v>#DIV/0!</v>
      </c>
      <c r="M139" s="111"/>
      <c r="N139" s="111"/>
      <c r="O139" s="111"/>
      <c r="P139" s="111"/>
      <c r="Q139" s="112"/>
      <c r="R139" s="103"/>
      <c r="S139" s="103"/>
      <c r="T139" s="103"/>
      <c r="U139" s="103"/>
      <c r="V139" s="103"/>
      <c r="W139" s="103"/>
      <c r="X139" s="103"/>
      <c r="Y139" s="103"/>
      <c r="Z139" s="103"/>
      <c r="AA139" s="103"/>
    </row>
    <row r="140" spans="1:27" ht="102" x14ac:dyDescent="0.2">
      <c r="A140" s="111"/>
      <c r="B140" s="111" t="str">
        <f ca="1">IFERROR(__xludf.DUMMYFUNCTION("""COMPUTED_VALUE"""),"МинЖКХ")</f>
        <v>МинЖКХ</v>
      </c>
      <c r="C140" s="111" t="str">
        <f ca="1">IFERROR(__xludf.DUMMYFUNCTION("""COMPUTED_VALUE"""),"г.о. Воскресенск")</f>
        <v>г.о. Воскресенск</v>
      </c>
      <c r="D140" s="111" t="str">
        <f ca="1">IFERROR(__xludf.DUMMYFUNCTION("""COMPUTED_VALUE"""),"Приобретение,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f>
        <v>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v>
      </c>
      <c r="E140" s="111" t="str">
        <f ca="1">IFERROR(__xludf.DUMMYFUNCTION("""COMPUTED_VALUE"""),"Н/Л")</f>
        <v>Н/Л</v>
      </c>
      <c r="F140" s="113">
        <f ca="1">IFERROR(__xludf.DUMMYFUNCTION("""COMPUTED_VALUE"""),0)</f>
        <v>0</v>
      </c>
      <c r="G140" s="113">
        <f ca="1">IFERROR(__xludf.DUMMYFUNCTION("""COMPUTED_VALUE"""),0)</f>
        <v>0</v>
      </c>
      <c r="H140" s="113">
        <f ca="1">IFERROR(__xludf.DUMMYFUNCTION("""COMPUTED_VALUE"""),0)</f>
        <v>0</v>
      </c>
      <c r="I140" s="113">
        <f ca="1">IFERROR(__xludf.DUMMYFUNCTION("""COMPUTED_VALUE"""),0)</f>
        <v>0</v>
      </c>
      <c r="J140" s="111">
        <f ca="1">IFERROR(__xludf.DUMMYFUNCTION("""COMPUTED_VALUE"""),0)</f>
        <v>0</v>
      </c>
      <c r="K140" s="113">
        <f ca="1">IFERROR(__xludf.DUMMYFUNCTION("""COMPUTED_VALUE"""),0)</f>
        <v>0</v>
      </c>
      <c r="L140" s="114" t="str">
        <f ca="1">IFERROR(__xludf.DUMMYFUNCTION("""COMPUTED_VALUE"""),"#DIV/0!")</f>
        <v>#DIV/0!</v>
      </c>
      <c r="M140" s="111"/>
      <c r="N140" s="111"/>
      <c r="O140" s="111"/>
      <c r="P140" s="111"/>
      <c r="Q140" s="112"/>
      <c r="R140" s="103"/>
      <c r="S140" s="103"/>
      <c r="T140" s="103"/>
      <c r="U140" s="103"/>
      <c r="V140" s="103"/>
      <c r="W140" s="103"/>
      <c r="X140" s="103"/>
      <c r="Y140" s="103"/>
      <c r="Z140" s="103"/>
      <c r="AA140" s="103"/>
    </row>
    <row r="141" spans="1:27" ht="102" x14ac:dyDescent="0.2">
      <c r="A141" s="111"/>
      <c r="B141" s="111" t="str">
        <f ca="1">IFERROR(__xludf.DUMMYFUNCTION("""COMPUTED_VALUE"""),"МинЖКХ")</f>
        <v>МинЖКХ</v>
      </c>
      <c r="C141" s="111" t="str">
        <f ca="1">IFERROR(__xludf.DUMMYFUNCTION("""COMPUTED_VALUE"""),"г.о. Наро-Фоминск")</f>
        <v>г.о. Наро-Фоминск</v>
      </c>
      <c r="D141" s="111" t="str">
        <f ca="1">IFERROR(__xludf.DUMMYFUNCTION("""COMPUTED_VALUE"""),"Приобретение,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f>
        <v>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v>
      </c>
      <c r="E141" s="111" t="str">
        <f ca="1">IFERROR(__xludf.DUMMYFUNCTION("""COMPUTED_VALUE"""),"Н/Л")</f>
        <v>Н/Л</v>
      </c>
      <c r="F141" s="113">
        <f ca="1">IFERROR(__xludf.DUMMYFUNCTION("""COMPUTED_VALUE"""),0)</f>
        <v>0</v>
      </c>
      <c r="G141" s="113">
        <f ca="1">IFERROR(__xludf.DUMMYFUNCTION("""COMPUTED_VALUE"""),0)</f>
        <v>0</v>
      </c>
      <c r="H141" s="113">
        <f ca="1">IFERROR(__xludf.DUMMYFUNCTION("""COMPUTED_VALUE"""),0)</f>
        <v>0</v>
      </c>
      <c r="I141" s="113">
        <f ca="1">IFERROR(__xludf.DUMMYFUNCTION("""COMPUTED_VALUE"""),0)</f>
        <v>0</v>
      </c>
      <c r="J141" s="111">
        <f ca="1">IFERROR(__xludf.DUMMYFUNCTION("""COMPUTED_VALUE"""),0)</f>
        <v>0</v>
      </c>
      <c r="K141" s="113">
        <f ca="1">IFERROR(__xludf.DUMMYFUNCTION("""COMPUTED_VALUE"""),0)</f>
        <v>0</v>
      </c>
      <c r="L141" s="114" t="str">
        <f ca="1">IFERROR(__xludf.DUMMYFUNCTION("""COMPUTED_VALUE"""),"#DIV/0!")</f>
        <v>#DIV/0!</v>
      </c>
      <c r="M141" s="111"/>
      <c r="N141" s="111"/>
      <c r="O141" s="111"/>
      <c r="P141" s="111"/>
      <c r="Q141" s="112"/>
      <c r="R141" s="103"/>
      <c r="S141" s="103"/>
      <c r="T141" s="103"/>
      <c r="U141" s="103"/>
      <c r="V141" s="103"/>
      <c r="W141" s="103"/>
      <c r="X141" s="103"/>
      <c r="Y141" s="103"/>
      <c r="Z141" s="103"/>
      <c r="AA141" s="103"/>
    </row>
    <row r="142" spans="1:27" ht="102" x14ac:dyDescent="0.2">
      <c r="A142" s="111"/>
      <c r="B142" s="111" t="str">
        <f ca="1">IFERROR(__xludf.DUMMYFUNCTION("""COMPUTED_VALUE"""),"МинЖКХ")</f>
        <v>МинЖКХ</v>
      </c>
      <c r="C142" s="111" t="str">
        <f ca="1">IFERROR(__xludf.DUMMYFUNCTION("""COMPUTED_VALUE"""),"г.о. Наро-Фоминск")</f>
        <v>г.о. Наро-Фоминск</v>
      </c>
      <c r="D142" s="111" t="str">
        <f ca="1">IFERROR(__xludf.DUMMYFUNCTION("""COMPUTED_VALUE"""),"Приобретение,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f>
        <v>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v>
      </c>
      <c r="E142" s="111" t="str">
        <f ca="1">IFERROR(__xludf.DUMMYFUNCTION("""COMPUTED_VALUE"""),"Н/Л")</f>
        <v>Н/Л</v>
      </c>
      <c r="F142" s="113">
        <f ca="1">IFERROR(__xludf.DUMMYFUNCTION("""COMPUTED_VALUE"""),0)</f>
        <v>0</v>
      </c>
      <c r="G142" s="113">
        <f ca="1">IFERROR(__xludf.DUMMYFUNCTION("""COMPUTED_VALUE"""),0)</f>
        <v>0</v>
      </c>
      <c r="H142" s="113">
        <f ca="1">IFERROR(__xludf.DUMMYFUNCTION("""COMPUTED_VALUE"""),0)</f>
        <v>0</v>
      </c>
      <c r="I142" s="113">
        <f ca="1">IFERROR(__xludf.DUMMYFUNCTION("""COMPUTED_VALUE"""),0)</f>
        <v>0</v>
      </c>
      <c r="J142" s="111">
        <f ca="1">IFERROR(__xludf.DUMMYFUNCTION("""COMPUTED_VALUE"""),0)</f>
        <v>0</v>
      </c>
      <c r="K142" s="113">
        <f ca="1">IFERROR(__xludf.DUMMYFUNCTION("""COMPUTED_VALUE"""),0)</f>
        <v>0</v>
      </c>
      <c r="L142" s="114" t="str">
        <f ca="1">IFERROR(__xludf.DUMMYFUNCTION("""COMPUTED_VALUE"""),"#DIV/0!")</f>
        <v>#DIV/0!</v>
      </c>
      <c r="M142" s="111"/>
      <c r="N142" s="111"/>
      <c r="O142" s="111"/>
      <c r="P142" s="111"/>
      <c r="Q142" s="112"/>
      <c r="R142" s="103"/>
      <c r="S142" s="103"/>
      <c r="T142" s="103"/>
      <c r="U142" s="103"/>
      <c r="V142" s="103"/>
      <c r="W142" s="103"/>
      <c r="X142" s="103"/>
      <c r="Y142" s="103"/>
      <c r="Z142" s="103"/>
      <c r="AA142" s="103"/>
    </row>
    <row r="143" spans="1:27" ht="76.5" x14ac:dyDescent="0.2">
      <c r="A143" s="111"/>
      <c r="B143" s="111" t="str">
        <f ca="1">IFERROR(__xludf.DUMMYFUNCTION("""COMPUTED_VALUE"""),"МинЖКХ")</f>
        <v>МинЖКХ</v>
      </c>
      <c r="C143" s="111" t="str">
        <f ca="1">IFERROR(__xludf.DUMMYFUNCTION("""COMPUTED_VALUE"""),"г.о. Наро-Фоминск")</f>
        <v>г.о. Наро-Фоминск</v>
      </c>
      <c r="D143" s="111" t="str">
        <f ca="1">IFERROR(__xludf.DUMMYFUNCTION("""COMPUTED_VALUE"""),"Приобретение, монтаж и ввод в эксплуатацию станции водоочистки, д. Софьино (в том числе погашение кредиторской задолженности - 6 157,72 тыс.руб.)  г.о. Наро-Фоминск")</f>
        <v>Приобретение, монтаж и ввод в эксплуатацию станции водоочистки, д. Софьино (в том числе погашение кредиторской задолженности - 6 157,72 тыс.руб.)  г.о. Наро-Фоминск</v>
      </c>
      <c r="E143" s="111" t="str">
        <f ca="1">IFERROR(__xludf.DUMMYFUNCTION("""COMPUTED_VALUE"""),"Н/Л")</f>
        <v>Н/Л</v>
      </c>
      <c r="F143" s="113">
        <f ca="1">IFERROR(__xludf.DUMMYFUNCTION("""COMPUTED_VALUE"""),0)</f>
        <v>0</v>
      </c>
      <c r="G143" s="113">
        <f ca="1">IFERROR(__xludf.DUMMYFUNCTION("""COMPUTED_VALUE"""),0)</f>
        <v>0</v>
      </c>
      <c r="H143" s="113">
        <f ca="1">IFERROR(__xludf.DUMMYFUNCTION("""COMPUTED_VALUE"""),0)</f>
        <v>0</v>
      </c>
      <c r="I143" s="113">
        <f ca="1">IFERROR(__xludf.DUMMYFUNCTION("""COMPUTED_VALUE"""),0)</f>
        <v>0</v>
      </c>
      <c r="J143" s="111">
        <f ca="1">IFERROR(__xludf.DUMMYFUNCTION("""COMPUTED_VALUE"""),0)</f>
        <v>0</v>
      </c>
      <c r="K143" s="113">
        <f ca="1">IFERROR(__xludf.DUMMYFUNCTION("""COMPUTED_VALUE"""),0)</f>
        <v>0</v>
      </c>
      <c r="L143" s="114" t="str">
        <f ca="1">IFERROR(__xludf.DUMMYFUNCTION("""COMPUTED_VALUE"""),"#DIV/0!")</f>
        <v>#DIV/0!</v>
      </c>
      <c r="M143" s="111"/>
      <c r="N143" s="111"/>
      <c r="O143" s="111"/>
      <c r="P143" s="111"/>
      <c r="Q143" s="112"/>
      <c r="R143" s="103"/>
      <c r="S143" s="103"/>
      <c r="T143" s="103"/>
      <c r="U143" s="103"/>
      <c r="V143" s="103"/>
      <c r="W143" s="103"/>
      <c r="X143" s="103"/>
      <c r="Y143" s="103"/>
      <c r="Z143" s="103"/>
      <c r="AA143" s="103"/>
    </row>
    <row r="144" spans="1:27" ht="63.75" x14ac:dyDescent="0.2">
      <c r="A144" s="111"/>
      <c r="B144" s="111" t="str">
        <f ca="1">IFERROR(__xludf.DUMMYFUNCTION("""COMPUTED_VALUE"""),"МинЖКХ")</f>
        <v>МинЖКХ</v>
      </c>
      <c r="C144" s="111" t="str">
        <f ca="1">IFERROR(__xludf.DUMMYFUNCTION("""COMPUTED_VALUE"""),"г.о. Солнечногорск")</f>
        <v>г.о. Солнечногорск</v>
      </c>
      <c r="D144" s="111" t="str">
        <f ca="1">IFERROR(__xludf.DUMMYFUNCTION("""COMPUTED_VALUE"""),"Приобретение, монтаж и ввод в эксплуатацию станции обезжелезивания на ВЗУ № 15, д. Стрелино, с. п. Кривцовское  Солнечногорский м.р.")</f>
        <v>Приобретение, монтаж и ввод в эксплуатацию станции обезжелезивания на ВЗУ № 15, д. Стрелино, с. п. Кривцовское  Солнечногорский м.р.</v>
      </c>
      <c r="E144" s="111" t="str">
        <f ca="1">IFERROR(__xludf.DUMMYFUNCTION("""COMPUTED_VALUE"""),"Н/Л")</f>
        <v>Н/Л</v>
      </c>
      <c r="F144" s="113">
        <f ca="1">IFERROR(__xludf.DUMMYFUNCTION("""COMPUTED_VALUE"""),0)</f>
        <v>0</v>
      </c>
      <c r="G144" s="113">
        <f ca="1">IFERROR(__xludf.DUMMYFUNCTION("""COMPUTED_VALUE"""),0)</f>
        <v>0</v>
      </c>
      <c r="H144" s="113">
        <f ca="1">IFERROR(__xludf.DUMMYFUNCTION("""COMPUTED_VALUE"""),0)</f>
        <v>0</v>
      </c>
      <c r="I144" s="113">
        <f ca="1">IFERROR(__xludf.DUMMYFUNCTION("""COMPUTED_VALUE"""),0)</f>
        <v>0</v>
      </c>
      <c r="J144" s="111">
        <f ca="1">IFERROR(__xludf.DUMMYFUNCTION("""COMPUTED_VALUE"""),0)</f>
        <v>0</v>
      </c>
      <c r="K144" s="113">
        <f ca="1">IFERROR(__xludf.DUMMYFUNCTION("""COMPUTED_VALUE"""),0)</f>
        <v>0</v>
      </c>
      <c r="L144" s="114" t="str">
        <f ca="1">IFERROR(__xludf.DUMMYFUNCTION("""COMPUTED_VALUE"""),"#DIV/0!")</f>
        <v>#DIV/0!</v>
      </c>
      <c r="M144" s="111"/>
      <c r="N144" s="111"/>
      <c r="O144" s="111"/>
      <c r="P144" s="111"/>
      <c r="Q144" s="112"/>
      <c r="R144" s="103"/>
      <c r="S144" s="103"/>
      <c r="T144" s="103"/>
      <c r="U144" s="103"/>
      <c r="V144" s="103"/>
      <c r="W144" s="103"/>
      <c r="X144" s="103"/>
      <c r="Y144" s="103"/>
      <c r="Z144" s="103"/>
      <c r="AA144" s="103"/>
    </row>
    <row r="145" spans="1:27" ht="63.75" x14ac:dyDescent="0.2">
      <c r="A145" s="111"/>
      <c r="B145" s="111" t="str">
        <f ca="1">IFERROR(__xludf.DUMMYFUNCTION("""COMPUTED_VALUE"""),"МинЖКХ")</f>
        <v>МинЖКХ</v>
      </c>
      <c r="C145" s="111" t="str">
        <f ca="1">IFERROR(__xludf.DUMMYFUNCTION("""COMPUTED_VALUE"""),"г.о. Солнечногорск")</f>
        <v>г.о. Солнечногорск</v>
      </c>
      <c r="D145" s="111" t="str">
        <f ca="1">IFERROR(__xludf.DUMMYFUNCTION("""COMPUTED_VALUE"""),"Приобретение, монтаж и ввод в эксплуатацию станции обезжелезивания на ВЗУ № 19, д. Тараканово, с. п. Смирновское Солнечногорский м.р.")</f>
        <v>Приобретение, монтаж и ввод в эксплуатацию станции обезжелезивания на ВЗУ № 19, д. Тараканово, с. п. Смирновское Солнечногорский м.р.</v>
      </c>
      <c r="E145" s="111" t="str">
        <f ca="1">IFERROR(__xludf.DUMMYFUNCTION("""COMPUTED_VALUE"""),"Н/Л")</f>
        <v>Н/Л</v>
      </c>
      <c r="F145" s="113">
        <f ca="1">IFERROR(__xludf.DUMMYFUNCTION("""COMPUTED_VALUE"""),0)</f>
        <v>0</v>
      </c>
      <c r="G145" s="113">
        <f ca="1">IFERROR(__xludf.DUMMYFUNCTION("""COMPUTED_VALUE"""),0)</f>
        <v>0</v>
      </c>
      <c r="H145" s="113">
        <f ca="1">IFERROR(__xludf.DUMMYFUNCTION("""COMPUTED_VALUE"""),0)</f>
        <v>0</v>
      </c>
      <c r="I145" s="113">
        <f ca="1">IFERROR(__xludf.DUMMYFUNCTION("""COMPUTED_VALUE"""),0)</f>
        <v>0</v>
      </c>
      <c r="J145" s="111">
        <f ca="1">IFERROR(__xludf.DUMMYFUNCTION("""COMPUTED_VALUE"""),0)</f>
        <v>0</v>
      </c>
      <c r="K145" s="113">
        <f ca="1">IFERROR(__xludf.DUMMYFUNCTION("""COMPUTED_VALUE"""),0)</f>
        <v>0</v>
      </c>
      <c r="L145" s="114" t="str">
        <f ca="1">IFERROR(__xludf.DUMMYFUNCTION("""COMPUTED_VALUE"""),"#DIV/0!")</f>
        <v>#DIV/0!</v>
      </c>
      <c r="M145" s="111"/>
      <c r="N145" s="111"/>
      <c r="O145" s="111"/>
      <c r="P145" s="111"/>
      <c r="Q145" s="112"/>
      <c r="R145" s="103"/>
      <c r="S145" s="103"/>
      <c r="T145" s="103"/>
      <c r="U145" s="103"/>
      <c r="V145" s="103"/>
      <c r="W145" s="103"/>
      <c r="X145" s="103"/>
      <c r="Y145" s="103"/>
      <c r="Z145" s="103"/>
      <c r="AA145" s="103"/>
    </row>
    <row r="146" spans="1:27" ht="51" x14ac:dyDescent="0.2">
      <c r="A146" s="111"/>
      <c r="B146" s="111" t="str">
        <f ca="1">IFERROR(__xludf.DUMMYFUNCTION("""COMPUTED_VALUE"""),"МинЖКХ")</f>
        <v>МинЖКХ</v>
      </c>
      <c r="C146" s="111" t="str">
        <f ca="1">IFERROR(__xludf.DUMMYFUNCTION("""COMPUTED_VALUE"""),"г.о. Щелково")</f>
        <v>г.о. Щелково</v>
      </c>
      <c r="D146" s="111" t="str">
        <f ca="1">IFERROR(__xludf.DUMMYFUNCTION("""COMPUTED_VALUE"""),"Капитальный ремонт ВЗУ  со станцией обезжелезивания, п. Краснознаменский г. Щелково, Щелковский м.р. ")</f>
        <v xml:space="preserve">Капитальный ремонт ВЗУ  со станцией обезжелезивания, п. Краснознаменский г. Щелково, Щелковский м.р. </v>
      </c>
      <c r="E146" s="111">
        <f ca="1">IFERROR(__xludf.DUMMYFUNCTION("""COMPUTED_VALUE"""),2021)</f>
        <v>2021</v>
      </c>
      <c r="F146" s="113">
        <f ca="1">IFERROR(__xludf.DUMMYFUNCTION("""COMPUTED_VALUE"""),0)</f>
        <v>0</v>
      </c>
      <c r="G146" s="113">
        <f ca="1">IFERROR(__xludf.DUMMYFUNCTION("""COMPUTED_VALUE"""),0)</f>
        <v>0</v>
      </c>
      <c r="H146" s="113">
        <f ca="1">IFERROR(__xludf.DUMMYFUNCTION("""COMPUTED_VALUE"""),0)</f>
        <v>0</v>
      </c>
      <c r="I146" s="113">
        <f ca="1">IFERROR(__xludf.DUMMYFUNCTION("""COMPUTED_VALUE"""),0)</f>
        <v>0</v>
      </c>
      <c r="J146" s="111">
        <f ca="1">IFERROR(__xludf.DUMMYFUNCTION("""COMPUTED_VALUE"""),0)</f>
        <v>0</v>
      </c>
      <c r="K146" s="113">
        <f ca="1">IFERROR(__xludf.DUMMYFUNCTION("""COMPUTED_VALUE"""),0)</f>
        <v>0</v>
      </c>
      <c r="L146" s="114" t="str">
        <f ca="1">IFERROR(__xludf.DUMMYFUNCTION("""COMPUTED_VALUE"""),"#DIV/0!")</f>
        <v>#DIV/0!</v>
      </c>
      <c r="M146" s="111"/>
      <c r="N146" s="111"/>
      <c r="O146" s="111"/>
      <c r="P146" s="111"/>
      <c r="Q146" s="112"/>
      <c r="R146" s="103"/>
      <c r="S146" s="103"/>
      <c r="T146" s="103"/>
      <c r="U146" s="103"/>
      <c r="V146" s="103"/>
      <c r="W146" s="103"/>
      <c r="X146" s="103"/>
      <c r="Y146" s="103"/>
      <c r="Z146" s="103"/>
      <c r="AA146" s="103"/>
    </row>
    <row r="147" spans="1:27" ht="51" x14ac:dyDescent="0.2">
      <c r="A147" s="111"/>
      <c r="B147" s="111" t="str">
        <f ca="1">IFERROR(__xludf.DUMMYFUNCTION("""COMPUTED_VALUE"""),"МинЖКХ")</f>
        <v>МинЖКХ</v>
      </c>
      <c r="C147" s="111" t="str">
        <f ca="1">IFERROR(__xludf.DUMMYFUNCTION("""COMPUTED_VALUE"""),"г.о. Щелково")</f>
        <v>г.о. Щелково</v>
      </c>
      <c r="D147" s="111" t="str">
        <f ca="1">IFERROR(__xludf.DUMMYFUNCTION("""COMPUTED_VALUE"""),"Капитальный ремонт ВЗУ №3 со станцией обезжелезивания г. Щелково, ул. Центральная 1-ый и 2-ой этапы")</f>
        <v>Капитальный ремонт ВЗУ №3 со станцией обезжелезивания г. Щелково, ул. Центральная 1-ый и 2-ой этапы</v>
      </c>
      <c r="E147" s="111">
        <f ca="1">IFERROR(__xludf.DUMMYFUNCTION("""COMPUTED_VALUE"""),2021)</f>
        <v>2021</v>
      </c>
      <c r="F147" s="113">
        <f ca="1">IFERROR(__xludf.DUMMYFUNCTION("""COMPUTED_VALUE"""),0)</f>
        <v>0</v>
      </c>
      <c r="G147" s="113">
        <f ca="1">IFERROR(__xludf.DUMMYFUNCTION("""COMPUTED_VALUE"""),0)</f>
        <v>0</v>
      </c>
      <c r="H147" s="113">
        <f ca="1">IFERROR(__xludf.DUMMYFUNCTION("""COMPUTED_VALUE"""),0)</f>
        <v>0</v>
      </c>
      <c r="I147" s="113">
        <f ca="1">IFERROR(__xludf.DUMMYFUNCTION("""COMPUTED_VALUE"""),0)</f>
        <v>0</v>
      </c>
      <c r="J147" s="111">
        <f ca="1">IFERROR(__xludf.DUMMYFUNCTION("""COMPUTED_VALUE"""),0)</f>
        <v>0</v>
      </c>
      <c r="K147" s="113">
        <f ca="1">IFERROR(__xludf.DUMMYFUNCTION("""COMPUTED_VALUE"""),0)</f>
        <v>0</v>
      </c>
      <c r="L147" s="114" t="str">
        <f ca="1">IFERROR(__xludf.DUMMYFUNCTION("""COMPUTED_VALUE"""),"#DIV/0!")</f>
        <v>#DIV/0!</v>
      </c>
      <c r="M147" s="111"/>
      <c r="N147" s="111"/>
      <c r="O147" s="111"/>
      <c r="P147" s="111"/>
      <c r="Q147" s="112"/>
      <c r="R147" s="103"/>
      <c r="S147" s="103"/>
      <c r="T147" s="103"/>
      <c r="U147" s="103"/>
      <c r="V147" s="103"/>
      <c r="W147" s="103"/>
      <c r="X147" s="103"/>
      <c r="Y147" s="103"/>
      <c r="Z147" s="103"/>
      <c r="AA147" s="103"/>
    </row>
    <row r="148" spans="1:27" ht="76.5" x14ac:dyDescent="0.2">
      <c r="A148" s="111"/>
      <c r="B148" s="111" t="str">
        <f ca="1">IFERROR(__xludf.DUMMYFUNCTION("""COMPUTED_VALUE"""),"МинЖКХ")</f>
        <v>МинЖКХ</v>
      </c>
      <c r="C148" s="111" t="str">
        <f ca="1">IFERROR(__xludf.DUMMYFUNCTION("""COMPUTED_VALUE"""),"г.о. Щелково")</f>
        <v>г.о. Щелково</v>
      </c>
      <c r="D148" s="111" t="str">
        <f ca="1">IFERROR(__xludf.DUMMYFUNCTION("""COMPUTED_VALUE"""),"Капитальный ремонт ВЗУ  со станцией обезжелезивания  ул. Розы Люксембург, г.п. Загорянский  Щелковский муниципальный район Московской области (I этап)")</f>
        <v>Капитальный ремонт ВЗУ  со станцией обезжелезивания  ул. Розы Люксембург, г.п. Загорянский  Щелковский муниципальный район Московской области (I этап)</v>
      </c>
      <c r="E148" s="111" t="str">
        <f ca="1">IFERROR(__xludf.DUMMYFUNCTION("""COMPUTED_VALUE"""),"Н/Л")</f>
        <v>Н/Л</v>
      </c>
      <c r="F148" s="113">
        <f ca="1">IFERROR(__xludf.DUMMYFUNCTION("""COMPUTED_VALUE"""),0)</f>
        <v>0</v>
      </c>
      <c r="G148" s="113">
        <f ca="1">IFERROR(__xludf.DUMMYFUNCTION("""COMPUTED_VALUE"""),0)</f>
        <v>0</v>
      </c>
      <c r="H148" s="113">
        <f ca="1">IFERROR(__xludf.DUMMYFUNCTION("""COMPUTED_VALUE"""),0)</f>
        <v>0</v>
      </c>
      <c r="I148" s="113">
        <f ca="1">IFERROR(__xludf.DUMMYFUNCTION("""COMPUTED_VALUE"""),0)</f>
        <v>0</v>
      </c>
      <c r="J148" s="111">
        <f ca="1">IFERROR(__xludf.DUMMYFUNCTION("""COMPUTED_VALUE"""),0)</f>
        <v>0</v>
      </c>
      <c r="K148" s="113">
        <f ca="1">IFERROR(__xludf.DUMMYFUNCTION("""COMPUTED_VALUE"""),0)</f>
        <v>0</v>
      </c>
      <c r="L148" s="114" t="str">
        <f ca="1">IFERROR(__xludf.DUMMYFUNCTION("""COMPUTED_VALUE"""),"#DIV/0!")</f>
        <v>#DIV/0!</v>
      </c>
      <c r="M148" s="111"/>
      <c r="N148" s="111"/>
      <c r="O148" s="111"/>
      <c r="P148" s="111"/>
      <c r="Q148" s="112"/>
      <c r="R148" s="103"/>
      <c r="S148" s="103"/>
      <c r="T148" s="103"/>
      <c r="U148" s="103"/>
      <c r="V148" s="103"/>
      <c r="W148" s="103"/>
      <c r="X148" s="103"/>
      <c r="Y148" s="103"/>
      <c r="Z148" s="103"/>
      <c r="AA148" s="103"/>
    </row>
    <row r="149" spans="1:27" ht="89.25" x14ac:dyDescent="0.2">
      <c r="A149" s="111"/>
      <c r="B149" s="111" t="str">
        <f ca="1">IFERROR(__xludf.DUMMYFUNCTION("""COMPUTED_VALUE"""),"МинЖКХ")</f>
        <v>МинЖКХ</v>
      </c>
      <c r="C149" s="111" t="str">
        <f ca="1">IFERROR(__xludf.DUMMYFUNCTION("""COMPUTED_VALUE"""),"г.о. Щелково")</f>
        <v>г.о. Щелково</v>
      </c>
      <c r="D149" s="111" t="str">
        <f ca="1">IFERROR(__xludf.DUMMYFUNCTION("""COMPUTED_VALUE"""),"Приобретение,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f>
        <v>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v>
      </c>
      <c r="E149" s="111" t="str">
        <f ca="1">IFERROR(__xludf.DUMMYFUNCTION("""COMPUTED_VALUE"""),"Н/Л")</f>
        <v>Н/Л</v>
      </c>
      <c r="F149" s="113">
        <f ca="1">IFERROR(__xludf.DUMMYFUNCTION("""COMPUTED_VALUE"""),0)</f>
        <v>0</v>
      </c>
      <c r="G149" s="113">
        <f ca="1">IFERROR(__xludf.DUMMYFUNCTION("""COMPUTED_VALUE"""),0)</f>
        <v>0</v>
      </c>
      <c r="H149" s="113">
        <f ca="1">IFERROR(__xludf.DUMMYFUNCTION("""COMPUTED_VALUE"""),0)</f>
        <v>0</v>
      </c>
      <c r="I149" s="113">
        <f ca="1">IFERROR(__xludf.DUMMYFUNCTION("""COMPUTED_VALUE"""),0)</f>
        <v>0</v>
      </c>
      <c r="J149" s="111">
        <f ca="1">IFERROR(__xludf.DUMMYFUNCTION("""COMPUTED_VALUE"""),0)</f>
        <v>0</v>
      </c>
      <c r="K149" s="113">
        <f ca="1">IFERROR(__xludf.DUMMYFUNCTION("""COMPUTED_VALUE"""),0)</f>
        <v>0</v>
      </c>
      <c r="L149" s="114" t="str">
        <f ca="1">IFERROR(__xludf.DUMMYFUNCTION("""COMPUTED_VALUE"""),"#DIV/0!")</f>
        <v>#DIV/0!</v>
      </c>
      <c r="M149" s="111"/>
      <c r="N149" s="111"/>
      <c r="O149" s="111"/>
      <c r="P149" s="111"/>
      <c r="Q149" s="112"/>
      <c r="R149" s="103"/>
      <c r="S149" s="103"/>
      <c r="T149" s="103"/>
      <c r="U149" s="103"/>
      <c r="V149" s="103"/>
      <c r="W149" s="103"/>
      <c r="X149" s="103"/>
      <c r="Y149" s="103"/>
      <c r="Z149" s="103"/>
      <c r="AA149" s="103"/>
    </row>
    <row r="150" spans="1:27" ht="89.25" x14ac:dyDescent="0.2">
      <c r="A150" s="111"/>
      <c r="B150" s="111" t="str">
        <f ca="1">IFERROR(__xludf.DUMMYFUNCTION("""COMPUTED_VALUE"""),"МинЖКХ")</f>
        <v>МинЖКХ</v>
      </c>
      <c r="C150" s="111" t="str">
        <f ca="1">IFERROR(__xludf.DUMMYFUNCTION("""COMPUTED_VALUE"""),"г.о. Щелково")</f>
        <v>г.о. Щелково</v>
      </c>
      <c r="D150" s="111" t="str">
        <f ca="1">IFERROR(__xludf.DUMMYFUNCTION("""COMPUTED_VALUE"""),"Приобретение,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f>
        <v>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v>
      </c>
      <c r="E150" s="111" t="str">
        <f ca="1">IFERROR(__xludf.DUMMYFUNCTION("""COMPUTED_VALUE"""),"Н/Л")</f>
        <v>Н/Л</v>
      </c>
      <c r="F150" s="113">
        <f ca="1">IFERROR(__xludf.DUMMYFUNCTION("""COMPUTED_VALUE"""),0)</f>
        <v>0</v>
      </c>
      <c r="G150" s="113">
        <f ca="1">IFERROR(__xludf.DUMMYFUNCTION("""COMPUTED_VALUE"""),0)</f>
        <v>0</v>
      </c>
      <c r="H150" s="113">
        <f ca="1">IFERROR(__xludf.DUMMYFUNCTION("""COMPUTED_VALUE"""),0)</f>
        <v>0</v>
      </c>
      <c r="I150" s="113">
        <f ca="1">IFERROR(__xludf.DUMMYFUNCTION("""COMPUTED_VALUE"""),0)</f>
        <v>0</v>
      </c>
      <c r="J150" s="111">
        <f ca="1">IFERROR(__xludf.DUMMYFUNCTION("""COMPUTED_VALUE"""),0)</f>
        <v>0</v>
      </c>
      <c r="K150" s="113">
        <f ca="1">IFERROR(__xludf.DUMMYFUNCTION("""COMPUTED_VALUE"""),0)</f>
        <v>0</v>
      </c>
      <c r="L150" s="114" t="str">
        <f ca="1">IFERROR(__xludf.DUMMYFUNCTION("""COMPUTED_VALUE"""),"#DIV/0!")</f>
        <v>#DIV/0!</v>
      </c>
      <c r="M150" s="111"/>
      <c r="N150" s="111"/>
      <c r="O150" s="111"/>
      <c r="P150" s="111"/>
      <c r="Q150" s="112"/>
      <c r="R150" s="103"/>
      <c r="S150" s="103"/>
      <c r="T150" s="103"/>
      <c r="U150" s="103"/>
      <c r="V150" s="103"/>
      <c r="W150" s="103"/>
      <c r="X150" s="103"/>
      <c r="Y150" s="103"/>
      <c r="Z150" s="103"/>
      <c r="AA150" s="103"/>
    </row>
    <row r="151" spans="1:27" ht="89.25" x14ac:dyDescent="0.2">
      <c r="A151" s="111"/>
      <c r="B151" s="111" t="str">
        <f ca="1">IFERROR(__xludf.DUMMYFUNCTION("""COMPUTED_VALUE"""),"МинЖКХ")</f>
        <v>МинЖКХ</v>
      </c>
      <c r="C151" s="111" t="str">
        <f ca="1">IFERROR(__xludf.DUMMYFUNCTION("""COMPUTED_VALUE"""),"г.о. Сергиев Посад")</f>
        <v>г.о. Сергиев Посад</v>
      </c>
      <c r="D151" s="111" t="str">
        <f ca="1">IFERROR(__xludf.DUMMYFUNCTION("""COMPUTED_VALUE"""),"Приобретение,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f>
        <v>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v>
      </c>
      <c r="E151" s="111" t="str">
        <f ca="1">IFERROR(__xludf.DUMMYFUNCTION("""COMPUTED_VALUE"""),"Н/Л")</f>
        <v>Н/Л</v>
      </c>
      <c r="F151" s="113">
        <f ca="1">IFERROR(__xludf.DUMMYFUNCTION("""COMPUTED_VALUE"""),0)</f>
        <v>0</v>
      </c>
      <c r="G151" s="113">
        <f ca="1">IFERROR(__xludf.DUMMYFUNCTION("""COMPUTED_VALUE"""),0)</f>
        <v>0</v>
      </c>
      <c r="H151" s="113">
        <f ca="1">IFERROR(__xludf.DUMMYFUNCTION("""COMPUTED_VALUE"""),0)</f>
        <v>0</v>
      </c>
      <c r="I151" s="113">
        <f ca="1">IFERROR(__xludf.DUMMYFUNCTION("""COMPUTED_VALUE"""),0)</f>
        <v>0</v>
      </c>
      <c r="J151" s="111">
        <f ca="1">IFERROR(__xludf.DUMMYFUNCTION("""COMPUTED_VALUE"""),0)</f>
        <v>0</v>
      </c>
      <c r="K151" s="113">
        <f ca="1">IFERROR(__xludf.DUMMYFUNCTION("""COMPUTED_VALUE"""),0)</f>
        <v>0</v>
      </c>
      <c r="L151" s="114" t="str">
        <f ca="1">IFERROR(__xludf.DUMMYFUNCTION("""COMPUTED_VALUE"""),"#DIV/0!")</f>
        <v>#DIV/0!</v>
      </c>
      <c r="M151" s="111"/>
      <c r="N151" s="111"/>
      <c r="O151" s="111"/>
      <c r="P151" s="111"/>
      <c r="Q151" s="112"/>
      <c r="R151" s="103"/>
      <c r="S151" s="103"/>
      <c r="T151" s="103"/>
      <c r="U151" s="103"/>
      <c r="V151" s="103"/>
      <c r="W151" s="103"/>
      <c r="X151" s="103"/>
      <c r="Y151" s="103"/>
      <c r="Z151" s="103"/>
      <c r="AA151" s="103"/>
    </row>
    <row r="152" spans="1:27" ht="51" x14ac:dyDescent="0.2">
      <c r="A152" s="111"/>
      <c r="B152" s="111" t="str">
        <f ca="1">IFERROR(__xludf.DUMMYFUNCTION("""COMPUTED_VALUE"""),"МинЖКХ")</f>
        <v>МинЖКХ</v>
      </c>
      <c r="C152" s="111" t="str">
        <f ca="1">IFERROR(__xludf.DUMMYFUNCTION("""COMPUTED_VALUE"""),"г.о. Сергиев Посад")</f>
        <v>г.о. Сергиев Посад</v>
      </c>
      <c r="D152" s="111" t="str">
        <f ca="1">IFERROR(__xludf.DUMMYFUNCTION("""COMPUTED_VALUE"""),"Приобретение, монтаж и ввод в эксплуатацию станции водоочистки, Сергиево-Посадский м.р., с.п. Шеметово, д. Самотовино")</f>
        <v>Приобретение, монтаж и ввод в эксплуатацию станции водоочистки, Сергиево-Посадский м.р., с.п. Шеметово, д. Самотовино</v>
      </c>
      <c r="E152" s="111" t="str">
        <f ca="1">IFERROR(__xludf.DUMMYFUNCTION("""COMPUTED_VALUE"""),"Н/Л")</f>
        <v>Н/Л</v>
      </c>
      <c r="F152" s="113">
        <f ca="1">IFERROR(__xludf.DUMMYFUNCTION("""COMPUTED_VALUE"""),0)</f>
        <v>0</v>
      </c>
      <c r="G152" s="113">
        <f ca="1">IFERROR(__xludf.DUMMYFUNCTION("""COMPUTED_VALUE"""),0)</f>
        <v>0</v>
      </c>
      <c r="H152" s="113">
        <f ca="1">IFERROR(__xludf.DUMMYFUNCTION("""COMPUTED_VALUE"""),0)</f>
        <v>0</v>
      </c>
      <c r="I152" s="113">
        <f ca="1">IFERROR(__xludf.DUMMYFUNCTION("""COMPUTED_VALUE"""),0)</f>
        <v>0</v>
      </c>
      <c r="J152" s="111">
        <f ca="1">IFERROR(__xludf.DUMMYFUNCTION("""COMPUTED_VALUE"""),0)</f>
        <v>0</v>
      </c>
      <c r="K152" s="113">
        <f ca="1">IFERROR(__xludf.DUMMYFUNCTION("""COMPUTED_VALUE"""),0)</f>
        <v>0</v>
      </c>
      <c r="L152" s="114" t="str">
        <f ca="1">IFERROR(__xludf.DUMMYFUNCTION("""COMPUTED_VALUE"""),"#DIV/0!")</f>
        <v>#DIV/0!</v>
      </c>
      <c r="M152" s="111"/>
      <c r="N152" s="111"/>
      <c r="O152" s="111"/>
      <c r="P152" s="111"/>
      <c r="Q152" s="112"/>
      <c r="R152" s="103"/>
      <c r="S152" s="103"/>
      <c r="T152" s="103"/>
      <c r="U152" s="103"/>
      <c r="V152" s="103"/>
      <c r="W152" s="103"/>
      <c r="X152" s="103"/>
      <c r="Y152" s="103"/>
      <c r="Z152" s="103"/>
      <c r="AA152" s="103"/>
    </row>
    <row r="153" spans="1:27" ht="38.25" x14ac:dyDescent="0.2">
      <c r="A153" s="111"/>
      <c r="B153" s="111" t="str">
        <f ca="1">IFERROR(__xludf.DUMMYFUNCTION("""COMPUTED_VALUE"""),"МинЖКХ")</f>
        <v>МинЖКХ</v>
      </c>
      <c r="C153" s="111" t="str">
        <f ca="1">IFERROR(__xludf.DUMMYFUNCTION("""COMPUTED_VALUE"""),"г.о. Красногорск")</f>
        <v>г.о. Красногорск</v>
      </c>
      <c r="D153" s="111" t="str">
        <f ca="1">IFERROR(__xludf.DUMMYFUNCTION("""COMPUTED_VALUE"""),"Капитальный ремонт ВЗУ в п. Архангельское Красногорского района")</f>
        <v>Капитальный ремонт ВЗУ в п. Архангельское Красногорского района</v>
      </c>
      <c r="E153" s="111" t="str">
        <f ca="1">IFERROR(__xludf.DUMMYFUNCTION("""COMPUTED_VALUE"""),"Н/Л")</f>
        <v>Н/Л</v>
      </c>
      <c r="F153" s="113">
        <f ca="1">IFERROR(__xludf.DUMMYFUNCTION("""COMPUTED_VALUE"""),0)</f>
        <v>0</v>
      </c>
      <c r="G153" s="113">
        <f ca="1">IFERROR(__xludf.DUMMYFUNCTION("""COMPUTED_VALUE"""),0)</f>
        <v>0</v>
      </c>
      <c r="H153" s="113">
        <f ca="1">IFERROR(__xludf.DUMMYFUNCTION("""COMPUTED_VALUE"""),0)</f>
        <v>0</v>
      </c>
      <c r="I153" s="113">
        <f ca="1">IFERROR(__xludf.DUMMYFUNCTION("""COMPUTED_VALUE"""),0)</f>
        <v>0</v>
      </c>
      <c r="J153" s="111">
        <f ca="1">IFERROR(__xludf.DUMMYFUNCTION("""COMPUTED_VALUE"""),0)</f>
        <v>0</v>
      </c>
      <c r="K153" s="113">
        <f ca="1">IFERROR(__xludf.DUMMYFUNCTION("""COMPUTED_VALUE"""),0)</f>
        <v>0</v>
      </c>
      <c r="L153" s="114" t="str">
        <f ca="1">IFERROR(__xludf.DUMMYFUNCTION("""COMPUTED_VALUE"""),"#DIV/0!")</f>
        <v>#DIV/0!</v>
      </c>
      <c r="M153" s="111"/>
      <c r="N153" s="111"/>
      <c r="O153" s="111"/>
      <c r="P153" s="111"/>
      <c r="Q153" s="112"/>
      <c r="R153" s="103"/>
      <c r="S153" s="103"/>
      <c r="T153" s="103"/>
      <c r="U153" s="103"/>
      <c r="V153" s="103"/>
      <c r="W153" s="103"/>
      <c r="X153" s="103"/>
      <c r="Y153" s="103"/>
      <c r="Z153" s="103"/>
      <c r="AA153" s="103"/>
    </row>
    <row r="154" spans="1:27" ht="102" x14ac:dyDescent="0.2">
      <c r="A154" s="111"/>
      <c r="B154" s="111" t="str">
        <f ca="1">IFERROR(__xludf.DUMMYFUNCTION("""COMPUTED_VALUE"""),"МинЖКХ")</f>
        <v>МинЖКХ</v>
      </c>
      <c r="C154" s="111" t="str">
        <f ca="1">IFERROR(__xludf.DUMMYFUNCTION("""COMPUTED_VALUE"""),"г.о. Балашиха")</f>
        <v>г.о. Балашиха</v>
      </c>
      <c r="D154" s="111" t="str">
        <f ca="1">IFERROR(__xludf.DUMMYFUNCTION("""COMPUTED_VALUE"""),"Приобретение,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f>
        <v>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v>
      </c>
      <c r="E154" s="111" t="str">
        <f ca="1">IFERROR(__xludf.DUMMYFUNCTION("""COMPUTED_VALUE"""),"Н/Л")</f>
        <v>Н/Л</v>
      </c>
      <c r="F154" s="113">
        <f ca="1">IFERROR(__xludf.DUMMYFUNCTION("""COMPUTED_VALUE"""),0)</f>
        <v>0</v>
      </c>
      <c r="G154" s="113">
        <f ca="1">IFERROR(__xludf.DUMMYFUNCTION("""COMPUTED_VALUE"""),0)</f>
        <v>0</v>
      </c>
      <c r="H154" s="113">
        <f ca="1">IFERROR(__xludf.DUMMYFUNCTION("""COMPUTED_VALUE"""),0)</f>
        <v>0</v>
      </c>
      <c r="I154" s="113">
        <f ca="1">IFERROR(__xludf.DUMMYFUNCTION("""COMPUTED_VALUE"""),0)</f>
        <v>0</v>
      </c>
      <c r="J154" s="111">
        <f ca="1">IFERROR(__xludf.DUMMYFUNCTION("""COMPUTED_VALUE"""),0)</f>
        <v>0</v>
      </c>
      <c r="K154" s="113">
        <f ca="1">IFERROR(__xludf.DUMMYFUNCTION("""COMPUTED_VALUE"""),0)</f>
        <v>0</v>
      </c>
      <c r="L154" s="114" t="str">
        <f ca="1">IFERROR(__xludf.DUMMYFUNCTION("""COMPUTED_VALUE"""),"#DIV/0!")</f>
        <v>#DIV/0!</v>
      </c>
      <c r="M154" s="111"/>
      <c r="N154" s="111"/>
      <c r="O154" s="111"/>
      <c r="P154" s="111"/>
      <c r="Q154" s="112"/>
      <c r="R154" s="103"/>
      <c r="S154" s="103"/>
      <c r="T154" s="103"/>
      <c r="U154" s="103"/>
      <c r="V154" s="103"/>
      <c r="W154" s="103"/>
      <c r="X154" s="103"/>
      <c r="Y154" s="103"/>
      <c r="Z154" s="103"/>
      <c r="AA154" s="103"/>
    </row>
    <row r="155" spans="1:27" ht="63.75" x14ac:dyDescent="0.2">
      <c r="A155" s="111"/>
      <c r="B155" s="111" t="str">
        <f ca="1">IFERROR(__xludf.DUMMYFUNCTION("""COMPUTED_VALUE"""),"МинЖКХ")</f>
        <v>МинЖКХ</v>
      </c>
      <c r="C155" s="111" t="str">
        <f ca="1">IFERROR(__xludf.DUMMYFUNCTION("""COMPUTED_VALUE"""),"г.о. Пушкинский")</f>
        <v>г.о. Пушкинский</v>
      </c>
      <c r="D155" s="111" t="str">
        <f ca="1">IFERROR(__xludf.DUMMYFUNCTION("""COMPUTED_VALUE"""),"Капитальный ремонт ВЗУ № 4 по адресу: Московская область, Пушкинский муниципальный район, г.Пушкино, мкр. Новая деревня  ")</f>
        <v xml:space="preserve">Капитальный ремонт ВЗУ № 4 по адресу: Московская область, Пушкинский муниципальный район, г.Пушкино, мкр. Новая деревня  </v>
      </c>
      <c r="E155" s="111" t="str">
        <f ca="1">IFERROR(__xludf.DUMMYFUNCTION("""COMPUTED_VALUE"""),"Н/Л")</f>
        <v>Н/Л</v>
      </c>
      <c r="F155" s="113">
        <f ca="1">IFERROR(__xludf.DUMMYFUNCTION("""COMPUTED_VALUE"""),0)</f>
        <v>0</v>
      </c>
      <c r="G155" s="113">
        <f ca="1">IFERROR(__xludf.DUMMYFUNCTION("""COMPUTED_VALUE"""),0)</f>
        <v>0</v>
      </c>
      <c r="H155" s="113">
        <f ca="1">IFERROR(__xludf.DUMMYFUNCTION("""COMPUTED_VALUE"""),0)</f>
        <v>0</v>
      </c>
      <c r="I155" s="113">
        <f ca="1">IFERROR(__xludf.DUMMYFUNCTION("""COMPUTED_VALUE"""),0)</f>
        <v>0</v>
      </c>
      <c r="J155" s="111">
        <f ca="1">IFERROR(__xludf.DUMMYFUNCTION("""COMPUTED_VALUE"""),0)</f>
        <v>0</v>
      </c>
      <c r="K155" s="113">
        <f ca="1">IFERROR(__xludf.DUMMYFUNCTION("""COMPUTED_VALUE"""),0)</f>
        <v>0</v>
      </c>
      <c r="L155" s="114" t="str">
        <f ca="1">IFERROR(__xludf.DUMMYFUNCTION("""COMPUTED_VALUE"""),"#DIV/0!")</f>
        <v>#DIV/0!</v>
      </c>
      <c r="M155" s="111"/>
      <c r="N155" s="111"/>
      <c r="O155" s="111"/>
      <c r="P155" s="111"/>
      <c r="Q155" s="112"/>
      <c r="R155" s="103"/>
      <c r="S155" s="103"/>
      <c r="T155" s="103"/>
      <c r="U155" s="103"/>
      <c r="V155" s="103"/>
      <c r="W155" s="103"/>
      <c r="X155" s="103"/>
      <c r="Y155" s="103"/>
      <c r="Z155" s="103"/>
      <c r="AA155" s="103"/>
    </row>
    <row r="156" spans="1:27" ht="51" x14ac:dyDescent="0.2">
      <c r="A156" s="111"/>
      <c r="B156" s="111" t="str">
        <f ca="1">IFERROR(__xludf.DUMMYFUNCTION("""COMPUTED_VALUE"""),"МинЖКХ")</f>
        <v>МинЖКХ</v>
      </c>
      <c r="C156" s="111" t="str">
        <f ca="1">IFERROR(__xludf.DUMMYFUNCTION("""COMPUTED_VALUE"""),"г.о. Егорьевск")</f>
        <v>г.о. Егорьевск</v>
      </c>
      <c r="D156" s="111" t="str">
        <f ca="1">IFERROR(__xludf.DUMMYFUNCTION("""COMPUTED_VALUE"""),"Приобретение, монтаж и ввод в эксплуатацию станции водоочистки по адресу: д. Михали, г.о. Егорьевск. ")</f>
        <v xml:space="preserve">Приобретение, монтаж и ввод в эксплуатацию станции водоочистки по адресу: д. Михали, г.о. Егорьевск. </v>
      </c>
      <c r="E156" s="111" t="str">
        <f ca="1">IFERROR(__xludf.DUMMYFUNCTION("""COMPUTED_VALUE"""),"Н/Л")</f>
        <v>Н/Л</v>
      </c>
      <c r="F156" s="113">
        <f ca="1">IFERROR(__xludf.DUMMYFUNCTION("""COMPUTED_VALUE"""),0)</f>
        <v>0</v>
      </c>
      <c r="G156" s="113">
        <f ca="1">IFERROR(__xludf.DUMMYFUNCTION("""COMPUTED_VALUE"""),0)</f>
        <v>0</v>
      </c>
      <c r="H156" s="113">
        <f ca="1">IFERROR(__xludf.DUMMYFUNCTION("""COMPUTED_VALUE"""),0)</f>
        <v>0</v>
      </c>
      <c r="I156" s="113">
        <f ca="1">IFERROR(__xludf.DUMMYFUNCTION("""COMPUTED_VALUE"""),0)</f>
        <v>0</v>
      </c>
      <c r="J156" s="111">
        <f ca="1">IFERROR(__xludf.DUMMYFUNCTION("""COMPUTED_VALUE"""),0)</f>
        <v>0</v>
      </c>
      <c r="K156" s="113">
        <f ca="1">IFERROR(__xludf.DUMMYFUNCTION("""COMPUTED_VALUE"""),0)</f>
        <v>0</v>
      </c>
      <c r="L156" s="114" t="str">
        <f ca="1">IFERROR(__xludf.DUMMYFUNCTION("""COMPUTED_VALUE"""),"#DIV/0!")</f>
        <v>#DIV/0!</v>
      </c>
      <c r="M156" s="111"/>
      <c r="N156" s="111"/>
      <c r="O156" s="111"/>
      <c r="P156" s="111"/>
      <c r="Q156" s="112"/>
      <c r="R156" s="103"/>
      <c r="S156" s="103"/>
      <c r="T156" s="103"/>
      <c r="U156" s="103"/>
      <c r="V156" s="103"/>
      <c r="W156" s="103"/>
      <c r="X156" s="103"/>
      <c r="Y156" s="103"/>
      <c r="Z156" s="103"/>
      <c r="AA156" s="103"/>
    </row>
    <row r="157" spans="1:27" ht="51" x14ac:dyDescent="0.2">
      <c r="A157" s="111"/>
      <c r="B157" s="111" t="str">
        <f ca="1">IFERROR(__xludf.DUMMYFUNCTION("""COMPUTED_VALUE"""),"МинЖКХ")</f>
        <v>МинЖКХ</v>
      </c>
      <c r="C157" s="111" t="str">
        <f ca="1">IFERROR(__xludf.DUMMYFUNCTION("""COMPUTED_VALUE"""),"г.о. Егорьевск")</f>
        <v>г.о. Егорьевск</v>
      </c>
      <c r="D157" s="111" t="str">
        <f ca="1">IFERROR(__xludf.DUMMYFUNCTION("""COMPUTED_VALUE"""),"Приобретение, монтаж и ввод в эксплуатацию станции водоочистки по адресу: д.Клеменово, г.о. Егорьевск. ")</f>
        <v xml:space="preserve">Приобретение, монтаж и ввод в эксплуатацию станции водоочистки по адресу: д.Клеменово, г.о. Егорьевск. </v>
      </c>
      <c r="E157" s="111" t="str">
        <f ca="1">IFERROR(__xludf.DUMMYFUNCTION("""COMPUTED_VALUE"""),"Н/Л")</f>
        <v>Н/Л</v>
      </c>
      <c r="F157" s="113">
        <f ca="1">IFERROR(__xludf.DUMMYFUNCTION("""COMPUTED_VALUE"""),0)</f>
        <v>0</v>
      </c>
      <c r="G157" s="113">
        <f ca="1">IFERROR(__xludf.DUMMYFUNCTION("""COMPUTED_VALUE"""),0)</f>
        <v>0</v>
      </c>
      <c r="H157" s="113">
        <f ca="1">IFERROR(__xludf.DUMMYFUNCTION("""COMPUTED_VALUE"""),0)</f>
        <v>0</v>
      </c>
      <c r="I157" s="113">
        <f ca="1">IFERROR(__xludf.DUMMYFUNCTION("""COMPUTED_VALUE"""),0)</f>
        <v>0</v>
      </c>
      <c r="J157" s="111">
        <f ca="1">IFERROR(__xludf.DUMMYFUNCTION("""COMPUTED_VALUE"""),0)</f>
        <v>0</v>
      </c>
      <c r="K157" s="113">
        <f ca="1">IFERROR(__xludf.DUMMYFUNCTION("""COMPUTED_VALUE"""),0)</f>
        <v>0</v>
      </c>
      <c r="L157" s="114" t="str">
        <f ca="1">IFERROR(__xludf.DUMMYFUNCTION("""COMPUTED_VALUE"""),"#DIV/0!")</f>
        <v>#DIV/0!</v>
      </c>
      <c r="M157" s="111"/>
      <c r="N157" s="111"/>
      <c r="O157" s="111"/>
      <c r="P157" s="111"/>
      <c r="Q157" s="112"/>
      <c r="R157" s="103"/>
      <c r="S157" s="103"/>
      <c r="T157" s="103"/>
      <c r="U157" s="103"/>
      <c r="V157" s="103"/>
      <c r="W157" s="103"/>
      <c r="X157" s="103"/>
      <c r="Y157" s="103"/>
      <c r="Z157" s="103"/>
      <c r="AA157" s="103"/>
    </row>
    <row r="158" spans="1:27" ht="51" x14ac:dyDescent="0.2">
      <c r="A158" s="111"/>
      <c r="B158" s="111" t="str">
        <f ca="1">IFERROR(__xludf.DUMMYFUNCTION("""COMPUTED_VALUE"""),"МинЖКХ")</f>
        <v>МинЖКХ</v>
      </c>
      <c r="C158" s="111" t="str">
        <f ca="1">IFERROR(__xludf.DUMMYFUNCTION("""COMPUTED_VALUE"""),"г.о. Егорьевск")</f>
        <v>г.о. Егорьевск</v>
      </c>
      <c r="D158" s="111" t="str">
        <f ca="1">IFERROR(__xludf.DUMMYFUNCTION("""COMPUTED_VALUE"""),"Приобретение, монтаж и ввод в эксплуатацию станции водоочистки по адресу: д. Лелечи, г.о. Егорьевск. ")</f>
        <v xml:space="preserve">Приобретение, монтаж и ввод в эксплуатацию станции водоочистки по адресу: д. Лелечи, г.о. Егорьевск. </v>
      </c>
      <c r="E158" s="111" t="str">
        <f ca="1">IFERROR(__xludf.DUMMYFUNCTION("""COMPUTED_VALUE"""),"Н/Л")</f>
        <v>Н/Л</v>
      </c>
      <c r="F158" s="113">
        <f ca="1">IFERROR(__xludf.DUMMYFUNCTION("""COMPUTED_VALUE"""),0)</f>
        <v>0</v>
      </c>
      <c r="G158" s="113">
        <f ca="1">IFERROR(__xludf.DUMMYFUNCTION("""COMPUTED_VALUE"""),0)</f>
        <v>0</v>
      </c>
      <c r="H158" s="113">
        <f ca="1">IFERROR(__xludf.DUMMYFUNCTION("""COMPUTED_VALUE"""),0)</f>
        <v>0</v>
      </c>
      <c r="I158" s="113">
        <f ca="1">IFERROR(__xludf.DUMMYFUNCTION("""COMPUTED_VALUE"""),0)</f>
        <v>0</v>
      </c>
      <c r="J158" s="111">
        <f ca="1">IFERROR(__xludf.DUMMYFUNCTION("""COMPUTED_VALUE"""),0)</f>
        <v>0</v>
      </c>
      <c r="K158" s="113">
        <f ca="1">IFERROR(__xludf.DUMMYFUNCTION("""COMPUTED_VALUE"""),0)</f>
        <v>0</v>
      </c>
      <c r="L158" s="114" t="str">
        <f ca="1">IFERROR(__xludf.DUMMYFUNCTION("""COMPUTED_VALUE"""),"#DIV/0!")</f>
        <v>#DIV/0!</v>
      </c>
      <c r="M158" s="111"/>
      <c r="N158" s="111"/>
      <c r="O158" s="111"/>
      <c r="P158" s="111"/>
      <c r="Q158" s="112"/>
      <c r="R158" s="103"/>
      <c r="S158" s="103"/>
      <c r="T158" s="103"/>
      <c r="U158" s="103"/>
      <c r="V158" s="103"/>
      <c r="W158" s="103"/>
      <c r="X158" s="103"/>
      <c r="Y158" s="103"/>
      <c r="Z158" s="103"/>
      <c r="AA158" s="103"/>
    </row>
    <row r="159" spans="1:27" ht="51" x14ac:dyDescent="0.2">
      <c r="A159" s="111"/>
      <c r="B159" s="111" t="str">
        <f ca="1">IFERROR(__xludf.DUMMYFUNCTION("""COMPUTED_VALUE"""),"МинЖКХ")</f>
        <v>МинЖКХ</v>
      </c>
      <c r="C159" s="111" t="str">
        <f ca="1">IFERROR(__xludf.DUMMYFUNCTION("""COMPUTED_VALUE"""),"г.о. Егорьевск")</f>
        <v>г.о. Егорьевск</v>
      </c>
      <c r="D159" s="111" t="str">
        <f ca="1">IFERROR(__xludf.DUMMYFUNCTION("""COMPUTED_VALUE"""),"Приобретение, монтаж и ввод в эксплуатацию станции водоочистки по адресу: д. Захарово, 3В, г.о. Егорьевск. ")</f>
        <v xml:space="preserve">Приобретение, монтаж и ввод в эксплуатацию станции водоочистки по адресу: д. Захарово, 3В, г.о. Егорьевск. </v>
      </c>
      <c r="E159" s="111" t="str">
        <f ca="1">IFERROR(__xludf.DUMMYFUNCTION("""COMPUTED_VALUE"""),"Н/Л")</f>
        <v>Н/Л</v>
      </c>
      <c r="F159" s="113">
        <f ca="1">IFERROR(__xludf.DUMMYFUNCTION("""COMPUTED_VALUE"""),0)</f>
        <v>0</v>
      </c>
      <c r="G159" s="113">
        <f ca="1">IFERROR(__xludf.DUMMYFUNCTION("""COMPUTED_VALUE"""),0)</f>
        <v>0</v>
      </c>
      <c r="H159" s="113">
        <f ca="1">IFERROR(__xludf.DUMMYFUNCTION("""COMPUTED_VALUE"""),0)</f>
        <v>0</v>
      </c>
      <c r="I159" s="113">
        <f ca="1">IFERROR(__xludf.DUMMYFUNCTION("""COMPUTED_VALUE"""),0)</f>
        <v>0</v>
      </c>
      <c r="J159" s="111">
        <f ca="1">IFERROR(__xludf.DUMMYFUNCTION("""COMPUTED_VALUE"""),0)</f>
        <v>0</v>
      </c>
      <c r="K159" s="113">
        <f ca="1">IFERROR(__xludf.DUMMYFUNCTION("""COMPUTED_VALUE"""),0)</f>
        <v>0</v>
      </c>
      <c r="L159" s="114" t="str">
        <f ca="1">IFERROR(__xludf.DUMMYFUNCTION("""COMPUTED_VALUE"""),"#DIV/0!")</f>
        <v>#DIV/0!</v>
      </c>
      <c r="M159" s="111"/>
      <c r="N159" s="111"/>
      <c r="O159" s="111"/>
      <c r="P159" s="111"/>
      <c r="Q159" s="112"/>
      <c r="R159" s="103"/>
      <c r="S159" s="103"/>
      <c r="T159" s="103"/>
      <c r="U159" s="103"/>
      <c r="V159" s="103"/>
      <c r="W159" s="103"/>
      <c r="X159" s="103"/>
      <c r="Y159" s="103"/>
      <c r="Z159" s="103"/>
      <c r="AA159" s="103"/>
    </row>
    <row r="160" spans="1:27" ht="51" x14ac:dyDescent="0.2">
      <c r="A160" s="111"/>
      <c r="B160" s="111" t="str">
        <f ca="1">IFERROR(__xludf.DUMMYFUNCTION("""COMPUTED_VALUE"""),"МинЖКХ")</f>
        <v>МинЖКХ</v>
      </c>
      <c r="C160" s="111" t="str">
        <f ca="1">IFERROR(__xludf.DUMMYFUNCTION("""COMPUTED_VALUE"""),"г.о. Егорьевск")</f>
        <v>г.о. Егорьевск</v>
      </c>
      <c r="D160" s="111" t="str">
        <f ca="1">IFERROR(__xludf.DUMMYFUNCTION("""COMPUTED_VALUE"""),"Приобретение, монтаж и ввод в эксплуатацию станции водоочистки по адресу: д. Дмитровка, г.о. Егорьевск. ")</f>
        <v xml:space="preserve">Приобретение, монтаж и ввод в эксплуатацию станции водоочистки по адресу: д. Дмитровка, г.о. Егорьевск. </v>
      </c>
      <c r="E160" s="111" t="str">
        <f ca="1">IFERROR(__xludf.DUMMYFUNCTION("""COMPUTED_VALUE"""),"Н/Л")</f>
        <v>Н/Л</v>
      </c>
      <c r="F160" s="113">
        <f ca="1">IFERROR(__xludf.DUMMYFUNCTION("""COMPUTED_VALUE"""),0)</f>
        <v>0</v>
      </c>
      <c r="G160" s="113">
        <f ca="1">IFERROR(__xludf.DUMMYFUNCTION("""COMPUTED_VALUE"""),0)</f>
        <v>0</v>
      </c>
      <c r="H160" s="113">
        <f ca="1">IFERROR(__xludf.DUMMYFUNCTION("""COMPUTED_VALUE"""),0)</f>
        <v>0</v>
      </c>
      <c r="I160" s="113">
        <f ca="1">IFERROR(__xludf.DUMMYFUNCTION("""COMPUTED_VALUE"""),0)</f>
        <v>0</v>
      </c>
      <c r="J160" s="111">
        <f ca="1">IFERROR(__xludf.DUMMYFUNCTION("""COMPUTED_VALUE"""),0)</f>
        <v>0</v>
      </c>
      <c r="K160" s="113">
        <f ca="1">IFERROR(__xludf.DUMMYFUNCTION("""COMPUTED_VALUE"""),0)</f>
        <v>0</v>
      </c>
      <c r="L160" s="114" t="str">
        <f ca="1">IFERROR(__xludf.DUMMYFUNCTION("""COMPUTED_VALUE"""),"#DIV/0!")</f>
        <v>#DIV/0!</v>
      </c>
      <c r="M160" s="111"/>
      <c r="N160" s="111"/>
      <c r="O160" s="111"/>
      <c r="P160" s="111"/>
      <c r="Q160" s="112"/>
      <c r="R160" s="103"/>
      <c r="S160" s="103"/>
      <c r="T160" s="103"/>
      <c r="U160" s="103"/>
      <c r="V160" s="103"/>
      <c r="W160" s="103"/>
      <c r="X160" s="103"/>
      <c r="Y160" s="103"/>
      <c r="Z160" s="103"/>
      <c r="AA160" s="103"/>
    </row>
    <row r="161" spans="1:27" ht="51" x14ac:dyDescent="0.2">
      <c r="A161" s="111"/>
      <c r="B161" s="111" t="str">
        <f ca="1">IFERROR(__xludf.DUMMYFUNCTION("""COMPUTED_VALUE"""),"МинЖКХ")</f>
        <v>МинЖКХ</v>
      </c>
      <c r="C161" s="111" t="str">
        <f ca="1">IFERROR(__xludf.DUMMYFUNCTION("""COMPUTED_VALUE"""),"г.о. Егорьевск")</f>
        <v>г.о. Егорьевск</v>
      </c>
      <c r="D161" s="111" t="str">
        <f ca="1">IFERROR(__xludf.DUMMYFUNCTION("""COMPUTED_VALUE"""),"Приобретение, монтаж и ввод в эксплуатацию станции водоочистки по адресу: д. Жучага, г.о. Егорьевск. ")</f>
        <v xml:space="preserve">Приобретение, монтаж и ввод в эксплуатацию станции водоочистки по адресу: д. Жучага, г.о. Егорьевск. </v>
      </c>
      <c r="E161" s="111" t="str">
        <f ca="1">IFERROR(__xludf.DUMMYFUNCTION("""COMPUTED_VALUE"""),"Н/Л")</f>
        <v>Н/Л</v>
      </c>
      <c r="F161" s="113">
        <f ca="1">IFERROR(__xludf.DUMMYFUNCTION("""COMPUTED_VALUE"""),0)</f>
        <v>0</v>
      </c>
      <c r="G161" s="113">
        <f ca="1">IFERROR(__xludf.DUMMYFUNCTION("""COMPUTED_VALUE"""),0)</f>
        <v>0</v>
      </c>
      <c r="H161" s="113">
        <f ca="1">IFERROR(__xludf.DUMMYFUNCTION("""COMPUTED_VALUE"""),0)</f>
        <v>0</v>
      </c>
      <c r="I161" s="113">
        <f ca="1">IFERROR(__xludf.DUMMYFUNCTION("""COMPUTED_VALUE"""),0)</f>
        <v>0</v>
      </c>
      <c r="J161" s="111">
        <f ca="1">IFERROR(__xludf.DUMMYFUNCTION("""COMPUTED_VALUE"""),0)</f>
        <v>0</v>
      </c>
      <c r="K161" s="113">
        <f ca="1">IFERROR(__xludf.DUMMYFUNCTION("""COMPUTED_VALUE"""),0)</f>
        <v>0</v>
      </c>
      <c r="L161" s="114" t="str">
        <f ca="1">IFERROR(__xludf.DUMMYFUNCTION("""COMPUTED_VALUE"""),"#DIV/0!")</f>
        <v>#DIV/0!</v>
      </c>
      <c r="M161" s="111"/>
      <c r="N161" s="111"/>
      <c r="O161" s="111"/>
      <c r="P161" s="111"/>
      <c r="Q161" s="112"/>
      <c r="R161" s="103"/>
      <c r="S161" s="103"/>
      <c r="T161" s="103"/>
      <c r="U161" s="103"/>
      <c r="V161" s="103"/>
      <c r="W161" s="103"/>
      <c r="X161" s="103"/>
      <c r="Y161" s="103"/>
      <c r="Z161" s="103"/>
      <c r="AA161" s="103"/>
    </row>
    <row r="162" spans="1:27" ht="51" x14ac:dyDescent="0.2">
      <c r="A162" s="111"/>
      <c r="B162" s="111" t="str">
        <f ca="1">IFERROR(__xludf.DUMMYFUNCTION("""COMPUTED_VALUE"""),"МинЖКХ")</f>
        <v>МинЖКХ</v>
      </c>
      <c r="C162" s="111" t="str">
        <f ca="1">IFERROR(__xludf.DUMMYFUNCTION("""COMPUTED_VALUE"""),"г.о. Егорьевск")</f>
        <v>г.о. Егорьевск</v>
      </c>
      <c r="D162" s="111" t="str">
        <f ca="1">IFERROR(__xludf.DUMMYFUNCTION("""COMPUTED_VALUE"""),"Приобретение, монтаж и ввод в эксплуатацию станции водоочистки по адресу: д. Радовицы, г.о. Егорьевск. ")</f>
        <v xml:space="preserve">Приобретение, монтаж и ввод в эксплуатацию станции водоочистки по адресу: д. Радовицы, г.о. Егорьевск. </v>
      </c>
      <c r="E162" s="111" t="str">
        <f ca="1">IFERROR(__xludf.DUMMYFUNCTION("""COMPUTED_VALUE"""),"Н/Л")</f>
        <v>Н/Л</v>
      </c>
      <c r="F162" s="113">
        <f ca="1">IFERROR(__xludf.DUMMYFUNCTION("""COMPUTED_VALUE"""),0)</f>
        <v>0</v>
      </c>
      <c r="G162" s="113">
        <f ca="1">IFERROR(__xludf.DUMMYFUNCTION("""COMPUTED_VALUE"""),0)</f>
        <v>0</v>
      </c>
      <c r="H162" s="113">
        <f ca="1">IFERROR(__xludf.DUMMYFUNCTION("""COMPUTED_VALUE"""),0)</f>
        <v>0</v>
      </c>
      <c r="I162" s="113">
        <f ca="1">IFERROR(__xludf.DUMMYFUNCTION("""COMPUTED_VALUE"""),0)</f>
        <v>0</v>
      </c>
      <c r="J162" s="111">
        <f ca="1">IFERROR(__xludf.DUMMYFUNCTION("""COMPUTED_VALUE"""),0)</f>
        <v>0</v>
      </c>
      <c r="K162" s="113">
        <f ca="1">IFERROR(__xludf.DUMMYFUNCTION("""COMPUTED_VALUE"""),0)</f>
        <v>0</v>
      </c>
      <c r="L162" s="114" t="str">
        <f ca="1">IFERROR(__xludf.DUMMYFUNCTION("""COMPUTED_VALUE"""),"#DIV/0!")</f>
        <v>#DIV/0!</v>
      </c>
      <c r="M162" s="111"/>
      <c r="N162" s="111"/>
      <c r="O162" s="111"/>
      <c r="P162" s="111"/>
      <c r="Q162" s="112"/>
      <c r="R162" s="103"/>
      <c r="S162" s="103"/>
      <c r="T162" s="103"/>
      <c r="U162" s="103"/>
      <c r="V162" s="103"/>
      <c r="W162" s="103"/>
      <c r="X162" s="103"/>
      <c r="Y162" s="103"/>
      <c r="Z162" s="103"/>
      <c r="AA162" s="103"/>
    </row>
    <row r="163" spans="1:27" ht="51" x14ac:dyDescent="0.2">
      <c r="A163" s="111"/>
      <c r="B163" s="111" t="str">
        <f ca="1">IFERROR(__xludf.DUMMYFUNCTION("""COMPUTED_VALUE"""),"МинЖКХ")</f>
        <v>МинЖКХ</v>
      </c>
      <c r="C163" s="111" t="str">
        <f ca="1">IFERROR(__xludf.DUMMYFUNCTION("""COMPUTED_VALUE"""),"г.о. Егорьевск")</f>
        <v>г.о. Егорьевск</v>
      </c>
      <c r="D163" s="111" t="str">
        <f ca="1">IFERROR(__xludf.DUMMYFUNCTION("""COMPUTED_VALUE"""),"Приобретение, монтаж и ввод в эксплуатацию станции водоочистки по адресу: д. Леоново, г.о. Егорьевск. ")</f>
        <v xml:space="preserve">Приобретение, монтаж и ввод в эксплуатацию станции водоочистки по адресу: д. Леоново, г.о. Егорьевск. </v>
      </c>
      <c r="E163" s="111" t="str">
        <f ca="1">IFERROR(__xludf.DUMMYFUNCTION("""COMPUTED_VALUE"""),"Н/Л")</f>
        <v>Н/Л</v>
      </c>
      <c r="F163" s="113">
        <f ca="1">IFERROR(__xludf.DUMMYFUNCTION("""COMPUTED_VALUE"""),0)</f>
        <v>0</v>
      </c>
      <c r="G163" s="113">
        <f ca="1">IFERROR(__xludf.DUMMYFUNCTION("""COMPUTED_VALUE"""),0)</f>
        <v>0</v>
      </c>
      <c r="H163" s="113">
        <f ca="1">IFERROR(__xludf.DUMMYFUNCTION("""COMPUTED_VALUE"""),0)</f>
        <v>0</v>
      </c>
      <c r="I163" s="113">
        <f ca="1">IFERROR(__xludf.DUMMYFUNCTION("""COMPUTED_VALUE"""),0)</f>
        <v>0</v>
      </c>
      <c r="J163" s="111">
        <f ca="1">IFERROR(__xludf.DUMMYFUNCTION("""COMPUTED_VALUE"""),0)</f>
        <v>0</v>
      </c>
      <c r="K163" s="113">
        <f ca="1">IFERROR(__xludf.DUMMYFUNCTION("""COMPUTED_VALUE"""),0)</f>
        <v>0</v>
      </c>
      <c r="L163" s="114" t="str">
        <f ca="1">IFERROR(__xludf.DUMMYFUNCTION("""COMPUTED_VALUE"""),"#DIV/0!")</f>
        <v>#DIV/0!</v>
      </c>
      <c r="M163" s="111"/>
      <c r="N163" s="111"/>
      <c r="O163" s="111"/>
      <c r="P163" s="111"/>
      <c r="Q163" s="112"/>
      <c r="R163" s="103"/>
      <c r="S163" s="103"/>
      <c r="T163" s="103"/>
      <c r="U163" s="103"/>
      <c r="V163" s="103"/>
      <c r="W163" s="103"/>
      <c r="X163" s="103"/>
      <c r="Y163" s="103"/>
      <c r="Z163" s="103"/>
      <c r="AA163" s="103"/>
    </row>
    <row r="164" spans="1:27" ht="51" x14ac:dyDescent="0.2">
      <c r="A164" s="111"/>
      <c r="B164" s="111" t="str">
        <f ca="1">IFERROR(__xludf.DUMMYFUNCTION("""COMPUTED_VALUE"""),"МинЖКХ")</f>
        <v>МинЖКХ</v>
      </c>
      <c r="C164" s="111" t="str">
        <f ca="1">IFERROR(__xludf.DUMMYFUNCTION("""COMPUTED_VALUE"""),"г.о. Егорьевск")</f>
        <v>г.о. Егорьевск</v>
      </c>
      <c r="D164" s="111" t="str">
        <f ca="1">IFERROR(__xludf.DUMMYFUNCTION("""COMPUTED_VALUE"""),"Приобретение, монтаж и ввод в эксплуатацию станции водоочистки по адресу: д. Волково, г.о. Егорьевск. ")</f>
        <v xml:space="preserve">Приобретение, монтаж и ввод в эксплуатацию станции водоочистки по адресу: д. Волково, г.о. Егорьевск. </v>
      </c>
      <c r="E164" s="111" t="str">
        <f ca="1">IFERROR(__xludf.DUMMYFUNCTION("""COMPUTED_VALUE"""),"Н/Л")</f>
        <v>Н/Л</v>
      </c>
      <c r="F164" s="113">
        <f ca="1">IFERROR(__xludf.DUMMYFUNCTION("""COMPUTED_VALUE"""),0)</f>
        <v>0</v>
      </c>
      <c r="G164" s="113">
        <f ca="1">IFERROR(__xludf.DUMMYFUNCTION("""COMPUTED_VALUE"""),0)</f>
        <v>0</v>
      </c>
      <c r="H164" s="113">
        <f ca="1">IFERROR(__xludf.DUMMYFUNCTION("""COMPUTED_VALUE"""),0)</f>
        <v>0</v>
      </c>
      <c r="I164" s="113">
        <f ca="1">IFERROR(__xludf.DUMMYFUNCTION("""COMPUTED_VALUE"""),0)</f>
        <v>0</v>
      </c>
      <c r="J164" s="111">
        <f ca="1">IFERROR(__xludf.DUMMYFUNCTION("""COMPUTED_VALUE"""),0)</f>
        <v>0</v>
      </c>
      <c r="K164" s="113">
        <f ca="1">IFERROR(__xludf.DUMMYFUNCTION("""COMPUTED_VALUE"""),0)</f>
        <v>0</v>
      </c>
      <c r="L164" s="114" t="str">
        <f ca="1">IFERROR(__xludf.DUMMYFUNCTION("""COMPUTED_VALUE"""),"#DIV/0!")</f>
        <v>#DIV/0!</v>
      </c>
      <c r="M164" s="111"/>
      <c r="N164" s="111"/>
      <c r="O164" s="111"/>
      <c r="P164" s="111"/>
      <c r="Q164" s="112"/>
      <c r="R164" s="103"/>
      <c r="S164" s="103"/>
      <c r="T164" s="103"/>
      <c r="U164" s="103"/>
      <c r="V164" s="103"/>
      <c r="W164" s="103"/>
      <c r="X164" s="103"/>
      <c r="Y164" s="103"/>
      <c r="Z164" s="103"/>
      <c r="AA164" s="103"/>
    </row>
    <row r="165" spans="1:27" ht="51" x14ac:dyDescent="0.2">
      <c r="A165" s="110">
        <v>18</v>
      </c>
      <c r="B165" s="111" t="str">
        <f ca="1">IFERROR(__xludf.DUMMYFUNCTION("""COMPUTED_VALUE"""),"МинЖКХ")</f>
        <v>МинЖКХ</v>
      </c>
      <c r="C165" s="111" t="str">
        <f ca="1">IFERROR(__xludf.DUMMYFUNCTION("""COMPUTED_VALUE"""),"г.о. Коломенский")</f>
        <v>г.о. Коломенский</v>
      </c>
      <c r="D165" s="111" t="str">
        <f ca="1">IFERROR(__xludf.DUMMYFUNCTION("""COMPUTED_VALUE"""),"Приобретение, монтаж и ввод в эксплуатацию станции очистки воды на ВЗУ в с. Старое Бобренево, Коломенский г.о.")</f>
        <v>Приобретение, монтаж и ввод в эксплуатацию станции очистки воды на ВЗУ в с. Старое Бобренево, Коломенский г.о.</v>
      </c>
      <c r="E165" s="111">
        <f ca="1">IFERROR(__xludf.DUMMYFUNCTION("""COMPUTED_VALUE"""),2020)</f>
        <v>2020</v>
      </c>
      <c r="F165" s="113">
        <f ca="1">IFERROR(__xludf.DUMMYFUNCTION("""COMPUTED_VALUE"""),1874.2)</f>
        <v>1874.2</v>
      </c>
      <c r="G165" s="113">
        <f ca="1">IFERROR(__xludf.DUMMYFUNCTION("""COMPUTED_VALUE"""),0)</f>
        <v>0</v>
      </c>
      <c r="H165" s="113">
        <f ca="1">IFERROR(__xludf.DUMMYFUNCTION("""COMPUTED_VALUE"""),0)</f>
        <v>0</v>
      </c>
      <c r="I165" s="113">
        <f ca="1">IFERROR(__xludf.DUMMYFUNCTION("""COMPUTED_VALUE"""),1874.2)</f>
        <v>1874.2</v>
      </c>
      <c r="J165" s="111">
        <f ca="1">IFERROR(__xludf.DUMMYFUNCTION("""COMPUTED_VALUE"""),1874.2)</f>
        <v>1874.2</v>
      </c>
      <c r="K165" s="113">
        <f ca="1">IFERROR(__xludf.DUMMYFUNCTION("""COMPUTED_VALUE"""),0)</f>
        <v>0</v>
      </c>
      <c r="L165" s="114">
        <f ca="1">IFERROR(__xludf.DUMMYFUNCTION("""COMPUTED_VALUE"""),1)</f>
        <v>1</v>
      </c>
      <c r="M165" s="111"/>
      <c r="N165" s="111"/>
      <c r="O165" s="111"/>
      <c r="P165" s="111"/>
      <c r="Q165" s="120" t="s">
        <v>551</v>
      </c>
      <c r="R165" s="103"/>
      <c r="S165" s="103"/>
      <c r="T165" s="103"/>
      <c r="U165" s="103"/>
      <c r="V165" s="103"/>
      <c r="W165" s="103"/>
      <c r="X165" s="103"/>
      <c r="Y165" s="103"/>
      <c r="Z165" s="103"/>
      <c r="AA165" s="103"/>
    </row>
    <row r="166" spans="1:27" ht="51" x14ac:dyDescent="0.2">
      <c r="A166" s="110">
        <v>19</v>
      </c>
      <c r="B166" s="111" t="str">
        <f ca="1">IFERROR(__xludf.DUMMYFUNCTION("""COMPUTED_VALUE"""),"МинЖКХ")</f>
        <v>МинЖКХ</v>
      </c>
      <c r="C166" s="111" t="str">
        <f ca="1">IFERROR(__xludf.DUMMYFUNCTION("""COMPUTED_VALUE"""),"г.о. Коломенский")</f>
        <v>г.о. Коломенский</v>
      </c>
      <c r="D166" s="111" t="str">
        <f ca="1">IFERROR(__xludf.DUMMYFUNCTION("""COMPUTED_VALUE"""),"Приобретение, монтаж и ввод в эксплуатацию станции  очистки воды на ВЗУ в с. Октябрьское, Коломенский г.о.")</f>
        <v>Приобретение, монтаж и ввод в эксплуатацию станции  очистки воды на ВЗУ в с. Октябрьское, Коломенский г.о.</v>
      </c>
      <c r="E166" s="111">
        <f ca="1">IFERROR(__xludf.DUMMYFUNCTION("""COMPUTED_VALUE"""),2020)</f>
        <v>2020</v>
      </c>
      <c r="F166" s="113">
        <f ca="1">IFERROR(__xludf.DUMMYFUNCTION("""COMPUTED_VALUE"""),1582.61)</f>
        <v>1582.61</v>
      </c>
      <c r="G166" s="113">
        <f ca="1">IFERROR(__xludf.DUMMYFUNCTION("""COMPUTED_VALUE"""),0)</f>
        <v>0</v>
      </c>
      <c r="H166" s="113">
        <f ca="1">IFERROR(__xludf.DUMMYFUNCTION("""COMPUTED_VALUE"""),0)</f>
        <v>0</v>
      </c>
      <c r="I166" s="113">
        <f ca="1">IFERROR(__xludf.DUMMYFUNCTION("""COMPUTED_VALUE"""),1582.61)</f>
        <v>1582.61</v>
      </c>
      <c r="J166" s="111">
        <f ca="1">IFERROR(__xludf.DUMMYFUNCTION("""COMPUTED_VALUE"""),1582.57)</f>
        <v>1582.57</v>
      </c>
      <c r="K166" s="113">
        <f ca="1">IFERROR(__xludf.DUMMYFUNCTION("""COMPUTED_VALUE"""),0.0399999999999636)</f>
        <v>3.9999999999963599E-2</v>
      </c>
      <c r="L166" s="114">
        <f ca="1">IFERROR(__xludf.DUMMYFUNCTION("""COMPUTED_VALUE"""),0.999974725295556)</f>
        <v>0.99997472529555598</v>
      </c>
      <c r="M166" s="111"/>
      <c r="N166" s="111"/>
      <c r="O166" s="111"/>
      <c r="P166" s="111"/>
      <c r="Q166" s="120" t="s">
        <v>551</v>
      </c>
      <c r="R166" s="103"/>
      <c r="S166" s="103"/>
      <c r="T166" s="103"/>
      <c r="U166" s="103"/>
      <c r="V166" s="103"/>
      <c r="W166" s="103"/>
      <c r="X166" s="103"/>
      <c r="Y166" s="103"/>
      <c r="Z166" s="103"/>
      <c r="AA166" s="103"/>
    </row>
    <row r="167" spans="1:27" ht="51" x14ac:dyDescent="0.2">
      <c r="A167" s="111"/>
      <c r="B167" s="111" t="str">
        <f ca="1">IFERROR(__xludf.DUMMYFUNCTION("""COMPUTED_VALUE"""),"МинЖКХ")</f>
        <v>МинЖКХ</v>
      </c>
      <c r="C167" s="111" t="str">
        <f ca="1">IFERROR(__xludf.DUMMYFUNCTION("""COMPUTED_VALUE"""),"г.о. Коломенский")</f>
        <v>г.о. Коломенский</v>
      </c>
      <c r="D167" s="111" t="str">
        <f ca="1">IFERROR(__xludf.DUMMYFUNCTION("""COMPUTED_VALUE"""),"Приобретение, монтаж и ввод в эксплуатацию станции  очистки воды на ВЗУ в д. Семеновское, Коломенский г.о.")</f>
        <v>Приобретение, монтаж и ввод в эксплуатацию станции  очистки воды на ВЗУ в д. Семеновское, Коломенский г.о.</v>
      </c>
      <c r="E167" s="111">
        <f ca="1">IFERROR(__xludf.DUMMYFUNCTION("""COMPUTED_VALUE"""),2020)</f>
        <v>2020</v>
      </c>
      <c r="F167" s="113">
        <f ca="1">IFERROR(__xludf.DUMMYFUNCTION("""COMPUTED_VALUE"""),0)</f>
        <v>0</v>
      </c>
      <c r="G167" s="113">
        <f ca="1">IFERROR(__xludf.DUMMYFUNCTION("""COMPUTED_VALUE"""),0)</f>
        <v>0</v>
      </c>
      <c r="H167" s="113">
        <f ca="1">IFERROR(__xludf.DUMMYFUNCTION("""COMPUTED_VALUE"""),0)</f>
        <v>0</v>
      </c>
      <c r="I167" s="113">
        <f ca="1">IFERROR(__xludf.DUMMYFUNCTION("""COMPUTED_VALUE"""),0)</f>
        <v>0</v>
      </c>
      <c r="J167" s="111">
        <f ca="1">IFERROR(__xludf.DUMMYFUNCTION("""COMPUTED_VALUE"""),0)</f>
        <v>0</v>
      </c>
      <c r="K167" s="113">
        <f ca="1">IFERROR(__xludf.DUMMYFUNCTION("""COMPUTED_VALUE"""),0)</f>
        <v>0</v>
      </c>
      <c r="L167" s="114" t="str">
        <f ca="1">IFERROR(__xludf.DUMMYFUNCTION("""COMPUTED_VALUE"""),"#DIV/0!")</f>
        <v>#DIV/0!</v>
      </c>
      <c r="M167" s="111"/>
      <c r="N167" s="111"/>
      <c r="O167" s="111"/>
      <c r="P167" s="111"/>
      <c r="Q167" s="112"/>
      <c r="R167" s="103"/>
      <c r="S167" s="103"/>
      <c r="T167" s="103"/>
      <c r="U167" s="103"/>
      <c r="V167" s="103"/>
      <c r="W167" s="103"/>
      <c r="X167" s="103"/>
      <c r="Y167" s="103"/>
      <c r="Z167" s="103"/>
      <c r="AA167" s="103"/>
    </row>
    <row r="168" spans="1:27" ht="51" x14ac:dyDescent="0.2">
      <c r="A168" s="110">
        <v>20</v>
      </c>
      <c r="B168" s="111" t="str">
        <f ca="1">IFERROR(__xludf.DUMMYFUNCTION("""COMPUTED_VALUE"""),"МинЖКХ")</f>
        <v>МинЖКХ</v>
      </c>
      <c r="C168" s="111" t="str">
        <f ca="1">IFERROR(__xludf.DUMMYFUNCTION("""COMPUTED_VALUE"""),"г.о. Коломенский")</f>
        <v>г.о. Коломенский</v>
      </c>
      <c r="D168" s="111" t="str">
        <f ca="1">IFERROR(__xludf.DUMMYFUNCTION("""COMPUTED_VALUE"""),"Приобретение, монтаж и ввод в эксплуатацию станции  очистки воды на ВЗУ в д. Семибратское, Коломенский г.о.")</f>
        <v>Приобретение, монтаж и ввод в эксплуатацию станции  очистки воды на ВЗУ в д. Семибратское, Коломенский г.о.</v>
      </c>
      <c r="E168" s="111">
        <f ca="1">IFERROR(__xludf.DUMMYFUNCTION("""COMPUTED_VALUE"""),2020)</f>
        <v>2020</v>
      </c>
      <c r="F168" s="113">
        <f ca="1">IFERROR(__xludf.DUMMYFUNCTION("""COMPUTED_VALUE"""),2579.5)</f>
        <v>2579.5</v>
      </c>
      <c r="G168" s="113">
        <f ca="1">IFERROR(__xludf.DUMMYFUNCTION("""COMPUTED_VALUE"""),0)</f>
        <v>0</v>
      </c>
      <c r="H168" s="113">
        <f ca="1">IFERROR(__xludf.DUMMYFUNCTION("""COMPUTED_VALUE"""),0)</f>
        <v>0</v>
      </c>
      <c r="I168" s="113">
        <f ca="1">IFERROR(__xludf.DUMMYFUNCTION("""COMPUTED_VALUE"""),2579.5)</f>
        <v>2579.5</v>
      </c>
      <c r="J168" s="111">
        <f ca="1">IFERROR(__xludf.DUMMYFUNCTION("""COMPUTED_VALUE"""),1723.48)</f>
        <v>1723.48</v>
      </c>
      <c r="K168" s="113">
        <f ca="1">IFERROR(__xludf.DUMMYFUNCTION("""COMPUTED_VALUE"""),856.02)</f>
        <v>856.02</v>
      </c>
      <c r="L168" s="114">
        <f ca="1">IFERROR(__xludf.DUMMYFUNCTION("""COMPUTED_VALUE"""),0.668144989339019)</f>
        <v>0.668144989339019</v>
      </c>
      <c r="M168" s="111"/>
      <c r="N168" s="111"/>
      <c r="O168" s="111"/>
      <c r="P168" s="111"/>
      <c r="Q168" s="120" t="s">
        <v>551</v>
      </c>
      <c r="R168" s="103"/>
      <c r="S168" s="103"/>
      <c r="T168" s="103"/>
      <c r="U168" s="103"/>
      <c r="V168" s="103"/>
      <c r="W168" s="103"/>
      <c r="X168" s="103"/>
      <c r="Y168" s="103"/>
      <c r="Z168" s="103"/>
      <c r="AA168" s="103"/>
    </row>
    <row r="169" spans="1:27" ht="51" x14ac:dyDescent="0.2">
      <c r="A169" s="111"/>
      <c r="B169" s="111" t="str">
        <f ca="1">IFERROR(__xludf.DUMMYFUNCTION("""COMPUTED_VALUE"""),"МинЖКХ")</f>
        <v>МинЖКХ</v>
      </c>
      <c r="C169" s="111" t="str">
        <f ca="1">IFERROR(__xludf.DUMMYFUNCTION("""COMPUTED_VALUE"""),"г.о. Коломенский")</f>
        <v>г.о. Коломенский</v>
      </c>
      <c r="D169" s="111" t="str">
        <f ca="1">IFERROR(__xludf.DUMMYFUNCTION("""COMPUTED_VALUE"""),"Приобретение, монтаж и ввод в эксплуатацию станции  очистки воды на ВЗУ в п. Возрождение, Коломенский г.о.")</f>
        <v>Приобретение, монтаж и ввод в эксплуатацию станции  очистки воды на ВЗУ в п. Возрождение, Коломенский г.о.</v>
      </c>
      <c r="E169" s="111">
        <f ca="1">IFERROR(__xludf.DUMMYFUNCTION("""COMPUTED_VALUE"""),2020)</f>
        <v>2020</v>
      </c>
      <c r="F169" s="113">
        <f ca="1">IFERROR(__xludf.DUMMYFUNCTION("""COMPUTED_VALUE"""),0)</f>
        <v>0</v>
      </c>
      <c r="G169" s="113">
        <f ca="1">IFERROR(__xludf.DUMMYFUNCTION("""COMPUTED_VALUE"""),0)</f>
        <v>0</v>
      </c>
      <c r="H169" s="113">
        <f ca="1">IFERROR(__xludf.DUMMYFUNCTION("""COMPUTED_VALUE"""),0)</f>
        <v>0</v>
      </c>
      <c r="I169" s="113">
        <f ca="1">IFERROR(__xludf.DUMMYFUNCTION("""COMPUTED_VALUE"""),0)</f>
        <v>0</v>
      </c>
      <c r="J169" s="111">
        <f ca="1">IFERROR(__xludf.DUMMYFUNCTION("""COMPUTED_VALUE"""),0)</f>
        <v>0</v>
      </c>
      <c r="K169" s="113">
        <f ca="1">IFERROR(__xludf.DUMMYFUNCTION("""COMPUTED_VALUE"""),0)</f>
        <v>0</v>
      </c>
      <c r="L169" s="114" t="str">
        <f ca="1">IFERROR(__xludf.DUMMYFUNCTION("""COMPUTED_VALUE"""),"#DIV/0!")</f>
        <v>#DIV/0!</v>
      </c>
      <c r="M169" s="111"/>
      <c r="N169" s="111"/>
      <c r="O169" s="111"/>
      <c r="P169" s="111"/>
      <c r="Q169" s="112"/>
      <c r="R169" s="103"/>
      <c r="S169" s="103"/>
      <c r="T169" s="103"/>
      <c r="U169" s="103"/>
      <c r="V169" s="103"/>
      <c r="W169" s="103"/>
      <c r="X169" s="103"/>
      <c r="Y169" s="103"/>
      <c r="Z169" s="103"/>
      <c r="AA169" s="103"/>
    </row>
    <row r="170" spans="1:27" ht="51" x14ac:dyDescent="0.2">
      <c r="A170" s="110">
        <v>21</v>
      </c>
      <c r="B170" s="111" t="str">
        <f ca="1">IFERROR(__xludf.DUMMYFUNCTION("""COMPUTED_VALUE"""),"МинЖКХ")</f>
        <v>МинЖКХ</v>
      </c>
      <c r="C170" s="111" t="str">
        <f ca="1">IFERROR(__xludf.DUMMYFUNCTION("""COMPUTED_VALUE"""),"г.о. Коломенский")</f>
        <v>г.о. Коломенский</v>
      </c>
      <c r="D170" s="111" t="str">
        <f ca="1">IFERROR(__xludf.DUMMYFUNCTION("""COMPUTED_VALUE"""),"Приобретение, монтаж и ввод в эксплуатацию станции  очистки воды на ВЗУ в с. Лукерьино-2, Коломенский г.о.")</f>
        <v>Приобретение, монтаж и ввод в эксплуатацию станции  очистки воды на ВЗУ в с. Лукерьино-2, Коломенский г.о.</v>
      </c>
      <c r="E170" s="111">
        <f ca="1">IFERROR(__xludf.DUMMYFUNCTION("""COMPUTED_VALUE"""),2020)</f>
        <v>2020</v>
      </c>
      <c r="F170" s="113">
        <f ca="1">IFERROR(__xludf.DUMMYFUNCTION("""COMPUTED_VALUE"""),1886.52)</f>
        <v>1886.52</v>
      </c>
      <c r="G170" s="113">
        <f ca="1">IFERROR(__xludf.DUMMYFUNCTION("""COMPUTED_VALUE"""),0)</f>
        <v>0</v>
      </c>
      <c r="H170" s="113">
        <f ca="1">IFERROR(__xludf.DUMMYFUNCTION("""COMPUTED_VALUE"""),0)</f>
        <v>0</v>
      </c>
      <c r="I170" s="113">
        <f ca="1">IFERROR(__xludf.DUMMYFUNCTION("""COMPUTED_VALUE"""),1886.52)</f>
        <v>1886.52</v>
      </c>
      <c r="J170" s="111">
        <f ca="1">IFERROR(__xludf.DUMMYFUNCTION("""COMPUTED_VALUE"""),1886.52)</f>
        <v>1886.52</v>
      </c>
      <c r="K170" s="113">
        <f ca="1">IFERROR(__xludf.DUMMYFUNCTION("""COMPUTED_VALUE"""),0)</f>
        <v>0</v>
      </c>
      <c r="L170" s="114">
        <f ca="1">IFERROR(__xludf.DUMMYFUNCTION("""COMPUTED_VALUE"""),1)</f>
        <v>1</v>
      </c>
      <c r="M170" s="111"/>
      <c r="N170" s="111"/>
      <c r="O170" s="111"/>
      <c r="P170" s="111"/>
      <c r="Q170" s="120" t="s">
        <v>551</v>
      </c>
      <c r="R170" s="103"/>
      <c r="S170" s="103"/>
      <c r="T170" s="103"/>
      <c r="U170" s="103"/>
      <c r="V170" s="103"/>
      <c r="W170" s="103"/>
      <c r="X170" s="103"/>
      <c r="Y170" s="103"/>
      <c r="Z170" s="103"/>
      <c r="AA170" s="103"/>
    </row>
    <row r="171" spans="1:27" ht="51" x14ac:dyDescent="0.2">
      <c r="A171" s="110">
        <v>22</v>
      </c>
      <c r="B171" s="111" t="str">
        <f ca="1">IFERROR(__xludf.DUMMYFUNCTION("""COMPUTED_VALUE"""),"МинЖКХ")</f>
        <v>МинЖКХ</v>
      </c>
      <c r="C171" s="111" t="str">
        <f ca="1">IFERROR(__xludf.DUMMYFUNCTION("""COMPUTED_VALUE"""),"г.о. Коломенский")</f>
        <v>г.о. Коломенский</v>
      </c>
      <c r="D171" s="111" t="str">
        <f ca="1">IFERROR(__xludf.DUMMYFUNCTION("""COMPUTED_VALUE"""),"Приобретение, монтаж и ввод в эксплуатацию станции  очистки воды на ВЗУ в с. Парфентьево, Коломенский г.о.")</f>
        <v>Приобретение, монтаж и ввод в эксплуатацию станции  очистки воды на ВЗУ в с. Парфентьево, Коломенский г.о.</v>
      </c>
      <c r="E171" s="111">
        <f ca="1">IFERROR(__xludf.DUMMYFUNCTION("""COMPUTED_VALUE"""),2020)</f>
        <v>2020</v>
      </c>
      <c r="F171" s="113">
        <f ca="1">IFERROR(__xludf.DUMMYFUNCTION("""COMPUTED_VALUE"""),1479.56)</f>
        <v>1479.56</v>
      </c>
      <c r="G171" s="113">
        <f ca="1">IFERROR(__xludf.DUMMYFUNCTION("""COMPUTED_VALUE"""),0)</f>
        <v>0</v>
      </c>
      <c r="H171" s="113">
        <f ca="1">IFERROR(__xludf.DUMMYFUNCTION("""COMPUTED_VALUE"""),0)</f>
        <v>0</v>
      </c>
      <c r="I171" s="113">
        <f ca="1">IFERROR(__xludf.DUMMYFUNCTION("""COMPUTED_VALUE"""),1479.56)</f>
        <v>1479.56</v>
      </c>
      <c r="J171" s="111">
        <f ca="1">IFERROR(__xludf.DUMMYFUNCTION("""COMPUTED_VALUE"""),1479.56)</f>
        <v>1479.56</v>
      </c>
      <c r="K171" s="113">
        <f ca="1">IFERROR(__xludf.DUMMYFUNCTION("""COMPUTED_VALUE"""),0)</f>
        <v>0</v>
      </c>
      <c r="L171" s="114">
        <f ca="1">IFERROR(__xludf.DUMMYFUNCTION("""COMPUTED_VALUE"""),1)</f>
        <v>1</v>
      </c>
      <c r="M171" s="111"/>
      <c r="N171" s="111"/>
      <c r="O171" s="111"/>
      <c r="P171" s="111"/>
      <c r="Q171" s="120" t="s">
        <v>551</v>
      </c>
      <c r="R171" s="103"/>
      <c r="S171" s="103"/>
      <c r="T171" s="103"/>
      <c r="U171" s="103"/>
      <c r="V171" s="103"/>
      <c r="W171" s="103"/>
      <c r="X171" s="103"/>
      <c r="Y171" s="103"/>
      <c r="Z171" s="103"/>
      <c r="AA171" s="103"/>
    </row>
    <row r="172" spans="1:27" ht="51" x14ac:dyDescent="0.2">
      <c r="A172" s="111"/>
      <c r="B172" s="111" t="str">
        <f ca="1">IFERROR(__xludf.DUMMYFUNCTION("""COMPUTED_VALUE"""),"МинЖКХ")</f>
        <v>МинЖКХ</v>
      </c>
      <c r="C172" s="111" t="str">
        <f ca="1">IFERROR(__xludf.DUMMYFUNCTION("""COMPUTED_VALUE"""),"г.о. Коломенский")</f>
        <v>г.о. Коломенский</v>
      </c>
      <c r="D172" s="111" t="str">
        <f ca="1">IFERROR(__xludf.DUMMYFUNCTION("""COMPUTED_VALUE"""),"Приобретение, монтаж и ввод в эксплуатацию станции  очистки воды на ВЗУ в д. В. Хорошово, Коломенский г.о.")</f>
        <v>Приобретение, монтаж и ввод в эксплуатацию станции  очистки воды на ВЗУ в д. В. Хорошово, Коломенский г.о.</v>
      </c>
      <c r="E172" s="111">
        <f ca="1">IFERROR(__xludf.DUMMYFUNCTION("""COMPUTED_VALUE"""),2020)</f>
        <v>2020</v>
      </c>
      <c r="F172" s="113">
        <f ca="1">IFERROR(__xludf.DUMMYFUNCTION("""COMPUTED_VALUE"""),0)</f>
        <v>0</v>
      </c>
      <c r="G172" s="113">
        <f ca="1">IFERROR(__xludf.DUMMYFUNCTION("""COMPUTED_VALUE"""),0)</f>
        <v>0</v>
      </c>
      <c r="H172" s="113">
        <f ca="1">IFERROR(__xludf.DUMMYFUNCTION("""COMPUTED_VALUE"""),0)</f>
        <v>0</v>
      </c>
      <c r="I172" s="113">
        <f ca="1">IFERROR(__xludf.DUMMYFUNCTION("""COMPUTED_VALUE"""),0)</f>
        <v>0</v>
      </c>
      <c r="J172" s="111">
        <f ca="1">IFERROR(__xludf.DUMMYFUNCTION("""COMPUTED_VALUE"""),0)</f>
        <v>0</v>
      </c>
      <c r="K172" s="113">
        <f ca="1">IFERROR(__xludf.DUMMYFUNCTION("""COMPUTED_VALUE"""),0)</f>
        <v>0</v>
      </c>
      <c r="L172" s="114" t="str">
        <f ca="1">IFERROR(__xludf.DUMMYFUNCTION("""COMPUTED_VALUE"""),"#DIV/0!")</f>
        <v>#DIV/0!</v>
      </c>
      <c r="M172" s="111"/>
      <c r="N172" s="111"/>
      <c r="O172" s="111"/>
      <c r="P172" s="111"/>
      <c r="Q172" s="112"/>
      <c r="R172" s="103"/>
      <c r="S172" s="103"/>
      <c r="T172" s="103"/>
      <c r="U172" s="103"/>
      <c r="V172" s="103"/>
      <c r="W172" s="103"/>
      <c r="X172" s="103"/>
      <c r="Y172" s="103"/>
      <c r="Z172" s="103"/>
      <c r="AA172" s="103"/>
    </row>
    <row r="173" spans="1:27" ht="51" x14ac:dyDescent="0.2">
      <c r="A173" s="110">
        <v>23</v>
      </c>
      <c r="B173" s="111" t="str">
        <f ca="1">IFERROR(__xludf.DUMMYFUNCTION("""COMPUTED_VALUE"""),"МинЖКХ")</f>
        <v>МинЖКХ</v>
      </c>
      <c r="C173" s="111" t="str">
        <f ca="1">IFERROR(__xludf.DUMMYFUNCTION("""COMPUTED_VALUE"""),"г.о. Коломенский")</f>
        <v>г.о. Коломенский</v>
      </c>
      <c r="D173" s="111" t="str">
        <f ca="1">IFERROR(__xludf.DUMMYFUNCTION("""COMPUTED_VALUE"""),"Приобретение, монтаж и ввод в эксплуатацию станции  очистки воды на ВЗУ в д. Проводник-2, Коломенский г.о.")</f>
        <v>Приобретение, монтаж и ввод в эксплуатацию станции  очистки воды на ВЗУ в д. Проводник-2, Коломенский г.о.</v>
      </c>
      <c r="E173" s="111">
        <f ca="1">IFERROR(__xludf.DUMMYFUNCTION("""COMPUTED_VALUE"""),2020)</f>
        <v>2020</v>
      </c>
      <c r="F173" s="113">
        <f ca="1">IFERROR(__xludf.DUMMYFUNCTION("""COMPUTED_VALUE"""),1507.14)</f>
        <v>1507.14</v>
      </c>
      <c r="G173" s="113">
        <f ca="1">IFERROR(__xludf.DUMMYFUNCTION("""COMPUTED_VALUE"""),0)</f>
        <v>0</v>
      </c>
      <c r="H173" s="113">
        <f ca="1">IFERROR(__xludf.DUMMYFUNCTION("""COMPUTED_VALUE"""),0)</f>
        <v>0</v>
      </c>
      <c r="I173" s="113">
        <f ca="1">IFERROR(__xludf.DUMMYFUNCTION("""COMPUTED_VALUE"""),1507.14)</f>
        <v>1507.14</v>
      </c>
      <c r="J173" s="111">
        <f ca="1">IFERROR(__xludf.DUMMYFUNCTION("""COMPUTED_VALUE"""),1507.11)</f>
        <v>1507.11</v>
      </c>
      <c r="K173" s="113">
        <f ca="1">IFERROR(__xludf.DUMMYFUNCTION("""COMPUTED_VALUE"""),0.0300000000002)</f>
        <v>3.0000000000199999E-2</v>
      </c>
      <c r="L173" s="114">
        <f ca="1">IFERROR(__xludf.DUMMYFUNCTION("""COMPUTED_VALUE"""),0.999980094748994)</f>
        <v>0.99998009474899396</v>
      </c>
      <c r="M173" s="111"/>
      <c r="N173" s="111"/>
      <c r="O173" s="111"/>
      <c r="P173" s="111"/>
      <c r="Q173" s="120" t="s">
        <v>551</v>
      </c>
      <c r="R173" s="103"/>
      <c r="S173" s="103"/>
      <c r="T173" s="103"/>
      <c r="U173" s="103"/>
      <c r="V173" s="103"/>
      <c r="W173" s="103"/>
      <c r="X173" s="103"/>
      <c r="Y173" s="103"/>
      <c r="Z173" s="103"/>
      <c r="AA173" s="103"/>
    </row>
    <row r="174" spans="1:27" ht="51" x14ac:dyDescent="0.2">
      <c r="A174" s="110">
        <v>24</v>
      </c>
      <c r="B174" s="111" t="str">
        <f ca="1">IFERROR(__xludf.DUMMYFUNCTION("""COMPUTED_VALUE"""),"МинЖКХ")</f>
        <v>МинЖКХ</v>
      </c>
      <c r="C174" s="111" t="str">
        <f ca="1">IFERROR(__xludf.DUMMYFUNCTION("""COMPUTED_VALUE"""),"г.о. Коломенский")</f>
        <v>г.о. Коломенский</v>
      </c>
      <c r="D174" s="111" t="str">
        <f ca="1">IFERROR(__xludf.DUMMYFUNCTION("""COMPUTED_VALUE"""),"Приобретение, монтаж и ввод в эксплуатацию станции  очистки воды на ВЗУ в п. Запрудный, Коломенский г.о.")</f>
        <v>Приобретение, монтаж и ввод в эксплуатацию станции  очистки воды на ВЗУ в п. Запрудный, Коломенский г.о.</v>
      </c>
      <c r="E174" s="111">
        <f ca="1">IFERROR(__xludf.DUMMYFUNCTION("""COMPUTED_VALUE"""),2020)</f>
        <v>2020</v>
      </c>
      <c r="F174" s="113">
        <f ca="1">IFERROR(__xludf.DUMMYFUNCTION("""COMPUTED_VALUE"""),2579.5)</f>
        <v>2579.5</v>
      </c>
      <c r="G174" s="113">
        <f ca="1">IFERROR(__xludf.DUMMYFUNCTION("""COMPUTED_VALUE"""),0)</f>
        <v>0</v>
      </c>
      <c r="H174" s="113">
        <f ca="1">IFERROR(__xludf.DUMMYFUNCTION("""COMPUTED_VALUE"""),0)</f>
        <v>0</v>
      </c>
      <c r="I174" s="113">
        <f ca="1">IFERROR(__xludf.DUMMYFUNCTION("""COMPUTED_VALUE"""),2579.5)</f>
        <v>2579.5</v>
      </c>
      <c r="J174" s="111">
        <f ca="1">IFERROR(__xludf.DUMMYFUNCTION("""COMPUTED_VALUE"""),1723.52)</f>
        <v>1723.52</v>
      </c>
      <c r="K174" s="113">
        <f ca="1">IFERROR(__xludf.DUMMYFUNCTION("""COMPUTED_VALUE"""),855.98)</f>
        <v>855.98</v>
      </c>
      <c r="L174" s="114">
        <f ca="1">IFERROR(__xludf.DUMMYFUNCTION("""COMPUTED_VALUE"""),0.668160496220197)</f>
        <v>0.66816049622019702</v>
      </c>
      <c r="M174" s="111"/>
      <c r="N174" s="111"/>
      <c r="O174" s="111"/>
      <c r="P174" s="111"/>
      <c r="Q174" s="120" t="s">
        <v>551</v>
      </c>
      <c r="R174" s="103"/>
      <c r="S174" s="103"/>
      <c r="T174" s="103"/>
      <c r="U174" s="103"/>
      <c r="V174" s="103"/>
      <c r="W174" s="103"/>
      <c r="X174" s="103"/>
      <c r="Y174" s="103"/>
      <c r="Z174" s="103"/>
      <c r="AA174" s="103"/>
    </row>
    <row r="175" spans="1:27" ht="51" x14ac:dyDescent="0.2">
      <c r="A175" s="110">
        <v>25</v>
      </c>
      <c r="B175" s="111" t="str">
        <f ca="1">IFERROR(__xludf.DUMMYFUNCTION("""COMPUTED_VALUE"""),"МинЖКХ")</f>
        <v>МинЖКХ</v>
      </c>
      <c r="C175" s="111" t="str">
        <f ca="1">IFERROR(__xludf.DUMMYFUNCTION("""COMPUTED_VALUE"""),"г.о. Коломенский")</f>
        <v>г.о. Коломенский</v>
      </c>
      <c r="D175" s="111" t="str">
        <f ca="1">IFERROR(__xludf.DUMMYFUNCTION("""COMPUTED_VALUE"""),"Приобретение, монтаж и ввод в эксплуатацию станции  очистки воды на ВЗУ в с. Горки, Коломенский г.о.")</f>
        <v>Приобретение, монтаж и ввод в эксплуатацию станции  очистки воды на ВЗУ в с. Горки, Коломенский г.о.</v>
      </c>
      <c r="E175" s="111">
        <f ca="1">IFERROR(__xludf.DUMMYFUNCTION("""COMPUTED_VALUE"""),2020)</f>
        <v>2020</v>
      </c>
      <c r="F175" s="113">
        <f ca="1">IFERROR(__xludf.DUMMYFUNCTION("""COMPUTED_VALUE"""),2611.2)</f>
        <v>2611.1999999999998</v>
      </c>
      <c r="G175" s="113">
        <f ca="1">IFERROR(__xludf.DUMMYFUNCTION("""COMPUTED_VALUE"""),0)</f>
        <v>0</v>
      </c>
      <c r="H175" s="113">
        <f ca="1">IFERROR(__xludf.DUMMYFUNCTION("""COMPUTED_VALUE"""),0)</f>
        <v>0</v>
      </c>
      <c r="I175" s="113">
        <f ca="1">IFERROR(__xludf.DUMMYFUNCTION("""COMPUTED_VALUE"""),2611.2)</f>
        <v>2611.1999999999998</v>
      </c>
      <c r="J175" s="111">
        <f ca="1">IFERROR(__xludf.DUMMYFUNCTION("""COMPUTED_VALUE"""),1723.39)</f>
        <v>1723.39</v>
      </c>
      <c r="K175" s="113">
        <f ca="1">IFERROR(__xludf.DUMMYFUNCTION("""COMPUTED_VALUE"""),887.809999999999)</f>
        <v>887.80999999999904</v>
      </c>
      <c r="L175" s="114">
        <f ca="1">IFERROR(__xludf.DUMMYFUNCTION("""COMPUTED_VALUE"""),0.659999234068627)</f>
        <v>0.65999923406862704</v>
      </c>
      <c r="M175" s="111"/>
      <c r="N175" s="111"/>
      <c r="O175" s="111"/>
      <c r="P175" s="111"/>
      <c r="Q175" s="120" t="s">
        <v>551</v>
      </c>
      <c r="R175" s="103"/>
      <c r="S175" s="103"/>
      <c r="T175" s="103"/>
      <c r="U175" s="103"/>
      <c r="V175" s="103"/>
      <c r="W175" s="103"/>
      <c r="X175" s="103"/>
      <c r="Y175" s="103"/>
      <c r="Z175" s="103"/>
      <c r="AA175" s="103"/>
    </row>
    <row r="176" spans="1:27" ht="51" x14ac:dyDescent="0.2">
      <c r="A176" s="110">
        <v>26</v>
      </c>
      <c r="B176" s="111" t="str">
        <f ca="1">IFERROR(__xludf.DUMMYFUNCTION("""COMPUTED_VALUE"""),"МинЖКХ")</f>
        <v>МинЖКХ</v>
      </c>
      <c r="C176" s="111" t="str">
        <f ca="1">IFERROR(__xludf.DUMMYFUNCTION("""COMPUTED_VALUE"""),"г.о. Коломенский")</f>
        <v>г.о. Коломенский</v>
      </c>
      <c r="D176" s="111" t="str">
        <f ca="1">IFERROR(__xludf.DUMMYFUNCTION("""COMPUTED_VALUE"""),"Приобретение, монтаж и ввод в эксплуатацию станции  очистки воды на ВЗУ в с. Макшеево, Коломенский г.о.")</f>
        <v>Приобретение, монтаж и ввод в эксплуатацию станции  очистки воды на ВЗУ в с. Макшеево, Коломенский г.о.</v>
      </c>
      <c r="E176" s="111">
        <f ca="1">IFERROR(__xludf.DUMMYFUNCTION("""COMPUTED_VALUE"""),2020)</f>
        <v>2020</v>
      </c>
      <c r="F176" s="113">
        <f ca="1">IFERROR(__xludf.DUMMYFUNCTION("""COMPUTED_VALUE"""),2579.54)</f>
        <v>2579.54</v>
      </c>
      <c r="G176" s="113">
        <f ca="1">IFERROR(__xludf.DUMMYFUNCTION("""COMPUTED_VALUE"""),0)</f>
        <v>0</v>
      </c>
      <c r="H176" s="113">
        <f ca="1">IFERROR(__xludf.DUMMYFUNCTION("""COMPUTED_VALUE"""),0)</f>
        <v>0</v>
      </c>
      <c r="I176" s="113">
        <f ca="1">IFERROR(__xludf.DUMMYFUNCTION("""COMPUTED_VALUE"""),2579.54)</f>
        <v>2579.54</v>
      </c>
      <c r="J176" s="111">
        <f ca="1">IFERROR(__xludf.DUMMYFUNCTION("""COMPUTED_VALUE"""),1728.28)</f>
        <v>1728.28</v>
      </c>
      <c r="K176" s="113">
        <f ca="1">IFERROR(__xludf.DUMMYFUNCTION("""COMPUTED_VALUE"""),851.26)</f>
        <v>851.26</v>
      </c>
      <c r="L176" s="114">
        <f ca="1">IFERROR(__xludf.DUMMYFUNCTION("""COMPUTED_VALUE"""),0.669995425540987)</f>
        <v>0.66999542554098701</v>
      </c>
      <c r="M176" s="111"/>
      <c r="N176" s="111"/>
      <c r="O176" s="111"/>
      <c r="P176" s="111"/>
      <c r="Q176" s="120" t="s">
        <v>551</v>
      </c>
      <c r="R176" s="103"/>
      <c r="S176" s="103"/>
      <c r="T176" s="103"/>
      <c r="U176" s="103"/>
      <c r="V176" s="103"/>
      <c r="W176" s="103"/>
      <c r="X176" s="103"/>
      <c r="Y176" s="103"/>
      <c r="Z176" s="103"/>
      <c r="AA176" s="103"/>
    </row>
    <row r="177" spans="1:27" ht="51" x14ac:dyDescent="0.2">
      <c r="A177" s="110">
        <v>27</v>
      </c>
      <c r="B177" s="111" t="str">
        <f ca="1">IFERROR(__xludf.DUMMYFUNCTION("""COMPUTED_VALUE"""),"МинЖКХ")</f>
        <v>МинЖКХ</v>
      </c>
      <c r="C177" s="111" t="str">
        <f ca="1">IFERROR(__xludf.DUMMYFUNCTION("""COMPUTED_VALUE"""),"г.о. Коломенский")</f>
        <v>г.о. Коломенский</v>
      </c>
      <c r="D177" s="111" t="str">
        <f ca="1">IFERROR(__xludf.DUMMYFUNCTION("""COMPUTED_VALUE"""),"Приобретение, монтаж и ввод в эксплуатацию станции  очистки воды на ВЗУ в д. Молитвино, Коломенский г.о.")</f>
        <v>Приобретение, монтаж и ввод в эксплуатацию станции  очистки воды на ВЗУ в д. Молитвино, Коломенский г.о.</v>
      </c>
      <c r="E177" s="111">
        <f ca="1">IFERROR(__xludf.DUMMYFUNCTION("""COMPUTED_VALUE"""),2020)</f>
        <v>2020</v>
      </c>
      <c r="F177" s="113">
        <f ca="1">IFERROR(__xludf.DUMMYFUNCTION("""COMPUTED_VALUE"""),2708.83)</f>
        <v>2708.83</v>
      </c>
      <c r="G177" s="113">
        <f ca="1">IFERROR(__xludf.DUMMYFUNCTION("""COMPUTED_VALUE"""),0)</f>
        <v>0</v>
      </c>
      <c r="H177" s="113">
        <f ca="1">IFERROR(__xludf.DUMMYFUNCTION("""COMPUTED_VALUE"""),0)</f>
        <v>0</v>
      </c>
      <c r="I177" s="113">
        <f ca="1">IFERROR(__xludf.DUMMYFUNCTION("""COMPUTED_VALUE"""),2708.83)</f>
        <v>2708.83</v>
      </c>
      <c r="J177" s="111">
        <f ca="1">IFERROR(__xludf.DUMMYFUNCTION("""COMPUTED_VALUE"""),1637.04)</f>
        <v>1637.04</v>
      </c>
      <c r="K177" s="113">
        <f ca="1">IFERROR(__xludf.DUMMYFUNCTION("""COMPUTED_VALUE"""),1071.79)</f>
        <v>1071.79</v>
      </c>
      <c r="L177" s="114">
        <f ca="1">IFERROR(__xludf.DUMMYFUNCTION("""COMPUTED_VALUE"""),0.604334712772673)</f>
        <v>0.60433471277267303</v>
      </c>
      <c r="M177" s="111"/>
      <c r="N177" s="111"/>
      <c r="O177" s="111"/>
      <c r="P177" s="111"/>
      <c r="Q177" s="120" t="s">
        <v>551</v>
      </c>
      <c r="R177" s="103"/>
      <c r="S177" s="103"/>
      <c r="T177" s="103"/>
      <c r="U177" s="103"/>
      <c r="V177" s="103"/>
      <c r="W177" s="103"/>
      <c r="X177" s="103"/>
      <c r="Y177" s="103"/>
      <c r="Z177" s="103"/>
      <c r="AA177" s="103"/>
    </row>
    <row r="178" spans="1:27" ht="51" x14ac:dyDescent="0.2">
      <c r="A178" s="110">
        <v>28</v>
      </c>
      <c r="B178" s="111" t="str">
        <f ca="1">IFERROR(__xludf.DUMMYFUNCTION("""COMPUTED_VALUE"""),"МинЖКХ")</f>
        <v>МинЖКХ</v>
      </c>
      <c r="C178" s="111" t="str">
        <f ca="1">IFERROR(__xludf.DUMMYFUNCTION("""COMPUTED_VALUE"""),"г.о. Коломенский")</f>
        <v>г.о. Коломенский</v>
      </c>
      <c r="D178" s="111" t="str">
        <f ca="1">IFERROR(__xludf.DUMMYFUNCTION("""COMPUTED_VALUE"""),"Приобретение, монтаж и ввод в эксплуатацию станции  очистки воды на ВЗУ в с. Андреевское, Коломенский г.о.")</f>
        <v>Приобретение, монтаж и ввод в эксплуатацию станции  очистки воды на ВЗУ в с. Андреевское, Коломенский г.о.</v>
      </c>
      <c r="E178" s="111">
        <f ca="1">IFERROR(__xludf.DUMMYFUNCTION("""COMPUTED_VALUE"""),2020)</f>
        <v>2020</v>
      </c>
      <c r="F178" s="113">
        <f ca="1">IFERROR(__xludf.DUMMYFUNCTION("""COMPUTED_VALUE"""),2642.78)</f>
        <v>2642.78</v>
      </c>
      <c r="G178" s="113">
        <f ca="1">IFERROR(__xludf.DUMMYFUNCTION("""COMPUTED_VALUE"""),0)</f>
        <v>0</v>
      </c>
      <c r="H178" s="113">
        <f ca="1">IFERROR(__xludf.DUMMYFUNCTION("""COMPUTED_VALUE"""),0)</f>
        <v>0</v>
      </c>
      <c r="I178" s="113">
        <f ca="1">IFERROR(__xludf.DUMMYFUNCTION("""COMPUTED_VALUE"""),2642.78)</f>
        <v>2642.78</v>
      </c>
      <c r="J178" s="111">
        <f ca="1">IFERROR(__xludf.DUMMYFUNCTION("""COMPUTED_VALUE"""),1757.36)</f>
        <v>1757.36</v>
      </c>
      <c r="K178" s="113">
        <f ca="1">IFERROR(__xludf.DUMMYFUNCTION("""COMPUTED_VALUE"""),885.42)</f>
        <v>885.42</v>
      </c>
      <c r="L178" s="114">
        <f ca="1">IFERROR(__xludf.DUMMYFUNCTION("""COMPUTED_VALUE"""),0.664966436858156)</f>
        <v>0.66496643685815604</v>
      </c>
      <c r="M178" s="111"/>
      <c r="N178" s="111"/>
      <c r="O178" s="111"/>
      <c r="P178" s="111"/>
      <c r="Q178" s="120" t="s">
        <v>551</v>
      </c>
      <c r="R178" s="103"/>
      <c r="S178" s="103"/>
      <c r="T178" s="103"/>
      <c r="U178" s="103"/>
      <c r="V178" s="103"/>
      <c r="W178" s="103"/>
      <c r="X178" s="103"/>
      <c r="Y178" s="103"/>
      <c r="Z178" s="103"/>
      <c r="AA178" s="103"/>
    </row>
    <row r="179" spans="1:27" ht="51" x14ac:dyDescent="0.2">
      <c r="A179" s="111"/>
      <c r="B179" s="111" t="str">
        <f ca="1">IFERROR(__xludf.DUMMYFUNCTION("""COMPUTED_VALUE"""),"МинЖКХ")</f>
        <v>МинЖКХ</v>
      </c>
      <c r="C179" s="111" t="str">
        <f ca="1">IFERROR(__xludf.DUMMYFUNCTION("""COMPUTED_VALUE"""),"г.о. Коломенский")</f>
        <v>г.о. Коломенский</v>
      </c>
      <c r="D179" s="111" t="str">
        <f ca="1">IFERROR(__xludf.DUMMYFUNCTION("""COMPUTED_VALUE"""),"Приобретение, монтаж и ввод в эксплуатацию станции  очистки воды на ВЗУ в д. Новая, Коломенский г.о.")</f>
        <v>Приобретение, монтаж и ввод в эксплуатацию станции  очистки воды на ВЗУ в д. Новая, Коломенский г.о.</v>
      </c>
      <c r="E179" s="111">
        <f ca="1">IFERROR(__xludf.DUMMYFUNCTION("""COMPUTED_VALUE"""),2020)</f>
        <v>2020</v>
      </c>
      <c r="F179" s="113">
        <f ca="1">IFERROR(__xludf.DUMMYFUNCTION("""COMPUTED_VALUE"""),0)</f>
        <v>0</v>
      </c>
      <c r="G179" s="113">
        <f ca="1">IFERROR(__xludf.DUMMYFUNCTION("""COMPUTED_VALUE"""),0)</f>
        <v>0</v>
      </c>
      <c r="H179" s="113">
        <f ca="1">IFERROR(__xludf.DUMMYFUNCTION("""COMPUTED_VALUE"""),0)</f>
        <v>0</v>
      </c>
      <c r="I179" s="113">
        <f ca="1">IFERROR(__xludf.DUMMYFUNCTION("""COMPUTED_VALUE"""),0)</f>
        <v>0</v>
      </c>
      <c r="J179" s="111">
        <f ca="1">IFERROR(__xludf.DUMMYFUNCTION("""COMPUTED_VALUE"""),0)</f>
        <v>0</v>
      </c>
      <c r="K179" s="113">
        <f ca="1">IFERROR(__xludf.DUMMYFUNCTION("""COMPUTED_VALUE"""),0)</f>
        <v>0</v>
      </c>
      <c r="L179" s="114" t="str">
        <f ca="1">IFERROR(__xludf.DUMMYFUNCTION("""COMPUTED_VALUE"""),"#DIV/0!")</f>
        <v>#DIV/0!</v>
      </c>
      <c r="M179" s="111"/>
      <c r="N179" s="111"/>
      <c r="O179" s="111"/>
      <c r="P179" s="111"/>
      <c r="Q179" s="112"/>
      <c r="R179" s="103"/>
      <c r="S179" s="103"/>
      <c r="T179" s="103"/>
      <c r="U179" s="103"/>
      <c r="V179" s="103"/>
      <c r="W179" s="103"/>
      <c r="X179" s="103"/>
      <c r="Y179" s="103"/>
      <c r="Z179" s="103"/>
      <c r="AA179" s="103"/>
    </row>
    <row r="180" spans="1:27" ht="63.75" x14ac:dyDescent="0.2">
      <c r="A180" s="111"/>
      <c r="B180" s="111" t="str">
        <f ca="1">IFERROR(__xludf.DUMMYFUNCTION("""COMPUTED_VALUE"""),"МинЖКХ")</f>
        <v>МинЖКХ</v>
      </c>
      <c r="C180" s="111" t="str">
        <f ca="1">IFERROR(__xludf.DUMMYFUNCTION("""COMPUTED_VALUE"""),"г.о. Коломенский")</f>
        <v>г.о. Коломенский</v>
      </c>
      <c r="D180" s="111" t="str">
        <f ca="1">IFERROR(__xludf.DUMMYFUNCTION("""COMPUTED_VALUE"""),"Приобретение, монтаж и ввод в эксплуатацию станции  очистки воды на ВЗУ в д. Молодинки (Новопокровское), Коломенский г.о.")</f>
        <v>Приобретение, монтаж и ввод в эксплуатацию станции  очистки воды на ВЗУ в д. Молодинки (Новопокровское), Коломенский г.о.</v>
      </c>
      <c r="E180" s="111">
        <f ca="1">IFERROR(__xludf.DUMMYFUNCTION("""COMPUTED_VALUE"""),2020)</f>
        <v>2020</v>
      </c>
      <c r="F180" s="113">
        <f ca="1">IFERROR(__xludf.DUMMYFUNCTION("""COMPUTED_VALUE"""),0)</f>
        <v>0</v>
      </c>
      <c r="G180" s="113">
        <f ca="1">IFERROR(__xludf.DUMMYFUNCTION("""COMPUTED_VALUE"""),0)</f>
        <v>0</v>
      </c>
      <c r="H180" s="113">
        <f ca="1">IFERROR(__xludf.DUMMYFUNCTION("""COMPUTED_VALUE"""),0)</f>
        <v>0</v>
      </c>
      <c r="I180" s="113">
        <f ca="1">IFERROR(__xludf.DUMMYFUNCTION("""COMPUTED_VALUE"""),0)</f>
        <v>0</v>
      </c>
      <c r="J180" s="111">
        <f ca="1">IFERROR(__xludf.DUMMYFUNCTION("""COMPUTED_VALUE"""),0)</f>
        <v>0</v>
      </c>
      <c r="K180" s="113">
        <f ca="1">IFERROR(__xludf.DUMMYFUNCTION("""COMPUTED_VALUE"""),0)</f>
        <v>0</v>
      </c>
      <c r="L180" s="114" t="str">
        <f ca="1">IFERROR(__xludf.DUMMYFUNCTION("""COMPUTED_VALUE"""),"#DIV/0!")</f>
        <v>#DIV/0!</v>
      </c>
      <c r="M180" s="111"/>
      <c r="N180" s="111"/>
      <c r="O180" s="111"/>
      <c r="P180" s="111"/>
      <c r="Q180" s="112"/>
      <c r="R180" s="103"/>
      <c r="S180" s="103"/>
      <c r="T180" s="103"/>
      <c r="U180" s="103"/>
      <c r="V180" s="103"/>
      <c r="W180" s="103"/>
      <c r="X180" s="103"/>
      <c r="Y180" s="103"/>
      <c r="Z180" s="103"/>
      <c r="AA180" s="103"/>
    </row>
    <row r="181" spans="1:27" ht="51" x14ac:dyDescent="0.2">
      <c r="A181" s="110">
        <v>29</v>
      </c>
      <c r="B181" s="111" t="str">
        <f ca="1">IFERROR(__xludf.DUMMYFUNCTION("""COMPUTED_VALUE"""),"МинЖКХ")</f>
        <v>МинЖКХ</v>
      </c>
      <c r="C181" s="111" t="str">
        <f ca="1">IFERROR(__xludf.DUMMYFUNCTION("""COMPUTED_VALUE"""),"г.о. Коломенский")</f>
        <v>г.о. Коломенский</v>
      </c>
      <c r="D181" s="111" t="str">
        <f ca="1">IFERROR(__xludf.DUMMYFUNCTION("""COMPUTED_VALUE"""),"Приобретение, монтаж и ввод в эксплуатацию станции  очистки воды на ВЗУ в д. Колодкино, Коломенский г.о.")</f>
        <v>Приобретение, монтаж и ввод в эксплуатацию станции  очистки воды на ВЗУ в д. Колодкино, Коломенский г.о.</v>
      </c>
      <c r="E181" s="111">
        <f ca="1">IFERROR(__xludf.DUMMYFUNCTION("""COMPUTED_VALUE"""),2020)</f>
        <v>2020</v>
      </c>
      <c r="F181" s="113">
        <f ca="1">IFERROR(__xludf.DUMMYFUNCTION("""COMPUTED_VALUE"""),2579.5)</f>
        <v>2579.5</v>
      </c>
      <c r="G181" s="113">
        <f ca="1">IFERROR(__xludf.DUMMYFUNCTION("""COMPUTED_VALUE"""),0)</f>
        <v>0</v>
      </c>
      <c r="H181" s="113">
        <f ca="1">IFERROR(__xludf.DUMMYFUNCTION("""COMPUTED_VALUE"""),0)</f>
        <v>0</v>
      </c>
      <c r="I181" s="113">
        <f ca="1">IFERROR(__xludf.DUMMYFUNCTION("""COMPUTED_VALUE"""),2579.5)</f>
        <v>2579.5</v>
      </c>
      <c r="J181" s="111">
        <f ca="1">IFERROR(__xludf.DUMMYFUNCTION("""COMPUTED_VALUE"""),1715.37)</f>
        <v>1715.37</v>
      </c>
      <c r="K181" s="113">
        <f ca="1">IFERROR(__xludf.DUMMYFUNCTION("""COMPUTED_VALUE"""),864.13)</f>
        <v>864.13</v>
      </c>
      <c r="L181" s="114">
        <f ca="1">IFERROR(__xludf.DUMMYFUNCTION("""COMPUTED_VALUE"""),0.665000969180073)</f>
        <v>0.66500096918007301</v>
      </c>
      <c r="M181" s="111"/>
      <c r="N181" s="111"/>
      <c r="O181" s="111"/>
      <c r="P181" s="111"/>
      <c r="Q181" s="120" t="s">
        <v>551</v>
      </c>
      <c r="R181" s="103"/>
      <c r="S181" s="103"/>
      <c r="T181" s="103"/>
      <c r="U181" s="103"/>
      <c r="V181" s="103"/>
      <c r="W181" s="103"/>
      <c r="X181" s="103"/>
      <c r="Y181" s="103"/>
      <c r="Z181" s="103"/>
      <c r="AA181" s="103"/>
    </row>
    <row r="182" spans="1:27" ht="51" x14ac:dyDescent="0.2">
      <c r="A182" s="110">
        <v>30</v>
      </c>
      <c r="B182" s="111" t="str">
        <f ca="1">IFERROR(__xludf.DUMMYFUNCTION("""COMPUTED_VALUE"""),"МинЖКХ")</f>
        <v>МинЖКХ</v>
      </c>
      <c r="C182" s="111" t="str">
        <f ca="1">IFERROR(__xludf.DUMMYFUNCTION("""COMPUTED_VALUE"""),"г.о. Коломенский")</f>
        <v>г.о. Коломенский</v>
      </c>
      <c r="D182" s="111" t="str">
        <f ca="1">IFERROR(__xludf.DUMMYFUNCTION("""COMPUTED_VALUE"""),"Приобретение, монтаж и ввод в эксплуатацию станции  очистки воды на ВЗУ в д. Туменское, Коломенский г.о.")</f>
        <v>Приобретение, монтаж и ввод в эксплуатацию станции  очистки воды на ВЗУ в д. Туменское, Коломенский г.о.</v>
      </c>
      <c r="E182" s="111">
        <f ca="1">IFERROR(__xludf.DUMMYFUNCTION("""COMPUTED_VALUE"""),2020)</f>
        <v>2020</v>
      </c>
      <c r="F182" s="113">
        <f ca="1">IFERROR(__xludf.DUMMYFUNCTION("""COMPUTED_VALUE"""),2474.67)</f>
        <v>2474.67</v>
      </c>
      <c r="G182" s="113">
        <f ca="1">IFERROR(__xludf.DUMMYFUNCTION("""COMPUTED_VALUE"""),0)</f>
        <v>0</v>
      </c>
      <c r="H182" s="113">
        <f ca="1">IFERROR(__xludf.DUMMYFUNCTION("""COMPUTED_VALUE"""),0)</f>
        <v>0</v>
      </c>
      <c r="I182" s="113">
        <f ca="1">IFERROR(__xludf.DUMMYFUNCTION("""COMPUTED_VALUE"""),2474.67)</f>
        <v>2474.67</v>
      </c>
      <c r="J182" s="111">
        <f ca="1">IFERROR(__xludf.DUMMYFUNCTION("""COMPUTED_VALUE"""),1633.28)</f>
        <v>1633.28</v>
      </c>
      <c r="K182" s="113">
        <f ca="1">IFERROR(__xludf.DUMMYFUNCTION("""COMPUTED_VALUE"""),841.39)</f>
        <v>841.39</v>
      </c>
      <c r="L182" s="114">
        <f ca="1">IFERROR(__xludf.DUMMYFUNCTION("""COMPUTED_VALUE"""),0.659999110992576)</f>
        <v>0.65999911099257602</v>
      </c>
      <c r="M182" s="111"/>
      <c r="N182" s="111"/>
      <c r="O182" s="111"/>
      <c r="P182" s="111"/>
      <c r="Q182" s="120" t="s">
        <v>551</v>
      </c>
      <c r="R182" s="103"/>
      <c r="S182" s="103"/>
      <c r="T182" s="103"/>
      <c r="U182" s="103"/>
      <c r="V182" s="103"/>
      <c r="W182" s="103"/>
      <c r="X182" s="103"/>
      <c r="Y182" s="103"/>
      <c r="Z182" s="103"/>
      <c r="AA182" s="103"/>
    </row>
    <row r="183" spans="1:27" ht="51" x14ac:dyDescent="0.2">
      <c r="A183" s="110">
        <v>31</v>
      </c>
      <c r="B183" s="111" t="str">
        <f ca="1">IFERROR(__xludf.DUMMYFUNCTION("""COMPUTED_VALUE"""),"МинЖКХ")</f>
        <v>МинЖКХ</v>
      </c>
      <c r="C183" s="111" t="str">
        <f ca="1">IFERROR(__xludf.DUMMYFUNCTION("""COMPUTED_VALUE"""),"г.о. Коломенский")</f>
        <v>г.о. Коломенский</v>
      </c>
      <c r="D183" s="111" t="str">
        <f ca="1">IFERROR(__xludf.DUMMYFUNCTION("""COMPUTED_VALUE"""),"Приобретение, монтаж и ввод в эксплуатацию станции  очистки воды на ВЗУ в с. Никульское, Коломенский г.о.")</f>
        <v>Приобретение, монтаж и ввод в эксплуатацию станции  очистки воды на ВЗУ в с. Никульское, Коломенский г.о.</v>
      </c>
      <c r="E183" s="111">
        <f ca="1">IFERROR(__xludf.DUMMYFUNCTION("""COMPUTED_VALUE"""),2020)</f>
        <v>2020</v>
      </c>
      <c r="F183" s="113">
        <f ca="1">IFERROR(__xludf.DUMMYFUNCTION("""COMPUTED_VALUE"""),1493.74)</f>
        <v>1493.74</v>
      </c>
      <c r="G183" s="113">
        <f ca="1">IFERROR(__xludf.DUMMYFUNCTION("""COMPUTED_VALUE"""),0)</f>
        <v>0</v>
      </c>
      <c r="H183" s="113">
        <f ca="1">IFERROR(__xludf.DUMMYFUNCTION("""COMPUTED_VALUE"""),0)</f>
        <v>0</v>
      </c>
      <c r="I183" s="113">
        <f ca="1">IFERROR(__xludf.DUMMYFUNCTION("""COMPUTED_VALUE"""),1493.74)</f>
        <v>1493.74</v>
      </c>
      <c r="J183" s="111">
        <f ca="1">IFERROR(__xludf.DUMMYFUNCTION("""COMPUTED_VALUE"""),1493.71)</f>
        <v>1493.71</v>
      </c>
      <c r="K183" s="113">
        <f ca="1">IFERROR(__xludf.DUMMYFUNCTION("""COMPUTED_VALUE"""),0.0299999999999727)</f>
        <v>2.9999999999972701E-2</v>
      </c>
      <c r="L183" s="114">
        <f ca="1">IFERROR(__xludf.DUMMYFUNCTION("""COMPUTED_VALUE"""),0.999979916183539)</f>
        <v>0.99997991618353899</v>
      </c>
      <c r="M183" s="111"/>
      <c r="N183" s="111"/>
      <c r="O183" s="111"/>
      <c r="P183" s="111"/>
      <c r="Q183" s="120" t="s">
        <v>551</v>
      </c>
      <c r="R183" s="103"/>
      <c r="S183" s="103"/>
      <c r="T183" s="103"/>
      <c r="U183" s="103"/>
      <c r="V183" s="103"/>
      <c r="W183" s="103"/>
      <c r="X183" s="103"/>
      <c r="Y183" s="103"/>
      <c r="Z183" s="103"/>
      <c r="AA183" s="103"/>
    </row>
    <row r="184" spans="1:27" ht="51" x14ac:dyDescent="0.2">
      <c r="A184" s="110">
        <v>32</v>
      </c>
      <c r="B184" s="111" t="str">
        <f ca="1">IFERROR(__xludf.DUMMYFUNCTION("""COMPUTED_VALUE"""),"МинЖКХ")</f>
        <v>МинЖКХ</v>
      </c>
      <c r="C184" s="111" t="str">
        <f ca="1">IFERROR(__xludf.DUMMYFUNCTION("""COMPUTED_VALUE"""),"г.о. Коломенский")</f>
        <v>г.о. Коломенский</v>
      </c>
      <c r="D184" s="111" t="str">
        <f ca="1">IFERROR(__xludf.DUMMYFUNCTION("""COMPUTED_VALUE"""),"Приобретение, монтаж и ввод в эксплуатацию станции  очистки воды на ВЗУ в д. Лыково, Коломенский г.о.")</f>
        <v>Приобретение, монтаж и ввод в эксплуатацию станции  очистки воды на ВЗУ в д. Лыково, Коломенский г.о.</v>
      </c>
      <c r="E184" s="111">
        <f ca="1">IFERROR(__xludf.DUMMYFUNCTION("""COMPUTED_VALUE"""),2020)</f>
        <v>2020</v>
      </c>
      <c r="F184" s="113">
        <f ca="1">IFERROR(__xludf.DUMMYFUNCTION("""COMPUTED_VALUE"""),2611.17)</f>
        <v>2611.17</v>
      </c>
      <c r="G184" s="113">
        <f ca="1">IFERROR(__xludf.DUMMYFUNCTION("""COMPUTED_VALUE"""),0)</f>
        <v>0</v>
      </c>
      <c r="H184" s="113">
        <f ca="1">IFERROR(__xludf.DUMMYFUNCTION("""COMPUTED_VALUE"""),0)</f>
        <v>0</v>
      </c>
      <c r="I184" s="113">
        <f ca="1">IFERROR(__xludf.DUMMYFUNCTION("""COMPUTED_VALUE"""),2611.17)</f>
        <v>2611.17</v>
      </c>
      <c r="J184" s="111">
        <f ca="1">IFERROR(__xludf.DUMMYFUNCTION("""COMPUTED_VALUE"""),1721.91)</f>
        <v>1721.91</v>
      </c>
      <c r="K184" s="113">
        <f ca="1">IFERROR(__xludf.DUMMYFUNCTION("""COMPUTED_VALUE"""),889.26)</f>
        <v>889.26</v>
      </c>
      <c r="L184" s="114">
        <f ca="1">IFERROR(__xludf.DUMMYFUNCTION("""COMPUTED_VALUE"""),0.659440021139948)</f>
        <v>0.65944002113994804</v>
      </c>
      <c r="M184" s="111"/>
      <c r="N184" s="111"/>
      <c r="O184" s="111"/>
      <c r="P184" s="111"/>
      <c r="Q184" s="120" t="s">
        <v>551</v>
      </c>
      <c r="R184" s="103"/>
      <c r="S184" s="103"/>
      <c r="T184" s="103"/>
      <c r="U184" s="103"/>
      <c r="V184" s="103"/>
      <c r="W184" s="103"/>
      <c r="X184" s="103"/>
      <c r="Y184" s="103"/>
      <c r="Z184" s="103"/>
      <c r="AA184" s="103"/>
    </row>
    <row r="185" spans="1:27" ht="63.75" x14ac:dyDescent="0.2">
      <c r="A185" s="110">
        <v>33</v>
      </c>
      <c r="B185" s="111" t="str">
        <f ca="1">IFERROR(__xludf.DUMMYFUNCTION("""COMPUTED_VALUE"""),"МинЖКХ")</f>
        <v>МинЖКХ</v>
      </c>
      <c r="C185" s="111" t="str">
        <f ca="1">IFERROR(__xludf.DUMMYFUNCTION("""COMPUTED_VALUE"""),"г.о. Пушкинский")</f>
        <v>г.о. Пушкинский</v>
      </c>
      <c r="D185" s="111" t="str">
        <f ca="1">IFERROR(__xludf.DUMMYFUNCTION("""COMPUTED_VALUE"""),"Приобретение, монтаж и ввод в эксплуатацию станции водоочистки на ВЗУ №9, по ажресу: Московская обл., г. Пушкино, мкр. Серебрянка")</f>
        <v>Приобретение, монтаж и ввод в эксплуатацию станции водоочистки на ВЗУ №9, по ажресу: Московская обл., г. Пушкино, мкр. Серебрянка</v>
      </c>
      <c r="E185" s="111">
        <f ca="1">IFERROR(__xludf.DUMMYFUNCTION("""COMPUTED_VALUE"""),2020)</f>
        <v>2020</v>
      </c>
      <c r="F185" s="113">
        <f ca="1">IFERROR(__xludf.DUMMYFUNCTION("""COMPUTED_VALUE"""),5632.58)</f>
        <v>5632.58</v>
      </c>
      <c r="G185" s="113">
        <f ca="1">IFERROR(__xludf.DUMMYFUNCTION("""COMPUTED_VALUE"""),5632.58)</f>
        <v>5632.58</v>
      </c>
      <c r="H185" s="113">
        <f ca="1">IFERROR(__xludf.DUMMYFUNCTION("""COMPUTED_VALUE"""),0)</f>
        <v>0</v>
      </c>
      <c r="I185" s="113">
        <f ca="1">IFERROR(__xludf.DUMMYFUNCTION("""COMPUTED_VALUE"""),0)</f>
        <v>0</v>
      </c>
      <c r="J185" s="111">
        <f ca="1">IFERROR(__xludf.DUMMYFUNCTION("""COMPUTED_VALUE"""),5632.58)</f>
        <v>5632.58</v>
      </c>
      <c r="K185" s="113">
        <f ca="1">IFERROR(__xludf.DUMMYFUNCTION("""COMPUTED_VALUE"""),0)</f>
        <v>0</v>
      </c>
      <c r="L185" s="114">
        <f ca="1">IFERROR(__xludf.DUMMYFUNCTION("""COMPUTED_VALUE"""),1)</f>
        <v>1</v>
      </c>
      <c r="M185" s="111"/>
      <c r="N185" s="111"/>
      <c r="O185" s="111"/>
      <c r="P185" s="111"/>
      <c r="Q185" s="112"/>
      <c r="R185" s="103"/>
      <c r="S185" s="103"/>
      <c r="T185" s="103"/>
      <c r="U185" s="103"/>
      <c r="V185" s="103"/>
      <c r="W185" s="103"/>
      <c r="X185" s="103"/>
      <c r="Y185" s="103"/>
      <c r="Z185" s="103"/>
      <c r="AA185" s="103"/>
    </row>
    <row r="186" spans="1:27" ht="51" x14ac:dyDescent="0.2">
      <c r="A186" s="110">
        <v>34</v>
      </c>
      <c r="B186" s="111" t="str">
        <f ca="1">IFERROR(__xludf.DUMMYFUNCTION("""COMPUTED_VALUE"""),"МинЖКХ")</f>
        <v>МинЖКХ</v>
      </c>
      <c r="C186" s="111" t="str">
        <f ca="1">IFERROR(__xludf.DUMMYFUNCTION("""COMPUTED_VALUE"""),"г.о. Рузский")</f>
        <v>г.о. Рузский</v>
      </c>
      <c r="D186" s="111" t="str">
        <f ca="1">IFERROR(__xludf.DUMMYFUNCTION("""COMPUTED_VALUE"""),"Приобретение, монтаж и ввод в эксплуатацию станции водоочистки на ВЗУв д. Лидино, Рузский г.о.")</f>
        <v>Приобретение, монтаж и ввод в эксплуатацию станции водоочистки на ВЗУв д. Лидино, Рузский г.о.</v>
      </c>
      <c r="E186" s="111">
        <f ca="1">IFERROR(__xludf.DUMMYFUNCTION("""COMPUTED_VALUE"""),2020)</f>
        <v>2020</v>
      </c>
      <c r="F186" s="113">
        <f ca="1">IFERROR(__xludf.DUMMYFUNCTION("""COMPUTED_VALUE"""),1874.4)</f>
        <v>1874.4</v>
      </c>
      <c r="G186" s="113">
        <f ca="1">IFERROR(__xludf.DUMMYFUNCTION("""COMPUTED_VALUE"""),1874.4)</f>
        <v>1874.4</v>
      </c>
      <c r="H186" s="113">
        <f ca="1">IFERROR(__xludf.DUMMYFUNCTION("""COMPUTED_VALUE"""),0)</f>
        <v>0</v>
      </c>
      <c r="I186" s="113">
        <f ca="1">IFERROR(__xludf.DUMMYFUNCTION("""COMPUTED_VALUE"""),0)</f>
        <v>0</v>
      </c>
      <c r="J186" s="111">
        <f ca="1">IFERROR(__xludf.DUMMYFUNCTION("""COMPUTED_VALUE"""),1874.22)</f>
        <v>1874.22</v>
      </c>
      <c r="K186" s="113">
        <f ca="1">IFERROR(__xludf.DUMMYFUNCTION("""COMPUTED_VALUE"""),0.180000000000063)</f>
        <v>0.180000000000063</v>
      </c>
      <c r="L186" s="114">
        <f ca="1">IFERROR(__xludf.DUMMYFUNCTION("""COMPUTED_VALUE"""),0.999903969270166)</f>
        <v>0.999903969270166</v>
      </c>
      <c r="M186" s="111"/>
      <c r="N186" s="111"/>
      <c r="O186" s="111"/>
      <c r="P186" s="111"/>
      <c r="Q186" s="112"/>
      <c r="R186" s="103"/>
      <c r="S186" s="103"/>
      <c r="T186" s="103"/>
      <c r="U186" s="103"/>
      <c r="V186" s="103"/>
      <c r="W186" s="103"/>
      <c r="X186" s="103"/>
      <c r="Y186" s="103"/>
      <c r="Z186" s="103"/>
      <c r="AA186" s="103"/>
    </row>
    <row r="187" spans="1:27" ht="51" x14ac:dyDescent="0.2">
      <c r="A187" s="110">
        <v>35</v>
      </c>
      <c r="B187" s="111" t="str">
        <f ca="1">IFERROR(__xludf.DUMMYFUNCTION("""COMPUTED_VALUE"""),"МинЖКХ")</f>
        <v>МинЖКХ</v>
      </c>
      <c r="C187" s="111" t="str">
        <f ca="1">IFERROR(__xludf.DUMMYFUNCTION("""COMPUTED_VALUE"""),"г.о. Рузский")</f>
        <v>г.о. Рузский</v>
      </c>
      <c r="D187" s="111" t="str">
        <f ca="1">IFERROR(__xludf.DUMMYFUNCTION("""COMPUTED_VALUE"""),"Приобретение, монтаж и ввод в эксплуатацию станции водоочистки на ВЗУв с. Никольское, соор.64,, Рузский г.о.")</f>
        <v>Приобретение, монтаж и ввод в эксплуатацию станции водоочистки на ВЗУв с. Никольское, соор.64,, Рузский г.о.</v>
      </c>
      <c r="E187" s="111">
        <f ca="1">IFERROR(__xludf.DUMMYFUNCTION("""COMPUTED_VALUE"""),2020)</f>
        <v>2020</v>
      </c>
      <c r="F187" s="113">
        <f ca="1">IFERROR(__xludf.DUMMYFUNCTION("""COMPUTED_VALUE"""),1843.74)</f>
        <v>1843.74</v>
      </c>
      <c r="G187" s="113">
        <f ca="1">IFERROR(__xludf.DUMMYFUNCTION("""COMPUTED_VALUE"""),1843.74)</f>
        <v>1843.74</v>
      </c>
      <c r="H187" s="113">
        <f ca="1">IFERROR(__xludf.DUMMYFUNCTION("""COMPUTED_VALUE"""),0)</f>
        <v>0</v>
      </c>
      <c r="I187" s="113">
        <f ca="1">IFERROR(__xludf.DUMMYFUNCTION("""COMPUTED_VALUE"""),0)</f>
        <v>0</v>
      </c>
      <c r="J187" s="111">
        <f ca="1">IFERROR(__xludf.DUMMYFUNCTION("""COMPUTED_VALUE"""),1843.74)</f>
        <v>1843.74</v>
      </c>
      <c r="K187" s="113">
        <f ca="1">IFERROR(__xludf.DUMMYFUNCTION("""COMPUTED_VALUE"""),0)</f>
        <v>0</v>
      </c>
      <c r="L187" s="114">
        <f ca="1">IFERROR(__xludf.DUMMYFUNCTION("""COMPUTED_VALUE"""),1)</f>
        <v>1</v>
      </c>
      <c r="M187" s="111"/>
      <c r="N187" s="111"/>
      <c r="O187" s="111"/>
      <c r="P187" s="111"/>
      <c r="Q187" s="112"/>
      <c r="R187" s="103"/>
      <c r="S187" s="103"/>
      <c r="T187" s="103"/>
      <c r="U187" s="103"/>
      <c r="V187" s="103"/>
      <c r="W187" s="103"/>
      <c r="X187" s="103"/>
      <c r="Y187" s="103"/>
      <c r="Z187" s="103"/>
      <c r="AA187" s="103"/>
    </row>
    <row r="188" spans="1:27" ht="63.75" x14ac:dyDescent="0.2">
      <c r="A188" s="111"/>
      <c r="B188" s="111" t="str">
        <f ca="1">IFERROR(__xludf.DUMMYFUNCTION("""COMPUTED_VALUE"""),"МинЖКХ")</f>
        <v>МинЖКХ</v>
      </c>
      <c r="C188" s="111" t="str">
        <f ca="1">IFERROR(__xludf.DUMMYFUNCTION("""COMPUTED_VALUE"""),"г.о. Рузский")</f>
        <v>г.о. Рузский</v>
      </c>
      <c r="D188" s="111" t="str">
        <f ca="1">IFERROR(__xludf.DUMMYFUNCTION("""COMPUTED_VALUE"""),"Приобретение, монтаж и ввод в эксплуатацию станции водоочистки на ВЗУв д. Колодкино, ул. Верейская д.176, Рузский г.о.")</f>
        <v>Приобретение, монтаж и ввод в эксплуатацию станции водоочистки на ВЗУв д. Колодкино, ул. Верейская д.176, Рузский г.о.</v>
      </c>
      <c r="E188" s="111">
        <f ca="1">IFERROR(__xludf.DUMMYFUNCTION("""COMPUTED_VALUE"""),2021)</f>
        <v>2021</v>
      </c>
      <c r="F188" s="113">
        <f ca="1">IFERROR(__xludf.DUMMYFUNCTION("""COMPUTED_VALUE"""),0)</f>
        <v>0</v>
      </c>
      <c r="G188" s="113">
        <f ca="1">IFERROR(__xludf.DUMMYFUNCTION("""COMPUTED_VALUE"""),0)</f>
        <v>0</v>
      </c>
      <c r="H188" s="113">
        <f ca="1">IFERROR(__xludf.DUMMYFUNCTION("""COMPUTED_VALUE"""),0)</f>
        <v>0</v>
      </c>
      <c r="I188" s="113">
        <f ca="1">IFERROR(__xludf.DUMMYFUNCTION("""COMPUTED_VALUE"""),0)</f>
        <v>0</v>
      </c>
      <c r="J188" s="111">
        <f ca="1">IFERROR(__xludf.DUMMYFUNCTION("""COMPUTED_VALUE"""),0)</f>
        <v>0</v>
      </c>
      <c r="K188" s="113">
        <f ca="1">IFERROR(__xludf.DUMMYFUNCTION("""COMPUTED_VALUE"""),0)</f>
        <v>0</v>
      </c>
      <c r="L188" s="114" t="str">
        <f ca="1">IFERROR(__xludf.DUMMYFUNCTION("""COMPUTED_VALUE"""),"#DIV/0!")</f>
        <v>#DIV/0!</v>
      </c>
      <c r="M188" s="111"/>
      <c r="N188" s="111"/>
      <c r="O188" s="111"/>
      <c r="P188" s="111"/>
      <c r="Q188" s="112"/>
      <c r="R188" s="103"/>
      <c r="S188" s="103"/>
      <c r="T188" s="103"/>
      <c r="U188" s="103"/>
      <c r="V188" s="103"/>
      <c r="W188" s="103"/>
      <c r="X188" s="103"/>
      <c r="Y188" s="103"/>
      <c r="Z188" s="103"/>
      <c r="AA188" s="103"/>
    </row>
    <row r="189" spans="1:27" ht="51" x14ac:dyDescent="0.2">
      <c r="A189" s="111"/>
      <c r="B189" s="111" t="str">
        <f ca="1">IFERROR(__xludf.DUMMYFUNCTION("""COMPUTED_VALUE"""),"МинЖКХ")</f>
        <v>МинЖКХ</v>
      </c>
      <c r="C189" s="111" t="str">
        <f ca="1">IFERROR(__xludf.DUMMYFUNCTION("""COMPUTED_VALUE"""),"г.о. Рузский")</f>
        <v>г.о. Рузский</v>
      </c>
      <c r="D189" s="111" t="str">
        <f ca="1">IFERROR(__xludf.DUMMYFUNCTION("""COMPUTED_VALUE"""),"Приобретение, монтаж и ввод в эксплуатацию станции водоочистки на ВЗУв д. Грибцово, ул. Больничная д.138, Рузский г.о.")</f>
        <v>Приобретение, монтаж и ввод в эксплуатацию станции водоочистки на ВЗУв д. Грибцово, ул. Больничная д.138, Рузский г.о.</v>
      </c>
      <c r="E189" s="111">
        <f ca="1">IFERROR(__xludf.DUMMYFUNCTION("""COMPUTED_VALUE"""),2021)</f>
        <v>2021</v>
      </c>
      <c r="F189" s="113">
        <f ca="1">IFERROR(__xludf.DUMMYFUNCTION("""COMPUTED_VALUE"""),0)</f>
        <v>0</v>
      </c>
      <c r="G189" s="113">
        <f ca="1">IFERROR(__xludf.DUMMYFUNCTION("""COMPUTED_VALUE"""),0)</f>
        <v>0</v>
      </c>
      <c r="H189" s="113">
        <f ca="1">IFERROR(__xludf.DUMMYFUNCTION("""COMPUTED_VALUE"""),0)</f>
        <v>0</v>
      </c>
      <c r="I189" s="113">
        <f ca="1">IFERROR(__xludf.DUMMYFUNCTION("""COMPUTED_VALUE"""),0)</f>
        <v>0</v>
      </c>
      <c r="J189" s="111">
        <f ca="1">IFERROR(__xludf.DUMMYFUNCTION("""COMPUTED_VALUE"""),0)</f>
        <v>0</v>
      </c>
      <c r="K189" s="113">
        <f ca="1">IFERROR(__xludf.DUMMYFUNCTION("""COMPUTED_VALUE"""),0)</f>
        <v>0</v>
      </c>
      <c r="L189" s="114" t="str">
        <f ca="1">IFERROR(__xludf.DUMMYFUNCTION("""COMPUTED_VALUE"""),"#DIV/0!")</f>
        <v>#DIV/0!</v>
      </c>
      <c r="M189" s="111"/>
      <c r="N189" s="111"/>
      <c r="O189" s="111"/>
      <c r="P189" s="111"/>
      <c r="Q189" s="112"/>
      <c r="R189" s="103"/>
      <c r="S189" s="103"/>
      <c r="T189" s="103"/>
      <c r="U189" s="103"/>
      <c r="V189" s="103"/>
      <c r="W189" s="103"/>
      <c r="X189" s="103"/>
      <c r="Y189" s="103"/>
      <c r="Z189" s="103"/>
      <c r="AA189" s="103"/>
    </row>
    <row r="190" spans="1:27" ht="51" x14ac:dyDescent="0.2">
      <c r="A190" s="111"/>
      <c r="B190" s="111" t="str">
        <f ca="1">IFERROR(__xludf.DUMMYFUNCTION("""COMPUTED_VALUE"""),"МинЖКХ")</f>
        <v>МинЖКХ</v>
      </c>
      <c r="C190" s="111" t="str">
        <f ca="1">IFERROR(__xludf.DUMMYFUNCTION("""COMPUTED_VALUE"""),"г.о. Рузский")</f>
        <v>г.о. Рузский</v>
      </c>
      <c r="D190" s="111" t="str">
        <f ca="1">IFERROR(__xludf.DUMMYFUNCTION("""COMPUTED_VALUE"""),"Приобретение, монтаж и ввод в эксплуатацию станции водоочистки на ВЗУв д. Новоивановское,  д.81, Рузский г.о.")</f>
        <v>Приобретение, монтаж и ввод в эксплуатацию станции водоочистки на ВЗУв д. Новоивановское,  д.81, Рузский г.о.</v>
      </c>
      <c r="E190" s="111">
        <f ca="1">IFERROR(__xludf.DUMMYFUNCTION("""COMPUTED_VALUE"""),2021)</f>
        <v>2021</v>
      </c>
      <c r="F190" s="113">
        <f ca="1">IFERROR(__xludf.DUMMYFUNCTION("""COMPUTED_VALUE"""),0)</f>
        <v>0</v>
      </c>
      <c r="G190" s="113">
        <f ca="1">IFERROR(__xludf.DUMMYFUNCTION("""COMPUTED_VALUE"""),0)</f>
        <v>0</v>
      </c>
      <c r="H190" s="113">
        <f ca="1">IFERROR(__xludf.DUMMYFUNCTION("""COMPUTED_VALUE"""),0)</f>
        <v>0</v>
      </c>
      <c r="I190" s="113">
        <f ca="1">IFERROR(__xludf.DUMMYFUNCTION("""COMPUTED_VALUE"""),0)</f>
        <v>0</v>
      </c>
      <c r="J190" s="111">
        <f ca="1">IFERROR(__xludf.DUMMYFUNCTION("""COMPUTED_VALUE"""),0)</f>
        <v>0</v>
      </c>
      <c r="K190" s="113">
        <f ca="1">IFERROR(__xludf.DUMMYFUNCTION("""COMPUTED_VALUE"""),0)</f>
        <v>0</v>
      </c>
      <c r="L190" s="114" t="str">
        <f ca="1">IFERROR(__xludf.DUMMYFUNCTION("""COMPUTED_VALUE"""),"#DIV/0!")</f>
        <v>#DIV/0!</v>
      </c>
      <c r="M190" s="111"/>
      <c r="N190" s="111"/>
      <c r="O190" s="111"/>
      <c r="P190" s="111"/>
      <c r="Q190" s="112"/>
      <c r="R190" s="103"/>
      <c r="S190" s="103"/>
      <c r="T190" s="103"/>
      <c r="U190" s="103"/>
      <c r="V190" s="103"/>
      <c r="W190" s="103"/>
      <c r="X190" s="103"/>
      <c r="Y190" s="103"/>
      <c r="Z190" s="103"/>
      <c r="AA190" s="103"/>
    </row>
    <row r="191" spans="1:27" ht="51" x14ac:dyDescent="0.2">
      <c r="A191" s="111"/>
      <c r="B191" s="111" t="str">
        <f ca="1">IFERROR(__xludf.DUMMYFUNCTION("""COMPUTED_VALUE"""),"МинЖКХ")</f>
        <v>МинЖКХ</v>
      </c>
      <c r="C191" s="111" t="str">
        <f ca="1">IFERROR(__xludf.DUMMYFUNCTION("""COMPUTED_VALUE"""),"г.о. Рузский")</f>
        <v>г.о. Рузский</v>
      </c>
      <c r="D191" s="111" t="str">
        <f ca="1">IFERROR(__xludf.DUMMYFUNCTION("""COMPUTED_VALUE"""),"Приобретение, монтаж и ввод в эксплуатацию станции водоочистки на ВЗУв д. Филатово  д.1, стр.2, Рузский г.о.")</f>
        <v>Приобретение, монтаж и ввод в эксплуатацию станции водоочистки на ВЗУв д. Филатово  д.1, стр.2, Рузский г.о.</v>
      </c>
      <c r="E191" s="111">
        <f ca="1">IFERROR(__xludf.DUMMYFUNCTION("""COMPUTED_VALUE"""),2021)</f>
        <v>2021</v>
      </c>
      <c r="F191" s="113">
        <f ca="1">IFERROR(__xludf.DUMMYFUNCTION("""COMPUTED_VALUE"""),0)</f>
        <v>0</v>
      </c>
      <c r="G191" s="113">
        <f ca="1">IFERROR(__xludf.DUMMYFUNCTION("""COMPUTED_VALUE"""),0)</f>
        <v>0</v>
      </c>
      <c r="H191" s="113">
        <f ca="1">IFERROR(__xludf.DUMMYFUNCTION("""COMPUTED_VALUE"""),0)</f>
        <v>0</v>
      </c>
      <c r="I191" s="113">
        <f ca="1">IFERROR(__xludf.DUMMYFUNCTION("""COMPUTED_VALUE"""),0)</f>
        <v>0</v>
      </c>
      <c r="J191" s="111">
        <f ca="1">IFERROR(__xludf.DUMMYFUNCTION("""COMPUTED_VALUE"""),0)</f>
        <v>0</v>
      </c>
      <c r="K191" s="113">
        <f ca="1">IFERROR(__xludf.DUMMYFUNCTION("""COMPUTED_VALUE"""),0)</f>
        <v>0</v>
      </c>
      <c r="L191" s="114" t="str">
        <f ca="1">IFERROR(__xludf.DUMMYFUNCTION("""COMPUTED_VALUE"""),"#DIV/0!")</f>
        <v>#DIV/0!</v>
      </c>
      <c r="M191" s="111"/>
      <c r="N191" s="111"/>
      <c r="O191" s="111"/>
      <c r="P191" s="111"/>
      <c r="Q191" s="112"/>
      <c r="R191" s="103"/>
      <c r="S191" s="103"/>
      <c r="T191" s="103"/>
      <c r="U191" s="103"/>
      <c r="V191" s="103"/>
      <c r="W191" s="103"/>
      <c r="X191" s="103"/>
      <c r="Y191" s="103"/>
      <c r="Z191" s="103"/>
      <c r="AA191" s="103"/>
    </row>
    <row r="192" spans="1:27" ht="51" x14ac:dyDescent="0.2">
      <c r="A192" s="110">
        <v>36</v>
      </c>
      <c r="B192" s="111" t="str">
        <f ca="1">IFERROR(__xludf.DUMMYFUNCTION("""COMPUTED_VALUE"""),"МинЖКХ")</f>
        <v>МинЖКХ</v>
      </c>
      <c r="C192" s="111" t="str">
        <f ca="1">IFERROR(__xludf.DUMMYFUNCTION("""COMPUTED_VALUE"""),"г.о. Рузский")</f>
        <v>г.о. Рузский</v>
      </c>
      <c r="D192" s="111" t="str">
        <f ca="1">IFERROR(__xludf.DUMMYFUNCTION("""COMPUTED_VALUE"""),"Приобретение, монтаж и ввод в эксплуатацию станции водоочистки на ВЗУв д. Леньково  д.2, стр.2, Рузский г.о.")</f>
        <v>Приобретение, монтаж и ввод в эксплуатацию станции водоочистки на ВЗУв д. Леньково  д.2, стр.2, Рузский г.о.</v>
      </c>
      <c r="E192" s="111">
        <f ca="1">IFERROR(__xludf.DUMMYFUNCTION("""COMPUTED_VALUE"""),2020)</f>
        <v>2020</v>
      </c>
      <c r="F192" s="113">
        <f ca="1">IFERROR(__xludf.DUMMYFUNCTION("""COMPUTED_VALUE"""),597.42)</f>
        <v>597.41999999999996</v>
      </c>
      <c r="G192" s="113">
        <f ca="1">IFERROR(__xludf.DUMMYFUNCTION("""COMPUTED_VALUE"""),597.42)</f>
        <v>597.41999999999996</v>
      </c>
      <c r="H192" s="113">
        <f ca="1">IFERROR(__xludf.DUMMYFUNCTION("""COMPUTED_VALUE"""),0)</f>
        <v>0</v>
      </c>
      <c r="I192" s="113">
        <f ca="1">IFERROR(__xludf.DUMMYFUNCTION("""COMPUTED_VALUE"""),0)</f>
        <v>0</v>
      </c>
      <c r="J192" s="111">
        <f ca="1">IFERROR(__xludf.DUMMYFUNCTION("""COMPUTED_VALUE"""),430.07)</f>
        <v>430.07</v>
      </c>
      <c r="K192" s="113">
        <f ca="1">IFERROR(__xludf.DUMMYFUNCTION("""COMPUTED_VALUE"""),167.349999999999)</f>
        <v>167.349999999999</v>
      </c>
      <c r="L192" s="114">
        <f ca="1">IFERROR(__xludf.DUMMYFUNCTION("""COMPUTED_VALUE"""),0.719878812225904)</f>
        <v>0.719878812225904</v>
      </c>
      <c r="M192" s="111"/>
      <c r="N192" s="111"/>
      <c r="O192" s="111"/>
      <c r="P192" s="111"/>
      <c r="Q192" s="112"/>
      <c r="R192" s="103"/>
      <c r="S192" s="103"/>
      <c r="T192" s="103"/>
      <c r="U192" s="103"/>
      <c r="V192" s="103"/>
      <c r="W192" s="103"/>
      <c r="X192" s="103"/>
      <c r="Y192" s="103"/>
      <c r="Z192" s="103"/>
      <c r="AA192" s="103"/>
    </row>
    <row r="193" spans="1:27" ht="51" x14ac:dyDescent="0.2">
      <c r="A193" s="110">
        <v>37</v>
      </c>
      <c r="B193" s="111" t="str">
        <f ca="1">IFERROR(__xludf.DUMMYFUNCTION("""COMPUTED_VALUE"""),"МинЖКХ")</f>
        <v>МинЖКХ</v>
      </c>
      <c r="C193" s="111" t="str">
        <f ca="1">IFERROR(__xludf.DUMMYFUNCTION("""COMPUTED_VALUE"""),"г.о. Рузский")</f>
        <v>г.о. Рузский</v>
      </c>
      <c r="D193" s="111" t="str">
        <f ca="1">IFERROR(__xludf.DUMMYFUNCTION("""COMPUTED_VALUE"""),"Приобретение, монтаж и ввод в эксплуатацию станции водоочистки на ВЗУв д. Лихачево  д.108, Рузский г.о.")</f>
        <v>Приобретение, монтаж и ввод в эксплуатацию станции водоочистки на ВЗУв д. Лихачево  д.108, Рузский г.о.</v>
      </c>
      <c r="E193" s="111">
        <f ca="1">IFERROR(__xludf.DUMMYFUNCTION("""COMPUTED_VALUE"""),2020)</f>
        <v>2020</v>
      </c>
      <c r="F193" s="113">
        <f ca="1">IFERROR(__xludf.DUMMYFUNCTION("""COMPUTED_VALUE"""),1752.42)</f>
        <v>1752.42</v>
      </c>
      <c r="G193" s="113">
        <f ca="1">IFERROR(__xludf.DUMMYFUNCTION("""COMPUTED_VALUE"""),1752.42)</f>
        <v>1752.42</v>
      </c>
      <c r="H193" s="113">
        <f ca="1">IFERROR(__xludf.DUMMYFUNCTION("""COMPUTED_VALUE"""),0)</f>
        <v>0</v>
      </c>
      <c r="I193" s="113">
        <f ca="1">IFERROR(__xludf.DUMMYFUNCTION("""COMPUTED_VALUE"""),0)</f>
        <v>0</v>
      </c>
      <c r="J193" s="111">
        <f ca="1">IFERROR(__xludf.DUMMYFUNCTION("""COMPUTED_VALUE"""),1560.09)</f>
        <v>1560.09</v>
      </c>
      <c r="K193" s="113">
        <f ca="1">IFERROR(__xludf.DUMMYFUNCTION("""COMPUTED_VALUE"""),192.33)</f>
        <v>192.33</v>
      </c>
      <c r="L193" s="114">
        <f ca="1">IFERROR(__xludf.DUMMYFUNCTION("""COMPUTED_VALUE"""),0.890248912931831)</f>
        <v>0.89024891293183095</v>
      </c>
      <c r="M193" s="111"/>
      <c r="N193" s="111"/>
      <c r="O193" s="111"/>
      <c r="P193" s="111"/>
      <c r="Q193" s="112"/>
      <c r="R193" s="103"/>
      <c r="S193" s="103"/>
      <c r="T193" s="103"/>
      <c r="U193" s="103"/>
      <c r="V193" s="103"/>
      <c r="W193" s="103"/>
      <c r="X193" s="103"/>
      <c r="Y193" s="103"/>
      <c r="Z193" s="103"/>
      <c r="AA193" s="103"/>
    </row>
    <row r="194" spans="1:27" ht="51" x14ac:dyDescent="0.2">
      <c r="A194" s="110">
        <v>38</v>
      </c>
      <c r="B194" s="111" t="str">
        <f ca="1">IFERROR(__xludf.DUMMYFUNCTION("""COMPUTED_VALUE"""),"МинЖКХ")</f>
        <v>МинЖКХ</v>
      </c>
      <c r="C194" s="111" t="str">
        <f ca="1">IFERROR(__xludf.DUMMYFUNCTION("""COMPUTED_VALUE"""),"г.о. Рузский")</f>
        <v>г.о. Рузский</v>
      </c>
      <c r="D194" s="111" t="str">
        <f ca="1">IFERROR(__xludf.DUMMYFUNCTION("""COMPUTED_VALUE"""),"Приобретение, монтаж и ввод в эксплуатацию станции водоочистки на ВЗУв д. Ивойлово, соор.19, Рузский г.о.")</f>
        <v>Приобретение, монтаж и ввод в эксплуатацию станции водоочистки на ВЗУв д. Ивойлово, соор.19, Рузский г.о.</v>
      </c>
      <c r="E194" s="111">
        <f ca="1">IFERROR(__xludf.DUMMYFUNCTION("""COMPUTED_VALUE"""),2020)</f>
        <v>2020</v>
      </c>
      <c r="F194" s="113">
        <f ca="1">IFERROR(__xludf.DUMMYFUNCTION("""COMPUTED_VALUE"""),1761.42)</f>
        <v>1761.42</v>
      </c>
      <c r="G194" s="113">
        <f ca="1">IFERROR(__xludf.DUMMYFUNCTION("""COMPUTED_VALUE"""),1761.42)</f>
        <v>1761.42</v>
      </c>
      <c r="H194" s="113">
        <f ca="1">IFERROR(__xludf.DUMMYFUNCTION("""COMPUTED_VALUE"""),0)</f>
        <v>0</v>
      </c>
      <c r="I194" s="113">
        <f ca="1">IFERROR(__xludf.DUMMYFUNCTION("""COMPUTED_VALUE"""),0)</f>
        <v>0</v>
      </c>
      <c r="J194" s="111">
        <f ca="1">IFERROR(__xludf.DUMMYFUNCTION("""COMPUTED_VALUE"""),1559.39)</f>
        <v>1559.39</v>
      </c>
      <c r="K194" s="113">
        <f ca="1">IFERROR(__xludf.DUMMYFUNCTION("""COMPUTED_VALUE"""),202.029999999999)</f>
        <v>202.02999999999901</v>
      </c>
      <c r="L194" s="114">
        <f ca="1">IFERROR(__xludf.DUMMYFUNCTION("""COMPUTED_VALUE"""),0.885302767085646)</f>
        <v>0.88530276708564604</v>
      </c>
      <c r="M194" s="111"/>
      <c r="N194" s="111"/>
      <c r="O194" s="111"/>
      <c r="P194" s="111"/>
      <c r="Q194" s="112"/>
      <c r="R194" s="103"/>
      <c r="S194" s="103"/>
      <c r="T194" s="103"/>
      <c r="U194" s="103"/>
      <c r="V194" s="103"/>
      <c r="W194" s="103"/>
      <c r="X194" s="103"/>
      <c r="Y194" s="103"/>
      <c r="Z194" s="103"/>
      <c r="AA194" s="103"/>
    </row>
    <row r="195" spans="1:27" ht="51" x14ac:dyDescent="0.2">
      <c r="A195" s="111"/>
      <c r="B195" s="111" t="str">
        <f ca="1">IFERROR(__xludf.DUMMYFUNCTION("""COMPUTED_VALUE"""),"МинЖКХ")</f>
        <v>МинЖКХ</v>
      </c>
      <c r="C195" s="111" t="str">
        <f ca="1">IFERROR(__xludf.DUMMYFUNCTION("""COMPUTED_VALUE"""),"г.о. Рузский")</f>
        <v>г.о. Рузский</v>
      </c>
      <c r="D195" s="111" t="str">
        <f ca="1">IFERROR(__xludf.DUMMYFUNCTION("""COMPUTED_VALUE"""),"Приобретение, монтаж и ввод в эксплуатацию станции водоочистки на ВЗУв д. Комлево,  Рузский г.о.")</f>
        <v>Приобретение, монтаж и ввод в эксплуатацию станции водоочистки на ВЗУв д. Комлево,  Рузский г.о.</v>
      </c>
      <c r="E195" s="111">
        <f ca="1">IFERROR(__xludf.DUMMYFUNCTION("""COMPUTED_VALUE"""),2021)</f>
        <v>2021</v>
      </c>
      <c r="F195" s="113">
        <f ca="1">IFERROR(__xludf.DUMMYFUNCTION("""COMPUTED_VALUE"""),0)</f>
        <v>0</v>
      </c>
      <c r="G195" s="113">
        <f ca="1">IFERROR(__xludf.DUMMYFUNCTION("""COMPUTED_VALUE"""),0)</f>
        <v>0</v>
      </c>
      <c r="H195" s="113">
        <f ca="1">IFERROR(__xludf.DUMMYFUNCTION("""COMPUTED_VALUE"""),0)</f>
        <v>0</v>
      </c>
      <c r="I195" s="113">
        <f ca="1">IFERROR(__xludf.DUMMYFUNCTION("""COMPUTED_VALUE"""),0)</f>
        <v>0</v>
      </c>
      <c r="J195" s="111">
        <f ca="1">IFERROR(__xludf.DUMMYFUNCTION("""COMPUTED_VALUE"""),0)</f>
        <v>0</v>
      </c>
      <c r="K195" s="113">
        <f ca="1">IFERROR(__xludf.DUMMYFUNCTION("""COMPUTED_VALUE"""),0)</f>
        <v>0</v>
      </c>
      <c r="L195" s="114" t="str">
        <f ca="1">IFERROR(__xludf.DUMMYFUNCTION("""COMPUTED_VALUE"""),"#DIV/0!")</f>
        <v>#DIV/0!</v>
      </c>
      <c r="M195" s="111"/>
      <c r="N195" s="111"/>
      <c r="O195" s="111"/>
      <c r="P195" s="111"/>
      <c r="Q195" s="112"/>
      <c r="R195" s="103"/>
      <c r="S195" s="103"/>
      <c r="T195" s="103"/>
      <c r="U195" s="103"/>
      <c r="V195" s="103"/>
      <c r="W195" s="103"/>
      <c r="X195" s="103"/>
      <c r="Y195" s="103"/>
      <c r="Z195" s="103"/>
      <c r="AA195" s="103"/>
    </row>
    <row r="196" spans="1:27" ht="51" x14ac:dyDescent="0.2">
      <c r="A196" s="111"/>
      <c r="B196" s="111" t="str">
        <f ca="1">IFERROR(__xludf.DUMMYFUNCTION("""COMPUTED_VALUE"""),"МинЖКХ")</f>
        <v>МинЖКХ</v>
      </c>
      <c r="C196" s="111" t="str">
        <f ca="1">IFERROR(__xludf.DUMMYFUNCTION("""COMPUTED_VALUE"""),"г.о. Рузский")</f>
        <v>г.о. Рузский</v>
      </c>
      <c r="D196" s="111" t="str">
        <f ca="1">IFERROR(__xludf.DUMMYFUNCTION("""COMPUTED_VALUE"""),"Приобретение, монтаж и ввод в эксплуатацию станции водоочистки на ВЗУв д. Городище, п/ст151, соор.2В,  Рузский г.о.")</f>
        <v>Приобретение, монтаж и ввод в эксплуатацию станции водоочистки на ВЗУв д. Городище, п/ст151, соор.2В,  Рузский г.о.</v>
      </c>
      <c r="E196" s="111">
        <f ca="1">IFERROR(__xludf.DUMMYFUNCTION("""COMPUTED_VALUE"""),2021)</f>
        <v>2021</v>
      </c>
      <c r="F196" s="113">
        <f ca="1">IFERROR(__xludf.DUMMYFUNCTION("""COMPUTED_VALUE"""),0)</f>
        <v>0</v>
      </c>
      <c r="G196" s="113">
        <f ca="1">IFERROR(__xludf.DUMMYFUNCTION("""COMPUTED_VALUE"""),0)</f>
        <v>0</v>
      </c>
      <c r="H196" s="113">
        <f ca="1">IFERROR(__xludf.DUMMYFUNCTION("""COMPUTED_VALUE"""),0)</f>
        <v>0</v>
      </c>
      <c r="I196" s="113">
        <f ca="1">IFERROR(__xludf.DUMMYFUNCTION("""COMPUTED_VALUE"""),0)</f>
        <v>0</v>
      </c>
      <c r="J196" s="111">
        <f ca="1">IFERROR(__xludf.DUMMYFUNCTION("""COMPUTED_VALUE"""),0)</f>
        <v>0</v>
      </c>
      <c r="K196" s="113">
        <f ca="1">IFERROR(__xludf.DUMMYFUNCTION("""COMPUTED_VALUE"""),0)</f>
        <v>0</v>
      </c>
      <c r="L196" s="114" t="str">
        <f ca="1">IFERROR(__xludf.DUMMYFUNCTION("""COMPUTED_VALUE"""),"#DIV/0!")</f>
        <v>#DIV/0!</v>
      </c>
      <c r="M196" s="111"/>
      <c r="N196" s="111"/>
      <c r="O196" s="111"/>
      <c r="P196" s="111"/>
      <c r="Q196" s="112"/>
      <c r="R196" s="103"/>
      <c r="S196" s="103"/>
      <c r="T196" s="103"/>
      <c r="U196" s="103"/>
      <c r="V196" s="103"/>
      <c r="W196" s="103"/>
      <c r="X196" s="103"/>
      <c r="Y196" s="103"/>
      <c r="Z196" s="103"/>
      <c r="AA196" s="103"/>
    </row>
    <row r="197" spans="1:27" ht="63.75" x14ac:dyDescent="0.2">
      <c r="A197" s="110">
        <v>39</v>
      </c>
      <c r="B197" s="111" t="str">
        <f ca="1">IFERROR(__xludf.DUMMYFUNCTION("""COMPUTED_VALUE"""),"МинЖКХ")</f>
        <v>МинЖКХ</v>
      </c>
      <c r="C197" s="111" t="str">
        <f ca="1">IFERROR(__xludf.DUMMYFUNCTION("""COMPUTED_VALUE"""),"г.о. Рузский")</f>
        <v>г.о. Рузский</v>
      </c>
      <c r="D197" s="111" t="str">
        <f ca="1">IFERROR(__xludf.DUMMYFUNCTION("""COMPUTED_VALUE"""),"Приобретение, монтаж и ввод в эксплуатацию станции водоочистки на ВЗУв с. Покровское, ДОХБ, соор.22,  Рузский г.о.")</f>
        <v>Приобретение, монтаж и ввод в эксплуатацию станции водоочистки на ВЗУв с. Покровское, ДОХБ, соор.22,  Рузский г.о.</v>
      </c>
      <c r="E197" s="111">
        <f ca="1">IFERROR(__xludf.DUMMYFUNCTION("""COMPUTED_VALUE"""),2020)</f>
        <v>2020</v>
      </c>
      <c r="F197" s="113">
        <f ca="1">IFERROR(__xludf.DUMMYFUNCTION("""COMPUTED_VALUE"""),1874.4)</f>
        <v>1874.4</v>
      </c>
      <c r="G197" s="113">
        <f ca="1">IFERROR(__xludf.DUMMYFUNCTION("""COMPUTED_VALUE"""),1874.4)</f>
        <v>1874.4</v>
      </c>
      <c r="H197" s="113">
        <f ca="1">IFERROR(__xludf.DUMMYFUNCTION("""COMPUTED_VALUE"""),0)</f>
        <v>0</v>
      </c>
      <c r="I197" s="113">
        <f ca="1">IFERROR(__xludf.DUMMYFUNCTION("""COMPUTED_VALUE"""),0)</f>
        <v>0</v>
      </c>
      <c r="J197" s="111">
        <f ca="1">IFERROR(__xludf.DUMMYFUNCTION("""COMPUTED_VALUE"""),1874.22)</f>
        <v>1874.22</v>
      </c>
      <c r="K197" s="113">
        <f ca="1">IFERROR(__xludf.DUMMYFUNCTION("""COMPUTED_VALUE"""),0.180000000000063)</f>
        <v>0.180000000000063</v>
      </c>
      <c r="L197" s="114">
        <f ca="1">IFERROR(__xludf.DUMMYFUNCTION("""COMPUTED_VALUE"""),0.999903969270166)</f>
        <v>0.999903969270166</v>
      </c>
      <c r="M197" s="111"/>
      <c r="N197" s="111"/>
      <c r="O197" s="111"/>
      <c r="P197" s="111"/>
      <c r="Q197" s="112"/>
      <c r="R197" s="103"/>
      <c r="S197" s="103"/>
      <c r="T197" s="103"/>
      <c r="U197" s="103"/>
      <c r="V197" s="103"/>
      <c r="W197" s="103"/>
      <c r="X197" s="103"/>
      <c r="Y197" s="103"/>
      <c r="Z197" s="103"/>
      <c r="AA197" s="103"/>
    </row>
    <row r="198" spans="1:27" ht="51" x14ac:dyDescent="0.2">
      <c r="A198" s="111"/>
      <c r="B198" s="111" t="str">
        <f ca="1">IFERROR(__xludf.DUMMYFUNCTION("""COMPUTED_VALUE"""),"МинЖКХ")</f>
        <v>МинЖКХ</v>
      </c>
      <c r="C198" s="111" t="str">
        <f ca="1">IFERROR(__xludf.DUMMYFUNCTION("""COMPUTED_VALUE"""),"г.о. Шатура")</f>
        <v>г.о. Шатура</v>
      </c>
      <c r="D198" s="111" t="str">
        <f ca="1">IFERROR(__xludf.DUMMYFUNCTION("""COMPUTED_VALUE"""),"Приобретение, монтаж и ввод в эксплуатацию станции водоочистки на ВЗУв д. Маврино, г.о. Шатура")</f>
        <v>Приобретение, монтаж и ввод в эксплуатацию станции водоочистки на ВЗУв д. Маврино, г.о. Шатура</v>
      </c>
      <c r="E198" s="111">
        <f ca="1">IFERROR(__xludf.DUMMYFUNCTION("""COMPUTED_VALUE"""),2021)</f>
        <v>2021</v>
      </c>
      <c r="F198" s="113">
        <f ca="1">IFERROR(__xludf.DUMMYFUNCTION("""COMPUTED_VALUE"""),0)</f>
        <v>0</v>
      </c>
      <c r="G198" s="113">
        <f ca="1">IFERROR(__xludf.DUMMYFUNCTION("""COMPUTED_VALUE"""),0)</f>
        <v>0</v>
      </c>
      <c r="H198" s="113">
        <f ca="1">IFERROR(__xludf.DUMMYFUNCTION("""COMPUTED_VALUE"""),0)</f>
        <v>0</v>
      </c>
      <c r="I198" s="113">
        <f ca="1">IFERROR(__xludf.DUMMYFUNCTION("""COMPUTED_VALUE"""),0)</f>
        <v>0</v>
      </c>
      <c r="J198" s="111">
        <f ca="1">IFERROR(__xludf.DUMMYFUNCTION("""COMPUTED_VALUE"""),0)</f>
        <v>0</v>
      </c>
      <c r="K198" s="113">
        <f ca="1">IFERROR(__xludf.DUMMYFUNCTION("""COMPUTED_VALUE"""),0)</f>
        <v>0</v>
      </c>
      <c r="L198" s="114" t="str">
        <f ca="1">IFERROR(__xludf.DUMMYFUNCTION("""COMPUTED_VALUE"""),"#DIV/0!")</f>
        <v>#DIV/0!</v>
      </c>
      <c r="M198" s="111"/>
      <c r="N198" s="111"/>
      <c r="O198" s="111"/>
      <c r="P198" s="111"/>
      <c r="Q198" s="112"/>
      <c r="R198" s="103"/>
      <c r="S198" s="103"/>
      <c r="T198" s="103"/>
      <c r="U198" s="103"/>
      <c r="V198" s="103"/>
      <c r="W198" s="103"/>
      <c r="X198" s="103"/>
      <c r="Y198" s="103"/>
      <c r="Z198" s="103"/>
      <c r="AA198" s="103"/>
    </row>
    <row r="199" spans="1:27" ht="51" x14ac:dyDescent="0.2">
      <c r="A199" s="111"/>
      <c r="B199" s="111" t="str">
        <f ca="1">IFERROR(__xludf.DUMMYFUNCTION("""COMPUTED_VALUE"""),"МинЖКХ")</f>
        <v>МинЖКХ</v>
      </c>
      <c r="C199" s="111" t="str">
        <f ca="1">IFERROR(__xludf.DUMMYFUNCTION("""COMPUTED_VALUE"""),"г.о. Шатура")</f>
        <v>г.о. Шатура</v>
      </c>
      <c r="D199" s="111" t="str">
        <f ca="1">IFERROR(__xludf.DUMMYFUNCTION("""COMPUTED_VALUE"""),"Приобретение, монтаж и ввод в эксплуатацию станции водоочистки на ВЗУв д. Самойлиха, г.о. Шатура")</f>
        <v>Приобретение, монтаж и ввод в эксплуатацию станции водоочистки на ВЗУв д. Самойлиха, г.о. Шатура</v>
      </c>
      <c r="E199" s="111">
        <f ca="1">IFERROR(__xludf.DUMMYFUNCTION("""COMPUTED_VALUE"""),2021)</f>
        <v>2021</v>
      </c>
      <c r="F199" s="113">
        <f ca="1">IFERROR(__xludf.DUMMYFUNCTION("""COMPUTED_VALUE"""),0)</f>
        <v>0</v>
      </c>
      <c r="G199" s="113">
        <f ca="1">IFERROR(__xludf.DUMMYFUNCTION("""COMPUTED_VALUE"""),0)</f>
        <v>0</v>
      </c>
      <c r="H199" s="113">
        <f ca="1">IFERROR(__xludf.DUMMYFUNCTION("""COMPUTED_VALUE"""),0)</f>
        <v>0</v>
      </c>
      <c r="I199" s="113">
        <f ca="1">IFERROR(__xludf.DUMMYFUNCTION("""COMPUTED_VALUE"""),0)</f>
        <v>0</v>
      </c>
      <c r="J199" s="111">
        <f ca="1">IFERROR(__xludf.DUMMYFUNCTION("""COMPUTED_VALUE"""),0)</f>
        <v>0</v>
      </c>
      <c r="K199" s="113">
        <f ca="1">IFERROR(__xludf.DUMMYFUNCTION("""COMPUTED_VALUE"""),0)</f>
        <v>0</v>
      </c>
      <c r="L199" s="114" t="str">
        <f ca="1">IFERROR(__xludf.DUMMYFUNCTION("""COMPUTED_VALUE"""),"#DIV/0!")</f>
        <v>#DIV/0!</v>
      </c>
      <c r="M199" s="111"/>
      <c r="N199" s="111"/>
      <c r="O199" s="111"/>
      <c r="P199" s="111"/>
      <c r="Q199" s="112"/>
      <c r="R199" s="103"/>
      <c r="S199" s="103"/>
      <c r="T199" s="103"/>
      <c r="U199" s="103"/>
      <c r="V199" s="103"/>
      <c r="W199" s="103"/>
      <c r="X199" s="103"/>
      <c r="Y199" s="103"/>
      <c r="Z199" s="103"/>
      <c r="AA199" s="103"/>
    </row>
    <row r="200" spans="1:27" ht="63.75" x14ac:dyDescent="0.2">
      <c r="A200" s="111"/>
      <c r="B200" s="111" t="str">
        <f ca="1">IFERROR(__xludf.DUMMYFUNCTION("""COMPUTED_VALUE"""),"МинЖКХ")</f>
        <v>МинЖКХ</v>
      </c>
      <c r="C200" s="111" t="str">
        <f ca="1">IFERROR(__xludf.DUMMYFUNCTION("""COMPUTED_VALUE"""),"г.о. Электросталь")</f>
        <v>г.о. Электросталь</v>
      </c>
      <c r="D200" s="111" t="str">
        <f ca="1">IFERROR(__xludf.DUMMYFUNCTION("""COMPUTED_VALUE"""),"Приобретение, монтаж и ввод в эксплуатацию станции водоочистки на ВЗУв с. Иванисово, ул. Центральная усадьба, д.1, г.о. Электросталь")</f>
        <v>Приобретение, монтаж и ввод в эксплуатацию станции водоочистки на ВЗУв с. Иванисово, ул. Центральная усадьба, д.1, г.о. Электросталь</v>
      </c>
      <c r="E200" s="111">
        <f ca="1">IFERROR(__xludf.DUMMYFUNCTION("""COMPUTED_VALUE"""),2021)</f>
        <v>2021</v>
      </c>
      <c r="F200" s="113">
        <f ca="1">IFERROR(__xludf.DUMMYFUNCTION("""COMPUTED_VALUE"""),0)</f>
        <v>0</v>
      </c>
      <c r="G200" s="113">
        <f ca="1">IFERROR(__xludf.DUMMYFUNCTION("""COMPUTED_VALUE"""),0)</f>
        <v>0</v>
      </c>
      <c r="H200" s="113">
        <f ca="1">IFERROR(__xludf.DUMMYFUNCTION("""COMPUTED_VALUE"""),0)</f>
        <v>0</v>
      </c>
      <c r="I200" s="113">
        <f ca="1">IFERROR(__xludf.DUMMYFUNCTION("""COMPUTED_VALUE"""),0)</f>
        <v>0</v>
      </c>
      <c r="J200" s="111">
        <f ca="1">IFERROR(__xludf.DUMMYFUNCTION("""COMPUTED_VALUE"""),0)</f>
        <v>0</v>
      </c>
      <c r="K200" s="113">
        <f ca="1">IFERROR(__xludf.DUMMYFUNCTION("""COMPUTED_VALUE"""),0)</f>
        <v>0</v>
      </c>
      <c r="L200" s="114" t="str">
        <f ca="1">IFERROR(__xludf.DUMMYFUNCTION("""COMPUTED_VALUE"""),"#DIV/0!")</f>
        <v>#DIV/0!</v>
      </c>
      <c r="M200" s="111"/>
      <c r="N200" s="111"/>
      <c r="O200" s="111"/>
      <c r="P200" s="111"/>
      <c r="Q200" s="112"/>
      <c r="R200" s="103"/>
      <c r="S200" s="103"/>
      <c r="T200" s="103"/>
      <c r="U200" s="103"/>
      <c r="V200" s="103"/>
      <c r="W200" s="103"/>
      <c r="X200" s="103"/>
      <c r="Y200" s="103"/>
      <c r="Z200" s="103"/>
      <c r="AA200" s="103"/>
    </row>
    <row r="201" spans="1:27" ht="140.25" x14ac:dyDescent="0.2">
      <c r="A201" s="110">
        <v>40</v>
      </c>
      <c r="B201" s="111" t="str">
        <f ca="1">IFERROR(__xludf.DUMMYFUNCTION("""COMPUTED_VALUE"""),"МинЖКХ")</f>
        <v>МинЖКХ</v>
      </c>
      <c r="C201" s="111" t="str">
        <f ca="1">IFERROR(__xludf.DUMMYFUNCTION("""COMPUTED_VALUE"""),"г.о. Воскресенск")</f>
        <v>г.о. Воскресенск</v>
      </c>
      <c r="D201" s="111" t="str">
        <f ca="1">IFERROR(__xludf.DUMMYFUNCTION("""COMPUTED_VALUE"""),"Приобретение,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тыс.ру"&amp;"б. средства бюджета Московской области)")</f>
        <v>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тыс.руб. средства бюджета Московской области)</v>
      </c>
      <c r="E201" s="111">
        <f ca="1">IFERROR(__xludf.DUMMYFUNCTION("""COMPUTED_VALUE"""),2020)</f>
        <v>2020</v>
      </c>
      <c r="F201" s="113">
        <f ca="1">IFERROR(__xludf.DUMMYFUNCTION("""COMPUTED_VALUE"""),7943)</f>
        <v>7943</v>
      </c>
      <c r="G201" s="113">
        <f ca="1">IFERROR(__xludf.DUMMYFUNCTION("""COMPUTED_VALUE"""),7943)</f>
        <v>7943</v>
      </c>
      <c r="H201" s="113">
        <f ca="1">IFERROR(__xludf.DUMMYFUNCTION("""COMPUTED_VALUE"""),0)</f>
        <v>0</v>
      </c>
      <c r="I201" s="113">
        <f ca="1">IFERROR(__xludf.DUMMYFUNCTION("""COMPUTED_VALUE"""),0)</f>
        <v>0</v>
      </c>
      <c r="J201" s="111">
        <f ca="1">IFERROR(__xludf.DUMMYFUNCTION("""COMPUTED_VALUE"""),7943)</f>
        <v>7943</v>
      </c>
      <c r="K201" s="113">
        <f ca="1">IFERROR(__xludf.DUMMYFUNCTION("""COMPUTED_VALUE"""),0)</f>
        <v>0</v>
      </c>
      <c r="L201" s="114">
        <f ca="1">IFERROR(__xludf.DUMMYFUNCTION("""COMPUTED_VALUE"""),1)</f>
        <v>1</v>
      </c>
      <c r="M201" s="111"/>
      <c r="N201" s="111"/>
      <c r="O201" s="111"/>
      <c r="P201" s="111"/>
      <c r="Q201" s="112"/>
      <c r="R201" s="103"/>
      <c r="S201" s="103"/>
      <c r="T201" s="103"/>
      <c r="U201" s="103"/>
      <c r="V201" s="103"/>
      <c r="W201" s="103"/>
      <c r="X201" s="103"/>
      <c r="Y201" s="103"/>
      <c r="Z201" s="103"/>
      <c r="AA201" s="103"/>
    </row>
    <row r="202" spans="1:27" ht="51" x14ac:dyDescent="0.2">
      <c r="A202" s="111"/>
      <c r="B202" s="111" t="str">
        <f ca="1">IFERROR(__xludf.DUMMYFUNCTION("""COMPUTED_VALUE"""),"МинЖКХ")</f>
        <v>МинЖКХ</v>
      </c>
      <c r="C202" s="111" t="str">
        <f ca="1">IFERROR(__xludf.DUMMYFUNCTION("""COMPUTED_VALUE"""),"г.о. Зарайск")</f>
        <v>г.о. Зарайск</v>
      </c>
      <c r="D202" s="111" t="str">
        <f ca="1">IFERROR(__xludf.DUMMYFUNCTION("""COMPUTED_VALUE"""),"Приобретение, монтаж и ввод в эксплуатцию станций водоочистки на ВЗУ по адресу: п. Зарайский, г.о. Зарайск")</f>
        <v>Приобретение, монтаж и ввод в эксплуатцию станций водоочистки на ВЗУ по адресу: п. Зарайский, г.о. Зарайск</v>
      </c>
      <c r="E202" s="111">
        <f ca="1">IFERROR(__xludf.DUMMYFUNCTION("""COMPUTED_VALUE"""),2021)</f>
        <v>2021</v>
      </c>
      <c r="F202" s="113">
        <f ca="1">IFERROR(__xludf.DUMMYFUNCTION("""COMPUTED_VALUE"""),0)</f>
        <v>0</v>
      </c>
      <c r="G202" s="113">
        <f ca="1">IFERROR(__xludf.DUMMYFUNCTION("""COMPUTED_VALUE"""),0)</f>
        <v>0</v>
      </c>
      <c r="H202" s="113">
        <f ca="1">IFERROR(__xludf.DUMMYFUNCTION("""COMPUTED_VALUE"""),0)</f>
        <v>0</v>
      </c>
      <c r="I202" s="113">
        <f ca="1">IFERROR(__xludf.DUMMYFUNCTION("""COMPUTED_VALUE"""),0)</f>
        <v>0</v>
      </c>
      <c r="J202" s="111">
        <f ca="1">IFERROR(__xludf.DUMMYFUNCTION("""COMPUTED_VALUE"""),0)</f>
        <v>0</v>
      </c>
      <c r="K202" s="113">
        <f ca="1">IFERROR(__xludf.DUMMYFUNCTION("""COMPUTED_VALUE"""),0)</f>
        <v>0</v>
      </c>
      <c r="L202" s="114" t="str">
        <f ca="1">IFERROR(__xludf.DUMMYFUNCTION("""COMPUTED_VALUE"""),"#DIV/0!")</f>
        <v>#DIV/0!</v>
      </c>
      <c r="M202" s="111"/>
      <c r="N202" s="111"/>
      <c r="O202" s="111"/>
      <c r="P202" s="111"/>
      <c r="Q202" s="112"/>
      <c r="R202" s="103"/>
      <c r="S202" s="103"/>
      <c r="T202" s="103"/>
      <c r="U202" s="103"/>
      <c r="V202" s="103"/>
      <c r="W202" s="103"/>
      <c r="X202" s="103"/>
      <c r="Y202" s="103"/>
      <c r="Z202" s="103"/>
      <c r="AA202" s="103"/>
    </row>
    <row r="203" spans="1:27" ht="51" x14ac:dyDescent="0.2">
      <c r="A203" s="111"/>
      <c r="B203" s="111" t="str">
        <f ca="1">IFERROR(__xludf.DUMMYFUNCTION("""COMPUTED_VALUE"""),"МинЖКХ")</f>
        <v>МинЖКХ</v>
      </c>
      <c r="C203" s="111" t="str">
        <f ca="1">IFERROR(__xludf.DUMMYFUNCTION("""COMPUTED_VALUE"""),"г.о. Зарайск")</f>
        <v>г.о. Зарайск</v>
      </c>
      <c r="D203" s="111" t="str">
        <f ca="1">IFERROR(__xludf.DUMMYFUNCTION("""COMPUTED_VALUE"""),"Приобретение, монтаж и ввод в эксплуатцию станций водоочистки на ВЗУ по адресу: 2-е отделение с/з Зарайский г.о. Зарайск")</f>
        <v>Приобретение, монтаж и ввод в эксплуатцию станций водоочистки на ВЗУ по адресу: 2-е отделение с/з Зарайский г.о. Зарайск</v>
      </c>
      <c r="E203" s="111">
        <f ca="1">IFERROR(__xludf.DUMMYFUNCTION("""COMPUTED_VALUE"""),2021)</f>
        <v>2021</v>
      </c>
      <c r="F203" s="113">
        <f ca="1">IFERROR(__xludf.DUMMYFUNCTION("""COMPUTED_VALUE"""),0)</f>
        <v>0</v>
      </c>
      <c r="G203" s="113">
        <f ca="1">IFERROR(__xludf.DUMMYFUNCTION("""COMPUTED_VALUE"""),0)</f>
        <v>0</v>
      </c>
      <c r="H203" s="113">
        <f ca="1">IFERROR(__xludf.DUMMYFUNCTION("""COMPUTED_VALUE"""),0)</f>
        <v>0</v>
      </c>
      <c r="I203" s="113">
        <f ca="1">IFERROR(__xludf.DUMMYFUNCTION("""COMPUTED_VALUE"""),0)</f>
        <v>0</v>
      </c>
      <c r="J203" s="111">
        <f ca="1">IFERROR(__xludf.DUMMYFUNCTION("""COMPUTED_VALUE"""),0)</f>
        <v>0</v>
      </c>
      <c r="K203" s="113">
        <f ca="1">IFERROR(__xludf.DUMMYFUNCTION("""COMPUTED_VALUE"""),0)</f>
        <v>0</v>
      </c>
      <c r="L203" s="114" t="str">
        <f ca="1">IFERROR(__xludf.DUMMYFUNCTION("""COMPUTED_VALUE"""),"#DIV/0!")</f>
        <v>#DIV/0!</v>
      </c>
      <c r="M203" s="111"/>
      <c r="N203" s="111"/>
      <c r="O203" s="111"/>
      <c r="P203" s="111"/>
      <c r="Q203" s="112"/>
      <c r="R203" s="103"/>
      <c r="S203" s="103"/>
      <c r="T203" s="103"/>
      <c r="U203" s="103"/>
      <c r="V203" s="103"/>
      <c r="W203" s="103"/>
      <c r="X203" s="103"/>
      <c r="Y203" s="103"/>
      <c r="Z203" s="103"/>
      <c r="AA203" s="103"/>
    </row>
    <row r="204" spans="1:27" ht="38.25" x14ac:dyDescent="0.2">
      <c r="A204" s="111"/>
      <c r="B204" s="111" t="str">
        <f ca="1">IFERROR(__xludf.DUMMYFUNCTION("""COMPUTED_VALUE"""),"МинЖКХ")</f>
        <v>МинЖКХ</v>
      </c>
      <c r="C204" s="111" t="str">
        <f ca="1">IFERROR(__xludf.DUMMYFUNCTION("""COMPUTED_VALUE"""),"г.о. Зарайск")</f>
        <v>г.о. Зарайск</v>
      </c>
      <c r="D204" s="111" t="str">
        <f ca="1">IFERROR(__xludf.DUMMYFUNCTION("""COMPUTED_VALUE"""),"Приобретение, монтаж и ввод в эксплуатцию станций водоочистки на ВЗУ в д. Титово г.о. Зарайск")</f>
        <v>Приобретение, монтаж и ввод в эксплуатцию станций водоочистки на ВЗУ в д. Титово г.о. Зарайск</v>
      </c>
      <c r="E204" s="111">
        <f ca="1">IFERROR(__xludf.DUMMYFUNCTION("""COMPUTED_VALUE"""),2021)</f>
        <v>2021</v>
      </c>
      <c r="F204" s="113">
        <f ca="1">IFERROR(__xludf.DUMMYFUNCTION("""COMPUTED_VALUE"""),0)</f>
        <v>0</v>
      </c>
      <c r="G204" s="113">
        <f ca="1">IFERROR(__xludf.DUMMYFUNCTION("""COMPUTED_VALUE"""),0)</f>
        <v>0</v>
      </c>
      <c r="H204" s="113">
        <f ca="1">IFERROR(__xludf.DUMMYFUNCTION("""COMPUTED_VALUE"""),0)</f>
        <v>0</v>
      </c>
      <c r="I204" s="113">
        <f ca="1">IFERROR(__xludf.DUMMYFUNCTION("""COMPUTED_VALUE"""),0)</f>
        <v>0</v>
      </c>
      <c r="J204" s="111">
        <f ca="1">IFERROR(__xludf.DUMMYFUNCTION("""COMPUTED_VALUE"""),0)</f>
        <v>0</v>
      </c>
      <c r="K204" s="113">
        <f ca="1">IFERROR(__xludf.DUMMYFUNCTION("""COMPUTED_VALUE"""),0)</f>
        <v>0</v>
      </c>
      <c r="L204" s="114" t="str">
        <f ca="1">IFERROR(__xludf.DUMMYFUNCTION("""COMPUTED_VALUE"""),"#DIV/0!")</f>
        <v>#DIV/0!</v>
      </c>
      <c r="M204" s="111"/>
      <c r="N204" s="111"/>
      <c r="O204" s="111"/>
      <c r="P204" s="111"/>
      <c r="Q204" s="112"/>
      <c r="R204" s="103"/>
      <c r="S204" s="103"/>
      <c r="T204" s="103"/>
      <c r="U204" s="103"/>
      <c r="V204" s="103"/>
      <c r="W204" s="103"/>
      <c r="X204" s="103"/>
      <c r="Y204" s="103"/>
      <c r="Z204" s="103"/>
      <c r="AA204" s="103"/>
    </row>
    <row r="205" spans="1:27" ht="51" x14ac:dyDescent="0.2">
      <c r="A205" s="110">
        <v>41</v>
      </c>
      <c r="B205" s="111" t="str">
        <f ca="1">IFERROR(__xludf.DUMMYFUNCTION("""COMPUTED_VALUE"""),"МинЖКХ")</f>
        <v>МинЖКХ</v>
      </c>
      <c r="C205" s="111" t="str">
        <f ca="1">IFERROR(__xludf.DUMMYFUNCTION("""COMPUTED_VALUE"""),"г.о. Егорьевск")</f>
        <v>г.о. Егорьевск</v>
      </c>
      <c r="D205" s="111" t="str">
        <f ca="1">IFERROR(__xludf.DUMMYFUNCTION("""COMPUTED_VALUE"""),"Приобретение, монтаж и ввод в эксплуатацию станции обезжелезивания на ВЗУ, п. Павлово, г.о.  Егорьевск")</f>
        <v>Приобретение, монтаж и ввод в эксплуатацию станции обезжелезивания на ВЗУ, п. Павлово, г.о.  Егорьевск</v>
      </c>
      <c r="E205" s="111">
        <f ca="1">IFERROR(__xludf.DUMMYFUNCTION("""COMPUTED_VALUE"""),2020)</f>
        <v>2020</v>
      </c>
      <c r="F205" s="113">
        <f ca="1">IFERROR(__xludf.DUMMYFUNCTION("""COMPUTED_VALUE"""),4264)</f>
        <v>4264</v>
      </c>
      <c r="G205" s="113">
        <f ca="1">IFERROR(__xludf.DUMMYFUNCTION("""COMPUTED_VALUE"""),0)</f>
        <v>0</v>
      </c>
      <c r="H205" s="113">
        <f ca="1">IFERROR(__xludf.DUMMYFUNCTION("""COMPUTED_VALUE"""),0)</f>
        <v>0</v>
      </c>
      <c r="I205" s="113">
        <f ca="1">IFERROR(__xludf.DUMMYFUNCTION("""COMPUTED_VALUE"""),4264)</f>
        <v>4264</v>
      </c>
      <c r="J205" s="111">
        <f ca="1">IFERROR(__xludf.DUMMYFUNCTION("""COMPUTED_VALUE"""),3710.65)</f>
        <v>3710.65</v>
      </c>
      <c r="K205" s="113">
        <f ca="1">IFERROR(__xludf.DUMMYFUNCTION("""COMPUTED_VALUE"""),553.349999999999)</f>
        <v>553.349999999999</v>
      </c>
      <c r="L205" s="114">
        <f ca="1">IFERROR(__xludf.DUMMYFUNCTION("""COMPUTED_VALUE"""),0.870227485928705)</f>
        <v>0.87022748592870502</v>
      </c>
      <c r="M205" s="111"/>
      <c r="N205" s="111"/>
      <c r="O205" s="111"/>
      <c r="P205" s="111"/>
      <c r="Q205" s="112"/>
      <c r="R205" s="103"/>
      <c r="S205" s="103"/>
      <c r="T205" s="103"/>
      <c r="U205" s="103"/>
      <c r="V205" s="103"/>
      <c r="W205" s="103"/>
      <c r="X205" s="103"/>
      <c r="Y205" s="103"/>
      <c r="Z205" s="103"/>
      <c r="AA205" s="103"/>
    </row>
    <row r="206" spans="1:27" ht="51" x14ac:dyDescent="0.2">
      <c r="A206" s="111"/>
      <c r="B206" s="111" t="str">
        <f ca="1">IFERROR(__xludf.DUMMYFUNCTION("""COMPUTED_VALUE"""),"МинЖКХ")</f>
        <v>МинЖКХ</v>
      </c>
      <c r="C206" s="111" t="str">
        <f ca="1">IFERROR(__xludf.DUMMYFUNCTION("""COMPUTED_VALUE"""),"г.о. Егорьевск")</f>
        <v>г.о. Егорьевск</v>
      </c>
      <c r="D206" s="111" t="str">
        <f ca="1">IFERROR(__xludf.DUMMYFUNCTION("""COMPUTED_VALUE"""),"Приобретение, монтаж и ввод в эксплуатацию станции обезжелезивания на ВЗУ, п. Шувое, г.о. Егорьевск")</f>
        <v>Приобретение, монтаж и ввод в эксплуатацию станции обезжелезивания на ВЗУ, п. Шувое, г.о. Егорьевск</v>
      </c>
      <c r="E206" s="111" t="str">
        <f ca="1">IFERROR(__xludf.DUMMYFUNCTION("""COMPUTED_VALUE"""),"Н/Л")</f>
        <v>Н/Л</v>
      </c>
      <c r="F206" s="113">
        <f ca="1">IFERROR(__xludf.DUMMYFUNCTION("""COMPUTED_VALUE"""),0)</f>
        <v>0</v>
      </c>
      <c r="G206" s="113">
        <f ca="1">IFERROR(__xludf.DUMMYFUNCTION("""COMPUTED_VALUE"""),0)</f>
        <v>0</v>
      </c>
      <c r="H206" s="113">
        <f ca="1">IFERROR(__xludf.DUMMYFUNCTION("""COMPUTED_VALUE"""),0)</f>
        <v>0</v>
      </c>
      <c r="I206" s="113">
        <f ca="1">IFERROR(__xludf.DUMMYFUNCTION("""COMPUTED_VALUE"""),0)</f>
        <v>0</v>
      </c>
      <c r="J206" s="111">
        <f ca="1">IFERROR(__xludf.DUMMYFUNCTION("""COMPUTED_VALUE"""),0)</f>
        <v>0</v>
      </c>
      <c r="K206" s="113">
        <f ca="1">IFERROR(__xludf.DUMMYFUNCTION("""COMPUTED_VALUE"""),0)</f>
        <v>0</v>
      </c>
      <c r="L206" s="114" t="str">
        <f ca="1">IFERROR(__xludf.DUMMYFUNCTION("""COMPUTED_VALUE"""),"#DIV/0!")</f>
        <v>#DIV/0!</v>
      </c>
      <c r="M206" s="111"/>
      <c r="N206" s="111"/>
      <c r="O206" s="111"/>
      <c r="P206" s="111"/>
      <c r="Q206" s="112"/>
      <c r="R206" s="103"/>
      <c r="S206" s="103"/>
      <c r="T206" s="103"/>
      <c r="U206" s="103"/>
      <c r="V206" s="103"/>
      <c r="W206" s="103"/>
      <c r="X206" s="103"/>
      <c r="Y206" s="103"/>
      <c r="Z206" s="103"/>
      <c r="AA206" s="103"/>
    </row>
    <row r="207" spans="1:27" ht="51" x14ac:dyDescent="0.2">
      <c r="A207" s="110">
        <v>42</v>
      </c>
      <c r="B207" s="111" t="str">
        <f ca="1">IFERROR(__xludf.DUMMYFUNCTION("""COMPUTED_VALUE"""),"МинЖКХ")</f>
        <v>МинЖКХ</v>
      </c>
      <c r="C207" s="111" t="str">
        <f ca="1">IFERROR(__xludf.DUMMYFUNCTION("""COMPUTED_VALUE"""),"г.о. Коломенский")</f>
        <v>г.о. Коломенский</v>
      </c>
      <c r="D207" s="111" t="str">
        <f ca="1">IFERROR(__xludf.DUMMYFUNCTION("""COMPUTED_VALUE"""),"Приобретение, монтаж и ввод в эксплуатацию станции  очистки воды на ВЗУ в п. Лесной, Коломенский г.о.")</f>
        <v>Приобретение, монтаж и ввод в эксплуатацию станции  очистки воды на ВЗУ в п. Лесной, Коломенский г.о.</v>
      </c>
      <c r="E207" s="111">
        <f ca="1">IFERROR(__xludf.DUMMYFUNCTION("""COMPUTED_VALUE"""),2020)</f>
        <v>2020</v>
      </c>
      <c r="F207" s="113">
        <f ca="1">IFERROR(__xludf.DUMMYFUNCTION("""COMPUTED_VALUE"""),3495)</f>
        <v>3495</v>
      </c>
      <c r="G207" s="113">
        <f ca="1">IFERROR(__xludf.DUMMYFUNCTION("""COMPUTED_VALUE"""),0)</f>
        <v>0</v>
      </c>
      <c r="H207" s="113">
        <f ca="1">IFERROR(__xludf.DUMMYFUNCTION("""COMPUTED_VALUE"""),0)</f>
        <v>0</v>
      </c>
      <c r="I207" s="113">
        <f ca="1">IFERROR(__xludf.DUMMYFUNCTION("""COMPUTED_VALUE"""),3495)</f>
        <v>3495</v>
      </c>
      <c r="J207" s="111">
        <f ca="1">IFERROR(__xludf.DUMMYFUNCTION("""COMPUTED_VALUE"""),3110.16)</f>
        <v>3110.16</v>
      </c>
      <c r="K207" s="113">
        <f ca="1">IFERROR(__xludf.DUMMYFUNCTION("""COMPUTED_VALUE"""),384.84)</f>
        <v>384.84</v>
      </c>
      <c r="L207" s="114">
        <f ca="1">IFERROR(__xludf.DUMMYFUNCTION("""COMPUTED_VALUE"""),0.889888412017167)</f>
        <v>0.88988841201716695</v>
      </c>
      <c r="M207" s="111"/>
      <c r="N207" s="111"/>
      <c r="O207" s="111"/>
      <c r="P207" s="111"/>
      <c r="Q207" s="120" t="s">
        <v>551</v>
      </c>
      <c r="R207" s="103"/>
      <c r="S207" s="103"/>
      <c r="T207" s="103"/>
      <c r="U207" s="103"/>
      <c r="V207" s="103"/>
      <c r="W207" s="103"/>
      <c r="X207" s="103"/>
      <c r="Y207" s="103"/>
      <c r="Z207" s="103"/>
      <c r="AA207" s="103"/>
    </row>
    <row r="208" spans="1:27" ht="51" x14ac:dyDescent="0.2">
      <c r="A208" s="111"/>
      <c r="B208" s="111" t="str">
        <f ca="1">IFERROR(__xludf.DUMMYFUNCTION("""COMPUTED_VALUE"""),"МинЖКХ")</f>
        <v>МинЖКХ</v>
      </c>
      <c r="C208" s="111" t="str">
        <f ca="1">IFERROR(__xludf.DUMMYFUNCTION("""COMPUTED_VALUE"""),"г.о. Истра")</f>
        <v>г.о. Истра</v>
      </c>
      <c r="D208" s="111" t="str">
        <f ca="1">IFERROR(__xludf.DUMMYFUNCTION("""COMPUTED_VALUE"""),"Приобретение, монтаж и ввод в эксплуатацию станций водоочитски ВЗУ д. Алехново  г.о. Истра")</f>
        <v>Приобретение, монтаж и ввод в эксплуатацию станций водоочитски ВЗУ д. Алехново  г.о. Истра</v>
      </c>
      <c r="E208" s="111" t="str">
        <f ca="1">IFERROR(__xludf.DUMMYFUNCTION("""COMPUTED_VALUE"""),"Н/Л")</f>
        <v>Н/Л</v>
      </c>
      <c r="F208" s="113">
        <f ca="1">IFERROR(__xludf.DUMMYFUNCTION("""COMPUTED_VALUE"""),0)</f>
        <v>0</v>
      </c>
      <c r="G208" s="113">
        <f ca="1">IFERROR(__xludf.DUMMYFUNCTION("""COMPUTED_VALUE"""),0)</f>
        <v>0</v>
      </c>
      <c r="H208" s="113">
        <f ca="1">IFERROR(__xludf.DUMMYFUNCTION("""COMPUTED_VALUE"""),0)</f>
        <v>0</v>
      </c>
      <c r="I208" s="113">
        <f ca="1">IFERROR(__xludf.DUMMYFUNCTION("""COMPUTED_VALUE"""),0)</f>
        <v>0</v>
      </c>
      <c r="J208" s="111">
        <f ca="1">IFERROR(__xludf.DUMMYFUNCTION("""COMPUTED_VALUE"""),0)</f>
        <v>0</v>
      </c>
      <c r="K208" s="113">
        <f ca="1">IFERROR(__xludf.DUMMYFUNCTION("""COMPUTED_VALUE"""),0)</f>
        <v>0</v>
      </c>
      <c r="L208" s="114" t="str">
        <f ca="1">IFERROR(__xludf.DUMMYFUNCTION("""COMPUTED_VALUE"""),"#DIV/0!")</f>
        <v>#DIV/0!</v>
      </c>
      <c r="M208" s="111"/>
      <c r="N208" s="111"/>
      <c r="O208" s="111"/>
      <c r="P208" s="111"/>
      <c r="Q208" s="112"/>
      <c r="R208" s="103"/>
      <c r="S208" s="103"/>
      <c r="T208" s="103"/>
      <c r="U208" s="103"/>
      <c r="V208" s="103"/>
      <c r="W208" s="103"/>
      <c r="X208" s="103"/>
      <c r="Y208" s="103"/>
      <c r="Z208" s="103"/>
      <c r="AA208" s="103"/>
    </row>
    <row r="209" spans="1:27" ht="51" x14ac:dyDescent="0.2">
      <c r="A209" s="111"/>
      <c r="B209" s="111" t="str">
        <f ca="1">IFERROR(__xludf.DUMMYFUNCTION("""COMPUTED_VALUE"""),"МинЖКХ")</f>
        <v>МинЖКХ</v>
      </c>
      <c r="C209" s="111" t="str">
        <f ca="1">IFERROR(__xludf.DUMMYFUNCTION("""COMPUTED_VALUE"""),"г.о. Истра")</f>
        <v>г.о. Истра</v>
      </c>
      <c r="D209" s="111" t="str">
        <f ca="1">IFERROR(__xludf.DUMMYFUNCTION("""COMPUTED_VALUE"""),"Приобретение, монтаж и ввод в эксплуатацию станций водоочитски ВЗУ д. Лечищево  г.о. Истра")</f>
        <v>Приобретение, монтаж и ввод в эксплуатацию станций водоочитски ВЗУ д. Лечищево  г.о. Истра</v>
      </c>
      <c r="E209" s="111" t="str">
        <f ca="1">IFERROR(__xludf.DUMMYFUNCTION("""COMPUTED_VALUE"""),"Н/Л")</f>
        <v>Н/Л</v>
      </c>
      <c r="F209" s="113">
        <f ca="1">IFERROR(__xludf.DUMMYFUNCTION("""COMPUTED_VALUE"""),0)</f>
        <v>0</v>
      </c>
      <c r="G209" s="113">
        <f ca="1">IFERROR(__xludf.DUMMYFUNCTION("""COMPUTED_VALUE"""),0)</f>
        <v>0</v>
      </c>
      <c r="H209" s="113">
        <f ca="1">IFERROR(__xludf.DUMMYFUNCTION("""COMPUTED_VALUE"""),0)</f>
        <v>0</v>
      </c>
      <c r="I209" s="113">
        <f ca="1">IFERROR(__xludf.DUMMYFUNCTION("""COMPUTED_VALUE"""),0)</f>
        <v>0</v>
      </c>
      <c r="J209" s="111">
        <f ca="1">IFERROR(__xludf.DUMMYFUNCTION("""COMPUTED_VALUE"""),0)</f>
        <v>0</v>
      </c>
      <c r="K209" s="113">
        <f ca="1">IFERROR(__xludf.DUMMYFUNCTION("""COMPUTED_VALUE"""),0)</f>
        <v>0</v>
      </c>
      <c r="L209" s="114" t="str">
        <f ca="1">IFERROR(__xludf.DUMMYFUNCTION("""COMPUTED_VALUE"""),"#DIV/0!")</f>
        <v>#DIV/0!</v>
      </c>
      <c r="M209" s="111"/>
      <c r="N209" s="111"/>
      <c r="O209" s="111"/>
      <c r="P209" s="111"/>
      <c r="Q209" s="112"/>
      <c r="R209" s="103"/>
      <c r="S209" s="103"/>
      <c r="T209" s="103"/>
      <c r="U209" s="103"/>
      <c r="V209" s="103"/>
      <c r="W209" s="103"/>
      <c r="X209" s="103"/>
      <c r="Y209" s="103"/>
      <c r="Z209" s="103"/>
      <c r="AA209" s="103"/>
    </row>
    <row r="210" spans="1:27" ht="51" x14ac:dyDescent="0.2">
      <c r="A210" s="111"/>
      <c r="B210" s="111" t="str">
        <f ca="1">IFERROR(__xludf.DUMMYFUNCTION("""COMPUTED_VALUE"""),"МинЖКХ")</f>
        <v>МинЖКХ</v>
      </c>
      <c r="C210" s="111" t="str">
        <f ca="1">IFERROR(__xludf.DUMMYFUNCTION("""COMPUTED_VALUE"""),"г.о. Истра")</f>
        <v>г.о. Истра</v>
      </c>
      <c r="D210" s="111" t="str">
        <f ca="1">IFERROR(__xludf.DUMMYFUNCTION("""COMPUTED_VALUE"""),"Приобретение, монтаж и ввод в эксплуатацию станций водоочитски ВЗУ п. Румянцево, ул. Садовая  г.о. Истра")</f>
        <v>Приобретение, монтаж и ввод в эксплуатацию станций водоочитски ВЗУ п. Румянцево, ул. Садовая  г.о. Истра</v>
      </c>
      <c r="E210" s="111" t="str">
        <f ca="1">IFERROR(__xludf.DUMMYFUNCTION("""COMPUTED_VALUE"""),"Н/Л")</f>
        <v>Н/Л</v>
      </c>
      <c r="F210" s="113">
        <f ca="1">IFERROR(__xludf.DUMMYFUNCTION("""COMPUTED_VALUE"""),0)</f>
        <v>0</v>
      </c>
      <c r="G210" s="113">
        <f ca="1">IFERROR(__xludf.DUMMYFUNCTION("""COMPUTED_VALUE"""),0)</f>
        <v>0</v>
      </c>
      <c r="H210" s="113">
        <f ca="1">IFERROR(__xludf.DUMMYFUNCTION("""COMPUTED_VALUE"""),0)</f>
        <v>0</v>
      </c>
      <c r="I210" s="113">
        <f ca="1">IFERROR(__xludf.DUMMYFUNCTION("""COMPUTED_VALUE"""),0)</f>
        <v>0</v>
      </c>
      <c r="J210" s="111">
        <f ca="1">IFERROR(__xludf.DUMMYFUNCTION("""COMPUTED_VALUE"""),0)</f>
        <v>0</v>
      </c>
      <c r="K210" s="113">
        <f ca="1">IFERROR(__xludf.DUMMYFUNCTION("""COMPUTED_VALUE"""),0)</f>
        <v>0</v>
      </c>
      <c r="L210" s="114" t="str">
        <f ca="1">IFERROR(__xludf.DUMMYFUNCTION("""COMPUTED_VALUE"""),"#DIV/0!")</f>
        <v>#DIV/0!</v>
      </c>
      <c r="M210" s="111"/>
      <c r="N210" s="111"/>
      <c r="O210" s="111"/>
      <c r="P210" s="111"/>
      <c r="Q210" s="112"/>
      <c r="R210" s="103"/>
      <c r="S210" s="103"/>
      <c r="T210" s="103"/>
      <c r="U210" s="103"/>
      <c r="V210" s="103"/>
      <c r="W210" s="103"/>
      <c r="X210" s="103"/>
      <c r="Y210" s="103"/>
      <c r="Z210" s="103"/>
      <c r="AA210" s="103"/>
    </row>
    <row r="211" spans="1:27" ht="51" x14ac:dyDescent="0.2">
      <c r="A211" s="111"/>
      <c r="B211" s="111" t="str">
        <f ca="1">IFERROR(__xludf.DUMMYFUNCTION("""COMPUTED_VALUE"""),"МинЖКХ")</f>
        <v>МинЖКХ</v>
      </c>
      <c r="C211" s="111" t="str">
        <f ca="1">IFERROR(__xludf.DUMMYFUNCTION("""COMPUTED_VALUE"""),"г.о. Истра")</f>
        <v>г.о. Истра</v>
      </c>
      <c r="D211" s="111" t="str">
        <f ca="1">IFERROR(__xludf.DUMMYFUNCTION("""COMPUTED_VALUE"""),"Приобретение, монтаж и ввод в эксплуатацию станций водоочитски ВЗУ д. Дарна  г.о. Истра")</f>
        <v>Приобретение, монтаж и ввод в эксплуатацию станций водоочитски ВЗУ д. Дарна  г.о. Истра</v>
      </c>
      <c r="E211" s="111" t="str">
        <f ca="1">IFERROR(__xludf.DUMMYFUNCTION("""COMPUTED_VALUE"""),"Н/Л")</f>
        <v>Н/Л</v>
      </c>
      <c r="F211" s="113">
        <f ca="1">IFERROR(__xludf.DUMMYFUNCTION("""COMPUTED_VALUE"""),0)</f>
        <v>0</v>
      </c>
      <c r="G211" s="113">
        <f ca="1">IFERROR(__xludf.DUMMYFUNCTION("""COMPUTED_VALUE"""),0)</f>
        <v>0</v>
      </c>
      <c r="H211" s="113">
        <f ca="1">IFERROR(__xludf.DUMMYFUNCTION("""COMPUTED_VALUE"""),0)</f>
        <v>0</v>
      </c>
      <c r="I211" s="113">
        <f ca="1">IFERROR(__xludf.DUMMYFUNCTION("""COMPUTED_VALUE"""),0)</f>
        <v>0</v>
      </c>
      <c r="J211" s="111">
        <f ca="1">IFERROR(__xludf.DUMMYFUNCTION("""COMPUTED_VALUE"""),0)</f>
        <v>0</v>
      </c>
      <c r="K211" s="113">
        <f ca="1">IFERROR(__xludf.DUMMYFUNCTION("""COMPUTED_VALUE"""),0)</f>
        <v>0</v>
      </c>
      <c r="L211" s="114" t="str">
        <f ca="1">IFERROR(__xludf.DUMMYFUNCTION("""COMPUTED_VALUE"""),"#DIV/0!")</f>
        <v>#DIV/0!</v>
      </c>
      <c r="M211" s="111"/>
      <c r="N211" s="111"/>
      <c r="O211" s="111"/>
      <c r="P211" s="111"/>
      <c r="Q211" s="112"/>
      <c r="R211" s="103"/>
      <c r="S211" s="103"/>
      <c r="T211" s="103"/>
      <c r="U211" s="103"/>
      <c r="V211" s="103"/>
      <c r="W211" s="103"/>
      <c r="X211" s="103"/>
      <c r="Y211" s="103"/>
      <c r="Z211" s="103"/>
      <c r="AA211" s="103"/>
    </row>
    <row r="212" spans="1:27" ht="51" x14ac:dyDescent="0.2">
      <c r="A212" s="111"/>
      <c r="B212" s="111" t="str">
        <f ca="1">IFERROR(__xludf.DUMMYFUNCTION("""COMPUTED_VALUE"""),"МинЖКХ")</f>
        <v>МинЖКХ</v>
      </c>
      <c r="C212" s="111" t="str">
        <f ca="1">IFERROR(__xludf.DUMMYFUNCTION("""COMPUTED_VALUE"""),"г.о. Истра")</f>
        <v>г.о. Истра</v>
      </c>
      <c r="D212" s="111" t="str">
        <f ca="1">IFERROR(__xludf.DUMMYFUNCTION("""COMPUTED_VALUE"""),"Приобретение, монтаж и ввод в эксплуатацию станций водоочитски на ВЗУ д. Буньково г.о. Истра")</f>
        <v>Приобретение, монтаж и ввод в эксплуатацию станций водоочитски на ВЗУ д. Буньково г.о. Истра</v>
      </c>
      <c r="E212" s="111" t="str">
        <f ca="1">IFERROR(__xludf.DUMMYFUNCTION("""COMPUTED_VALUE"""),"Н/Л")</f>
        <v>Н/Л</v>
      </c>
      <c r="F212" s="113">
        <f ca="1">IFERROR(__xludf.DUMMYFUNCTION("""COMPUTED_VALUE"""),0)</f>
        <v>0</v>
      </c>
      <c r="G212" s="113">
        <f ca="1">IFERROR(__xludf.DUMMYFUNCTION("""COMPUTED_VALUE"""),0)</f>
        <v>0</v>
      </c>
      <c r="H212" s="113">
        <f ca="1">IFERROR(__xludf.DUMMYFUNCTION("""COMPUTED_VALUE"""),0)</f>
        <v>0</v>
      </c>
      <c r="I212" s="113">
        <f ca="1">IFERROR(__xludf.DUMMYFUNCTION("""COMPUTED_VALUE"""),0)</f>
        <v>0</v>
      </c>
      <c r="J212" s="111">
        <f ca="1">IFERROR(__xludf.DUMMYFUNCTION("""COMPUTED_VALUE"""),0)</f>
        <v>0</v>
      </c>
      <c r="K212" s="113">
        <f ca="1">IFERROR(__xludf.DUMMYFUNCTION("""COMPUTED_VALUE"""),0)</f>
        <v>0</v>
      </c>
      <c r="L212" s="114" t="str">
        <f ca="1">IFERROR(__xludf.DUMMYFUNCTION("""COMPUTED_VALUE"""),"#DIV/0!")</f>
        <v>#DIV/0!</v>
      </c>
      <c r="M212" s="111"/>
      <c r="N212" s="111"/>
      <c r="O212" s="111"/>
      <c r="P212" s="111"/>
      <c r="Q212" s="112"/>
      <c r="R212" s="103"/>
      <c r="S212" s="103"/>
      <c r="T212" s="103"/>
      <c r="U212" s="103"/>
      <c r="V212" s="103"/>
      <c r="W212" s="103"/>
      <c r="X212" s="103"/>
      <c r="Y212" s="103"/>
      <c r="Z212" s="103"/>
      <c r="AA212" s="103"/>
    </row>
    <row r="213" spans="1:27" ht="76.5" x14ac:dyDescent="0.2">
      <c r="A213" s="110">
        <v>43</v>
      </c>
      <c r="B213" s="111" t="str">
        <f ca="1">IFERROR(__xludf.DUMMYFUNCTION("""COMPUTED_VALUE"""),"МинЖКХ")</f>
        <v>МинЖКХ</v>
      </c>
      <c r="C213" s="111" t="str">
        <f ca="1">IFERROR(__xludf.DUMMYFUNCTION("""COMPUTED_VALUE"""),"г.о. Пушкинский")</f>
        <v>г.о. Пушкинский</v>
      </c>
      <c r="D213" s="111" t="str">
        <f ca="1">IFERROR(__xludf.DUMMYFUNCTION("""COMPUTED_VALUE"""),"Приобретение, монтаж и ввод в эксплуатацию станции водоочистки на ВЗУ №27 по адресу: Московская область, Пушкинский городской округ, р.п. Софрино, ул. Сетевая")</f>
        <v>Приобретение, монтаж и ввод в эксплуатацию станции водоочистки на ВЗУ №27 по адресу: Московская область, Пушкинский городской округ, р.п. Софрино, ул. Сетевая</v>
      </c>
      <c r="E213" s="111">
        <f ca="1">IFERROR(__xludf.DUMMYFUNCTION("""COMPUTED_VALUE"""),2020)</f>
        <v>2020</v>
      </c>
      <c r="F213" s="113">
        <f ca="1">IFERROR(__xludf.DUMMYFUNCTION("""COMPUTED_VALUE"""),3015)</f>
        <v>3015</v>
      </c>
      <c r="G213" s="113">
        <f ca="1">IFERROR(__xludf.DUMMYFUNCTION("""COMPUTED_VALUE"""),3015)</f>
        <v>3015</v>
      </c>
      <c r="H213" s="113">
        <f ca="1">IFERROR(__xludf.DUMMYFUNCTION("""COMPUTED_VALUE"""),0)</f>
        <v>0</v>
      </c>
      <c r="I213" s="113">
        <f ca="1">IFERROR(__xludf.DUMMYFUNCTION("""COMPUTED_VALUE"""),0)</f>
        <v>0</v>
      </c>
      <c r="J213" s="111">
        <f ca="1">IFERROR(__xludf.DUMMYFUNCTION("""COMPUTED_VALUE"""),3014.93)</f>
        <v>3014.93</v>
      </c>
      <c r="K213" s="113">
        <f ca="1">IFERROR(__xludf.DUMMYFUNCTION("""COMPUTED_VALUE"""),0.0700000000001637)</f>
        <v>7.0000000000163695E-2</v>
      </c>
      <c r="L213" s="114">
        <f ca="1">IFERROR(__xludf.DUMMYFUNCTION("""COMPUTED_VALUE"""),0.999976782752902)</f>
        <v>0.99997678275290203</v>
      </c>
      <c r="M213" s="111"/>
      <c r="N213" s="111"/>
      <c r="O213" s="111"/>
      <c r="P213" s="111"/>
      <c r="Q213" s="112"/>
      <c r="R213" s="103"/>
      <c r="S213" s="103"/>
      <c r="T213" s="103"/>
      <c r="U213" s="103"/>
      <c r="V213" s="103"/>
      <c r="W213" s="103"/>
      <c r="X213" s="103"/>
      <c r="Y213" s="103"/>
      <c r="Z213" s="103"/>
      <c r="AA213" s="103"/>
    </row>
    <row r="214" spans="1:27" ht="51" x14ac:dyDescent="0.2">
      <c r="A214" s="110">
        <v>44</v>
      </c>
      <c r="B214" s="111" t="str">
        <f ca="1">IFERROR(__xludf.DUMMYFUNCTION("""COMPUTED_VALUE"""),"МинЖКХ")</f>
        <v>МинЖКХ</v>
      </c>
      <c r="C214" s="111" t="str">
        <f ca="1">IFERROR(__xludf.DUMMYFUNCTION("""COMPUTED_VALUE"""),"МинЖКХ г.о. Можайск")</f>
        <v>МинЖКХ г.о. Можайск</v>
      </c>
      <c r="D214" s="111" t="str">
        <f ca="1">IFERROR(__xludf.DUMMYFUNCTION("""COMPUTED_VALUE"""),"Реконструкция ВЗУ, расположенного по адресу: Московская область, Можайский район, с. Тропарево  (в т.ч. ПИР)")</f>
        <v>Реконструкция ВЗУ, расположенного по адресу: Московская область, Можайский район, с. Тропарево  (в т.ч. ПИР)</v>
      </c>
      <c r="E214" s="111" t="str">
        <f ca="1">IFERROR(__xludf.DUMMYFUNCTION("""COMPUTED_VALUE"""),"2020-2022")</f>
        <v>2020-2022</v>
      </c>
      <c r="F214" s="113">
        <f ca="1">IFERROR(__xludf.DUMMYFUNCTION("""COMPUTED_VALUE"""),4790)</f>
        <v>4790</v>
      </c>
      <c r="G214" s="113">
        <f ca="1">IFERROR(__xludf.DUMMYFUNCTION("""COMPUTED_VALUE"""),4790)</f>
        <v>4790</v>
      </c>
      <c r="H214" s="113">
        <f ca="1">IFERROR(__xludf.DUMMYFUNCTION("""COMPUTED_VALUE"""),0)</f>
        <v>0</v>
      </c>
      <c r="I214" s="113">
        <f ca="1">IFERROR(__xludf.DUMMYFUNCTION("""COMPUTED_VALUE"""),0)</f>
        <v>0</v>
      </c>
      <c r="J214" s="111">
        <f ca="1">IFERROR(__xludf.DUMMYFUNCTION("""COMPUTED_VALUE"""),4790)</f>
        <v>4790</v>
      </c>
      <c r="K214" s="113">
        <f ca="1">IFERROR(__xludf.DUMMYFUNCTION("""COMPUTED_VALUE"""),0)</f>
        <v>0</v>
      </c>
      <c r="L214" s="114">
        <f ca="1">IFERROR(__xludf.DUMMYFUNCTION("""COMPUTED_VALUE"""),1)</f>
        <v>1</v>
      </c>
      <c r="M214" s="111"/>
      <c r="N214" s="111"/>
      <c r="O214" s="111"/>
      <c r="P214" s="111"/>
      <c r="Q214" s="112"/>
      <c r="R214" s="103"/>
      <c r="S214" s="103"/>
      <c r="T214" s="103"/>
      <c r="U214" s="103"/>
      <c r="V214" s="103"/>
      <c r="W214" s="103"/>
      <c r="X214" s="103"/>
      <c r="Y214" s="103"/>
      <c r="Z214" s="103"/>
      <c r="AA214" s="103"/>
    </row>
    <row r="215" spans="1:27" ht="63.75" x14ac:dyDescent="0.2">
      <c r="A215" s="110">
        <v>45</v>
      </c>
      <c r="B215" s="111" t="str">
        <f ca="1">IFERROR(__xludf.DUMMYFUNCTION("""COMPUTED_VALUE"""),"МинЖКХ")</f>
        <v>МинЖКХ</v>
      </c>
      <c r="C215" s="111" t="str">
        <f ca="1">IFERROR(__xludf.DUMMYFUNCTION("""COMPUTED_VALUE"""),"МинЖКХ г.о. Можайск")</f>
        <v>МинЖКХ г.о. Можайск</v>
      </c>
      <c r="D215" s="111" t="str">
        <f ca="1">IFERROR(__xludf.DUMMYFUNCTION("""COMPUTED_VALUE"""),"Реконструкция   ВЗУ, расположенного по адресу: Московская область, Можайский район, Красный Балтиец  (в т.ч. ПИР)")</f>
        <v>Реконструкция   ВЗУ, расположенного по адресу: Московская область, Можайский район, Красный Балтиец  (в т.ч. ПИР)</v>
      </c>
      <c r="E215" s="111">
        <f ca="1">IFERROR(__xludf.DUMMYFUNCTION("""COMPUTED_VALUE"""),2020)</f>
        <v>2020</v>
      </c>
      <c r="F215" s="113">
        <f ca="1">IFERROR(__xludf.DUMMYFUNCTION("""COMPUTED_VALUE"""),30025)</f>
        <v>30025</v>
      </c>
      <c r="G215" s="113">
        <f ca="1">IFERROR(__xludf.DUMMYFUNCTION("""COMPUTED_VALUE"""),30025)</f>
        <v>30025</v>
      </c>
      <c r="H215" s="113">
        <f ca="1">IFERROR(__xludf.DUMMYFUNCTION("""COMPUTED_VALUE"""),0)</f>
        <v>0</v>
      </c>
      <c r="I215" s="113">
        <f ca="1">IFERROR(__xludf.DUMMYFUNCTION("""COMPUTED_VALUE"""),0)</f>
        <v>0</v>
      </c>
      <c r="J215" s="111">
        <f ca="1">IFERROR(__xludf.DUMMYFUNCTION("""COMPUTED_VALUE"""),0)</f>
        <v>0</v>
      </c>
      <c r="K215" s="113">
        <f ca="1">IFERROR(__xludf.DUMMYFUNCTION("""COMPUTED_VALUE"""),30025)</f>
        <v>30025</v>
      </c>
      <c r="L215" s="114">
        <f ca="1">IFERROR(__xludf.DUMMYFUNCTION("""COMPUTED_VALUE"""),0)</f>
        <v>0</v>
      </c>
      <c r="M215" s="111"/>
      <c r="N215" s="111"/>
      <c r="O215" s="111"/>
      <c r="P215" s="111"/>
      <c r="Q215" s="112"/>
      <c r="R215" s="103"/>
      <c r="S215" s="103"/>
      <c r="T215" s="103"/>
      <c r="U215" s="103"/>
      <c r="V215" s="103"/>
      <c r="W215" s="103"/>
      <c r="X215" s="103"/>
      <c r="Y215" s="103"/>
      <c r="Z215" s="103"/>
      <c r="AA215" s="103"/>
    </row>
    <row r="216" spans="1:27" ht="51" x14ac:dyDescent="0.2">
      <c r="A216" s="110">
        <v>46</v>
      </c>
      <c r="B216" s="111" t="str">
        <f ca="1">IFERROR(__xludf.DUMMYFUNCTION("""COMPUTED_VALUE"""),"МинЖКХ")</f>
        <v>МинЖКХ</v>
      </c>
      <c r="C216" s="111" t="str">
        <f ca="1">IFERROR(__xludf.DUMMYFUNCTION("""COMPUTED_VALUE"""),"МинЖКХ г.о. Можайск")</f>
        <v>МинЖКХ г.о. Можайск</v>
      </c>
      <c r="D216" s="111" t="str">
        <f ca="1">IFERROR(__xludf.DUMMYFUNCTION("""COMPUTED_VALUE"""),"Реконструкция   ВЗУ, расположенного по адресу: Московская область, Можайский район, п.Колычево  (в т.ч. ПИР)")</f>
        <v>Реконструкция   ВЗУ, расположенного по адресу: Московская область, Можайский район, п.Колычево  (в т.ч. ПИР)</v>
      </c>
      <c r="E216" s="111">
        <f ca="1">IFERROR(__xludf.DUMMYFUNCTION("""COMPUTED_VALUE"""),2020)</f>
        <v>2020</v>
      </c>
      <c r="F216" s="113">
        <f ca="1">IFERROR(__xludf.DUMMYFUNCTION("""COMPUTED_VALUE"""),53524)</f>
        <v>53524</v>
      </c>
      <c r="G216" s="113">
        <f ca="1">IFERROR(__xludf.DUMMYFUNCTION("""COMPUTED_VALUE"""),53524)</f>
        <v>53524</v>
      </c>
      <c r="H216" s="113">
        <f ca="1">IFERROR(__xludf.DUMMYFUNCTION("""COMPUTED_VALUE"""),0)</f>
        <v>0</v>
      </c>
      <c r="I216" s="113">
        <f ca="1">IFERROR(__xludf.DUMMYFUNCTION("""COMPUTED_VALUE"""),0)</f>
        <v>0</v>
      </c>
      <c r="J216" s="111">
        <f ca="1">IFERROR(__xludf.DUMMYFUNCTION("""COMPUTED_VALUE"""),42100.43)</f>
        <v>42100.43</v>
      </c>
      <c r="K216" s="113">
        <f ca="1">IFERROR(__xludf.DUMMYFUNCTION("""COMPUTED_VALUE"""),11423.57)</f>
        <v>11423.57</v>
      </c>
      <c r="L216" s="114">
        <f ca="1">IFERROR(__xludf.DUMMYFUNCTION("""COMPUTED_VALUE"""),0.786571070921455)</f>
        <v>0.78657107092145495</v>
      </c>
      <c r="M216" s="111"/>
      <c r="N216" s="111"/>
      <c r="O216" s="111"/>
      <c r="P216" s="111"/>
      <c r="Q216" s="112"/>
      <c r="R216" s="103"/>
      <c r="S216" s="103"/>
      <c r="T216" s="103"/>
      <c r="U216" s="103"/>
      <c r="V216" s="103"/>
      <c r="W216" s="103"/>
      <c r="X216" s="103"/>
      <c r="Y216" s="103"/>
      <c r="Z216" s="103"/>
      <c r="AA216" s="103"/>
    </row>
    <row r="217" spans="1:27" ht="51" x14ac:dyDescent="0.2">
      <c r="A217" s="110">
        <v>47</v>
      </c>
      <c r="B217" s="111" t="str">
        <f ca="1">IFERROR(__xludf.DUMMYFUNCTION("""COMPUTED_VALUE"""),"МинЖКХ")</f>
        <v>МинЖКХ</v>
      </c>
      <c r="C217" s="111" t="str">
        <f ca="1">IFERROR(__xludf.DUMMYFUNCTION("""COMPUTED_VALUE"""),"МинЖКХ г.о. Можайск")</f>
        <v>МинЖКХ г.о. Можайск</v>
      </c>
      <c r="D217" s="111" t="str">
        <f ca="1">IFERROR(__xludf.DUMMYFUNCTION("""COMPUTED_VALUE"""),"Реконструкция  ВЗУ,  расположенного по адресу: Московская область, Можайский район, п.Поречье  (в т.ч. ПИР)")</f>
        <v>Реконструкция  ВЗУ,  расположенного по адресу: Московская область, Можайский район, п.Поречье  (в т.ч. ПИР)</v>
      </c>
      <c r="E217" s="111">
        <f ca="1">IFERROR(__xludf.DUMMYFUNCTION("""COMPUTED_VALUE"""),2020)</f>
        <v>2020</v>
      </c>
      <c r="F217" s="113">
        <f ca="1">IFERROR(__xludf.DUMMYFUNCTION("""COMPUTED_VALUE"""),21260)</f>
        <v>21260</v>
      </c>
      <c r="G217" s="113">
        <f ca="1">IFERROR(__xludf.DUMMYFUNCTION("""COMPUTED_VALUE"""),21260)</f>
        <v>21260</v>
      </c>
      <c r="H217" s="113">
        <f ca="1">IFERROR(__xludf.DUMMYFUNCTION("""COMPUTED_VALUE"""),0)</f>
        <v>0</v>
      </c>
      <c r="I217" s="113">
        <f ca="1">IFERROR(__xludf.DUMMYFUNCTION("""COMPUTED_VALUE"""),0)</f>
        <v>0</v>
      </c>
      <c r="J217" s="111">
        <f ca="1">IFERROR(__xludf.DUMMYFUNCTION("""COMPUTED_VALUE"""),20700)</f>
        <v>20700</v>
      </c>
      <c r="K217" s="113">
        <f ca="1">IFERROR(__xludf.DUMMYFUNCTION("""COMPUTED_VALUE"""),560)</f>
        <v>560</v>
      </c>
      <c r="L217" s="114">
        <f ca="1">IFERROR(__xludf.DUMMYFUNCTION("""COMPUTED_VALUE"""),0.973659454374412)</f>
        <v>0.97365945437441204</v>
      </c>
      <c r="M217" s="111"/>
      <c r="N217" s="111"/>
      <c r="O217" s="111"/>
      <c r="P217" s="111"/>
      <c r="Q217" s="112"/>
      <c r="R217" s="103"/>
      <c r="S217" s="103"/>
      <c r="T217" s="103"/>
      <c r="U217" s="103"/>
      <c r="V217" s="103"/>
      <c r="W217" s="103"/>
      <c r="X217" s="103"/>
      <c r="Y217" s="103"/>
      <c r="Z217" s="103"/>
      <c r="AA217" s="103"/>
    </row>
    <row r="218" spans="1:27" ht="51" x14ac:dyDescent="0.2">
      <c r="A218" s="111"/>
      <c r="B218" s="111" t="str">
        <f ca="1">IFERROR(__xludf.DUMMYFUNCTION("""COMPUTED_VALUE"""),"МинЖКХ")</f>
        <v>МинЖКХ</v>
      </c>
      <c r="C218" s="111" t="str">
        <f ca="1">IFERROR(__xludf.DUMMYFUNCTION("""COMPUTED_VALUE"""),"г.о. Можайск")</f>
        <v>г.о. Можайск</v>
      </c>
      <c r="D218" s="111" t="str">
        <f ca="1">IFERROR(__xludf.DUMMYFUNCTION("""COMPUTED_VALUE"""),"Капитальный ремонт   ВЗУ расположенного по адресу: Московская область, Можайский г.о., п. Бородинское поле")</f>
        <v>Капитальный ремонт   ВЗУ расположенного по адресу: Московская область, Можайский г.о., п. Бородинское поле</v>
      </c>
      <c r="E218" s="111" t="str">
        <f ca="1">IFERROR(__xludf.DUMMYFUNCTION("""COMPUTED_VALUE"""),"Н/Л")</f>
        <v>Н/Л</v>
      </c>
      <c r="F218" s="113">
        <f ca="1">IFERROR(__xludf.DUMMYFUNCTION("""COMPUTED_VALUE"""),0)</f>
        <v>0</v>
      </c>
      <c r="G218" s="113">
        <f ca="1">IFERROR(__xludf.DUMMYFUNCTION("""COMPUTED_VALUE"""),0)</f>
        <v>0</v>
      </c>
      <c r="H218" s="113">
        <f ca="1">IFERROR(__xludf.DUMMYFUNCTION("""COMPUTED_VALUE"""),0)</f>
        <v>0</v>
      </c>
      <c r="I218" s="113">
        <f ca="1">IFERROR(__xludf.DUMMYFUNCTION("""COMPUTED_VALUE"""),0)</f>
        <v>0</v>
      </c>
      <c r="J218" s="111">
        <f ca="1">IFERROR(__xludf.DUMMYFUNCTION("""COMPUTED_VALUE"""),0)</f>
        <v>0</v>
      </c>
      <c r="K218" s="113">
        <f ca="1">IFERROR(__xludf.DUMMYFUNCTION("""COMPUTED_VALUE"""),0)</f>
        <v>0</v>
      </c>
      <c r="L218" s="114" t="str">
        <f ca="1">IFERROR(__xludf.DUMMYFUNCTION("""COMPUTED_VALUE"""),"#DIV/0!")</f>
        <v>#DIV/0!</v>
      </c>
      <c r="M218" s="111"/>
      <c r="N218" s="111"/>
      <c r="O218" s="111"/>
      <c r="P218" s="111"/>
      <c r="Q218" s="112"/>
      <c r="R218" s="103"/>
      <c r="S218" s="103"/>
      <c r="T218" s="103"/>
      <c r="U218" s="103"/>
      <c r="V218" s="103"/>
      <c r="W218" s="103"/>
      <c r="X218" s="103"/>
      <c r="Y218" s="103"/>
      <c r="Z218" s="103"/>
      <c r="AA218" s="103"/>
    </row>
    <row r="219" spans="1:27" ht="63.75" x14ac:dyDescent="0.2">
      <c r="A219" s="110">
        <v>48</v>
      </c>
      <c r="B219" s="111" t="str">
        <f ca="1">IFERROR(__xludf.DUMMYFUNCTION("""COMPUTED_VALUE"""),"МинЖКХ")</f>
        <v>МинЖКХ</v>
      </c>
      <c r="C219" s="111" t="str">
        <f ca="1">IFERROR(__xludf.DUMMYFUNCTION("""COMPUTED_VALUE"""),"г.о. Лыткарино")</f>
        <v>г.о. Лыткарино</v>
      </c>
      <c r="D219" s="111" t="str">
        <f ca="1">IFERROR(__xludf.DUMMYFUNCTION("""COMPUTED_VALUE"""),"Строительство городских канализационных очистных сооружений в г. Лыткарино производительностью 30 000 м куб. в сутки")</f>
        <v>Строительство городских канализационных очистных сооружений в г. Лыткарино производительностью 30 000 м куб. в сутки</v>
      </c>
      <c r="E219" s="111" t="str">
        <f ca="1">IFERROR(__xludf.DUMMYFUNCTION("""COMPUTED_VALUE"""),"2020-2022")</f>
        <v>2020-2022</v>
      </c>
      <c r="F219" s="113">
        <f ca="1">IFERROR(__xludf.DUMMYFUNCTION("""COMPUTED_VALUE"""),860940.53)</f>
        <v>860940.53</v>
      </c>
      <c r="G219" s="113">
        <f ca="1">IFERROR(__xludf.DUMMYFUNCTION("""COMPUTED_VALUE"""),215235.13)</f>
        <v>215235.13</v>
      </c>
      <c r="H219" s="113">
        <f ca="1">IFERROR(__xludf.DUMMYFUNCTION("""COMPUTED_VALUE"""),645705.4)</f>
        <v>645705.4</v>
      </c>
      <c r="I219" s="113">
        <f ca="1">IFERROR(__xludf.DUMMYFUNCTION("""COMPUTED_VALUE"""),0)</f>
        <v>0</v>
      </c>
      <c r="J219" s="113">
        <f ca="1">IFERROR(__xludf.DUMMYFUNCTION("""COMPUTED_VALUE"""),860870.65)</f>
        <v>860870.65</v>
      </c>
      <c r="K219" s="113">
        <f ca="1">IFERROR(__xludf.DUMMYFUNCTION("""COMPUTED_VALUE"""),69.8800000000337)</f>
        <v>69.880000000033704</v>
      </c>
      <c r="L219" s="114">
        <f ca="1">IFERROR(__xludf.DUMMYFUNCTION("""COMPUTED_VALUE"""),0.999918832953537)</f>
        <v>0.99991883295353701</v>
      </c>
      <c r="M219" s="111" t="str">
        <f ca="1">IFERROR(__xludf.DUMMYFUNCTION("""COMPUTED_VALUE"""),"Проведён аукцион. Плановая дата заключения контракта 30.11.2020. Выплата аванса до 10.12.2020")</f>
        <v>Проведён аукцион. Плановая дата заключения контракта 30.11.2020. Выплата аванса до 10.12.2020</v>
      </c>
      <c r="N219" s="111"/>
      <c r="O219" s="111"/>
      <c r="P219" s="111"/>
      <c r="Q219" s="112"/>
      <c r="R219" s="103"/>
      <c r="S219" s="103"/>
      <c r="T219" s="103"/>
      <c r="U219" s="103"/>
      <c r="V219" s="103"/>
      <c r="W219" s="103"/>
      <c r="X219" s="103"/>
      <c r="Y219" s="103"/>
      <c r="Z219" s="103"/>
      <c r="AA219" s="103"/>
    </row>
    <row r="220" spans="1:27" ht="89.25" x14ac:dyDescent="0.2">
      <c r="A220" s="110">
        <v>49</v>
      </c>
      <c r="B220" s="111" t="str">
        <f ca="1">IFERROR(__xludf.DUMMYFUNCTION("""COMPUTED_VALUE"""),"МинЖКХ")</f>
        <v>МинЖКХ</v>
      </c>
      <c r="C220" s="111" t="str">
        <f ca="1">IFERROR(__xludf.DUMMYFUNCTION("""COMPUTED_VALUE"""),"г.о. Подольск")</f>
        <v>г.о. Подольск</v>
      </c>
      <c r="D220" s="111" t="str">
        <f ca="1">IFERROR(__xludf.DUMMYFUNCTION("""COMPUTED_VALUE"""),"Реконструкция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f>
        <v>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v>
      </c>
      <c r="E220" s="111" t="str">
        <f ca="1">IFERROR(__xludf.DUMMYFUNCTION("""COMPUTED_VALUE"""),"2019-2020")</f>
        <v>2019-2020</v>
      </c>
      <c r="F220" s="113">
        <f ca="1">IFERROR(__xludf.DUMMYFUNCTION("""COMPUTED_VALUE"""),762583.05)</f>
        <v>762583.05</v>
      </c>
      <c r="G220" s="113">
        <f ca="1">IFERROR(__xludf.DUMMYFUNCTION("""COMPUTED_VALUE"""),0)</f>
        <v>0</v>
      </c>
      <c r="H220" s="113">
        <f ca="1">IFERROR(__xludf.DUMMYFUNCTION("""COMPUTED_VALUE"""),571937.29)</f>
        <v>571937.29</v>
      </c>
      <c r="I220" s="113">
        <f ca="1">IFERROR(__xludf.DUMMYFUNCTION("""COMPUTED_VALUE"""),190645.76)</f>
        <v>190645.76000000001</v>
      </c>
      <c r="J220" s="113">
        <f ca="1">IFERROR(__xludf.DUMMYFUNCTION("""COMPUTED_VALUE"""),750089.85)</f>
        <v>750089.85</v>
      </c>
      <c r="K220" s="113">
        <f ca="1">IFERROR(__xludf.DUMMYFUNCTION("""COMPUTED_VALUE"""),12493.2)</f>
        <v>12493.2</v>
      </c>
      <c r="L220" s="114">
        <f ca="1">IFERROR(__xludf.DUMMYFUNCTION("""COMPUTED_VALUE"""),0.983617259785671)</f>
        <v>0.98361725978567105</v>
      </c>
      <c r="M220" s="111"/>
      <c r="N220" s="111"/>
      <c r="O220" s="111"/>
      <c r="P220" s="111"/>
      <c r="Q220" s="112"/>
      <c r="R220" s="103"/>
      <c r="S220" s="103"/>
      <c r="T220" s="103"/>
      <c r="U220" s="103"/>
      <c r="V220" s="103"/>
      <c r="W220" s="103"/>
      <c r="X220" s="103"/>
      <c r="Y220" s="103"/>
      <c r="Z220" s="103"/>
      <c r="AA220" s="103"/>
    </row>
    <row r="221" spans="1:27" ht="102" x14ac:dyDescent="0.2">
      <c r="A221" s="110">
        <v>50</v>
      </c>
      <c r="B221" s="111" t="str">
        <f ca="1">IFERROR(__xludf.DUMMYFUNCTION("""COMPUTED_VALUE"""),"МинЖКХ")</f>
        <v>МинЖКХ</v>
      </c>
      <c r="C221" s="111" t="str">
        <f ca="1">IFERROR(__xludf.DUMMYFUNCTION("""COMPUTED_VALUE"""),"г.о. Подольск")</f>
        <v>г.о. Подольск</v>
      </c>
      <c r="D221" s="111" t="str">
        <f ca="1">IFERROR(__xludf.DUMMYFUNCTION("""COMPUTED_VALUE"""),"Канализационный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f>
        <v>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v>
      </c>
      <c r="E221" s="111" t="str">
        <f ca="1">IFERROR(__xludf.DUMMYFUNCTION("""COMPUTED_VALUE"""),"2019-2020")</f>
        <v>2019-2020</v>
      </c>
      <c r="F221" s="113">
        <f ca="1">IFERROR(__xludf.DUMMYFUNCTION("""COMPUTED_VALUE"""),371650)</f>
        <v>371650</v>
      </c>
      <c r="G221" s="113">
        <f ca="1">IFERROR(__xludf.DUMMYFUNCTION("""COMPUTED_VALUE"""),0)</f>
        <v>0</v>
      </c>
      <c r="H221" s="113">
        <f ca="1">IFERROR(__xludf.DUMMYFUNCTION("""COMPUTED_VALUE"""),278737.5)</f>
        <v>278737.5</v>
      </c>
      <c r="I221" s="113">
        <f ca="1">IFERROR(__xludf.DUMMYFUNCTION("""COMPUTED_VALUE"""),92912.5)</f>
        <v>92912.5</v>
      </c>
      <c r="J221" s="113">
        <f ca="1">IFERROR(__xludf.DUMMYFUNCTION("""COMPUTED_VALUE"""),346385.04)</f>
        <v>346385.04</v>
      </c>
      <c r="K221" s="113">
        <f ca="1">IFERROR(__xludf.DUMMYFUNCTION("""COMPUTED_VALUE"""),25264.96)</f>
        <v>25264.959999999999</v>
      </c>
      <c r="L221" s="114">
        <f ca="1">IFERROR(__xludf.DUMMYFUNCTION("""COMPUTED_VALUE"""),0.932019480694201)</f>
        <v>0.93201948069420104</v>
      </c>
      <c r="M221" s="111"/>
      <c r="N221" s="111"/>
      <c r="O221" s="111"/>
      <c r="P221" s="111"/>
      <c r="Q221" s="112"/>
      <c r="R221" s="103"/>
      <c r="S221" s="103"/>
      <c r="T221" s="103"/>
      <c r="U221" s="103"/>
      <c r="V221" s="103"/>
      <c r="W221" s="103"/>
      <c r="X221" s="103"/>
      <c r="Y221" s="103"/>
      <c r="Z221" s="103"/>
      <c r="AA221" s="103"/>
    </row>
    <row r="222" spans="1:27" ht="89.25" x14ac:dyDescent="0.2">
      <c r="A222" s="110">
        <v>51</v>
      </c>
      <c r="B222" s="111" t="str">
        <f ca="1">IFERROR(__xludf.DUMMYFUNCTION("""COMPUTED_VALUE"""),"МинЖКХ")</f>
        <v>МинЖКХ</v>
      </c>
      <c r="C222" s="111" t="str">
        <f ca="1">IFERROR(__xludf.DUMMYFUNCTION("""COMPUTED_VALUE"""),"г.о. Шатура")</f>
        <v>г.о. Шатура</v>
      </c>
      <c r="D222" s="111" t="str">
        <f ca="1">IFERROR(__xludf.DUMMYFUNCTION("""COMPUTED_VALUE"""),"Строительство очистных сооружений г. Шатура ул. Малькина Грива ")</f>
        <v xml:space="preserve">Строительство очистных сооружений г. Шатура ул. Малькина Грива </v>
      </c>
      <c r="E222" s="111" t="str">
        <f ca="1">IFERROR(__xludf.DUMMYFUNCTION("""COMPUTED_VALUE"""),"2020-2021")</f>
        <v>2020-2021</v>
      </c>
      <c r="F222" s="113">
        <f ca="1">IFERROR(__xludf.DUMMYFUNCTION("""COMPUTED_VALUE"""),483097.28)</f>
        <v>483097.28</v>
      </c>
      <c r="G222" s="113">
        <f ca="1">IFERROR(__xludf.DUMMYFUNCTION("""COMPUTED_VALUE"""),120774.38)</f>
        <v>120774.38</v>
      </c>
      <c r="H222" s="113">
        <f ca="1">IFERROR(__xludf.DUMMYFUNCTION("""COMPUTED_VALUE"""),362322.9)</f>
        <v>362322.9</v>
      </c>
      <c r="I222" s="113">
        <f ca="1">IFERROR(__xludf.DUMMYFUNCTION("""COMPUTED_VALUE"""),0)</f>
        <v>0</v>
      </c>
      <c r="J222" s="113">
        <f ca="1">IFERROR(__xludf.DUMMYFUNCTION("""COMPUTED_VALUE"""),482621.48)</f>
        <v>482621.48</v>
      </c>
      <c r="K222" s="113">
        <f ca="1">IFERROR(__xludf.DUMMYFUNCTION("""COMPUTED_VALUE"""),475.800000000046)</f>
        <v>475.800000000046</v>
      </c>
      <c r="L222" s="114">
        <f ca="1">IFERROR(__xludf.DUMMYFUNCTION("""COMPUTED_VALUE"""),0.999015105197859)</f>
        <v>0.99901510519785897</v>
      </c>
      <c r="M222" s="111" t="str">
        <f ca="1">IFERROR(__xludf.DUMMYFUNCTION("""COMPUTED_VALUE"""),"Перенос средств 2020 в размере 339 653,89 на ЩМОС в связи с риском неосвоения. Видео камеры не установлены. 18.11.2020 загрузили документацию в ИСОГД. 20.11.2020 получены замечания. ")</f>
        <v xml:space="preserve">Перенос средств 2020 в размере 339 653,89 на ЩМОС в связи с риском неосвоения. Видео камеры не установлены. 18.11.2020 загрузили документацию в ИСОГД. 20.11.2020 получены замечания. </v>
      </c>
      <c r="N222" s="111"/>
      <c r="O222" s="111"/>
      <c r="P222" s="111"/>
      <c r="Q222" s="112"/>
      <c r="R222" s="103"/>
      <c r="S222" s="103"/>
      <c r="T222" s="103"/>
      <c r="U222" s="103"/>
      <c r="V222" s="103"/>
      <c r="W222" s="103"/>
      <c r="X222" s="103"/>
      <c r="Y222" s="103"/>
      <c r="Z222" s="103"/>
      <c r="AA222" s="103"/>
    </row>
    <row r="223" spans="1:27" ht="38.25" x14ac:dyDescent="0.2">
      <c r="A223" s="110">
        <v>52</v>
      </c>
      <c r="B223" s="111" t="str">
        <f ca="1">IFERROR(__xludf.DUMMYFUNCTION("""COMPUTED_VALUE"""),"МинЖКХ")</f>
        <v>МинЖКХ</v>
      </c>
      <c r="C223" s="111" t="str">
        <f ca="1">IFERROR(__xludf.DUMMYFUNCTION("""COMPUTED_VALUE"""),"КСМО")</f>
        <v>КСМО</v>
      </c>
      <c r="D223" s="111" t="str">
        <f ca="1">IFERROR(__xludf.DUMMYFUNCTION("""COMPUTED_VALUE"""),"Реконструкция Щелковских межрайонных очистных сооружений ")</f>
        <v xml:space="preserve">Реконструкция Щелковских межрайонных очистных сооружений </v>
      </c>
      <c r="E223" s="111" t="str">
        <f ca="1">IFERROR(__xludf.DUMMYFUNCTION("""COMPUTED_VALUE"""),"2019-2024")</f>
        <v>2019-2024</v>
      </c>
      <c r="F223" s="113">
        <f ca="1">IFERROR(__xludf.DUMMYFUNCTION("""COMPUTED_VALUE"""),3234474.67)</f>
        <v>3234474.67</v>
      </c>
      <c r="G223" s="113">
        <f ca="1">IFERROR(__xludf.DUMMYFUNCTION("""COMPUTED_VALUE"""),533862)</f>
        <v>533862</v>
      </c>
      <c r="H223" s="113">
        <f ca="1">IFERROR(__xludf.DUMMYFUNCTION("""COMPUTED_VALUE"""),2167296.5)</f>
        <v>2167296.5</v>
      </c>
      <c r="I223" s="113">
        <f ca="1">IFERROR(__xludf.DUMMYFUNCTION("""COMPUTED_VALUE"""),533316.17)</f>
        <v>533316.17000000004</v>
      </c>
      <c r="J223" s="113">
        <f ca="1">IFERROR(__xludf.DUMMYFUNCTION("""COMPUTED_VALUE"""),3234474.67)</f>
        <v>3234474.67</v>
      </c>
      <c r="K223" s="113">
        <f ca="1">IFERROR(__xludf.DUMMYFUNCTION("""COMPUTED_VALUE"""),0)</f>
        <v>0</v>
      </c>
      <c r="L223" s="114">
        <f ca="1">IFERROR(__xludf.DUMMYFUNCTION("""COMPUTED_VALUE"""),1)</f>
        <v>1</v>
      </c>
      <c r="M223" s="111"/>
      <c r="N223" s="111"/>
      <c r="O223" s="111"/>
      <c r="P223" s="111"/>
      <c r="Q223" s="112"/>
      <c r="R223" s="103"/>
      <c r="S223" s="103"/>
      <c r="T223" s="103"/>
      <c r="U223" s="103"/>
      <c r="V223" s="103"/>
      <c r="W223" s="103"/>
      <c r="X223" s="103"/>
      <c r="Y223" s="103"/>
      <c r="Z223" s="103"/>
      <c r="AA223" s="103"/>
    </row>
    <row r="224" spans="1:27" ht="76.5" x14ac:dyDescent="0.2">
      <c r="A224" s="111"/>
      <c r="B224" s="111" t="str">
        <f ca="1">IFERROR(__xludf.DUMMYFUNCTION("""COMPUTED_VALUE"""),"МинЖКХ")</f>
        <v>МинЖКХ</v>
      </c>
      <c r="C224" s="111" t="str">
        <f ca="1">IFERROR(__xludf.DUMMYFUNCTION("""COMPUTED_VALUE"""),"г.о. Воскресенск")</f>
        <v>г.о. Воскресенск</v>
      </c>
      <c r="D224" s="111" t="str">
        <f ca="1">IFERROR(__xludf.DUMMYFUNCTION("""COMPUTED_VALUE"""),"Реконструкция очистных сооружений биологической очистки, мощностью 500 м. куб. в сутки. дер. Степанщино, Воскресенский м.р. (в том числе ПИР)          ")</f>
        <v xml:space="preserve">Реконструкция очистных сооружений биологической очистки, мощностью 500 м. куб. в сутки. дер. Степанщино, Воскресенский м.р. (в том числе ПИР)          </v>
      </c>
      <c r="E224" s="111" t="str">
        <f ca="1">IFERROR(__xludf.DUMMYFUNCTION("""COMPUTED_VALUE"""),"2022-2023")</f>
        <v>2022-2023</v>
      </c>
      <c r="F224" s="113">
        <f ca="1">IFERROR(__xludf.DUMMYFUNCTION("""COMPUTED_VALUE"""),0)</f>
        <v>0</v>
      </c>
      <c r="G224" s="113">
        <f ca="1">IFERROR(__xludf.DUMMYFUNCTION("""COMPUTED_VALUE"""),0)</f>
        <v>0</v>
      </c>
      <c r="H224" s="113">
        <f ca="1">IFERROR(__xludf.DUMMYFUNCTION("""COMPUTED_VALUE"""),0)</f>
        <v>0</v>
      </c>
      <c r="I224" s="113">
        <f ca="1">IFERROR(__xludf.DUMMYFUNCTION("""COMPUTED_VALUE"""),0)</f>
        <v>0</v>
      </c>
      <c r="J224" s="111">
        <f ca="1">IFERROR(__xludf.DUMMYFUNCTION("""COMPUTED_VALUE"""),0)</f>
        <v>0</v>
      </c>
      <c r="K224" s="113">
        <f ca="1">IFERROR(__xludf.DUMMYFUNCTION("""COMPUTED_VALUE"""),0)</f>
        <v>0</v>
      </c>
      <c r="L224" s="114" t="str">
        <f ca="1">IFERROR(__xludf.DUMMYFUNCTION("""COMPUTED_VALUE"""),"#DIV/0!")</f>
        <v>#DIV/0!</v>
      </c>
      <c r="M224" s="111"/>
      <c r="N224" s="111"/>
      <c r="O224" s="111"/>
      <c r="P224" s="111"/>
      <c r="Q224" s="112"/>
      <c r="R224" s="103"/>
      <c r="S224" s="103"/>
      <c r="T224" s="103"/>
      <c r="U224" s="103"/>
      <c r="V224" s="103"/>
      <c r="W224" s="103"/>
      <c r="X224" s="103"/>
      <c r="Y224" s="103"/>
      <c r="Z224" s="103"/>
      <c r="AA224" s="103"/>
    </row>
    <row r="225" spans="1:27" ht="38.25" x14ac:dyDescent="0.2">
      <c r="A225" s="110">
        <v>53</v>
      </c>
      <c r="B225" s="111" t="str">
        <f ca="1">IFERROR(__xludf.DUMMYFUNCTION("""COMPUTED_VALUE"""),"МинЖКХ")</f>
        <v>МинЖКХ</v>
      </c>
      <c r="C225" s="111" t="str">
        <f ca="1">IFERROR(__xludf.DUMMYFUNCTION("""COMPUTED_VALUE"""),"г.о. Коломенский")</f>
        <v>г.о. Коломенский</v>
      </c>
      <c r="D225" s="111" t="str">
        <f ca="1">IFERROR(__xludf.DUMMYFUNCTION("""COMPUTED_VALUE"""),"Реконструкция очистных сооружений, с. Непецино (в том числе ПИР) г.о. Коломенский")</f>
        <v>Реконструкция очистных сооружений, с. Непецино (в том числе ПИР) г.о. Коломенский</v>
      </c>
      <c r="E225" s="111" t="str">
        <f ca="1">IFERROR(__xludf.DUMMYFUNCTION("""COMPUTED_VALUE"""),"2020-2022")</f>
        <v>2020-2022</v>
      </c>
      <c r="F225" s="113">
        <f ca="1">IFERROR(__xludf.DUMMYFUNCTION("""COMPUTED_VALUE"""),7365)</f>
        <v>7365</v>
      </c>
      <c r="G225" s="113">
        <f ca="1">IFERROR(__xludf.DUMMYFUNCTION("""COMPUTED_VALUE"""),7365)</f>
        <v>7365</v>
      </c>
      <c r="H225" s="113">
        <f ca="1">IFERROR(__xludf.DUMMYFUNCTION("""COMPUTED_VALUE"""),0)</f>
        <v>0</v>
      </c>
      <c r="I225" s="113">
        <f ca="1">IFERROR(__xludf.DUMMYFUNCTION("""COMPUTED_VALUE"""),0)</f>
        <v>0</v>
      </c>
      <c r="J225" s="111">
        <f ca="1">IFERROR(__xludf.DUMMYFUNCTION("""COMPUTED_VALUE"""),7365)</f>
        <v>7365</v>
      </c>
      <c r="K225" s="113">
        <f ca="1">IFERROR(__xludf.DUMMYFUNCTION("""COMPUTED_VALUE"""),0)</f>
        <v>0</v>
      </c>
      <c r="L225" s="114">
        <f ca="1">IFERROR(__xludf.DUMMYFUNCTION("""COMPUTED_VALUE"""),1)</f>
        <v>1</v>
      </c>
      <c r="M225" s="111"/>
      <c r="N225" s="111"/>
      <c r="O225" s="111"/>
      <c r="P225" s="111"/>
      <c r="Q225" s="120"/>
      <c r="R225" s="103"/>
      <c r="S225" s="103"/>
      <c r="T225" s="103"/>
      <c r="U225" s="103"/>
      <c r="V225" s="103"/>
      <c r="W225" s="103"/>
      <c r="X225" s="103"/>
      <c r="Y225" s="103"/>
      <c r="Z225" s="103"/>
      <c r="AA225" s="103"/>
    </row>
    <row r="226" spans="1:27" ht="51" x14ac:dyDescent="0.2">
      <c r="A226" s="110">
        <v>54</v>
      </c>
      <c r="B226" s="111" t="str">
        <f ca="1">IFERROR(__xludf.DUMMYFUNCTION("""COMPUTED_VALUE"""),"МинЖКХ")</f>
        <v>МинЖКХ</v>
      </c>
      <c r="C226" s="111" t="str">
        <f ca="1">IFERROR(__xludf.DUMMYFUNCTION("""COMPUTED_VALUE"""),"г.о. Коломенский")</f>
        <v>г.о. Коломенский</v>
      </c>
      <c r="D226" s="111" t="str">
        <f ca="1">IFERROR(__xludf.DUMMYFUNCTION("""COMPUTED_VALUE"""),"Реконструкция очистных сооружений близ пос. Сергиевский Коломенского городского округа (ПИР) ")</f>
        <v xml:space="preserve">Реконструкция очистных сооружений близ пос. Сергиевский Коломенского городского округа (ПИР) </v>
      </c>
      <c r="E226" s="111">
        <f ca="1">IFERROR(__xludf.DUMMYFUNCTION("""COMPUTED_VALUE"""),2020)</f>
        <v>2020</v>
      </c>
      <c r="F226" s="113">
        <f ca="1">IFERROR(__xludf.DUMMYFUNCTION("""COMPUTED_VALUE"""),52778)</f>
        <v>52778</v>
      </c>
      <c r="G226" s="113">
        <f ca="1">IFERROR(__xludf.DUMMYFUNCTION("""COMPUTED_VALUE"""),0)</f>
        <v>0</v>
      </c>
      <c r="H226" s="113">
        <f ca="1">IFERROR(__xludf.DUMMYFUNCTION("""COMPUTED_VALUE"""),0)</f>
        <v>0</v>
      </c>
      <c r="I226" s="113">
        <f ca="1">IFERROR(__xludf.DUMMYFUNCTION("""COMPUTED_VALUE"""),52778)</f>
        <v>52778</v>
      </c>
      <c r="J226" s="111">
        <f ca="1">IFERROR(__xludf.DUMMYFUNCTION("""COMPUTED_VALUE"""),52778)</f>
        <v>52778</v>
      </c>
      <c r="K226" s="113">
        <f ca="1">IFERROR(__xludf.DUMMYFUNCTION("""COMPUTED_VALUE"""),0)</f>
        <v>0</v>
      </c>
      <c r="L226" s="114">
        <f ca="1">IFERROR(__xludf.DUMMYFUNCTION("""COMPUTED_VALUE"""),1)</f>
        <v>1</v>
      </c>
      <c r="M226" s="111"/>
      <c r="N226" s="111"/>
      <c r="O226" s="111"/>
      <c r="P226" s="111"/>
      <c r="Q226" s="120"/>
      <c r="R226" s="103"/>
      <c r="S226" s="103"/>
      <c r="T226" s="103"/>
      <c r="U226" s="103"/>
      <c r="V226" s="103"/>
      <c r="W226" s="103"/>
      <c r="X226" s="103"/>
      <c r="Y226" s="103"/>
      <c r="Z226" s="103"/>
      <c r="AA226" s="103"/>
    </row>
    <row r="227" spans="1:27" ht="76.5" x14ac:dyDescent="0.2">
      <c r="A227" s="111"/>
      <c r="B227" s="111" t="str">
        <f ca="1">IFERROR(__xludf.DUMMYFUNCTION("""COMPUTED_VALUE"""),"МинЖКХ")</f>
        <v>МинЖКХ</v>
      </c>
      <c r="C227" s="111" t="str">
        <f ca="1">IFERROR(__xludf.DUMMYFUNCTION("""COMPUTED_VALUE"""),"г.о. Серпухов")</f>
        <v>г.о. Серпухов</v>
      </c>
      <c r="D227" s="111" t="str">
        <f ca="1">IFERROR(__xludf.DUMMYFUNCTION("""COMPUTED_VALUE"""),"Строительство блочно-модульной станции очистки хозяйственно-бытовых сточных вод, Серпуховский м.р., с. Райсеменовское ( в том числе ПИР) ")</f>
        <v xml:space="preserve">Строительство блочно-модульной станции очистки хозяйственно-бытовых сточных вод, Серпуховский м.р., с. Райсеменовское ( в том числе ПИР) </v>
      </c>
      <c r="E227" s="111" t="str">
        <f ca="1">IFERROR(__xludf.DUMMYFUNCTION("""COMPUTED_VALUE"""),"2022-2024")</f>
        <v>2022-2024</v>
      </c>
      <c r="F227" s="113">
        <f ca="1">IFERROR(__xludf.DUMMYFUNCTION("""COMPUTED_VALUE"""),0)</f>
        <v>0</v>
      </c>
      <c r="G227" s="113">
        <f ca="1">IFERROR(__xludf.DUMMYFUNCTION("""COMPUTED_VALUE"""),0)</f>
        <v>0</v>
      </c>
      <c r="H227" s="113">
        <f ca="1">IFERROR(__xludf.DUMMYFUNCTION("""COMPUTED_VALUE"""),0)</f>
        <v>0</v>
      </c>
      <c r="I227" s="113">
        <f ca="1">IFERROR(__xludf.DUMMYFUNCTION("""COMPUTED_VALUE"""),0)</f>
        <v>0</v>
      </c>
      <c r="J227" s="111">
        <f ca="1">IFERROR(__xludf.DUMMYFUNCTION("""COMPUTED_VALUE"""),0)</f>
        <v>0</v>
      </c>
      <c r="K227" s="113">
        <f ca="1">IFERROR(__xludf.DUMMYFUNCTION("""COMPUTED_VALUE"""),0)</f>
        <v>0</v>
      </c>
      <c r="L227" s="114" t="str">
        <f ca="1">IFERROR(__xludf.DUMMYFUNCTION("""COMPUTED_VALUE"""),"#DIV/0!")</f>
        <v>#DIV/0!</v>
      </c>
      <c r="M227" s="111"/>
      <c r="N227" s="111"/>
      <c r="O227" s="111"/>
      <c r="P227" s="111"/>
      <c r="Q227" s="112"/>
      <c r="R227" s="103"/>
      <c r="S227" s="103"/>
      <c r="T227" s="103"/>
      <c r="U227" s="103"/>
      <c r="V227" s="103"/>
      <c r="W227" s="103"/>
      <c r="X227" s="103"/>
      <c r="Y227" s="103"/>
      <c r="Z227" s="103"/>
      <c r="AA227" s="103"/>
    </row>
    <row r="228" spans="1:27" ht="114.75" x14ac:dyDescent="0.2">
      <c r="A228" s="116">
        <v>55</v>
      </c>
      <c r="B228" s="117" t="str">
        <f ca="1">IFERROR(__xludf.DUMMYFUNCTION("""COMPUTED_VALUE"""),"МинЖКХ")</f>
        <v>МинЖКХ</v>
      </c>
      <c r="C228" s="117" t="str">
        <f ca="1">IFERROR(__xludf.DUMMYFUNCTION("""COMPUTED_VALUE"""),"г.о. Одинцово")</f>
        <v>г.о. Одинцово</v>
      </c>
      <c r="D228" s="117" t="str">
        <f ca="1">IFERROR(__xludf.DUMMYFUNCTION("""COMPUTED_VALUE"""),"Реконструкция очистных сооружений пос. Горки 10 Одинцовского г.о. ")</f>
        <v xml:space="preserve">Реконструкция очистных сооружений пос. Горки 10 Одинцовского г.о. </v>
      </c>
      <c r="E228" s="117" t="str">
        <f ca="1">IFERROR(__xludf.DUMMYFUNCTION("""COMPUTED_VALUE"""),"2020-2021")</f>
        <v>2020-2021</v>
      </c>
      <c r="F228" s="118">
        <f ca="1">IFERROR(__xludf.DUMMYFUNCTION("""COMPUTED_VALUE"""),233190.979999999)</f>
        <v>233190.97999999899</v>
      </c>
      <c r="G228" s="118">
        <f ca="1">IFERROR(__xludf.DUMMYFUNCTION("""COMPUTED_VALUE"""),94968.98)</f>
        <v>94968.98</v>
      </c>
      <c r="H228" s="118">
        <f ca="1">IFERROR(__xludf.DUMMYFUNCTION("""COMPUTED_VALUE"""),0)</f>
        <v>0</v>
      </c>
      <c r="I228" s="118">
        <f ca="1">IFERROR(__xludf.DUMMYFUNCTION("""COMPUTED_VALUE"""),138222)</f>
        <v>138222</v>
      </c>
      <c r="J228" s="117">
        <f ca="1">IFERROR(__xludf.DUMMYFUNCTION("""COMPUTED_VALUE"""),197117.289999999)</f>
        <v>197117.28999999899</v>
      </c>
      <c r="K228" s="118">
        <f ca="1">IFERROR(__xludf.DUMMYFUNCTION("""COMPUTED_VALUE"""),36073.69)</f>
        <v>36073.69</v>
      </c>
      <c r="L228" s="119">
        <f ca="1">IFERROR(__xludf.DUMMYFUNCTION("""COMPUTED_VALUE"""),0.845304093666058)</f>
        <v>0.84530409366605797</v>
      </c>
      <c r="M228" s="117" t="str">
        <f ca="1">IFERROR(__xludf.DUMMYFUNCTION("""COMPUTED_VALUE"""),"Риск неосвоения оставшейся части лимитов. Документация направлена в МОГЭ на корректировку. Увеличение стоимости мероприятия до 650 млн. руб. Админстрацией направлено письмо о переносе средств на 2021 г. в размере 140 млн. руб")</f>
        <v>Риск неосвоения оставшейся части лимитов. Документация направлена в МОГЭ на корректировку. Увеличение стоимости мероприятия до 650 млн. руб. Админстрацией направлено письмо о переносе средств на 2021 г. в размере 140 млн. руб</v>
      </c>
      <c r="N228" s="111"/>
      <c r="O228" s="111"/>
      <c r="P228" s="111"/>
      <c r="Q228" s="115">
        <v>44154</v>
      </c>
      <c r="R228" s="103"/>
      <c r="S228" s="103"/>
      <c r="T228" s="103"/>
      <c r="U228" s="103"/>
      <c r="V228" s="103"/>
      <c r="W228" s="103"/>
      <c r="X228" s="103"/>
      <c r="Y228" s="103"/>
      <c r="Z228" s="103"/>
      <c r="AA228" s="103"/>
    </row>
    <row r="229" spans="1:27" ht="89.25" x14ac:dyDescent="0.2">
      <c r="A229" s="116">
        <v>56</v>
      </c>
      <c r="B229" s="117" t="str">
        <f ca="1">IFERROR(__xludf.DUMMYFUNCTION("""COMPUTED_VALUE"""),"МинЖКХ")</f>
        <v>МинЖКХ</v>
      </c>
      <c r="C229" s="117" t="str">
        <f ca="1">IFERROR(__xludf.DUMMYFUNCTION("""COMPUTED_VALUE"""),"г.о. Коломенский")</f>
        <v>г.о. Коломенский</v>
      </c>
      <c r="D229" s="117" t="str">
        <f ca="1">IFERROR(__xludf.DUMMYFUNCTION("""COMPUTED_VALUE"""),"Реконструкция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f>
        <v xml:space="preserv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v>
      </c>
      <c r="E229" s="117" t="str">
        <f ca="1">IFERROR(__xludf.DUMMYFUNCTION("""COMPUTED_VALUE"""),"2020-2021")</f>
        <v>2020-2021</v>
      </c>
      <c r="F229" s="118">
        <f ca="1">IFERROR(__xludf.DUMMYFUNCTION("""COMPUTED_VALUE"""),63059.3)</f>
        <v>63059.3</v>
      </c>
      <c r="G229" s="118">
        <f ca="1">IFERROR(__xludf.DUMMYFUNCTION("""COMPUTED_VALUE"""),63059.3)</f>
        <v>63059.3</v>
      </c>
      <c r="H229" s="118">
        <f ca="1">IFERROR(__xludf.DUMMYFUNCTION("""COMPUTED_VALUE"""),0)</f>
        <v>0</v>
      </c>
      <c r="I229" s="118">
        <f ca="1">IFERROR(__xludf.DUMMYFUNCTION("""COMPUTED_VALUE"""),0)</f>
        <v>0</v>
      </c>
      <c r="J229" s="117">
        <f ca="1">IFERROR(__xludf.DUMMYFUNCTION("""COMPUTED_VALUE"""),31644.1)</f>
        <v>31644.1</v>
      </c>
      <c r="K229" s="118">
        <f ca="1">IFERROR(__xludf.DUMMYFUNCTION("""COMPUTED_VALUE"""),31415.2)</f>
        <v>31415.200000000001</v>
      </c>
      <c r="L229" s="119">
        <f ca="1">IFERROR(__xludf.DUMMYFUNCTION("""COMPUTED_VALUE"""),0.501814958301154)</f>
        <v>0.50181495830115397</v>
      </c>
      <c r="M229" s="117" t="str">
        <f ca="1">IFERROR(__xludf.DUMMYFUNCTION("""COMPUTED_VALUE"""),"Низкий темп реализации, гарантийные письма не представлены, договора на оборудование отсутвуют. 
Низкий темп выполнения работ.
 Не представлена ДК согласованная с ДСРПИИ.")</f>
        <v>Низкий темп реализации, гарантийные письма не представлены, договора на оборудование отсутвуют. 
Низкий темп выполнения работ.
 Не представлена ДК согласованная с ДСРПИИ.</v>
      </c>
      <c r="N229" s="111"/>
      <c r="O229" s="111"/>
      <c r="P229" s="111"/>
      <c r="Q229" s="115">
        <v>44154</v>
      </c>
      <c r="R229" s="103"/>
      <c r="S229" s="103"/>
      <c r="T229" s="103"/>
      <c r="U229" s="103"/>
      <c r="V229" s="103"/>
      <c r="W229" s="103"/>
      <c r="X229" s="103"/>
      <c r="Y229" s="103"/>
      <c r="Z229" s="103"/>
      <c r="AA229" s="103"/>
    </row>
    <row r="230" spans="1:27" ht="63.75" x14ac:dyDescent="0.2">
      <c r="A230" s="111"/>
      <c r="B230" s="111" t="str">
        <f ca="1">IFERROR(__xludf.DUMMYFUNCTION("""COMPUTED_VALUE"""),"МинЖКХ")</f>
        <v>МинЖКХ</v>
      </c>
      <c r="C230" s="111" t="str">
        <f ca="1">IFERROR(__xludf.DUMMYFUNCTION("""COMPUTED_VALUE"""),"г.о. Электросталь")</f>
        <v>г.о. Электросталь</v>
      </c>
      <c r="D230" s="111" t="str">
        <f ca="1">IFERROR(__xludf.DUMMYFUNCTION("""COMPUTED_VALUE"""),"Реконструкция биологических очистных сооружений канализации по адресу: городской округ Электросталь, пос. Фрязево (в том числе ПИР)")</f>
        <v>Реконструкция биологических очистных сооружений канализации по адресу: городской округ Электросталь, пос. Фрязево (в том числе ПИР)</v>
      </c>
      <c r="E230" s="111" t="str">
        <f ca="1">IFERROR(__xludf.DUMMYFUNCTION("""COMPUTED_VALUE"""),"2021-2023")</f>
        <v>2021-2023</v>
      </c>
      <c r="F230" s="113">
        <f ca="1">IFERROR(__xludf.DUMMYFUNCTION("""COMPUTED_VALUE"""),0)</f>
        <v>0</v>
      </c>
      <c r="G230" s="113">
        <f ca="1">IFERROR(__xludf.DUMMYFUNCTION("""COMPUTED_VALUE"""),0)</f>
        <v>0</v>
      </c>
      <c r="H230" s="113">
        <f ca="1">IFERROR(__xludf.DUMMYFUNCTION("""COMPUTED_VALUE"""),0)</f>
        <v>0</v>
      </c>
      <c r="I230" s="113">
        <f ca="1">IFERROR(__xludf.DUMMYFUNCTION("""COMPUTED_VALUE"""),0)</f>
        <v>0</v>
      </c>
      <c r="J230" s="111">
        <f ca="1">IFERROR(__xludf.DUMMYFUNCTION("""COMPUTED_VALUE"""),0)</f>
        <v>0</v>
      </c>
      <c r="K230" s="113">
        <f ca="1">IFERROR(__xludf.DUMMYFUNCTION("""COMPUTED_VALUE"""),0)</f>
        <v>0</v>
      </c>
      <c r="L230" s="114" t="str">
        <f ca="1">IFERROR(__xludf.DUMMYFUNCTION("""COMPUTED_VALUE"""),"#DIV/0!")</f>
        <v>#DIV/0!</v>
      </c>
      <c r="M230" s="111"/>
      <c r="N230" s="111"/>
      <c r="O230" s="111"/>
      <c r="P230" s="111"/>
      <c r="Q230" s="112"/>
      <c r="R230" s="103"/>
      <c r="S230" s="103"/>
      <c r="T230" s="103"/>
      <c r="U230" s="103"/>
      <c r="V230" s="103"/>
      <c r="W230" s="103"/>
      <c r="X230" s="103"/>
      <c r="Y230" s="103"/>
      <c r="Z230" s="103"/>
      <c r="AA230" s="103"/>
    </row>
    <row r="231" spans="1:27" ht="76.5" x14ac:dyDescent="0.2">
      <c r="A231" s="111"/>
      <c r="B231" s="111" t="str">
        <f ca="1">IFERROR(__xludf.DUMMYFUNCTION("""COMPUTED_VALUE"""),"МинЖКХ")</f>
        <v>МинЖКХ</v>
      </c>
      <c r="C231" s="111" t="str">
        <f ca="1">IFERROR(__xludf.DUMMYFUNCTION("""COMPUTED_VALUE"""),"г.о. Подольск")</f>
        <v>г.о. Подольск</v>
      </c>
      <c r="D231" s="111" t="str">
        <f ca="1">IFERROR(__xludf.DUMMYFUNCTION("""COMPUTED_VALUE"""),"Строительство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f>
        <v>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v>
      </c>
      <c r="E231" s="111" t="str">
        <f ca="1">IFERROR(__xludf.DUMMYFUNCTION("""COMPUTED_VALUE"""),"2021-2022")</f>
        <v>2021-2022</v>
      </c>
      <c r="F231" s="113">
        <f ca="1">IFERROR(__xludf.DUMMYFUNCTION("""COMPUTED_VALUE"""),0)</f>
        <v>0</v>
      </c>
      <c r="G231" s="113">
        <f ca="1">IFERROR(__xludf.DUMMYFUNCTION("""COMPUTED_VALUE"""),0)</f>
        <v>0</v>
      </c>
      <c r="H231" s="113">
        <f ca="1">IFERROR(__xludf.DUMMYFUNCTION("""COMPUTED_VALUE"""),0)</f>
        <v>0</v>
      </c>
      <c r="I231" s="113">
        <f ca="1">IFERROR(__xludf.DUMMYFUNCTION("""COMPUTED_VALUE"""),0)</f>
        <v>0</v>
      </c>
      <c r="J231" s="111">
        <f ca="1">IFERROR(__xludf.DUMMYFUNCTION("""COMPUTED_VALUE"""),0)</f>
        <v>0</v>
      </c>
      <c r="K231" s="113">
        <f ca="1">IFERROR(__xludf.DUMMYFUNCTION("""COMPUTED_VALUE"""),0)</f>
        <v>0</v>
      </c>
      <c r="L231" s="114" t="str">
        <f ca="1">IFERROR(__xludf.DUMMYFUNCTION("""COMPUTED_VALUE"""),"#DIV/0!")</f>
        <v>#DIV/0!</v>
      </c>
      <c r="M231" s="111"/>
      <c r="N231" s="111"/>
      <c r="O231" s="111"/>
      <c r="P231" s="111"/>
      <c r="Q231" s="112"/>
      <c r="R231" s="103"/>
      <c r="S231" s="103"/>
      <c r="T231" s="103"/>
      <c r="U231" s="103"/>
      <c r="V231" s="103"/>
      <c r="W231" s="103"/>
      <c r="X231" s="103"/>
      <c r="Y231" s="103"/>
      <c r="Z231" s="103"/>
      <c r="AA231" s="103"/>
    </row>
    <row r="232" spans="1:27" ht="51" x14ac:dyDescent="0.2">
      <c r="A232" s="111"/>
      <c r="B232" s="111" t="str">
        <f ca="1">IFERROR(__xludf.DUMMYFUNCTION("""COMPUTED_VALUE"""),"МинЖКХ")</f>
        <v>МинЖКХ</v>
      </c>
      <c r="C232" s="111" t="str">
        <f ca="1">IFERROR(__xludf.DUMMYFUNCTION("""COMPUTED_VALUE"""),"г.о. Лосино-Петровский")</f>
        <v>г.о. Лосино-Петровский</v>
      </c>
      <c r="D232" s="111" t="str">
        <f ca="1">IFERROR(__xludf.DUMMYFUNCTION("""COMPUTED_VALUE"""),"Строительство  очистных сооружений канализации д. Корпуса  (в том числе ПИР) г.о. Лосино-Петровский")</f>
        <v>Строительство  очистных сооружений канализации д. Корпуса  (в том числе ПИР) г.о. Лосино-Петровский</v>
      </c>
      <c r="E232" s="111" t="str">
        <f ca="1">IFERROR(__xludf.DUMMYFUNCTION("""COMPUTED_VALUE"""),"2022-2023")</f>
        <v>2022-2023</v>
      </c>
      <c r="F232" s="113">
        <f ca="1">IFERROR(__xludf.DUMMYFUNCTION("""COMPUTED_VALUE"""),0)</f>
        <v>0</v>
      </c>
      <c r="G232" s="113">
        <f ca="1">IFERROR(__xludf.DUMMYFUNCTION("""COMPUTED_VALUE"""),0)</f>
        <v>0</v>
      </c>
      <c r="H232" s="113">
        <f ca="1">IFERROR(__xludf.DUMMYFUNCTION("""COMPUTED_VALUE"""),0)</f>
        <v>0</v>
      </c>
      <c r="I232" s="113">
        <f ca="1">IFERROR(__xludf.DUMMYFUNCTION("""COMPUTED_VALUE"""),0)</f>
        <v>0</v>
      </c>
      <c r="J232" s="111">
        <f ca="1">IFERROR(__xludf.DUMMYFUNCTION("""COMPUTED_VALUE"""),0)</f>
        <v>0</v>
      </c>
      <c r="K232" s="113">
        <f ca="1">IFERROR(__xludf.DUMMYFUNCTION("""COMPUTED_VALUE"""),0)</f>
        <v>0</v>
      </c>
      <c r="L232" s="114" t="str">
        <f ca="1">IFERROR(__xludf.DUMMYFUNCTION("""COMPUTED_VALUE"""),"#DIV/0!")</f>
        <v>#DIV/0!</v>
      </c>
      <c r="M232" s="111"/>
      <c r="N232" s="111"/>
      <c r="O232" s="111"/>
      <c r="P232" s="111"/>
      <c r="Q232" s="112"/>
      <c r="R232" s="103"/>
      <c r="S232" s="103"/>
      <c r="T232" s="103"/>
      <c r="U232" s="103"/>
      <c r="V232" s="103"/>
      <c r="W232" s="103"/>
      <c r="X232" s="103"/>
      <c r="Y232" s="103"/>
      <c r="Z232" s="103"/>
      <c r="AA232" s="103"/>
    </row>
    <row r="233" spans="1:27" ht="63.75" x14ac:dyDescent="0.2">
      <c r="A233" s="116">
        <v>57</v>
      </c>
      <c r="B233" s="117" t="str">
        <f ca="1">IFERROR(__xludf.DUMMYFUNCTION("""COMPUTED_VALUE"""),"МинЖКХ")</f>
        <v>МинЖКХ</v>
      </c>
      <c r="C233" s="117" t="str">
        <f ca="1">IFERROR(__xludf.DUMMYFUNCTION("""COMPUTED_VALUE"""),"г.о. Серпухов")</f>
        <v>г.о. Серпухов</v>
      </c>
      <c r="D233" s="117" t="str">
        <f ca="1">IFERROR(__xludf.DUMMYFUNCTION("""COMPUTED_VALUE"""),"Реконструкция очистных сооружений  г. Серпухов пер. Безымянный д.1 ( ПИР) ")</f>
        <v xml:space="preserve">Реконструкция очистных сооружений  г. Серпухов пер. Безымянный д.1 ( ПИР) </v>
      </c>
      <c r="E233" s="117">
        <f ca="1">IFERROR(__xludf.DUMMYFUNCTION("""COMPUTED_VALUE"""),2020)</f>
        <v>2020</v>
      </c>
      <c r="F233" s="118">
        <f ca="1">IFERROR(__xludf.DUMMYFUNCTION("""COMPUTED_VALUE"""),64772)</f>
        <v>64772</v>
      </c>
      <c r="G233" s="118">
        <f ca="1">IFERROR(__xludf.DUMMYFUNCTION("""COMPUTED_VALUE"""),0)</f>
        <v>0</v>
      </c>
      <c r="H233" s="118">
        <f ca="1">IFERROR(__xludf.DUMMYFUNCTION("""COMPUTED_VALUE"""),0)</f>
        <v>0</v>
      </c>
      <c r="I233" s="118">
        <f ca="1">IFERROR(__xludf.DUMMYFUNCTION("""COMPUTED_VALUE"""),64772)</f>
        <v>64772</v>
      </c>
      <c r="J233" s="117">
        <f ca="1">IFERROR(__xludf.DUMMYFUNCTION("""COMPUTED_VALUE"""),51817.18)</f>
        <v>51817.18</v>
      </c>
      <c r="K233" s="118">
        <f ca="1">IFERROR(__xludf.DUMMYFUNCTION("""COMPUTED_VALUE"""),12954.82)</f>
        <v>12954.82</v>
      </c>
      <c r="L233" s="119">
        <f ca="1">IFERROR(__xludf.DUMMYFUNCTION("""COMPUTED_VALUE"""),0.799993515716667)</f>
        <v>0.79999351571666699</v>
      </c>
      <c r="M233" s="117" t="str">
        <f ca="1">IFERROR(__xludf.DUMMYFUNCTION("""COMPUTED_VALUE"""),"Подрядчиком подготовлены и нарпавлены 10.11.2020 Акты выполненых работ по 8 из 10 этапам на общую сумму 47,5 млн.руб. ")</f>
        <v xml:space="preserve">Подрядчиком подготовлены и нарпавлены 10.11.2020 Акты выполненых работ по 8 из 10 этапам на общую сумму 47,5 млн.руб. </v>
      </c>
      <c r="N233" s="111"/>
      <c r="O233" s="111"/>
      <c r="P233" s="111"/>
      <c r="Q233" s="115">
        <v>44154</v>
      </c>
      <c r="R233" s="103"/>
      <c r="S233" s="103"/>
      <c r="T233" s="103"/>
      <c r="U233" s="103"/>
      <c r="V233" s="103"/>
      <c r="W233" s="103"/>
      <c r="X233" s="103"/>
      <c r="Y233" s="103"/>
      <c r="Z233" s="103"/>
      <c r="AA233" s="103"/>
    </row>
    <row r="234" spans="1:27" ht="51" x14ac:dyDescent="0.2">
      <c r="A234" s="110">
        <v>58</v>
      </c>
      <c r="B234" s="111" t="str">
        <f ca="1">IFERROR(__xludf.DUMMYFUNCTION("""COMPUTED_VALUE"""),"МинЖКХ")</f>
        <v>МинЖКХ</v>
      </c>
      <c r="C234" s="111" t="str">
        <f ca="1">IFERROR(__xludf.DUMMYFUNCTION("""COMPUTED_VALUE"""),"г.о. Павловский Посад")</f>
        <v>г.о. Павловский Посад</v>
      </c>
      <c r="D234" s="111" t="str">
        <f ca="1">IFERROR(__xludf.DUMMYFUNCTION("""COMPUTED_VALUE"""),"Реконструкция очистных сооружений  г. Павловский Посад пер. Интернациональный д. 28 Б (ПИР)")</f>
        <v>Реконструкция очистных сооружений  г. Павловский Посад пер. Интернациональный д. 28 Б (ПИР)</v>
      </c>
      <c r="E234" s="111">
        <f ca="1">IFERROR(__xludf.DUMMYFUNCTION("""COMPUTED_VALUE"""),2020)</f>
        <v>2020</v>
      </c>
      <c r="F234" s="113">
        <f ca="1">IFERROR(__xludf.DUMMYFUNCTION("""COMPUTED_VALUE"""),50136.64)</f>
        <v>50136.639999999999</v>
      </c>
      <c r="G234" s="113">
        <f ca="1">IFERROR(__xludf.DUMMYFUNCTION("""COMPUTED_VALUE"""),0)</f>
        <v>0</v>
      </c>
      <c r="H234" s="113">
        <f ca="1">IFERROR(__xludf.DUMMYFUNCTION("""COMPUTED_VALUE"""),0)</f>
        <v>0</v>
      </c>
      <c r="I234" s="113">
        <f ca="1">IFERROR(__xludf.DUMMYFUNCTION("""COMPUTED_VALUE"""),50136.64)</f>
        <v>50136.639999999999</v>
      </c>
      <c r="J234" s="111">
        <f ca="1">IFERROR(__xludf.DUMMYFUNCTION("""COMPUTED_VALUE"""),0)</f>
        <v>0</v>
      </c>
      <c r="K234" s="113">
        <f ca="1">IFERROR(__xludf.DUMMYFUNCTION("""COMPUTED_VALUE"""),50136.64)</f>
        <v>50136.639999999999</v>
      </c>
      <c r="L234" s="114">
        <f ca="1">IFERROR(__xludf.DUMMYFUNCTION("""COMPUTED_VALUE"""),0)</f>
        <v>0</v>
      </c>
      <c r="M234" s="111"/>
      <c r="N234" s="111"/>
      <c r="O234" s="111"/>
      <c r="P234" s="111"/>
      <c r="Q234" s="112"/>
      <c r="R234" s="103"/>
      <c r="S234" s="103"/>
      <c r="T234" s="103"/>
      <c r="U234" s="103"/>
      <c r="V234" s="103"/>
      <c r="W234" s="103"/>
      <c r="X234" s="103"/>
      <c r="Y234" s="103"/>
      <c r="Z234" s="103"/>
      <c r="AA234" s="103"/>
    </row>
    <row r="235" spans="1:27" ht="38.25" x14ac:dyDescent="0.2">
      <c r="A235" s="110">
        <v>59</v>
      </c>
      <c r="B235" s="111" t="str">
        <f ca="1">IFERROR(__xludf.DUMMYFUNCTION("""COMPUTED_VALUE"""),"МинЖКХ")</f>
        <v>МинЖКХ</v>
      </c>
      <c r="C235" s="111" t="str">
        <f ca="1">IFERROR(__xludf.DUMMYFUNCTION("""COMPUTED_VALUE"""),"г.о. Солнечногорск")</f>
        <v>г.о. Солнечногорск</v>
      </c>
      <c r="D235" s="111" t="str">
        <f ca="1">IFERROR(__xludf.DUMMYFUNCTION("""COMPUTED_VALUE"""),"Реконструкция очистных сооружений   г.п. Солнечногорск, д. Осипово (ПИР)")</f>
        <v>Реконструкция очистных сооружений   г.п. Солнечногорск, д. Осипово (ПИР)</v>
      </c>
      <c r="E235" s="111">
        <f ca="1">IFERROR(__xludf.DUMMYFUNCTION("""COMPUTED_VALUE"""),2020)</f>
        <v>2020</v>
      </c>
      <c r="F235" s="113">
        <f ca="1">IFERROR(__xludf.DUMMYFUNCTION("""COMPUTED_VALUE"""),17057.25)</f>
        <v>17057.25</v>
      </c>
      <c r="G235" s="113">
        <f ca="1">IFERROR(__xludf.DUMMYFUNCTION("""COMPUTED_VALUE"""),0)</f>
        <v>0</v>
      </c>
      <c r="H235" s="113">
        <f ca="1">IFERROR(__xludf.DUMMYFUNCTION("""COMPUTED_VALUE"""),0)</f>
        <v>0</v>
      </c>
      <c r="I235" s="113">
        <f ca="1">IFERROR(__xludf.DUMMYFUNCTION("""COMPUTED_VALUE"""),17057.25)</f>
        <v>17057.25</v>
      </c>
      <c r="J235" s="111">
        <f ca="1">IFERROR(__xludf.DUMMYFUNCTION("""COMPUTED_VALUE"""),17057.25)</f>
        <v>17057.25</v>
      </c>
      <c r="K235" s="113">
        <f ca="1">IFERROR(__xludf.DUMMYFUNCTION("""COMPUTED_VALUE"""),0)</f>
        <v>0</v>
      </c>
      <c r="L235" s="114">
        <f ca="1">IFERROR(__xludf.DUMMYFUNCTION("""COMPUTED_VALUE"""),1)</f>
        <v>1</v>
      </c>
      <c r="M235" s="111"/>
      <c r="N235" s="111"/>
      <c r="O235" s="111"/>
      <c r="P235" s="111"/>
      <c r="Q235" s="112"/>
      <c r="R235" s="103"/>
      <c r="S235" s="103"/>
      <c r="T235" s="103"/>
      <c r="U235" s="103"/>
      <c r="V235" s="103"/>
      <c r="W235" s="103"/>
      <c r="X235" s="103"/>
      <c r="Y235" s="103"/>
      <c r="Z235" s="103"/>
      <c r="AA235" s="103"/>
    </row>
    <row r="236" spans="1:27" ht="38.25" x14ac:dyDescent="0.2">
      <c r="A236" s="110">
        <v>60</v>
      </c>
      <c r="B236" s="111" t="str">
        <f ca="1">IFERROR(__xludf.DUMMYFUNCTION("""COMPUTED_VALUE"""),"МинЖКХ")</f>
        <v>МинЖКХ</v>
      </c>
      <c r="C236" s="111" t="str">
        <f ca="1">IFERROR(__xludf.DUMMYFUNCTION("""COMPUTED_VALUE"""),"г.о. Наро-Фоминск")</f>
        <v>г.о. Наро-Фоминск</v>
      </c>
      <c r="D236" s="111" t="str">
        <f ca="1">IFERROR(__xludf.DUMMYFUNCTION("""COMPUTED_VALUE"""),"Строительство очистных сооружений г. Наро-Фоминск ул. Профсоюзная  (ПИР) ")</f>
        <v xml:space="preserve">Строительство очистных сооружений г. Наро-Фоминск ул. Профсоюзная  (ПИР) </v>
      </c>
      <c r="E236" s="111">
        <f ca="1">IFERROR(__xludf.DUMMYFUNCTION("""COMPUTED_VALUE"""),2020)</f>
        <v>2020</v>
      </c>
      <c r="F236" s="113">
        <f ca="1">IFERROR(__xludf.DUMMYFUNCTION("""COMPUTED_VALUE"""),32375)</f>
        <v>32375</v>
      </c>
      <c r="G236" s="113">
        <f ca="1">IFERROR(__xludf.DUMMYFUNCTION("""COMPUTED_VALUE"""),0)</f>
        <v>0</v>
      </c>
      <c r="H236" s="113">
        <f ca="1">IFERROR(__xludf.DUMMYFUNCTION("""COMPUTED_VALUE"""),0)</f>
        <v>0</v>
      </c>
      <c r="I236" s="113">
        <f ca="1">IFERROR(__xludf.DUMMYFUNCTION("""COMPUTED_VALUE"""),32375)</f>
        <v>32375</v>
      </c>
      <c r="J236" s="111">
        <f ca="1">IFERROR(__xludf.DUMMYFUNCTION("""COMPUTED_VALUE"""),32374.99)</f>
        <v>32374.99</v>
      </c>
      <c r="K236" s="113">
        <f ca="1">IFERROR(__xludf.DUMMYFUNCTION("""COMPUTED_VALUE"""),0.00999999999839929)</f>
        <v>9.9999999983992893E-3</v>
      </c>
      <c r="L236" s="114">
        <f ca="1">IFERROR(__xludf.DUMMYFUNCTION("""COMPUTED_VALUE"""),0.999999691119691)</f>
        <v>0.999999691119691</v>
      </c>
      <c r="M236" s="111"/>
      <c r="N236" s="111"/>
      <c r="O236" s="111"/>
      <c r="P236" s="111"/>
      <c r="Q236" s="112"/>
      <c r="R236" s="103"/>
      <c r="S236" s="103"/>
      <c r="T236" s="103"/>
      <c r="U236" s="103"/>
      <c r="V236" s="103"/>
      <c r="W236" s="103"/>
      <c r="X236" s="103"/>
      <c r="Y236" s="103"/>
      <c r="Z236" s="103"/>
      <c r="AA236" s="103"/>
    </row>
    <row r="237" spans="1:27" ht="51" x14ac:dyDescent="0.2">
      <c r="A237" s="110">
        <v>61</v>
      </c>
      <c r="B237" s="111" t="str">
        <f ca="1">IFERROR(__xludf.DUMMYFUNCTION("""COMPUTED_VALUE"""),"МинЖКХ")</f>
        <v>МинЖКХ</v>
      </c>
      <c r="C237" s="111" t="str">
        <f ca="1">IFERROR(__xludf.DUMMYFUNCTION("""COMPUTED_VALUE"""),"г.о. Сергиев Посад")</f>
        <v>г.о. Сергиев Посад</v>
      </c>
      <c r="D237" s="111" t="str">
        <f ca="1">IFERROR(__xludf.DUMMYFUNCTION("""COMPUTED_VALUE"""),"Строительство очистных сооружений канализации г.п. Сергиев-Посад мощностью 40 тыс. куб.м/сут. (ПИР)")</f>
        <v>Строительство очистных сооружений канализации г.п. Сергиев-Посад мощностью 40 тыс. куб.м/сут. (ПИР)</v>
      </c>
      <c r="E237" s="111">
        <f ca="1">IFERROR(__xludf.DUMMYFUNCTION("""COMPUTED_VALUE"""),2020)</f>
        <v>2020</v>
      </c>
      <c r="F237" s="113">
        <f ca="1">IFERROR(__xludf.DUMMYFUNCTION("""COMPUTED_VALUE"""),32300)</f>
        <v>32300</v>
      </c>
      <c r="G237" s="113">
        <f ca="1">IFERROR(__xludf.DUMMYFUNCTION("""COMPUTED_VALUE"""),0)</f>
        <v>0</v>
      </c>
      <c r="H237" s="113">
        <f ca="1">IFERROR(__xludf.DUMMYFUNCTION("""COMPUTED_VALUE"""),0)</f>
        <v>0</v>
      </c>
      <c r="I237" s="113">
        <f ca="1">IFERROR(__xludf.DUMMYFUNCTION("""COMPUTED_VALUE"""),32300)</f>
        <v>32300</v>
      </c>
      <c r="J237" s="111">
        <f ca="1">IFERROR(__xludf.DUMMYFUNCTION("""COMPUTED_VALUE"""),32300)</f>
        <v>32300</v>
      </c>
      <c r="K237" s="113">
        <f ca="1">IFERROR(__xludf.DUMMYFUNCTION("""COMPUTED_VALUE"""),0)</f>
        <v>0</v>
      </c>
      <c r="L237" s="114">
        <f ca="1">IFERROR(__xludf.DUMMYFUNCTION("""COMPUTED_VALUE"""),1)</f>
        <v>1</v>
      </c>
      <c r="M237" s="111"/>
      <c r="N237" s="111"/>
      <c r="O237" s="111"/>
      <c r="P237" s="111"/>
      <c r="Q237" s="112"/>
      <c r="R237" s="103"/>
      <c r="S237" s="103"/>
      <c r="T237" s="103"/>
      <c r="U237" s="103"/>
      <c r="V237" s="103"/>
      <c r="W237" s="103"/>
      <c r="X237" s="103"/>
      <c r="Y237" s="103"/>
      <c r="Z237" s="103"/>
      <c r="AA237" s="103"/>
    </row>
    <row r="238" spans="1:27" ht="114.75" x14ac:dyDescent="0.2">
      <c r="A238" s="110">
        <v>62</v>
      </c>
      <c r="B238" s="111" t="str">
        <f ca="1">IFERROR(__xludf.DUMMYFUNCTION("""COMPUTED_VALUE"""),"МинЖКХ")</f>
        <v>МинЖКХ</v>
      </c>
      <c r="C238" s="111" t="str">
        <f ca="1">IFERROR(__xludf.DUMMYFUNCTION("""COMPUTED_VALUE"""),"г.о. Дмитровский")</f>
        <v>г.о. Дмитровский</v>
      </c>
      <c r="D238" s="111" t="str">
        <f ca="1">IFERROR(__xludf.DUMMYFUNCTION("""COMPUTED_VALUE"""),"Строительство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f>
        <v>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v>
      </c>
      <c r="E238" s="111">
        <f ca="1">IFERROR(__xludf.DUMMYFUNCTION("""COMPUTED_VALUE"""),2020)</f>
        <v>2020</v>
      </c>
      <c r="F238" s="113">
        <f ca="1">IFERROR(__xludf.DUMMYFUNCTION("""COMPUTED_VALUE"""),7970.03)</f>
        <v>7970.03</v>
      </c>
      <c r="G238" s="113">
        <f ca="1">IFERROR(__xludf.DUMMYFUNCTION("""COMPUTED_VALUE"""),0)</f>
        <v>0</v>
      </c>
      <c r="H238" s="113">
        <f ca="1">IFERROR(__xludf.DUMMYFUNCTION("""COMPUTED_VALUE"""),0)</f>
        <v>0</v>
      </c>
      <c r="I238" s="113">
        <f ca="1">IFERROR(__xludf.DUMMYFUNCTION("""COMPUTED_VALUE"""),7970.03)</f>
        <v>7970.03</v>
      </c>
      <c r="J238" s="111">
        <f ca="1">IFERROR(__xludf.DUMMYFUNCTION("""COMPUTED_VALUE"""),7970.03)</f>
        <v>7970.03</v>
      </c>
      <c r="K238" s="113">
        <f ca="1">IFERROR(__xludf.DUMMYFUNCTION("""COMPUTED_VALUE"""),0)</f>
        <v>0</v>
      </c>
      <c r="L238" s="114">
        <f ca="1">IFERROR(__xludf.DUMMYFUNCTION("""COMPUTED_VALUE"""),1)</f>
        <v>1</v>
      </c>
      <c r="M238" s="111"/>
      <c r="N238" s="111"/>
      <c r="O238" s="111"/>
      <c r="P238" s="111"/>
      <c r="Q238" s="112"/>
      <c r="R238" s="103"/>
      <c r="S238" s="103"/>
      <c r="T238" s="103"/>
      <c r="U238" s="103"/>
      <c r="V238" s="103"/>
      <c r="W238" s="103"/>
      <c r="X238" s="103"/>
      <c r="Y238" s="103"/>
      <c r="Z238" s="103"/>
      <c r="AA238" s="103"/>
    </row>
    <row r="239" spans="1:27" ht="38.25" x14ac:dyDescent="0.2">
      <c r="A239" s="110">
        <v>63</v>
      </c>
      <c r="B239" s="111" t="str">
        <f ca="1">IFERROR(__xludf.DUMMYFUNCTION("""COMPUTED_VALUE"""),"МинЖКХ")</f>
        <v>МинЖКХ</v>
      </c>
      <c r="C239" s="111" t="str">
        <f ca="1">IFERROR(__xludf.DUMMYFUNCTION("""COMPUTED_VALUE"""),"г.о. Кашира")</f>
        <v>г.о. Кашира</v>
      </c>
      <c r="D239" s="111" t="str">
        <f ca="1">IFERROR(__xludf.DUMMYFUNCTION("""COMPUTED_VALUE"""),"Строительство очисных сооружений г. Кашира д. Терново-1 (ПИР)")</f>
        <v>Строительство очисных сооружений г. Кашира д. Терново-1 (ПИР)</v>
      </c>
      <c r="E239" s="111">
        <f ca="1">IFERROR(__xludf.DUMMYFUNCTION("""COMPUTED_VALUE"""),2020)</f>
        <v>2020</v>
      </c>
      <c r="F239" s="113">
        <f ca="1">IFERROR(__xludf.DUMMYFUNCTION("""COMPUTED_VALUE"""),6555)</f>
        <v>6555</v>
      </c>
      <c r="G239" s="113">
        <f ca="1">IFERROR(__xludf.DUMMYFUNCTION("""COMPUTED_VALUE"""),0)</f>
        <v>0</v>
      </c>
      <c r="H239" s="113">
        <f ca="1">IFERROR(__xludf.DUMMYFUNCTION("""COMPUTED_VALUE"""),0)</f>
        <v>0</v>
      </c>
      <c r="I239" s="113">
        <f ca="1">IFERROR(__xludf.DUMMYFUNCTION("""COMPUTED_VALUE"""),6555)</f>
        <v>6555</v>
      </c>
      <c r="J239" s="111">
        <f ca="1">IFERROR(__xludf.DUMMYFUNCTION("""COMPUTED_VALUE"""),6555)</f>
        <v>6555</v>
      </c>
      <c r="K239" s="113">
        <f ca="1">IFERROR(__xludf.DUMMYFUNCTION("""COMPUTED_VALUE"""),0)</f>
        <v>0</v>
      </c>
      <c r="L239" s="114">
        <f ca="1">IFERROR(__xludf.DUMMYFUNCTION("""COMPUTED_VALUE"""),1)</f>
        <v>1</v>
      </c>
      <c r="M239" s="111"/>
      <c r="N239" s="111"/>
      <c r="O239" s="111"/>
      <c r="P239" s="111"/>
      <c r="Q239" s="112"/>
      <c r="R239" s="103"/>
      <c r="S239" s="103"/>
      <c r="T239" s="103"/>
      <c r="U239" s="103"/>
      <c r="V239" s="103"/>
      <c r="W239" s="103"/>
      <c r="X239" s="103"/>
      <c r="Y239" s="103"/>
      <c r="Z239" s="103"/>
      <c r="AA239" s="103"/>
    </row>
    <row r="240" spans="1:27" ht="38.25" x14ac:dyDescent="0.2">
      <c r="A240" s="110">
        <v>64</v>
      </c>
      <c r="B240" s="111" t="str">
        <f ca="1">IFERROR(__xludf.DUMMYFUNCTION("""COMPUTED_VALUE"""),"МинЖКХ")</f>
        <v>МинЖКХ</v>
      </c>
      <c r="C240" s="111" t="str">
        <f ca="1">IFERROR(__xludf.DUMMYFUNCTION("""COMPUTED_VALUE"""),"г.о. Шатура")</f>
        <v>г.о. Шатура</v>
      </c>
      <c r="D240" s="111" t="str">
        <f ca="1">IFERROR(__xludf.DUMMYFUNCTION("""COMPUTED_VALUE"""),"Строительство очистных сооружений,  г. Шатура, ул. Малькина Грива  (ПИР)")</f>
        <v>Строительство очистных сооружений,  г. Шатура, ул. Малькина Грива  (ПИР)</v>
      </c>
      <c r="E240" s="111">
        <f ca="1">IFERROR(__xludf.DUMMYFUNCTION("""COMPUTED_VALUE"""),2020)</f>
        <v>2020</v>
      </c>
      <c r="F240" s="113">
        <f ca="1">IFERROR(__xludf.DUMMYFUNCTION("""COMPUTED_VALUE"""),23950.49)</f>
        <v>23950.49</v>
      </c>
      <c r="G240" s="113">
        <f ca="1">IFERROR(__xludf.DUMMYFUNCTION("""COMPUTED_VALUE"""),0)</f>
        <v>0</v>
      </c>
      <c r="H240" s="113">
        <f ca="1">IFERROR(__xludf.DUMMYFUNCTION("""COMPUTED_VALUE"""),0)</f>
        <v>0</v>
      </c>
      <c r="I240" s="113">
        <f ca="1">IFERROR(__xludf.DUMMYFUNCTION("""COMPUTED_VALUE"""),23950.49)</f>
        <v>23950.49</v>
      </c>
      <c r="J240" s="111">
        <f ca="1">IFERROR(__xludf.DUMMYFUNCTION("""COMPUTED_VALUE"""),23950.49)</f>
        <v>23950.49</v>
      </c>
      <c r="K240" s="113">
        <f ca="1">IFERROR(__xludf.DUMMYFUNCTION("""COMPUTED_VALUE"""),0)</f>
        <v>0</v>
      </c>
      <c r="L240" s="114">
        <f ca="1">IFERROR(__xludf.DUMMYFUNCTION("""COMPUTED_VALUE"""),1)</f>
        <v>1</v>
      </c>
      <c r="M240" s="111"/>
      <c r="N240" s="111"/>
      <c r="O240" s="111"/>
      <c r="P240" s="111"/>
      <c r="Q240" s="112"/>
      <c r="R240" s="103"/>
      <c r="S240" s="103"/>
      <c r="T240" s="103"/>
      <c r="U240" s="103"/>
      <c r="V240" s="103"/>
      <c r="W240" s="103"/>
      <c r="X240" s="103"/>
      <c r="Y240" s="103"/>
      <c r="Z240" s="103"/>
      <c r="AA240" s="103"/>
    </row>
    <row r="241" spans="1:27" ht="89.25" x14ac:dyDescent="0.2">
      <c r="A241" s="116">
        <v>65</v>
      </c>
      <c r="B241" s="117" t="str">
        <f ca="1">IFERROR(__xludf.DUMMYFUNCTION("""COMPUTED_VALUE"""),"МинЖКХ")</f>
        <v>МинЖКХ</v>
      </c>
      <c r="C241" s="117" t="str">
        <f ca="1">IFERROR(__xludf.DUMMYFUNCTION("""COMPUTED_VALUE"""),"г.о. Истра")</f>
        <v>г.о. Истра</v>
      </c>
      <c r="D241" s="117" t="str">
        <f ca="1">IFERROR(__xludf.DUMMYFUNCTION("""COMPUTED_VALUE"""),"Комплексные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f>
        <v>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v>
      </c>
      <c r="E241" s="117" t="str">
        <f ca="1">IFERROR(__xludf.DUMMYFUNCTION("""COMPUTED_VALUE"""),"2020-2021")</f>
        <v>2020-2021</v>
      </c>
      <c r="F241" s="118">
        <f ca="1">IFERROR(__xludf.DUMMYFUNCTION("""COMPUTED_VALUE"""),41833.54)</f>
        <v>41833.54</v>
      </c>
      <c r="G241" s="118">
        <f ca="1">IFERROR(__xludf.DUMMYFUNCTION("""COMPUTED_VALUE"""),41833.54)</f>
        <v>41833.54</v>
      </c>
      <c r="H241" s="118">
        <f ca="1">IFERROR(__xludf.DUMMYFUNCTION("""COMPUTED_VALUE"""),0)</f>
        <v>0</v>
      </c>
      <c r="I241" s="118">
        <f ca="1">IFERROR(__xludf.DUMMYFUNCTION("""COMPUTED_VALUE"""),0)</f>
        <v>0</v>
      </c>
      <c r="J241" s="117">
        <f ca="1">IFERROR(__xludf.DUMMYFUNCTION("""COMPUTED_VALUE"""),30827.66)</f>
        <v>30827.66</v>
      </c>
      <c r="K241" s="118">
        <f ca="1">IFERROR(__xludf.DUMMYFUNCTION("""COMPUTED_VALUE"""),11005.88)</f>
        <v>11005.88</v>
      </c>
      <c r="L241" s="119">
        <f ca="1">IFERROR(__xludf.DUMMYFUNCTION("""COMPUTED_VALUE"""),0.736912534774728)</f>
        <v>0.73691253477472796</v>
      </c>
      <c r="M241" s="117" t="str">
        <f ca="1">IFERROR(__xludf.DUMMYFUNCTION("""COMPUTED_VALUE"""),"Направлена заявка на опалту 11.11.2020. Акт от УТНКР с замечаниями.  ")</f>
        <v xml:space="preserve">Направлена заявка на опалту 11.11.2020. Акт от УТНКР с замечаниями.  </v>
      </c>
      <c r="N241" s="111"/>
      <c r="O241" s="111"/>
      <c r="P241" s="111"/>
      <c r="Q241" s="115">
        <v>44154</v>
      </c>
      <c r="R241" s="103"/>
      <c r="S241" s="103"/>
      <c r="T241" s="103"/>
      <c r="U241" s="103"/>
      <c r="V241" s="103"/>
      <c r="W241" s="103"/>
      <c r="X241" s="103"/>
      <c r="Y241" s="103"/>
      <c r="Z241" s="103"/>
      <c r="AA241" s="103"/>
    </row>
    <row r="242" spans="1:27" ht="114.75" x14ac:dyDescent="0.2">
      <c r="A242" s="110">
        <v>66</v>
      </c>
      <c r="B242" s="111" t="str">
        <f ca="1">IFERROR(__xludf.DUMMYFUNCTION("""COMPUTED_VALUE"""),"МинЖКХ")</f>
        <v>МинЖКХ</v>
      </c>
      <c r="C242" s="111" t="str">
        <f ca="1">IFERROR(__xludf.DUMMYFUNCTION("""COMPUTED_VALUE"""),"г.о. Мытищи")</f>
        <v>г.о. Мытищи</v>
      </c>
      <c r="D242" s="111" t="str">
        <f ca="1">IFERROR(__xludf.DUMMYFUNCTION("""COMPUTED_VALUE"""),"Реконструкция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f>
        <v>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v>
      </c>
      <c r="E242" s="111" t="str">
        <f ca="1">IFERROR(__xludf.DUMMYFUNCTION("""COMPUTED_VALUE"""),"2020-2021")</f>
        <v>2020-2021</v>
      </c>
      <c r="F242" s="113">
        <f ca="1">IFERROR(__xludf.DUMMYFUNCTION("""COMPUTED_VALUE"""),61790.72)</f>
        <v>61790.720000000001</v>
      </c>
      <c r="G242" s="113">
        <f ca="1">IFERROR(__xludf.DUMMYFUNCTION("""COMPUTED_VALUE"""),61790.72)</f>
        <v>61790.720000000001</v>
      </c>
      <c r="H242" s="113">
        <f ca="1">IFERROR(__xludf.DUMMYFUNCTION("""COMPUTED_VALUE"""),0)</f>
        <v>0</v>
      </c>
      <c r="I242" s="113">
        <f ca="1">IFERROR(__xludf.DUMMYFUNCTION("""COMPUTED_VALUE"""),0)</f>
        <v>0</v>
      </c>
      <c r="J242" s="111">
        <f ca="1">IFERROR(__xludf.DUMMYFUNCTION("""COMPUTED_VALUE"""),61556.48)</f>
        <v>61556.480000000003</v>
      </c>
      <c r="K242" s="113">
        <f ca="1">IFERROR(__xludf.DUMMYFUNCTION("""COMPUTED_VALUE"""),234.239999999997)</f>
        <v>234.239999999997</v>
      </c>
      <c r="L242" s="114">
        <f ca="1">IFERROR(__xludf.DUMMYFUNCTION("""COMPUTED_VALUE"""),0.99620913949538)</f>
        <v>0.99620913949538004</v>
      </c>
      <c r="M242" s="111" t="str">
        <f ca="1">IFERROR(__xludf.DUMMYFUNCTION("""COMPUTED_VALUE"""),"Необходимы изменения софинансиования , заключения допсолгашениий")</f>
        <v>Необходимы изменения софинансиования , заключения допсолгашениий</v>
      </c>
      <c r="N242" s="111"/>
      <c r="O242" s="111"/>
      <c r="P242" s="111"/>
      <c r="Q242" s="112"/>
      <c r="R242" s="103"/>
      <c r="S242" s="103"/>
      <c r="T242" s="103"/>
      <c r="U242" s="103"/>
      <c r="V242" s="103"/>
      <c r="W242" s="103"/>
      <c r="X242" s="103"/>
      <c r="Y242" s="103"/>
      <c r="Z242" s="103"/>
      <c r="AA242" s="103"/>
    </row>
    <row r="243" spans="1:27" ht="89.25" x14ac:dyDescent="0.2">
      <c r="A243" s="110">
        <v>67</v>
      </c>
      <c r="B243" s="111" t="str">
        <f ca="1">IFERROR(__xludf.DUMMYFUNCTION("""COMPUTED_VALUE"""),"МинЖКХ")</f>
        <v>МинЖКХ</v>
      </c>
      <c r="C243" s="111" t="str">
        <f ca="1">IFERROR(__xludf.DUMMYFUNCTION("""COMPUTED_VALUE"""),"г.о. Зарайск")</f>
        <v>г.о. Зарайск</v>
      </c>
      <c r="D243" s="111" t="str">
        <f ca="1">IFERROR(__xludf.DUMMYFUNCTION("""COMPUTED_VALUE"""),"Аварийно-восстановительные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f>
        <v>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v>
      </c>
      <c r="E243" s="111">
        <f ca="1">IFERROR(__xludf.DUMMYFUNCTION("""COMPUTED_VALUE"""),2020)</f>
        <v>2020</v>
      </c>
      <c r="F243" s="113">
        <f ca="1">IFERROR(__xludf.DUMMYFUNCTION("""COMPUTED_VALUE"""),37431)</f>
        <v>37431</v>
      </c>
      <c r="G243" s="113">
        <f ca="1">IFERROR(__xludf.DUMMYFUNCTION("""COMPUTED_VALUE"""),37431)</f>
        <v>37431</v>
      </c>
      <c r="H243" s="113">
        <f ca="1">IFERROR(__xludf.DUMMYFUNCTION("""COMPUTED_VALUE"""),0)</f>
        <v>0</v>
      </c>
      <c r="I243" s="113">
        <f ca="1">IFERROR(__xludf.DUMMYFUNCTION("""COMPUTED_VALUE"""),0)</f>
        <v>0</v>
      </c>
      <c r="J243" s="111">
        <f ca="1">IFERROR(__xludf.DUMMYFUNCTION("""COMPUTED_VALUE"""),35860.76)</f>
        <v>35860.76</v>
      </c>
      <c r="K243" s="113">
        <f ca="1">IFERROR(__xludf.DUMMYFUNCTION("""COMPUTED_VALUE"""),1570.23999999999)</f>
        <v>1570.23999999999</v>
      </c>
      <c r="L243" s="114">
        <f ca="1">IFERROR(__xludf.DUMMYFUNCTION("""COMPUTED_VALUE"""),0.958049744863883)</f>
        <v>0.95804974486388295</v>
      </c>
      <c r="M243" s="111"/>
      <c r="N243" s="111"/>
      <c r="O243" s="111"/>
      <c r="P243" s="111"/>
      <c r="Q243" s="112"/>
      <c r="R243" s="103"/>
      <c r="S243" s="103"/>
      <c r="T243" s="103"/>
      <c r="U243" s="103"/>
      <c r="V243" s="103"/>
      <c r="W243" s="103"/>
      <c r="X243" s="103"/>
      <c r="Y243" s="103"/>
      <c r="Z243" s="103"/>
      <c r="AA243" s="103"/>
    </row>
    <row r="244" spans="1:27" ht="63.75" x14ac:dyDescent="0.2">
      <c r="A244" s="111"/>
      <c r="B244" s="111" t="str">
        <f ca="1">IFERROR(__xludf.DUMMYFUNCTION("""COMPUTED_VALUE"""),"МинЖКХ")</f>
        <v>МинЖКХ</v>
      </c>
      <c r="C244" s="111" t="str">
        <f ca="1">IFERROR(__xludf.DUMMYFUNCTION("""COMPUTED_VALUE"""),"г.о. Фряново")</f>
        <v>г.о. Фряново</v>
      </c>
      <c r="D244" s="111" t="str">
        <f ca="1">IFERROR(__xludf.DUMMYFUNCTION("""COMPUTED_VALUE"""),"Капитальный ремонт очистных сооружений канализации пос. Фряново, г.о. Щелково производительностью 3000 тыс. м3/сут. (в т.ч. ПИР)")</f>
        <v>Капитальный ремонт очистных сооружений канализации пос. Фряново, г.о. Щелково производительностью 3000 тыс. м3/сут. (в т.ч. ПИР)</v>
      </c>
      <c r="E244" s="111" t="str">
        <f ca="1">IFERROR(__xludf.DUMMYFUNCTION("""COMPUTED_VALUE"""),"2021-2023")</f>
        <v>2021-2023</v>
      </c>
      <c r="F244" s="113">
        <f ca="1">IFERROR(__xludf.DUMMYFUNCTION("""COMPUTED_VALUE"""),0)</f>
        <v>0</v>
      </c>
      <c r="G244" s="113">
        <f ca="1">IFERROR(__xludf.DUMMYFUNCTION("""COMPUTED_VALUE"""),0)</f>
        <v>0</v>
      </c>
      <c r="H244" s="113">
        <f ca="1">IFERROR(__xludf.DUMMYFUNCTION("""COMPUTED_VALUE"""),0)</f>
        <v>0</v>
      </c>
      <c r="I244" s="113">
        <f ca="1">IFERROR(__xludf.DUMMYFUNCTION("""COMPUTED_VALUE"""),0)</f>
        <v>0</v>
      </c>
      <c r="J244" s="111">
        <f ca="1">IFERROR(__xludf.DUMMYFUNCTION("""COMPUTED_VALUE"""),0)</f>
        <v>0</v>
      </c>
      <c r="K244" s="113">
        <f ca="1">IFERROR(__xludf.DUMMYFUNCTION("""COMPUTED_VALUE"""),0)</f>
        <v>0</v>
      </c>
      <c r="L244" s="114" t="str">
        <f ca="1">IFERROR(__xludf.DUMMYFUNCTION("""COMPUTED_VALUE"""),"#DIV/0!")</f>
        <v>#DIV/0!</v>
      </c>
      <c r="M244" s="111"/>
      <c r="N244" s="111"/>
      <c r="O244" s="111"/>
      <c r="P244" s="111"/>
      <c r="Q244" s="112"/>
      <c r="R244" s="103"/>
      <c r="S244" s="103"/>
      <c r="T244" s="103"/>
      <c r="U244" s="103"/>
      <c r="V244" s="103"/>
      <c r="W244" s="103"/>
      <c r="X244" s="103"/>
      <c r="Y244" s="103"/>
      <c r="Z244" s="103"/>
      <c r="AA244" s="103"/>
    </row>
    <row r="245" spans="1:27" ht="89.25" x14ac:dyDescent="0.2">
      <c r="A245" s="116">
        <v>68</v>
      </c>
      <c r="B245" s="117" t="str">
        <f ca="1">IFERROR(__xludf.DUMMYFUNCTION("""COMPUTED_VALUE"""),"МинЖКХ")</f>
        <v>МинЖКХ</v>
      </c>
      <c r="C245" s="117" t="str">
        <f ca="1">IFERROR(__xludf.DUMMYFUNCTION("""COMPUTED_VALUE"""),"г.о. Рошаль")</f>
        <v>г.о. Рошаль</v>
      </c>
      <c r="D245" s="117" t="str">
        <f ca="1">IFERROR(__xludf.DUMMYFUNCTION("""COMPUTED_VALUE"""),"Приобретение, монтаж и ввод в эксплуатацию 2-х воздуходувок на очистных сооружениях в г. Рошаль г.о. Шатура")</f>
        <v>Приобретение, монтаж и ввод в эксплуатацию 2-х воздуходувок на очистных сооружениях в г. Рошаль г.о. Шатура</v>
      </c>
      <c r="E245" s="117">
        <f ca="1">IFERROR(__xludf.DUMMYFUNCTION("""COMPUTED_VALUE"""),2020)</f>
        <v>2020</v>
      </c>
      <c r="F245" s="118">
        <f ca="1">IFERROR(__xludf.DUMMYFUNCTION("""COMPUTED_VALUE"""),2820)</f>
        <v>2820</v>
      </c>
      <c r="G245" s="118">
        <f ca="1">IFERROR(__xludf.DUMMYFUNCTION("""COMPUTED_VALUE"""),0)</f>
        <v>0</v>
      </c>
      <c r="H245" s="118">
        <f ca="1">IFERROR(__xludf.DUMMYFUNCTION("""COMPUTED_VALUE"""),0)</f>
        <v>0</v>
      </c>
      <c r="I245" s="118">
        <f ca="1">IFERROR(__xludf.DUMMYFUNCTION("""COMPUTED_VALUE"""),2820)</f>
        <v>2820</v>
      </c>
      <c r="J245" s="117">
        <f ca="1">IFERROR(__xludf.DUMMYFUNCTION("""COMPUTED_VALUE"""),0)</f>
        <v>0</v>
      </c>
      <c r="K245" s="118">
        <f ca="1">IFERROR(__xludf.DUMMYFUNCTION("""COMPUTED_VALUE"""),2820)</f>
        <v>2820</v>
      </c>
      <c r="L245" s="119">
        <f ca="1">IFERROR(__xludf.DUMMYFUNCTION("""COMPUTED_VALUE"""),0)</f>
        <v>0</v>
      </c>
      <c r="M245" s="117" t="str">
        <f ca="1">IFERROR(__xludf.DUMMYFUNCTION("""COMPUTED_VALUE"""),"Направлены замечания по конкурсной документации. Исправленный комплект документов повторно не направлен. В законе о бюджете и ГП указаны разные получатели субсидий (Шатура и Рошаль). ")</f>
        <v xml:space="preserve">Направлены замечания по конкурсной документации. Исправленный комплект документов повторно не направлен. В законе о бюджете и ГП указаны разные получатели субсидий (Шатура и Рошаль). </v>
      </c>
      <c r="N245" s="111"/>
      <c r="O245" s="111"/>
      <c r="P245" s="111"/>
      <c r="Q245" s="115">
        <v>44154</v>
      </c>
      <c r="R245" s="103"/>
      <c r="S245" s="103"/>
      <c r="T245" s="103"/>
      <c r="U245" s="103"/>
      <c r="V245" s="103"/>
      <c r="W245" s="103"/>
      <c r="X245" s="103"/>
      <c r="Y245" s="103"/>
      <c r="Z245" s="103"/>
      <c r="AA245" s="103"/>
    </row>
    <row r="246" spans="1:27" ht="51" x14ac:dyDescent="0.2">
      <c r="A246" s="110">
        <v>69</v>
      </c>
      <c r="B246" s="111" t="str">
        <f ca="1">IFERROR(__xludf.DUMMYFUNCTION("""COMPUTED_VALUE"""),"МинЖКХ")</f>
        <v>МинЖКХ</v>
      </c>
      <c r="C246" s="111" t="str">
        <f ca="1">IFERROR(__xludf.DUMMYFUNCTION("""COMPUTED_VALUE"""),"МинЖКХ г.о. Можайск")</f>
        <v>МинЖКХ г.о. Можайск</v>
      </c>
      <c r="D246" s="111" t="str">
        <f ca="1">IFERROR(__xludf.DUMMYFUNCTION("""COMPUTED_VALUE"""),"Реконструкция очистных сооружений г. Можайск (в том числе ПИР), кадастровый номер 50:180030307:1016 от 20.11.2018")</f>
        <v>Реконструкция очистных сооружений г. Можайск (в том числе ПИР), кадастровый номер 50:180030307:1016 от 20.11.2018</v>
      </c>
      <c r="E246" s="111">
        <f ca="1">IFERROR(__xludf.DUMMYFUNCTION("""COMPUTED_VALUE"""),2020)</f>
        <v>2020</v>
      </c>
      <c r="F246" s="113">
        <f ca="1">IFERROR(__xludf.DUMMYFUNCTION("""COMPUTED_VALUE"""),34403)</f>
        <v>34403</v>
      </c>
      <c r="G246" s="113">
        <f ca="1">IFERROR(__xludf.DUMMYFUNCTION("""COMPUTED_VALUE"""),0)</f>
        <v>0</v>
      </c>
      <c r="H246" s="113">
        <f ca="1">IFERROR(__xludf.DUMMYFUNCTION("""COMPUTED_VALUE"""),0)</f>
        <v>0</v>
      </c>
      <c r="I246" s="113">
        <f ca="1">IFERROR(__xludf.DUMMYFUNCTION("""COMPUTED_VALUE"""),34403)</f>
        <v>34403</v>
      </c>
      <c r="J246" s="111">
        <f ca="1">IFERROR(__xludf.DUMMYFUNCTION("""COMPUTED_VALUE"""),0)</f>
        <v>0</v>
      </c>
      <c r="K246" s="113">
        <f ca="1">IFERROR(__xludf.DUMMYFUNCTION("""COMPUTED_VALUE"""),34403)</f>
        <v>34403</v>
      </c>
      <c r="L246" s="114">
        <f ca="1">IFERROR(__xludf.DUMMYFUNCTION("""COMPUTED_VALUE"""),0)</f>
        <v>0</v>
      </c>
      <c r="M246" s="111"/>
      <c r="N246" s="111"/>
      <c r="O246" s="111"/>
      <c r="P246" s="111"/>
      <c r="Q246" s="112"/>
      <c r="R246" s="103"/>
      <c r="S246" s="103"/>
      <c r="T246" s="103"/>
      <c r="U246" s="103"/>
      <c r="V246" s="103"/>
      <c r="W246" s="103"/>
      <c r="X246" s="103"/>
      <c r="Y246" s="103"/>
      <c r="Z246" s="103"/>
      <c r="AA246" s="103"/>
    </row>
    <row r="247" spans="1:27" ht="63.75" x14ac:dyDescent="0.2">
      <c r="A247" s="110">
        <v>70</v>
      </c>
      <c r="B247" s="111" t="str">
        <f ca="1">IFERROR(__xludf.DUMMYFUNCTION("""COMPUTED_VALUE"""),"МинЖКХ")</f>
        <v>МинЖКХ</v>
      </c>
      <c r="C247" s="111" t="str">
        <f ca="1">IFERROR(__xludf.DUMMYFUNCTION("""COMPUTED_VALUE"""),"г.о. Воскресенск")</f>
        <v>г.о. Воскресенск</v>
      </c>
      <c r="D247" s="111" t="str">
        <f ca="1">IFERROR(__xludf.DUMMYFUNCTION("""COMPUTED_VALUE"""),"Реконструкция самотечного канализационного коллектора по адресу: г. Воскресенск, от жилого дома № 23 по ул. Мичурина до КНС, ул. Коломенская, д.10")</f>
        <v>Реконструкция самотечного канализационного коллектора по адресу: г. Воскресенск, от жилого дома № 23 по ул. Мичурина до КНС, ул. Коломенская, д.10</v>
      </c>
      <c r="E247" s="111" t="str">
        <f ca="1">IFERROR(__xludf.DUMMYFUNCTION("""COMPUTED_VALUE"""),"2020-2021")</f>
        <v>2020-2021</v>
      </c>
      <c r="F247" s="113">
        <f ca="1">IFERROR(__xludf.DUMMYFUNCTION("""COMPUTED_VALUE"""),0)</f>
        <v>0</v>
      </c>
      <c r="G247" s="113">
        <f ca="1">IFERROR(__xludf.DUMMYFUNCTION("""COMPUTED_VALUE"""),0)</f>
        <v>0</v>
      </c>
      <c r="H247" s="113">
        <f ca="1">IFERROR(__xludf.DUMMYFUNCTION("""COMPUTED_VALUE"""),0)</f>
        <v>0</v>
      </c>
      <c r="I247" s="113">
        <f ca="1">IFERROR(__xludf.DUMMYFUNCTION("""COMPUTED_VALUE"""),0)</f>
        <v>0</v>
      </c>
      <c r="J247" s="111">
        <f ca="1">IFERROR(__xludf.DUMMYFUNCTION("""COMPUTED_VALUE"""),0)</f>
        <v>0</v>
      </c>
      <c r="K247" s="113">
        <f ca="1">IFERROR(__xludf.DUMMYFUNCTION("""COMPUTED_VALUE"""),0)</f>
        <v>0</v>
      </c>
      <c r="L247" s="114" t="str">
        <f ca="1">IFERROR(__xludf.DUMMYFUNCTION("""COMPUTED_VALUE"""),"#DIV/0!")</f>
        <v>#DIV/0!</v>
      </c>
      <c r="M247" s="111"/>
      <c r="N247" s="111"/>
      <c r="O247" s="111"/>
      <c r="P247" s="111"/>
      <c r="Q247" s="112"/>
      <c r="R247" s="103"/>
      <c r="S247" s="103"/>
      <c r="T247" s="103"/>
      <c r="U247" s="103"/>
      <c r="V247" s="103"/>
      <c r="W247" s="103"/>
      <c r="X247" s="103"/>
      <c r="Y247" s="103"/>
      <c r="Z247" s="103"/>
      <c r="AA247" s="103"/>
    </row>
    <row r="248" spans="1:27" ht="63.75" x14ac:dyDescent="0.2">
      <c r="A248" s="110">
        <v>71</v>
      </c>
      <c r="B248" s="111" t="str">
        <f ca="1">IFERROR(__xludf.DUMMYFUNCTION("""COMPUTED_VALUE"""),"МинЖКХ")</f>
        <v>МинЖКХ</v>
      </c>
      <c r="C248" s="111" t="str">
        <f ca="1">IFERROR(__xludf.DUMMYFUNCTION("""COMPUTED_VALUE"""),"г.о. Воскресенск")</f>
        <v>г.о. Воскресенск</v>
      </c>
      <c r="D248" s="111" t="str">
        <f ca="1">IFERROR(__xludf.DUMMYFUNCTION("""COMPUTED_VALUE"""),"Реконструкция самотечного канализационного коллектора по адресу: г. Воскресенск, от жилого дома № 28 ул. Маркина  до КНС, ул. Центральная, д. 32а ")</f>
        <v xml:space="preserve">Реконструкция самотечного канализационного коллектора по адресу: г. Воскресенск, от жилого дома № 28 ул. Маркина  до КНС, ул. Центральная, д. 32а </v>
      </c>
      <c r="E248" s="111" t="str">
        <f ca="1">IFERROR(__xludf.DUMMYFUNCTION("""COMPUTED_VALUE"""),"2020-2021")</f>
        <v>2020-2021</v>
      </c>
      <c r="F248" s="113">
        <f ca="1">IFERROR(__xludf.DUMMYFUNCTION("""COMPUTED_VALUE"""),20442.06)</f>
        <v>20442.060000000001</v>
      </c>
      <c r="G248" s="113">
        <f ca="1">IFERROR(__xludf.DUMMYFUNCTION("""COMPUTED_VALUE"""),20442.06)</f>
        <v>20442.060000000001</v>
      </c>
      <c r="H248" s="113">
        <f ca="1">IFERROR(__xludf.DUMMYFUNCTION("""COMPUTED_VALUE"""),0)</f>
        <v>0</v>
      </c>
      <c r="I248" s="113">
        <f ca="1">IFERROR(__xludf.DUMMYFUNCTION("""COMPUTED_VALUE"""),0)</f>
        <v>0</v>
      </c>
      <c r="J248" s="111">
        <f ca="1">IFERROR(__xludf.DUMMYFUNCTION("""COMPUTED_VALUE"""),17287.54)</f>
        <v>17287.54</v>
      </c>
      <c r="K248" s="113">
        <f ca="1">IFERROR(__xludf.DUMMYFUNCTION("""COMPUTED_VALUE"""),3154.52)</f>
        <v>3154.52</v>
      </c>
      <c r="L248" s="114">
        <f ca="1">IFERROR(__xludf.DUMMYFUNCTION("""COMPUTED_VALUE"""),0.84568482824138)</f>
        <v>0.84568482824138003</v>
      </c>
      <c r="M248" s="111"/>
      <c r="N248" s="111"/>
      <c r="O248" s="111"/>
      <c r="P248" s="111"/>
      <c r="Q248" s="112"/>
      <c r="R248" s="103"/>
      <c r="S248" s="103"/>
      <c r="T248" s="103"/>
      <c r="U248" s="103"/>
      <c r="V248" s="103"/>
      <c r="W248" s="103"/>
      <c r="X248" s="103"/>
      <c r="Y248" s="103"/>
      <c r="Z248" s="103"/>
      <c r="AA248" s="103"/>
    </row>
    <row r="249" spans="1:27" ht="76.5" x14ac:dyDescent="0.2">
      <c r="A249" s="111"/>
      <c r="B249" s="111" t="str">
        <f ca="1">IFERROR(__xludf.DUMMYFUNCTION("""COMPUTED_VALUE"""),"МинЖКХ")</f>
        <v>МинЖКХ</v>
      </c>
      <c r="C249" s="111" t="str">
        <f ca="1">IFERROR(__xludf.DUMMYFUNCTION("""COMPUTED_VALUE"""),"г.о. Воскресенск")</f>
        <v>г.о. Воскресенск</v>
      </c>
      <c r="D249" s="111" t="str">
        <f ca="1">IFERROR(__xludf.DUMMYFUNCTION("""COMPUTED_VALUE"""),"Реконструкция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f>
        <v xml:space="preserv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v>
      </c>
      <c r="E249" s="111">
        <f ca="1">IFERROR(__xludf.DUMMYFUNCTION("""COMPUTED_VALUE"""),2022)</f>
        <v>2022</v>
      </c>
      <c r="F249" s="113">
        <f ca="1">IFERROR(__xludf.DUMMYFUNCTION("""COMPUTED_VALUE"""),0)</f>
        <v>0</v>
      </c>
      <c r="G249" s="113">
        <f ca="1">IFERROR(__xludf.DUMMYFUNCTION("""COMPUTED_VALUE"""),0)</f>
        <v>0</v>
      </c>
      <c r="H249" s="113">
        <f ca="1">IFERROR(__xludf.DUMMYFUNCTION("""COMPUTED_VALUE"""),0)</f>
        <v>0</v>
      </c>
      <c r="I249" s="113">
        <f ca="1">IFERROR(__xludf.DUMMYFUNCTION("""COMPUTED_VALUE"""),0)</f>
        <v>0</v>
      </c>
      <c r="J249" s="111">
        <f ca="1">IFERROR(__xludf.DUMMYFUNCTION("""COMPUTED_VALUE"""),0)</f>
        <v>0</v>
      </c>
      <c r="K249" s="113">
        <f ca="1">IFERROR(__xludf.DUMMYFUNCTION("""COMPUTED_VALUE"""),0)</f>
        <v>0</v>
      </c>
      <c r="L249" s="114" t="str">
        <f ca="1">IFERROR(__xludf.DUMMYFUNCTION("""COMPUTED_VALUE"""),"#DIV/0!")</f>
        <v>#DIV/0!</v>
      </c>
      <c r="M249" s="111"/>
      <c r="N249" s="111"/>
      <c r="O249" s="111"/>
      <c r="P249" s="111"/>
      <c r="Q249" s="112"/>
      <c r="R249" s="103"/>
      <c r="S249" s="103"/>
      <c r="T249" s="103"/>
      <c r="U249" s="103"/>
      <c r="V249" s="103"/>
      <c r="W249" s="103"/>
      <c r="X249" s="103"/>
      <c r="Y249" s="103"/>
      <c r="Z249" s="103"/>
      <c r="AA249" s="103"/>
    </row>
    <row r="250" spans="1:27" ht="25.5" x14ac:dyDescent="0.2">
      <c r="A250" s="111"/>
      <c r="B250" s="111" t="str">
        <f ca="1">IFERROR(__xludf.DUMMYFUNCTION("""COMPUTED_VALUE"""),"МинЖКХ")</f>
        <v>МинЖКХ</v>
      </c>
      <c r="C250" s="111" t="str">
        <f ca="1">IFERROR(__xludf.DUMMYFUNCTION("""COMPUTED_VALUE"""),"г.о. Воскресенск")</f>
        <v>г.о. Воскресенск</v>
      </c>
      <c r="D250" s="111" t="str">
        <f ca="1">IFERROR(__xludf.DUMMYFUNCTION("""COMPUTED_VALUE"""),"Реконструкция КНС по адресу: г. Воскресенск, ул. Лермонтова, д.7а ")</f>
        <v xml:space="preserve">Реконструкция КНС по адресу: г. Воскресенск, ул. Лермонтова, д.7а </v>
      </c>
      <c r="E250" s="111">
        <f ca="1">IFERROR(__xludf.DUMMYFUNCTION("""COMPUTED_VALUE"""),2023)</f>
        <v>2023</v>
      </c>
      <c r="F250" s="113">
        <f ca="1">IFERROR(__xludf.DUMMYFUNCTION("""COMPUTED_VALUE"""),0)</f>
        <v>0</v>
      </c>
      <c r="G250" s="113">
        <f ca="1">IFERROR(__xludf.DUMMYFUNCTION("""COMPUTED_VALUE"""),0)</f>
        <v>0</v>
      </c>
      <c r="H250" s="113">
        <f ca="1">IFERROR(__xludf.DUMMYFUNCTION("""COMPUTED_VALUE"""),0)</f>
        <v>0</v>
      </c>
      <c r="I250" s="113">
        <f ca="1">IFERROR(__xludf.DUMMYFUNCTION("""COMPUTED_VALUE"""),0)</f>
        <v>0</v>
      </c>
      <c r="J250" s="111">
        <f ca="1">IFERROR(__xludf.DUMMYFUNCTION("""COMPUTED_VALUE"""),0)</f>
        <v>0</v>
      </c>
      <c r="K250" s="113">
        <f ca="1">IFERROR(__xludf.DUMMYFUNCTION("""COMPUTED_VALUE"""),0)</f>
        <v>0</v>
      </c>
      <c r="L250" s="114" t="str">
        <f ca="1">IFERROR(__xludf.DUMMYFUNCTION("""COMPUTED_VALUE"""),"#DIV/0!")</f>
        <v>#DIV/0!</v>
      </c>
      <c r="M250" s="111"/>
      <c r="N250" s="111"/>
      <c r="O250" s="111"/>
      <c r="P250" s="111"/>
      <c r="Q250" s="112"/>
      <c r="R250" s="103"/>
      <c r="S250" s="103"/>
      <c r="T250" s="103"/>
      <c r="U250" s="103"/>
      <c r="V250" s="103"/>
      <c r="W250" s="103"/>
      <c r="X250" s="103"/>
      <c r="Y250" s="103"/>
      <c r="Z250" s="103"/>
      <c r="AA250" s="103"/>
    </row>
    <row r="251" spans="1:27" ht="89.25" x14ac:dyDescent="0.2">
      <c r="A251" s="111"/>
      <c r="B251" s="111" t="str">
        <f ca="1">IFERROR(__xludf.DUMMYFUNCTION("""COMPUTED_VALUE"""),"МинЖКХ")</f>
        <v>МинЖКХ</v>
      </c>
      <c r="C251" s="111" t="str">
        <f ca="1">IFERROR(__xludf.DUMMYFUNCTION("""COMPUTED_VALUE"""),"г.о. Богородский")</f>
        <v>г.о. Богородский</v>
      </c>
      <c r="D251" s="111" t="str">
        <f ca="1">IFERROR(__xludf.DUMMYFUNCTION("""COMPUTED_VALUE"""),"Строительство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f>
        <v>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v>
      </c>
      <c r="E251" s="111" t="str">
        <f ca="1">IFERROR(__xludf.DUMMYFUNCTION("""COMPUTED_VALUE"""),"2021-2023")</f>
        <v>2021-2023</v>
      </c>
      <c r="F251" s="113">
        <f ca="1">IFERROR(__xludf.DUMMYFUNCTION("""COMPUTED_VALUE"""),0)</f>
        <v>0</v>
      </c>
      <c r="G251" s="113">
        <f ca="1">IFERROR(__xludf.DUMMYFUNCTION("""COMPUTED_VALUE"""),0)</f>
        <v>0</v>
      </c>
      <c r="H251" s="113">
        <f ca="1">IFERROR(__xludf.DUMMYFUNCTION("""COMPUTED_VALUE"""),0)</f>
        <v>0</v>
      </c>
      <c r="I251" s="113">
        <f ca="1">IFERROR(__xludf.DUMMYFUNCTION("""COMPUTED_VALUE"""),0)</f>
        <v>0</v>
      </c>
      <c r="J251" s="111">
        <f ca="1">IFERROR(__xludf.DUMMYFUNCTION("""COMPUTED_VALUE"""),0)</f>
        <v>0</v>
      </c>
      <c r="K251" s="113">
        <f ca="1">IFERROR(__xludf.DUMMYFUNCTION("""COMPUTED_VALUE"""),0)</f>
        <v>0</v>
      </c>
      <c r="L251" s="114" t="str">
        <f ca="1">IFERROR(__xludf.DUMMYFUNCTION("""COMPUTED_VALUE"""),"#DIV/0!")</f>
        <v>#DIV/0!</v>
      </c>
      <c r="M251" s="111"/>
      <c r="N251" s="111"/>
      <c r="O251" s="111"/>
      <c r="P251" s="111"/>
      <c r="Q251" s="112"/>
      <c r="R251" s="103"/>
      <c r="S251" s="103"/>
      <c r="T251" s="103"/>
      <c r="U251" s="103"/>
      <c r="V251" s="103"/>
      <c r="W251" s="103"/>
      <c r="X251" s="103"/>
      <c r="Y251" s="103"/>
      <c r="Z251" s="103"/>
      <c r="AA251" s="103"/>
    </row>
    <row r="252" spans="1:27" ht="178.5" x14ac:dyDescent="0.2">
      <c r="A252" s="110">
        <v>72</v>
      </c>
      <c r="B252" s="111" t="str">
        <f ca="1">IFERROR(__xludf.DUMMYFUNCTION("""COMPUTED_VALUE"""),"МинЖКХ")</f>
        <v>МинЖКХ</v>
      </c>
      <c r="C252" s="111" t="str">
        <f ca="1">IFERROR(__xludf.DUMMYFUNCTION("""COMPUTED_VALUE"""),"г.о. Щелково")</f>
        <v>г.о. Щелково</v>
      </c>
      <c r="D252" s="111" t="str">
        <f ca="1">IFERROR(__xludf.DUMMYFUNCTION("""COMPUTED_VALUE"""),"Модернизация КНС ""Соколовская"" г.Щелково, в том числе:")</f>
        <v>Модернизация КНС "Соколовская" г.Щелково, в том числе:</v>
      </c>
      <c r="E252" s="111" t="str">
        <f ca="1">IFERROR(__xludf.DUMMYFUNCTION("""COMPUTED_VALUE"""),"2020-2021")</f>
        <v>2020-2021</v>
      </c>
      <c r="F252" s="113">
        <f ca="1">IFERROR(__xludf.DUMMYFUNCTION("""COMPUTED_VALUE"""),324742)</f>
        <v>324742</v>
      </c>
      <c r="G252" s="113">
        <f ca="1">IFERROR(__xludf.DUMMYFUNCTION("""COMPUTED_VALUE"""),71394)</f>
        <v>71394</v>
      </c>
      <c r="H252" s="113">
        <f ca="1">IFERROR(__xludf.DUMMYFUNCTION("""COMPUTED_VALUE"""),0)</f>
        <v>0</v>
      </c>
      <c r="I252" s="113">
        <f ca="1">IFERROR(__xludf.DUMMYFUNCTION("""COMPUTED_VALUE"""),253348)</f>
        <v>253348</v>
      </c>
      <c r="J252" s="111">
        <f ca="1">IFERROR(__xludf.DUMMYFUNCTION("""COMPUTED_VALUE"""),322965.35)</f>
        <v>322965.34999999998</v>
      </c>
      <c r="K252" s="113">
        <f ca="1">IFERROR(__xludf.DUMMYFUNCTION("""COMPUTED_VALUE"""),1776.64999999999)</f>
        <v>1776.6499999999901</v>
      </c>
      <c r="L252" s="114">
        <f ca="1">IFERROR(__xludf.DUMMYFUNCTION("""COMPUTED_VALUE"""),0.994529041516034)</f>
        <v>0.99452904151603405</v>
      </c>
      <c r="M252" s="111" t="str">
        <f ca="1">IFERROR(__xludf.DUMMYFUNCTION("""COMPUTED_VALUE"""),"Подготовленная рабочая документация не учитывает всего объема выполненых работ, в связи с чем сумму к оплате не может быт ьсформирована в полном объеме. В целях увелечения объемов финансирования рассматривается вопрос включения в КС закупки оборудования. "&amp;" 
Подписано доп. соглашение 
на увеличение аванса на сумму 82 млн. руб. не утверждена мун. программа округа.")</f>
        <v>Подготовленная рабочая документация не учитывает всего объема выполненых работ, в связи с чем сумму к оплате не может быт ьсформирована в полном объеме. В целях увелечения объемов финансирования рассматривается вопрос включения в КС закупки оборудования.  
Подписано доп. соглашение 
на увеличение аванса на сумму 82 млн. руб. не утверждена мун. программа округа.</v>
      </c>
      <c r="N252" s="111"/>
      <c r="O252" s="111"/>
      <c r="P252" s="111"/>
      <c r="Q252" s="115">
        <v>44154</v>
      </c>
      <c r="R252" s="103"/>
      <c r="S252" s="103"/>
      <c r="T252" s="103"/>
      <c r="U252" s="103"/>
      <c r="V252" s="103"/>
      <c r="W252" s="103"/>
      <c r="X252" s="103"/>
      <c r="Y252" s="103"/>
      <c r="Z252" s="103"/>
      <c r="AA252" s="103"/>
    </row>
    <row r="253" spans="1:27" ht="76.5" x14ac:dyDescent="0.2">
      <c r="A253" s="110">
        <v>73</v>
      </c>
      <c r="B253" s="111" t="str">
        <f ca="1">IFERROR(__xludf.DUMMYFUNCTION("""COMPUTED_VALUE"""),"МинЖКХ")</f>
        <v>МинЖКХ</v>
      </c>
      <c r="C253" s="111" t="str">
        <f ca="1">IFERROR(__xludf.DUMMYFUNCTION("""COMPUTED_VALUE"""),"г.о. Щелково")</f>
        <v>г.о. Щелково</v>
      </c>
      <c r="D253" s="111" t="str">
        <f ca="1">IFERROR(__xludf.DUMMYFUNCTION("""COMPUTED_VALUE"""),"В том числе проектно-изыскательские работы
 (к объекту Модернизация КНС ""Соколовская"" г.Щелково - включено в общую стоимость работ))")</f>
        <v>В том числе проектно-изыскательские работы
 (к объекту Модернизация КНС "Соколовская" г.Щелково - включено в общую стоимость работ))</v>
      </c>
      <c r="E253" s="111" t="str">
        <f ca="1">IFERROR(__xludf.DUMMYFUNCTION("""COMPUTED_VALUE"""),"Н/Л")</f>
        <v>Н/Л</v>
      </c>
      <c r="F253" s="113">
        <f ca="1">IFERROR(__xludf.DUMMYFUNCTION("""COMPUTED_VALUE"""),0)</f>
        <v>0</v>
      </c>
      <c r="G253" s="113">
        <f ca="1">IFERROR(__xludf.DUMMYFUNCTION("""COMPUTED_VALUE"""),0)</f>
        <v>0</v>
      </c>
      <c r="H253" s="113">
        <f ca="1">IFERROR(__xludf.DUMMYFUNCTION("""COMPUTED_VALUE"""),0)</f>
        <v>0</v>
      </c>
      <c r="I253" s="113">
        <f ca="1">IFERROR(__xludf.DUMMYFUNCTION("""COMPUTED_VALUE"""),0)</f>
        <v>0</v>
      </c>
      <c r="J253" s="111">
        <f ca="1">IFERROR(__xludf.DUMMYFUNCTION("""COMPUTED_VALUE"""),0)</f>
        <v>0</v>
      </c>
      <c r="K253" s="113">
        <f ca="1">IFERROR(__xludf.DUMMYFUNCTION("""COMPUTED_VALUE"""),0)</f>
        <v>0</v>
      </c>
      <c r="L253" s="114" t="str">
        <f ca="1">IFERROR(__xludf.DUMMYFUNCTION("""COMPUTED_VALUE"""),"#DIV/0!")</f>
        <v>#DIV/0!</v>
      </c>
      <c r="M253" s="111"/>
      <c r="N253" s="111"/>
      <c r="O253" s="111"/>
      <c r="P253" s="111"/>
      <c r="Q253" s="112"/>
      <c r="R253" s="103"/>
      <c r="S253" s="103"/>
      <c r="T253" s="103"/>
      <c r="U253" s="103"/>
      <c r="V253" s="103"/>
      <c r="W253" s="103"/>
      <c r="X253" s="103"/>
      <c r="Y253" s="103"/>
      <c r="Z253" s="103"/>
      <c r="AA253" s="103"/>
    </row>
    <row r="254" spans="1:27" ht="140.25" x14ac:dyDescent="0.2">
      <c r="A254" s="110">
        <v>74</v>
      </c>
      <c r="B254" s="111" t="str">
        <f ca="1">IFERROR(__xludf.DUMMYFUNCTION("""COMPUTED_VALUE"""),"МинЖКХ")</f>
        <v>МинЖКХ</v>
      </c>
      <c r="C254" s="111" t="str">
        <f ca="1">IFERROR(__xludf.DUMMYFUNCTION("""COMPUTED_VALUE"""),"г.о. Красногорск")</f>
        <v>г.о. Красногорск</v>
      </c>
      <c r="D254" s="111" t="str">
        <f ca="1">IFERROR(__xludf.DUMMYFUNCTION("""COMPUTED_VALUE"""),"Реконструкция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пр"&amp;"авом берегу с дюкерным переходом через реку Москву")</f>
        <v>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правом берегу с дюкерным переходом через реку Москву</v>
      </c>
      <c r="E254" s="111" t="str">
        <f ca="1">IFERROR(__xludf.DUMMYFUNCTION("""COMPUTED_VALUE"""),"2019-2020")</f>
        <v>2019-2020</v>
      </c>
      <c r="F254" s="113">
        <f ca="1">IFERROR(__xludf.DUMMYFUNCTION("""COMPUTED_VALUE"""),82782)</f>
        <v>82782</v>
      </c>
      <c r="G254" s="113">
        <f ca="1">IFERROR(__xludf.DUMMYFUNCTION("""COMPUTED_VALUE"""),0)</f>
        <v>0</v>
      </c>
      <c r="H254" s="113">
        <f ca="1">IFERROR(__xludf.DUMMYFUNCTION("""COMPUTED_VALUE"""),0)</f>
        <v>0</v>
      </c>
      <c r="I254" s="113">
        <f ca="1">IFERROR(__xludf.DUMMYFUNCTION("""COMPUTED_VALUE"""),82782)</f>
        <v>82782</v>
      </c>
      <c r="J254" s="111">
        <f ca="1">IFERROR(__xludf.DUMMYFUNCTION("""COMPUTED_VALUE"""),75061.19)</f>
        <v>75061.19</v>
      </c>
      <c r="K254" s="113">
        <f ca="1">IFERROR(__xludf.DUMMYFUNCTION("""COMPUTED_VALUE"""),7720.80999999999)</f>
        <v>7720.8099999999904</v>
      </c>
      <c r="L254" s="114">
        <f ca="1">IFERROR(__xludf.DUMMYFUNCTION("""COMPUTED_VALUE"""),0.90673322703003)</f>
        <v>0.90673322703003001</v>
      </c>
      <c r="M254" s="111" t="str">
        <f ca="1">IFERROR(__xludf.DUMMYFUNCTION("""COMPUTED_VALUE"""),"
экономия по СМР 9 млн. руб")</f>
        <v xml:space="preserve">
экономия по СМР 9 млн. руб</v>
      </c>
      <c r="N254" s="111"/>
      <c r="O254" s="111"/>
      <c r="P254" s="111"/>
      <c r="Q254" s="112"/>
      <c r="R254" s="103"/>
      <c r="S254" s="103"/>
      <c r="T254" s="103"/>
      <c r="U254" s="103"/>
      <c r="V254" s="103"/>
      <c r="W254" s="103"/>
      <c r="X254" s="103"/>
      <c r="Y254" s="103"/>
      <c r="Z254" s="103"/>
      <c r="AA254" s="103"/>
    </row>
    <row r="255" spans="1:27" ht="153" x14ac:dyDescent="0.2">
      <c r="A255" s="111"/>
      <c r="B255" s="111" t="str">
        <f ca="1">IFERROR(__xludf.DUMMYFUNCTION("""COMPUTED_VALUE"""),"МинЖКХ")</f>
        <v>МинЖКХ</v>
      </c>
      <c r="C255" s="111" t="str">
        <f ca="1">IFERROR(__xludf.DUMMYFUNCTION("""COMPUTED_VALUE"""),"г.о. Подольск")</f>
        <v>г.о. Подольск</v>
      </c>
      <c r="D255" s="111" t="str">
        <f ca="1">IFERROR(__xludf.DUMMYFUNCTION("""COMPUTED_VALUE"""),"Строительство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р"&amp;"аботы, выполненные в предшествующие годы: 2015 г. – 14258,99 тыс. руб.), в том числе: корректировка проекта")</f>
        <v>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работы, выполненные в предшествующие годы: 2015 г. – 14258,99 тыс. руб.), в том числе: корректировка проекта</v>
      </c>
      <c r="E255" s="111" t="str">
        <f ca="1">IFERROR(__xludf.DUMMYFUNCTION("""COMPUTED_VALUE"""),"2021-2022")</f>
        <v>2021-2022</v>
      </c>
      <c r="F255" s="113">
        <f ca="1">IFERROR(__xludf.DUMMYFUNCTION("""COMPUTED_VALUE"""),0)</f>
        <v>0</v>
      </c>
      <c r="G255" s="113">
        <f ca="1">IFERROR(__xludf.DUMMYFUNCTION("""COMPUTED_VALUE"""),0)</f>
        <v>0</v>
      </c>
      <c r="H255" s="113">
        <f ca="1">IFERROR(__xludf.DUMMYFUNCTION("""COMPUTED_VALUE"""),0)</f>
        <v>0</v>
      </c>
      <c r="I255" s="113">
        <f ca="1">IFERROR(__xludf.DUMMYFUNCTION("""COMPUTED_VALUE"""),0)</f>
        <v>0</v>
      </c>
      <c r="J255" s="111">
        <f ca="1">IFERROR(__xludf.DUMMYFUNCTION("""COMPUTED_VALUE"""),0)</f>
        <v>0</v>
      </c>
      <c r="K255" s="113">
        <f ca="1">IFERROR(__xludf.DUMMYFUNCTION("""COMPUTED_VALUE"""),0)</f>
        <v>0</v>
      </c>
      <c r="L255" s="114" t="str">
        <f ca="1">IFERROR(__xludf.DUMMYFUNCTION("""COMPUTED_VALUE"""),"#DIV/0!")</f>
        <v>#DIV/0!</v>
      </c>
      <c r="M255" s="111"/>
      <c r="N255" s="111"/>
      <c r="O255" s="111"/>
      <c r="P255" s="111"/>
      <c r="Q255" s="112"/>
      <c r="R255" s="103"/>
      <c r="S255" s="103"/>
      <c r="T255" s="103"/>
      <c r="U255" s="103"/>
      <c r="V255" s="103"/>
      <c r="W255" s="103"/>
      <c r="X255" s="103"/>
      <c r="Y255" s="103"/>
      <c r="Z255" s="103"/>
      <c r="AA255" s="103"/>
    </row>
    <row r="256" spans="1:27" ht="89.25" x14ac:dyDescent="0.2">
      <c r="A256" s="116">
        <v>75</v>
      </c>
      <c r="B256" s="117" t="str">
        <f ca="1">IFERROR(__xludf.DUMMYFUNCTION("""COMPUTED_VALUE"""),"МинЖКХ")</f>
        <v>МинЖКХ</v>
      </c>
      <c r="C256" s="117" t="str">
        <f ca="1">IFERROR(__xludf.DUMMYFUNCTION("""COMPUTED_VALUE"""),"г.о. Одинцово")</f>
        <v>г.о. Одинцово</v>
      </c>
      <c r="D256" s="117" t="str">
        <f ca="1">IFERROR(__xludf.DUMMYFUNCTION("""COMPUTED_VALUE"""),"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f>
        <v xml:space="preserv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v>
      </c>
      <c r="E256" s="117">
        <f ca="1">IFERROR(__xludf.DUMMYFUNCTION("""COMPUTED_VALUE"""),2021)</f>
        <v>2021</v>
      </c>
      <c r="F256" s="118">
        <f ca="1">IFERROR(__xludf.DUMMYFUNCTION("""COMPUTED_VALUE"""),0)</f>
        <v>0</v>
      </c>
      <c r="G256" s="118">
        <f ca="1">IFERROR(__xludf.DUMMYFUNCTION("""COMPUTED_VALUE"""),0)</f>
        <v>0</v>
      </c>
      <c r="H256" s="118">
        <f ca="1">IFERROR(__xludf.DUMMYFUNCTION("""COMPUTED_VALUE"""),0)</f>
        <v>0</v>
      </c>
      <c r="I256" s="118">
        <f ca="1">IFERROR(__xludf.DUMMYFUNCTION("""COMPUTED_VALUE"""),0)</f>
        <v>0</v>
      </c>
      <c r="J256" s="117">
        <f ca="1">IFERROR(__xludf.DUMMYFUNCTION("""COMPUTED_VALUE"""),0)</f>
        <v>0</v>
      </c>
      <c r="K256" s="118">
        <f ca="1">IFERROR(__xludf.DUMMYFUNCTION("""COMPUTED_VALUE"""),0)</f>
        <v>0</v>
      </c>
      <c r="L256" s="119" t="str">
        <f ca="1">IFERROR(__xludf.DUMMYFUNCTION("""COMPUTED_VALUE"""),"#DIV/0!")</f>
        <v>#DIV/0!</v>
      </c>
      <c r="M256" s="117" t="str">
        <f ca="1">IFERROR(__xludf.DUMMYFUNCTION("""COMPUTED_VALUE"""),"ПСД в МОГЭ. В связи с поздней контрактацией мероприятия освоения средства 2020 года не будут освоены. Письмо от ОМСУ о переносе средств на 2021 г.")</f>
        <v>ПСД в МОГЭ. В связи с поздней контрактацией мероприятия освоения средства 2020 года не будут освоены. Письмо от ОМСУ о переносе средств на 2021 г.</v>
      </c>
      <c r="N256" s="111"/>
      <c r="O256" s="111"/>
      <c r="P256" s="111"/>
      <c r="Q256" s="115">
        <v>44154</v>
      </c>
      <c r="R256" s="103"/>
      <c r="S256" s="103"/>
      <c r="T256" s="103"/>
      <c r="U256" s="103"/>
      <c r="V256" s="103"/>
      <c r="W256" s="103"/>
      <c r="X256" s="103"/>
      <c r="Y256" s="103"/>
      <c r="Z256" s="103"/>
      <c r="AA256" s="103"/>
    </row>
    <row r="257" spans="1:27" ht="51" x14ac:dyDescent="0.2">
      <c r="A257" s="111"/>
      <c r="B257" s="111" t="str">
        <f ca="1">IFERROR(__xludf.DUMMYFUNCTION("""COMPUTED_VALUE"""),"МинЖКХ")</f>
        <v>МинЖКХ</v>
      </c>
      <c r="C257" s="111" t="str">
        <f ca="1">IFERROR(__xludf.DUMMYFUNCTION("""COMPUTED_VALUE"""),"г.о. Солнечногорск")</f>
        <v>г.о. Солнечногорск</v>
      </c>
      <c r="D257" s="111" t="str">
        <f ca="1">IFERROR(__xludf.DUMMYFUNCTION("""COMPUTED_VALUE"""),"Реконструкция канализационного коллектора с Д-400 на Д-800 мм, г.п. Солнечногорск (в том числе ПИР)")</f>
        <v>Реконструкция канализационного коллектора с Д-400 на Д-800 мм, г.п. Солнечногорск (в том числе ПИР)</v>
      </c>
      <c r="E257" s="111">
        <f ca="1">IFERROR(__xludf.DUMMYFUNCTION("""COMPUTED_VALUE"""),2022)</f>
        <v>2022</v>
      </c>
      <c r="F257" s="113">
        <f ca="1">IFERROR(__xludf.DUMMYFUNCTION("""COMPUTED_VALUE"""),0)</f>
        <v>0</v>
      </c>
      <c r="G257" s="113">
        <f ca="1">IFERROR(__xludf.DUMMYFUNCTION("""COMPUTED_VALUE"""),0)</f>
        <v>0</v>
      </c>
      <c r="H257" s="113">
        <f ca="1">IFERROR(__xludf.DUMMYFUNCTION("""COMPUTED_VALUE"""),0)</f>
        <v>0</v>
      </c>
      <c r="I257" s="113">
        <f ca="1">IFERROR(__xludf.DUMMYFUNCTION("""COMPUTED_VALUE"""),0)</f>
        <v>0</v>
      </c>
      <c r="J257" s="111">
        <f ca="1">IFERROR(__xludf.DUMMYFUNCTION("""COMPUTED_VALUE"""),0)</f>
        <v>0</v>
      </c>
      <c r="K257" s="113">
        <f ca="1">IFERROR(__xludf.DUMMYFUNCTION("""COMPUTED_VALUE"""),0)</f>
        <v>0</v>
      </c>
      <c r="L257" s="114" t="str">
        <f ca="1">IFERROR(__xludf.DUMMYFUNCTION("""COMPUTED_VALUE"""),"#DIV/0!")</f>
        <v>#DIV/0!</v>
      </c>
      <c r="M257" s="111"/>
      <c r="N257" s="111"/>
      <c r="O257" s="111"/>
      <c r="P257" s="111"/>
      <c r="Q257" s="112"/>
      <c r="R257" s="103"/>
      <c r="S257" s="103"/>
      <c r="T257" s="103"/>
      <c r="U257" s="103"/>
      <c r="V257" s="103"/>
      <c r="W257" s="103"/>
      <c r="X257" s="103"/>
      <c r="Y257" s="103"/>
      <c r="Z257" s="103"/>
      <c r="AA257" s="103"/>
    </row>
    <row r="258" spans="1:27" ht="102" x14ac:dyDescent="0.2">
      <c r="A258" s="110">
        <v>76</v>
      </c>
      <c r="B258" s="111" t="str">
        <f ca="1">IFERROR(__xludf.DUMMYFUNCTION("""COMPUTED_VALUE"""),"МинЖКХ")</f>
        <v>МинЖКХ</v>
      </c>
      <c r="C258" s="111" t="str">
        <f ca="1">IFERROR(__xludf.DUMMYFUNCTION("""COMPUTED_VALUE"""),"г.о. Сергиев Посад")</f>
        <v>г.о. Сергиев Посад</v>
      </c>
      <c r="D258" s="112" t="str">
        <f ca="1">IFERROR(__xludf.DUMMYFUNCTION("""COMPUTED_VALUE"""),"Реконструкция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f>
        <v>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v>
      </c>
      <c r="E258" s="111" t="str">
        <f ca="1">IFERROR(__xludf.DUMMYFUNCTION("""COMPUTED_VALUE"""),"2020-2021")</f>
        <v>2020-2021</v>
      </c>
      <c r="F258" s="113">
        <f ca="1">IFERROR(__xludf.DUMMYFUNCTION("""COMPUTED_VALUE"""),95035)</f>
        <v>95035</v>
      </c>
      <c r="G258" s="113">
        <f ca="1">IFERROR(__xludf.DUMMYFUNCTION("""COMPUTED_VALUE"""),0)</f>
        <v>0</v>
      </c>
      <c r="H258" s="113">
        <f ca="1">IFERROR(__xludf.DUMMYFUNCTION("""COMPUTED_VALUE"""),0)</f>
        <v>0</v>
      </c>
      <c r="I258" s="113">
        <f ca="1">IFERROR(__xludf.DUMMYFUNCTION("""COMPUTED_VALUE"""),95035)</f>
        <v>95035</v>
      </c>
      <c r="J258" s="111">
        <f ca="1">IFERROR(__xludf.DUMMYFUNCTION("""COMPUTED_VALUE"""),77388.97)</f>
        <v>77388.97</v>
      </c>
      <c r="K258" s="113">
        <f ca="1">IFERROR(__xludf.DUMMYFUNCTION("""COMPUTED_VALUE"""),17646.03)</f>
        <v>17646.03</v>
      </c>
      <c r="L258" s="114">
        <f ca="1">IFERROR(__xludf.DUMMYFUNCTION("""COMPUTED_VALUE"""),0.81432072394381)</f>
        <v>0.81432072394381005</v>
      </c>
      <c r="M258" s="111" t="str">
        <f ca="1">IFERROR(__xludf.DUMMYFUNCTION("""COMPUTED_VALUE"""),"Лимиты 2020 не будут Освоены 
Заключение получено, не присвоен номер. В связи с поздним выходом из МОГЭ риск неосвоения лимитов 2020 года. Направлено письмо от ОМСУ о переносе лимитов на 2021.")</f>
        <v>Лимиты 2020 не будут Освоены 
Заключение получено, не присвоен номер. В связи с поздним выходом из МОГЭ риск неосвоения лимитов 2020 года. Направлено письмо от ОМСУ о переносе лимитов на 2021.</v>
      </c>
      <c r="N258" s="111"/>
      <c r="O258" s="111"/>
      <c r="P258" s="111"/>
      <c r="Q258" s="115">
        <v>44154</v>
      </c>
      <c r="R258" s="103"/>
      <c r="S258" s="103"/>
      <c r="T258" s="103"/>
      <c r="U258" s="103"/>
      <c r="V258" s="103"/>
      <c r="W258" s="103"/>
      <c r="X258" s="103"/>
      <c r="Y258" s="103"/>
      <c r="Z258" s="103"/>
      <c r="AA258" s="103"/>
    </row>
    <row r="259" spans="1:27" ht="89.25" x14ac:dyDescent="0.2">
      <c r="A259" s="111"/>
      <c r="B259" s="111" t="str">
        <f ca="1">IFERROR(__xludf.DUMMYFUNCTION("""COMPUTED_VALUE"""),"МинЖКХ")</f>
        <v>МинЖКХ</v>
      </c>
      <c r="C259" s="111" t="str">
        <f ca="1">IFERROR(__xludf.DUMMYFUNCTION("""COMPUTED_VALUE"""),"г.о. Ленинский")</f>
        <v>г.о. Ленинский</v>
      </c>
      <c r="D259" s="111" t="str">
        <f ca="1">IFERROR(__xludf.DUMMYFUNCTION("""COMPUTED_VALUE"""),"Строительство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f>
        <v>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v>
      </c>
      <c r="E259" s="111" t="str">
        <f ca="1">IFERROR(__xludf.DUMMYFUNCTION("""COMPUTED_VALUE"""),"2022-2023")</f>
        <v>2022-2023</v>
      </c>
      <c r="F259" s="113">
        <f ca="1">IFERROR(__xludf.DUMMYFUNCTION("""COMPUTED_VALUE"""),0)</f>
        <v>0</v>
      </c>
      <c r="G259" s="113">
        <f ca="1">IFERROR(__xludf.DUMMYFUNCTION("""COMPUTED_VALUE"""),0)</f>
        <v>0</v>
      </c>
      <c r="H259" s="113">
        <f ca="1">IFERROR(__xludf.DUMMYFUNCTION("""COMPUTED_VALUE"""),0)</f>
        <v>0</v>
      </c>
      <c r="I259" s="113">
        <f ca="1">IFERROR(__xludf.DUMMYFUNCTION("""COMPUTED_VALUE"""),0)</f>
        <v>0</v>
      </c>
      <c r="J259" s="111">
        <f ca="1">IFERROR(__xludf.DUMMYFUNCTION("""COMPUTED_VALUE"""),0)</f>
        <v>0</v>
      </c>
      <c r="K259" s="113">
        <f ca="1">IFERROR(__xludf.DUMMYFUNCTION("""COMPUTED_VALUE"""),0)</f>
        <v>0</v>
      </c>
      <c r="L259" s="114" t="str">
        <f ca="1">IFERROR(__xludf.DUMMYFUNCTION("""COMPUTED_VALUE"""),"#DIV/0!")</f>
        <v>#DIV/0!</v>
      </c>
      <c r="M259" s="111"/>
      <c r="N259" s="111"/>
      <c r="O259" s="111"/>
      <c r="P259" s="111"/>
      <c r="Q259" s="112"/>
      <c r="R259" s="103"/>
      <c r="S259" s="103"/>
      <c r="T259" s="103"/>
      <c r="U259" s="103"/>
      <c r="V259" s="103"/>
      <c r="W259" s="103"/>
      <c r="X259" s="103"/>
      <c r="Y259" s="103"/>
      <c r="Z259" s="103"/>
      <c r="AA259" s="103"/>
    </row>
    <row r="260" spans="1:27" ht="38.25" x14ac:dyDescent="0.2">
      <c r="A260" s="111"/>
      <c r="B260" s="111" t="str">
        <f ca="1">IFERROR(__xludf.DUMMYFUNCTION("""COMPUTED_VALUE"""),"МинЖКХ")</f>
        <v>МинЖКХ</v>
      </c>
      <c r="C260" s="111" t="str">
        <f ca="1">IFERROR(__xludf.DUMMYFUNCTION("""COMPUTED_VALUE"""),"г.о. Коломенский")</f>
        <v>г.о. Коломенский</v>
      </c>
      <c r="D260" s="111" t="str">
        <f ca="1">IFERROR(__xludf.DUMMYFUNCTION("""COMPUTED_VALUE"""),"Капитальный ремонт КНС в с. Непецино, Коломенский г.о. (в т.ч. ПИР) ")</f>
        <v xml:space="preserve">Капитальный ремонт КНС в с. Непецино, Коломенский г.о. (в т.ч. ПИР) </v>
      </c>
      <c r="E260" s="111">
        <f ca="1">IFERROR(__xludf.DUMMYFUNCTION("""COMPUTED_VALUE"""),2022)</f>
        <v>2022</v>
      </c>
      <c r="F260" s="113">
        <f ca="1">IFERROR(__xludf.DUMMYFUNCTION("""COMPUTED_VALUE"""),0)</f>
        <v>0</v>
      </c>
      <c r="G260" s="113">
        <f ca="1">IFERROR(__xludf.DUMMYFUNCTION("""COMPUTED_VALUE"""),0)</f>
        <v>0</v>
      </c>
      <c r="H260" s="113">
        <f ca="1">IFERROR(__xludf.DUMMYFUNCTION("""COMPUTED_VALUE"""),0)</f>
        <v>0</v>
      </c>
      <c r="I260" s="113">
        <f ca="1">IFERROR(__xludf.DUMMYFUNCTION("""COMPUTED_VALUE"""),0)</f>
        <v>0</v>
      </c>
      <c r="J260" s="111">
        <f ca="1">IFERROR(__xludf.DUMMYFUNCTION("""COMPUTED_VALUE"""),0)</f>
        <v>0</v>
      </c>
      <c r="K260" s="113">
        <f ca="1">IFERROR(__xludf.DUMMYFUNCTION("""COMPUTED_VALUE"""),0)</f>
        <v>0</v>
      </c>
      <c r="L260" s="114" t="str">
        <f ca="1">IFERROR(__xludf.DUMMYFUNCTION("""COMPUTED_VALUE"""),"#DIV/0!")</f>
        <v>#DIV/0!</v>
      </c>
      <c r="M260" s="111"/>
      <c r="N260" s="111"/>
      <c r="O260" s="111"/>
      <c r="P260" s="111"/>
      <c r="Q260" s="112"/>
      <c r="R260" s="103"/>
      <c r="S260" s="103"/>
      <c r="T260" s="103"/>
      <c r="U260" s="103"/>
      <c r="V260" s="103"/>
      <c r="W260" s="103"/>
      <c r="X260" s="103"/>
      <c r="Y260" s="103"/>
      <c r="Z260" s="103"/>
      <c r="AA260" s="103"/>
    </row>
    <row r="261" spans="1:27" ht="51" x14ac:dyDescent="0.2">
      <c r="A261" s="111"/>
      <c r="B261" s="111" t="str">
        <f ca="1">IFERROR(__xludf.DUMMYFUNCTION("""COMPUTED_VALUE"""),"МинЖКХ")</f>
        <v>МинЖКХ</v>
      </c>
      <c r="C261" s="111" t="str">
        <f ca="1">IFERROR(__xludf.DUMMYFUNCTION("""COMPUTED_VALUE"""),"г.о. Коломенский")</f>
        <v>г.о. Коломенский</v>
      </c>
      <c r="D261" s="111" t="str">
        <f ca="1">IFERROR(__xludf.DUMMYFUNCTION("""COMPUTED_VALUE"""),"Капитальный ремонт КНС в с. Непецино ул. Тимохина, Коломенский г.о. (в том числе ПИР) ")</f>
        <v xml:space="preserve">Капитальный ремонт КНС в с. Непецино ул. Тимохина, Коломенский г.о. (в том числе ПИР) </v>
      </c>
      <c r="E261" s="111">
        <f ca="1">IFERROR(__xludf.DUMMYFUNCTION("""COMPUTED_VALUE"""),2022)</f>
        <v>2022</v>
      </c>
      <c r="F261" s="113">
        <f ca="1">IFERROR(__xludf.DUMMYFUNCTION("""COMPUTED_VALUE"""),0)</f>
        <v>0</v>
      </c>
      <c r="G261" s="113">
        <f ca="1">IFERROR(__xludf.DUMMYFUNCTION("""COMPUTED_VALUE"""),0)</f>
        <v>0</v>
      </c>
      <c r="H261" s="113">
        <f ca="1">IFERROR(__xludf.DUMMYFUNCTION("""COMPUTED_VALUE"""),0)</f>
        <v>0</v>
      </c>
      <c r="I261" s="113">
        <f ca="1">IFERROR(__xludf.DUMMYFUNCTION("""COMPUTED_VALUE"""),0)</f>
        <v>0</v>
      </c>
      <c r="J261" s="111">
        <f ca="1">IFERROR(__xludf.DUMMYFUNCTION("""COMPUTED_VALUE"""),0)</f>
        <v>0</v>
      </c>
      <c r="K261" s="113">
        <f ca="1">IFERROR(__xludf.DUMMYFUNCTION("""COMPUTED_VALUE"""),0)</f>
        <v>0</v>
      </c>
      <c r="L261" s="114" t="str">
        <f ca="1">IFERROR(__xludf.DUMMYFUNCTION("""COMPUTED_VALUE"""),"#DIV/0!")</f>
        <v>#DIV/0!</v>
      </c>
      <c r="M261" s="111"/>
      <c r="N261" s="111"/>
      <c r="O261" s="111"/>
      <c r="P261" s="111"/>
      <c r="Q261" s="112"/>
      <c r="R261" s="103"/>
      <c r="S261" s="103"/>
      <c r="T261" s="103"/>
      <c r="U261" s="103"/>
      <c r="V261" s="103"/>
      <c r="W261" s="103"/>
      <c r="X261" s="103"/>
      <c r="Y261" s="103"/>
      <c r="Z261" s="103"/>
      <c r="AA261" s="103"/>
    </row>
    <row r="262" spans="1:27" ht="51" x14ac:dyDescent="0.2">
      <c r="A262" s="110">
        <v>77</v>
      </c>
      <c r="B262" s="111" t="str">
        <f ca="1">IFERROR(__xludf.DUMMYFUNCTION("""COMPUTED_VALUE"""),"МинЖКХ")</f>
        <v>МинЖКХ</v>
      </c>
      <c r="C262" s="111" t="str">
        <f ca="1">IFERROR(__xludf.DUMMYFUNCTION("""COMPUTED_VALUE"""),"г.о. Серпухов")</f>
        <v>г.о. Серпухов</v>
      </c>
      <c r="D262" s="111" t="str">
        <f ca="1">IFERROR(__xludf.DUMMYFUNCTION("""COMPUTED_VALUE"""),"Капитальный ремонт самотечного каналиационного коллектора Д=500мм в п. Оболенск, Серпуховский м.р.")</f>
        <v>Капитальный ремонт самотечного каналиационного коллектора Д=500мм в п. Оболенск, Серпуховский м.р.</v>
      </c>
      <c r="E262" s="111">
        <f ca="1">IFERROR(__xludf.DUMMYFUNCTION("""COMPUTED_VALUE"""),2020)</f>
        <v>2020</v>
      </c>
      <c r="F262" s="113">
        <f ca="1">IFERROR(__xludf.DUMMYFUNCTION("""COMPUTED_VALUE"""),1472)</f>
        <v>1472</v>
      </c>
      <c r="G262" s="113">
        <f ca="1">IFERROR(__xludf.DUMMYFUNCTION("""COMPUTED_VALUE"""),1472)</f>
        <v>1472</v>
      </c>
      <c r="H262" s="113">
        <f ca="1">IFERROR(__xludf.DUMMYFUNCTION("""COMPUTED_VALUE"""),0)</f>
        <v>0</v>
      </c>
      <c r="I262" s="113">
        <f ca="1">IFERROR(__xludf.DUMMYFUNCTION("""COMPUTED_VALUE"""),0)</f>
        <v>0</v>
      </c>
      <c r="J262" s="111">
        <f ca="1">IFERROR(__xludf.DUMMYFUNCTION("""COMPUTED_VALUE"""),1405.76)</f>
        <v>1405.76</v>
      </c>
      <c r="K262" s="113">
        <f ca="1">IFERROR(__xludf.DUMMYFUNCTION("""COMPUTED_VALUE"""),66.24)</f>
        <v>66.239999999999995</v>
      </c>
      <c r="L262" s="114">
        <f ca="1">IFERROR(__xludf.DUMMYFUNCTION("""COMPUTED_VALUE"""),0.955)</f>
        <v>0.95499999999999996</v>
      </c>
      <c r="M262" s="111"/>
      <c r="N262" s="111"/>
      <c r="O262" s="111"/>
      <c r="P262" s="111"/>
      <c r="Q262" s="112"/>
      <c r="R262" s="103"/>
      <c r="S262" s="103"/>
      <c r="T262" s="103"/>
      <c r="U262" s="103"/>
      <c r="V262" s="103"/>
      <c r="W262" s="103"/>
      <c r="X262" s="103"/>
      <c r="Y262" s="103"/>
      <c r="Z262" s="103"/>
      <c r="AA262" s="103"/>
    </row>
    <row r="263" spans="1:27" ht="76.5" x14ac:dyDescent="0.2">
      <c r="A263" s="110">
        <v>78</v>
      </c>
      <c r="B263" s="111" t="str">
        <f ca="1">IFERROR(__xludf.DUMMYFUNCTION("""COMPUTED_VALUE"""),"МинЖКХ")</f>
        <v>МинЖКХ</v>
      </c>
      <c r="C263" s="111" t="str">
        <f ca="1">IFERROR(__xludf.DUMMYFUNCTION("""COMPUTED_VALUE"""),"г.о. Щелково")</f>
        <v>г.о. Щелково</v>
      </c>
      <c r="D263" s="111" t="str">
        <f ca="1">IFERROR(__xludf.DUMMYFUNCTION("""COMPUTED_VALUE"""),"Капитальный ремонт коллектора 2Д=1200мм (две нитки), проходящего в железобетонном дюкере по дну реки Клязьма и в прилегающей береговой зоне,  Щелковский м.р. ")</f>
        <v xml:space="preserve">Капитальный ремонт коллектора 2Д=1200мм (две нитки), проходящего в железобетонном дюкере по дну реки Клязьма и в прилегающей береговой зоне,  Щелковский м.р. </v>
      </c>
      <c r="E263" s="111" t="str">
        <f ca="1">IFERROR(__xludf.DUMMYFUNCTION("""COMPUTED_VALUE"""),"2020-2021")</f>
        <v>2020-2021</v>
      </c>
      <c r="F263" s="113">
        <f ca="1">IFERROR(__xludf.DUMMYFUNCTION("""COMPUTED_VALUE"""),166468)</f>
        <v>166468</v>
      </c>
      <c r="G263" s="113">
        <f ca="1">IFERROR(__xludf.DUMMYFUNCTION("""COMPUTED_VALUE"""),85219)</f>
        <v>85219</v>
      </c>
      <c r="H263" s="113">
        <f ca="1">IFERROR(__xludf.DUMMYFUNCTION("""COMPUTED_VALUE"""),0)</f>
        <v>0</v>
      </c>
      <c r="I263" s="113">
        <f ca="1">IFERROR(__xludf.DUMMYFUNCTION("""COMPUTED_VALUE"""),81249)</f>
        <v>81249</v>
      </c>
      <c r="J263" s="111">
        <f ca="1">IFERROR(__xludf.DUMMYFUNCTION("""COMPUTED_VALUE"""),166273)</f>
        <v>166273</v>
      </c>
      <c r="K263" s="113">
        <f ca="1">IFERROR(__xludf.DUMMYFUNCTION("""COMPUTED_VALUE"""),195)</f>
        <v>195</v>
      </c>
      <c r="L263" s="114">
        <f ca="1">IFERROR(__xludf.DUMMYFUNCTION("""COMPUTED_VALUE"""),0.998828603695605)</f>
        <v>0.998828603695605</v>
      </c>
      <c r="M263" s="111"/>
      <c r="N263" s="111"/>
      <c r="O263" s="111"/>
      <c r="P263" s="111"/>
      <c r="Q263" s="112"/>
      <c r="R263" s="103"/>
      <c r="S263" s="103"/>
      <c r="T263" s="103"/>
      <c r="U263" s="103"/>
      <c r="V263" s="103"/>
      <c r="W263" s="103"/>
      <c r="X263" s="103"/>
      <c r="Y263" s="103"/>
      <c r="Z263" s="103"/>
      <c r="AA263" s="103"/>
    </row>
    <row r="264" spans="1:27" ht="140.25" x14ac:dyDescent="0.2">
      <c r="A264" s="116">
        <v>79</v>
      </c>
      <c r="B264" s="117" t="str">
        <f ca="1">IFERROR(__xludf.DUMMYFUNCTION("""COMPUTED_VALUE"""),"МинЖКХ")</f>
        <v>МинЖКХ</v>
      </c>
      <c r="C264" s="117" t="str">
        <f ca="1">IFERROR(__xludf.DUMMYFUNCTION("""COMPUTED_VALUE"""),"г.о. Балашиха")</f>
        <v>г.о. Балашиха</v>
      </c>
      <c r="D264" s="117" t="str">
        <f ca="1">IFERROR(__xludf.DUMMYFUNCTION("""COMPUTED_VALUE"""),"Капитальный ремонт Фенинской районной канализационной насосной станции, г.о. Балашиха ")</f>
        <v xml:space="preserve">Капитальный ремонт Фенинской районной канализационной насосной станции, г.о. Балашиха </v>
      </c>
      <c r="E264" s="117">
        <f ca="1">IFERROR(__xludf.DUMMYFUNCTION("""COMPUTED_VALUE"""),2020)</f>
        <v>2020</v>
      </c>
      <c r="F264" s="118">
        <f ca="1">IFERROR(__xludf.DUMMYFUNCTION("""COMPUTED_VALUE"""),76025)</f>
        <v>76025</v>
      </c>
      <c r="G264" s="118">
        <f ca="1">IFERROR(__xludf.DUMMYFUNCTION("""COMPUTED_VALUE"""),76025)</f>
        <v>76025</v>
      </c>
      <c r="H264" s="118">
        <f ca="1">IFERROR(__xludf.DUMMYFUNCTION("""COMPUTED_VALUE"""),0)</f>
        <v>0</v>
      </c>
      <c r="I264" s="118">
        <f ca="1">IFERROR(__xludf.DUMMYFUNCTION("""COMPUTED_VALUE"""),0)</f>
        <v>0</v>
      </c>
      <c r="J264" s="117">
        <f ca="1">IFERROR(__xludf.DUMMYFUNCTION("""COMPUTED_VALUE"""),36409.39)</f>
        <v>36409.39</v>
      </c>
      <c r="K264" s="118">
        <f ca="1">IFERROR(__xludf.DUMMYFUNCTION("""COMPUTED_VALUE"""),39615.61)</f>
        <v>39615.61</v>
      </c>
      <c r="L264" s="119">
        <f ca="1">IFERROR(__xludf.DUMMYFUNCTION("""COMPUTED_VALUE"""),0.478913383755343)</f>
        <v>0.47891338375534298</v>
      </c>
      <c r="M264" s="117" t="str">
        <f ca="1">IFERROR(__xludf.DUMMYFUNCTION("""COMPUTED_VALUE"""),"Низкий темп выполнения работ. Задержки в поставке оборудования. Средства 2020 года в полном объёме освоены не будут. Поставка 4 насосов в фервале-марте 2021.Заказчиком подписаны КС на сумму 8,3 млн. руб. направление заявки на оплату в размере 6,9 млн. до "&amp;"26.11.2020. Риск не освония 30 млн. руб.")</f>
        <v>Низкий темп выполнения работ. Задержки в поставке оборудования. Средства 2020 года в полном объёме освоены не будут. Поставка 4 насосов в фервале-марте 2021.Заказчиком подписаны КС на сумму 8,3 млн. руб. направление заявки на оплату в размере 6,9 млн. до 26.11.2020. Риск не освония 30 млн. руб.</v>
      </c>
      <c r="N264" s="111"/>
      <c r="O264" s="111"/>
      <c r="P264" s="111"/>
      <c r="Q264" s="115">
        <v>44154</v>
      </c>
      <c r="R264" s="103"/>
      <c r="S264" s="103"/>
      <c r="T264" s="103"/>
      <c r="U264" s="103"/>
      <c r="V264" s="103"/>
      <c r="W264" s="103"/>
      <c r="X264" s="103"/>
      <c r="Y264" s="103"/>
      <c r="Z264" s="103"/>
      <c r="AA264" s="103"/>
    </row>
    <row r="265" spans="1:27" ht="89.25" x14ac:dyDescent="0.2">
      <c r="A265" s="110">
        <v>80</v>
      </c>
      <c r="B265" s="111" t="str">
        <f ca="1">IFERROR(__xludf.DUMMYFUNCTION("""COMPUTED_VALUE"""),"МинЖКХ")</f>
        <v>МинЖКХ</v>
      </c>
      <c r="C265" s="111" t="str">
        <f ca="1">IFERROR(__xludf.DUMMYFUNCTION("""COMPUTED_VALUE"""),"г.о. Щелково")</f>
        <v>г.о. Щелково</v>
      </c>
      <c r="D265" s="111" t="str">
        <f ca="1">IFERROR(__xludf.DUMMYFUNCTION("""COMPUTED_VALUE"""),"Капитальный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f>
        <v>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v>
      </c>
      <c r="E265" s="111">
        <f ca="1">IFERROR(__xludf.DUMMYFUNCTION("""COMPUTED_VALUE"""),2020)</f>
        <v>2020</v>
      </c>
      <c r="F265" s="113">
        <f ca="1">IFERROR(__xludf.DUMMYFUNCTION("""COMPUTED_VALUE"""),80414)</f>
        <v>80414</v>
      </c>
      <c r="G265" s="113">
        <f ca="1">IFERROR(__xludf.DUMMYFUNCTION("""COMPUTED_VALUE"""),80414)</f>
        <v>80414</v>
      </c>
      <c r="H265" s="113">
        <f ca="1">IFERROR(__xludf.DUMMYFUNCTION("""COMPUTED_VALUE"""),0)</f>
        <v>0</v>
      </c>
      <c r="I265" s="113">
        <f ca="1">IFERROR(__xludf.DUMMYFUNCTION("""COMPUTED_VALUE"""),0)</f>
        <v>0</v>
      </c>
      <c r="J265" s="111">
        <f ca="1">IFERROR(__xludf.DUMMYFUNCTION("""COMPUTED_VALUE"""),79752.27)</f>
        <v>79752.27</v>
      </c>
      <c r="K265" s="113">
        <f ca="1">IFERROR(__xludf.DUMMYFUNCTION("""COMPUTED_VALUE"""),661.729999999995)</f>
        <v>661.72999999999502</v>
      </c>
      <c r="L265" s="114">
        <f ca="1">IFERROR(__xludf.DUMMYFUNCTION("""COMPUTED_VALUE"""),0.991770960280548)</f>
        <v>0.99177096028054801</v>
      </c>
      <c r="M265" s="111"/>
      <c r="N265" s="111"/>
      <c r="O265" s="111"/>
      <c r="P265" s="111"/>
      <c r="Q265" s="112"/>
      <c r="R265" s="103"/>
      <c r="S265" s="103"/>
      <c r="T265" s="103"/>
      <c r="U265" s="103"/>
      <c r="V265" s="103"/>
      <c r="W265" s="103"/>
      <c r="X265" s="103"/>
      <c r="Y265" s="103"/>
      <c r="Z265" s="103"/>
      <c r="AA265" s="103"/>
    </row>
    <row r="266" spans="1:27" ht="63.75" x14ac:dyDescent="0.2">
      <c r="A266" s="111"/>
      <c r="B266" s="111" t="str">
        <f ca="1">IFERROR(__xludf.DUMMYFUNCTION("""COMPUTED_VALUE"""),"МинЖКХ")</f>
        <v>МинЖКХ</v>
      </c>
      <c r="C266" s="111" t="str">
        <f ca="1">IFERROR(__xludf.DUMMYFUNCTION("""COMPUTED_VALUE"""),"г.о. Ликино-Дулево")</f>
        <v>г.о. Ликино-Дулево</v>
      </c>
      <c r="D266" s="111" t="str">
        <f ca="1">IFERROR(__xludf.DUMMYFUNCTION("""COMPUTED_VALUE"""),"Капитальный ремонт напорного канализационного коллектора от КНС д. Новое до ОАО ""Куровские очистные сооружения"" (в т.ч. ПИР), Орехово-Зуевский г.о.")</f>
        <v>Капитальный ремонт напорного канализационного коллектора от КНС д. Новое до ОАО "Куровские очистные сооружения" (в т.ч. ПИР), Орехово-Зуевский г.о.</v>
      </c>
      <c r="E266" s="111" t="str">
        <f ca="1">IFERROR(__xludf.DUMMYFUNCTION("""COMPUTED_VALUE"""),"2021-2022")</f>
        <v>2021-2022</v>
      </c>
      <c r="F266" s="113">
        <f ca="1">IFERROR(__xludf.DUMMYFUNCTION("""COMPUTED_VALUE"""),0)</f>
        <v>0</v>
      </c>
      <c r="G266" s="113">
        <f ca="1">IFERROR(__xludf.DUMMYFUNCTION("""COMPUTED_VALUE"""),0)</f>
        <v>0</v>
      </c>
      <c r="H266" s="113">
        <f ca="1">IFERROR(__xludf.DUMMYFUNCTION("""COMPUTED_VALUE"""),0)</f>
        <v>0</v>
      </c>
      <c r="I266" s="113">
        <f ca="1">IFERROR(__xludf.DUMMYFUNCTION("""COMPUTED_VALUE"""),0)</f>
        <v>0</v>
      </c>
      <c r="J266" s="111">
        <f ca="1">IFERROR(__xludf.DUMMYFUNCTION("""COMPUTED_VALUE"""),0)</f>
        <v>0</v>
      </c>
      <c r="K266" s="113">
        <f ca="1">IFERROR(__xludf.DUMMYFUNCTION("""COMPUTED_VALUE"""),0)</f>
        <v>0</v>
      </c>
      <c r="L266" s="114" t="str">
        <f ca="1">IFERROR(__xludf.DUMMYFUNCTION("""COMPUTED_VALUE"""),"#DIV/0!")</f>
        <v>#DIV/0!</v>
      </c>
      <c r="M266" s="111"/>
      <c r="N266" s="111"/>
      <c r="O266" s="111"/>
      <c r="P266" s="111"/>
      <c r="Q266" s="112"/>
      <c r="R266" s="103"/>
      <c r="S266" s="103"/>
      <c r="T266" s="103"/>
      <c r="U266" s="103"/>
      <c r="V266" s="103"/>
      <c r="W266" s="103"/>
      <c r="X266" s="103"/>
      <c r="Y266" s="103"/>
      <c r="Z266" s="103"/>
      <c r="AA266" s="103"/>
    </row>
    <row r="267" spans="1:27" ht="165.75" x14ac:dyDescent="0.2">
      <c r="A267" s="110">
        <v>81</v>
      </c>
      <c r="B267" s="111" t="str">
        <f ca="1">IFERROR(__xludf.DUMMYFUNCTION("""COMPUTED_VALUE"""),"МинЖКХ")</f>
        <v>МинЖКХ</v>
      </c>
      <c r="C267" s="111" t="str">
        <f ca="1">IFERROR(__xludf.DUMMYFUNCTION("""COMPUTED_VALUE"""),"г.о. Балашиха")</f>
        <v>г.о. Балашиха</v>
      </c>
      <c r="D267" s="111" t="str">
        <f ca="1">IFERROR(__xludf.DUMMYFUNCTION("""COMPUTED_VALUE"""),"Капитальный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н"&amp;"их средства бюджета Московской области – 5 500,02 тыс.руб., средства бюджета муниципального образования -2 203,09 тыс.руб.)")</f>
        <v>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них средства бюджета Московской области – 5 500,02 тыс.руб., средства бюджета муниципального образования -2 203,09 тыс.руб.)</v>
      </c>
      <c r="E267" s="111">
        <f ca="1">IFERROR(__xludf.DUMMYFUNCTION("""COMPUTED_VALUE"""),2020)</f>
        <v>2020</v>
      </c>
      <c r="F267" s="113">
        <f ca="1">IFERROR(__xludf.DUMMYFUNCTION("""COMPUTED_VALUE"""),34613)</f>
        <v>34613</v>
      </c>
      <c r="G267" s="113">
        <f ca="1">IFERROR(__xludf.DUMMYFUNCTION("""COMPUTED_VALUE"""),34613)</f>
        <v>34613</v>
      </c>
      <c r="H267" s="113">
        <f ca="1">IFERROR(__xludf.DUMMYFUNCTION("""COMPUTED_VALUE"""),0)</f>
        <v>0</v>
      </c>
      <c r="I267" s="113">
        <f ca="1">IFERROR(__xludf.DUMMYFUNCTION("""COMPUTED_VALUE"""),0)</f>
        <v>0</v>
      </c>
      <c r="J267" s="111">
        <f ca="1">IFERROR(__xludf.DUMMYFUNCTION("""COMPUTED_VALUE"""),34612.74)</f>
        <v>34612.74</v>
      </c>
      <c r="K267" s="113">
        <f ca="1">IFERROR(__xludf.DUMMYFUNCTION("""COMPUTED_VALUE"""),0.259999999994761)</f>
        <v>0.25999999999476098</v>
      </c>
      <c r="L267" s="114">
        <f ca="1">IFERROR(__xludf.DUMMYFUNCTION("""COMPUTED_VALUE"""),0.999992488371421)</f>
        <v>0.99999248837142096</v>
      </c>
      <c r="M267" s="111"/>
      <c r="N267" s="111"/>
      <c r="O267" s="111"/>
      <c r="P267" s="111"/>
      <c r="Q267" s="112"/>
      <c r="R267" s="103"/>
      <c r="S267" s="103"/>
      <c r="T267" s="103"/>
      <c r="U267" s="103"/>
      <c r="V267" s="103"/>
      <c r="W267" s="103"/>
      <c r="X267" s="103"/>
      <c r="Y267" s="103"/>
      <c r="Z267" s="103"/>
      <c r="AA267" s="103"/>
    </row>
    <row r="268" spans="1:27" ht="153" x14ac:dyDescent="0.2">
      <c r="A268" s="110">
        <v>82</v>
      </c>
      <c r="B268" s="111" t="str">
        <f ca="1">IFERROR(__xludf.DUMMYFUNCTION("""COMPUTED_VALUE"""),"МинЖКХ")</f>
        <v>МинЖКХ</v>
      </c>
      <c r="C268" s="111" t="str">
        <f ca="1">IFERROR(__xludf.DUMMYFUNCTION("""COMPUTED_VALUE"""),"г.о. Раменский")</f>
        <v>г.о. Раменский</v>
      </c>
      <c r="D268" s="111" t="str">
        <f ca="1">IFERROR(__xludf.DUMMYFUNCTION("""COMPUTED_VALUE"""),"Капитальный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3"&amp;" 962,00 тыс.руб. средства бюджета Московской области)  ")</f>
        <v xml:space="preserv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3 962,00 тыс.руб. средства бюджета Московской области)  </v>
      </c>
      <c r="E268" s="111">
        <f ca="1">IFERROR(__xludf.DUMMYFUNCTION("""COMPUTED_VALUE"""),2020)</f>
        <v>2020</v>
      </c>
      <c r="F268" s="113">
        <f ca="1">IFERROR(__xludf.DUMMYFUNCTION("""COMPUTED_VALUE"""),3962)</f>
        <v>3962</v>
      </c>
      <c r="G268" s="113">
        <f ca="1">IFERROR(__xludf.DUMMYFUNCTION("""COMPUTED_VALUE"""),3962)</f>
        <v>3962</v>
      </c>
      <c r="H268" s="113">
        <f ca="1">IFERROR(__xludf.DUMMYFUNCTION("""COMPUTED_VALUE"""),0)</f>
        <v>0</v>
      </c>
      <c r="I268" s="113">
        <f ca="1">IFERROR(__xludf.DUMMYFUNCTION("""COMPUTED_VALUE"""),0)</f>
        <v>0</v>
      </c>
      <c r="J268" s="111">
        <f ca="1">IFERROR(__xludf.DUMMYFUNCTION("""COMPUTED_VALUE"""),3962)</f>
        <v>3962</v>
      </c>
      <c r="K268" s="113">
        <f ca="1">IFERROR(__xludf.DUMMYFUNCTION("""COMPUTED_VALUE"""),0)</f>
        <v>0</v>
      </c>
      <c r="L268" s="114">
        <f ca="1">IFERROR(__xludf.DUMMYFUNCTION("""COMPUTED_VALUE"""),1)</f>
        <v>1</v>
      </c>
      <c r="M268" s="111"/>
      <c r="N268" s="111"/>
      <c r="O268" s="111"/>
      <c r="P268" s="111"/>
      <c r="Q268" s="112"/>
      <c r="R268" s="103"/>
      <c r="S268" s="103"/>
      <c r="T268" s="103"/>
      <c r="U268" s="103"/>
      <c r="V268" s="103"/>
      <c r="W268" s="103"/>
      <c r="X268" s="103"/>
      <c r="Y268" s="103"/>
      <c r="Z268" s="103"/>
      <c r="AA268" s="103"/>
    </row>
    <row r="269" spans="1:27" ht="114.75" x14ac:dyDescent="0.2">
      <c r="A269" s="110">
        <v>83</v>
      </c>
      <c r="B269" s="111" t="str">
        <f ca="1">IFERROR(__xludf.DUMMYFUNCTION("""COMPUTED_VALUE"""),"МинЖКХ")</f>
        <v>МинЖКХ</v>
      </c>
      <c r="C269" s="111" t="str">
        <f ca="1">IFERROR(__xludf.DUMMYFUNCTION("""COMPUTED_VALUE"""),"г.о. Орехово-Зуево")</f>
        <v>г.о. Орехово-Зуево</v>
      </c>
      <c r="D269" s="111" t="str">
        <f ca="1">IFERROR(__xludf.DUMMYFUNCTION("""COMPUTED_VALUE"""),"Капитальный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f>
        <v>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v>
      </c>
      <c r="E269" s="111" t="str">
        <f ca="1">IFERROR(__xludf.DUMMYFUNCTION("""COMPUTED_VALUE"""),"2020-2021")</f>
        <v>2020-2021</v>
      </c>
      <c r="F269" s="113">
        <f ca="1">IFERROR(__xludf.DUMMYFUNCTION("""COMPUTED_VALUE"""),123235)</f>
        <v>123235</v>
      </c>
      <c r="G269" s="113">
        <f ca="1">IFERROR(__xludf.DUMMYFUNCTION("""COMPUTED_VALUE"""),0)</f>
        <v>0</v>
      </c>
      <c r="H269" s="113">
        <f ca="1">IFERROR(__xludf.DUMMYFUNCTION("""COMPUTED_VALUE"""),0)</f>
        <v>0</v>
      </c>
      <c r="I269" s="113">
        <f ca="1">IFERROR(__xludf.DUMMYFUNCTION("""COMPUTED_VALUE"""),123235)</f>
        <v>123235</v>
      </c>
      <c r="J269" s="111">
        <f ca="1">IFERROR(__xludf.DUMMYFUNCTION("""COMPUTED_VALUE"""),119537.64)</f>
        <v>119537.64</v>
      </c>
      <c r="K269" s="113">
        <f ca="1">IFERROR(__xludf.DUMMYFUNCTION("""COMPUTED_VALUE"""),3697.36)</f>
        <v>3697.36</v>
      </c>
      <c r="L269" s="114">
        <f ca="1">IFERROR(__xludf.DUMMYFUNCTION("""COMPUTED_VALUE"""),0.969997484480869)</f>
        <v>0.96999748448086898</v>
      </c>
      <c r="M269" s="111"/>
      <c r="N269" s="111"/>
      <c r="O269" s="111"/>
      <c r="P269" s="111"/>
      <c r="Q269" s="112"/>
      <c r="R269" s="103"/>
      <c r="S269" s="103"/>
      <c r="T269" s="103"/>
      <c r="U269" s="103"/>
      <c r="V269" s="103"/>
      <c r="W269" s="103"/>
      <c r="X269" s="103"/>
      <c r="Y269" s="103"/>
      <c r="Z269" s="103"/>
      <c r="AA269" s="103"/>
    </row>
    <row r="270" spans="1:27" ht="63.75" x14ac:dyDescent="0.2">
      <c r="A270" s="111"/>
      <c r="B270" s="111" t="str">
        <f ca="1">IFERROR(__xludf.DUMMYFUNCTION("""COMPUTED_VALUE"""),"МинЖКХ")</f>
        <v>МинЖКХ</v>
      </c>
      <c r="C270" s="111" t="str">
        <f ca="1">IFERROR(__xludf.DUMMYFUNCTION("""COMPUTED_VALUE"""),"г.о. Ликино-Дулево")</f>
        <v>г.о. Ликино-Дулево</v>
      </c>
      <c r="D270" s="111" t="str">
        <f ca="1">IFERROR(__xludf.DUMMYFUNCTION("""COMPUTED_VALUE"""),"Капитальный ремонт самотечного  канализационного коллектора в районе д. Малиновые луга, Орехово-Зувский городской округ (в том числе ПИР)")</f>
        <v>Капитальный ремонт самотечного  канализационного коллектора в районе д. Малиновые луга, Орехово-Зувский городской округ (в том числе ПИР)</v>
      </c>
      <c r="E270" s="111" t="str">
        <f ca="1">IFERROR(__xludf.DUMMYFUNCTION("""COMPUTED_VALUE"""),"2021-2022")</f>
        <v>2021-2022</v>
      </c>
      <c r="F270" s="113">
        <f ca="1">IFERROR(__xludf.DUMMYFUNCTION("""COMPUTED_VALUE"""),0)</f>
        <v>0</v>
      </c>
      <c r="G270" s="113">
        <f ca="1">IFERROR(__xludf.DUMMYFUNCTION("""COMPUTED_VALUE"""),0)</f>
        <v>0</v>
      </c>
      <c r="H270" s="113">
        <f ca="1">IFERROR(__xludf.DUMMYFUNCTION("""COMPUTED_VALUE"""),0)</f>
        <v>0</v>
      </c>
      <c r="I270" s="113">
        <f ca="1">IFERROR(__xludf.DUMMYFUNCTION("""COMPUTED_VALUE"""),0)</f>
        <v>0</v>
      </c>
      <c r="J270" s="111">
        <f ca="1">IFERROR(__xludf.DUMMYFUNCTION("""COMPUTED_VALUE"""),0)</f>
        <v>0</v>
      </c>
      <c r="K270" s="113">
        <f ca="1">IFERROR(__xludf.DUMMYFUNCTION("""COMPUTED_VALUE"""),0)</f>
        <v>0</v>
      </c>
      <c r="L270" s="114" t="str">
        <f ca="1">IFERROR(__xludf.DUMMYFUNCTION("""COMPUTED_VALUE"""),"#DIV/0!")</f>
        <v>#DIV/0!</v>
      </c>
      <c r="M270" s="111"/>
      <c r="N270" s="111"/>
      <c r="O270" s="111"/>
      <c r="P270" s="111"/>
      <c r="Q270" s="112"/>
      <c r="R270" s="103"/>
      <c r="S270" s="103"/>
      <c r="T270" s="103"/>
      <c r="U270" s="103"/>
      <c r="V270" s="103"/>
      <c r="W270" s="103"/>
      <c r="X270" s="103"/>
      <c r="Y270" s="103"/>
      <c r="Z270" s="103"/>
      <c r="AA270" s="103"/>
    </row>
    <row r="271" spans="1:27" ht="51" x14ac:dyDescent="0.2">
      <c r="A271" s="110">
        <v>84</v>
      </c>
      <c r="B271" s="111" t="str">
        <f ca="1">IFERROR(__xludf.DUMMYFUNCTION("""COMPUTED_VALUE"""),"МинЖКХ")</f>
        <v>МинЖКХ</v>
      </c>
      <c r="C271" s="111" t="str">
        <f ca="1">IFERROR(__xludf.DUMMYFUNCTION("""COMPUTED_VALUE"""),"г.о. Солнечногорск")</f>
        <v>г.о. Солнечногорск</v>
      </c>
      <c r="D271" s="111" t="str">
        <f ca="1">IFERROR(__xludf.DUMMYFUNCTION("""COMPUTED_VALUE"""),"Капитальный ремонт канализационного коллектора мкрн. Березки, д.Жуково, г.о. Солнечногорск")</f>
        <v>Капитальный ремонт канализационного коллектора мкрн. Березки, д.Жуково, г.о. Солнечногорск</v>
      </c>
      <c r="E271" s="111">
        <f ca="1">IFERROR(__xludf.DUMMYFUNCTION("""COMPUTED_VALUE"""),2020)</f>
        <v>2020</v>
      </c>
      <c r="F271" s="113">
        <f ca="1">IFERROR(__xludf.DUMMYFUNCTION("""COMPUTED_VALUE"""),0)</f>
        <v>0</v>
      </c>
      <c r="G271" s="113">
        <f ca="1">IFERROR(__xludf.DUMMYFUNCTION("""COMPUTED_VALUE"""),0)</f>
        <v>0</v>
      </c>
      <c r="H271" s="113">
        <f ca="1">IFERROR(__xludf.DUMMYFUNCTION("""COMPUTED_VALUE"""),0)</f>
        <v>0</v>
      </c>
      <c r="I271" s="113">
        <f ca="1">IFERROR(__xludf.DUMMYFUNCTION("""COMPUTED_VALUE"""),0)</f>
        <v>0</v>
      </c>
      <c r="J271" s="111">
        <f ca="1">IFERROR(__xludf.DUMMYFUNCTION("""COMPUTED_VALUE"""),0)</f>
        <v>0</v>
      </c>
      <c r="K271" s="113">
        <f ca="1">IFERROR(__xludf.DUMMYFUNCTION("""COMPUTED_VALUE"""),0)</f>
        <v>0</v>
      </c>
      <c r="L271" s="114" t="str">
        <f ca="1">IFERROR(__xludf.DUMMYFUNCTION("""COMPUTED_VALUE"""),"#DIV/0!")</f>
        <v>#DIV/0!</v>
      </c>
      <c r="M271" s="111" t="str">
        <f ca="1">IFERROR(__xludf.DUMMYFUNCTION("""COMPUTED_VALUE"""),"Блокировка МЭФ перенос средств на 2022")</f>
        <v>Блокировка МЭФ перенос средств на 2022</v>
      </c>
      <c r="N271" s="111"/>
      <c r="O271" s="111"/>
      <c r="P271" s="111"/>
      <c r="Q271" s="112"/>
      <c r="R271" s="103"/>
      <c r="S271" s="103"/>
      <c r="T271" s="103"/>
      <c r="U271" s="103"/>
      <c r="V271" s="103"/>
      <c r="W271" s="103"/>
      <c r="X271" s="103"/>
      <c r="Y271" s="103"/>
      <c r="Z271" s="103"/>
      <c r="AA271" s="103"/>
    </row>
    <row r="272" spans="1:27" ht="102" x14ac:dyDescent="0.2">
      <c r="A272" s="110">
        <v>85</v>
      </c>
      <c r="B272" s="111" t="str">
        <f ca="1">IFERROR(__xludf.DUMMYFUNCTION("""COMPUTED_VALUE"""),"МинЖКХ")</f>
        <v>МинЖКХ</v>
      </c>
      <c r="C272" s="111" t="str">
        <f ca="1">IFERROR(__xludf.DUMMYFUNCTION("""COMPUTED_VALUE"""),"КСМО")</f>
        <v>КСМО</v>
      </c>
      <c r="D272" s="111" t="str">
        <f ca="1">IFERROR(__xludf.DUMMYFUNCTION("""COMPUTED_VALUE"""),"Реконструкция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f>
        <v xml:space="preserv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v>
      </c>
      <c r="E272" s="111" t="str">
        <f ca="1">IFERROR(__xludf.DUMMYFUNCTION("""COMPUTED_VALUE"""),"2020-2024")</f>
        <v>2020-2024</v>
      </c>
      <c r="F272" s="113">
        <f ca="1">IFERROR(__xludf.DUMMYFUNCTION("""COMPUTED_VALUE"""),480)</f>
        <v>480</v>
      </c>
      <c r="G272" s="113">
        <f ca="1">IFERROR(__xludf.DUMMYFUNCTION("""COMPUTED_VALUE"""),480)</f>
        <v>480</v>
      </c>
      <c r="H272" s="113">
        <f ca="1">IFERROR(__xludf.DUMMYFUNCTION("""COMPUTED_VALUE"""),0)</f>
        <v>0</v>
      </c>
      <c r="I272" s="113">
        <f ca="1">IFERROR(__xludf.DUMMYFUNCTION("""COMPUTED_VALUE"""),0)</f>
        <v>0</v>
      </c>
      <c r="J272" s="111">
        <f ca="1">IFERROR(__xludf.DUMMYFUNCTION("""COMPUTED_VALUE"""),480)</f>
        <v>480</v>
      </c>
      <c r="K272" s="113">
        <f ca="1">IFERROR(__xludf.DUMMYFUNCTION("""COMPUTED_VALUE"""),0)</f>
        <v>0</v>
      </c>
      <c r="L272" s="114">
        <f ca="1">IFERROR(__xludf.DUMMYFUNCTION("""COMPUTED_VALUE"""),1)</f>
        <v>1</v>
      </c>
      <c r="M272" s="111"/>
      <c r="N272" s="111"/>
      <c r="O272" s="111"/>
      <c r="P272" s="111"/>
      <c r="Q272" s="112"/>
      <c r="R272" s="103"/>
      <c r="S272" s="103"/>
      <c r="T272" s="103"/>
      <c r="U272" s="103"/>
      <c r="V272" s="103"/>
      <c r="W272" s="103"/>
      <c r="X272" s="103"/>
      <c r="Y272" s="103"/>
      <c r="Z272" s="103"/>
      <c r="AA272" s="103"/>
    </row>
    <row r="273" spans="1:27" ht="38.25" x14ac:dyDescent="0.2">
      <c r="A273" s="111"/>
      <c r="B273" s="111" t="str">
        <f ca="1">IFERROR(__xludf.DUMMYFUNCTION("""COMPUTED_VALUE"""),"МинЖКХ")</f>
        <v>МинЖКХ</v>
      </c>
      <c r="C273" s="111" t="str">
        <f ca="1">IFERROR(__xludf.DUMMYFUNCTION("""COMPUTED_VALUE"""),"г.о. Балашиха")</f>
        <v>г.о. Балашиха</v>
      </c>
      <c r="D273" s="111" t="str">
        <f ca="1">IFERROR(__xludf.DUMMYFUNCTION("""COMPUTED_VALUE"""),"Строительство газовой котельной 20 Мвт в мкр. Ольгино г. Балашиха (в том числе ПИР) ")</f>
        <v xml:space="preserve">Строительство газовой котельной 20 Мвт в мкр. Ольгино г. Балашиха (в том числе ПИР) </v>
      </c>
      <c r="E273" s="111" t="str">
        <f ca="1">IFERROR(__xludf.DUMMYFUNCTION("""COMPUTED_VALUE"""),"2021-2022")</f>
        <v>2021-2022</v>
      </c>
      <c r="F273" s="113">
        <f ca="1">IFERROR(__xludf.DUMMYFUNCTION("""COMPUTED_VALUE"""),0)</f>
        <v>0</v>
      </c>
      <c r="G273" s="113">
        <f ca="1">IFERROR(__xludf.DUMMYFUNCTION("""COMPUTED_VALUE"""),0)</f>
        <v>0</v>
      </c>
      <c r="H273" s="113">
        <f ca="1">IFERROR(__xludf.DUMMYFUNCTION("""COMPUTED_VALUE"""),0)</f>
        <v>0</v>
      </c>
      <c r="I273" s="113">
        <f ca="1">IFERROR(__xludf.DUMMYFUNCTION("""COMPUTED_VALUE"""),0)</f>
        <v>0</v>
      </c>
      <c r="J273" s="111">
        <f ca="1">IFERROR(__xludf.DUMMYFUNCTION("""COMPUTED_VALUE"""),0)</f>
        <v>0</v>
      </c>
      <c r="K273" s="113">
        <f ca="1">IFERROR(__xludf.DUMMYFUNCTION("""COMPUTED_VALUE"""),0)</f>
        <v>0</v>
      </c>
      <c r="L273" s="114" t="str">
        <f ca="1">IFERROR(__xludf.DUMMYFUNCTION("""COMPUTED_VALUE"""),"#DIV/0!")</f>
        <v>#DIV/0!</v>
      </c>
      <c r="M273" s="111"/>
      <c r="N273" s="111"/>
      <c r="O273" s="111"/>
      <c r="P273" s="111"/>
      <c r="Q273" s="112"/>
      <c r="R273" s="103"/>
      <c r="S273" s="103"/>
      <c r="T273" s="103"/>
      <c r="U273" s="103"/>
      <c r="V273" s="103"/>
      <c r="W273" s="103"/>
      <c r="X273" s="103"/>
      <c r="Y273" s="103"/>
      <c r="Z273" s="103"/>
      <c r="AA273" s="103"/>
    </row>
    <row r="274" spans="1:27" ht="51" x14ac:dyDescent="0.2">
      <c r="A274" s="111"/>
      <c r="B274" s="111" t="str">
        <f ca="1">IFERROR(__xludf.DUMMYFUNCTION("""COMPUTED_VALUE"""),"МинЖКХ")</f>
        <v>МинЖКХ</v>
      </c>
      <c r="C274" s="111" t="str">
        <f ca="1">IFERROR(__xludf.DUMMYFUNCTION("""COMPUTED_VALUE"""),"г.о. Дзержинский")</f>
        <v>г.о. Дзержинский</v>
      </c>
      <c r="D274" s="111" t="str">
        <f ca="1">IFERROR(__xludf.DUMMYFUNCTION("""COMPUTED_VALUE"""),"Строительство сетей водоснабжения по адресу: Московская обл., г. Дзержинский (ПИР)")</f>
        <v>Строительство сетей водоснабжения по адресу: Московская обл., г. Дзержинский (ПИР)</v>
      </c>
      <c r="E274" s="111">
        <f ca="1">IFERROR(__xludf.DUMMYFUNCTION("""COMPUTED_VALUE"""),2021)</f>
        <v>2021</v>
      </c>
      <c r="F274" s="113">
        <f ca="1">IFERROR(__xludf.DUMMYFUNCTION("""COMPUTED_VALUE"""),0)</f>
        <v>0</v>
      </c>
      <c r="G274" s="113">
        <f ca="1">IFERROR(__xludf.DUMMYFUNCTION("""COMPUTED_VALUE"""),0)</f>
        <v>0</v>
      </c>
      <c r="H274" s="113">
        <f ca="1">IFERROR(__xludf.DUMMYFUNCTION("""COMPUTED_VALUE"""),0)</f>
        <v>0</v>
      </c>
      <c r="I274" s="113">
        <f ca="1">IFERROR(__xludf.DUMMYFUNCTION("""COMPUTED_VALUE"""),0)</f>
        <v>0</v>
      </c>
      <c r="J274" s="111">
        <f ca="1">IFERROR(__xludf.DUMMYFUNCTION("""COMPUTED_VALUE"""),0)</f>
        <v>0</v>
      </c>
      <c r="K274" s="113">
        <f ca="1">IFERROR(__xludf.DUMMYFUNCTION("""COMPUTED_VALUE"""),0)</f>
        <v>0</v>
      </c>
      <c r="L274" s="114" t="str">
        <f ca="1">IFERROR(__xludf.DUMMYFUNCTION("""COMPUTED_VALUE"""),"#DIV/0!")</f>
        <v>#DIV/0!</v>
      </c>
      <c r="M274" s="111"/>
      <c r="N274" s="111"/>
      <c r="O274" s="111"/>
      <c r="P274" s="111"/>
      <c r="Q274" s="112"/>
      <c r="R274" s="103"/>
      <c r="S274" s="103"/>
      <c r="T274" s="103"/>
      <c r="U274" s="103"/>
      <c r="V274" s="103"/>
      <c r="W274" s="103"/>
      <c r="X274" s="103"/>
      <c r="Y274" s="103"/>
      <c r="Z274" s="103"/>
      <c r="AA274" s="103"/>
    </row>
    <row r="275" spans="1:27" ht="38.25" x14ac:dyDescent="0.2">
      <c r="A275" s="111"/>
      <c r="B275" s="111" t="str">
        <f ca="1">IFERROR(__xludf.DUMMYFUNCTION("""COMPUTED_VALUE"""),"МинЖКХ")</f>
        <v>МинЖКХ</v>
      </c>
      <c r="C275" s="111" t="str">
        <f ca="1">IFERROR(__xludf.DUMMYFUNCTION("""COMPUTED_VALUE"""),"г.о. Серпухов")</f>
        <v>г.о. Серпухов</v>
      </c>
      <c r="D275" s="111" t="str">
        <f ca="1">IFERROR(__xludf.DUMMYFUNCTION("""COMPUTED_VALUE"""),"Строительство сетей водоснабжения, в д. Глазово, Серпуховский м.р. (в т.ч. ПИР)")</f>
        <v>Строительство сетей водоснабжения, в д. Глазово, Серпуховский м.р. (в т.ч. ПИР)</v>
      </c>
      <c r="E275" s="111">
        <f ca="1">IFERROR(__xludf.DUMMYFUNCTION("""COMPUTED_VALUE"""),2023)</f>
        <v>2023</v>
      </c>
      <c r="F275" s="113">
        <f ca="1">IFERROR(__xludf.DUMMYFUNCTION("""COMPUTED_VALUE"""),0)</f>
        <v>0</v>
      </c>
      <c r="G275" s="113">
        <f ca="1">IFERROR(__xludf.DUMMYFUNCTION("""COMPUTED_VALUE"""),0)</f>
        <v>0</v>
      </c>
      <c r="H275" s="113">
        <f ca="1">IFERROR(__xludf.DUMMYFUNCTION("""COMPUTED_VALUE"""),0)</f>
        <v>0</v>
      </c>
      <c r="I275" s="113">
        <f ca="1">IFERROR(__xludf.DUMMYFUNCTION("""COMPUTED_VALUE"""),0)</f>
        <v>0</v>
      </c>
      <c r="J275" s="111">
        <f ca="1">IFERROR(__xludf.DUMMYFUNCTION("""COMPUTED_VALUE"""),0)</f>
        <v>0</v>
      </c>
      <c r="K275" s="113">
        <f ca="1">IFERROR(__xludf.DUMMYFUNCTION("""COMPUTED_VALUE"""),0)</f>
        <v>0</v>
      </c>
      <c r="L275" s="114" t="str">
        <f ca="1">IFERROR(__xludf.DUMMYFUNCTION("""COMPUTED_VALUE"""),"#DIV/0!")</f>
        <v>#DIV/0!</v>
      </c>
      <c r="M275" s="111"/>
      <c r="N275" s="111"/>
      <c r="O275" s="111"/>
      <c r="P275" s="111"/>
      <c r="Q275" s="112"/>
      <c r="R275" s="103"/>
      <c r="S275" s="103"/>
      <c r="T275" s="103"/>
      <c r="U275" s="103"/>
      <c r="V275" s="103"/>
      <c r="W275" s="103"/>
      <c r="X275" s="103"/>
      <c r="Y275" s="103"/>
      <c r="Z275" s="103"/>
      <c r="AA275" s="103"/>
    </row>
    <row r="276" spans="1:27" ht="51" x14ac:dyDescent="0.2">
      <c r="A276" s="111"/>
      <c r="B276" s="111" t="str">
        <f ca="1">IFERROR(__xludf.DUMMYFUNCTION("""COMPUTED_VALUE"""),"МинЖКХ")</f>
        <v>МинЖКХ</v>
      </c>
      <c r="C276" s="111" t="str">
        <f ca="1">IFERROR(__xludf.DUMMYFUNCTION("""COMPUTED_VALUE"""),"г.о. Серпухов")</f>
        <v>г.о. Серпухов</v>
      </c>
      <c r="D276" s="111" t="str">
        <f ca="1">IFERROR(__xludf.DUMMYFUNCTION("""COMPUTED_VALUE"""),"Строительство  сетей водоснабжения в д. Селино, д. Вечери, Серпуховский м.р. (в т.ч. ПИР)")</f>
        <v>Строительство  сетей водоснабжения в д. Селино, д. Вечери, Серпуховский м.р. (в т.ч. ПИР)</v>
      </c>
      <c r="E276" s="111">
        <f ca="1">IFERROR(__xludf.DUMMYFUNCTION("""COMPUTED_VALUE"""),2023)</f>
        <v>2023</v>
      </c>
      <c r="F276" s="113">
        <f ca="1">IFERROR(__xludf.DUMMYFUNCTION("""COMPUTED_VALUE"""),0)</f>
        <v>0</v>
      </c>
      <c r="G276" s="113">
        <f ca="1">IFERROR(__xludf.DUMMYFUNCTION("""COMPUTED_VALUE"""),0)</f>
        <v>0</v>
      </c>
      <c r="H276" s="113">
        <f ca="1">IFERROR(__xludf.DUMMYFUNCTION("""COMPUTED_VALUE"""),0)</f>
        <v>0</v>
      </c>
      <c r="I276" s="113">
        <f ca="1">IFERROR(__xludf.DUMMYFUNCTION("""COMPUTED_VALUE"""),0)</f>
        <v>0</v>
      </c>
      <c r="J276" s="111">
        <f ca="1">IFERROR(__xludf.DUMMYFUNCTION("""COMPUTED_VALUE"""),0)</f>
        <v>0</v>
      </c>
      <c r="K276" s="113">
        <f ca="1">IFERROR(__xludf.DUMMYFUNCTION("""COMPUTED_VALUE"""),0)</f>
        <v>0</v>
      </c>
      <c r="L276" s="114" t="str">
        <f ca="1">IFERROR(__xludf.DUMMYFUNCTION("""COMPUTED_VALUE"""),"#DIV/0!")</f>
        <v>#DIV/0!</v>
      </c>
      <c r="M276" s="111"/>
      <c r="N276" s="111"/>
      <c r="O276" s="111"/>
      <c r="P276" s="111"/>
      <c r="Q276" s="112"/>
      <c r="R276" s="103"/>
      <c r="S276" s="103"/>
      <c r="T276" s="103"/>
      <c r="U276" s="103"/>
      <c r="V276" s="103"/>
      <c r="W276" s="103"/>
      <c r="X276" s="103"/>
      <c r="Y276" s="103"/>
      <c r="Z276" s="103"/>
      <c r="AA276" s="103"/>
    </row>
    <row r="277" spans="1:27" ht="38.25" x14ac:dyDescent="0.2">
      <c r="A277" s="111"/>
      <c r="B277" s="111" t="str">
        <f ca="1">IFERROR(__xludf.DUMMYFUNCTION("""COMPUTED_VALUE"""),"МинЖКХ")</f>
        <v>МинЖКХ</v>
      </c>
      <c r="C277" s="111" t="str">
        <f ca="1">IFERROR(__xludf.DUMMYFUNCTION("""COMPUTED_VALUE"""),"г.о. Серпухов")</f>
        <v>г.о. Серпухов</v>
      </c>
      <c r="D277" s="111" t="str">
        <f ca="1">IFERROR(__xludf.DUMMYFUNCTION("""COMPUTED_VALUE"""),"Строительство сетей водоснабжения в д. Б. Грызлово, Серпуховский м.р. (в т.ч. ПИР)")</f>
        <v>Строительство сетей водоснабжения в д. Б. Грызлово, Серпуховский м.р. (в т.ч. ПИР)</v>
      </c>
      <c r="E277" s="111">
        <f ca="1">IFERROR(__xludf.DUMMYFUNCTION("""COMPUTED_VALUE"""),2023)</f>
        <v>2023</v>
      </c>
      <c r="F277" s="113">
        <f ca="1">IFERROR(__xludf.DUMMYFUNCTION("""COMPUTED_VALUE"""),0)</f>
        <v>0</v>
      </c>
      <c r="G277" s="113">
        <f ca="1">IFERROR(__xludf.DUMMYFUNCTION("""COMPUTED_VALUE"""),0)</f>
        <v>0</v>
      </c>
      <c r="H277" s="113">
        <f ca="1">IFERROR(__xludf.DUMMYFUNCTION("""COMPUTED_VALUE"""),0)</f>
        <v>0</v>
      </c>
      <c r="I277" s="113">
        <f ca="1">IFERROR(__xludf.DUMMYFUNCTION("""COMPUTED_VALUE"""),0)</f>
        <v>0</v>
      </c>
      <c r="J277" s="111">
        <f ca="1">IFERROR(__xludf.DUMMYFUNCTION("""COMPUTED_VALUE"""),0)</f>
        <v>0</v>
      </c>
      <c r="K277" s="113">
        <f ca="1">IFERROR(__xludf.DUMMYFUNCTION("""COMPUTED_VALUE"""),0)</f>
        <v>0</v>
      </c>
      <c r="L277" s="114" t="str">
        <f ca="1">IFERROR(__xludf.DUMMYFUNCTION("""COMPUTED_VALUE"""),"#DIV/0!")</f>
        <v>#DIV/0!</v>
      </c>
      <c r="M277" s="111"/>
      <c r="N277" s="111"/>
      <c r="O277" s="111"/>
      <c r="P277" s="111"/>
      <c r="Q277" s="112"/>
      <c r="R277" s="103"/>
      <c r="S277" s="103"/>
      <c r="T277" s="103"/>
      <c r="U277" s="103"/>
      <c r="V277" s="103"/>
      <c r="W277" s="103"/>
      <c r="X277" s="103"/>
      <c r="Y277" s="103"/>
      <c r="Z277" s="103"/>
      <c r="AA277" s="103"/>
    </row>
    <row r="278" spans="1:27" ht="38.25" x14ac:dyDescent="0.2">
      <c r="A278" s="111"/>
      <c r="B278" s="111" t="str">
        <f ca="1">IFERROR(__xludf.DUMMYFUNCTION("""COMPUTED_VALUE"""),"МинЖКХ")</f>
        <v>МинЖКХ</v>
      </c>
      <c r="C278" s="111" t="str">
        <f ca="1">IFERROR(__xludf.DUMMYFUNCTION("""COMPUTED_VALUE"""),"г.о. Серпухов")</f>
        <v>г.о. Серпухов</v>
      </c>
      <c r="D278" s="111" t="str">
        <f ca="1">IFERROR(__xludf.DUMMYFUNCTION("""COMPUTED_VALUE"""),"Строительство сетей водоснабжения в д. Калугино, Серпуховский м.р. (в т.ч. ПИР)")</f>
        <v>Строительство сетей водоснабжения в д. Калугино, Серпуховский м.р. (в т.ч. ПИР)</v>
      </c>
      <c r="E278" s="111">
        <f ca="1">IFERROR(__xludf.DUMMYFUNCTION("""COMPUTED_VALUE"""),2023)</f>
        <v>2023</v>
      </c>
      <c r="F278" s="113">
        <f ca="1">IFERROR(__xludf.DUMMYFUNCTION("""COMPUTED_VALUE"""),0)</f>
        <v>0</v>
      </c>
      <c r="G278" s="113">
        <f ca="1">IFERROR(__xludf.DUMMYFUNCTION("""COMPUTED_VALUE"""),0)</f>
        <v>0</v>
      </c>
      <c r="H278" s="113">
        <f ca="1">IFERROR(__xludf.DUMMYFUNCTION("""COMPUTED_VALUE"""),0)</f>
        <v>0</v>
      </c>
      <c r="I278" s="113">
        <f ca="1">IFERROR(__xludf.DUMMYFUNCTION("""COMPUTED_VALUE"""),0)</f>
        <v>0</v>
      </c>
      <c r="J278" s="111">
        <f ca="1">IFERROR(__xludf.DUMMYFUNCTION("""COMPUTED_VALUE"""),0)</f>
        <v>0</v>
      </c>
      <c r="K278" s="113">
        <f ca="1">IFERROR(__xludf.DUMMYFUNCTION("""COMPUTED_VALUE"""),0)</f>
        <v>0</v>
      </c>
      <c r="L278" s="114" t="str">
        <f ca="1">IFERROR(__xludf.DUMMYFUNCTION("""COMPUTED_VALUE"""),"#DIV/0!")</f>
        <v>#DIV/0!</v>
      </c>
      <c r="M278" s="111"/>
      <c r="N278" s="111"/>
      <c r="O278" s="111"/>
      <c r="P278" s="111"/>
      <c r="Q278" s="112"/>
      <c r="R278" s="103"/>
      <c r="S278" s="103"/>
      <c r="T278" s="103"/>
      <c r="U278" s="103"/>
      <c r="V278" s="103"/>
      <c r="W278" s="103"/>
      <c r="X278" s="103"/>
      <c r="Y278" s="103"/>
      <c r="Z278" s="103"/>
      <c r="AA278" s="103"/>
    </row>
    <row r="279" spans="1:27" ht="38.25" x14ac:dyDescent="0.2">
      <c r="A279" s="111"/>
      <c r="B279" s="111" t="str">
        <f ca="1">IFERROR(__xludf.DUMMYFUNCTION("""COMPUTED_VALUE"""),"МинЖКХ")</f>
        <v>МинЖКХ</v>
      </c>
      <c r="C279" s="111" t="str">
        <f ca="1">IFERROR(__xludf.DUMMYFUNCTION("""COMPUTED_VALUE"""),"г.о. Богородский")</f>
        <v>г.о. Богородский</v>
      </c>
      <c r="D279" s="111" t="str">
        <f ca="1">IFERROR(__xludf.DUMMYFUNCTION("""COMPUTED_VALUE"""),"Строительство БМК мощностью 1,2 МВт , д. Щемилово, г.о. Богородский")</f>
        <v>Строительство БМК мощностью 1,2 МВт , д. Щемилово, г.о. Богородский</v>
      </c>
      <c r="E279" s="111">
        <f ca="1">IFERROR(__xludf.DUMMYFUNCTION("""COMPUTED_VALUE"""),2022)</f>
        <v>2022</v>
      </c>
      <c r="F279" s="113">
        <f ca="1">IFERROR(__xludf.DUMMYFUNCTION("""COMPUTED_VALUE"""),0)</f>
        <v>0</v>
      </c>
      <c r="G279" s="113">
        <f ca="1">IFERROR(__xludf.DUMMYFUNCTION("""COMPUTED_VALUE"""),0)</f>
        <v>0</v>
      </c>
      <c r="H279" s="113">
        <f ca="1">IFERROR(__xludf.DUMMYFUNCTION("""COMPUTED_VALUE"""),0)</f>
        <v>0</v>
      </c>
      <c r="I279" s="113">
        <f ca="1">IFERROR(__xludf.DUMMYFUNCTION("""COMPUTED_VALUE"""),0)</f>
        <v>0</v>
      </c>
      <c r="J279" s="111">
        <f ca="1">IFERROR(__xludf.DUMMYFUNCTION("""COMPUTED_VALUE"""),0)</f>
        <v>0</v>
      </c>
      <c r="K279" s="113">
        <f ca="1">IFERROR(__xludf.DUMMYFUNCTION("""COMPUTED_VALUE"""),0)</f>
        <v>0</v>
      </c>
      <c r="L279" s="114" t="str">
        <f ca="1">IFERROR(__xludf.DUMMYFUNCTION("""COMPUTED_VALUE"""),"#DIV/0!")</f>
        <v>#DIV/0!</v>
      </c>
      <c r="M279" s="111"/>
      <c r="N279" s="111"/>
      <c r="O279" s="111"/>
      <c r="P279" s="111"/>
      <c r="Q279" s="112"/>
      <c r="R279" s="103"/>
      <c r="S279" s="103"/>
      <c r="T279" s="103"/>
      <c r="U279" s="103"/>
      <c r="V279" s="103"/>
      <c r="W279" s="103"/>
      <c r="X279" s="103"/>
      <c r="Y279" s="103"/>
      <c r="Z279" s="103"/>
      <c r="AA279" s="103"/>
    </row>
    <row r="280" spans="1:27" ht="38.25" x14ac:dyDescent="0.2">
      <c r="A280" s="111"/>
      <c r="B280" s="111" t="str">
        <f ca="1">IFERROR(__xludf.DUMMYFUNCTION("""COMPUTED_VALUE"""),"МинЖКХ")</f>
        <v>МинЖКХ</v>
      </c>
      <c r="C280" s="111" t="str">
        <f ca="1">IFERROR(__xludf.DUMMYFUNCTION("""COMPUTED_VALUE"""),"г.о. Богородский")</f>
        <v>г.о. Богородский</v>
      </c>
      <c r="D280" s="111" t="str">
        <f ca="1">IFERROR(__xludf.DUMMYFUNCTION("""COMPUTED_VALUE"""),"Строительство БМК мощностью 1 МВт , д. Щемилово, г.о. Богородский")</f>
        <v>Строительство БМК мощностью 1 МВт , д. Щемилово, г.о. Богородский</v>
      </c>
      <c r="E280" s="111">
        <f ca="1">IFERROR(__xludf.DUMMYFUNCTION("""COMPUTED_VALUE"""),2022)</f>
        <v>2022</v>
      </c>
      <c r="F280" s="113">
        <f ca="1">IFERROR(__xludf.DUMMYFUNCTION("""COMPUTED_VALUE"""),0)</f>
        <v>0</v>
      </c>
      <c r="G280" s="113">
        <f ca="1">IFERROR(__xludf.DUMMYFUNCTION("""COMPUTED_VALUE"""),0)</f>
        <v>0</v>
      </c>
      <c r="H280" s="113">
        <f ca="1">IFERROR(__xludf.DUMMYFUNCTION("""COMPUTED_VALUE"""),0)</f>
        <v>0</v>
      </c>
      <c r="I280" s="113">
        <f ca="1">IFERROR(__xludf.DUMMYFUNCTION("""COMPUTED_VALUE"""),0)</f>
        <v>0</v>
      </c>
      <c r="J280" s="111">
        <f ca="1">IFERROR(__xludf.DUMMYFUNCTION("""COMPUTED_VALUE"""),0)</f>
        <v>0</v>
      </c>
      <c r="K280" s="113">
        <f ca="1">IFERROR(__xludf.DUMMYFUNCTION("""COMPUTED_VALUE"""),0)</f>
        <v>0</v>
      </c>
      <c r="L280" s="114" t="str">
        <f ca="1">IFERROR(__xludf.DUMMYFUNCTION("""COMPUTED_VALUE"""),"#DIV/0!")</f>
        <v>#DIV/0!</v>
      </c>
      <c r="M280" s="111"/>
      <c r="N280" s="111"/>
      <c r="O280" s="111"/>
      <c r="P280" s="111"/>
      <c r="Q280" s="112"/>
      <c r="R280" s="103"/>
      <c r="S280" s="103"/>
      <c r="T280" s="103"/>
      <c r="U280" s="103"/>
      <c r="V280" s="103"/>
      <c r="W280" s="103"/>
      <c r="X280" s="103"/>
      <c r="Y280" s="103"/>
      <c r="Z280" s="103"/>
      <c r="AA280" s="103"/>
    </row>
    <row r="281" spans="1:27" ht="114.75" x14ac:dyDescent="0.2">
      <c r="A281" s="110">
        <v>86</v>
      </c>
      <c r="B281" s="111" t="str">
        <f ca="1">IFERROR(__xludf.DUMMYFUNCTION("""COMPUTED_VALUE"""),"МинЖКХ")</f>
        <v>МинЖКХ</v>
      </c>
      <c r="C281" s="111" t="str">
        <f ca="1">IFERROR(__xludf.DUMMYFUNCTION("""COMPUTED_VALUE"""),"г.о. Балашиха")</f>
        <v>г.о. Балашиха</v>
      </c>
      <c r="D281" s="111" t="str">
        <f ca="1">IFERROR(__xludf.DUMMYFUNCTION("""COMPUTED_VALUE"""),"Капитальный ремонт сетей водоснабжения мкр. Железнодорожный, г.о. Балашиха (1 и 2 этапы) ")</f>
        <v xml:space="preserve">Капитальный ремонт сетей водоснабжения мкр. Железнодорожный, г.о. Балашиха (1 и 2 этапы) </v>
      </c>
      <c r="E281" s="111" t="str">
        <f ca="1">IFERROR(__xludf.DUMMYFUNCTION("""COMPUTED_VALUE"""),"2020-2021")</f>
        <v>2020-2021</v>
      </c>
      <c r="F281" s="113">
        <f ca="1">IFERROR(__xludf.DUMMYFUNCTION("""COMPUTED_VALUE"""),117296)</f>
        <v>117296</v>
      </c>
      <c r="G281" s="113">
        <f ca="1">IFERROR(__xludf.DUMMYFUNCTION("""COMPUTED_VALUE"""),0)</f>
        <v>0</v>
      </c>
      <c r="H281" s="113">
        <f ca="1">IFERROR(__xludf.DUMMYFUNCTION("""COMPUTED_VALUE"""),0)</f>
        <v>0</v>
      </c>
      <c r="I281" s="113">
        <f ca="1">IFERROR(__xludf.DUMMYFUNCTION("""COMPUTED_VALUE"""),117296)</f>
        <v>117296</v>
      </c>
      <c r="J281" s="111">
        <f ca="1">IFERROR(__xludf.DUMMYFUNCTION("""COMPUTED_VALUE"""),57248.62)</f>
        <v>57248.62</v>
      </c>
      <c r="K281" s="113">
        <f ca="1">IFERROR(__xludf.DUMMYFUNCTION("""COMPUTED_VALUE"""),60047.38)</f>
        <v>60047.38</v>
      </c>
      <c r="L281" s="114">
        <f ca="1">IFERROR(__xludf.DUMMYFUNCTION("""COMPUTED_VALUE"""),0.488069669894966)</f>
        <v>0.48806966989496597</v>
      </c>
      <c r="M281" s="111" t="str">
        <f ca="1">IFERROR(__xludf.DUMMYFUNCTION("""COMPUTED_VALUE"""),"Заключение МОГЭ не получено. ДК в соответствии с запросом № 12Исх/З-1458 не представлена.
В связи с отсутсвием положительного заключения государственной экспертизы реализации второго этапа, присутствует риск не освоения лимитов 2020 года.")</f>
        <v>Заключение МОГЭ не получено. ДК в соответствии с запросом № 12Исх/З-1458 не представлена.
В связи с отсутсвием положительного заключения государственной экспертизы реализации второго этапа, присутствует риск не освоения лимитов 2020 года.</v>
      </c>
      <c r="N281" s="111"/>
      <c r="O281" s="111"/>
      <c r="P281" s="111"/>
      <c r="Q281" s="112"/>
      <c r="R281" s="103"/>
      <c r="S281" s="103"/>
      <c r="T281" s="103"/>
      <c r="U281" s="103"/>
      <c r="V281" s="103"/>
      <c r="W281" s="103"/>
      <c r="X281" s="103"/>
      <c r="Y281" s="103"/>
      <c r="Z281" s="103"/>
      <c r="AA281" s="103"/>
    </row>
    <row r="282" spans="1:27" ht="51" x14ac:dyDescent="0.2">
      <c r="A282" s="111"/>
      <c r="B282" s="111" t="str">
        <f ca="1">IFERROR(__xludf.DUMMYFUNCTION("""COMPUTED_VALUE"""),"МинЖКХ")</f>
        <v>МинЖКХ</v>
      </c>
      <c r="C282" s="111" t="str">
        <f ca="1">IFERROR(__xludf.DUMMYFUNCTION("""COMPUTED_VALUE"""),"г.о. Долгопрудный")</f>
        <v>г.о. Долгопрудный</v>
      </c>
      <c r="D282" s="111" t="str">
        <f ca="1">IFERROR(__xludf.DUMMYFUNCTION("""COMPUTED_VALUE"""),"Реконструкция котельной, расположенной по адресу: г. Долгопрудный, ул. Спортивная, д. 3а  (в т.ч. ПИР) ")</f>
        <v xml:space="preserve">Реконструкция котельной, расположенной по адресу: г. Долгопрудный, ул. Спортивная, д. 3а  (в т.ч. ПИР) </v>
      </c>
      <c r="E282" s="111" t="str">
        <f ca="1">IFERROR(__xludf.DUMMYFUNCTION("""COMPUTED_VALUE"""),"2021-2022")</f>
        <v>2021-2022</v>
      </c>
      <c r="F282" s="113">
        <f ca="1">IFERROR(__xludf.DUMMYFUNCTION("""COMPUTED_VALUE"""),0)</f>
        <v>0</v>
      </c>
      <c r="G282" s="113">
        <f ca="1">IFERROR(__xludf.DUMMYFUNCTION("""COMPUTED_VALUE"""),0)</f>
        <v>0</v>
      </c>
      <c r="H282" s="113">
        <f ca="1">IFERROR(__xludf.DUMMYFUNCTION("""COMPUTED_VALUE"""),0)</f>
        <v>0</v>
      </c>
      <c r="I282" s="113">
        <f ca="1">IFERROR(__xludf.DUMMYFUNCTION("""COMPUTED_VALUE"""),0)</f>
        <v>0</v>
      </c>
      <c r="J282" s="111">
        <f ca="1">IFERROR(__xludf.DUMMYFUNCTION("""COMPUTED_VALUE"""),0)</f>
        <v>0</v>
      </c>
      <c r="K282" s="113">
        <f ca="1">IFERROR(__xludf.DUMMYFUNCTION("""COMPUTED_VALUE"""),0)</f>
        <v>0</v>
      </c>
      <c r="L282" s="114" t="str">
        <f ca="1">IFERROR(__xludf.DUMMYFUNCTION("""COMPUTED_VALUE"""),"#DIV/0!")</f>
        <v>#DIV/0!</v>
      </c>
      <c r="M282" s="111"/>
      <c r="N282" s="111"/>
      <c r="O282" s="111"/>
      <c r="P282" s="111"/>
      <c r="Q282" s="112"/>
      <c r="R282" s="103"/>
      <c r="S282" s="103"/>
      <c r="T282" s="103"/>
      <c r="U282" s="103"/>
      <c r="V282" s="103"/>
      <c r="W282" s="103"/>
      <c r="X282" s="103"/>
      <c r="Y282" s="103"/>
      <c r="Z282" s="103"/>
      <c r="AA282" s="103"/>
    </row>
    <row r="283" spans="1:27" ht="51" x14ac:dyDescent="0.2">
      <c r="A283" s="110">
        <v>87</v>
      </c>
      <c r="B283" s="111" t="str">
        <f ca="1">IFERROR(__xludf.DUMMYFUNCTION("""COMPUTED_VALUE"""),"МинЖКХ")</f>
        <v>МинЖКХ</v>
      </c>
      <c r="C283" s="111" t="str">
        <f ca="1">IFERROR(__xludf.DUMMYFUNCTION("""COMPUTED_VALUE"""),"г.о. Волоколамский")</f>
        <v>г.о. Волоколамский</v>
      </c>
      <c r="D283" s="111" t="str">
        <f ca="1">IFERROR(__xludf.DUMMYFUNCTION("""COMPUTED_VALUE"""),"Строительство котельной по адресу: д. Судниково сельского поселения Спасское (в том числе ПИР) ")</f>
        <v xml:space="preserve">Строительство котельной по адресу: д. Судниково сельского поселения Спасское (в том числе ПИР) </v>
      </c>
      <c r="E283" s="111" t="str">
        <f ca="1">IFERROR(__xludf.DUMMYFUNCTION("""COMPUTED_VALUE"""),"2020-2021")</f>
        <v>2020-2021</v>
      </c>
      <c r="F283" s="113">
        <f ca="1">IFERROR(__xludf.DUMMYFUNCTION("""COMPUTED_VALUE"""),0)</f>
        <v>0</v>
      </c>
      <c r="G283" s="113">
        <f ca="1">IFERROR(__xludf.DUMMYFUNCTION("""COMPUTED_VALUE"""),0)</f>
        <v>0</v>
      </c>
      <c r="H283" s="113">
        <f ca="1">IFERROR(__xludf.DUMMYFUNCTION("""COMPUTED_VALUE"""),0)</f>
        <v>0</v>
      </c>
      <c r="I283" s="113">
        <f ca="1">IFERROR(__xludf.DUMMYFUNCTION("""COMPUTED_VALUE"""),0)</f>
        <v>0</v>
      </c>
      <c r="J283" s="111">
        <f ca="1">IFERROR(__xludf.DUMMYFUNCTION("""COMPUTED_VALUE"""),0)</f>
        <v>0</v>
      </c>
      <c r="K283" s="113">
        <f ca="1">IFERROR(__xludf.DUMMYFUNCTION("""COMPUTED_VALUE"""),0)</f>
        <v>0</v>
      </c>
      <c r="L283" s="114" t="str">
        <f ca="1">IFERROR(__xludf.DUMMYFUNCTION("""COMPUTED_VALUE"""),"#DIV/0!")</f>
        <v>#DIV/0!</v>
      </c>
      <c r="M283" s="111"/>
      <c r="N283" s="111"/>
      <c r="O283" s="111"/>
      <c r="P283" s="111"/>
      <c r="Q283" s="112"/>
      <c r="R283" s="103"/>
      <c r="S283" s="103"/>
      <c r="T283" s="103"/>
      <c r="U283" s="103"/>
      <c r="V283" s="103"/>
      <c r="W283" s="103"/>
      <c r="X283" s="103"/>
      <c r="Y283" s="103"/>
      <c r="Z283" s="103"/>
      <c r="AA283" s="103"/>
    </row>
    <row r="284" spans="1:27" ht="51" x14ac:dyDescent="0.2">
      <c r="A284" s="110">
        <v>88</v>
      </c>
      <c r="B284" s="111" t="str">
        <f ca="1">IFERROR(__xludf.DUMMYFUNCTION("""COMPUTED_VALUE"""),"МинЖКХ")</f>
        <v>МинЖКХ</v>
      </c>
      <c r="C284" s="111" t="str">
        <f ca="1">IFERROR(__xludf.DUMMYFUNCTION("""COMPUTED_VALUE"""),"г.о. Волоколамский")</f>
        <v>г.о. Волоколамский</v>
      </c>
      <c r="D284" s="111" t="str">
        <f ca="1">IFERROR(__xludf.DUMMYFUNCTION("""COMPUTED_VALUE"""),"Строительство сетей теплоснабжения от котельной до потребителей в д. Судниково (ПИР)")</f>
        <v>Строительство сетей теплоснабжения от котельной до потребителей в д. Судниково (ПИР)</v>
      </c>
      <c r="E284" s="111">
        <f ca="1">IFERROR(__xludf.DUMMYFUNCTION("""COMPUTED_VALUE"""),2020)</f>
        <v>2020</v>
      </c>
      <c r="F284" s="113">
        <f ca="1">IFERROR(__xludf.DUMMYFUNCTION("""COMPUTED_VALUE"""),0)</f>
        <v>0</v>
      </c>
      <c r="G284" s="113">
        <f ca="1">IFERROR(__xludf.DUMMYFUNCTION("""COMPUTED_VALUE"""),0)</f>
        <v>0</v>
      </c>
      <c r="H284" s="113">
        <f ca="1">IFERROR(__xludf.DUMMYFUNCTION("""COMPUTED_VALUE"""),0)</f>
        <v>0</v>
      </c>
      <c r="I284" s="113">
        <f ca="1">IFERROR(__xludf.DUMMYFUNCTION("""COMPUTED_VALUE"""),0)</f>
        <v>0</v>
      </c>
      <c r="J284" s="111">
        <f ca="1">IFERROR(__xludf.DUMMYFUNCTION("""COMPUTED_VALUE"""),0)</f>
        <v>0</v>
      </c>
      <c r="K284" s="113">
        <f ca="1">IFERROR(__xludf.DUMMYFUNCTION("""COMPUTED_VALUE"""),0)</f>
        <v>0</v>
      </c>
      <c r="L284" s="114" t="str">
        <f ca="1">IFERROR(__xludf.DUMMYFUNCTION("""COMPUTED_VALUE"""),"#DIV/0!")</f>
        <v>#DIV/0!</v>
      </c>
      <c r="M284" s="111"/>
      <c r="N284" s="111"/>
      <c r="O284" s="111"/>
      <c r="P284" s="111"/>
      <c r="Q284" s="112"/>
      <c r="R284" s="103"/>
      <c r="S284" s="103"/>
      <c r="T284" s="103"/>
      <c r="U284" s="103"/>
      <c r="V284" s="103"/>
      <c r="W284" s="103"/>
      <c r="X284" s="103"/>
      <c r="Y284" s="103"/>
      <c r="Z284" s="103"/>
      <c r="AA284" s="103"/>
    </row>
    <row r="285" spans="1:27" ht="76.5" x14ac:dyDescent="0.2">
      <c r="A285" s="111"/>
      <c r="B285" s="111" t="str">
        <f ca="1">IFERROR(__xludf.DUMMYFUNCTION("""COMPUTED_VALUE"""),"МинЖКХ")</f>
        <v>МинЖКХ</v>
      </c>
      <c r="C285" s="111" t="str">
        <f ca="1">IFERROR(__xludf.DUMMYFUNCTION("""COMPUTED_VALUE"""),"г.о. Талдомский")</f>
        <v>г.о. Талдомский</v>
      </c>
      <c r="D285" s="111" t="str">
        <f ca="1">IFERROR(__xludf.DUMMYFUNCTION("""COMPUTED_VALUE"""),"Строительство автоматизированной блочно-модульной котельной производительностью 11,0 МВт по адресу: Талдомский район, р.п. Северный, ул. Садовая,  д. 12 ")</f>
        <v xml:space="preserve">Строительство автоматизированной блочно-модульной котельной производительностью 11,0 МВт по адресу: Талдомский район, р.п. Северный, ул. Садовая,  д. 12 </v>
      </c>
      <c r="E285" s="111">
        <f ca="1">IFERROR(__xludf.DUMMYFUNCTION("""COMPUTED_VALUE"""),2022)</f>
        <v>2022</v>
      </c>
      <c r="F285" s="113">
        <f ca="1">IFERROR(__xludf.DUMMYFUNCTION("""COMPUTED_VALUE"""),0)</f>
        <v>0</v>
      </c>
      <c r="G285" s="113">
        <f ca="1">IFERROR(__xludf.DUMMYFUNCTION("""COMPUTED_VALUE"""),0)</f>
        <v>0</v>
      </c>
      <c r="H285" s="113">
        <f ca="1">IFERROR(__xludf.DUMMYFUNCTION("""COMPUTED_VALUE"""),0)</f>
        <v>0</v>
      </c>
      <c r="I285" s="113">
        <f ca="1">IFERROR(__xludf.DUMMYFUNCTION("""COMPUTED_VALUE"""),0)</f>
        <v>0</v>
      </c>
      <c r="J285" s="111">
        <f ca="1">IFERROR(__xludf.DUMMYFUNCTION("""COMPUTED_VALUE"""),0)</f>
        <v>0</v>
      </c>
      <c r="K285" s="113">
        <f ca="1">IFERROR(__xludf.DUMMYFUNCTION("""COMPUTED_VALUE"""),0)</f>
        <v>0</v>
      </c>
      <c r="L285" s="114" t="str">
        <f ca="1">IFERROR(__xludf.DUMMYFUNCTION("""COMPUTED_VALUE"""),"#DIV/0!")</f>
        <v>#DIV/0!</v>
      </c>
      <c r="M285" s="111"/>
      <c r="N285" s="111"/>
      <c r="O285" s="111"/>
      <c r="P285" s="111"/>
      <c r="Q285" s="112"/>
      <c r="R285" s="103"/>
      <c r="S285" s="103"/>
      <c r="T285" s="103"/>
      <c r="U285" s="103"/>
      <c r="V285" s="103"/>
      <c r="W285" s="103"/>
      <c r="X285" s="103"/>
      <c r="Y285" s="103"/>
      <c r="Z285" s="103"/>
      <c r="AA285" s="103"/>
    </row>
    <row r="286" spans="1:27" ht="51" x14ac:dyDescent="0.2">
      <c r="A286" s="110">
        <v>89</v>
      </c>
      <c r="B286" s="111" t="str">
        <f ca="1">IFERROR(__xludf.DUMMYFUNCTION("""COMPUTED_VALUE"""),"МинЖКХ")</f>
        <v>МинЖКХ</v>
      </c>
      <c r="C286" s="111" t="str">
        <f ca="1">IFERROR(__xludf.DUMMYFUNCTION("""COMPUTED_VALUE"""),"г.о. Егорьевск")</f>
        <v>г.о. Егорьевск</v>
      </c>
      <c r="D286" s="111" t="str">
        <f ca="1">IFERROR(__xludf.DUMMYFUNCTION("""COMPUTED_VALUE"""),"Строительство сетей водоснабжения от д. Поповская к д. Круги, д. Соломаево и д. Поцелуево г.о. Егорьевск (ПИР)")</f>
        <v>Строительство сетей водоснабжения от д. Поповская к д. Круги, д. Соломаево и д. Поцелуево г.о. Егорьевск (ПИР)</v>
      </c>
      <c r="E286" s="111">
        <f ca="1">IFERROR(__xludf.DUMMYFUNCTION("""COMPUTED_VALUE"""),2020)</f>
        <v>2020</v>
      </c>
      <c r="F286" s="113">
        <f ca="1">IFERROR(__xludf.DUMMYFUNCTION("""COMPUTED_VALUE"""),4702.4)</f>
        <v>4702.3999999999996</v>
      </c>
      <c r="G286" s="113">
        <f ca="1">IFERROR(__xludf.DUMMYFUNCTION("""COMPUTED_VALUE"""),4702.4)</f>
        <v>4702.3999999999996</v>
      </c>
      <c r="H286" s="113">
        <f ca="1">IFERROR(__xludf.DUMMYFUNCTION("""COMPUTED_VALUE"""),0)</f>
        <v>0</v>
      </c>
      <c r="I286" s="113">
        <f ca="1">IFERROR(__xludf.DUMMYFUNCTION("""COMPUTED_VALUE"""),0)</f>
        <v>0</v>
      </c>
      <c r="J286" s="111">
        <f ca="1">IFERROR(__xludf.DUMMYFUNCTION("""COMPUTED_VALUE"""),0)</f>
        <v>0</v>
      </c>
      <c r="K286" s="113">
        <f ca="1">IFERROR(__xludf.DUMMYFUNCTION("""COMPUTED_VALUE"""),4702.4)</f>
        <v>4702.3999999999996</v>
      </c>
      <c r="L286" s="114">
        <f ca="1">IFERROR(__xludf.DUMMYFUNCTION("""COMPUTED_VALUE"""),0)</f>
        <v>0</v>
      </c>
      <c r="M286" s="111" t="str">
        <f ca="1">IFERROR(__xludf.DUMMYFUNCTION("""COMPUTED_VALUE"""),"Нарушен срок получения положительного заключения государственной экспертизы.")</f>
        <v>Нарушен срок получения положительного заключения государственной экспертизы.</v>
      </c>
      <c r="N286" s="111"/>
      <c r="O286" s="111"/>
      <c r="P286" s="111"/>
      <c r="Q286" s="115">
        <v>44154</v>
      </c>
      <c r="R286" s="103"/>
      <c r="S286" s="103"/>
      <c r="T286" s="103"/>
      <c r="U286" s="103"/>
      <c r="V286" s="103"/>
      <c r="W286" s="103"/>
      <c r="X286" s="103"/>
      <c r="Y286" s="103"/>
      <c r="Z286" s="103"/>
      <c r="AA286" s="103"/>
    </row>
    <row r="287" spans="1:27" ht="38.25" x14ac:dyDescent="0.2">
      <c r="A287" s="110">
        <v>90</v>
      </c>
      <c r="B287" s="111" t="str">
        <f ca="1">IFERROR(__xludf.DUMMYFUNCTION("""COMPUTED_VALUE"""),"МинЖКХ")</f>
        <v>МинЖКХ</v>
      </c>
      <c r="C287" s="111" t="str">
        <f ca="1">IFERROR(__xludf.DUMMYFUNCTION("""COMPUTED_VALUE"""),"г.о. Зарайск")</f>
        <v>г.о. Зарайск</v>
      </c>
      <c r="D287" s="111" t="str">
        <f ca="1">IFERROR(__xludf.DUMMYFUNCTION("""COMPUTED_VALUE"""),"Приобретение , монтаж и ввод в эксплуатацию  котельной в д. Козловка г.о. Зарайск")</f>
        <v>Приобретение , монтаж и ввод в эксплуатацию  котельной в д. Козловка г.о. Зарайск</v>
      </c>
      <c r="E287" s="111">
        <f ca="1">IFERROR(__xludf.DUMMYFUNCTION("""COMPUTED_VALUE"""),2020)</f>
        <v>2020</v>
      </c>
      <c r="F287" s="113">
        <f ca="1">IFERROR(__xludf.DUMMYFUNCTION("""COMPUTED_VALUE"""),1598)</f>
        <v>1598</v>
      </c>
      <c r="G287" s="113">
        <f ca="1">IFERROR(__xludf.DUMMYFUNCTION("""COMPUTED_VALUE"""),0)</f>
        <v>0</v>
      </c>
      <c r="H287" s="113">
        <f ca="1">IFERROR(__xludf.DUMMYFUNCTION("""COMPUTED_VALUE"""),0)</f>
        <v>0</v>
      </c>
      <c r="I287" s="113">
        <f ca="1">IFERROR(__xludf.DUMMYFUNCTION("""COMPUTED_VALUE"""),1598)</f>
        <v>1598</v>
      </c>
      <c r="J287" s="111">
        <f ca="1">IFERROR(__xludf.DUMMYFUNCTION("""COMPUTED_VALUE"""),1582.02)</f>
        <v>1582.02</v>
      </c>
      <c r="K287" s="113">
        <f ca="1">IFERROR(__xludf.DUMMYFUNCTION("""COMPUTED_VALUE"""),15.98)</f>
        <v>15.98</v>
      </c>
      <c r="L287" s="114">
        <f ca="1">IFERROR(__xludf.DUMMYFUNCTION("""COMPUTED_VALUE"""),0.99)</f>
        <v>0.99</v>
      </c>
      <c r="M287" s="111"/>
      <c r="N287" s="111"/>
      <c r="O287" s="111"/>
      <c r="P287" s="111"/>
      <c r="Q287" s="112"/>
      <c r="R287" s="103"/>
      <c r="S287" s="103"/>
      <c r="T287" s="103"/>
      <c r="U287" s="103"/>
      <c r="V287" s="103"/>
      <c r="W287" s="103"/>
      <c r="X287" s="103"/>
      <c r="Y287" s="103"/>
      <c r="Z287" s="103"/>
      <c r="AA287" s="103"/>
    </row>
    <row r="288" spans="1:27" ht="38.25" x14ac:dyDescent="0.2">
      <c r="A288" s="110">
        <v>91</v>
      </c>
      <c r="B288" s="111" t="str">
        <f ca="1">IFERROR(__xludf.DUMMYFUNCTION("""COMPUTED_VALUE"""),"МинЖКХ")</f>
        <v>МинЖКХ</v>
      </c>
      <c r="C288" s="111" t="str">
        <f ca="1">IFERROR(__xludf.DUMMYFUNCTION("""COMPUTED_VALUE"""),"г.о. Зарайск")</f>
        <v>г.о. Зарайск</v>
      </c>
      <c r="D288" s="111" t="str">
        <f ca="1">IFERROR(__xludf.DUMMYFUNCTION("""COMPUTED_VALUE"""),"Приобретение , монтаж и ввод в эксплуатацию котельной д. Новоселки г.о. Зарайск")</f>
        <v>Приобретение , монтаж и ввод в эксплуатацию котельной д. Новоселки г.о. Зарайск</v>
      </c>
      <c r="E288" s="111">
        <f ca="1">IFERROR(__xludf.DUMMYFUNCTION("""COMPUTED_VALUE"""),2020)</f>
        <v>2020</v>
      </c>
      <c r="F288" s="113">
        <f ca="1">IFERROR(__xludf.DUMMYFUNCTION("""COMPUTED_VALUE"""),1598)</f>
        <v>1598</v>
      </c>
      <c r="G288" s="113">
        <f ca="1">IFERROR(__xludf.DUMMYFUNCTION("""COMPUTED_VALUE"""),0)</f>
        <v>0</v>
      </c>
      <c r="H288" s="113">
        <f ca="1">IFERROR(__xludf.DUMMYFUNCTION("""COMPUTED_VALUE"""),0)</f>
        <v>0</v>
      </c>
      <c r="I288" s="113">
        <f ca="1">IFERROR(__xludf.DUMMYFUNCTION("""COMPUTED_VALUE"""),1598)</f>
        <v>1598</v>
      </c>
      <c r="J288" s="111">
        <f ca="1">IFERROR(__xludf.DUMMYFUNCTION("""COMPUTED_VALUE"""),1582.02)</f>
        <v>1582.02</v>
      </c>
      <c r="K288" s="113">
        <f ca="1">IFERROR(__xludf.DUMMYFUNCTION("""COMPUTED_VALUE"""),15.98)</f>
        <v>15.98</v>
      </c>
      <c r="L288" s="114">
        <f ca="1">IFERROR(__xludf.DUMMYFUNCTION("""COMPUTED_VALUE"""),0.99)</f>
        <v>0.99</v>
      </c>
      <c r="M288" s="111"/>
      <c r="N288" s="111"/>
      <c r="O288" s="111"/>
      <c r="P288" s="111"/>
      <c r="Q288" s="112"/>
      <c r="R288" s="103"/>
      <c r="S288" s="103"/>
      <c r="T288" s="103"/>
      <c r="U288" s="103"/>
      <c r="V288" s="103"/>
      <c r="W288" s="103"/>
      <c r="X288" s="103"/>
      <c r="Y288" s="103"/>
      <c r="Z288" s="103"/>
      <c r="AA288" s="103"/>
    </row>
    <row r="289" spans="1:27" ht="51" x14ac:dyDescent="0.2">
      <c r="A289" s="110">
        <v>92</v>
      </c>
      <c r="B289" s="111" t="str">
        <f ca="1">IFERROR(__xludf.DUMMYFUNCTION("""COMPUTED_VALUE"""),"МинЖКХ ""ТОП 5 (1 этап)""")</f>
        <v>МинЖКХ "ТОП 5 (1 этап)"</v>
      </c>
      <c r="C289" s="111" t="str">
        <f ca="1">IFERROR(__xludf.DUMMYFUNCTION("""COMPUTED_VALUE"""),"г.о. Зарайск")</f>
        <v>г.о. Зарайск</v>
      </c>
      <c r="D289" s="111" t="str">
        <f ca="1">IFERROR(__xludf.DUMMYFUNCTION("""COMPUTED_VALUE"""),"Строительство блочно-модульной котельной ""ГПТУ"" со снижением мощности в г. Зарайск, г.о. Зарайск (в т.ч. ПИР) ")</f>
        <v xml:space="preserve">Строительство блочно-модульной котельной "ГПТУ" со снижением мощности в г. Зарайск, г.о. Зарайск (в т.ч. ПИР) </v>
      </c>
      <c r="E289" s="111">
        <f ca="1">IFERROR(__xludf.DUMMYFUNCTION("""COMPUTED_VALUE"""),2020)</f>
        <v>2020</v>
      </c>
      <c r="F289" s="113">
        <f ca="1">IFERROR(__xludf.DUMMYFUNCTION("""COMPUTED_VALUE"""),29244.82)</f>
        <v>29244.82</v>
      </c>
      <c r="G289" s="113">
        <f ca="1">IFERROR(__xludf.DUMMYFUNCTION("""COMPUTED_VALUE"""),0)</f>
        <v>0</v>
      </c>
      <c r="H289" s="113">
        <f ca="1">IFERROR(__xludf.DUMMYFUNCTION("""COMPUTED_VALUE"""),0)</f>
        <v>0</v>
      </c>
      <c r="I289" s="113">
        <f ca="1">IFERROR(__xludf.DUMMYFUNCTION("""COMPUTED_VALUE"""),29244.82)</f>
        <v>29244.82</v>
      </c>
      <c r="J289" s="111">
        <f ca="1">IFERROR(__xludf.DUMMYFUNCTION("""COMPUTED_VALUE"""),28034.31)</f>
        <v>28034.31</v>
      </c>
      <c r="K289" s="113">
        <f ca="1">IFERROR(__xludf.DUMMYFUNCTION("""COMPUTED_VALUE"""),1210.50999999999)</f>
        <v>1210.50999999999</v>
      </c>
      <c r="L289" s="114">
        <f ca="1">IFERROR(__xludf.DUMMYFUNCTION("""COMPUTED_VALUE"""),0.958607712408556)</f>
        <v>0.95860771240855602</v>
      </c>
      <c r="M289" s="111"/>
      <c r="N289" s="111"/>
      <c r="O289" s="111"/>
      <c r="P289" s="111"/>
      <c r="Q289" s="112"/>
      <c r="R289" s="103"/>
      <c r="S289" s="103"/>
      <c r="T289" s="103"/>
      <c r="U289" s="103"/>
      <c r="V289" s="103"/>
      <c r="W289" s="103"/>
      <c r="X289" s="103"/>
      <c r="Y289" s="103"/>
      <c r="Z289" s="103"/>
      <c r="AA289" s="103"/>
    </row>
    <row r="290" spans="1:27" ht="51" x14ac:dyDescent="0.2">
      <c r="A290" s="110">
        <v>93</v>
      </c>
      <c r="B290" s="111" t="str">
        <f ca="1">IFERROR(__xludf.DUMMYFUNCTION("""COMPUTED_VALUE"""),"МинЖКХ ""ТОП 5 (1 этап)""")</f>
        <v>МинЖКХ "ТОП 5 (1 этап)"</v>
      </c>
      <c r="C290" s="111" t="str">
        <f ca="1">IFERROR(__xludf.DUMMYFUNCTION("""COMPUTED_VALUE"""),"г.о. Зарайск")</f>
        <v>г.о. Зарайск</v>
      </c>
      <c r="D290" s="111" t="str">
        <f ca="1">IFERROR(__xludf.DUMMYFUNCTION("""COMPUTED_VALUE"""),"Строительство блочно-модульной котельной ""Струпна"" со снижением мощности в с. Чулки-Соколово, г.о. Зарайск (в т.ч. ПИР) ")</f>
        <v xml:space="preserve">Строительство блочно-модульной котельной "Струпна" со снижением мощности в с. Чулки-Соколово, г.о. Зарайск (в т.ч. ПИР) </v>
      </c>
      <c r="E290" s="111" t="str">
        <f ca="1">IFERROR(__xludf.DUMMYFUNCTION("""COMPUTED_VALUE"""),"2020-2021")</f>
        <v>2020-2021</v>
      </c>
      <c r="F290" s="113">
        <f ca="1">IFERROR(__xludf.DUMMYFUNCTION("""COMPUTED_VALUE"""),1759.4)</f>
        <v>1759.4</v>
      </c>
      <c r="G290" s="113">
        <f ca="1">IFERROR(__xludf.DUMMYFUNCTION("""COMPUTED_VALUE"""),0)</f>
        <v>0</v>
      </c>
      <c r="H290" s="113">
        <f ca="1">IFERROR(__xludf.DUMMYFUNCTION("""COMPUTED_VALUE"""),0)</f>
        <v>0</v>
      </c>
      <c r="I290" s="113">
        <f ca="1">IFERROR(__xludf.DUMMYFUNCTION("""COMPUTED_VALUE"""),1759.4)</f>
        <v>1759.4</v>
      </c>
      <c r="J290" s="111">
        <f ca="1">IFERROR(__xludf.DUMMYFUNCTION("""COMPUTED_VALUE"""),0)</f>
        <v>0</v>
      </c>
      <c r="K290" s="113">
        <f ca="1">IFERROR(__xludf.DUMMYFUNCTION("""COMPUTED_VALUE"""),1759.4)</f>
        <v>1759.4</v>
      </c>
      <c r="L290" s="114">
        <f ca="1">IFERROR(__xludf.DUMMYFUNCTION("""COMPUTED_VALUE"""),0)</f>
        <v>0</v>
      </c>
      <c r="M290" s="111"/>
      <c r="N290" s="111"/>
      <c r="O290" s="111"/>
      <c r="P290" s="111"/>
      <c r="Q290" s="112"/>
      <c r="R290" s="103"/>
      <c r="S290" s="103"/>
      <c r="T290" s="103"/>
      <c r="U290" s="103"/>
      <c r="V290" s="103"/>
      <c r="W290" s="103"/>
      <c r="X290" s="103"/>
      <c r="Y290" s="103"/>
      <c r="Z290" s="103"/>
      <c r="AA290" s="103"/>
    </row>
    <row r="291" spans="1:27" ht="51" x14ac:dyDescent="0.2">
      <c r="A291" s="110">
        <v>94</v>
      </c>
      <c r="B291" s="111" t="str">
        <f ca="1">IFERROR(__xludf.DUMMYFUNCTION("""COMPUTED_VALUE"""),"МинЖКХ ""ТОП 5 (1 этап)""")</f>
        <v>МинЖКХ "ТОП 5 (1 этап)"</v>
      </c>
      <c r="C291" s="111" t="str">
        <f ca="1">IFERROR(__xludf.DUMMYFUNCTION("""COMPUTED_VALUE"""),"г.о. Зарайск")</f>
        <v>г.о. Зарайск</v>
      </c>
      <c r="D291" s="111" t="str">
        <f ca="1">IFERROR(__xludf.DUMMYFUNCTION("""COMPUTED_VALUE"""),"Строительство блочно-модульной котельной со снижением мощности в г. Зарайск, пос. ПМК-6  г.о. Зарайск (в т.ч. ПИР)")</f>
        <v>Строительство блочно-модульной котельной со снижением мощности в г. Зарайск, пос. ПМК-6  г.о. Зарайск (в т.ч. ПИР)</v>
      </c>
      <c r="E291" s="111" t="str">
        <f ca="1">IFERROR(__xludf.DUMMYFUNCTION("""COMPUTED_VALUE"""),"2020-2021")</f>
        <v>2020-2021</v>
      </c>
      <c r="F291" s="113">
        <f ca="1">IFERROR(__xludf.DUMMYFUNCTION("""COMPUTED_VALUE"""),1759.4)</f>
        <v>1759.4</v>
      </c>
      <c r="G291" s="113">
        <f ca="1">IFERROR(__xludf.DUMMYFUNCTION("""COMPUTED_VALUE"""),0)</f>
        <v>0</v>
      </c>
      <c r="H291" s="113">
        <f ca="1">IFERROR(__xludf.DUMMYFUNCTION("""COMPUTED_VALUE"""),0)</f>
        <v>0</v>
      </c>
      <c r="I291" s="113">
        <f ca="1">IFERROR(__xludf.DUMMYFUNCTION("""COMPUTED_VALUE"""),1759.4)</f>
        <v>1759.4</v>
      </c>
      <c r="J291" s="111">
        <f ca="1">IFERROR(__xludf.DUMMYFUNCTION("""COMPUTED_VALUE"""),0)</f>
        <v>0</v>
      </c>
      <c r="K291" s="113">
        <f ca="1">IFERROR(__xludf.DUMMYFUNCTION("""COMPUTED_VALUE"""),1759.4)</f>
        <v>1759.4</v>
      </c>
      <c r="L291" s="114">
        <f ca="1">IFERROR(__xludf.DUMMYFUNCTION("""COMPUTED_VALUE"""),0)</f>
        <v>0</v>
      </c>
      <c r="M291" s="111"/>
      <c r="N291" s="111"/>
      <c r="O291" s="111"/>
      <c r="P291" s="111"/>
      <c r="Q291" s="112"/>
      <c r="R291" s="103"/>
      <c r="S291" s="103"/>
      <c r="T291" s="103"/>
      <c r="U291" s="103"/>
      <c r="V291" s="103"/>
      <c r="W291" s="103"/>
      <c r="X291" s="103"/>
      <c r="Y291" s="103"/>
      <c r="Z291" s="103"/>
      <c r="AA291" s="103"/>
    </row>
    <row r="292" spans="1:27" ht="127.5" x14ac:dyDescent="0.2">
      <c r="A292" s="111"/>
      <c r="B292" s="111" t="str">
        <f ca="1">IFERROR(__xludf.DUMMYFUNCTION("""COMPUTED_VALUE"""),"МинЖКХ")</f>
        <v>МинЖКХ</v>
      </c>
      <c r="C292" s="111" t="str">
        <f ca="1">IFERROR(__xludf.DUMMYFUNCTION("""COMPUTED_VALUE"""),"г.о. Раменский")</f>
        <v>г.о. Раменский</v>
      </c>
      <c r="D292" s="111" t="str">
        <f ca="1">IFERROR(__xludf.DUMMYFUNCTION("""COMPUTED_VALUE"""),"Строительство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"&amp;"и электроснабжения) ")</f>
        <v xml:space="preserv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и электроснабжения) </v>
      </c>
      <c r="E292" s="111" t="str">
        <f ca="1">IFERROR(__xludf.DUMMYFUNCTION("""COMPUTED_VALUE"""),"2021-2022")</f>
        <v>2021-2022</v>
      </c>
      <c r="F292" s="113">
        <f ca="1">IFERROR(__xludf.DUMMYFUNCTION("""COMPUTED_VALUE"""),0)</f>
        <v>0</v>
      </c>
      <c r="G292" s="113">
        <f ca="1">IFERROR(__xludf.DUMMYFUNCTION("""COMPUTED_VALUE"""),0)</f>
        <v>0</v>
      </c>
      <c r="H292" s="113">
        <f ca="1">IFERROR(__xludf.DUMMYFUNCTION("""COMPUTED_VALUE"""),0)</f>
        <v>0</v>
      </c>
      <c r="I292" s="113">
        <f ca="1">IFERROR(__xludf.DUMMYFUNCTION("""COMPUTED_VALUE"""),0)</f>
        <v>0</v>
      </c>
      <c r="J292" s="111">
        <f ca="1">IFERROR(__xludf.DUMMYFUNCTION("""COMPUTED_VALUE"""),0)</f>
        <v>0</v>
      </c>
      <c r="K292" s="113">
        <f ca="1">IFERROR(__xludf.DUMMYFUNCTION("""COMPUTED_VALUE"""),0)</f>
        <v>0</v>
      </c>
      <c r="L292" s="114" t="str">
        <f ca="1">IFERROR(__xludf.DUMMYFUNCTION("""COMPUTED_VALUE"""),"#DIV/0!")</f>
        <v>#DIV/0!</v>
      </c>
      <c r="M292" s="111"/>
      <c r="N292" s="111"/>
      <c r="O292" s="111"/>
      <c r="P292" s="111"/>
      <c r="Q292" s="112"/>
      <c r="R292" s="103"/>
      <c r="S292" s="103"/>
      <c r="T292" s="103"/>
      <c r="U292" s="103"/>
      <c r="V292" s="103"/>
      <c r="W292" s="103"/>
      <c r="X292" s="103"/>
      <c r="Y292" s="103"/>
      <c r="Z292" s="103"/>
      <c r="AA292" s="103"/>
    </row>
    <row r="293" spans="1:27" ht="51" x14ac:dyDescent="0.2">
      <c r="A293" s="110">
        <v>95</v>
      </c>
      <c r="B293" s="111" t="str">
        <f ca="1">IFERROR(__xludf.DUMMYFUNCTION("""COMPUTED_VALUE"""),"МинЖКХ ""ТОП 5 (1 этап)""")</f>
        <v>МинЖКХ "ТОП 5 (1 этап)"</v>
      </c>
      <c r="C293" s="111" t="str">
        <f ca="1">IFERROR(__xludf.DUMMYFUNCTION("""COMPUTED_VALUE"""),"г.о. Зарайск")</f>
        <v>г.о. Зарайск</v>
      </c>
      <c r="D293" s="111" t="str">
        <f ca="1">IFERROR(__xludf.DUMMYFUNCTION("""COMPUTED_VALUE"""),"Строительство блочно-модульной котельной со снижением мощности в д. Авдеево, г.о. Зарайск (в т.ч. ПИР) ")</f>
        <v xml:space="preserve">Строительство блочно-модульной котельной со снижением мощности в д. Авдеево, г.о. Зарайск (в т.ч. ПИР) </v>
      </c>
      <c r="E293" s="111" t="str">
        <f ca="1">IFERROR(__xludf.DUMMYFUNCTION("""COMPUTED_VALUE"""),"2020-2021")</f>
        <v>2020-2021</v>
      </c>
      <c r="F293" s="113">
        <f ca="1">IFERROR(__xludf.DUMMYFUNCTION("""COMPUTED_VALUE"""),1759.4)</f>
        <v>1759.4</v>
      </c>
      <c r="G293" s="113">
        <f ca="1">IFERROR(__xludf.DUMMYFUNCTION("""COMPUTED_VALUE"""),0)</f>
        <v>0</v>
      </c>
      <c r="H293" s="113">
        <f ca="1">IFERROR(__xludf.DUMMYFUNCTION("""COMPUTED_VALUE"""),0)</f>
        <v>0</v>
      </c>
      <c r="I293" s="113">
        <f ca="1">IFERROR(__xludf.DUMMYFUNCTION("""COMPUTED_VALUE"""),1759.4)</f>
        <v>1759.4</v>
      </c>
      <c r="J293" s="111">
        <f ca="1">IFERROR(__xludf.DUMMYFUNCTION("""COMPUTED_VALUE"""),0)</f>
        <v>0</v>
      </c>
      <c r="K293" s="113">
        <f ca="1">IFERROR(__xludf.DUMMYFUNCTION("""COMPUTED_VALUE"""),1759.4)</f>
        <v>1759.4</v>
      </c>
      <c r="L293" s="114">
        <f ca="1">IFERROR(__xludf.DUMMYFUNCTION("""COMPUTED_VALUE"""),0)</f>
        <v>0</v>
      </c>
      <c r="M293" s="111"/>
      <c r="N293" s="111"/>
      <c r="O293" s="111"/>
      <c r="P293" s="111"/>
      <c r="Q293" s="112"/>
      <c r="R293" s="103"/>
      <c r="S293" s="103"/>
      <c r="T293" s="103"/>
      <c r="U293" s="103"/>
      <c r="V293" s="103"/>
      <c r="W293" s="103"/>
      <c r="X293" s="103"/>
      <c r="Y293" s="103"/>
      <c r="Z293" s="103"/>
      <c r="AA293" s="103"/>
    </row>
    <row r="294" spans="1:27" ht="89.25" x14ac:dyDescent="0.2">
      <c r="A294" s="111"/>
      <c r="B294" s="111" t="str">
        <f ca="1">IFERROR(__xludf.DUMMYFUNCTION("""COMPUTED_VALUE"""),"МинЖКХ")</f>
        <v>МинЖКХ</v>
      </c>
      <c r="C294" s="111" t="str">
        <f ca="1">IFERROR(__xludf.DUMMYFUNCTION("""COMPUTED_VALUE"""),"г.о. Красногорск")</f>
        <v>г.о. Красногорск</v>
      </c>
      <c r="D294" s="111" t="str">
        <f ca="1">IFERROR(__xludf.DUMMYFUNCTION("""COMPUTED_VALUE"""),"Строительство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f>
        <v>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v>
      </c>
      <c r="E294" s="111" t="str">
        <f ca="1">IFERROR(__xludf.DUMMYFUNCTION("""COMPUTED_VALUE"""),"2022-2023")</f>
        <v>2022-2023</v>
      </c>
      <c r="F294" s="113">
        <f ca="1">IFERROR(__xludf.DUMMYFUNCTION("""COMPUTED_VALUE"""),0)</f>
        <v>0</v>
      </c>
      <c r="G294" s="113">
        <f ca="1">IFERROR(__xludf.DUMMYFUNCTION("""COMPUTED_VALUE"""),0)</f>
        <v>0</v>
      </c>
      <c r="H294" s="113">
        <f ca="1">IFERROR(__xludf.DUMMYFUNCTION("""COMPUTED_VALUE"""),0)</f>
        <v>0</v>
      </c>
      <c r="I294" s="113">
        <f ca="1">IFERROR(__xludf.DUMMYFUNCTION("""COMPUTED_VALUE"""),0)</f>
        <v>0</v>
      </c>
      <c r="J294" s="111">
        <f ca="1">IFERROR(__xludf.DUMMYFUNCTION("""COMPUTED_VALUE"""),0)</f>
        <v>0</v>
      </c>
      <c r="K294" s="113">
        <f ca="1">IFERROR(__xludf.DUMMYFUNCTION("""COMPUTED_VALUE"""),0)</f>
        <v>0</v>
      </c>
      <c r="L294" s="114" t="str">
        <f ca="1">IFERROR(__xludf.DUMMYFUNCTION("""COMPUTED_VALUE"""),"#DIV/0!")</f>
        <v>#DIV/0!</v>
      </c>
      <c r="M294" s="111"/>
      <c r="N294" s="111"/>
      <c r="O294" s="111"/>
      <c r="P294" s="111"/>
      <c r="Q294" s="112"/>
      <c r="R294" s="103"/>
      <c r="S294" s="103"/>
      <c r="T294" s="103"/>
      <c r="U294" s="103"/>
      <c r="V294" s="103"/>
      <c r="W294" s="103"/>
      <c r="X294" s="103"/>
      <c r="Y294" s="103"/>
      <c r="Z294" s="103"/>
      <c r="AA294" s="103"/>
    </row>
    <row r="295" spans="1:27" ht="51" x14ac:dyDescent="0.2">
      <c r="A295" s="110">
        <v>96</v>
      </c>
      <c r="B295" s="111" t="str">
        <f ca="1">IFERROR(__xludf.DUMMYFUNCTION("""COMPUTED_VALUE"""),"МинЖКХ ""ТОП 5 (1 этап)""")</f>
        <v>МинЖКХ "ТОП 5 (1 этап)"</v>
      </c>
      <c r="C295" s="111" t="str">
        <f ca="1">IFERROR(__xludf.DUMMYFUNCTION("""COMPUTED_VALUE"""),"г.о. Зарайск")</f>
        <v>г.о. Зарайск</v>
      </c>
      <c r="D295" s="111" t="str">
        <f ca="1">IFERROR(__xludf.DUMMYFUNCTION("""COMPUTED_VALUE"""),"Строительство блочно-модульной котельной со снижением мощности в д. Алферьево, г.о. Зарайск (в т.ч. ПИР) ")</f>
        <v xml:space="preserve">Строительство блочно-модульной котельной со снижением мощности в д. Алферьево, г.о. Зарайск (в т.ч. ПИР) </v>
      </c>
      <c r="E295" s="111" t="str">
        <f ca="1">IFERROR(__xludf.DUMMYFUNCTION("""COMPUTED_VALUE"""),"2020-2021")</f>
        <v>2020-2021</v>
      </c>
      <c r="F295" s="113">
        <f ca="1">IFERROR(__xludf.DUMMYFUNCTION("""COMPUTED_VALUE"""),1759.4)</f>
        <v>1759.4</v>
      </c>
      <c r="G295" s="113">
        <f ca="1">IFERROR(__xludf.DUMMYFUNCTION("""COMPUTED_VALUE"""),0)</f>
        <v>0</v>
      </c>
      <c r="H295" s="113">
        <f ca="1">IFERROR(__xludf.DUMMYFUNCTION("""COMPUTED_VALUE"""),0)</f>
        <v>0</v>
      </c>
      <c r="I295" s="113">
        <f ca="1">IFERROR(__xludf.DUMMYFUNCTION("""COMPUTED_VALUE"""),1759.4)</f>
        <v>1759.4</v>
      </c>
      <c r="J295" s="111">
        <f ca="1">IFERROR(__xludf.DUMMYFUNCTION("""COMPUTED_VALUE"""),0)</f>
        <v>0</v>
      </c>
      <c r="K295" s="113">
        <f ca="1">IFERROR(__xludf.DUMMYFUNCTION("""COMPUTED_VALUE"""),1759.4)</f>
        <v>1759.4</v>
      </c>
      <c r="L295" s="114">
        <f ca="1">IFERROR(__xludf.DUMMYFUNCTION("""COMPUTED_VALUE"""),0)</f>
        <v>0</v>
      </c>
      <c r="M295" s="111"/>
      <c r="N295" s="111"/>
      <c r="O295" s="111"/>
      <c r="P295" s="111"/>
      <c r="Q295" s="112"/>
      <c r="R295" s="103"/>
      <c r="S295" s="103"/>
      <c r="T295" s="103"/>
      <c r="U295" s="103"/>
      <c r="V295" s="103"/>
      <c r="W295" s="103"/>
      <c r="X295" s="103"/>
      <c r="Y295" s="103"/>
      <c r="Z295" s="103"/>
      <c r="AA295" s="103"/>
    </row>
    <row r="296" spans="1:27" ht="63.75" x14ac:dyDescent="0.2">
      <c r="A296" s="111"/>
      <c r="B296" s="111" t="str">
        <f ca="1">IFERROR(__xludf.DUMMYFUNCTION("""COMPUTED_VALUE"""),"МинЖКХ")</f>
        <v>МинЖКХ</v>
      </c>
      <c r="C296" s="111" t="str">
        <f ca="1">IFERROR(__xludf.DUMMYFUNCTION("""COMPUTED_VALUE"""),"г.о. Красногорск")</f>
        <v>г.о. Красногорск</v>
      </c>
      <c r="D296" s="111" t="str">
        <f ca="1">IFERROR(__xludf.DUMMYFUNCTION("""COMPUTED_VALUE"""),"Реконструкция   тепловых сетей отопления и горячего водоснабжения   (в том числе ПИР) по адресу: городской округ Красногорск, пос. Архангельское")</f>
        <v>Реконструкция   тепловых сетей отопления и горячего водоснабжения   (в том числе ПИР) по адресу: городской округ Красногорск, пос. Архангельское</v>
      </c>
      <c r="E296" s="111" t="str">
        <f ca="1">IFERROR(__xludf.DUMMYFUNCTION("""COMPUTED_VALUE"""),"2021-2022")</f>
        <v>2021-2022</v>
      </c>
      <c r="F296" s="113">
        <f ca="1">IFERROR(__xludf.DUMMYFUNCTION("""COMPUTED_VALUE"""),0)</f>
        <v>0</v>
      </c>
      <c r="G296" s="113">
        <f ca="1">IFERROR(__xludf.DUMMYFUNCTION("""COMPUTED_VALUE"""),0)</f>
        <v>0</v>
      </c>
      <c r="H296" s="113">
        <f ca="1">IFERROR(__xludf.DUMMYFUNCTION("""COMPUTED_VALUE"""),0)</f>
        <v>0</v>
      </c>
      <c r="I296" s="113">
        <f ca="1">IFERROR(__xludf.DUMMYFUNCTION("""COMPUTED_VALUE"""),0)</f>
        <v>0</v>
      </c>
      <c r="J296" s="111">
        <f ca="1">IFERROR(__xludf.DUMMYFUNCTION("""COMPUTED_VALUE"""),0)</f>
        <v>0</v>
      </c>
      <c r="K296" s="113">
        <f ca="1">IFERROR(__xludf.DUMMYFUNCTION("""COMPUTED_VALUE"""),0)</f>
        <v>0</v>
      </c>
      <c r="L296" s="114" t="str">
        <f ca="1">IFERROR(__xludf.DUMMYFUNCTION("""COMPUTED_VALUE"""),"#DIV/0!")</f>
        <v>#DIV/0!</v>
      </c>
      <c r="M296" s="111"/>
      <c r="N296" s="111"/>
      <c r="O296" s="111"/>
      <c r="P296" s="111"/>
      <c r="Q296" s="112"/>
      <c r="R296" s="103"/>
      <c r="S296" s="103"/>
      <c r="T296" s="103"/>
      <c r="U296" s="103"/>
      <c r="V296" s="103"/>
      <c r="W296" s="103"/>
      <c r="X296" s="103"/>
      <c r="Y296" s="103"/>
      <c r="Z296" s="103"/>
      <c r="AA296" s="103"/>
    </row>
    <row r="297" spans="1:27" ht="51" x14ac:dyDescent="0.2">
      <c r="A297" s="110">
        <v>97</v>
      </c>
      <c r="B297" s="111" t="str">
        <f ca="1">IFERROR(__xludf.DUMMYFUNCTION("""COMPUTED_VALUE"""),"МинЖКХ ""ТОП 5 (1 этап)""")</f>
        <v>МинЖКХ "ТОП 5 (1 этап)"</v>
      </c>
      <c r="C297" s="111" t="str">
        <f ca="1">IFERROR(__xludf.DUMMYFUNCTION("""COMPUTED_VALUE"""),"г.о. Зарайск")</f>
        <v>г.о. Зарайск</v>
      </c>
      <c r="D297" s="111" t="str">
        <f ca="1">IFERROR(__xludf.DUMMYFUNCTION("""COMPUTED_VALUE"""),"Строительство блочно-модульной котельной со снижением мощности в д. Гололобово г.о. Зарайск")</f>
        <v>Строительство блочно-модульной котельной со снижением мощности в д. Гололобово г.о. Зарайск</v>
      </c>
      <c r="E297" s="111">
        <f ca="1">IFERROR(__xludf.DUMMYFUNCTION("""COMPUTED_VALUE"""),2020)</f>
        <v>2020</v>
      </c>
      <c r="F297" s="113">
        <f ca="1">IFERROR(__xludf.DUMMYFUNCTION("""COMPUTED_VALUE"""),10903.94)</f>
        <v>10903.94</v>
      </c>
      <c r="G297" s="113">
        <f ca="1">IFERROR(__xludf.DUMMYFUNCTION("""COMPUTED_VALUE"""),0)</f>
        <v>0</v>
      </c>
      <c r="H297" s="113">
        <f ca="1">IFERROR(__xludf.DUMMYFUNCTION("""COMPUTED_VALUE"""),0)</f>
        <v>0</v>
      </c>
      <c r="I297" s="113">
        <f ca="1">IFERROR(__xludf.DUMMYFUNCTION("""COMPUTED_VALUE"""),10903.94)</f>
        <v>10903.94</v>
      </c>
      <c r="J297" s="111">
        <f ca="1">IFERROR(__xludf.DUMMYFUNCTION("""COMPUTED_VALUE"""),10903.94)</f>
        <v>10903.94</v>
      </c>
      <c r="K297" s="113">
        <f ca="1">IFERROR(__xludf.DUMMYFUNCTION("""COMPUTED_VALUE"""),0)</f>
        <v>0</v>
      </c>
      <c r="L297" s="114">
        <f ca="1">IFERROR(__xludf.DUMMYFUNCTION("""COMPUTED_VALUE"""),1)</f>
        <v>1</v>
      </c>
      <c r="M297" s="111"/>
      <c r="N297" s="111"/>
      <c r="O297" s="111"/>
      <c r="P297" s="111"/>
      <c r="Q297" s="112"/>
      <c r="R297" s="103"/>
      <c r="S297" s="103"/>
      <c r="T297" s="103"/>
      <c r="U297" s="103"/>
      <c r="V297" s="103"/>
      <c r="W297" s="103"/>
      <c r="X297" s="103"/>
      <c r="Y297" s="103"/>
      <c r="Z297" s="103"/>
      <c r="AA297" s="103"/>
    </row>
    <row r="298" spans="1:27" ht="89.25" x14ac:dyDescent="0.2">
      <c r="A298" s="111"/>
      <c r="B298" s="111" t="str">
        <f ca="1">IFERROR(__xludf.DUMMYFUNCTION("""COMPUTED_VALUE"""),"МинЖКХ")</f>
        <v>МинЖКХ</v>
      </c>
      <c r="C298" s="111" t="str">
        <f ca="1">IFERROR(__xludf.DUMMYFUNCTION("""COMPUTED_VALUE"""),"г.о. Орехово-Зуево")</f>
        <v>г.о. Орехово-Зуево</v>
      </c>
      <c r="D298" s="111" t="str">
        <f ca="1">IFERROR(__xludf.DUMMYFUNCTION("""COMPUTED_VALUE"""),"Строительство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f>
        <v>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v>
      </c>
      <c r="E298" s="111">
        <f ca="1">IFERROR(__xludf.DUMMYFUNCTION("""COMPUTED_VALUE"""),2021)</f>
        <v>2021</v>
      </c>
      <c r="F298" s="113">
        <f ca="1">IFERROR(__xludf.DUMMYFUNCTION("""COMPUTED_VALUE"""),0)</f>
        <v>0</v>
      </c>
      <c r="G298" s="113">
        <f ca="1">IFERROR(__xludf.DUMMYFUNCTION("""COMPUTED_VALUE"""),0)</f>
        <v>0</v>
      </c>
      <c r="H298" s="113">
        <f ca="1">IFERROR(__xludf.DUMMYFUNCTION("""COMPUTED_VALUE"""),0)</f>
        <v>0</v>
      </c>
      <c r="I298" s="113">
        <f ca="1">IFERROR(__xludf.DUMMYFUNCTION("""COMPUTED_VALUE"""),0)</f>
        <v>0</v>
      </c>
      <c r="J298" s="111">
        <f ca="1">IFERROR(__xludf.DUMMYFUNCTION("""COMPUTED_VALUE"""),0)</f>
        <v>0</v>
      </c>
      <c r="K298" s="113">
        <f ca="1">IFERROR(__xludf.DUMMYFUNCTION("""COMPUTED_VALUE"""),0)</f>
        <v>0</v>
      </c>
      <c r="L298" s="114" t="str">
        <f ca="1">IFERROR(__xludf.DUMMYFUNCTION("""COMPUTED_VALUE"""),"#DIV/0!")</f>
        <v>#DIV/0!</v>
      </c>
      <c r="M298" s="111"/>
      <c r="N298" s="111"/>
      <c r="O298" s="111"/>
      <c r="P298" s="111"/>
      <c r="Q298" s="112"/>
      <c r="R298" s="103"/>
      <c r="S298" s="103"/>
      <c r="T298" s="103"/>
      <c r="U298" s="103"/>
      <c r="V298" s="103"/>
      <c r="W298" s="103"/>
      <c r="X298" s="103"/>
      <c r="Y298" s="103"/>
      <c r="Z298" s="103"/>
      <c r="AA298" s="103"/>
    </row>
    <row r="299" spans="1:27" ht="25.5" x14ac:dyDescent="0.2">
      <c r="A299" s="111"/>
      <c r="B299" s="111" t="str">
        <f ca="1">IFERROR(__xludf.DUMMYFUNCTION("""COMPUTED_VALUE"""),"МинЖКХ")</f>
        <v>МинЖКХ</v>
      </c>
      <c r="C299" s="111" t="str">
        <f ca="1">IFERROR(__xludf.DUMMYFUNCTION("""COMPUTED_VALUE"""),"г.о. Рузский")</f>
        <v>г.о. Рузский</v>
      </c>
      <c r="D299" s="111" t="str">
        <f ca="1">IFERROR(__xludf.DUMMYFUNCTION("""COMPUTED_VALUE"""),"Строительство БМК г. Руза, ул. Говорова, д.1А")</f>
        <v>Строительство БМК г. Руза, ул. Говорова, д.1А</v>
      </c>
      <c r="E299" s="111">
        <f ca="1">IFERROR(__xludf.DUMMYFUNCTION("""COMPUTED_VALUE"""),2021)</f>
        <v>2021</v>
      </c>
      <c r="F299" s="113">
        <f ca="1">IFERROR(__xludf.DUMMYFUNCTION("""COMPUTED_VALUE"""),0)</f>
        <v>0</v>
      </c>
      <c r="G299" s="113">
        <f ca="1">IFERROR(__xludf.DUMMYFUNCTION("""COMPUTED_VALUE"""),0)</f>
        <v>0</v>
      </c>
      <c r="H299" s="113">
        <f ca="1">IFERROR(__xludf.DUMMYFUNCTION("""COMPUTED_VALUE"""),0)</f>
        <v>0</v>
      </c>
      <c r="I299" s="113">
        <f ca="1">IFERROR(__xludf.DUMMYFUNCTION("""COMPUTED_VALUE"""),0)</f>
        <v>0</v>
      </c>
      <c r="J299" s="111">
        <f ca="1">IFERROR(__xludf.DUMMYFUNCTION("""COMPUTED_VALUE"""),0)</f>
        <v>0</v>
      </c>
      <c r="K299" s="113">
        <f ca="1">IFERROR(__xludf.DUMMYFUNCTION("""COMPUTED_VALUE"""),0)</f>
        <v>0</v>
      </c>
      <c r="L299" s="114" t="str">
        <f ca="1">IFERROR(__xludf.DUMMYFUNCTION("""COMPUTED_VALUE"""),"#DIV/0!")</f>
        <v>#DIV/0!</v>
      </c>
      <c r="M299" s="111"/>
      <c r="N299" s="111"/>
      <c r="O299" s="111"/>
      <c r="P299" s="111"/>
      <c r="Q299" s="112"/>
      <c r="R299" s="103"/>
      <c r="S299" s="103"/>
      <c r="T299" s="103"/>
      <c r="U299" s="103"/>
      <c r="V299" s="103"/>
      <c r="W299" s="103"/>
      <c r="X299" s="103"/>
      <c r="Y299" s="103"/>
      <c r="Z299" s="103"/>
      <c r="AA299" s="103"/>
    </row>
    <row r="300" spans="1:27" ht="25.5" x14ac:dyDescent="0.2">
      <c r="A300" s="111"/>
      <c r="B300" s="111" t="str">
        <f ca="1">IFERROR(__xludf.DUMMYFUNCTION("""COMPUTED_VALUE"""),"МинЖКХ")</f>
        <v>МинЖКХ</v>
      </c>
      <c r="C300" s="111" t="str">
        <f ca="1">IFERROR(__xludf.DUMMYFUNCTION("""COMPUTED_VALUE"""),"г.о. Рузский")</f>
        <v>г.о. Рузский</v>
      </c>
      <c r="D300" s="111" t="str">
        <f ca="1">IFERROR(__xludf.DUMMYFUNCTION("""COMPUTED_VALUE"""),"Строительсвто БМК г. Руза, Волоколамское шоссе")</f>
        <v>Строительсвто БМК г. Руза, Волоколамское шоссе</v>
      </c>
      <c r="E300" s="111">
        <f ca="1">IFERROR(__xludf.DUMMYFUNCTION("""COMPUTED_VALUE"""),2021)</f>
        <v>2021</v>
      </c>
      <c r="F300" s="113">
        <f ca="1">IFERROR(__xludf.DUMMYFUNCTION("""COMPUTED_VALUE"""),0)</f>
        <v>0</v>
      </c>
      <c r="G300" s="113">
        <f ca="1">IFERROR(__xludf.DUMMYFUNCTION("""COMPUTED_VALUE"""),0)</f>
        <v>0</v>
      </c>
      <c r="H300" s="113">
        <f ca="1">IFERROR(__xludf.DUMMYFUNCTION("""COMPUTED_VALUE"""),0)</f>
        <v>0</v>
      </c>
      <c r="I300" s="113">
        <f ca="1">IFERROR(__xludf.DUMMYFUNCTION("""COMPUTED_VALUE"""),0)</f>
        <v>0</v>
      </c>
      <c r="J300" s="111">
        <f ca="1">IFERROR(__xludf.DUMMYFUNCTION("""COMPUTED_VALUE"""),0)</f>
        <v>0</v>
      </c>
      <c r="K300" s="113">
        <f ca="1">IFERROR(__xludf.DUMMYFUNCTION("""COMPUTED_VALUE"""),0)</f>
        <v>0</v>
      </c>
      <c r="L300" s="114" t="str">
        <f ca="1">IFERROR(__xludf.DUMMYFUNCTION("""COMPUTED_VALUE"""),"#DIV/0!")</f>
        <v>#DIV/0!</v>
      </c>
      <c r="M300" s="111"/>
      <c r="N300" s="111"/>
      <c r="O300" s="111"/>
      <c r="P300" s="111"/>
      <c r="Q300" s="112"/>
      <c r="R300" s="103"/>
      <c r="S300" s="103"/>
      <c r="T300" s="103"/>
      <c r="U300" s="103"/>
      <c r="V300" s="103"/>
      <c r="W300" s="103"/>
      <c r="X300" s="103"/>
      <c r="Y300" s="103"/>
      <c r="Z300" s="103"/>
      <c r="AA300" s="103"/>
    </row>
    <row r="301" spans="1:27" ht="51" x14ac:dyDescent="0.2">
      <c r="A301" s="110">
        <v>98</v>
      </c>
      <c r="B301" s="111" t="str">
        <f ca="1">IFERROR(__xludf.DUMMYFUNCTION("""COMPUTED_VALUE"""),"МинЖКХ ""ТОП 5 (1 этап)""")</f>
        <v>МинЖКХ "ТОП 5 (1 этап)"</v>
      </c>
      <c r="C301" s="111" t="str">
        <f ca="1">IFERROR(__xludf.DUMMYFUNCTION("""COMPUTED_VALUE"""),"г.о. Зарайск")</f>
        <v>г.о. Зарайск</v>
      </c>
      <c r="D301" s="111" t="str">
        <f ca="1">IFERROR(__xludf.DUMMYFUNCTION("""COMPUTED_VALUE"""),"Строительство блочно-модульной котельной со снижением мощности в д. Ерново г.о. Зарайск (в т.ч. ПИР)")</f>
        <v>Строительство блочно-модульной котельной со снижением мощности в д. Ерново г.о. Зарайск (в т.ч. ПИР)</v>
      </c>
      <c r="E301" s="111">
        <f ca="1">IFERROR(__xludf.DUMMYFUNCTION("""COMPUTED_VALUE"""),2020)</f>
        <v>2020</v>
      </c>
      <c r="F301" s="113">
        <f ca="1">IFERROR(__xludf.DUMMYFUNCTION("""COMPUTED_VALUE"""),10903.94)</f>
        <v>10903.94</v>
      </c>
      <c r="G301" s="113">
        <f ca="1">IFERROR(__xludf.DUMMYFUNCTION("""COMPUTED_VALUE"""),0)</f>
        <v>0</v>
      </c>
      <c r="H301" s="113">
        <f ca="1">IFERROR(__xludf.DUMMYFUNCTION("""COMPUTED_VALUE"""),0)</f>
        <v>0</v>
      </c>
      <c r="I301" s="113">
        <f ca="1">IFERROR(__xludf.DUMMYFUNCTION("""COMPUTED_VALUE"""),10903.94)</f>
        <v>10903.94</v>
      </c>
      <c r="J301" s="111">
        <f ca="1">IFERROR(__xludf.DUMMYFUNCTION("""COMPUTED_VALUE"""),10454.95)</f>
        <v>10454.950000000001</v>
      </c>
      <c r="K301" s="113">
        <f ca="1">IFERROR(__xludf.DUMMYFUNCTION("""COMPUTED_VALUE"""),448.989999999999)</f>
        <v>448.98999999999899</v>
      </c>
      <c r="L301" s="114">
        <f ca="1">IFERROR(__xludf.DUMMYFUNCTION("""COMPUTED_VALUE"""),0.958823140993072)</f>
        <v>0.95882314099307198</v>
      </c>
      <c r="M301" s="111"/>
      <c r="N301" s="111"/>
      <c r="O301" s="111"/>
      <c r="P301" s="111"/>
      <c r="Q301" s="112"/>
      <c r="R301" s="103"/>
      <c r="S301" s="103"/>
      <c r="T301" s="103"/>
      <c r="U301" s="103"/>
      <c r="V301" s="103"/>
      <c r="W301" s="103"/>
      <c r="X301" s="103"/>
      <c r="Y301" s="103"/>
      <c r="Z301" s="103"/>
      <c r="AA301" s="103"/>
    </row>
    <row r="302" spans="1:27" ht="51" x14ac:dyDescent="0.2">
      <c r="A302" s="110">
        <v>99</v>
      </c>
      <c r="B302" s="111" t="str">
        <f ca="1">IFERROR(__xludf.DUMMYFUNCTION("""COMPUTED_VALUE"""),"МинЖКХ ""ТОП 5 (1 этап)""")</f>
        <v>МинЖКХ "ТОП 5 (1 этап)"</v>
      </c>
      <c r="C302" s="111" t="str">
        <f ca="1">IFERROR(__xludf.DUMMYFUNCTION("""COMPUTED_VALUE"""),"г.о. Зарайск")</f>
        <v>г.о. Зарайск</v>
      </c>
      <c r="D302" s="111" t="str">
        <f ca="1">IFERROR(__xludf.DUMMYFUNCTION("""COMPUTED_VALUE"""),"Строительство блочно-модульной котельной со снижением мощности в д. Летуново  г.о. Зарайск (в т.ч. ПИР)")</f>
        <v>Строительство блочно-модульной котельной со снижением мощности в д. Летуново  г.о. Зарайск (в т.ч. ПИР)</v>
      </c>
      <c r="E302" s="111" t="str">
        <f ca="1">IFERROR(__xludf.DUMMYFUNCTION("""COMPUTED_VALUE"""),"2020-2021")</f>
        <v>2020-2021</v>
      </c>
      <c r="F302" s="113">
        <f ca="1">IFERROR(__xludf.DUMMYFUNCTION("""COMPUTED_VALUE"""),2315)</f>
        <v>2315</v>
      </c>
      <c r="G302" s="113">
        <f ca="1">IFERROR(__xludf.DUMMYFUNCTION("""COMPUTED_VALUE"""),0)</f>
        <v>0</v>
      </c>
      <c r="H302" s="113">
        <f ca="1">IFERROR(__xludf.DUMMYFUNCTION("""COMPUTED_VALUE"""),0)</f>
        <v>0</v>
      </c>
      <c r="I302" s="113">
        <f ca="1">IFERROR(__xludf.DUMMYFUNCTION("""COMPUTED_VALUE"""),2315)</f>
        <v>2315</v>
      </c>
      <c r="J302" s="111">
        <f ca="1">IFERROR(__xludf.DUMMYFUNCTION("""COMPUTED_VALUE"""),0)</f>
        <v>0</v>
      </c>
      <c r="K302" s="113">
        <f ca="1">IFERROR(__xludf.DUMMYFUNCTION("""COMPUTED_VALUE"""),2315)</f>
        <v>2315</v>
      </c>
      <c r="L302" s="114">
        <f ca="1">IFERROR(__xludf.DUMMYFUNCTION("""COMPUTED_VALUE"""),0)</f>
        <v>0</v>
      </c>
      <c r="M302" s="111"/>
      <c r="N302" s="111"/>
      <c r="O302" s="111"/>
      <c r="P302" s="111"/>
      <c r="Q302" s="112"/>
      <c r="R302" s="103"/>
      <c r="S302" s="103"/>
      <c r="T302" s="103"/>
      <c r="U302" s="103"/>
      <c r="V302" s="103"/>
      <c r="W302" s="103"/>
      <c r="X302" s="103"/>
      <c r="Y302" s="103"/>
      <c r="Z302" s="103"/>
      <c r="AA302" s="103"/>
    </row>
    <row r="303" spans="1:27" ht="51" x14ac:dyDescent="0.2">
      <c r="A303" s="110">
        <v>100</v>
      </c>
      <c r="B303" s="111" t="str">
        <f ca="1">IFERROR(__xludf.DUMMYFUNCTION("""COMPUTED_VALUE"""),"МинЖКХ ""ТОП 5 (1 этап)""")</f>
        <v>МинЖКХ "ТОП 5 (1 этап)"</v>
      </c>
      <c r="C303" s="111" t="str">
        <f ca="1">IFERROR(__xludf.DUMMYFUNCTION("""COMPUTED_VALUE"""),"г.о. Зарайск")</f>
        <v>г.о. Зарайск</v>
      </c>
      <c r="D303" s="111" t="str">
        <f ca="1">IFERROR(__xludf.DUMMYFUNCTION("""COMPUTED_VALUE"""),"Строительство блочно-модульной котельной со снижением мощности в д. Мендюкино, г.о. Зарайск (в т.ч. ПИР) ")</f>
        <v xml:space="preserve">Строительство блочно-модульной котельной со снижением мощности в д. Мендюкино, г.о. Зарайск (в т.ч. ПИР) </v>
      </c>
      <c r="E303" s="111" t="str">
        <f ca="1">IFERROR(__xludf.DUMMYFUNCTION("""COMPUTED_VALUE"""),"2020-2021")</f>
        <v>2020-2021</v>
      </c>
      <c r="F303" s="113">
        <f ca="1">IFERROR(__xludf.DUMMYFUNCTION("""COMPUTED_VALUE"""),1759.4)</f>
        <v>1759.4</v>
      </c>
      <c r="G303" s="113">
        <f ca="1">IFERROR(__xludf.DUMMYFUNCTION("""COMPUTED_VALUE"""),0)</f>
        <v>0</v>
      </c>
      <c r="H303" s="113">
        <f ca="1">IFERROR(__xludf.DUMMYFUNCTION("""COMPUTED_VALUE"""),0)</f>
        <v>0</v>
      </c>
      <c r="I303" s="113">
        <f ca="1">IFERROR(__xludf.DUMMYFUNCTION("""COMPUTED_VALUE"""),1759.4)</f>
        <v>1759.4</v>
      </c>
      <c r="J303" s="111">
        <f ca="1">IFERROR(__xludf.DUMMYFUNCTION("""COMPUTED_VALUE"""),0)</f>
        <v>0</v>
      </c>
      <c r="K303" s="113">
        <f ca="1">IFERROR(__xludf.DUMMYFUNCTION("""COMPUTED_VALUE"""),1759.4)</f>
        <v>1759.4</v>
      </c>
      <c r="L303" s="114">
        <f ca="1">IFERROR(__xludf.DUMMYFUNCTION("""COMPUTED_VALUE"""),0)</f>
        <v>0</v>
      </c>
      <c r="M303" s="111"/>
      <c r="N303" s="111"/>
      <c r="O303" s="111"/>
      <c r="P303" s="111"/>
      <c r="Q303" s="112"/>
      <c r="R303" s="103"/>
      <c r="S303" s="103"/>
      <c r="T303" s="103"/>
      <c r="U303" s="103"/>
      <c r="V303" s="103"/>
      <c r="W303" s="103"/>
      <c r="X303" s="103"/>
      <c r="Y303" s="103"/>
      <c r="Z303" s="103"/>
      <c r="AA303" s="103"/>
    </row>
    <row r="304" spans="1:27" ht="51" x14ac:dyDescent="0.2">
      <c r="A304" s="110">
        <v>101</v>
      </c>
      <c r="B304" s="111" t="str">
        <f ca="1">IFERROR(__xludf.DUMMYFUNCTION("""COMPUTED_VALUE"""),"МинЖКХ ""ТОП 5 (1 этап)""")</f>
        <v>МинЖКХ "ТОП 5 (1 этап)"</v>
      </c>
      <c r="C304" s="111" t="str">
        <f ca="1">IFERROR(__xludf.DUMMYFUNCTION("""COMPUTED_VALUE"""),"г.о. Зарайск")</f>
        <v>г.о. Зарайск</v>
      </c>
      <c r="D304" s="111" t="str">
        <f ca="1">IFERROR(__xludf.DUMMYFUNCTION("""COMPUTED_VALUE"""),"Строительство блочно-модульной котельной со снижением мощности в д. Протекино, г.о. Зарайск (в т.ч. ПИР) ")</f>
        <v xml:space="preserve">Строительство блочно-модульной котельной со снижением мощности в д. Протекино, г.о. Зарайск (в т.ч. ПИР) </v>
      </c>
      <c r="E304" s="111" t="str">
        <f ca="1">IFERROR(__xludf.DUMMYFUNCTION("""COMPUTED_VALUE"""),"2020-2021")</f>
        <v>2020-2021</v>
      </c>
      <c r="F304" s="113">
        <f ca="1">IFERROR(__xludf.DUMMYFUNCTION("""COMPUTED_VALUE"""),1759.4)</f>
        <v>1759.4</v>
      </c>
      <c r="G304" s="113">
        <f ca="1">IFERROR(__xludf.DUMMYFUNCTION("""COMPUTED_VALUE"""),0)</f>
        <v>0</v>
      </c>
      <c r="H304" s="113">
        <f ca="1">IFERROR(__xludf.DUMMYFUNCTION("""COMPUTED_VALUE"""),0)</f>
        <v>0</v>
      </c>
      <c r="I304" s="113">
        <f ca="1">IFERROR(__xludf.DUMMYFUNCTION("""COMPUTED_VALUE"""),1759.4)</f>
        <v>1759.4</v>
      </c>
      <c r="J304" s="111">
        <f ca="1">IFERROR(__xludf.DUMMYFUNCTION("""COMPUTED_VALUE"""),0)</f>
        <v>0</v>
      </c>
      <c r="K304" s="113">
        <f ca="1">IFERROR(__xludf.DUMMYFUNCTION("""COMPUTED_VALUE"""),1759.4)</f>
        <v>1759.4</v>
      </c>
      <c r="L304" s="114">
        <f ca="1">IFERROR(__xludf.DUMMYFUNCTION("""COMPUTED_VALUE"""),0)</f>
        <v>0</v>
      </c>
      <c r="M304" s="111"/>
      <c r="N304" s="111"/>
      <c r="O304" s="111"/>
      <c r="P304" s="111"/>
      <c r="Q304" s="112"/>
      <c r="R304" s="103"/>
      <c r="S304" s="103"/>
      <c r="T304" s="103"/>
      <c r="U304" s="103"/>
      <c r="V304" s="103"/>
      <c r="W304" s="103"/>
      <c r="X304" s="103"/>
      <c r="Y304" s="103"/>
      <c r="Z304" s="103"/>
      <c r="AA304" s="103"/>
    </row>
    <row r="305" spans="1:27" ht="51" x14ac:dyDescent="0.2">
      <c r="A305" s="110">
        <v>102</v>
      </c>
      <c r="B305" s="111" t="str">
        <f ca="1">IFERROR(__xludf.DUMMYFUNCTION("""COMPUTED_VALUE"""),"МинЖКХ ""ТОП 5 (1 этап)""")</f>
        <v>МинЖКХ "ТОП 5 (1 этап)"</v>
      </c>
      <c r="C305" s="111" t="str">
        <f ca="1">IFERROR(__xludf.DUMMYFUNCTION("""COMPUTED_VALUE"""),"г.о. Зарайск")</f>
        <v>г.о. Зарайск</v>
      </c>
      <c r="D305" s="111" t="str">
        <f ca="1">IFERROR(__xludf.DUMMYFUNCTION("""COMPUTED_VALUE"""),"Строительство блочно-модульной котельной со снижением мощности в п. Масловский, г.о. Зарайск (в т.ч. ПИР) ")</f>
        <v xml:space="preserve">Строительство блочно-модульной котельной со снижением мощности в п. Масловский, г.о. Зарайск (в т.ч. ПИР) </v>
      </c>
      <c r="E305" s="111" t="str">
        <f ca="1">IFERROR(__xludf.DUMMYFUNCTION("""COMPUTED_VALUE"""),"2020-2021")</f>
        <v>2020-2021</v>
      </c>
      <c r="F305" s="113">
        <f ca="1">IFERROR(__xludf.DUMMYFUNCTION("""COMPUTED_VALUE"""),1759.4)</f>
        <v>1759.4</v>
      </c>
      <c r="G305" s="113">
        <f ca="1">IFERROR(__xludf.DUMMYFUNCTION("""COMPUTED_VALUE"""),0)</f>
        <v>0</v>
      </c>
      <c r="H305" s="113">
        <f ca="1">IFERROR(__xludf.DUMMYFUNCTION("""COMPUTED_VALUE"""),0)</f>
        <v>0</v>
      </c>
      <c r="I305" s="113">
        <f ca="1">IFERROR(__xludf.DUMMYFUNCTION("""COMPUTED_VALUE"""),1759.4)</f>
        <v>1759.4</v>
      </c>
      <c r="J305" s="111">
        <f ca="1">IFERROR(__xludf.DUMMYFUNCTION("""COMPUTED_VALUE"""),0)</f>
        <v>0</v>
      </c>
      <c r="K305" s="113">
        <f ca="1">IFERROR(__xludf.DUMMYFUNCTION("""COMPUTED_VALUE"""),1759.4)</f>
        <v>1759.4</v>
      </c>
      <c r="L305" s="114">
        <f ca="1">IFERROR(__xludf.DUMMYFUNCTION("""COMPUTED_VALUE"""),0)</f>
        <v>0</v>
      </c>
      <c r="M305" s="111"/>
      <c r="N305" s="111"/>
      <c r="O305" s="111"/>
      <c r="P305" s="111"/>
      <c r="Q305" s="112"/>
      <c r="R305" s="103"/>
      <c r="S305" s="103"/>
      <c r="T305" s="103"/>
      <c r="U305" s="103"/>
      <c r="V305" s="103"/>
      <c r="W305" s="103"/>
      <c r="X305" s="103"/>
      <c r="Y305" s="103"/>
      <c r="Z305" s="103"/>
      <c r="AA305" s="103"/>
    </row>
    <row r="306" spans="1:27" ht="25.5" x14ac:dyDescent="0.2">
      <c r="A306" s="111"/>
      <c r="B306" s="111" t="str">
        <f ca="1">IFERROR(__xludf.DUMMYFUNCTION("""COMPUTED_VALUE"""),"МинЖКХ")</f>
        <v>МинЖКХ</v>
      </c>
      <c r="C306" s="111" t="str">
        <f ca="1">IFERROR(__xludf.DUMMYFUNCTION("""COMPUTED_VALUE"""),"г.о. Рузский")</f>
        <v>г.о. Рузский</v>
      </c>
      <c r="D306" s="111" t="str">
        <f ca="1">IFERROR(__xludf.DUMMYFUNCTION("""COMPUTED_VALUE"""),"Строительство БМК д. Сумароково, д.34  г.о. Рузский")</f>
        <v>Строительство БМК д. Сумароково, д.34  г.о. Рузский</v>
      </c>
      <c r="E306" s="111">
        <f ca="1">IFERROR(__xludf.DUMMYFUNCTION("""COMPUTED_VALUE"""),2021)</f>
        <v>2021</v>
      </c>
      <c r="F306" s="113">
        <f ca="1">IFERROR(__xludf.DUMMYFUNCTION("""COMPUTED_VALUE"""),0)</f>
        <v>0</v>
      </c>
      <c r="G306" s="113">
        <f ca="1">IFERROR(__xludf.DUMMYFUNCTION("""COMPUTED_VALUE"""),0)</f>
        <v>0</v>
      </c>
      <c r="H306" s="113">
        <f ca="1">IFERROR(__xludf.DUMMYFUNCTION("""COMPUTED_VALUE"""),0)</f>
        <v>0</v>
      </c>
      <c r="I306" s="113">
        <f ca="1">IFERROR(__xludf.DUMMYFUNCTION("""COMPUTED_VALUE"""),0)</f>
        <v>0</v>
      </c>
      <c r="J306" s="111">
        <f ca="1">IFERROR(__xludf.DUMMYFUNCTION("""COMPUTED_VALUE"""),0)</f>
        <v>0</v>
      </c>
      <c r="K306" s="113">
        <f ca="1">IFERROR(__xludf.DUMMYFUNCTION("""COMPUTED_VALUE"""),0)</f>
        <v>0</v>
      </c>
      <c r="L306" s="114" t="str">
        <f ca="1">IFERROR(__xludf.DUMMYFUNCTION("""COMPUTED_VALUE"""),"#DIV/0!")</f>
        <v>#DIV/0!</v>
      </c>
      <c r="M306" s="111"/>
      <c r="N306" s="111"/>
      <c r="O306" s="111"/>
      <c r="P306" s="111"/>
      <c r="Q306" s="112"/>
      <c r="R306" s="103"/>
      <c r="S306" s="103"/>
      <c r="T306" s="103"/>
      <c r="U306" s="103"/>
      <c r="V306" s="103"/>
      <c r="W306" s="103"/>
      <c r="X306" s="103"/>
      <c r="Y306" s="103"/>
      <c r="Z306" s="103"/>
      <c r="AA306" s="103"/>
    </row>
    <row r="307" spans="1:27" ht="38.25" x14ac:dyDescent="0.2">
      <c r="A307" s="111"/>
      <c r="B307" s="111" t="str">
        <f ca="1">IFERROR(__xludf.DUMMYFUNCTION("""COMPUTED_VALUE"""),"МинЖКХ")</f>
        <v>МинЖКХ</v>
      </c>
      <c r="C307" s="111" t="str">
        <f ca="1">IFERROR(__xludf.DUMMYFUNCTION("""COMPUTED_VALUE"""),"г.о. Рузский")</f>
        <v>г.о. Рузский</v>
      </c>
      <c r="D307" s="111" t="str">
        <f ca="1">IFERROR(__xludf.DUMMYFUNCTION("""COMPUTED_VALUE"""),"Строительсвто БМК д. Старониколаево, д. 195  г.о. Рузский")</f>
        <v>Строительсвто БМК д. Старониколаево, д. 195  г.о. Рузский</v>
      </c>
      <c r="E307" s="111">
        <f ca="1">IFERROR(__xludf.DUMMYFUNCTION("""COMPUTED_VALUE"""),2021)</f>
        <v>2021</v>
      </c>
      <c r="F307" s="113">
        <f ca="1">IFERROR(__xludf.DUMMYFUNCTION("""COMPUTED_VALUE"""),0)</f>
        <v>0</v>
      </c>
      <c r="G307" s="113">
        <f ca="1">IFERROR(__xludf.DUMMYFUNCTION("""COMPUTED_VALUE"""),0)</f>
        <v>0</v>
      </c>
      <c r="H307" s="113">
        <f ca="1">IFERROR(__xludf.DUMMYFUNCTION("""COMPUTED_VALUE"""),0)</f>
        <v>0</v>
      </c>
      <c r="I307" s="113">
        <f ca="1">IFERROR(__xludf.DUMMYFUNCTION("""COMPUTED_VALUE"""),0)</f>
        <v>0</v>
      </c>
      <c r="J307" s="111">
        <f ca="1">IFERROR(__xludf.DUMMYFUNCTION("""COMPUTED_VALUE"""),0)</f>
        <v>0</v>
      </c>
      <c r="K307" s="113">
        <f ca="1">IFERROR(__xludf.DUMMYFUNCTION("""COMPUTED_VALUE"""),0)</f>
        <v>0</v>
      </c>
      <c r="L307" s="114" t="str">
        <f ca="1">IFERROR(__xludf.DUMMYFUNCTION("""COMPUTED_VALUE"""),"#DIV/0!")</f>
        <v>#DIV/0!</v>
      </c>
      <c r="M307" s="111"/>
      <c r="N307" s="111"/>
      <c r="O307" s="111"/>
      <c r="P307" s="111"/>
      <c r="Q307" s="112"/>
      <c r="R307" s="103"/>
      <c r="S307" s="103"/>
      <c r="T307" s="103"/>
      <c r="U307" s="103"/>
      <c r="V307" s="103"/>
      <c r="W307" s="103"/>
      <c r="X307" s="103"/>
      <c r="Y307" s="103"/>
      <c r="Z307" s="103"/>
      <c r="AA307" s="103"/>
    </row>
    <row r="308" spans="1:27" ht="63.75" x14ac:dyDescent="0.2">
      <c r="A308" s="110">
        <v>103</v>
      </c>
      <c r="B308" s="111" t="str">
        <f ca="1">IFERROR(__xludf.DUMMYFUNCTION("""COMPUTED_VALUE"""),"МинЖКХ ""ТОП 5 (1 этап)""")</f>
        <v>МинЖКХ "ТОП 5 (1 этап)"</v>
      </c>
      <c r="C308" s="111" t="str">
        <f ca="1">IFERROR(__xludf.DUMMYFUNCTION("""COMPUTED_VALUE"""),"г.о. Зарайск")</f>
        <v>г.о. Зарайск</v>
      </c>
      <c r="D308" s="111" t="str">
        <f ca="1">IFERROR(__xludf.DUMMYFUNCTION("""COMPUTED_VALUE"""),"Строительство блочно-модульной котельной со снижением мощности в г.о. Зарайск, пос. Зарайский, котельная «Карино» (в т.ч. ПИР)")</f>
        <v>Строительство блочно-модульной котельной со снижением мощности в г.о. Зарайск, пос. Зарайский, котельная «Карино» (в т.ч. ПИР)</v>
      </c>
      <c r="E308" s="111">
        <f ca="1">IFERROR(__xludf.DUMMYFUNCTION("""COMPUTED_VALUE"""),2020)</f>
        <v>2020</v>
      </c>
      <c r="F308" s="113">
        <f ca="1">IFERROR(__xludf.DUMMYFUNCTION("""COMPUTED_VALUE"""),13115.22)</f>
        <v>13115.22</v>
      </c>
      <c r="G308" s="113">
        <f ca="1">IFERROR(__xludf.DUMMYFUNCTION("""COMPUTED_VALUE"""),0)</f>
        <v>0</v>
      </c>
      <c r="H308" s="113">
        <f ca="1">IFERROR(__xludf.DUMMYFUNCTION("""COMPUTED_VALUE"""),0)</f>
        <v>0</v>
      </c>
      <c r="I308" s="113">
        <f ca="1">IFERROR(__xludf.DUMMYFUNCTION("""COMPUTED_VALUE"""),13115.22)</f>
        <v>13115.22</v>
      </c>
      <c r="J308" s="111">
        <f ca="1">IFERROR(__xludf.DUMMYFUNCTION("""COMPUTED_VALUE"""),12592.35)</f>
        <v>12592.35</v>
      </c>
      <c r="K308" s="113">
        <f ca="1">IFERROR(__xludf.DUMMYFUNCTION("""COMPUTED_VALUE"""),522.869999999999)</f>
        <v>522.86999999999898</v>
      </c>
      <c r="L308" s="114">
        <f ca="1">IFERROR(__xludf.DUMMYFUNCTION("""COMPUTED_VALUE"""),0.960132578790138)</f>
        <v>0.96013257879013802</v>
      </c>
      <c r="M308" s="111"/>
      <c r="N308" s="111"/>
      <c r="O308" s="111"/>
      <c r="P308" s="111"/>
      <c r="Q308" s="112"/>
      <c r="R308" s="103"/>
      <c r="S308" s="103"/>
      <c r="T308" s="103"/>
      <c r="U308" s="103"/>
      <c r="V308" s="103"/>
      <c r="W308" s="103"/>
      <c r="X308" s="103"/>
      <c r="Y308" s="103"/>
      <c r="Z308" s="103"/>
      <c r="AA308" s="103"/>
    </row>
    <row r="309" spans="1:27" ht="51" x14ac:dyDescent="0.2">
      <c r="A309" s="110">
        <v>104</v>
      </c>
      <c r="B309" s="111" t="str">
        <f ca="1">IFERROR(__xludf.DUMMYFUNCTION("""COMPUTED_VALUE"""),"МинЖКХ ""ТОП 5 (1 этап)""")</f>
        <v>МинЖКХ "ТОП 5 (1 этап)"</v>
      </c>
      <c r="C309" s="111" t="str">
        <f ca="1">IFERROR(__xludf.DUMMYFUNCTION("""COMPUTED_VALUE"""),"г.о. Зарайск")</f>
        <v>г.о. Зарайск</v>
      </c>
      <c r="D309" s="111" t="str">
        <f ca="1">IFERROR(__xludf.DUMMYFUNCTION("""COMPUTED_VALUE"""),"Строительство блочно-модульной котельной со снижением мощности в пос. ц.у. с/х ""40 лет Октября, г.о. Зарайск (в т.ч. ПИР) ")</f>
        <v xml:space="preserve">Строительство блочно-модульной котельной со снижением мощности в пос. ц.у. с/х "40 лет Октября, г.о. Зарайск (в т.ч. ПИР) </v>
      </c>
      <c r="E309" s="111">
        <f ca="1">IFERROR(__xludf.DUMMYFUNCTION("""COMPUTED_VALUE"""),2020)</f>
        <v>2020</v>
      </c>
      <c r="F309" s="113">
        <f ca="1">IFERROR(__xludf.DUMMYFUNCTION("""COMPUTED_VALUE"""),14874.62)</f>
        <v>14874.62</v>
      </c>
      <c r="G309" s="113">
        <f ca="1">IFERROR(__xludf.DUMMYFUNCTION("""COMPUTED_VALUE"""),0)</f>
        <v>0</v>
      </c>
      <c r="H309" s="113">
        <f ca="1">IFERROR(__xludf.DUMMYFUNCTION("""COMPUTED_VALUE"""),0)</f>
        <v>0</v>
      </c>
      <c r="I309" s="113">
        <f ca="1">IFERROR(__xludf.DUMMYFUNCTION("""COMPUTED_VALUE"""),14874.62)</f>
        <v>14874.62</v>
      </c>
      <c r="J309" s="111">
        <f ca="1">IFERROR(__xludf.DUMMYFUNCTION("""COMPUTED_VALUE"""),14224.31)</f>
        <v>14224.31</v>
      </c>
      <c r="K309" s="113">
        <f ca="1">IFERROR(__xludf.DUMMYFUNCTION("""COMPUTED_VALUE"""),650.310000000001)</f>
        <v>650.31000000000097</v>
      </c>
      <c r="L309" s="114">
        <f ca="1">IFERROR(__xludf.DUMMYFUNCTION("""COMPUTED_VALUE"""),0.956280563805999)</f>
        <v>0.95628056380599902</v>
      </c>
      <c r="M309" s="111"/>
      <c r="N309" s="111"/>
      <c r="O309" s="111"/>
      <c r="P309" s="111"/>
      <c r="Q309" s="112"/>
      <c r="R309" s="103"/>
      <c r="S309" s="103"/>
      <c r="T309" s="103"/>
      <c r="U309" s="103"/>
      <c r="V309" s="103"/>
      <c r="W309" s="103"/>
      <c r="X309" s="103"/>
      <c r="Y309" s="103"/>
      <c r="Z309" s="103"/>
      <c r="AA309" s="103"/>
    </row>
    <row r="310" spans="1:27" ht="51" x14ac:dyDescent="0.2">
      <c r="A310" s="110">
        <v>105</v>
      </c>
      <c r="B310" s="111" t="str">
        <f ca="1">IFERROR(__xludf.DUMMYFUNCTION("""COMPUTED_VALUE"""),"МинЖКХ ""ТОП 5 (1 этап)""")</f>
        <v>МинЖКХ "ТОП 5 (1 этап)"</v>
      </c>
      <c r="C310" s="111" t="str">
        <f ca="1">IFERROR(__xludf.DUMMYFUNCTION("""COMPUTED_VALUE"""),"г.о. Зарайск")</f>
        <v>г.о. Зарайск</v>
      </c>
      <c r="D310" s="111" t="str">
        <f ca="1">IFERROR(__xludf.DUMMYFUNCTION("""COMPUTED_VALUE"""),"Строительство блочно-модульной котельной со снижением мощности в с. Макеево, г.о. Зарайск (в т.ч. ПИР) ")</f>
        <v xml:space="preserve">Строительство блочно-модульной котельной со снижением мощности в с. Макеево, г.о. Зарайск (в т.ч. ПИР) </v>
      </c>
      <c r="E310" s="111" t="str">
        <f ca="1">IFERROR(__xludf.DUMMYFUNCTION("""COMPUTED_VALUE"""),"2020-2021")</f>
        <v>2020-2021</v>
      </c>
      <c r="F310" s="113">
        <f ca="1">IFERROR(__xludf.DUMMYFUNCTION("""COMPUTED_VALUE"""),2315)</f>
        <v>2315</v>
      </c>
      <c r="G310" s="113">
        <f ca="1">IFERROR(__xludf.DUMMYFUNCTION("""COMPUTED_VALUE"""),0)</f>
        <v>0</v>
      </c>
      <c r="H310" s="113">
        <f ca="1">IFERROR(__xludf.DUMMYFUNCTION("""COMPUTED_VALUE"""),0)</f>
        <v>0</v>
      </c>
      <c r="I310" s="113">
        <f ca="1">IFERROR(__xludf.DUMMYFUNCTION("""COMPUTED_VALUE"""),2315)</f>
        <v>2315</v>
      </c>
      <c r="J310" s="111">
        <f ca="1">IFERROR(__xludf.DUMMYFUNCTION("""COMPUTED_VALUE"""),0)</f>
        <v>0</v>
      </c>
      <c r="K310" s="113">
        <f ca="1">IFERROR(__xludf.DUMMYFUNCTION("""COMPUTED_VALUE"""),2315)</f>
        <v>2315</v>
      </c>
      <c r="L310" s="114">
        <f ca="1">IFERROR(__xludf.DUMMYFUNCTION("""COMPUTED_VALUE"""),0)</f>
        <v>0</v>
      </c>
      <c r="M310" s="111"/>
      <c r="N310" s="111"/>
      <c r="O310" s="111"/>
      <c r="P310" s="111"/>
      <c r="Q310" s="112"/>
      <c r="R310" s="103"/>
      <c r="S310" s="103"/>
      <c r="T310" s="103"/>
      <c r="U310" s="103"/>
      <c r="V310" s="103"/>
      <c r="W310" s="103"/>
      <c r="X310" s="103"/>
      <c r="Y310" s="103"/>
      <c r="Z310" s="103"/>
      <c r="AA310" s="103"/>
    </row>
    <row r="311" spans="1:27" ht="63.75" x14ac:dyDescent="0.2">
      <c r="A311" s="110">
        <v>106</v>
      </c>
      <c r="B311" s="111" t="str">
        <f ca="1">IFERROR(__xludf.DUMMYFUNCTION("""COMPUTED_VALUE"""),"МинЖКХ")</f>
        <v>МинЖКХ</v>
      </c>
      <c r="C311" s="111" t="str">
        <f ca="1">IFERROR(__xludf.DUMMYFUNCTION("""COMPUTED_VALUE"""),"г.о. Кашира")</f>
        <v>г.о. Кашира</v>
      </c>
      <c r="D311" s="111" t="str">
        <f ca="1">IFERROR(__xludf.DUMMYFUNCTION("""COMPUTED_VALUE"""),"Создание и модернизация объектов централизованного теплоснабжения и горячего водоснабжения на территории г.о.  Кашира")</f>
        <v>Создание и модернизация объектов централизованного теплоснабжения и горячего водоснабжения на территории г.о.  Кашира</v>
      </c>
      <c r="E311" s="111">
        <f ca="1">IFERROR(__xludf.DUMMYFUNCTION("""COMPUTED_VALUE"""),2020)</f>
        <v>2020</v>
      </c>
      <c r="F311" s="113">
        <f ca="1">IFERROR(__xludf.DUMMYFUNCTION("""COMPUTED_VALUE"""),230000)</f>
        <v>230000</v>
      </c>
      <c r="G311" s="113">
        <f ca="1">IFERROR(__xludf.DUMMYFUNCTION("""COMPUTED_VALUE"""),230000)</f>
        <v>230000</v>
      </c>
      <c r="H311" s="113">
        <f ca="1">IFERROR(__xludf.DUMMYFUNCTION("""COMPUTED_VALUE"""),0)</f>
        <v>0</v>
      </c>
      <c r="I311" s="113">
        <f ca="1">IFERROR(__xludf.DUMMYFUNCTION("""COMPUTED_VALUE"""),0)</f>
        <v>0</v>
      </c>
      <c r="J311" s="111">
        <f ca="1">IFERROR(__xludf.DUMMYFUNCTION("""COMPUTED_VALUE"""),230000)</f>
        <v>230000</v>
      </c>
      <c r="K311" s="113">
        <f ca="1">IFERROR(__xludf.DUMMYFUNCTION("""COMPUTED_VALUE"""),0)</f>
        <v>0</v>
      </c>
      <c r="L311" s="114">
        <f ca="1">IFERROR(__xludf.DUMMYFUNCTION("""COMPUTED_VALUE"""),1)</f>
        <v>1</v>
      </c>
      <c r="M311" s="111"/>
      <c r="N311" s="111"/>
      <c r="O311" s="111"/>
      <c r="P311" s="111"/>
      <c r="Q311" s="112"/>
      <c r="R311" s="103"/>
      <c r="S311" s="103"/>
      <c r="T311" s="103"/>
      <c r="U311" s="103"/>
      <c r="V311" s="103"/>
      <c r="W311" s="103"/>
      <c r="X311" s="103"/>
      <c r="Y311" s="103"/>
      <c r="Z311" s="103"/>
      <c r="AA311" s="103"/>
    </row>
    <row r="312" spans="1:27" ht="51" x14ac:dyDescent="0.2">
      <c r="A312" s="110">
        <v>107</v>
      </c>
      <c r="B312" s="111" t="str">
        <f ca="1">IFERROR(__xludf.DUMMYFUNCTION("""COMPUTED_VALUE"""),"МинЖКХ")</f>
        <v>МинЖКХ</v>
      </c>
      <c r="C312" s="111" t="str">
        <f ca="1">IFERROR(__xludf.DUMMYFUNCTION("""COMPUTED_VALUE"""),"г.о. Кашира")</f>
        <v>г.о. Кашира</v>
      </c>
      <c r="D312" s="111" t="str">
        <f ca="1">IFERROR(__xludf.DUMMYFUNCTION("""COMPUTED_VALUE"""),"Субсидия на приобретение тепловых сетей филиала  ""Каширская ГРЭС"" АО ""Интер РАО -Электрогенерация"".")</f>
        <v>Субсидия на приобретение тепловых сетей филиала  "Каширская ГРЭС" АО "Интер РАО -Электрогенерация".</v>
      </c>
      <c r="E312" s="111">
        <f ca="1">IFERROR(__xludf.DUMMYFUNCTION("""COMPUTED_VALUE"""),2020)</f>
        <v>2020</v>
      </c>
      <c r="F312" s="113">
        <f ca="1">IFERROR(__xludf.DUMMYFUNCTION("""COMPUTED_VALUE"""),52158)</f>
        <v>52158</v>
      </c>
      <c r="G312" s="113">
        <f ca="1">IFERROR(__xludf.DUMMYFUNCTION("""COMPUTED_VALUE"""),52158)</f>
        <v>52158</v>
      </c>
      <c r="H312" s="113">
        <f ca="1">IFERROR(__xludf.DUMMYFUNCTION("""COMPUTED_VALUE"""),0)</f>
        <v>0</v>
      </c>
      <c r="I312" s="113">
        <f ca="1">IFERROR(__xludf.DUMMYFUNCTION("""COMPUTED_VALUE"""),0)</f>
        <v>0</v>
      </c>
      <c r="J312" s="111">
        <f ca="1">IFERROR(__xludf.DUMMYFUNCTION("""COMPUTED_VALUE"""),52158)</f>
        <v>52158</v>
      </c>
      <c r="K312" s="113">
        <f ca="1">IFERROR(__xludf.DUMMYFUNCTION("""COMPUTED_VALUE"""),0)</f>
        <v>0</v>
      </c>
      <c r="L312" s="114">
        <f ca="1">IFERROR(__xludf.DUMMYFUNCTION("""COMPUTED_VALUE"""),1)</f>
        <v>1</v>
      </c>
      <c r="M312" s="111"/>
      <c r="N312" s="111"/>
      <c r="O312" s="111"/>
      <c r="P312" s="111"/>
      <c r="Q312" s="112"/>
      <c r="R312" s="103"/>
      <c r="S312" s="103"/>
      <c r="T312" s="103"/>
      <c r="U312" s="103"/>
      <c r="V312" s="103"/>
      <c r="W312" s="103"/>
      <c r="X312" s="103"/>
      <c r="Y312" s="103"/>
      <c r="Z312" s="103"/>
      <c r="AA312" s="103"/>
    </row>
    <row r="313" spans="1:27" ht="204" x14ac:dyDescent="0.2">
      <c r="A313" s="110">
        <v>108</v>
      </c>
      <c r="B313" s="111" t="str">
        <f ca="1">IFERROR(__xludf.DUMMYFUNCTION("""COMPUTED_VALUE"""),"МинЖКХ")</f>
        <v>МинЖКХ</v>
      </c>
      <c r="C313" s="111" t="str">
        <f ca="1">IFERROR(__xludf.DUMMYFUNCTION("""COMPUTED_VALUE"""),"г.о. Красногорск")</f>
        <v>г.о. Красногорск</v>
      </c>
      <c r="D313" s="111" t="str">
        <f ca="1">IFERROR(__xludf.DUMMYFUNCTION("""COMPUTED_VALUE"""),"Реконструкция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"&amp;"выполненные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f>
        <v xml:space="preserv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v>
      </c>
      <c r="E313" s="111">
        <f ca="1">IFERROR(__xludf.DUMMYFUNCTION("""COMPUTED_VALUE"""),2020)</f>
        <v>2020</v>
      </c>
      <c r="F313" s="113">
        <f ca="1">IFERROR(__xludf.DUMMYFUNCTION("""COMPUTED_VALUE"""),4607.3)</f>
        <v>4607.3</v>
      </c>
      <c r="G313" s="113">
        <f ca="1">IFERROR(__xludf.DUMMYFUNCTION("""COMPUTED_VALUE"""),4607.3)</f>
        <v>4607.3</v>
      </c>
      <c r="H313" s="113">
        <f ca="1">IFERROR(__xludf.DUMMYFUNCTION("""COMPUTED_VALUE"""),0)</f>
        <v>0</v>
      </c>
      <c r="I313" s="113">
        <f ca="1">IFERROR(__xludf.DUMMYFUNCTION("""COMPUTED_VALUE"""),0)</f>
        <v>0</v>
      </c>
      <c r="J313" s="111">
        <f ca="1">IFERROR(__xludf.DUMMYFUNCTION("""COMPUTED_VALUE"""),4607.3)</f>
        <v>4607.3</v>
      </c>
      <c r="K313" s="113">
        <f ca="1">IFERROR(__xludf.DUMMYFUNCTION("""COMPUTED_VALUE"""),0)</f>
        <v>0</v>
      </c>
      <c r="L313" s="114">
        <f ca="1">IFERROR(__xludf.DUMMYFUNCTION("""COMPUTED_VALUE"""),1)</f>
        <v>1</v>
      </c>
      <c r="M313" s="111" t="str">
        <f ca="1">IFERROR(__xludf.DUMMYFUNCTION("""COMPUTED_VALUE"""),"Оплачено")</f>
        <v>Оплачено</v>
      </c>
      <c r="N313" s="111"/>
      <c r="O313" s="111"/>
      <c r="P313" s="111"/>
      <c r="Q313" s="112"/>
      <c r="R313" s="103"/>
      <c r="S313" s="103"/>
      <c r="T313" s="103"/>
      <c r="U313" s="103"/>
      <c r="V313" s="103"/>
      <c r="W313" s="103"/>
      <c r="X313" s="103"/>
      <c r="Y313" s="103"/>
      <c r="Z313" s="103"/>
      <c r="AA313" s="103"/>
    </row>
    <row r="314" spans="1:27" ht="114.75" x14ac:dyDescent="0.2">
      <c r="A314" s="110">
        <v>109</v>
      </c>
      <c r="B314" s="111" t="str">
        <f ca="1">IFERROR(__xludf.DUMMYFUNCTION("""COMPUTED_VALUE"""),"МинЖКХ")</f>
        <v>МинЖКХ</v>
      </c>
      <c r="C314" s="111" t="str">
        <f ca="1">IFERROR(__xludf.DUMMYFUNCTION("""COMPUTED_VALUE"""),"г.о. Краснознаменск")</f>
        <v>г.о. Краснознаменск</v>
      </c>
      <c r="D314" s="111" t="str">
        <f ca="1">IFERROR(__xludf.DUMMYFUNCTION("""COMPUTED_VALUE"""),"Строительство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f>
        <v>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v>
      </c>
      <c r="E314" s="111" t="str">
        <f ca="1">IFERROR(__xludf.DUMMYFUNCTION("""COMPUTED_VALUE"""),"2020-2022")</f>
        <v>2020-2022</v>
      </c>
      <c r="F314" s="113">
        <f ca="1">IFERROR(__xludf.DUMMYFUNCTION("""COMPUTED_VALUE"""),63304.82)</f>
        <v>63304.82</v>
      </c>
      <c r="G314" s="113">
        <f ca="1">IFERROR(__xludf.DUMMYFUNCTION("""COMPUTED_VALUE"""),63304.82)</f>
        <v>63304.82</v>
      </c>
      <c r="H314" s="113">
        <f ca="1">IFERROR(__xludf.DUMMYFUNCTION("""COMPUTED_VALUE"""),0)</f>
        <v>0</v>
      </c>
      <c r="I314" s="113">
        <f ca="1">IFERROR(__xludf.DUMMYFUNCTION("""COMPUTED_VALUE"""),0)</f>
        <v>0</v>
      </c>
      <c r="J314" s="111">
        <f ca="1">IFERROR(__xludf.DUMMYFUNCTION("""COMPUTED_VALUE"""),63300.87)</f>
        <v>63300.87</v>
      </c>
      <c r="K314" s="113">
        <f ca="1">IFERROR(__xludf.DUMMYFUNCTION("""COMPUTED_VALUE"""),3.94999999999708)</f>
        <v>3.9499999999970798</v>
      </c>
      <c r="L314" s="114">
        <f ca="1">IFERROR(__xludf.DUMMYFUNCTION("""COMPUTED_VALUE"""),0.99993760348738)</f>
        <v>0.99993760348738003</v>
      </c>
      <c r="M314" s="111"/>
      <c r="N314" s="111"/>
      <c r="O314" s="111"/>
      <c r="P314" s="111"/>
      <c r="Q314" s="112"/>
      <c r="R314" s="103"/>
      <c r="S314" s="103"/>
      <c r="T314" s="103"/>
      <c r="U314" s="103"/>
      <c r="V314" s="103"/>
      <c r="W314" s="103"/>
      <c r="X314" s="103"/>
      <c r="Y314" s="103"/>
      <c r="Z314" s="103"/>
      <c r="AA314" s="103"/>
    </row>
    <row r="315" spans="1:27" ht="51" x14ac:dyDescent="0.2">
      <c r="A315" s="110">
        <v>110</v>
      </c>
      <c r="B315" s="111" t="str">
        <f ca="1">IFERROR(__xludf.DUMMYFUNCTION("""COMPUTED_VALUE"""),"МинЖКХ ""ТОП 5 (1 этап)""")</f>
        <v>МинЖКХ "ТОП 5 (1 этап)"</v>
      </c>
      <c r="C315" s="111" t="str">
        <f ca="1">IFERROR(__xludf.DUMMYFUNCTION("""COMPUTED_VALUE"""),"г.о. Луховицы")</f>
        <v>г.о. Луховицы</v>
      </c>
      <c r="D315" s="111" t="str">
        <f ca="1">IFERROR(__xludf.DUMMYFUNCTION("""COMPUTED_VALUE"""),"Реконструкция котельной ""Школа-интернат"" р.п. Белоомут, ул. Центральная, д.57 (в т.ч. ПИР), г.о. Луховицы")</f>
        <v>Реконструкция котельной "Школа-интернат" р.п. Белоомут, ул. Центральная, д.57 (в т.ч. ПИР), г.о. Луховицы</v>
      </c>
      <c r="E315" s="111" t="str">
        <f ca="1">IFERROR(__xludf.DUMMYFUNCTION("""COMPUTED_VALUE"""),"2020-2021")</f>
        <v>2020-2021</v>
      </c>
      <c r="F315" s="113">
        <f ca="1">IFERROR(__xludf.DUMMYFUNCTION("""COMPUTED_VALUE"""),1904.2)</f>
        <v>1904.2</v>
      </c>
      <c r="G315" s="113">
        <f ca="1">IFERROR(__xludf.DUMMYFUNCTION("""COMPUTED_VALUE"""),0)</f>
        <v>0</v>
      </c>
      <c r="H315" s="113">
        <f ca="1">IFERROR(__xludf.DUMMYFUNCTION("""COMPUTED_VALUE"""),0)</f>
        <v>0</v>
      </c>
      <c r="I315" s="113">
        <f ca="1">IFERROR(__xludf.DUMMYFUNCTION("""COMPUTED_VALUE"""),1904.2)</f>
        <v>1904.2</v>
      </c>
      <c r="J315" s="111">
        <f ca="1">IFERROR(__xludf.DUMMYFUNCTION("""COMPUTED_VALUE"""),1431.99)</f>
        <v>1431.99</v>
      </c>
      <c r="K315" s="113">
        <f ca="1">IFERROR(__xludf.DUMMYFUNCTION("""COMPUTED_VALUE"""),472.21)</f>
        <v>472.21</v>
      </c>
      <c r="L315" s="114">
        <f ca="1">IFERROR(__xludf.DUMMYFUNCTION("""COMPUTED_VALUE"""),0.752016594895494)</f>
        <v>0.75201659489549399</v>
      </c>
      <c r="M315" s="111" t="str">
        <f ca="1">IFERROR(__xludf.DUMMYFUNCTION("""COMPUTED_VALUE"""),"СМР 2021 год")</f>
        <v>СМР 2021 год</v>
      </c>
      <c r="N315" s="111"/>
      <c r="O315" s="111"/>
      <c r="P315" s="111"/>
      <c r="Q315" s="112"/>
      <c r="R315" s="103"/>
      <c r="S315" s="103"/>
      <c r="T315" s="103"/>
      <c r="U315" s="103"/>
      <c r="V315" s="103"/>
      <c r="W315" s="103"/>
      <c r="X315" s="103"/>
      <c r="Y315" s="103"/>
      <c r="Z315" s="103"/>
      <c r="AA315" s="103"/>
    </row>
    <row r="316" spans="1:27" ht="76.5" x14ac:dyDescent="0.2">
      <c r="A316" s="110">
        <v>111</v>
      </c>
      <c r="B316" s="111" t="str">
        <f ca="1">IFERROR(__xludf.DUMMYFUNCTION("""COMPUTED_VALUE"""),"МинЖКХ")</f>
        <v>МинЖКХ</v>
      </c>
      <c r="C316" s="111" t="str">
        <f ca="1">IFERROR(__xludf.DUMMYFUNCTION("""COMPUTED_VALUE"""),"ФПЛК г.о. Можайск")</f>
        <v>ФПЛК г.о. Можайск</v>
      </c>
      <c r="D316" s="111" t="str">
        <f ca="1">IFERROR(__xludf.DUMMYFUNCTION("""COMPUTED_VALUE"""),"Капитальный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f>
        <v>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v>
      </c>
      <c r="E316" s="111" t="str">
        <f ca="1">IFERROR(__xludf.DUMMYFUNCTION("""COMPUTED_VALUE"""),"2020-2021")</f>
        <v>2020-2021</v>
      </c>
      <c r="F316" s="113">
        <f ca="1">IFERROR(__xludf.DUMMYFUNCTION("""COMPUTED_VALUE"""),140263)</f>
        <v>140263</v>
      </c>
      <c r="G316" s="113">
        <f ca="1">IFERROR(__xludf.DUMMYFUNCTION("""COMPUTED_VALUE"""),0)</f>
        <v>0</v>
      </c>
      <c r="H316" s="113">
        <f ca="1">IFERROR(__xludf.DUMMYFUNCTION("""COMPUTED_VALUE"""),0)</f>
        <v>0</v>
      </c>
      <c r="I316" s="113">
        <f ca="1">IFERROR(__xludf.DUMMYFUNCTION("""COMPUTED_VALUE"""),140263)</f>
        <v>140263</v>
      </c>
      <c r="J316" s="111">
        <f ca="1">IFERROR(__xludf.DUMMYFUNCTION("""COMPUTED_VALUE"""),140263)</f>
        <v>140263</v>
      </c>
      <c r="K316" s="113">
        <f ca="1">IFERROR(__xludf.DUMMYFUNCTION("""COMPUTED_VALUE"""),0)</f>
        <v>0</v>
      </c>
      <c r="L316" s="114">
        <f ca="1">IFERROR(__xludf.DUMMYFUNCTION("""COMPUTED_VALUE"""),1)</f>
        <v>1</v>
      </c>
      <c r="M316" s="111"/>
      <c r="N316" s="111"/>
      <c r="O316" s="111"/>
      <c r="P316" s="111"/>
      <c r="Q316" s="112"/>
      <c r="R316" s="103"/>
      <c r="S316" s="103"/>
      <c r="T316" s="103"/>
      <c r="U316" s="103"/>
      <c r="V316" s="103"/>
      <c r="W316" s="103"/>
      <c r="X316" s="103"/>
      <c r="Y316" s="103"/>
      <c r="Z316" s="103"/>
      <c r="AA316" s="103"/>
    </row>
    <row r="317" spans="1:27" ht="38.25" x14ac:dyDescent="0.2">
      <c r="A317" s="110">
        <v>112</v>
      </c>
      <c r="B317" s="111" t="str">
        <f ca="1">IFERROR(__xludf.DUMMYFUNCTION("""COMPUTED_VALUE"""),"МинЖКХ")</f>
        <v>МинЖКХ</v>
      </c>
      <c r="C317" s="111" t="str">
        <f ca="1">IFERROR(__xludf.DUMMYFUNCTION("""COMPUTED_VALUE"""),"ФПЛК г.о. Можайск")</f>
        <v>ФПЛК г.о. Можайск</v>
      </c>
      <c r="D317" s="111" t="str">
        <f ca="1">IFERROR(__xludf.DUMMYFUNCTION("""COMPUTED_VALUE"""),"Капитальный ремонт котельной № 40 по адресу: Московская область, г. Можайск, ул. Российская, д. 4а")</f>
        <v>Капитальный ремонт котельной № 40 по адресу: Московская область, г. Можайск, ул. Российская, д. 4а</v>
      </c>
      <c r="E317" s="111">
        <f ca="1">IFERROR(__xludf.DUMMYFUNCTION("""COMPUTED_VALUE"""),2020)</f>
        <v>2020</v>
      </c>
      <c r="F317" s="113">
        <f ca="1">IFERROR(__xludf.DUMMYFUNCTION("""COMPUTED_VALUE"""),160854)</f>
        <v>160854</v>
      </c>
      <c r="G317" s="113">
        <f ca="1">IFERROR(__xludf.DUMMYFUNCTION("""COMPUTED_VALUE"""),0)</f>
        <v>0</v>
      </c>
      <c r="H317" s="113">
        <f ca="1">IFERROR(__xludf.DUMMYFUNCTION("""COMPUTED_VALUE"""),0)</f>
        <v>0</v>
      </c>
      <c r="I317" s="113">
        <f ca="1">IFERROR(__xludf.DUMMYFUNCTION("""COMPUTED_VALUE"""),160854)</f>
        <v>160854</v>
      </c>
      <c r="J317" s="111">
        <f ca="1">IFERROR(__xludf.DUMMYFUNCTION("""COMPUTED_VALUE"""),158072)</f>
        <v>158072</v>
      </c>
      <c r="K317" s="113">
        <f ca="1">IFERROR(__xludf.DUMMYFUNCTION("""COMPUTED_VALUE"""),2782)</f>
        <v>2782</v>
      </c>
      <c r="L317" s="114">
        <f ca="1">IFERROR(__xludf.DUMMYFUNCTION("""COMPUTED_VALUE"""),0.98270481306029)</f>
        <v>0.98270481306029001</v>
      </c>
      <c r="M317" s="111"/>
      <c r="N317" s="111"/>
      <c r="O317" s="111"/>
      <c r="P317" s="111"/>
      <c r="Q317" s="112"/>
      <c r="R317" s="103"/>
      <c r="S317" s="103"/>
      <c r="T317" s="103"/>
      <c r="U317" s="103"/>
      <c r="V317" s="103"/>
      <c r="W317" s="103"/>
      <c r="X317" s="103"/>
      <c r="Y317" s="103"/>
      <c r="Z317" s="103"/>
      <c r="AA317" s="103"/>
    </row>
    <row r="318" spans="1:27" ht="63.75" x14ac:dyDescent="0.2">
      <c r="A318" s="116">
        <v>113</v>
      </c>
      <c r="B318" s="117" t="str">
        <f ca="1">IFERROR(__xludf.DUMMYFUNCTION("""COMPUTED_VALUE"""),"МинЖКХ")</f>
        <v>МинЖКХ</v>
      </c>
      <c r="C318" s="117" t="str">
        <f ca="1">IFERROR(__xludf.DUMMYFUNCTION("""COMPUTED_VALUE"""),"г.о. Одинцово")</f>
        <v>г.о. Одинцово</v>
      </c>
      <c r="D318" s="117" t="str">
        <f ca="1">IFERROR(__xludf.DUMMYFUNCTION("""COMPUTED_VALUE"""),"Строительство хозяйственно-бытовой канализации в дер. Раздоры Одинцовского городского округа Московской области»  (в .т.ч. Тех.присоединение )")</f>
        <v>Строительство хозяйственно-бытовой канализации в дер. Раздоры Одинцовского городского округа Московской области»  (в .т.ч. Тех.присоединение )</v>
      </c>
      <c r="E318" s="117" t="str">
        <f ca="1">IFERROR(__xludf.DUMMYFUNCTION("""COMPUTED_VALUE"""),"2020-2021")</f>
        <v>2020-2021</v>
      </c>
      <c r="F318" s="118">
        <f ca="1">IFERROR(__xludf.DUMMYFUNCTION("""COMPUTED_VALUE"""),80753)</f>
        <v>80753</v>
      </c>
      <c r="G318" s="118">
        <f ca="1">IFERROR(__xludf.DUMMYFUNCTION("""COMPUTED_VALUE"""),80753)</f>
        <v>80753</v>
      </c>
      <c r="H318" s="118">
        <f ca="1">IFERROR(__xludf.DUMMYFUNCTION("""COMPUTED_VALUE"""),0)</f>
        <v>0</v>
      </c>
      <c r="I318" s="118">
        <f ca="1">IFERROR(__xludf.DUMMYFUNCTION("""COMPUTED_VALUE"""),0)</f>
        <v>0</v>
      </c>
      <c r="J318" s="117">
        <f ca="1">IFERROR(__xludf.DUMMYFUNCTION("""COMPUTED_VALUE"""),74666.24)</f>
        <v>74666.240000000005</v>
      </c>
      <c r="K318" s="118">
        <f ca="1">IFERROR(__xludf.DUMMYFUNCTION("""COMPUTED_VALUE"""),6086.75999999999)</f>
        <v>6086.7599999999902</v>
      </c>
      <c r="L318" s="119">
        <f ca="1">IFERROR(__xludf.DUMMYFUNCTION("""COMPUTED_VALUE"""),0.924624967493467)</f>
        <v>0.92462496749346701</v>
      </c>
      <c r="M318" s="117" t="str">
        <f ca="1">IFERROR(__xludf.DUMMYFUNCTION("""COMPUTED_VALUE"""),"Техприз оплачен, не направлена заявка на опалту  аванса ")</f>
        <v xml:space="preserve">Техприз оплачен, не направлена заявка на опалту  аванса </v>
      </c>
      <c r="N318" s="111"/>
      <c r="O318" s="111"/>
      <c r="P318" s="111"/>
      <c r="Q318" s="115">
        <v>44154</v>
      </c>
      <c r="R318" s="103"/>
      <c r="S318" s="103"/>
      <c r="T318" s="103"/>
      <c r="U318" s="103"/>
      <c r="V318" s="103"/>
      <c r="W318" s="103"/>
      <c r="X318" s="103"/>
      <c r="Y318" s="103"/>
      <c r="Z318" s="103"/>
      <c r="AA318" s="103"/>
    </row>
    <row r="319" spans="1:27" ht="51" x14ac:dyDescent="0.2">
      <c r="A319" s="110">
        <v>114</v>
      </c>
      <c r="B319" s="111" t="str">
        <f ca="1">IFERROR(__xludf.DUMMYFUNCTION("""COMPUTED_VALUE"""),"МинЖКХ")</f>
        <v>МинЖКХ</v>
      </c>
      <c r="C319" s="111" t="str">
        <f ca="1">IFERROR(__xludf.DUMMYFUNCTION("""COMPUTED_VALUE"""),"г.о. Озеры")</f>
        <v>г.о. Озеры</v>
      </c>
      <c r="D319" s="111" t="str">
        <f ca="1">IFERROR(__xludf.DUMMYFUNCTION("""COMPUTED_VALUE"""),"Реконструкция газовой котельной №5 в поселке центральной усадьбы совхоза ""Озёры"", г.о. Озёры")</f>
        <v>Реконструкция газовой котельной №5 в поселке центральной усадьбы совхоза "Озёры", г.о. Озёры</v>
      </c>
      <c r="E319" s="111">
        <f ca="1">IFERROR(__xludf.DUMMYFUNCTION("""COMPUTED_VALUE"""),2020)</f>
        <v>2020</v>
      </c>
      <c r="F319" s="113">
        <f ca="1">IFERROR(__xludf.DUMMYFUNCTION("""COMPUTED_VALUE"""),38076.79)</f>
        <v>38076.79</v>
      </c>
      <c r="G319" s="113">
        <f ca="1">IFERROR(__xludf.DUMMYFUNCTION("""COMPUTED_VALUE"""),38076.79)</f>
        <v>38076.79</v>
      </c>
      <c r="H319" s="113">
        <f ca="1">IFERROR(__xludf.DUMMYFUNCTION("""COMPUTED_VALUE"""),0)</f>
        <v>0</v>
      </c>
      <c r="I319" s="113">
        <f ca="1">IFERROR(__xludf.DUMMYFUNCTION("""COMPUTED_VALUE"""),0)</f>
        <v>0</v>
      </c>
      <c r="J319" s="111">
        <f ca="1">IFERROR(__xludf.DUMMYFUNCTION("""COMPUTED_VALUE"""),35955.06)</f>
        <v>35955.06</v>
      </c>
      <c r="K319" s="113">
        <f ca="1">IFERROR(__xludf.DUMMYFUNCTION("""COMPUTED_VALUE"""),2121.73)</f>
        <v>2121.73</v>
      </c>
      <c r="L319" s="114">
        <f ca="1">IFERROR(__xludf.DUMMYFUNCTION("""COMPUTED_VALUE"""),0.944277603232835)</f>
        <v>0.94427760323283505</v>
      </c>
      <c r="M319" s="111"/>
      <c r="N319" s="111"/>
      <c r="O319" s="111"/>
      <c r="P319" s="111"/>
      <c r="Q319" s="112"/>
      <c r="R319" s="103"/>
      <c r="S319" s="103"/>
      <c r="T319" s="103"/>
      <c r="U319" s="103"/>
      <c r="V319" s="103"/>
      <c r="W319" s="103"/>
      <c r="X319" s="103"/>
      <c r="Y319" s="103"/>
      <c r="Z319" s="103"/>
      <c r="AA319" s="103"/>
    </row>
    <row r="320" spans="1:27" ht="89.25" x14ac:dyDescent="0.2">
      <c r="A320" s="110">
        <v>115</v>
      </c>
      <c r="B320" s="111" t="str">
        <f ca="1">IFERROR(__xludf.DUMMYFUNCTION("""COMPUTED_VALUE"""),"МинЖКХ")</f>
        <v>МинЖКХ</v>
      </c>
      <c r="C320" s="111" t="str">
        <f ca="1">IFERROR(__xludf.DUMMYFUNCTION("""COMPUTED_VALUE"""),"г.о. Пущино")</f>
        <v>г.о. Пущино</v>
      </c>
      <c r="D320" s="111" t="str">
        <f ca="1">IFERROR(__xludf.DUMMYFUNCTION("""COMPUTED_VALUE"""),"Капитальный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f>
        <v xml:space="preserv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v>
      </c>
      <c r="E320" s="111">
        <f ca="1">IFERROR(__xludf.DUMMYFUNCTION("""COMPUTED_VALUE"""),2020)</f>
        <v>2020</v>
      </c>
      <c r="F320" s="113">
        <f ca="1">IFERROR(__xludf.DUMMYFUNCTION("""COMPUTED_VALUE"""),15280)</f>
        <v>15280</v>
      </c>
      <c r="G320" s="113">
        <f ca="1">IFERROR(__xludf.DUMMYFUNCTION("""COMPUTED_VALUE"""),15280)</f>
        <v>15280</v>
      </c>
      <c r="H320" s="113">
        <f ca="1">IFERROR(__xludf.DUMMYFUNCTION("""COMPUTED_VALUE"""),0)</f>
        <v>0</v>
      </c>
      <c r="I320" s="113">
        <f ca="1">IFERROR(__xludf.DUMMYFUNCTION("""COMPUTED_VALUE"""),0)</f>
        <v>0</v>
      </c>
      <c r="J320" s="111">
        <f ca="1">IFERROR(__xludf.DUMMYFUNCTION("""COMPUTED_VALUE"""),14703.53)</f>
        <v>14703.53</v>
      </c>
      <c r="K320" s="113">
        <f ca="1">IFERROR(__xludf.DUMMYFUNCTION("""COMPUTED_VALUE"""),576.469999999999)</f>
        <v>576.469999999999</v>
      </c>
      <c r="L320" s="114">
        <f ca="1">IFERROR(__xludf.DUMMYFUNCTION("""COMPUTED_VALUE"""),0.962272905759162)</f>
        <v>0.96227290575916202</v>
      </c>
      <c r="M320" s="111" t="str">
        <f ca="1">IFERROR(__xludf.DUMMYFUNCTION("""COMPUTED_VALUE"""),"Оплаят по окончание работ ")</f>
        <v xml:space="preserve">Оплаят по окончание работ </v>
      </c>
      <c r="N320" s="111"/>
      <c r="O320" s="111"/>
      <c r="P320" s="111"/>
      <c r="Q320" s="112"/>
      <c r="R320" s="103"/>
      <c r="S320" s="103"/>
      <c r="T320" s="103"/>
      <c r="U320" s="103"/>
      <c r="V320" s="103"/>
      <c r="W320" s="103"/>
      <c r="X320" s="103"/>
      <c r="Y320" s="103"/>
      <c r="Z320" s="103"/>
      <c r="AA320" s="103"/>
    </row>
    <row r="321" spans="1:27" ht="191.25" x14ac:dyDescent="0.2">
      <c r="A321" s="110">
        <v>116</v>
      </c>
      <c r="B321" s="111" t="str">
        <f ca="1">IFERROR(__xludf.DUMMYFUNCTION("""COMPUTED_VALUE"""),"МинЖКХ")</f>
        <v>МинЖКХ</v>
      </c>
      <c r="C321" s="111" t="str">
        <f ca="1">IFERROR(__xludf.DUMMYFUNCTION("""COMPUTED_VALUE"""),"г.о. Раменский")</f>
        <v>г.о. Раменский</v>
      </c>
      <c r="D321" s="111" t="str">
        <f ca="1">IFERROR(__xludf.DUMMYFUNCTION("""COMPUTED_VALUE"""),"Строительство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разме"&amp;"ре 2 047,50 тыс.руб. из них средства бюджета Московской области - 2 047,19 тыс.руб., средства бюджета муниципального образования - 0,31 тыс.руб.  ")</f>
        <v xml:space="preserv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2 047,50 тыс.руб. из них средства бюджета Московской области - 2 047,19 тыс.руб., средства бюджета муниципального образования - 0,31 тыс.руб.  </v>
      </c>
      <c r="E321" s="111">
        <f ca="1">IFERROR(__xludf.DUMMYFUNCTION("""COMPUTED_VALUE"""),2020)</f>
        <v>2020</v>
      </c>
      <c r="F321" s="113">
        <f ca="1">IFERROR(__xludf.DUMMYFUNCTION("""COMPUTED_VALUE"""),2047.19)</f>
        <v>2047.19</v>
      </c>
      <c r="G321" s="113">
        <f ca="1">IFERROR(__xludf.DUMMYFUNCTION("""COMPUTED_VALUE"""),2047.19)</f>
        <v>2047.19</v>
      </c>
      <c r="H321" s="113">
        <f ca="1">IFERROR(__xludf.DUMMYFUNCTION("""COMPUTED_VALUE"""),0)</f>
        <v>0</v>
      </c>
      <c r="I321" s="113">
        <f ca="1">IFERROR(__xludf.DUMMYFUNCTION("""COMPUTED_VALUE"""),0)</f>
        <v>0</v>
      </c>
      <c r="J321" s="111">
        <f ca="1">IFERROR(__xludf.DUMMYFUNCTION("""COMPUTED_VALUE"""),2047.19)</f>
        <v>2047.19</v>
      </c>
      <c r="K321" s="113">
        <f ca="1">IFERROR(__xludf.DUMMYFUNCTION("""COMPUTED_VALUE"""),0)</f>
        <v>0</v>
      </c>
      <c r="L321" s="114">
        <f ca="1">IFERROR(__xludf.DUMMYFUNCTION("""COMPUTED_VALUE"""),1)</f>
        <v>1</v>
      </c>
      <c r="M321" s="111"/>
      <c r="N321" s="111"/>
      <c r="O321" s="111"/>
      <c r="P321" s="111"/>
      <c r="Q321" s="112"/>
      <c r="R321" s="103"/>
      <c r="S321" s="103"/>
      <c r="T321" s="103"/>
      <c r="U321" s="103"/>
      <c r="V321" s="103"/>
      <c r="W321" s="103"/>
      <c r="X321" s="103"/>
      <c r="Y321" s="103"/>
      <c r="Z321" s="103"/>
      <c r="AA321" s="103"/>
    </row>
    <row r="322" spans="1:27" ht="89.25" x14ac:dyDescent="0.2">
      <c r="A322" s="110">
        <v>117</v>
      </c>
      <c r="B322" s="111" t="str">
        <f ca="1">IFERROR(__xludf.DUMMYFUNCTION("""COMPUTED_VALUE"""),"МинЖКХ")</f>
        <v>МинЖКХ</v>
      </c>
      <c r="C322" s="111" t="str">
        <f ca="1">IFERROR(__xludf.DUMMYFUNCTION("""COMPUTED_VALUE"""),"г.о. Раменский")</f>
        <v>г.о. Раменский</v>
      </c>
      <c r="D322" s="111" t="str">
        <f ca="1">IFERROR(__xludf.DUMMYFUNCTION("""COMPUTED_VALUE"""),"Строительство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f>
        <v>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v>
      </c>
      <c r="E322" s="111">
        <f ca="1">IFERROR(__xludf.DUMMYFUNCTION("""COMPUTED_VALUE"""),2020)</f>
        <v>2020</v>
      </c>
      <c r="F322" s="113">
        <f ca="1">IFERROR(__xludf.DUMMYFUNCTION("""COMPUTED_VALUE"""),665)</f>
        <v>665</v>
      </c>
      <c r="G322" s="113">
        <f ca="1">IFERROR(__xludf.DUMMYFUNCTION("""COMPUTED_VALUE"""),665)</f>
        <v>665</v>
      </c>
      <c r="H322" s="113">
        <f ca="1">IFERROR(__xludf.DUMMYFUNCTION("""COMPUTED_VALUE"""),0)</f>
        <v>0</v>
      </c>
      <c r="I322" s="113">
        <f ca="1">IFERROR(__xludf.DUMMYFUNCTION("""COMPUTED_VALUE"""),0)</f>
        <v>0</v>
      </c>
      <c r="J322" s="111">
        <f ca="1">IFERROR(__xludf.DUMMYFUNCTION("""COMPUTED_VALUE"""),665)</f>
        <v>665</v>
      </c>
      <c r="K322" s="113">
        <f ca="1">IFERROR(__xludf.DUMMYFUNCTION("""COMPUTED_VALUE"""),0)</f>
        <v>0</v>
      </c>
      <c r="L322" s="114">
        <f ca="1">IFERROR(__xludf.DUMMYFUNCTION("""COMPUTED_VALUE"""),1)</f>
        <v>1</v>
      </c>
      <c r="M322" s="111"/>
      <c r="N322" s="111"/>
      <c r="O322" s="111"/>
      <c r="P322" s="111"/>
      <c r="Q322" s="112"/>
      <c r="R322" s="103"/>
      <c r="S322" s="103"/>
      <c r="T322" s="103"/>
      <c r="U322" s="103"/>
      <c r="V322" s="103"/>
      <c r="W322" s="103"/>
      <c r="X322" s="103"/>
      <c r="Y322" s="103"/>
      <c r="Z322" s="103"/>
      <c r="AA322" s="103"/>
    </row>
    <row r="323" spans="1:27" ht="25.5" x14ac:dyDescent="0.2">
      <c r="A323" s="110">
        <v>118</v>
      </c>
      <c r="B323" s="111" t="str">
        <f ca="1">IFERROR(__xludf.DUMMYFUNCTION("""COMPUTED_VALUE"""),"МинЖКХ")</f>
        <v>МинЖКХ</v>
      </c>
      <c r="C323" s="111" t="str">
        <f ca="1">IFERROR(__xludf.DUMMYFUNCTION("""COMPUTED_VALUE"""),"г.о. Рузский")</f>
        <v>г.о. Рузский</v>
      </c>
      <c r="D323" s="111" t="str">
        <f ca="1">IFERROR(__xludf.DUMMYFUNCTION("""COMPUTED_VALUE"""),"Строительство БМК  д. Колодкино, д.10  г.о. Рузский")</f>
        <v>Строительство БМК  д. Колодкино, д.10  г.о. Рузский</v>
      </c>
      <c r="E323" s="111">
        <f ca="1">IFERROR(__xludf.DUMMYFUNCTION("""COMPUTED_VALUE"""),2020)</f>
        <v>2020</v>
      </c>
      <c r="F323" s="113">
        <f ca="1">IFERROR(__xludf.DUMMYFUNCTION("""COMPUTED_VALUE"""),6258.83)</f>
        <v>6258.83</v>
      </c>
      <c r="G323" s="113">
        <f ca="1">IFERROR(__xludf.DUMMYFUNCTION("""COMPUTED_VALUE"""),6258.83)</f>
        <v>6258.83</v>
      </c>
      <c r="H323" s="113">
        <f ca="1">IFERROR(__xludf.DUMMYFUNCTION("""COMPUTED_VALUE"""),0)</f>
        <v>0</v>
      </c>
      <c r="I323" s="113">
        <f ca="1">IFERROR(__xludf.DUMMYFUNCTION("""COMPUTED_VALUE"""),0)</f>
        <v>0</v>
      </c>
      <c r="J323" s="111">
        <f ca="1">IFERROR(__xludf.DUMMYFUNCTION("""COMPUTED_VALUE"""),5804.12)</f>
        <v>5804.12</v>
      </c>
      <c r="K323" s="113">
        <f ca="1">IFERROR(__xludf.DUMMYFUNCTION("""COMPUTED_VALUE"""),454.71)</f>
        <v>454.71</v>
      </c>
      <c r="L323" s="114">
        <f ca="1">IFERROR(__xludf.DUMMYFUNCTION("""COMPUTED_VALUE"""),0.927349041274487)</f>
        <v>0.92734904127448703</v>
      </c>
      <c r="M323" s="111" t="str">
        <f ca="1">IFERROR(__xludf.DUMMYFUNCTION("""COMPUTED_VALUE"""),"Оплата после завершение контракта ")</f>
        <v xml:space="preserve">Оплата после завершение контракта </v>
      </c>
      <c r="N323" s="111"/>
      <c r="O323" s="111"/>
      <c r="P323" s="111"/>
      <c r="Q323" s="112"/>
      <c r="R323" s="103"/>
      <c r="S323" s="103"/>
      <c r="T323" s="103"/>
      <c r="U323" s="103"/>
      <c r="V323" s="103"/>
      <c r="W323" s="103"/>
      <c r="X323" s="103"/>
      <c r="Y323" s="103"/>
      <c r="Z323" s="103"/>
      <c r="AA323" s="103"/>
    </row>
    <row r="324" spans="1:27" ht="25.5" x14ac:dyDescent="0.2">
      <c r="A324" s="110">
        <v>119</v>
      </c>
      <c r="B324" s="111" t="str">
        <f ca="1">IFERROR(__xludf.DUMMYFUNCTION("""COMPUTED_VALUE"""),"МинЖКХ")</f>
        <v>МинЖКХ</v>
      </c>
      <c r="C324" s="111" t="str">
        <f ca="1">IFERROR(__xludf.DUMMYFUNCTION("""COMPUTED_VALUE"""),"г.о. Рузский")</f>
        <v>г.о. Рузский</v>
      </c>
      <c r="D324" s="111" t="str">
        <f ca="1">IFERROR(__xludf.DUMMYFUNCTION("""COMPUTED_VALUE"""),"Строительство БМК д. Грибцово, ул. Больничная, д.13  г.о. Рузский")</f>
        <v>Строительство БМК д. Грибцово, ул. Больничная, д.13  г.о. Рузский</v>
      </c>
      <c r="E324" s="111">
        <f ca="1">IFERROR(__xludf.DUMMYFUNCTION("""COMPUTED_VALUE"""),2020)</f>
        <v>2020</v>
      </c>
      <c r="F324" s="113">
        <f ca="1">IFERROR(__xludf.DUMMYFUNCTION("""COMPUTED_VALUE"""),6600.25)</f>
        <v>6600.25</v>
      </c>
      <c r="G324" s="113">
        <f ca="1">IFERROR(__xludf.DUMMYFUNCTION("""COMPUTED_VALUE"""),6600.25)</f>
        <v>6600.25</v>
      </c>
      <c r="H324" s="113">
        <f ca="1">IFERROR(__xludf.DUMMYFUNCTION("""COMPUTED_VALUE"""),0)</f>
        <v>0</v>
      </c>
      <c r="I324" s="113">
        <f ca="1">IFERROR(__xludf.DUMMYFUNCTION("""COMPUTED_VALUE"""),0)</f>
        <v>0</v>
      </c>
      <c r="J324" s="111">
        <f ca="1">IFERROR(__xludf.DUMMYFUNCTION("""COMPUTED_VALUE"""),6120.53)</f>
        <v>6120.53</v>
      </c>
      <c r="K324" s="113">
        <f ca="1">IFERROR(__xludf.DUMMYFUNCTION("""COMPUTED_VALUE"""),479.72)</f>
        <v>479.72</v>
      </c>
      <c r="L324" s="114">
        <f ca="1">IFERROR(__xludf.DUMMYFUNCTION("""COMPUTED_VALUE"""),0.927317904624824)</f>
        <v>0.927317904624824</v>
      </c>
      <c r="M324" s="111" t="str">
        <f ca="1">IFERROR(__xludf.DUMMYFUNCTION("""COMPUTED_VALUE"""),"Оплата после завершение контракта ")</f>
        <v xml:space="preserve">Оплата после завершение контракта </v>
      </c>
      <c r="N324" s="111"/>
      <c r="O324" s="111"/>
      <c r="P324" s="111"/>
      <c r="Q324" s="112"/>
      <c r="R324" s="103"/>
      <c r="S324" s="103"/>
      <c r="T324" s="103"/>
      <c r="U324" s="103"/>
      <c r="V324" s="103"/>
      <c r="W324" s="103"/>
      <c r="X324" s="103"/>
      <c r="Y324" s="103"/>
      <c r="Z324" s="103"/>
      <c r="AA324" s="103"/>
    </row>
    <row r="325" spans="1:27" ht="25.5" x14ac:dyDescent="0.2">
      <c r="A325" s="110">
        <v>120</v>
      </c>
      <c r="B325" s="111" t="str">
        <f ca="1">IFERROR(__xludf.DUMMYFUNCTION("""COMPUTED_VALUE"""),"МинЖКХ")</f>
        <v>МинЖКХ</v>
      </c>
      <c r="C325" s="111" t="str">
        <f ca="1">IFERROR(__xludf.DUMMYFUNCTION("""COMPUTED_VALUE"""),"г.о. Рузский")</f>
        <v>г.о. Рузский</v>
      </c>
      <c r="D325" s="111" t="str">
        <f ca="1">IFERROR(__xludf.DUMMYFUNCTION("""COMPUTED_VALUE"""),"Строительство БМК д. Ивойлово, д.18  г.о. Рузский")</f>
        <v>Строительство БМК д. Ивойлово, д.18  г.о. Рузский</v>
      </c>
      <c r="E325" s="111">
        <f ca="1">IFERROR(__xludf.DUMMYFUNCTION("""COMPUTED_VALUE"""),2020)</f>
        <v>2020</v>
      </c>
      <c r="F325" s="113">
        <f ca="1">IFERROR(__xludf.DUMMYFUNCTION("""COMPUTED_VALUE"""),6958.36)</f>
        <v>6958.36</v>
      </c>
      <c r="G325" s="113">
        <f ca="1">IFERROR(__xludf.DUMMYFUNCTION("""COMPUTED_VALUE"""),6958.36)</f>
        <v>6958.36</v>
      </c>
      <c r="H325" s="113">
        <f ca="1">IFERROR(__xludf.DUMMYFUNCTION("""COMPUTED_VALUE"""),0)</f>
        <v>0</v>
      </c>
      <c r="I325" s="113">
        <f ca="1">IFERROR(__xludf.DUMMYFUNCTION("""COMPUTED_VALUE"""),0)</f>
        <v>0</v>
      </c>
      <c r="J325" s="111">
        <f ca="1">IFERROR(__xludf.DUMMYFUNCTION("""COMPUTED_VALUE"""),6452.61)</f>
        <v>6452.61</v>
      </c>
      <c r="K325" s="113">
        <f ca="1">IFERROR(__xludf.DUMMYFUNCTION("""COMPUTED_VALUE"""),505.75)</f>
        <v>505.75</v>
      </c>
      <c r="L325" s="114">
        <f ca="1">IFERROR(__xludf.DUMMYFUNCTION("""COMPUTED_VALUE"""),0.927317643812622)</f>
        <v>0.92731764381262205</v>
      </c>
      <c r="M325" s="111" t="str">
        <f ca="1">IFERROR(__xludf.DUMMYFUNCTION("""COMPUTED_VALUE"""),"Оплата после завершение контракта ")</f>
        <v xml:space="preserve">Оплата после завершение контракта </v>
      </c>
      <c r="N325" s="111"/>
      <c r="O325" s="111"/>
      <c r="P325" s="111"/>
      <c r="Q325" s="112"/>
      <c r="R325" s="103"/>
      <c r="S325" s="103"/>
      <c r="T325" s="103"/>
      <c r="U325" s="103"/>
      <c r="V325" s="103"/>
      <c r="W325" s="103"/>
      <c r="X325" s="103"/>
      <c r="Y325" s="103"/>
      <c r="Z325" s="103"/>
      <c r="AA325" s="103"/>
    </row>
    <row r="326" spans="1:27" ht="25.5" x14ac:dyDescent="0.2">
      <c r="A326" s="110">
        <v>121</v>
      </c>
      <c r="B326" s="111" t="str">
        <f ca="1">IFERROR(__xludf.DUMMYFUNCTION("""COMPUTED_VALUE"""),"МинЖКХ")</f>
        <v>МинЖКХ</v>
      </c>
      <c r="C326" s="111" t="str">
        <f ca="1">IFERROR(__xludf.DUMMYFUNCTION("""COMPUTED_VALUE"""),"г.о. Рузский")</f>
        <v>г.о. Рузский</v>
      </c>
      <c r="D326" s="111" t="str">
        <f ca="1">IFERROR(__xludf.DUMMYFUNCTION("""COMPUTED_VALUE"""),"Строительство БМК д. Лихачево, д.78  г.о. Рузский")</f>
        <v>Строительство БМК д. Лихачево, д.78  г.о. Рузский</v>
      </c>
      <c r="E326" s="111">
        <f ca="1">IFERROR(__xludf.DUMMYFUNCTION("""COMPUTED_VALUE"""),2020)</f>
        <v>2020</v>
      </c>
      <c r="F326" s="113">
        <f ca="1">IFERROR(__xludf.DUMMYFUNCTION("""COMPUTED_VALUE"""),8881.97)</f>
        <v>8881.9699999999993</v>
      </c>
      <c r="G326" s="113">
        <f ca="1">IFERROR(__xludf.DUMMYFUNCTION("""COMPUTED_VALUE"""),8881.97)</f>
        <v>8881.9699999999993</v>
      </c>
      <c r="H326" s="113">
        <f ca="1">IFERROR(__xludf.DUMMYFUNCTION("""COMPUTED_VALUE"""),0)</f>
        <v>0</v>
      </c>
      <c r="I326" s="113">
        <f ca="1">IFERROR(__xludf.DUMMYFUNCTION("""COMPUTED_VALUE"""),0)</f>
        <v>0</v>
      </c>
      <c r="J326" s="111">
        <f ca="1">IFERROR(__xludf.DUMMYFUNCTION("""COMPUTED_VALUE"""),8551.76)</f>
        <v>8551.76</v>
      </c>
      <c r="K326" s="113">
        <f ca="1">IFERROR(__xludf.DUMMYFUNCTION("""COMPUTED_VALUE"""),330.209999999999)</f>
        <v>330.20999999999901</v>
      </c>
      <c r="L326" s="114">
        <f ca="1">IFERROR(__xludf.DUMMYFUNCTION("""COMPUTED_VALUE"""),0.962822436914333)</f>
        <v>0.962822436914333</v>
      </c>
      <c r="M326" s="111" t="str">
        <f ca="1">IFERROR(__xludf.DUMMYFUNCTION("""COMPUTED_VALUE"""),"Оплата после завершение контракта ")</f>
        <v xml:space="preserve">Оплата после завершение контракта </v>
      </c>
      <c r="N326" s="111"/>
      <c r="O326" s="111"/>
      <c r="P326" s="111"/>
      <c r="Q326" s="112"/>
      <c r="R326" s="103"/>
      <c r="S326" s="103"/>
      <c r="T326" s="103"/>
      <c r="U326" s="103"/>
      <c r="V326" s="103"/>
      <c r="W326" s="103"/>
      <c r="X326" s="103"/>
      <c r="Y326" s="103"/>
      <c r="Z326" s="103"/>
      <c r="AA326" s="103"/>
    </row>
    <row r="327" spans="1:27" ht="25.5" x14ac:dyDescent="0.2">
      <c r="A327" s="110">
        <v>122</v>
      </c>
      <c r="B327" s="111" t="str">
        <f ca="1">IFERROR(__xludf.DUMMYFUNCTION("""COMPUTED_VALUE"""),"МинЖКХ")</f>
        <v>МинЖКХ</v>
      </c>
      <c r="C327" s="111" t="str">
        <f ca="1">IFERROR(__xludf.DUMMYFUNCTION("""COMPUTED_VALUE"""),"г.о. Рузский")</f>
        <v>г.о. Рузский</v>
      </c>
      <c r="D327" s="111" t="str">
        <f ca="1">IFERROR(__xludf.DUMMYFUNCTION("""COMPUTED_VALUE"""),"Строительство БМК д. Лужки, д.1а, стр.1  г.о. Рузский")</f>
        <v>Строительство БМК д. Лужки, д.1а, стр.1  г.о. Рузский</v>
      </c>
      <c r="E327" s="111">
        <f ca="1">IFERROR(__xludf.DUMMYFUNCTION("""COMPUTED_VALUE"""),2020)</f>
        <v>2020</v>
      </c>
      <c r="F327" s="113">
        <f ca="1">IFERROR(__xludf.DUMMYFUNCTION("""COMPUTED_VALUE"""),8037.89)</f>
        <v>8037.89</v>
      </c>
      <c r="G327" s="113">
        <f ca="1">IFERROR(__xludf.DUMMYFUNCTION("""COMPUTED_VALUE"""),8037.89)</f>
        <v>8037.89</v>
      </c>
      <c r="H327" s="113">
        <f ca="1">IFERROR(__xludf.DUMMYFUNCTION("""COMPUTED_VALUE"""),0)</f>
        <v>0</v>
      </c>
      <c r="I327" s="113">
        <f ca="1">IFERROR(__xludf.DUMMYFUNCTION("""COMPUTED_VALUE"""),0)</f>
        <v>0</v>
      </c>
      <c r="J327" s="111">
        <f ca="1">IFERROR(__xludf.DUMMYFUNCTION("""COMPUTED_VALUE"""),7739.06)</f>
        <v>7739.06</v>
      </c>
      <c r="K327" s="113">
        <f ca="1">IFERROR(__xludf.DUMMYFUNCTION("""COMPUTED_VALUE"""),298.829999999999)</f>
        <v>298.82999999999902</v>
      </c>
      <c r="L327" s="114">
        <f ca="1">IFERROR(__xludf.DUMMYFUNCTION("""COMPUTED_VALUE"""),0.962822332726623)</f>
        <v>0.96282233272662299</v>
      </c>
      <c r="M327" s="111" t="str">
        <f ca="1">IFERROR(__xludf.DUMMYFUNCTION("""COMPUTED_VALUE"""),"Оплата после завершение контракта ")</f>
        <v xml:space="preserve">Оплата после завершение контракта </v>
      </c>
      <c r="N327" s="111"/>
      <c r="O327" s="111"/>
      <c r="P327" s="111"/>
      <c r="Q327" s="112"/>
      <c r="R327" s="103"/>
      <c r="S327" s="103"/>
      <c r="T327" s="103"/>
      <c r="U327" s="103"/>
      <c r="V327" s="103"/>
      <c r="W327" s="103"/>
      <c r="X327" s="103"/>
      <c r="Y327" s="103"/>
      <c r="Z327" s="103"/>
      <c r="AA327" s="103"/>
    </row>
    <row r="328" spans="1:27" ht="25.5" x14ac:dyDescent="0.2">
      <c r="A328" s="110">
        <v>123</v>
      </c>
      <c r="B328" s="111" t="str">
        <f ca="1">IFERROR(__xludf.DUMMYFUNCTION("""COMPUTED_VALUE"""),"МинЖКХ")</f>
        <v>МинЖКХ</v>
      </c>
      <c r="C328" s="111" t="str">
        <f ca="1">IFERROR(__xludf.DUMMYFUNCTION("""COMPUTED_VALUE"""),"г.о. Рузский")</f>
        <v>г.о. Рузский</v>
      </c>
      <c r="D328" s="111" t="str">
        <f ca="1">IFERROR(__xludf.DUMMYFUNCTION("""COMPUTED_VALUE"""),"Строительство БМК д. Старая Руза, ул. ДТК  г.о. Рузский")</f>
        <v>Строительство БМК д. Старая Руза, ул. ДТК  г.о. Рузский</v>
      </c>
      <c r="E328" s="111">
        <f ca="1">IFERROR(__xludf.DUMMYFUNCTION("""COMPUTED_VALUE"""),2020)</f>
        <v>2020</v>
      </c>
      <c r="F328" s="113">
        <f ca="1">IFERROR(__xludf.DUMMYFUNCTION("""COMPUTED_VALUE"""),25676.53)</f>
        <v>25676.53</v>
      </c>
      <c r="G328" s="113">
        <f ca="1">IFERROR(__xludf.DUMMYFUNCTION("""COMPUTED_VALUE"""),25676.53)</f>
        <v>25676.53</v>
      </c>
      <c r="H328" s="113">
        <f ca="1">IFERROR(__xludf.DUMMYFUNCTION("""COMPUTED_VALUE"""),0)</f>
        <v>0</v>
      </c>
      <c r="I328" s="113">
        <f ca="1">IFERROR(__xludf.DUMMYFUNCTION("""COMPUTED_VALUE"""),0)</f>
        <v>0</v>
      </c>
      <c r="J328" s="111">
        <f ca="1">IFERROR(__xludf.DUMMYFUNCTION("""COMPUTED_VALUE"""),25487.41)</f>
        <v>25487.41</v>
      </c>
      <c r="K328" s="113">
        <f ca="1">IFERROR(__xludf.DUMMYFUNCTION("""COMPUTED_VALUE"""),189.119999999998)</f>
        <v>189.11999999999799</v>
      </c>
      <c r="L328" s="114">
        <f ca="1">IFERROR(__xludf.DUMMYFUNCTION("""COMPUTED_VALUE"""),0.992634518760907)</f>
        <v>0.99263451876090703</v>
      </c>
      <c r="M328" s="111" t="str">
        <f ca="1">IFERROR(__xludf.DUMMYFUNCTION("""COMPUTED_VALUE"""),"Оплата после завершение контракта ")</f>
        <v xml:space="preserve">Оплата после завершение контракта </v>
      </c>
      <c r="N328" s="111"/>
      <c r="O328" s="111"/>
      <c r="P328" s="111"/>
      <c r="Q328" s="112"/>
      <c r="R328" s="103"/>
      <c r="S328" s="103"/>
      <c r="T328" s="103"/>
      <c r="U328" s="103"/>
      <c r="V328" s="103"/>
      <c r="W328" s="103"/>
      <c r="X328" s="103"/>
      <c r="Y328" s="103"/>
      <c r="Z328" s="103"/>
      <c r="AA328" s="103"/>
    </row>
    <row r="329" spans="1:27" ht="25.5" x14ac:dyDescent="0.2">
      <c r="A329" s="110">
        <v>124</v>
      </c>
      <c r="B329" s="111" t="str">
        <f ca="1">IFERROR(__xludf.DUMMYFUNCTION("""COMPUTED_VALUE"""),"МинЖКХ")</f>
        <v>МинЖКХ</v>
      </c>
      <c r="C329" s="111" t="str">
        <f ca="1">IFERROR(__xludf.DUMMYFUNCTION("""COMPUTED_VALUE"""),"г.о. Рузский")</f>
        <v>г.о. Рузский</v>
      </c>
      <c r="D329" s="111" t="str">
        <f ca="1">IFERROR(__xludf.DUMMYFUNCTION("""COMPUTED_VALUE"""),"Строительство БМК п. Тучково, ул. Луговая  г.о. Рузский")</f>
        <v>Строительство БМК п. Тучково, ул. Луговая  г.о. Рузский</v>
      </c>
      <c r="E329" s="111" t="str">
        <f ca="1">IFERROR(__xludf.DUMMYFUNCTION("""COMPUTED_VALUE"""),"2020-2021")</f>
        <v>2020-2021</v>
      </c>
      <c r="F329" s="113">
        <f ca="1">IFERROR(__xludf.DUMMYFUNCTION("""COMPUTED_VALUE"""),13280.75)</f>
        <v>13280.75</v>
      </c>
      <c r="G329" s="113">
        <f ca="1">IFERROR(__xludf.DUMMYFUNCTION("""COMPUTED_VALUE"""),13280.75)</f>
        <v>13280.75</v>
      </c>
      <c r="H329" s="113">
        <f ca="1">IFERROR(__xludf.DUMMYFUNCTION("""COMPUTED_VALUE"""),0)</f>
        <v>0</v>
      </c>
      <c r="I329" s="113">
        <f ca="1">IFERROR(__xludf.DUMMYFUNCTION("""COMPUTED_VALUE"""),0)</f>
        <v>0</v>
      </c>
      <c r="J329" s="111">
        <f ca="1">IFERROR(__xludf.DUMMYFUNCTION("""COMPUTED_VALUE"""),13152.63)</f>
        <v>13152.63</v>
      </c>
      <c r="K329" s="113">
        <f ca="1">IFERROR(__xludf.DUMMYFUNCTION("""COMPUTED_VALUE"""),128.12)</f>
        <v>128.12</v>
      </c>
      <c r="L329" s="114">
        <f ca="1">IFERROR(__xludf.DUMMYFUNCTION("""COMPUTED_VALUE"""),0.990352954464168)</f>
        <v>0.99035295446416804</v>
      </c>
      <c r="M329" s="111" t="str">
        <f ca="1">IFERROR(__xludf.DUMMYFUNCTION("""COMPUTED_VALUE"""),"Оплата после заключение контракта. Оплата аванса 30 %. ")</f>
        <v xml:space="preserve">Оплата после заключение контракта. Оплата аванса 30 %. </v>
      </c>
      <c r="N329" s="111"/>
      <c r="O329" s="111"/>
      <c r="P329" s="111"/>
      <c r="Q329" s="112"/>
      <c r="R329" s="103"/>
      <c r="S329" s="103"/>
      <c r="T329" s="103"/>
      <c r="U329" s="103"/>
      <c r="V329" s="103"/>
      <c r="W329" s="103"/>
      <c r="X329" s="103"/>
      <c r="Y329" s="103"/>
      <c r="Z329" s="103"/>
      <c r="AA329" s="103"/>
    </row>
    <row r="330" spans="1:27" ht="25.5" x14ac:dyDescent="0.2">
      <c r="A330" s="110">
        <v>125</v>
      </c>
      <c r="B330" s="111" t="str">
        <f ca="1">IFERROR(__xludf.DUMMYFUNCTION("""COMPUTED_VALUE"""),"МинЖКХ")</f>
        <v>МинЖКХ</v>
      </c>
      <c r="C330" s="111" t="str">
        <f ca="1">IFERROR(__xludf.DUMMYFUNCTION("""COMPUTED_VALUE"""),"г.о. Рузский")</f>
        <v>г.о. Рузский</v>
      </c>
      <c r="D330" s="111" t="str">
        <f ca="1">IFERROR(__xludf.DUMMYFUNCTION("""COMPUTED_VALUE"""),"Строительство БМК с. Богородское, д.30  г.о. Рузский")</f>
        <v>Строительство БМК с. Богородское, д.30  г.о. Рузский</v>
      </c>
      <c r="E330" s="111">
        <f ca="1">IFERROR(__xludf.DUMMYFUNCTION("""COMPUTED_VALUE"""),2020)</f>
        <v>2020</v>
      </c>
      <c r="F330" s="113">
        <f ca="1">IFERROR(__xludf.DUMMYFUNCTION("""COMPUTED_VALUE"""),8782.79)</f>
        <v>8782.7900000000009</v>
      </c>
      <c r="G330" s="113">
        <f ca="1">IFERROR(__xludf.DUMMYFUNCTION("""COMPUTED_VALUE"""),8782.79)</f>
        <v>8782.7900000000009</v>
      </c>
      <c r="H330" s="113">
        <f ca="1">IFERROR(__xludf.DUMMYFUNCTION("""COMPUTED_VALUE"""),0)</f>
        <v>0</v>
      </c>
      <c r="I330" s="113">
        <f ca="1">IFERROR(__xludf.DUMMYFUNCTION("""COMPUTED_VALUE"""),0)</f>
        <v>0</v>
      </c>
      <c r="J330" s="111">
        <f ca="1">IFERROR(__xludf.DUMMYFUNCTION("""COMPUTED_VALUE"""),8144.71)</f>
        <v>8144.71</v>
      </c>
      <c r="K330" s="113">
        <f ca="1">IFERROR(__xludf.DUMMYFUNCTION("""COMPUTED_VALUE"""),638.08)</f>
        <v>638.08000000000004</v>
      </c>
      <c r="L330" s="114">
        <f ca="1">IFERROR(__xludf.DUMMYFUNCTION("""COMPUTED_VALUE"""),0.927348826511848)</f>
        <v>0.92734882651184802</v>
      </c>
      <c r="M330" s="111" t="str">
        <f ca="1">IFERROR(__xludf.DUMMYFUNCTION("""COMPUTED_VALUE"""),"Оплата после завершение контракта ")</f>
        <v xml:space="preserve">Оплата после завершение контракта </v>
      </c>
      <c r="N330" s="111"/>
      <c r="O330" s="111"/>
      <c r="P330" s="111"/>
      <c r="Q330" s="112"/>
      <c r="R330" s="103"/>
      <c r="S330" s="103"/>
      <c r="T330" s="103"/>
      <c r="U330" s="103"/>
      <c r="V330" s="103"/>
      <c r="W330" s="103"/>
      <c r="X330" s="103"/>
      <c r="Y330" s="103"/>
      <c r="Z330" s="103"/>
      <c r="AA330" s="103"/>
    </row>
    <row r="331" spans="1:27" ht="38.25" x14ac:dyDescent="0.2">
      <c r="A331" s="110">
        <v>126</v>
      </c>
      <c r="B331" s="111" t="str">
        <f ca="1">IFERROR(__xludf.DUMMYFUNCTION("""COMPUTED_VALUE"""),"МинЖКХ ""ТОП 5 (2 этап)""")</f>
        <v>МинЖКХ "ТОП 5 (2 этап)"</v>
      </c>
      <c r="C331" s="111" t="str">
        <f ca="1">IFERROR(__xludf.DUMMYFUNCTION("""COMPUTED_VALUE"""),"г.о. Рузский")</f>
        <v>г.о. Рузский</v>
      </c>
      <c r="D331" s="111" t="str">
        <f ca="1">IFERROR(__xludf.DUMMYFUNCTION("""COMPUTED_VALUE"""),"Строительство котельной по адресу: Рузский г.о., п.Тучково, ул. Лебеденко д.36")</f>
        <v>Строительство котельной по адресу: Рузский г.о., п.Тучково, ул. Лебеденко д.36</v>
      </c>
      <c r="E331" s="111" t="str">
        <f ca="1">IFERROR(__xludf.DUMMYFUNCTION("""COMPUTED_VALUE"""),"2020-2021")</f>
        <v>2020-2021</v>
      </c>
      <c r="F331" s="113">
        <f ca="1">IFERROR(__xludf.DUMMYFUNCTION("""COMPUTED_VALUE"""),24558.72)</f>
        <v>24558.720000000001</v>
      </c>
      <c r="G331" s="113">
        <f ca="1">IFERROR(__xludf.DUMMYFUNCTION("""COMPUTED_VALUE"""),24558.72)</f>
        <v>24558.720000000001</v>
      </c>
      <c r="H331" s="113">
        <f ca="1">IFERROR(__xludf.DUMMYFUNCTION("""COMPUTED_VALUE"""),0)</f>
        <v>0</v>
      </c>
      <c r="I331" s="113">
        <f ca="1">IFERROR(__xludf.DUMMYFUNCTION("""COMPUTED_VALUE"""),0)</f>
        <v>0</v>
      </c>
      <c r="J331" s="111">
        <f ca="1">IFERROR(__xludf.DUMMYFUNCTION("""COMPUTED_VALUE"""),0)</f>
        <v>0</v>
      </c>
      <c r="K331" s="113">
        <f ca="1">IFERROR(__xludf.DUMMYFUNCTION("""COMPUTED_VALUE"""),24558.72)</f>
        <v>24558.720000000001</v>
      </c>
      <c r="L331" s="114">
        <f ca="1">IFERROR(__xludf.DUMMYFUNCTION("""COMPUTED_VALUE"""),0)</f>
        <v>0</v>
      </c>
      <c r="M331" s="111"/>
      <c r="N331" s="111"/>
      <c r="O331" s="111"/>
      <c r="P331" s="111"/>
      <c r="Q331" s="112"/>
      <c r="R331" s="103"/>
      <c r="S331" s="103"/>
      <c r="T331" s="103"/>
      <c r="U331" s="103"/>
      <c r="V331" s="103"/>
      <c r="W331" s="103"/>
      <c r="X331" s="103"/>
      <c r="Y331" s="103"/>
      <c r="Z331" s="103"/>
      <c r="AA331" s="103"/>
    </row>
    <row r="332" spans="1:27" ht="38.25" x14ac:dyDescent="0.2">
      <c r="A332" s="110">
        <v>127</v>
      </c>
      <c r="B332" s="111" t="str">
        <f ca="1">IFERROR(__xludf.DUMMYFUNCTION("""COMPUTED_VALUE"""),"МинЖКХ")</f>
        <v>МинЖКХ</v>
      </c>
      <c r="C332" s="111" t="str">
        <f ca="1">IFERROR(__xludf.DUMMYFUNCTION("""COMPUTED_VALUE"""),"г.о. Сергиев Посад")</f>
        <v>г.о. Сергиев Посад</v>
      </c>
      <c r="D332" s="111" t="str">
        <f ca="1">IFERROR(__xludf.DUMMYFUNCTION("""COMPUTED_VALUE"""),"Реконструкция объектов инженерной инфраструктуры по ул.Кооперативная, г.Хотьково")</f>
        <v>Реконструкция объектов инженерной инфраструктуры по ул.Кооперативная, г.Хотьково</v>
      </c>
      <c r="E332" s="111" t="str">
        <f ca="1">IFERROR(__xludf.DUMMYFUNCTION("""COMPUTED_VALUE"""),"2020-2021")</f>
        <v>2020-2021</v>
      </c>
      <c r="F332" s="113">
        <f ca="1">IFERROR(__xludf.DUMMYFUNCTION("""COMPUTED_VALUE"""),59893.56)</f>
        <v>59893.56</v>
      </c>
      <c r="G332" s="113">
        <f ca="1">IFERROR(__xludf.DUMMYFUNCTION("""COMPUTED_VALUE"""),59893.56)</f>
        <v>59893.56</v>
      </c>
      <c r="H332" s="113">
        <f ca="1">IFERROR(__xludf.DUMMYFUNCTION("""COMPUTED_VALUE"""),0)</f>
        <v>0</v>
      </c>
      <c r="I332" s="113">
        <f ca="1">IFERROR(__xludf.DUMMYFUNCTION("""COMPUTED_VALUE"""),0)</f>
        <v>0</v>
      </c>
      <c r="J332" s="111">
        <f ca="1">IFERROR(__xludf.DUMMYFUNCTION("""COMPUTED_VALUE"""),58638.69)</f>
        <v>58638.69</v>
      </c>
      <c r="K332" s="113">
        <f ca="1">IFERROR(__xludf.DUMMYFUNCTION("""COMPUTED_VALUE"""),1254.86999999999)</f>
        <v>1254.8699999999899</v>
      </c>
      <c r="L332" s="114">
        <f ca="1">IFERROR(__xludf.DUMMYFUNCTION("""COMPUTED_VALUE"""),0.979048331740507)</f>
        <v>0.97904833174050698</v>
      </c>
      <c r="M332" s="111"/>
      <c r="N332" s="111"/>
      <c r="O332" s="111"/>
      <c r="P332" s="111"/>
      <c r="Q332" s="112"/>
      <c r="R332" s="103"/>
      <c r="S332" s="103"/>
      <c r="T332" s="103"/>
      <c r="U332" s="103"/>
      <c r="V332" s="103"/>
      <c r="W332" s="103"/>
      <c r="X332" s="103"/>
      <c r="Y332" s="103"/>
      <c r="Z332" s="103"/>
      <c r="AA332" s="103"/>
    </row>
    <row r="333" spans="1:27" ht="153" x14ac:dyDescent="0.2">
      <c r="A333" s="110">
        <v>128</v>
      </c>
      <c r="B333" s="111" t="str">
        <f ca="1">IFERROR(__xludf.DUMMYFUNCTION("""COMPUTED_VALUE"""),"МинЖКХ")</f>
        <v>МинЖКХ</v>
      </c>
      <c r="C333" s="111" t="str">
        <f ca="1">IFERROR(__xludf.DUMMYFUNCTION("""COMPUTED_VALUE"""),"г.о. Сергиев Посад")</f>
        <v>г.о. Сергиев Посад</v>
      </c>
      <c r="D333" s="111" t="str">
        <f ca="1">IFERROR(__xludf.DUMMYFUNCTION("""COMPUTED_VALUE"""),"Строительство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в"&amp;" 2019 году в размере 699,6 тыс.руб. средства бюджета Московской области)")</f>
        <v>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 2019 году в размере 699,6 тыс.руб. средства бюджета Московской области)</v>
      </c>
      <c r="E333" s="111">
        <f ca="1">IFERROR(__xludf.DUMMYFUNCTION("""COMPUTED_VALUE"""),2020)</f>
        <v>2020</v>
      </c>
      <c r="F333" s="113">
        <f ca="1">IFERROR(__xludf.DUMMYFUNCTION("""COMPUTED_VALUE"""),21653.86)</f>
        <v>21653.86</v>
      </c>
      <c r="G333" s="113">
        <f ca="1">IFERROR(__xludf.DUMMYFUNCTION("""COMPUTED_VALUE"""),21653.86)</f>
        <v>21653.86</v>
      </c>
      <c r="H333" s="113">
        <f ca="1">IFERROR(__xludf.DUMMYFUNCTION("""COMPUTED_VALUE"""),0)</f>
        <v>0</v>
      </c>
      <c r="I333" s="113">
        <f ca="1">IFERROR(__xludf.DUMMYFUNCTION("""COMPUTED_VALUE"""),0)</f>
        <v>0</v>
      </c>
      <c r="J333" s="111">
        <f ca="1">IFERROR(__xludf.DUMMYFUNCTION("""COMPUTED_VALUE"""),21574.47)</f>
        <v>21574.47</v>
      </c>
      <c r="K333" s="113">
        <f ca="1">IFERROR(__xludf.DUMMYFUNCTION("""COMPUTED_VALUE"""),79.3899999999994)</f>
        <v>79.389999999999404</v>
      </c>
      <c r="L333" s="114">
        <f ca="1">IFERROR(__xludf.DUMMYFUNCTION("""COMPUTED_VALUE"""),0.996333679076155)</f>
        <v>0.996333679076155</v>
      </c>
      <c r="M333" s="111" t="str">
        <f ca="1">IFERROR(__xludf.DUMMYFUNCTION("""COMPUTED_VALUE"""),"ОМСУ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f>
        <v>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v>
      </c>
      <c r="N333" s="111"/>
      <c r="O333" s="111"/>
      <c r="P333" s="111"/>
      <c r="Q333" s="115">
        <v>44154</v>
      </c>
      <c r="R333" s="103"/>
      <c r="S333" s="103"/>
      <c r="T333" s="103"/>
      <c r="U333" s="103"/>
      <c r="V333" s="103"/>
      <c r="W333" s="103"/>
      <c r="X333" s="103"/>
      <c r="Y333" s="103"/>
      <c r="Z333" s="103"/>
      <c r="AA333" s="103"/>
    </row>
    <row r="334" spans="1:27" ht="140.25" x14ac:dyDescent="0.2">
      <c r="A334" s="110">
        <v>129</v>
      </c>
      <c r="B334" s="111" t="str">
        <f ca="1">IFERROR(__xludf.DUMMYFUNCTION("""COMPUTED_VALUE"""),"МинЖКХ")</f>
        <v>МинЖКХ</v>
      </c>
      <c r="C334" s="111" t="str">
        <f ca="1">IFERROR(__xludf.DUMMYFUNCTION("""COMPUTED_VALUE"""),"г.о. Сергиев Посад")</f>
        <v>г.о. Сергиев Посад</v>
      </c>
      <c r="D334" s="111" t="str">
        <f ca="1">IFERROR(__xludf.DUMMYFUNCTION("""COMPUTED_VALUE"""),"Строительство газовой блочно-модульной котельной с. Константиново, сельское поселение Шеметовское Сергиево-Посадского м.р. Московской области")</f>
        <v>Строительство газовой блочно-модульной котельной с. Константиново, сельское поселение Шеметовское Сергиево-Посадского м.р. Московской области</v>
      </c>
      <c r="E334" s="111">
        <f ca="1">IFERROR(__xludf.DUMMYFUNCTION("""COMPUTED_VALUE"""),2020)</f>
        <v>2020</v>
      </c>
      <c r="F334" s="113">
        <f ca="1">IFERROR(__xludf.DUMMYFUNCTION("""COMPUTED_VALUE"""),16397.9)</f>
        <v>16397.900000000001</v>
      </c>
      <c r="G334" s="113">
        <f ca="1">IFERROR(__xludf.DUMMYFUNCTION("""COMPUTED_VALUE"""),16397.9)</f>
        <v>16397.900000000001</v>
      </c>
      <c r="H334" s="113">
        <f ca="1">IFERROR(__xludf.DUMMYFUNCTION("""COMPUTED_VALUE"""),0)</f>
        <v>0</v>
      </c>
      <c r="I334" s="113">
        <f ca="1">IFERROR(__xludf.DUMMYFUNCTION("""COMPUTED_VALUE"""),0)</f>
        <v>0</v>
      </c>
      <c r="J334" s="111">
        <f ca="1">IFERROR(__xludf.DUMMYFUNCTION("""COMPUTED_VALUE"""),16224.96)</f>
        <v>16224.96</v>
      </c>
      <c r="K334" s="113">
        <f ca="1">IFERROR(__xludf.DUMMYFUNCTION("""COMPUTED_VALUE"""),172.940000000002)</f>
        <v>172.94000000000199</v>
      </c>
      <c r="L334" s="114">
        <f ca="1">IFERROR(__xludf.DUMMYFUNCTION("""COMPUTED_VALUE"""),0.989453527585849)</f>
        <v>0.98945352758584904</v>
      </c>
      <c r="M334" s="111" t="str">
        <f ca="1">IFERROR(__xludf.DUMMYFUNCTION("""COMPUTED_VALUE"""),"Будет перенос на 2021 год 
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лим"&amp;"итов в 2020 году.")</f>
        <v>Будет перенос на 2021 год 
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v>
      </c>
      <c r="N334" s="111"/>
      <c r="O334" s="111"/>
      <c r="P334" s="111"/>
      <c r="Q334" s="115">
        <v>44154</v>
      </c>
      <c r="R334" s="103"/>
      <c r="S334" s="103"/>
      <c r="T334" s="103"/>
      <c r="U334" s="103"/>
      <c r="V334" s="103"/>
      <c r="W334" s="103"/>
      <c r="X334" s="103"/>
      <c r="Y334" s="103"/>
      <c r="Z334" s="103"/>
      <c r="AA334" s="103"/>
    </row>
    <row r="335" spans="1:27" ht="38.25" x14ac:dyDescent="0.2">
      <c r="A335" s="110">
        <v>130</v>
      </c>
      <c r="B335" s="111" t="str">
        <f ca="1">IFERROR(__xludf.DUMMYFUNCTION("""COMPUTED_VALUE"""),"МинЖКХ")</f>
        <v>МинЖКХ</v>
      </c>
      <c r="C335" s="111" t="str">
        <f ca="1">IFERROR(__xludf.DUMMYFUNCTION("""COMPUTED_VALUE"""),"г.о. Серебряные Пруды")</f>
        <v>г.о. Серебряные Пруды</v>
      </c>
      <c r="D335" s="111" t="str">
        <f ca="1">IFERROR(__xludf.DUMMYFUNCTION("""COMPUTED_VALUE"""),"Капитальный ремонт котельной №14 с. Петрово мощностью 4,0 МВт г.о. Серебрянные Пруды")</f>
        <v>Капитальный ремонт котельной №14 с. Петрово мощностью 4,0 МВт г.о. Серебрянные Пруды</v>
      </c>
      <c r="E335" s="111">
        <f ca="1">IFERROR(__xludf.DUMMYFUNCTION("""COMPUTED_VALUE"""),2020)</f>
        <v>2020</v>
      </c>
      <c r="F335" s="113">
        <f ca="1">IFERROR(__xludf.DUMMYFUNCTION("""COMPUTED_VALUE"""),3986.5)</f>
        <v>3986.5</v>
      </c>
      <c r="G335" s="113">
        <f ca="1">IFERROR(__xludf.DUMMYFUNCTION("""COMPUTED_VALUE"""),0)</f>
        <v>0</v>
      </c>
      <c r="H335" s="113">
        <f ca="1">IFERROR(__xludf.DUMMYFUNCTION("""COMPUTED_VALUE"""),0)</f>
        <v>0</v>
      </c>
      <c r="I335" s="113">
        <f ca="1">IFERROR(__xludf.DUMMYFUNCTION("""COMPUTED_VALUE"""),3986.5)</f>
        <v>3986.5</v>
      </c>
      <c r="J335" s="111">
        <f ca="1">IFERROR(__xludf.DUMMYFUNCTION("""COMPUTED_VALUE"""),3839.85)</f>
        <v>3839.85</v>
      </c>
      <c r="K335" s="113">
        <f ca="1">IFERROR(__xludf.DUMMYFUNCTION("""COMPUTED_VALUE"""),146.65)</f>
        <v>146.65</v>
      </c>
      <c r="L335" s="114">
        <f ca="1">IFERROR(__xludf.DUMMYFUNCTION("""COMPUTED_VALUE"""),0.963213345039508)</f>
        <v>0.96321334503950795</v>
      </c>
      <c r="M335" s="111"/>
      <c r="N335" s="111"/>
      <c r="O335" s="111"/>
      <c r="P335" s="111"/>
      <c r="Q335" s="112"/>
      <c r="R335" s="103"/>
      <c r="S335" s="103"/>
      <c r="T335" s="103"/>
      <c r="U335" s="103"/>
      <c r="V335" s="103"/>
      <c r="W335" s="103"/>
      <c r="X335" s="103"/>
      <c r="Y335" s="103"/>
      <c r="Z335" s="103"/>
      <c r="AA335" s="103"/>
    </row>
    <row r="336" spans="1:27" ht="63.75" x14ac:dyDescent="0.2">
      <c r="A336" s="110">
        <v>131</v>
      </c>
      <c r="B336" s="111" t="str">
        <f ca="1">IFERROR(__xludf.DUMMYFUNCTION("""COMPUTED_VALUE"""),"МинЖКХ ""ТОП 5 (1 этап)""")</f>
        <v>МинЖКХ "ТОП 5 (1 этап)"</v>
      </c>
      <c r="C336" s="111" t="str">
        <f ca="1">IFERROR(__xludf.DUMMYFUNCTION("""COMPUTED_VALUE"""),"г.о. Серебряные Пруды")</f>
        <v>г.о. Серебряные Пруды</v>
      </c>
      <c r="D336" s="111" t="str">
        <f ca="1">IFERROR(__xludf.DUMMYFUNCTION("""COMPUTED_VALUE"""),"Строительство блочно-модульной котельной (БМК) в п. Дмитриевский мощностью 2,1 МВт, г.о. Серебряные Пруды (в т.ч. ПИР) ")</f>
        <v xml:space="preserve">Строительство блочно-модульной котельной (БМК) в п. Дмитриевский мощностью 2,1 МВт, г.о. Серебряные Пруды (в т.ч. ПИР) </v>
      </c>
      <c r="E336" s="111">
        <f ca="1">IFERROR(__xludf.DUMMYFUNCTION("""COMPUTED_VALUE"""),2020)</f>
        <v>2020</v>
      </c>
      <c r="F336" s="113">
        <f ca="1">IFERROR(__xludf.DUMMYFUNCTION("""COMPUTED_VALUE"""),26407.94)</f>
        <v>26407.94</v>
      </c>
      <c r="G336" s="113">
        <f ca="1">IFERROR(__xludf.DUMMYFUNCTION("""COMPUTED_VALUE"""),0)</f>
        <v>0</v>
      </c>
      <c r="H336" s="113">
        <f ca="1">IFERROR(__xludf.DUMMYFUNCTION("""COMPUTED_VALUE"""),0)</f>
        <v>0</v>
      </c>
      <c r="I336" s="113">
        <f ca="1">IFERROR(__xludf.DUMMYFUNCTION("""COMPUTED_VALUE"""),26407.94)</f>
        <v>26407.94</v>
      </c>
      <c r="J336" s="111">
        <f ca="1">IFERROR(__xludf.DUMMYFUNCTION("""COMPUTED_VALUE"""),0)</f>
        <v>0</v>
      </c>
      <c r="K336" s="113">
        <f ca="1">IFERROR(__xludf.DUMMYFUNCTION("""COMPUTED_VALUE"""),26407.94)</f>
        <v>26407.94</v>
      </c>
      <c r="L336" s="114">
        <f ca="1">IFERROR(__xludf.DUMMYFUNCTION("""COMPUTED_VALUE"""),0)</f>
        <v>0</v>
      </c>
      <c r="M336" s="111" t="str">
        <f ca="1">IFERROR(__xludf.DUMMYFUNCTION("""COMPUTED_VALUE"""),"ОМСУ направило письмо от 17.11.2020 в адрес МинЖКХ на перенос 50% лимитов на 2021 год. Предпологаемая дата из МОГЭ 23.11.2020.  СМР выполнен 15 %. ")</f>
        <v xml:space="preserve">ОМСУ направило письмо от 17.11.2020 в адрес МинЖКХ на перенос 50% лимитов на 2021 год. Предпологаемая дата из МОГЭ 23.11.2020.  СМР выполнен 15 %. </v>
      </c>
      <c r="N336" s="111"/>
      <c r="O336" s="111"/>
      <c r="P336" s="111"/>
      <c r="Q336" s="115">
        <v>44154</v>
      </c>
      <c r="R336" s="103"/>
      <c r="S336" s="103"/>
      <c r="T336" s="103"/>
      <c r="U336" s="103"/>
      <c r="V336" s="103"/>
      <c r="W336" s="103"/>
      <c r="X336" s="103"/>
      <c r="Y336" s="103"/>
      <c r="Z336" s="103"/>
      <c r="AA336" s="103"/>
    </row>
    <row r="337" spans="1:27" ht="51" x14ac:dyDescent="0.2">
      <c r="A337" s="110">
        <v>132</v>
      </c>
      <c r="B337" s="111" t="str">
        <f ca="1">IFERROR(__xludf.DUMMYFUNCTION("""COMPUTED_VALUE"""),"МинЖКХ ""ТОП 5 (1 этап)""")</f>
        <v>МинЖКХ "ТОП 5 (1 этап)"</v>
      </c>
      <c r="C337" s="111" t="str">
        <f ca="1">IFERROR(__xludf.DUMMYFUNCTION("""COMPUTED_VALUE"""),"г.о. Серебряные Пруды")</f>
        <v>г.о. Серебряные Пруды</v>
      </c>
      <c r="D337" s="111" t="str">
        <f ca="1">IFERROR(__xludf.DUMMYFUNCTION("""COMPUTED_VALUE"""),"Строительство блочно-модульной котельной в с. Глубокое мощностью 2,2 МВт, г.о. Серебряные Пруды (в т.ч. ПИР) ")</f>
        <v xml:space="preserve">Строительство блочно-модульной котельной в с. Глубокое мощностью 2,2 МВт, г.о. Серебряные Пруды (в т.ч. ПИР) </v>
      </c>
      <c r="E337" s="111" t="str">
        <f ca="1">IFERROR(__xludf.DUMMYFUNCTION("""COMPUTED_VALUE"""),"2020-2021")</f>
        <v>2020-2021</v>
      </c>
      <c r="F337" s="113">
        <f ca="1">IFERROR(__xludf.DUMMYFUNCTION("""COMPUTED_VALUE"""),3182.88)</f>
        <v>3182.88</v>
      </c>
      <c r="G337" s="113">
        <f ca="1">IFERROR(__xludf.DUMMYFUNCTION("""COMPUTED_VALUE"""),0)</f>
        <v>0</v>
      </c>
      <c r="H337" s="113">
        <f ca="1">IFERROR(__xludf.DUMMYFUNCTION("""COMPUTED_VALUE"""),0)</f>
        <v>0</v>
      </c>
      <c r="I337" s="113">
        <f ca="1">IFERROR(__xludf.DUMMYFUNCTION("""COMPUTED_VALUE"""),3182.88)</f>
        <v>3182.88</v>
      </c>
      <c r="J337" s="111">
        <f ca="1">IFERROR(__xludf.DUMMYFUNCTION("""COMPUTED_VALUE"""),0)</f>
        <v>0</v>
      </c>
      <c r="K337" s="113">
        <f ca="1">IFERROR(__xludf.DUMMYFUNCTION("""COMPUTED_VALUE"""),3182.88)</f>
        <v>3182.88</v>
      </c>
      <c r="L337" s="114">
        <f ca="1">IFERROR(__xludf.DUMMYFUNCTION("""COMPUTED_VALUE"""),0)</f>
        <v>0</v>
      </c>
      <c r="M337" s="111"/>
      <c r="N337" s="111"/>
      <c r="O337" s="111"/>
      <c r="P337" s="111"/>
      <c r="Q337" s="112"/>
      <c r="R337" s="103"/>
      <c r="S337" s="103"/>
      <c r="T337" s="103"/>
      <c r="U337" s="103"/>
      <c r="V337" s="103"/>
      <c r="W337" s="103"/>
      <c r="X337" s="103"/>
      <c r="Y337" s="103"/>
      <c r="Z337" s="103"/>
      <c r="AA337" s="103"/>
    </row>
    <row r="338" spans="1:27" ht="51" x14ac:dyDescent="0.2">
      <c r="A338" s="110">
        <v>133</v>
      </c>
      <c r="B338" s="111" t="str">
        <f ca="1">IFERROR(__xludf.DUMMYFUNCTION("""COMPUTED_VALUE"""),"МинЖКХ ""ТОП 5 (1 этап)""")</f>
        <v>МинЖКХ "ТОП 5 (1 этап)"</v>
      </c>
      <c r="C338" s="111" t="str">
        <f ca="1">IFERROR(__xludf.DUMMYFUNCTION("""COMPUTED_VALUE"""),"г.о. Серебряные Пруды")</f>
        <v>г.о. Серебряные Пруды</v>
      </c>
      <c r="D338" s="111" t="str">
        <f ca="1">IFERROR(__xludf.DUMMYFUNCTION("""COMPUTED_VALUE"""),"Строительство блочно-модульной котельной р.п. Серебряные Пруды, ул. ПТУ, мощностью 2,1 МВт , г.о. Серебряные Пруды (в т.ч. ПИР) ")</f>
        <v xml:space="preserve">Строительство блочно-модульной котельной р.п. Серебряные Пруды, ул. ПТУ, мощностью 2,1 МВт , г.о. Серебряные Пруды (в т.ч. ПИР) </v>
      </c>
      <c r="E338" s="111" t="str">
        <f ca="1">IFERROR(__xludf.DUMMYFUNCTION("""COMPUTED_VALUE"""),"2020-2021")</f>
        <v>2020-2021</v>
      </c>
      <c r="F338" s="113">
        <f ca="1">IFERROR(__xludf.DUMMYFUNCTION("""COMPUTED_VALUE"""),13848.3)</f>
        <v>13848.3</v>
      </c>
      <c r="G338" s="113">
        <f ca="1">IFERROR(__xludf.DUMMYFUNCTION("""COMPUTED_VALUE"""),0)</f>
        <v>0</v>
      </c>
      <c r="H338" s="113">
        <f ca="1">IFERROR(__xludf.DUMMYFUNCTION("""COMPUTED_VALUE"""),0)</f>
        <v>0</v>
      </c>
      <c r="I338" s="113">
        <f ca="1">IFERROR(__xludf.DUMMYFUNCTION("""COMPUTED_VALUE"""),13848.3)</f>
        <v>13848.3</v>
      </c>
      <c r="J338" s="111">
        <f ca="1">IFERROR(__xludf.DUMMYFUNCTION("""COMPUTED_VALUE"""),0)</f>
        <v>0</v>
      </c>
      <c r="K338" s="113">
        <f ca="1">IFERROR(__xludf.DUMMYFUNCTION("""COMPUTED_VALUE"""),13848.3)</f>
        <v>13848.3</v>
      </c>
      <c r="L338" s="114">
        <f ca="1">IFERROR(__xludf.DUMMYFUNCTION("""COMPUTED_VALUE"""),0)</f>
        <v>0</v>
      </c>
      <c r="M338" s="111" t="str">
        <f ca="1">IFERROR(__xludf.DUMMYFUNCTION("""COMPUTED_VALUE"""),"Выход из МОГЭ 04.12.2020 с увелечением лимтов на 9 691,06 тыс. руб. СМР выполнен на 10 %. ")</f>
        <v xml:space="preserve">Выход из МОГЭ 04.12.2020 с увелечением лимтов на 9 691,06 тыс. руб. СМР выполнен на 10 %. </v>
      </c>
      <c r="N338" s="111"/>
      <c r="O338" s="111"/>
      <c r="P338" s="111"/>
      <c r="Q338" s="115">
        <v>44154</v>
      </c>
      <c r="R338" s="103"/>
      <c r="S338" s="103"/>
      <c r="T338" s="103"/>
      <c r="U338" s="103"/>
      <c r="V338" s="103"/>
      <c r="W338" s="103"/>
      <c r="X338" s="103"/>
      <c r="Y338" s="103"/>
      <c r="Z338" s="103"/>
      <c r="AA338" s="103"/>
    </row>
    <row r="339" spans="1:27" ht="51" x14ac:dyDescent="0.2">
      <c r="A339" s="110">
        <v>134</v>
      </c>
      <c r="B339" s="111" t="str">
        <f ca="1">IFERROR(__xludf.DUMMYFUNCTION("""COMPUTED_VALUE"""),"МинЖКХ ""ТОП 5 (1 этап)""")</f>
        <v>МинЖКХ "ТОП 5 (1 этап)"</v>
      </c>
      <c r="C339" s="111" t="str">
        <f ca="1">IFERROR(__xludf.DUMMYFUNCTION("""COMPUTED_VALUE"""),"г.о. Серебряные Пруды")</f>
        <v>г.о. Серебряные Пруды</v>
      </c>
      <c r="D339" s="111" t="str">
        <f ca="1">IFERROR(__xludf.DUMMYFUNCTION("""COMPUTED_VALUE"""),"Строительство блочно-модульной котельной №2 р.п. Серебряные Пруды, ул.Комсомольская, г.о. Серебряные Пруды (в т.ч. ПИР) ")</f>
        <v xml:space="preserve">Строительство блочно-модульной котельной №2 р.п. Серебряные Пруды, ул.Комсомольская, г.о. Серебряные Пруды (в т.ч. ПИР) </v>
      </c>
      <c r="E339" s="111" t="str">
        <f ca="1">IFERROR(__xludf.DUMMYFUNCTION("""COMPUTED_VALUE"""),"2020-2021")</f>
        <v>2020-2021</v>
      </c>
      <c r="F339" s="113">
        <f ca="1">IFERROR(__xludf.DUMMYFUNCTION("""COMPUTED_VALUE"""),15809)</f>
        <v>15809</v>
      </c>
      <c r="G339" s="113">
        <f ca="1">IFERROR(__xludf.DUMMYFUNCTION("""COMPUTED_VALUE"""),0)</f>
        <v>0</v>
      </c>
      <c r="H339" s="113">
        <f ca="1">IFERROR(__xludf.DUMMYFUNCTION("""COMPUTED_VALUE"""),0)</f>
        <v>0</v>
      </c>
      <c r="I339" s="113">
        <f ca="1">IFERROR(__xludf.DUMMYFUNCTION("""COMPUTED_VALUE"""),15809)</f>
        <v>15809</v>
      </c>
      <c r="J339" s="111">
        <f ca="1">IFERROR(__xludf.DUMMYFUNCTION("""COMPUTED_VALUE"""),0)</f>
        <v>0</v>
      </c>
      <c r="K339" s="113">
        <f ca="1">IFERROR(__xludf.DUMMYFUNCTION("""COMPUTED_VALUE"""),15809)</f>
        <v>15809</v>
      </c>
      <c r="L339" s="114">
        <f ca="1">IFERROR(__xludf.DUMMYFUNCTION("""COMPUTED_VALUE"""),0)</f>
        <v>0</v>
      </c>
      <c r="M339" s="111" t="str">
        <f ca="1">IFERROR(__xludf.DUMMYFUNCTION("""COMPUTED_VALUE"""),"Выход из МОГЭ 09.12.2020 с увелечением лимтов на 22 774,35 тыс. руб. СМР выполнен на 10 %. ")</f>
        <v xml:space="preserve">Выход из МОГЭ 09.12.2020 с увелечением лимтов на 22 774,35 тыс. руб. СМР выполнен на 10 %. </v>
      </c>
      <c r="N339" s="111"/>
      <c r="O339" s="111"/>
      <c r="P339" s="111"/>
      <c r="Q339" s="115">
        <v>44154</v>
      </c>
      <c r="R339" s="103"/>
      <c r="S339" s="103"/>
      <c r="T339" s="103"/>
      <c r="U339" s="103"/>
      <c r="V339" s="103"/>
      <c r="W339" s="103"/>
      <c r="X339" s="103"/>
      <c r="Y339" s="103"/>
      <c r="Z339" s="103"/>
      <c r="AA339" s="103"/>
    </row>
    <row r="340" spans="1:27" ht="38.25" x14ac:dyDescent="0.2">
      <c r="A340" s="110">
        <v>135</v>
      </c>
      <c r="B340" s="111" t="str">
        <f ca="1">IFERROR(__xludf.DUMMYFUNCTION("""COMPUTED_VALUE"""),"МинЖКХ ""ТОП 5 (1 этап)""")</f>
        <v>МинЖКХ "ТОП 5 (1 этап)"</v>
      </c>
      <c r="C340" s="111" t="str">
        <f ca="1">IFERROR(__xludf.DUMMYFUNCTION("""COMPUTED_VALUE"""),"г.о. Серебряные Пруды")</f>
        <v>г.о. Серебряные Пруды</v>
      </c>
      <c r="D340" s="111" t="str">
        <f ca="1">IFERROR(__xludf.DUMMYFUNCTION("""COMPUTED_VALUE"""),"Строительство блочно-модульной котельной №4 с. Подхожее, г.о. Серебряные Пруды (в т.ч. ПИР) ")</f>
        <v xml:space="preserve">Строительство блочно-модульной котельной №4 с. Подхожее, г.о. Серебряные Пруды (в т.ч. ПИР) </v>
      </c>
      <c r="E340" s="111" t="str">
        <f ca="1">IFERROR(__xludf.DUMMYFUNCTION("""COMPUTED_VALUE"""),"2020-2021")</f>
        <v>2020-2021</v>
      </c>
      <c r="F340" s="113">
        <f ca="1">IFERROR(__xludf.DUMMYFUNCTION("""COMPUTED_VALUE"""),3476.73)</f>
        <v>3476.73</v>
      </c>
      <c r="G340" s="113">
        <f ca="1">IFERROR(__xludf.DUMMYFUNCTION("""COMPUTED_VALUE"""),0)</f>
        <v>0</v>
      </c>
      <c r="H340" s="113">
        <f ca="1">IFERROR(__xludf.DUMMYFUNCTION("""COMPUTED_VALUE"""),0)</f>
        <v>0</v>
      </c>
      <c r="I340" s="113">
        <f ca="1">IFERROR(__xludf.DUMMYFUNCTION("""COMPUTED_VALUE"""),3476.73)</f>
        <v>3476.73</v>
      </c>
      <c r="J340" s="111">
        <f ca="1">IFERROR(__xludf.DUMMYFUNCTION("""COMPUTED_VALUE"""),0)</f>
        <v>0</v>
      </c>
      <c r="K340" s="113">
        <f ca="1">IFERROR(__xludf.DUMMYFUNCTION("""COMPUTED_VALUE"""),3476.73)</f>
        <v>3476.73</v>
      </c>
      <c r="L340" s="114">
        <f ca="1">IFERROR(__xludf.DUMMYFUNCTION("""COMPUTED_VALUE"""),0)</f>
        <v>0</v>
      </c>
      <c r="M340" s="111"/>
      <c r="N340" s="111"/>
      <c r="O340" s="111"/>
      <c r="P340" s="111"/>
      <c r="Q340" s="112"/>
      <c r="R340" s="103"/>
      <c r="S340" s="103"/>
      <c r="T340" s="103"/>
      <c r="U340" s="103"/>
      <c r="V340" s="103"/>
      <c r="W340" s="103"/>
      <c r="X340" s="103"/>
      <c r="Y340" s="103"/>
      <c r="Z340" s="103"/>
      <c r="AA340" s="103"/>
    </row>
    <row r="341" spans="1:27" ht="38.25" x14ac:dyDescent="0.2">
      <c r="A341" s="110">
        <v>136</v>
      </c>
      <c r="B341" s="111" t="str">
        <f ca="1">IFERROR(__xludf.DUMMYFUNCTION("""COMPUTED_VALUE"""),"МинЖКХ ""ТОП 5 (1 этап)""")</f>
        <v>МинЖКХ "ТОП 5 (1 этап)"</v>
      </c>
      <c r="C341" s="111" t="str">
        <f ca="1">IFERROR(__xludf.DUMMYFUNCTION("""COMPUTED_VALUE"""),"г.о. Серебряные Пруды")</f>
        <v>г.о. Серебряные Пруды</v>
      </c>
      <c r="D341" s="111" t="str">
        <f ca="1">IFERROR(__xludf.DUMMYFUNCTION("""COMPUTED_VALUE"""),"Строительство блочно-модульной котельной №5 с. Мочилы, г.о. Серебряные Пруды (в т.ч. ПИР) ")</f>
        <v xml:space="preserve">Строительство блочно-модульной котельной №5 с. Мочилы, г.о. Серебряные Пруды (в т.ч. ПИР) </v>
      </c>
      <c r="E341" s="111" t="str">
        <f ca="1">IFERROR(__xludf.DUMMYFUNCTION("""COMPUTED_VALUE"""),"2020-2021")</f>
        <v>2020-2021</v>
      </c>
      <c r="F341" s="113">
        <f ca="1">IFERROR(__xludf.DUMMYFUNCTION("""COMPUTED_VALUE"""),3243.71)</f>
        <v>3243.71</v>
      </c>
      <c r="G341" s="113">
        <f ca="1">IFERROR(__xludf.DUMMYFUNCTION("""COMPUTED_VALUE"""),0)</f>
        <v>0</v>
      </c>
      <c r="H341" s="113">
        <f ca="1">IFERROR(__xludf.DUMMYFUNCTION("""COMPUTED_VALUE"""),0)</f>
        <v>0</v>
      </c>
      <c r="I341" s="113">
        <f ca="1">IFERROR(__xludf.DUMMYFUNCTION("""COMPUTED_VALUE"""),3243.71)</f>
        <v>3243.71</v>
      </c>
      <c r="J341" s="111">
        <f ca="1">IFERROR(__xludf.DUMMYFUNCTION("""COMPUTED_VALUE"""),0)</f>
        <v>0</v>
      </c>
      <c r="K341" s="113">
        <f ca="1">IFERROR(__xludf.DUMMYFUNCTION("""COMPUTED_VALUE"""),3243.71)</f>
        <v>3243.71</v>
      </c>
      <c r="L341" s="114">
        <f ca="1">IFERROR(__xludf.DUMMYFUNCTION("""COMPUTED_VALUE"""),0)</f>
        <v>0</v>
      </c>
      <c r="M341" s="111"/>
      <c r="N341" s="111"/>
      <c r="O341" s="111"/>
      <c r="P341" s="111"/>
      <c r="Q341" s="112"/>
      <c r="R341" s="103"/>
      <c r="S341" s="103"/>
      <c r="T341" s="103"/>
      <c r="U341" s="103"/>
      <c r="V341" s="103"/>
      <c r="W341" s="103"/>
      <c r="X341" s="103"/>
      <c r="Y341" s="103"/>
      <c r="Z341" s="103"/>
      <c r="AA341" s="103"/>
    </row>
    <row r="342" spans="1:27" ht="38.25" x14ac:dyDescent="0.2">
      <c r="A342" s="110">
        <v>137</v>
      </c>
      <c r="B342" s="111" t="str">
        <f ca="1">IFERROR(__xludf.DUMMYFUNCTION("""COMPUTED_VALUE"""),"МинЖКХ ""ТОП 5 (1 этап)""")</f>
        <v>МинЖКХ "ТОП 5 (1 этап)"</v>
      </c>
      <c r="C342" s="111" t="str">
        <f ca="1">IFERROR(__xludf.DUMMYFUNCTION("""COMPUTED_VALUE"""),"г.о. Серебряные Пруды")</f>
        <v>г.о. Серебряные Пруды</v>
      </c>
      <c r="D342" s="111" t="str">
        <f ca="1">IFERROR(__xludf.DUMMYFUNCTION("""COMPUTED_VALUE"""),"Строительство блочно-модульной котельной №8 д. Шеметово, г.о. Серебряные Пруды (в т.ч. ПИР) ")</f>
        <v xml:space="preserve">Строительство блочно-модульной котельной №8 д. Шеметово, г.о. Серебряные Пруды (в т.ч. ПИР) </v>
      </c>
      <c r="E342" s="111" t="str">
        <f ca="1">IFERROR(__xludf.DUMMYFUNCTION("""COMPUTED_VALUE"""),"2020-2021")</f>
        <v>2020-2021</v>
      </c>
      <c r="F342" s="113">
        <f ca="1">IFERROR(__xludf.DUMMYFUNCTION("""COMPUTED_VALUE"""),4019.45)</f>
        <v>4019.45</v>
      </c>
      <c r="G342" s="113">
        <f ca="1">IFERROR(__xludf.DUMMYFUNCTION("""COMPUTED_VALUE"""),0)</f>
        <v>0</v>
      </c>
      <c r="H342" s="113">
        <f ca="1">IFERROR(__xludf.DUMMYFUNCTION("""COMPUTED_VALUE"""),0)</f>
        <v>0</v>
      </c>
      <c r="I342" s="113">
        <f ca="1">IFERROR(__xludf.DUMMYFUNCTION("""COMPUTED_VALUE"""),4019.45)</f>
        <v>4019.45</v>
      </c>
      <c r="J342" s="111">
        <f ca="1">IFERROR(__xludf.DUMMYFUNCTION("""COMPUTED_VALUE"""),0)</f>
        <v>0</v>
      </c>
      <c r="K342" s="113">
        <f ca="1">IFERROR(__xludf.DUMMYFUNCTION("""COMPUTED_VALUE"""),4019.45)</f>
        <v>4019.45</v>
      </c>
      <c r="L342" s="114">
        <f ca="1">IFERROR(__xludf.DUMMYFUNCTION("""COMPUTED_VALUE"""),0)</f>
        <v>0</v>
      </c>
      <c r="M342" s="111"/>
      <c r="N342" s="111"/>
      <c r="O342" s="111"/>
      <c r="P342" s="111"/>
      <c r="Q342" s="112"/>
      <c r="R342" s="103"/>
      <c r="S342" s="103"/>
      <c r="T342" s="103"/>
      <c r="U342" s="103"/>
      <c r="V342" s="103"/>
      <c r="W342" s="103"/>
      <c r="X342" s="103"/>
      <c r="Y342" s="103"/>
      <c r="Z342" s="103"/>
      <c r="AA342" s="103"/>
    </row>
    <row r="343" spans="1:27" ht="38.25" x14ac:dyDescent="0.2">
      <c r="A343" s="110">
        <v>138</v>
      </c>
      <c r="B343" s="111" t="str">
        <f ca="1">IFERROR(__xludf.DUMMYFUNCTION("""COMPUTED_VALUE"""),"МинЖКХ")</f>
        <v>МинЖКХ</v>
      </c>
      <c r="C343" s="111" t="str">
        <f ca="1">IFERROR(__xludf.DUMMYFUNCTION("""COMPUTED_VALUE"""),"г.о. Солнечногорск")</f>
        <v>г.о. Солнечногорск</v>
      </c>
      <c r="D343" s="111" t="str">
        <f ca="1">IFERROR(__xludf.DUMMYFUNCTION("""COMPUTED_VALUE"""),"Капитальный ремонт  здания котельной, д. Новая Солнечногорский м.р. ")</f>
        <v xml:space="preserve">Капитальный ремонт  здания котельной, д. Новая Солнечногорский м.р. </v>
      </c>
      <c r="E343" s="111">
        <f ca="1">IFERROR(__xludf.DUMMYFUNCTION("""COMPUTED_VALUE"""),2020)</f>
        <v>2020</v>
      </c>
      <c r="F343" s="113">
        <f ca="1">IFERROR(__xludf.DUMMYFUNCTION("""COMPUTED_VALUE"""),7226)</f>
        <v>7226</v>
      </c>
      <c r="G343" s="113">
        <f ca="1">IFERROR(__xludf.DUMMYFUNCTION("""COMPUTED_VALUE"""),7226)</f>
        <v>7226</v>
      </c>
      <c r="H343" s="113">
        <f ca="1">IFERROR(__xludf.DUMMYFUNCTION("""COMPUTED_VALUE"""),0)</f>
        <v>0</v>
      </c>
      <c r="I343" s="113">
        <f ca="1">IFERROR(__xludf.DUMMYFUNCTION("""COMPUTED_VALUE"""),0)</f>
        <v>0</v>
      </c>
      <c r="J343" s="111">
        <f ca="1">IFERROR(__xludf.DUMMYFUNCTION("""COMPUTED_VALUE"""),1405.9)</f>
        <v>1405.9</v>
      </c>
      <c r="K343" s="113">
        <f ca="1">IFERROR(__xludf.DUMMYFUNCTION("""COMPUTED_VALUE"""),5820.1)</f>
        <v>5820.1</v>
      </c>
      <c r="L343" s="114">
        <f ca="1">IFERROR(__xludf.DUMMYFUNCTION("""COMPUTED_VALUE"""),0.194561306393578)</f>
        <v>0.19456130639357799</v>
      </c>
      <c r="M343" s="111" t="str">
        <f ca="1">IFERROR(__xludf.DUMMYFUNCTION("""COMPUTED_VALUE"""),"Подача заявки будет до 11.12.2020")</f>
        <v>Подача заявки будет до 11.12.2020</v>
      </c>
      <c r="N343" s="111"/>
      <c r="O343" s="111"/>
      <c r="P343" s="111"/>
      <c r="Q343" s="112"/>
      <c r="R343" s="103"/>
      <c r="S343" s="103"/>
      <c r="T343" s="103"/>
      <c r="U343" s="103"/>
      <c r="V343" s="103"/>
      <c r="W343" s="103"/>
      <c r="X343" s="103"/>
      <c r="Y343" s="103"/>
      <c r="Z343" s="103"/>
      <c r="AA343" s="103"/>
    </row>
    <row r="344" spans="1:27" ht="38.25" x14ac:dyDescent="0.2">
      <c r="A344" s="110">
        <v>139</v>
      </c>
      <c r="B344" s="111" t="str">
        <f ca="1">IFERROR(__xludf.DUMMYFUNCTION("""COMPUTED_VALUE"""),"МинЖКХ")</f>
        <v>МинЖКХ</v>
      </c>
      <c r="C344" s="111" t="str">
        <f ca="1">IFERROR(__xludf.DUMMYFUNCTION("""COMPUTED_VALUE"""),"г.о. Солнечногорск")</f>
        <v>г.о. Солнечногорск</v>
      </c>
      <c r="D344" s="111" t="str">
        <f ca="1">IFERROR(__xludf.DUMMYFUNCTION("""COMPUTED_VALUE"""),"Капитальный ремонт  тепловых сетей,  д. Новая, Солнечногорский м.р.")</f>
        <v>Капитальный ремонт  тепловых сетей,  д. Новая, Солнечногорский м.р.</v>
      </c>
      <c r="E344" s="111">
        <f ca="1">IFERROR(__xludf.DUMMYFUNCTION("""COMPUTED_VALUE"""),2020)</f>
        <v>2020</v>
      </c>
      <c r="F344" s="113">
        <f ca="1">IFERROR(__xludf.DUMMYFUNCTION("""COMPUTED_VALUE"""),19816)</f>
        <v>19816</v>
      </c>
      <c r="G344" s="113">
        <f ca="1">IFERROR(__xludf.DUMMYFUNCTION("""COMPUTED_VALUE"""),19816)</f>
        <v>19816</v>
      </c>
      <c r="H344" s="113">
        <f ca="1">IFERROR(__xludf.DUMMYFUNCTION("""COMPUTED_VALUE"""),0)</f>
        <v>0</v>
      </c>
      <c r="I344" s="113">
        <f ca="1">IFERROR(__xludf.DUMMYFUNCTION("""COMPUTED_VALUE"""),0)</f>
        <v>0</v>
      </c>
      <c r="J344" s="111">
        <f ca="1">IFERROR(__xludf.DUMMYFUNCTION("""COMPUTED_VALUE"""),19816)</f>
        <v>19816</v>
      </c>
      <c r="K344" s="113">
        <f ca="1">IFERROR(__xludf.DUMMYFUNCTION("""COMPUTED_VALUE"""),0)</f>
        <v>0</v>
      </c>
      <c r="L344" s="114">
        <f ca="1">IFERROR(__xludf.DUMMYFUNCTION("""COMPUTED_VALUE"""),1)</f>
        <v>1</v>
      </c>
      <c r="M344" s="111" t="str">
        <f ca="1">IFERROR(__xludf.DUMMYFUNCTION("""COMPUTED_VALUE"""),"Оплачено полностью")</f>
        <v>Оплачено полностью</v>
      </c>
      <c r="N344" s="111"/>
      <c r="O344" s="111"/>
      <c r="P344" s="111"/>
      <c r="Q344" s="112"/>
      <c r="R344" s="103"/>
      <c r="S344" s="103"/>
      <c r="T344" s="103"/>
      <c r="U344" s="103"/>
      <c r="V344" s="103"/>
      <c r="W344" s="103"/>
      <c r="X344" s="103"/>
      <c r="Y344" s="103"/>
      <c r="Z344" s="103"/>
      <c r="AA344" s="103"/>
    </row>
    <row r="345" spans="1:27" ht="51" x14ac:dyDescent="0.2">
      <c r="A345" s="111"/>
      <c r="B345" s="111" t="str">
        <f ca="1">IFERROR(__xludf.DUMMYFUNCTION("""COMPUTED_VALUE"""),"МинЖКХ ""ТОП 5 (2 этап)""")</f>
        <v>МинЖКХ "ТОП 5 (2 этап)"</v>
      </c>
      <c r="C345" s="111" t="str">
        <f ca="1">IFERROR(__xludf.DUMMYFUNCTION("""COMPUTED_VALUE"""),"г.о. Наро-Фоминск")</f>
        <v>г.о. Наро-Фоминск</v>
      </c>
      <c r="D345" s="111" t="str">
        <f ca="1">IFERROR(__xludf.DUMMYFUNCTION("""COMPUTED_VALUE"""),"Строительство котельной по адресу г. Наро-Фоминск, ул. Маршала Куркоткина, Наро-Фоминский г.о")</f>
        <v>Строительство котельной по адресу г. Наро-Фоминск, ул. Маршала Куркоткина, Наро-Фоминский г.о</v>
      </c>
      <c r="E345" s="111" t="str">
        <f ca="1">IFERROR(__xludf.DUMMYFUNCTION("""COMPUTED_VALUE"""),"2021-2022")</f>
        <v>2021-2022</v>
      </c>
      <c r="F345" s="113">
        <f ca="1">IFERROR(__xludf.DUMMYFUNCTION("""COMPUTED_VALUE"""),0)</f>
        <v>0</v>
      </c>
      <c r="G345" s="113">
        <f ca="1">IFERROR(__xludf.DUMMYFUNCTION("""COMPUTED_VALUE"""),0)</f>
        <v>0</v>
      </c>
      <c r="H345" s="113">
        <f ca="1">IFERROR(__xludf.DUMMYFUNCTION("""COMPUTED_VALUE"""),0)</f>
        <v>0</v>
      </c>
      <c r="I345" s="113">
        <f ca="1">IFERROR(__xludf.DUMMYFUNCTION("""COMPUTED_VALUE"""),0)</f>
        <v>0</v>
      </c>
      <c r="J345" s="111">
        <f ca="1">IFERROR(__xludf.DUMMYFUNCTION("""COMPUTED_VALUE"""),0)</f>
        <v>0</v>
      </c>
      <c r="K345" s="113">
        <f ca="1">IFERROR(__xludf.DUMMYFUNCTION("""COMPUTED_VALUE"""),0)</f>
        <v>0</v>
      </c>
      <c r="L345" s="114" t="str">
        <f ca="1">IFERROR(__xludf.DUMMYFUNCTION("""COMPUTED_VALUE"""),"#DIV/0!")</f>
        <v>#DIV/0!</v>
      </c>
      <c r="M345" s="111"/>
      <c r="N345" s="111"/>
      <c r="O345" s="111"/>
      <c r="P345" s="111"/>
      <c r="Q345" s="112"/>
      <c r="R345" s="103"/>
      <c r="S345" s="103"/>
      <c r="T345" s="103"/>
      <c r="U345" s="103"/>
      <c r="V345" s="103"/>
      <c r="W345" s="103"/>
      <c r="X345" s="103"/>
      <c r="Y345" s="103"/>
      <c r="Z345" s="103"/>
      <c r="AA345" s="103"/>
    </row>
    <row r="346" spans="1:27" ht="38.25" x14ac:dyDescent="0.2">
      <c r="A346" s="111"/>
      <c r="B346" s="111" t="str">
        <f ca="1">IFERROR(__xludf.DUMMYFUNCTION("""COMPUTED_VALUE"""),"МинЖКХ ""ТОП 5 (2 этап)""")</f>
        <v>МинЖКХ "ТОП 5 (2 этап)"</v>
      </c>
      <c r="C346" s="111" t="str">
        <f ca="1">IFERROR(__xludf.DUMMYFUNCTION("""COMPUTED_VALUE"""),"г.о. Наро-Фоминск")</f>
        <v>г.о. Наро-Фоминск</v>
      </c>
      <c r="D346" s="111" t="str">
        <f ca="1">IFERROR(__xludf.DUMMYFUNCTION("""COMPUTED_VALUE"""),"Реконструкция котельной № 74, д. Назарьево, Наро-Фоминский г.о. (в т.ч. ТП)")</f>
        <v>Реконструкция котельной № 74, д. Назарьево, Наро-Фоминский г.о. (в т.ч. ТП)</v>
      </c>
      <c r="E346" s="111">
        <f ca="1">IFERROR(__xludf.DUMMYFUNCTION("""COMPUTED_VALUE"""),2021)</f>
        <v>2021</v>
      </c>
      <c r="F346" s="113">
        <f ca="1">IFERROR(__xludf.DUMMYFUNCTION("""COMPUTED_VALUE"""),0)</f>
        <v>0</v>
      </c>
      <c r="G346" s="113">
        <f ca="1">IFERROR(__xludf.DUMMYFUNCTION("""COMPUTED_VALUE"""),0)</f>
        <v>0</v>
      </c>
      <c r="H346" s="113">
        <f ca="1">IFERROR(__xludf.DUMMYFUNCTION("""COMPUTED_VALUE"""),0)</f>
        <v>0</v>
      </c>
      <c r="I346" s="113">
        <f ca="1">IFERROR(__xludf.DUMMYFUNCTION("""COMPUTED_VALUE"""),0)</f>
        <v>0</v>
      </c>
      <c r="J346" s="111">
        <f ca="1">IFERROR(__xludf.DUMMYFUNCTION("""COMPUTED_VALUE"""),0)</f>
        <v>0</v>
      </c>
      <c r="K346" s="113">
        <f ca="1">IFERROR(__xludf.DUMMYFUNCTION("""COMPUTED_VALUE"""),0)</f>
        <v>0</v>
      </c>
      <c r="L346" s="114" t="str">
        <f ca="1">IFERROR(__xludf.DUMMYFUNCTION("""COMPUTED_VALUE"""),"#DIV/0!")</f>
        <v>#DIV/0!</v>
      </c>
      <c r="M346" s="111"/>
      <c r="N346" s="111"/>
      <c r="O346" s="111"/>
      <c r="P346" s="111"/>
      <c r="Q346" s="112"/>
      <c r="R346" s="103"/>
      <c r="S346" s="103"/>
      <c r="T346" s="103"/>
      <c r="U346" s="103"/>
      <c r="V346" s="103"/>
      <c r="W346" s="103"/>
      <c r="X346" s="103"/>
      <c r="Y346" s="103"/>
      <c r="Z346" s="103"/>
      <c r="AA346" s="103"/>
    </row>
    <row r="347" spans="1:27" ht="38.25" x14ac:dyDescent="0.2">
      <c r="A347" s="111"/>
      <c r="B347" s="111" t="str">
        <f ca="1">IFERROR(__xludf.DUMMYFUNCTION("""COMPUTED_VALUE"""),"МинЖКХ ""ТОП 5 (2 этап)""")</f>
        <v>МинЖКХ "ТОП 5 (2 этап)"</v>
      </c>
      <c r="C347" s="111" t="str">
        <f ca="1">IFERROR(__xludf.DUMMYFUNCTION("""COMPUTED_VALUE"""),"г.о. Наро-Фоминск")</f>
        <v>г.о. Наро-Фоминск</v>
      </c>
      <c r="D347" s="111" t="str">
        <f ca="1">IFERROR(__xludf.DUMMYFUNCTION("""COMPUTED_VALUE"""),"Реконструкция котельной № 79, г. Верея, ул. Боровская, Наро-Фоминский г.о. (в т.ч. ТП)")</f>
        <v>Реконструкция котельной № 79, г. Верея, ул. Боровская, Наро-Фоминский г.о. (в т.ч. ТП)</v>
      </c>
      <c r="E347" s="111">
        <f ca="1">IFERROR(__xludf.DUMMYFUNCTION("""COMPUTED_VALUE"""),2021)</f>
        <v>2021</v>
      </c>
      <c r="F347" s="113">
        <f ca="1">IFERROR(__xludf.DUMMYFUNCTION("""COMPUTED_VALUE"""),0)</f>
        <v>0</v>
      </c>
      <c r="G347" s="113">
        <f ca="1">IFERROR(__xludf.DUMMYFUNCTION("""COMPUTED_VALUE"""),0)</f>
        <v>0</v>
      </c>
      <c r="H347" s="113">
        <f ca="1">IFERROR(__xludf.DUMMYFUNCTION("""COMPUTED_VALUE"""),0)</f>
        <v>0</v>
      </c>
      <c r="I347" s="113">
        <f ca="1">IFERROR(__xludf.DUMMYFUNCTION("""COMPUTED_VALUE"""),0)</f>
        <v>0</v>
      </c>
      <c r="J347" s="111">
        <f ca="1">IFERROR(__xludf.DUMMYFUNCTION("""COMPUTED_VALUE"""),0)</f>
        <v>0</v>
      </c>
      <c r="K347" s="113">
        <f ca="1">IFERROR(__xludf.DUMMYFUNCTION("""COMPUTED_VALUE"""),0)</f>
        <v>0</v>
      </c>
      <c r="L347" s="114" t="str">
        <f ca="1">IFERROR(__xludf.DUMMYFUNCTION("""COMPUTED_VALUE"""),"#DIV/0!")</f>
        <v>#DIV/0!</v>
      </c>
      <c r="M347" s="111"/>
      <c r="N347" s="111"/>
      <c r="O347" s="111"/>
      <c r="P347" s="111"/>
      <c r="Q347" s="112"/>
      <c r="R347" s="103"/>
      <c r="S347" s="103"/>
      <c r="T347" s="103"/>
      <c r="U347" s="103"/>
      <c r="V347" s="103"/>
      <c r="W347" s="103"/>
      <c r="X347" s="103"/>
      <c r="Y347" s="103"/>
      <c r="Z347" s="103"/>
      <c r="AA347" s="103"/>
    </row>
    <row r="348" spans="1:27" ht="51" x14ac:dyDescent="0.2">
      <c r="A348" s="111"/>
      <c r="B348" s="111" t="str">
        <f ca="1">IFERROR(__xludf.DUMMYFUNCTION("""COMPUTED_VALUE"""),"МинЖКХ ""ТОП 5 (2 этап)""")</f>
        <v>МинЖКХ "ТОП 5 (2 этап)"</v>
      </c>
      <c r="C348" s="111" t="str">
        <f ca="1">IFERROR(__xludf.DUMMYFUNCTION("""COMPUTED_VALUE"""),"г.о. Шаховская")</f>
        <v>г.о. Шаховская</v>
      </c>
      <c r="D348" s="111" t="str">
        <f ca="1">IFERROR(__xludf.DUMMYFUNCTION("""COMPUTED_VALUE"""),"Реконструкция котельной №7 по адресу р.п.Шаховская, ул.Солнечная д.8, г.о. Шаховская (в т.ч. ПИР, ТП)")</f>
        <v>Реконструкция котельной №7 по адресу р.п.Шаховская, ул.Солнечная д.8, г.о. Шаховская (в т.ч. ПИР, ТП)</v>
      </c>
      <c r="E348" s="111" t="str">
        <f ca="1">IFERROR(__xludf.DUMMYFUNCTION("""COMPUTED_VALUE"""),"2021-2022")</f>
        <v>2021-2022</v>
      </c>
      <c r="F348" s="113">
        <f ca="1">IFERROR(__xludf.DUMMYFUNCTION("""COMPUTED_VALUE"""),0)</f>
        <v>0</v>
      </c>
      <c r="G348" s="113">
        <f ca="1">IFERROR(__xludf.DUMMYFUNCTION("""COMPUTED_VALUE"""),0)</f>
        <v>0</v>
      </c>
      <c r="H348" s="113">
        <f ca="1">IFERROR(__xludf.DUMMYFUNCTION("""COMPUTED_VALUE"""),0)</f>
        <v>0</v>
      </c>
      <c r="I348" s="113">
        <f ca="1">IFERROR(__xludf.DUMMYFUNCTION("""COMPUTED_VALUE"""),0)</f>
        <v>0</v>
      </c>
      <c r="J348" s="111">
        <f ca="1">IFERROR(__xludf.DUMMYFUNCTION("""COMPUTED_VALUE"""),0)</f>
        <v>0</v>
      </c>
      <c r="K348" s="113">
        <f ca="1">IFERROR(__xludf.DUMMYFUNCTION("""COMPUTED_VALUE"""),0)</f>
        <v>0</v>
      </c>
      <c r="L348" s="114" t="str">
        <f ca="1">IFERROR(__xludf.DUMMYFUNCTION("""COMPUTED_VALUE"""),"#DIV/0!")</f>
        <v>#DIV/0!</v>
      </c>
      <c r="M348" s="111"/>
      <c r="N348" s="111"/>
      <c r="O348" s="111"/>
      <c r="P348" s="111"/>
      <c r="Q348" s="112"/>
      <c r="R348" s="103"/>
      <c r="S348" s="103"/>
      <c r="T348" s="103"/>
      <c r="U348" s="103"/>
      <c r="V348" s="103"/>
      <c r="W348" s="103"/>
      <c r="X348" s="103"/>
      <c r="Y348" s="103"/>
      <c r="Z348" s="103"/>
      <c r="AA348" s="103"/>
    </row>
    <row r="349" spans="1:27" ht="51" x14ac:dyDescent="0.2">
      <c r="A349" s="111"/>
      <c r="B349" s="111" t="str">
        <f ca="1">IFERROR(__xludf.DUMMYFUNCTION("""COMPUTED_VALUE"""),"МинЖКХ ""ТОП 5 (2 этап)""")</f>
        <v>МинЖКХ "ТОП 5 (2 этап)"</v>
      </c>
      <c r="C349" s="111" t="str">
        <f ca="1">IFERROR(__xludf.DUMMYFUNCTION("""COMPUTED_VALUE"""),"г.о. Талдомский")</f>
        <v>г.о. Талдомский</v>
      </c>
      <c r="D349" s="111" t="str">
        <f ca="1">IFERROR(__xludf.DUMMYFUNCTION("""COMPUTED_VALUE"""),"Реконструкция котельной ""Григорово"", д. Григорово,  и тепловых сетей, г.о. Талдомский (в т.ч. ПИР, ТП) ")</f>
        <v xml:space="preserve">Реконструкция котельной "Григорово", д. Григорово,  и тепловых сетей, г.о. Талдомский (в т.ч. ПИР, ТП) </v>
      </c>
      <c r="E349" s="111" t="str">
        <f ca="1">IFERROR(__xludf.DUMMYFUNCTION("""COMPUTED_VALUE"""),"2023-2024")</f>
        <v>2023-2024</v>
      </c>
      <c r="F349" s="113">
        <f ca="1">IFERROR(__xludf.DUMMYFUNCTION("""COMPUTED_VALUE"""),0)</f>
        <v>0</v>
      </c>
      <c r="G349" s="113">
        <f ca="1">IFERROR(__xludf.DUMMYFUNCTION("""COMPUTED_VALUE"""),0)</f>
        <v>0</v>
      </c>
      <c r="H349" s="113">
        <f ca="1">IFERROR(__xludf.DUMMYFUNCTION("""COMPUTED_VALUE"""),0)</f>
        <v>0</v>
      </c>
      <c r="I349" s="113">
        <f ca="1">IFERROR(__xludf.DUMMYFUNCTION("""COMPUTED_VALUE"""),0)</f>
        <v>0</v>
      </c>
      <c r="J349" s="111">
        <f ca="1">IFERROR(__xludf.DUMMYFUNCTION("""COMPUTED_VALUE"""),0)</f>
        <v>0</v>
      </c>
      <c r="K349" s="113">
        <f ca="1">IFERROR(__xludf.DUMMYFUNCTION("""COMPUTED_VALUE"""),0)</f>
        <v>0</v>
      </c>
      <c r="L349" s="114" t="str">
        <f ca="1">IFERROR(__xludf.DUMMYFUNCTION("""COMPUTED_VALUE"""),"#DIV/0!")</f>
        <v>#DIV/0!</v>
      </c>
      <c r="M349" s="111"/>
      <c r="N349" s="111"/>
      <c r="O349" s="111"/>
      <c r="P349" s="111"/>
      <c r="Q349" s="112"/>
      <c r="R349" s="103"/>
      <c r="S349" s="103"/>
      <c r="T349" s="103"/>
      <c r="U349" s="103"/>
      <c r="V349" s="103"/>
      <c r="W349" s="103"/>
      <c r="X349" s="103"/>
      <c r="Y349" s="103"/>
      <c r="Z349" s="103"/>
      <c r="AA349" s="103"/>
    </row>
    <row r="350" spans="1:27" ht="51" x14ac:dyDescent="0.2">
      <c r="A350" s="111"/>
      <c r="B350" s="111" t="str">
        <f ca="1">IFERROR(__xludf.DUMMYFUNCTION("""COMPUTED_VALUE"""),"МинЖКХ ""ТОП 5 (2 этап)""")</f>
        <v>МинЖКХ "ТОП 5 (2 этап)"</v>
      </c>
      <c r="C350" s="111" t="str">
        <f ca="1">IFERROR(__xludf.DUMMYFUNCTION("""COMPUTED_VALUE"""),"г.о. Талдомский")</f>
        <v>г.о. Талдомский</v>
      </c>
      <c r="D350" s="111" t="str">
        <f ca="1">IFERROR(__xludf.DUMMYFUNCTION("""COMPUTED_VALUE"""),"Реконструкция котельной ""Пановка"", д. Пановка, д.47, и тепловых сетей, г.о. Талдомский (в т.ч. ПИР, ТП) ")</f>
        <v xml:space="preserve">Реконструкция котельной "Пановка", д. Пановка, д.47, и тепловых сетей, г.о. Талдомский (в т.ч. ПИР, ТП) </v>
      </c>
      <c r="E350" s="111" t="str">
        <f ca="1">IFERROR(__xludf.DUMMYFUNCTION("""COMPUTED_VALUE"""),"2023-2024")</f>
        <v>2023-2024</v>
      </c>
      <c r="F350" s="113">
        <f ca="1">IFERROR(__xludf.DUMMYFUNCTION("""COMPUTED_VALUE"""),0)</f>
        <v>0</v>
      </c>
      <c r="G350" s="113">
        <f ca="1">IFERROR(__xludf.DUMMYFUNCTION("""COMPUTED_VALUE"""),0)</f>
        <v>0</v>
      </c>
      <c r="H350" s="113">
        <f ca="1">IFERROR(__xludf.DUMMYFUNCTION("""COMPUTED_VALUE"""),0)</f>
        <v>0</v>
      </c>
      <c r="I350" s="113">
        <f ca="1">IFERROR(__xludf.DUMMYFUNCTION("""COMPUTED_VALUE"""),0)</f>
        <v>0</v>
      </c>
      <c r="J350" s="111">
        <f ca="1">IFERROR(__xludf.DUMMYFUNCTION("""COMPUTED_VALUE"""),0)</f>
        <v>0</v>
      </c>
      <c r="K350" s="113">
        <f ca="1">IFERROR(__xludf.DUMMYFUNCTION("""COMPUTED_VALUE"""),0)</f>
        <v>0</v>
      </c>
      <c r="L350" s="114" t="str">
        <f ca="1">IFERROR(__xludf.DUMMYFUNCTION("""COMPUTED_VALUE"""),"#DIV/0!")</f>
        <v>#DIV/0!</v>
      </c>
      <c r="M350" s="111"/>
      <c r="N350" s="111"/>
      <c r="O350" s="111"/>
      <c r="P350" s="111"/>
      <c r="Q350" s="112"/>
      <c r="R350" s="103"/>
      <c r="S350" s="103"/>
      <c r="T350" s="103"/>
      <c r="U350" s="103"/>
      <c r="V350" s="103"/>
      <c r="W350" s="103"/>
      <c r="X350" s="103"/>
      <c r="Y350" s="103"/>
      <c r="Z350" s="103"/>
      <c r="AA350" s="103"/>
    </row>
    <row r="351" spans="1:27" ht="51" x14ac:dyDescent="0.2">
      <c r="A351" s="111"/>
      <c r="B351" s="111" t="str">
        <f ca="1">IFERROR(__xludf.DUMMYFUNCTION("""COMPUTED_VALUE"""),"МинЖКХ ""ТОП 5 (2 этап)""")</f>
        <v>МинЖКХ "ТОП 5 (2 этап)"</v>
      </c>
      <c r="C351" s="111" t="str">
        <f ca="1">IFERROR(__xludf.DUMMYFUNCTION("""COMPUTED_VALUE"""),"г.о. Волоколамский")</f>
        <v>г.о. Волоколамский</v>
      </c>
      <c r="D351" s="111" t="str">
        <f ca="1">IFERROR(__xludf.DUMMYFUNCTION("""COMPUTED_VALUE"""),"Строительство котельной №37, п. Сычево, Школьный пр., д.4, г.о. Волоколамский (в т.ч. ПИР, ТП)")</f>
        <v>Строительство котельной №37, п. Сычево, Школьный пр., д.4, г.о. Волоколамский (в т.ч. ПИР, ТП)</v>
      </c>
      <c r="E351" s="111" t="str">
        <f ca="1">IFERROR(__xludf.DUMMYFUNCTION("""COMPUTED_VALUE"""),"2022-2023")</f>
        <v>2022-2023</v>
      </c>
      <c r="F351" s="113">
        <f ca="1">IFERROR(__xludf.DUMMYFUNCTION("""COMPUTED_VALUE"""),0)</f>
        <v>0</v>
      </c>
      <c r="G351" s="113">
        <f ca="1">IFERROR(__xludf.DUMMYFUNCTION("""COMPUTED_VALUE"""),0)</f>
        <v>0</v>
      </c>
      <c r="H351" s="113">
        <f ca="1">IFERROR(__xludf.DUMMYFUNCTION("""COMPUTED_VALUE"""),0)</f>
        <v>0</v>
      </c>
      <c r="I351" s="113">
        <f ca="1">IFERROR(__xludf.DUMMYFUNCTION("""COMPUTED_VALUE"""),0)</f>
        <v>0</v>
      </c>
      <c r="J351" s="111">
        <f ca="1">IFERROR(__xludf.DUMMYFUNCTION("""COMPUTED_VALUE"""),0)</f>
        <v>0</v>
      </c>
      <c r="K351" s="113">
        <f ca="1">IFERROR(__xludf.DUMMYFUNCTION("""COMPUTED_VALUE"""),0)</f>
        <v>0</v>
      </c>
      <c r="L351" s="114" t="str">
        <f ca="1">IFERROR(__xludf.DUMMYFUNCTION("""COMPUTED_VALUE"""),"#DIV/0!")</f>
        <v>#DIV/0!</v>
      </c>
      <c r="M351" s="111"/>
      <c r="N351" s="111"/>
      <c r="O351" s="111"/>
      <c r="P351" s="111"/>
      <c r="Q351" s="112"/>
      <c r="R351" s="103"/>
      <c r="S351" s="103"/>
      <c r="T351" s="103"/>
      <c r="U351" s="103"/>
      <c r="V351" s="103"/>
      <c r="W351" s="103"/>
      <c r="X351" s="103"/>
      <c r="Y351" s="103"/>
      <c r="Z351" s="103"/>
      <c r="AA351" s="103"/>
    </row>
    <row r="352" spans="1:27" ht="63.75" x14ac:dyDescent="0.2">
      <c r="A352" s="111"/>
      <c r="B352" s="111" t="str">
        <f ca="1">IFERROR(__xludf.DUMMYFUNCTION("""COMPUTED_VALUE"""),"МинЖКХ ""ТОП 5 (2 этап)""")</f>
        <v>МинЖКХ "ТОП 5 (2 этап)"</v>
      </c>
      <c r="C352" s="111" t="str">
        <f ca="1">IFERROR(__xludf.DUMMYFUNCTION("""COMPUTED_VALUE"""),"г.о. Лотошино")</f>
        <v>г.о. Лотошино</v>
      </c>
      <c r="D352" s="111" t="str">
        <f ca="1">IFERROR(__xludf.DUMMYFUNCTION("""COMPUTED_VALUE"""),"Реконструкция котельной №4 по адресу п. Лотошино, ул. Спортивная, д. 9 и тепловых сетей, г.о. Лотошино (в т.ч. ПИР)")</f>
        <v>Реконструкция котельной №4 по адресу п. Лотошино, ул. Спортивная, д. 9 и тепловых сетей, г.о. Лотошино (в т.ч. ПИР)</v>
      </c>
      <c r="E352" s="111" t="str">
        <f ca="1">IFERROR(__xludf.DUMMYFUNCTION("""COMPUTED_VALUE"""),"2022-2023")</f>
        <v>2022-2023</v>
      </c>
      <c r="F352" s="113">
        <f ca="1">IFERROR(__xludf.DUMMYFUNCTION("""COMPUTED_VALUE"""),0)</f>
        <v>0</v>
      </c>
      <c r="G352" s="113">
        <f ca="1">IFERROR(__xludf.DUMMYFUNCTION("""COMPUTED_VALUE"""),0)</f>
        <v>0</v>
      </c>
      <c r="H352" s="113">
        <f ca="1">IFERROR(__xludf.DUMMYFUNCTION("""COMPUTED_VALUE"""),0)</f>
        <v>0</v>
      </c>
      <c r="I352" s="113">
        <f ca="1">IFERROR(__xludf.DUMMYFUNCTION("""COMPUTED_VALUE"""),0)</f>
        <v>0</v>
      </c>
      <c r="J352" s="111">
        <f ca="1">IFERROR(__xludf.DUMMYFUNCTION("""COMPUTED_VALUE"""),0)</f>
        <v>0</v>
      </c>
      <c r="K352" s="113">
        <f ca="1">IFERROR(__xludf.DUMMYFUNCTION("""COMPUTED_VALUE"""),0)</f>
        <v>0</v>
      </c>
      <c r="L352" s="114" t="str">
        <f ca="1">IFERROR(__xludf.DUMMYFUNCTION("""COMPUTED_VALUE"""),"#DIV/0!")</f>
        <v>#DIV/0!</v>
      </c>
      <c r="M352" s="111"/>
      <c r="N352" s="111"/>
      <c r="O352" s="111"/>
      <c r="P352" s="111"/>
      <c r="Q352" s="112"/>
      <c r="R352" s="103"/>
      <c r="S352" s="103"/>
      <c r="T352" s="103"/>
      <c r="U352" s="103"/>
      <c r="V352" s="103"/>
      <c r="W352" s="103"/>
      <c r="X352" s="103"/>
      <c r="Y352" s="103"/>
      <c r="Z352" s="103"/>
      <c r="AA352" s="103"/>
    </row>
    <row r="353" spans="1:27" ht="63.75" x14ac:dyDescent="0.2">
      <c r="A353" s="111"/>
      <c r="B353" s="111" t="str">
        <f ca="1">IFERROR(__xludf.DUMMYFUNCTION("""COMPUTED_VALUE"""),"МинЖКХ ""ТОП 5 (2 этап)""")</f>
        <v>МинЖКХ "ТОП 5 (2 этап)"</v>
      </c>
      <c r="C353" s="111" t="str">
        <f ca="1">IFERROR(__xludf.DUMMYFUNCTION("""COMPUTED_VALUE"""),"г.о. Лотошино")</f>
        <v>г.о. Лотошино</v>
      </c>
      <c r="D353" s="111" t="str">
        <f ca="1">IFERROR(__xludf.DUMMYFUNCTION("""COMPUTED_VALUE"""),"Реконструкция котельной №5 по адресу с. Микулино, ул. Школьная д.18 и тепловых сетей, г.о. Лотошино (в т.ч. ПИР)")</f>
        <v>Реконструкция котельной №5 по адресу с. Микулино, ул. Школьная д.18 и тепловых сетей, г.о. Лотошино (в т.ч. ПИР)</v>
      </c>
      <c r="E353" s="111" t="str">
        <f ca="1">IFERROR(__xludf.DUMMYFUNCTION("""COMPUTED_VALUE"""),"2022-2023")</f>
        <v>2022-2023</v>
      </c>
      <c r="F353" s="113">
        <f ca="1">IFERROR(__xludf.DUMMYFUNCTION("""COMPUTED_VALUE"""),0)</f>
        <v>0</v>
      </c>
      <c r="G353" s="113">
        <f ca="1">IFERROR(__xludf.DUMMYFUNCTION("""COMPUTED_VALUE"""),0)</f>
        <v>0</v>
      </c>
      <c r="H353" s="113">
        <f ca="1">IFERROR(__xludf.DUMMYFUNCTION("""COMPUTED_VALUE"""),0)</f>
        <v>0</v>
      </c>
      <c r="I353" s="113">
        <f ca="1">IFERROR(__xludf.DUMMYFUNCTION("""COMPUTED_VALUE"""),0)</f>
        <v>0</v>
      </c>
      <c r="J353" s="111">
        <f ca="1">IFERROR(__xludf.DUMMYFUNCTION("""COMPUTED_VALUE"""),0)</f>
        <v>0</v>
      </c>
      <c r="K353" s="113">
        <f ca="1">IFERROR(__xludf.DUMMYFUNCTION("""COMPUTED_VALUE"""),0)</f>
        <v>0</v>
      </c>
      <c r="L353" s="114" t="str">
        <f ca="1">IFERROR(__xludf.DUMMYFUNCTION("""COMPUTED_VALUE"""),"#DIV/0!")</f>
        <v>#DIV/0!</v>
      </c>
      <c r="M353" s="111"/>
      <c r="N353" s="111"/>
      <c r="O353" s="111"/>
      <c r="P353" s="111"/>
      <c r="Q353" s="112"/>
      <c r="R353" s="103"/>
      <c r="S353" s="103"/>
      <c r="T353" s="103"/>
      <c r="U353" s="103"/>
      <c r="V353" s="103"/>
      <c r="W353" s="103"/>
      <c r="X353" s="103"/>
      <c r="Y353" s="103"/>
      <c r="Z353" s="103"/>
      <c r="AA353" s="103"/>
    </row>
    <row r="354" spans="1:27" ht="63.75" x14ac:dyDescent="0.2">
      <c r="A354" s="111"/>
      <c r="B354" s="111" t="str">
        <f ca="1">IFERROR(__xludf.DUMMYFUNCTION("""COMPUTED_VALUE"""),"МинЖКХ ""ТОП 5 (2 этап)""")</f>
        <v>МинЖКХ "ТОП 5 (2 этап)"</v>
      </c>
      <c r="C354" s="111" t="str">
        <f ca="1">IFERROR(__xludf.DUMMYFUNCTION("""COMPUTED_VALUE"""),"г.о. Лотошино")</f>
        <v>г.о. Лотошино</v>
      </c>
      <c r="D354" s="111" t="str">
        <f ca="1">IFERROR(__xludf.DUMMYFUNCTION("""COMPUTED_VALUE"""),"Реконструкция котельной №6 по адресу п.Лотошино, ул 2-я Ветеринарная, д.23 и тепловых сетей, г.о. Лотошино (в т.ч. ПИР)")</f>
        <v>Реконструкция котельной №6 по адресу п.Лотошино, ул 2-я Ветеринарная, д.23 и тепловых сетей, г.о. Лотошино (в т.ч. ПИР)</v>
      </c>
      <c r="E354" s="111" t="str">
        <f ca="1">IFERROR(__xludf.DUMMYFUNCTION("""COMPUTED_VALUE"""),"2022-2023")</f>
        <v>2022-2023</v>
      </c>
      <c r="F354" s="113">
        <f ca="1">IFERROR(__xludf.DUMMYFUNCTION("""COMPUTED_VALUE"""),0)</f>
        <v>0</v>
      </c>
      <c r="G354" s="113">
        <f ca="1">IFERROR(__xludf.DUMMYFUNCTION("""COMPUTED_VALUE"""),0)</f>
        <v>0</v>
      </c>
      <c r="H354" s="113">
        <f ca="1">IFERROR(__xludf.DUMMYFUNCTION("""COMPUTED_VALUE"""),0)</f>
        <v>0</v>
      </c>
      <c r="I354" s="113">
        <f ca="1">IFERROR(__xludf.DUMMYFUNCTION("""COMPUTED_VALUE"""),0)</f>
        <v>0</v>
      </c>
      <c r="J354" s="111">
        <f ca="1">IFERROR(__xludf.DUMMYFUNCTION("""COMPUTED_VALUE"""),0)</f>
        <v>0</v>
      </c>
      <c r="K354" s="113">
        <f ca="1">IFERROR(__xludf.DUMMYFUNCTION("""COMPUTED_VALUE"""),0)</f>
        <v>0</v>
      </c>
      <c r="L354" s="114" t="str">
        <f ca="1">IFERROR(__xludf.DUMMYFUNCTION("""COMPUTED_VALUE"""),"#DIV/0!")</f>
        <v>#DIV/0!</v>
      </c>
      <c r="M354" s="111"/>
      <c r="N354" s="111"/>
      <c r="O354" s="111"/>
      <c r="P354" s="111"/>
      <c r="Q354" s="112"/>
      <c r="R354" s="103"/>
      <c r="S354" s="103"/>
      <c r="T354" s="103"/>
      <c r="U354" s="103"/>
      <c r="V354" s="103"/>
      <c r="W354" s="103"/>
      <c r="X354" s="103"/>
      <c r="Y354" s="103"/>
      <c r="Z354" s="103"/>
      <c r="AA354" s="103"/>
    </row>
    <row r="355" spans="1:27" ht="38.25" x14ac:dyDescent="0.2">
      <c r="A355" s="111"/>
      <c r="B355" s="111" t="str">
        <f ca="1">IFERROR(__xludf.DUMMYFUNCTION("""COMPUTED_VALUE"""),"МинЖКХ ""ТОП 5 (2 этап)""")</f>
        <v>МинЖКХ "ТОП 5 (2 этап)"</v>
      </c>
      <c r="C355" s="111" t="str">
        <f ca="1">IFERROR(__xludf.DUMMYFUNCTION("""COMPUTED_VALUE"""),"г.о. Шаховская")</f>
        <v>г.о. Шаховская</v>
      </c>
      <c r="D355" s="111" t="str">
        <f ca="1">IFERROR(__xludf.DUMMYFUNCTION("""COMPUTED_VALUE"""),"Реконструкция тепловых сетей котельной д. Степаньково, г.о. Шаховская (в т.ч. ПИР)")</f>
        <v>Реконструкция тепловых сетей котельной д. Степаньково, г.о. Шаховская (в т.ч. ПИР)</v>
      </c>
      <c r="E355" s="111" t="str">
        <f ca="1">IFERROR(__xludf.DUMMYFUNCTION("""COMPUTED_VALUE"""),"2022-2023")</f>
        <v>2022-2023</v>
      </c>
      <c r="F355" s="113">
        <f ca="1">IFERROR(__xludf.DUMMYFUNCTION("""COMPUTED_VALUE"""),0)</f>
        <v>0</v>
      </c>
      <c r="G355" s="113">
        <f ca="1">IFERROR(__xludf.DUMMYFUNCTION("""COMPUTED_VALUE"""),0)</f>
        <v>0</v>
      </c>
      <c r="H355" s="113">
        <f ca="1">IFERROR(__xludf.DUMMYFUNCTION("""COMPUTED_VALUE"""),0)</f>
        <v>0</v>
      </c>
      <c r="I355" s="113">
        <f ca="1">IFERROR(__xludf.DUMMYFUNCTION("""COMPUTED_VALUE"""),0)</f>
        <v>0</v>
      </c>
      <c r="J355" s="111">
        <f ca="1">IFERROR(__xludf.DUMMYFUNCTION("""COMPUTED_VALUE"""),0)</f>
        <v>0</v>
      </c>
      <c r="K355" s="113">
        <f ca="1">IFERROR(__xludf.DUMMYFUNCTION("""COMPUTED_VALUE"""),0)</f>
        <v>0</v>
      </c>
      <c r="L355" s="114" t="str">
        <f ca="1">IFERROR(__xludf.DUMMYFUNCTION("""COMPUTED_VALUE"""),"#DIV/0!")</f>
        <v>#DIV/0!</v>
      </c>
      <c r="M355" s="111"/>
      <c r="N355" s="111"/>
      <c r="O355" s="111"/>
      <c r="P355" s="111"/>
      <c r="Q355" s="112"/>
      <c r="R355" s="103"/>
      <c r="S355" s="103"/>
      <c r="T355" s="103"/>
      <c r="U355" s="103"/>
      <c r="V355" s="103"/>
      <c r="W355" s="103"/>
      <c r="X355" s="103"/>
      <c r="Y355" s="103"/>
      <c r="Z355" s="103"/>
      <c r="AA355" s="103"/>
    </row>
    <row r="356" spans="1:27" ht="38.25" x14ac:dyDescent="0.2">
      <c r="A356" s="111"/>
      <c r="B356" s="111" t="str">
        <f ca="1">IFERROR(__xludf.DUMMYFUNCTION("""COMPUTED_VALUE"""),"МинЖКХ ""ТОП 5 (2 этап)""")</f>
        <v>МинЖКХ "ТОП 5 (2 этап)"</v>
      </c>
      <c r="C356" s="111" t="str">
        <f ca="1">IFERROR(__xludf.DUMMYFUNCTION("""COMPUTED_VALUE"""),"г.о. Шаховская")</f>
        <v>г.о. Шаховская</v>
      </c>
      <c r="D356" s="111" t="str">
        <f ca="1">IFERROR(__xludf.DUMMYFUNCTION("""COMPUTED_VALUE"""),"Реконструкция тепловых сетей котельной с. Б-Колпь, д.63, г.о. Шаховская (в т.ч. ПИР)")</f>
        <v>Реконструкция тепловых сетей котельной с. Б-Колпь, д.63, г.о. Шаховская (в т.ч. ПИР)</v>
      </c>
      <c r="E356" s="111" t="str">
        <f ca="1">IFERROR(__xludf.DUMMYFUNCTION("""COMPUTED_VALUE"""),"2022-2023")</f>
        <v>2022-2023</v>
      </c>
      <c r="F356" s="113">
        <f ca="1">IFERROR(__xludf.DUMMYFUNCTION("""COMPUTED_VALUE"""),0)</f>
        <v>0</v>
      </c>
      <c r="G356" s="113">
        <f ca="1">IFERROR(__xludf.DUMMYFUNCTION("""COMPUTED_VALUE"""),0)</f>
        <v>0</v>
      </c>
      <c r="H356" s="113">
        <f ca="1">IFERROR(__xludf.DUMMYFUNCTION("""COMPUTED_VALUE"""),0)</f>
        <v>0</v>
      </c>
      <c r="I356" s="113">
        <f ca="1">IFERROR(__xludf.DUMMYFUNCTION("""COMPUTED_VALUE"""),0)</f>
        <v>0</v>
      </c>
      <c r="J356" s="111">
        <f ca="1">IFERROR(__xludf.DUMMYFUNCTION("""COMPUTED_VALUE"""),0)</f>
        <v>0</v>
      </c>
      <c r="K356" s="113">
        <f ca="1">IFERROR(__xludf.DUMMYFUNCTION("""COMPUTED_VALUE"""),0)</f>
        <v>0</v>
      </c>
      <c r="L356" s="114" t="str">
        <f ca="1">IFERROR(__xludf.DUMMYFUNCTION("""COMPUTED_VALUE"""),"#DIV/0!")</f>
        <v>#DIV/0!</v>
      </c>
      <c r="M356" s="111"/>
      <c r="N356" s="111"/>
      <c r="O356" s="111"/>
      <c r="P356" s="111"/>
      <c r="Q356" s="112"/>
      <c r="R356" s="103"/>
      <c r="S356" s="103"/>
      <c r="T356" s="103"/>
      <c r="U356" s="103"/>
      <c r="V356" s="103"/>
      <c r="W356" s="103"/>
      <c r="X356" s="103"/>
      <c r="Y356" s="103"/>
      <c r="Z356" s="103"/>
      <c r="AA356" s="103"/>
    </row>
    <row r="357" spans="1:27" ht="38.25" x14ac:dyDescent="0.2">
      <c r="A357" s="111"/>
      <c r="B357" s="111" t="str">
        <f ca="1">IFERROR(__xludf.DUMMYFUNCTION("""COMPUTED_VALUE"""),"МинЖКХ ""ТОП 5 (2 этап)""")</f>
        <v>МинЖКХ "ТОП 5 (2 этап)"</v>
      </c>
      <c r="C357" s="111" t="str">
        <f ca="1">IFERROR(__xludf.DUMMYFUNCTION("""COMPUTED_VALUE"""),"г.о. Шаховская")</f>
        <v>г.о. Шаховская</v>
      </c>
      <c r="D357" s="111" t="str">
        <f ca="1">IFERROR(__xludf.DUMMYFUNCTION("""COMPUTED_VALUE"""),"Реконструкция тепловых сетей котельной д. Муриково, г.о. Шаховская (в т.ч. ПИР)")</f>
        <v>Реконструкция тепловых сетей котельной д. Муриково, г.о. Шаховская (в т.ч. ПИР)</v>
      </c>
      <c r="E357" s="111" t="str">
        <f ca="1">IFERROR(__xludf.DUMMYFUNCTION("""COMPUTED_VALUE"""),"2022-2023")</f>
        <v>2022-2023</v>
      </c>
      <c r="F357" s="113">
        <f ca="1">IFERROR(__xludf.DUMMYFUNCTION("""COMPUTED_VALUE"""),0)</f>
        <v>0</v>
      </c>
      <c r="G357" s="113">
        <f ca="1">IFERROR(__xludf.DUMMYFUNCTION("""COMPUTED_VALUE"""),0)</f>
        <v>0</v>
      </c>
      <c r="H357" s="113">
        <f ca="1">IFERROR(__xludf.DUMMYFUNCTION("""COMPUTED_VALUE"""),0)</f>
        <v>0</v>
      </c>
      <c r="I357" s="113">
        <f ca="1">IFERROR(__xludf.DUMMYFUNCTION("""COMPUTED_VALUE"""),0)</f>
        <v>0</v>
      </c>
      <c r="J357" s="111">
        <f ca="1">IFERROR(__xludf.DUMMYFUNCTION("""COMPUTED_VALUE"""),0)</f>
        <v>0</v>
      </c>
      <c r="K357" s="113">
        <f ca="1">IFERROR(__xludf.DUMMYFUNCTION("""COMPUTED_VALUE"""),0)</f>
        <v>0</v>
      </c>
      <c r="L357" s="114" t="str">
        <f ca="1">IFERROR(__xludf.DUMMYFUNCTION("""COMPUTED_VALUE"""),"#DIV/0!")</f>
        <v>#DIV/0!</v>
      </c>
      <c r="M357" s="111"/>
      <c r="N357" s="111"/>
      <c r="O357" s="111"/>
      <c r="P357" s="111"/>
      <c r="Q357" s="112"/>
      <c r="R357" s="103"/>
      <c r="S357" s="103"/>
      <c r="T357" s="103"/>
      <c r="U357" s="103"/>
      <c r="V357" s="103"/>
      <c r="W357" s="103"/>
      <c r="X357" s="103"/>
      <c r="Y357" s="103"/>
      <c r="Z357" s="103"/>
      <c r="AA357" s="103"/>
    </row>
    <row r="358" spans="1:27" ht="38.25" x14ac:dyDescent="0.2">
      <c r="A358" s="111"/>
      <c r="B358" s="111" t="str">
        <f ca="1">IFERROR(__xludf.DUMMYFUNCTION("""COMPUTED_VALUE"""),"МинЖКХ ""ТОП 5 (2 этап)""")</f>
        <v>МинЖКХ "ТОП 5 (2 этап)"</v>
      </c>
      <c r="C358" s="111" t="str">
        <f ca="1">IFERROR(__xludf.DUMMYFUNCTION("""COMPUTED_VALUE"""),"г.о. Шаховская")</f>
        <v>г.о. Шаховская</v>
      </c>
      <c r="D358" s="111" t="str">
        <f ca="1">IFERROR(__xludf.DUMMYFUNCTION("""COMPUTED_VALUE"""),"Реконструкция тепловых сетей котельной с. Ивашково, г.о. Шаховская (в т.ч. ПИР)")</f>
        <v>Реконструкция тепловых сетей котельной с. Ивашково, г.о. Шаховская (в т.ч. ПИР)</v>
      </c>
      <c r="E358" s="111" t="str">
        <f ca="1">IFERROR(__xludf.DUMMYFUNCTION("""COMPUTED_VALUE"""),"2022-2023")</f>
        <v>2022-2023</v>
      </c>
      <c r="F358" s="113">
        <f ca="1">IFERROR(__xludf.DUMMYFUNCTION("""COMPUTED_VALUE"""),0)</f>
        <v>0</v>
      </c>
      <c r="G358" s="113">
        <f ca="1">IFERROR(__xludf.DUMMYFUNCTION("""COMPUTED_VALUE"""),0)</f>
        <v>0</v>
      </c>
      <c r="H358" s="113">
        <f ca="1">IFERROR(__xludf.DUMMYFUNCTION("""COMPUTED_VALUE"""),0)</f>
        <v>0</v>
      </c>
      <c r="I358" s="113">
        <f ca="1">IFERROR(__xludf.DUMMYFUNCTION("""COMPUTED_VALUE"""),0)</f>
        <v>0</v>
      </c>
      <c r="J358" s="111">
        <f ca="1">IFERROR(__xludf.DUMMYFUNCTION("""COMPUTED_VALUE"""),0)</f>
        <v>0</v>
      </c>
      <c r="K358" s="113">
        <f ca="1">IFERROR(__xludf.DUMMYFUNCTION("""COMPUTED_VALUE"""),0)</f>
        <v>0</v>
      </c>
      <c r="L358" s="114" t="str">
        <f ca="1">IFERROR(__xludf.DUMMYFUNCTION("""COMPUTED_VALUE"""),"#DIV/0!")</f>
        <v>#DIV/0!</v>
      </c>
      <c r="M358" s="111"/>
      <c r="N358" s="111"/>
      <c r="O358" s="111"/>
      <c r="P358" s="111"/>
      <c r="Q358" s="112"/>
      <c r="R358" s="103"/>
      <c r="S358" s="103"/>
      <c r="T358" s="103"/>
      <c r="U358" s="103"/>
      <c r="V358" s="103"/>
      <c r="W358" s="103"/>
      <c r="X358" s="103"/>
      <c r="Y358" s="103"/>
      <c r="Z358" s="103"/>
      <c r="AA358" s="103"/>
    </row>
    <row r="359" spans="1:27" ht="51" x14ac:dyDescent="0.2">
      <c r="A359" s="111"/>
      <c r="B359" s="111" t="str">
        <f ca="1">IFERROR(__xludf.DUMMYFUNCTION("""COMPUTED_VALUE"""),"МинЖКХ ""ТОП 5 (2 этап)""")</f>
        <v>МинЖКХ "ТОП 5 (2 этап)"</v>
      </c>
      <c r="C359" s="111" t="str">
        <f ca="1">IFERROR(__xludf.DUMMYFUNCTION("""COMPUTED_VALUE"""),"г.о. Шаховская")</f>
        <v>г.о. Шаховская</v>
      </c>
      <c r="D359" s="111" t="str">
        <f ca="1">IFERROR(__xludf.DUMMYFUNCTION("""COMPUTED_VALUE"""),"Реконструкция тепловых сетей котельной д. Дубранивка, ул. Совхозная, д. 7, г.о. Шаховская (в т.ч. ПИР)")</f>
        <v>Реконструкция тепловых сетей котельной д. Дубранивка, ул. Совхозная, д. 7, г.о. Шаховская (в т.ч. ПИР)</v>
      </c>
      <c r="E359" s="111" t="str">
        <f ca="1">IFERROR(__xludf.DUMMYFUNCTION("""COMPUTED_VALUE"""),"2022-2023")</f>
        <v>2022-2023</v>
      </c>
      <c r="F359" s="113">
        <f ca="1">IFERROR(__xludf.DUMMYFUNCTION("""COMPUTED_VALUE"""),0)</f>
        <v>0</v>
      </c>
      <c r="G359" s="113">
        <f ca="1">IFERROR(__xludf.DUMMYFUNCTION("""COMPUTED_VALUE"""),0)</f>
        <v>0</v>
      </c>
      <c r="H359" s="113">
        <f ca="1">IFERROR(__xludf.DUMMYFUNCTION("""COMPUTED_VALUE"""),0)</f>
        <v>0</v>
      </c>
      <c r="I359" s="113">
        <f ca="1">IFERROR(__xludf.DUMMYFUNCTION("""COMPUTED_VALUE"""),0)</f>
        <v>0</v>
      </c>
      <c r="J359" s="111">
        <f ca="1">IFERROR(__xludf.DUMMYFUNCTION("""COMPUTED_VALUE"""),0)</f>
        <v>0</v>
      </c>
      <c r="K359" s="113">
        <f ca="1">IFERROR(__xludf.DUMMYFUNCTION("""COMPUTED_VALUE"""),0)</f>
        <v>0</v>
      </c>
      <c r="L359" s="114" t="str">
        <f ca="1">IFERROR(__xludf.DUMMYFUNCTION("""COMPUTED_VALUE"""),"#DIV/0!")</f>
        <v>#DIV/0!</v>
      </c>
      <c r="M359" s="111"/>
      <c r="N359" s="111"/>
      <c r="O359" s="111"/>
      <c r="P359" s="111"/>
      <c r="Q359" s="112"/>
      <c r="R359" s="103"/>
      <c r="S359" s="103"/>
      <c r="T359" s="103"/>
      <c r="U359" s="103"/>
      <c r="V359" s="103"/>
      <c r="W359" s="103"/>
      <c r="X359" s="103"/>
      <c r="Y359" s="103"/>
      <c r="Z359" s="103"/>
      <c r="AA359" s="103"/>
    </row>
    <row r="360" spans="1:27" ht="51" x14ac:dyDescent="0.2">
      <c r="A360" s="111"/>
      <c r="B360" s="111" t="str">
        <f ca="1">IFERROR(__xludf.DUMMYFUNCTION("""COMPUTED_VALUE"""),"МинЖКХ ""ТОП 5 (2 этап)""")</f>
        <v>МинЖКХ "ТОП 5 (2 этап)"</v>
      </c>
      <c r="C360" s="111" t="str">
        <f ca="1">IFERROR(__xludf.DUMMYFUNCTION("""COMPUTED_VALUE"""),"г.о. Наро-Фоминск")</f>
        <v>г.о. Наро-Фоминск</v>
      </c>
      <c r="D360" s="111" t="str">
        <f ca="1">IFERROR(__xludf.DUMMYFUNCTION("""COMPUTED_VALUE"""),"Реконструкция котельной №3 (перевод котельной в режим ЦТП) по адресу г. Наро-Фоминск, ул. Калинина, Наро-Фоминский г.о.")</f>
        <v>Реконструкция котельной №3 (перевод котельной в режим ЦТП) по адресу г. Наро-Фоминск, ул. Калинина, Наро-Фоминский г.о.</v>
      </c>
      <c r="E360" s="111">
        <f ca="1">IFERROR(__xludf.DUMMYFUNCTION("""COMPUTED_VALUE"""),2022)</f>
        <v>2022</v>
      </c>
      <c r="F360" s="113">
        <f ca="1">IFERROR(__xludf.DUMMYFUNCTION("""COMPUTED_VALUE"""),0)</f>
        <v>0</v>
      </c>
      <c r="G360" s="113">
        <f ca="1">IFERROR(__xludf.DUMMYFUNCTION("""COMPUTED_VALUE"""),0)</f>
        <v>0</v>
      </c>
      <c r="H360" s="113">
        <f ca="1">IFERROR(__xludf.DUMMYFUNCTION("""COMPUTED_VALUE"""),0)</f>
        <v>0</v>
      </c>
      <c r="I360" s="113">
        <f ca="1">IFERROR(__xludf.DUMMYFUNCTION("""COMPUTED_VALUE"""),0)</f>
        <v>0</v>
      </c>
      <c r="J360" s="111">
        <f ca="1">IFERROR(__xludf.DUMMYFUNCTION("""COMPUTED_VALUE"""),0)</f>
        <v>0</v>
      </c>
      <c r="K360" s="113">
        <f ca="1">IFERROR(__xludf.DUMMYFUNCTION("""COMPUTED_VALUE"""),0)</f>
        <v>0</v>
      </c>
      <c r="L360" s="114" t="str">
        <f ca="1">IFERROR(__xludf.DUMMYFUNCTION("""COMPUTED_VALUE"""),"#DIV/0!")</f>
        <v>#DIV/0!</v>
      </c>
      <c r="M360" s="111"/>
      <c r="N360" s="111"/>
      <c r="O360" s="111"/>
      <c r="P360" s="111"/>
      <c r="Q360" s="112"/>
      <c r="R360" s="103"/>
      <c r="S360" s="103"/>
      <c r="T360" s="103"/>
      <c r="U360" s="103"/>
      <c r="V360" s="103"/>
      <c r="W360" s="103"/>
      <c r="X360" s="103"/>
      <c r="Y360" s="103"/>
      <c r="Z360" s="103"/>
      <c r="AA360" s="103"/>
    </row>
    <row r="361" spans="1:27" ht="51" x14ac:dyDescent="0.2">
      <c r="A361" s="111"/>
      <c r="B361" s="111" t="str">
        <f ca="1">IFERROR(__xludf.DUMMYFUNCTION("""COMPUTED_VALUE"""),"МинЖКХ ""ТОП 5 (2 этап)""")</f>
        <v>МинЖКХ "ТОП 5 (2 этап)"</v>
      </c>
      <c r="C361" s="111" t="str">
        <f ca="1">IFERROR(__xludf.DUMMYFUNCTION("""COMPUTED_VALUE"""),"г.о. Наро-Фоминск")</f>
        <v>г.о. Наро-Фоминск</v>
      </c>
      <c r="D361" s="111" t="str">
        <f ca="1">IFERROR(__xludf.DUMMYFUNCTION("""COMPUTED_VALUE"""),"Строительство тепловых сетей к котельной № 5 по адресу г. Наро-Фоминск, ул. Новикова, Наро-Фоминский г.о.")</f>
        <v>Строительство тепловых сетей к котельной № 5 по адресу г. Наро-Фоминск, ул. Новикова, Наро-Фоминский г.о.</v>
      </c>
      <c r="E361" s="111">
        <f ca="1">IFERROR(__xludf.DUMMYFUNCTION("""COMPUTED_VALUE"""),2022)</f>
        <v>2022</v>
      </c>
      <c r="F361" s="113">
        <f ca="1">IFERROR(__xludf.DUMMYFUNCTION("""COMPUTED_VALUE"""),0)</f>
        <v>0</v>
      </c>
      <c r="G361" s="113">
        <f ca="1">IFERROR(__xludf.DUMMYFUNCTION("""COMPUTED_VALUE"""),0)</f>
        <v>0</v>
      </c>
      <c r="H361" s="113">
        <f ca="1">IFERROR(__xludf.DUMMYFUNCTION("""COMPUTED_VALUE"""),0)</f>
        <v>0</v>
      </c>
      <c r="I361" s="113">
        <f ca="1">IFERROR(__xludf.DUMMYFUNCTION("""COMPUTED_VALUE"""),0)</f>
        <v>0</v>
      </c>
      <c r="J361" s="111">
        <f ca="1">IFERROR(__xludf.DUMMYFUNCTION("""COMPUTED_VALUE"""),0)</f>
        <v>0</v>
      </c>
      <c r="K361" s="113">
        <f ca="1">IFERROR(__xludf.DUMMYFUNCTION("""COMPUTED_VALUE"""),0)</f>
        <v>0</v>
      </c>
      <c r="L361" s="114" t="str">
        <f ca="1">IFERROR(__xludf.DUMMYFUNCTION("""COMPUTED_VALUE"""),"#DIV/0!")</f>
        <v>#DIV/0!</v>
      </c>
      <c r="M361" s="111"/>
      <c r="N361" s="111"/>
      <c r="O361" s="111"/>
      <c r="P361" s="111"/>
      <c r="Q361" s="112"/>
      <c r="R361" s="103"/>
      <c r="S361" s="103"/>
      <c r="T361" s="103"/>
      <c r="U361" s="103"/>
      <c r="V361" s="103"/>
      <c r="W361" s="103"/>
      <c r="X361" s="103"/>
      <c r="Y361" s="103"/>
      <c r="Z361" s="103"/>
      <c r="AA361" s="103"/>
    </row>
    <row r="362" spans="1:27" ht="63.75" x14ac:dyDescent="0.2">
      <c r="A362" s="111"/>
      <c r="B362" s="111" t="str">
        <f ca="1">IFERROR(__xludf.DUMMYFUNCTION("""COMPUTED_VALUE"""),"МинЖКХ ""ТОП 5 (2 этап)""")</f>
        <v>МинЖКХ "ТОП 5 (2 этап)"</v>
      </c>
      <c r="C362" s="111" t="str">
        <f ca="1">IFERROR(__xludf.DUMMYFUNCTION("""COMPUTED_VALUE"""),"г.о. Талдомский")</f>
        <v>г.о. Талдомский</v>
      </c>
      <c r="D362" s="111" t="str">
        <f ca="1">IFERROR(__xludf.DUMMYFUNCTION("""COMPUTED_VALUE"""),"Реконструкция котельной №1 по адресу г. Талдом, мкр. р-н ""Юбилейный"", д.24а, г.о. Талдомский
 (в т.ч. ПИР, ТП)")</f>
        <v>Реконструкция котельной №1 по адресу г. Талдом, мкр. р-н "Юбилейный", д.24а, г.о. Талдомский
 (в т.ч. ПИР, ТП)</v>
      </c>
      <c r="E362" s="111" t="str">
        <f ca="1">IFERROR(__xludf.DUMMYFUNCTION("""COMPUTED_VALUE"""),"2022-2024")</f>
        <v>2022-2024</v>
      </c>
      <c r="F362" s="113">
        <f ca="1">IFERROR(__xludf.DUMMYFUNCTION("""COMPUTED_VALUE"""),0)</f>
        <v>0</v>
      </c>
      <c r="G362" s="113">
        <f ca="1">IFERROR(__xludf.DUMMYFUNCTION("""COMPUTED_VALUE"""),0)</f>
        <v>0</v>
      </c>
      <c r="H362" s="113">
        <f ca="1">IFERROR(__xludf.DUMMYFUNCTION("""COMPUTED_VALUE"""),0)</f>
        <v>0</v>
      </c>
      <c r="I362" s="113">
        <f ca="1">IFERROR(__xludf.DUMMYFUNCTION("""COMPUTED_VALUE"""),0)</f>
        <v>0</v>
      </c>
      <c r="J362" s="111">
        <f ca="1">IFERROR(__xludf.DUMMYFUNCTION("""COMPUTED_VALUE"""),0)</f>
        <v>0</v>
      </c>
      <c r="K362" s="113">
        <f ca="1">IFERROR(__xludf.DUMMYFUNCTION("""COMPUTED_VALUE"""),0)</f>
        <v>0</v>
      </c>
      <c r="L362" s="114" t="str">
        <f ca="1">IFERROR(__xludf.DUMMYFUNCTION("""COMPUTED_VALUE"""),"#DIV/0!")</f>
        <v>#DIV/0!</v>
      </c>
      <c r="M362" s="111"/>
      <c r="N362" s="111"/>
      <c r="O362" s="111"/>
      <c r="P362" s="111"/>
      <c r="Q362" s="112"/>
      <c r="R362" s="103"/>
      <c r="S362" s="103"/>
      <c r="T362" s="103"/>
      <c r="U362" s="103"/>
      <c r="V362" s="103"/>
      <c r="W362" s="103"/>
      <c r="X362" s="103"/>
      <c r="Y362" s="103"/>
      <c r="Z362" s="103"/>
      <c r="AA362" s="103"/>
    </row>
    <row r="363" spans="1:27" ht="51" x14ac:dyDescent="0.2">
      <c r="A363" s="111"/>
      <c r="B363" s="111" t="str">
        <f ca="1">IFERROR(__xludf.DUMMYFUNCTION("""COMPUTED_VALUE"""),"МинЖКХ ""ТОП 5 (2 этап)""")</f>
        <v>МинЖКХ "ТОП 5 (2 этап)"</v>
      </c>
      <c r="C363" s="111" t="str">
        <f ca="1">IFERROR(__xludf.DUMMYFUNCTION("""COMPUTED_VALUE"""),"г.о. Талдомский")</f>
        <v>г.о. Талдомский</v>
      </c>
      <c r="D363" s="111" t="str">
        <f ca="1">IFERROR(__xludf.DUMMYFUNCTION("""COMPUTED_VALUE"""),"Реконструкция котельной №3 по адресу г. Талдом, ул. Мичурина, д.3а, г.о. Талдомский (в т.ч. ПИР, ТП)")</f>
        <v>Реконструкция котельной №3 по адресу г. Талдом, ул. Мичурина, д.3а, г.о. Талдомский (в т.ч. ПИР, ТП)</v>
      </c>
      <c r="E363" s="111" t="str">
        <f ca="1">IFERROR(__xludf.DUMMYFUNCTION("""COMPUTED_VALUE"""),"2022-2024")</f>
        <v>2022-2024</v>
      </c>
      <c r="F363" s="113">
        <f ca="1">IFERROR(__xludf.DUMMYFUNCTION("""COMPUTED_VALUE"""),0)</f>
        <v>0</v>
      </c>
      <c r="G363" s="113">
        <f ca="1">IFERROR(__xludf.DUMMYFUNCTION("""COMPUTED_VALUE"""),0)</f>
        <v>0</v>
      </c>
      <c r="H363" s="113">
        <f ca="1">IFERROR(__xludf.DUMMYFUNCTION("""COMPUTED_VALUE"""),0)</f>
        <v>0</v>
      </c>
      <c r="I363" s="113">
        <f ca="1">IFERROR(__xludf.DUMMYFUNCTION("""COMPUTED_VALUE"""),0)</f>
        <v>0</v>
      </c>
      <c r="J363" s="111">
        <f ca="1">IFERROR(__xludf.DUMMYFUNCTION("""COMPUTED_VALUE"""),0)</f>
        <v>0</v>
      </c>
      <c r="K363" s="113">
        <f ca="1">IFERROR(__xludf.DUMMYFUNCTION("""COMPUTED_VALUE"""),0)</f>
        <v>0</v>
      </c>
      <c r="L363" s="114" t="str">
        <f ca="1">IFERROR(__xludf.DUMMYFUNCTION("""COMPUTED_VALUE"""),"#DIV/0!")</f>
        <v>#DIV/0!</v>
      </c>
      <c r="M363" s="111"/>
      <c r="N363" s="111"/>
      <c r="O363" s="111"/>
      <c r="P363" s="111"/>
      <c r="Q363" s="112"/>
      <c r="R363" s="103"/>
      <c r="S363" s="103"/>
      <c r="T363" s="103"/>
      <c r="U363" s="103"/>
      <c r="V363" s="103"/>
      <c r="W363" s="103"/>
      <c r="X363" s="103"/>
      <c r="Y363" s="103"/>
      <c r="Z363" s="103"/>
      <c r="AA363" s="103"/>
    </row>
    <row r="364" spans="1:27" ht="51" x14ac:dyDescent="0.2">
      <c r="A364" s="111"/>
      <c r="B364" s="111" t="str">
        <f ca="1">IFERROR(__xludf.DUMMYFUNCTION("""COMPUTED_VALUE"""),"МинЖКХ ""ТОП 5 (2 этап)""")</f>
        <v>МинЖКХ "ТОП 5 (2 этап)"</v>
      </c>
      <c r="C364" s="111" t="str">
        <f ca="1">IFERROR(__xludf.DUMMYFUNCTION("""COMPUTED_VALUE"""),"г.о. Талдомский")</f>
        <v>г.о. Талдомский</v>
      </c>
      <c r="D364" s="111" t="str">
        <f ca="1">IFERROR(__xludf.DUMMYFUNCTION("""COMPUTED_VALUE"""),"Реконструкция котельной ""Вербилки"", п. Вербилки, ул. Якотская, д.6, г.о. Талдомский (в т.ч. ПИР)")</f>
        <v>Реконструкция котельной "Вербилки", п. Вербилки, ул. Якотская, д.6, г.о. Талдомский (в т.ч. ПИР)</v>
      </c>
      <c r="E364" s="111" t="str">
        <f ca="1">IFERROR(__xludf.DUMMYFUNCTION("""COMPUTED_VALUE"""),"2022-2024")</f>
        <v>2022-2024</v>
      </c>
      <c r="F364" s="113">
        <f ca="1">IFERROR(__xludf.DUMMYFUNCTION("""COMPUTED_VALUE"""),0)</f>
        <v>0</v>
      </c>
      <c r="G364" s="113">
        <f ca="1">IFERROR(__xludf.DUMMYFUNCTION("""COMPUTED_VALUE"""),0)</f>
        <v>0</v>
      </c>
      <c r="H364" s="113">
        <f ca="1">IFERROR(__xludf.DUMMYFUNCTION("""COMPUTED_VALUE"""),0)</f>
        <v>0</v>
      </c>
      <c r="I364" s="113">
        <f ca="1">IFERROR(__xludf.DUMMYFUNCTION("""COMPUTED_VALUE"""),0)</f>
        <v>0</v>
      </c>
      <c r="J364" s="111">
        <f ca="1">IFERROR(__xludf.DUMMYFUNCTION("""COMPUTED_VALUE"""),0)</f>
        <v>0</v>
      </c>
      <c r="K364" s="113">
        <f ca="1">IFERROR(__xludf.DUMMYFUNCTION("""COMPUTED_VALUE"""),0)</f>
        <v>0</v>
      </c>
      <c r="L364" s="114" t="str">
        <f ca="1">IFERROR(__xludf.DUMMYFUNCTION("""COMPUTED_VALUE"""),"#DIV/0!")</f>
        <v>#DIV/0!</v>
      </c>
      <c r="M364" s="111"/>
      <c r="N364" s="111"/>
      <c r="O364" s="111"/>
      <c r="P364" s="111"/>
      <c r="Q364" s="112"/>
      <c r="R364" s="103"/>
      <c r="S364" s="103"/>
      <c r="T364" s="103"/>
      <c r="U364" s="103"/>
      <c r="V364" s="103"/>
      <c r="W364" s="103"/>
      <c r="X364" s="103"/>
      <c r="Y364" s="103"/>
      <c r="Z364" s="103"/>
      <c r="AA364" s="103"/>
    </row>
    <row r="365" spans="1:27" ht="38.25" x14ac:dyDescent="0.2">
      <c r="A365" s="111"/>
      <c r="B365" s="111" t="str">
        <f ca="1">IFERROR(__xludf.DUMMYFUNCTION("""COMPUTED_VALUE"""),"МинЖКХ ""ТОП 5 (2 этап)""")</f>
        <v>МинЖКХ "ТОП 5 (2 этап)"</v>
      </c>
      <c r="C365" s="111" t="str">
        <f ca="1">IFERROR(__xludf.DUMMYFUNCTION("""COMPUTED_VALUE"""),"г.о. Талдомский")</f>
        <v>г.о. Талдомский</v>
      </c>
      <c r="D365" s="111" t="str">
        <f ca="1">IFERROR(__xludf.DUMMYFUNCTION("""COMPUTED_VALUE"""),"Реконструкция котельной ""РУС"", г. Талдом, ул. Собцова, д.1а, г.о. Талдомский (в т.ч. ПИР, ТП)")</f>
        <v>Реконструкция котельной "РУС", г. Талдом, ул. Собцова, д.1а, г.о. Талдомский (в т.ч. ПИР, ТП)</v>
      </c>
      <c r="E365" s="111" t="str">
        <f ca="1">IFERROR(__xludf.DUMMYFUNCTION("""COMPUTED_VALUE"""),"2023-2024")</f>
        <v>2023-2024</v>
      </c>
      <c r="F365" s="113">
        <f ca="1">IFERROR(__xludf.DUMMYFUNCTION("""COMPUTED_VALUE"""),0)</f>
        <v>0</v>
      </c>
      <c r="G365" s="113">
        <f ca="1">IFERROR(__xludf.DUMMYFUNCTION("""COMPUTED_VALUE"""),0)</f>
        <v>0</v>
      </c>
      <c r="H365" s="113">
        <f ca="1">IFERROR(__xludf.DUMMYFUNCTION("""COMPUTED_VALUE"""),0)</f>
        <v>0</v>
      </c>
      <c r="I365" s="113">
        <f ca="1">IFERROR(__xludf.DUMMYFUNCTION("""COMPUTED_VALUE"""),0)</f>
        <v>0</v>
      </c>
      <c r="J365" s="111">
        <f ca="1">IFERROR(__xludf.DUMMYFUNCTION("""COMPUTED_VALUE"""),0)</f>
        <v>0</v>
      </c>
      <c r="K365" s="113">
        <f ca="1">IFERROR(__xludf.DUMMYFUNCTION("""COMPUTED_VALUE"""),0)</f>
        <v>0</v>
      </c>
      <c r="L365" s="114" t="str">
        <f ca="1">IFERROR(__xludf.DUMMYFUNCTION("""COMPUTED_VALUE"""),"#DIV/0!")</f>
        <v>#DIV/0!</v>
      </c>
      <c r="M365" s="111"/>
      <c r="N365" s="111"/>
      <c r="O365" s="111"/>
      <c r="P365" s="111"/>
      <c r="Q365" s="112"/>
      <c r="R365" s="103"/>
      <c r="S365" s="103"/>
      <c r="T365" s="103"/>
      <c r="U365" s="103"/>
      <c r="V365" s="103"/>
      <c r="W365" s="103"/>
      <c r="X365" s="103"/>
      <c r="Y365" s="103"/>
      <c r="Z365" s="103"/>
      <c r="AA365" s="103"/>
    </row>
    <row r="366" spans="1:27" ht="38.25" x14ac:dyDescent="0.2">
      <c r="A366" s="111"/>
      <c r="B366" s="111" t="str">
        <f ca="1">IFERROR(__xludf.DUMMYFUNCTION("""COMPUTED_VALUE"""),"МинЖКХ ""ТОП 5 (2 этап)""")</f>
        <v>МинЖКХ "ТОП 5 (2 этап)"</v>
      </c>
      <c r="C366" s="111" t="str">
        <f ca="1">IFERROR(__xludf.DUMMYFUNCTION("""COMPUTED_VALUE"""),"г.о. Наро-Фоминск")</f>
        <v>г.о. Наро-Фоминск</v>
      </c>
      <c r="D366" s="111" t="str">
        <f ca="1">IFERROR(__xludf.DUMMYFUNCTION("""COMPUTED_VALUE"""),"Реконструкция котельной № 15 по адресу г. Апрелевка, ул. Ленина, Наро-Фоминский г.о. (в т.ч. ПИР)")</f>
        <v>Реконструкция котельной № 15 по адресу г. Апрелевка, ул. Ленина, Наро-Фоминский г.о. (в т.ч. ПИР)</v>
      </c>
      <c r="E366" s="111" t="str">
        <f ca="1">IFERROR(__xludf.DUMMYFUNCTION("""COMPUTED_VALUE"""),"2022-2023")</f>
        <v>2022-2023</v>
      </c>
      <c r="F366" s="113">
        <f ca="1">IFERROR(__xludf.DUMMYFUNCTION("""COMPUTED_VALUE"""),0)</f>
        <v>0</v>
      </c>
      <c r="G366" s="113">
        <f ca="1">IFERROR(__xludf.DUMMYFUNCTION("""COMPUTED_VALUE"""),0)</f>
        <v>0</v>
      </c>
      <c r="H366" s="113">
        <f ca="1">IFERROR(__xludf.DUMMYFUNCTION("""COMPUTED_VALUE"""),0)</f>
        <v>0</v>
      </c>
      <c r="I366" s="113">
        <f ca="1">IFERROR(__xludf.DUMMYFUNCTION("""COMPUTED_VALUE"""),0)</f>
        <v>0</v>
      </c>
      <c r="J366" s="111">
        <f ca="1">IFERROR(__xludf.DUMMYFUNCTION("""COMPUTED_VALUE"""),0)</f>
        <v>0</v>
      </c>
      <c r="K366" s="113">
        <f ca="1">IFERROR(__xludf.DUMMYFUNCTION("""COMPUTED_VALUE"""),0)</f>
        <v>0</v>
      </c>
      <c r="L366" s="114" t="str">
        <f ca="1">IFERROR(__xludf.DUMMYFUNCTION("""COMPUTED_VALUE"""),"#DIV/0!")</f>
        <v>#DIV/0!</v>
      </c>
      <c r="M366" s="111"/>
      <c r="N366" s="111"/>
      <c r="O366" s="111"/>
      <c r="P366" s="111"/>
      <c r="Q366" s="112"/>
      <c r="R366" s="103"/>
      <c r="S366" s="103"/>
      <c r="T366" s="103"/>
      <c r="U366" s="103"/>
      <c r="V366" s="103"/>
      <c r="W366" s="103"/>
      <c r="X366" s="103"/>
      <c r="Y366" s="103"/>
      <c r="Z366" s="103"/>
      <c r="AA366" s="103"/>
    </row>
    <row r="367" spans="1:27" ht="51" x14ac:dyDescent="0.2">
      <c r="A367" s="111"/>
      <c r="B367" s="111" t="str">
        <f ca="1">IFERROR(__xludf.DUMMYFUNCTION("""COMPUTED_VALUE"""),"МинЖКХ ""ТОП 5 (2 этап)""")</f>
        <v>МинЖКХ "ТОП 5 (2 этап)"</v>
      </c>
      <c r="C367" s="111" t="str">
        <f ca="1">IFERROR(__xludf.DUMMYFUNCTION("""COMPUTED_VALUE"""),"г.о. Лотошино")</f>
        <v>г.о. Лотошино</v>
      </c>
      <c r="D367" s="111" t="str">
        <f ca="1">IFERROR(__xludf.DUMMYFUNCTION("""COMPUTED_VALUE"""),"Реконструкция котельной №14 по адресу д. Михалёво, Микрорайон, д.28, г.о. Лотошино (в т.ч. ПИР)")</f>
        <v>Реконструкция котельной №14 по адресу д. Михалёво, Микрорайон, д.28, г.о. Лотошино (в т.ч. ПИР)</v>
      </c>
      <c r="E367" s="111" t="str">
        <f ca="1">IFERROR(__xludf.DUMMYFUNCTION("""COMPUTED_VALUE"""),"2022-2023")</f>
        <v>2022-2023</v>
      </c>
      <c r="F367" s="113">
        <f ca="1">IFERROR(__xludf.DUMMYFUNCTION("""COMPUTED_VALUE"""),0)</f>
        <v>0</v>
      </c>
      <c r="G367" s="113">
        <f ca="1">IFERROR(__xludf.DUMMYFUNCTION("""COMPUTED_VALUE"""),0)</f>
        <v>0</v>
      </c>
      <c r="H367" s="113">
        <f ca="1">IFERROR(__xludf.DUMMYFUNCTION("""COMPUTED_VALUE"""),0)</f>
        <v>0</v>
      </c>
      <c r="I367" s="113">
        <f ca="1">IFERROR(__xludf.DUMMYFUNCTION("""COMPUTED_VALUE"""),0)</f>
        <v>0</v>
      </c>
      <c r="J367" s="111">
        <f ca="1">IFERROR(__xludf.DUMMYFUNCTION("""COMPUTED_VALUE"""),0)</f>
        <v>0</v>
      </c>
      <c r="K367" s="113">
        <f ca="1">IFERROR(__xludf.DUMMYFUNCTION("""COMPUTED_VALUE"""),0)</f>
        <v>0</v>
      </c>
      <c r="L367" s="114" t="str">
        <f ca="1">IFERROR(__xludf.DUMMYFUNCTION("""COMPUTED_VALUE"""),"#DIV/0!")</f>
        <v>#DIV/0!</v>
      </c>
      <c r="M367" s="111"/>
      <c r="N367" s="111"/>
      <c r="O367" s="111"/>
      <c r="P367" s="111"/>
      <c r="Q367" s="112"/>
      <c r="R367" s="103"/>
      <c r="S367" s="103"/>
      <c r="T367" s="103"/>
      <c r="U367" s="103"/>
      <c r="V367" s="103"/>
      <c r="W367" s="103"/>
      <c r="X367" s="103"/>
      <c r="Y367" s="103"/>
      <c r="Z367" s="103"/>
      <c r="AA367" s="103"/>
    </row>
    <row r="368" spans="1:27" ht="38.25" x14ac:dyDescent="0.2">
      <c r="A368" s="111"/>
      <c r="B368" s="111" t="str">
        <f ca="1">IFERROR(__xludf.DUMMYFUNCTION("""COMPUTED_VALUE"""),"МинЖКХ ""ТОП 5 (2 этап)""")</f>
        <v>МинЖКХ "ТОП 5 (2 этап)"</v>
      </c>
      <c r="C368" s="111" t="str">
        <f ca="1">IFERROR(__xludf.DUMMYFUNCTION("""COMPUTED_VALUE"""),"г.о. Лотошино")</f>
        <v>г.о. Лотошино</v>
      </c>
      <c r="D368" s="111" t="str">
        <f ca="1">IFERROR(__xludf.DUMMYFUNCTION("""COMPUTED_VALUE"""),"Реконструкция котельной №16 по адресу с. Микулино, Микрорайон, д.19, г.о. Лотошино (в т.ч. ПИР)")</f>
        <v>Реконструкция котельной №16 по адресу с. Микулино, Микрорайон, д.19, г.о. Лотошино (в т.ч. ПИР)</v>
      </c>
      <c r="E368" s="111" t="str">
        <f ca="1">IFERROR(__xludf.DUMMYFUNCTION("""COMPUTED_VALUE"""),"2022-2023")</f>
        <v>2022-2023</v>
      </c>
      <c r="F368" s="113">
        <f ca="1">IFERROR(__xludf.DUMMYFUNCTION("""COMPUTED_VALUE"""),0)</f>
        <v>0</v>
      </c>
      <c r="G368" s="113">
        <f ca="1">IFERROR(__xludf.DUMMYFUNCTION("""COMPUTED_VALUE"""),0)</f>
        <v>0</v>
      </c>
      <c r="H368" s="113">
        <f ca="1">IFERROR(__xludf.DUMMYFUNCTION("""COMPUTED_VALUE"""),0)</f>
        <v>0</v>
      </c>
      <c r="I368" s="113">
        <f ca="1">IFERROR(__xludf.DUMMYFUNCTION("""COMPUTED_VALUE"""),0)</f>
        <v>0</v>
      </c>
      <c r="J368" s="111">
        <f ca="1">IFERROR(__xludf.DUMMYFUNCTION("""COMPUTED_VALUE"""),0)</f>
        <v>0</v>
      </c>
      <c r="K368" s="113">
        <f ca="1">IFERROR(__xludf.DUMMYFUNCTION("""COMPUTED_VALUE"""),0)</f>
        <v>0</v>
      </c>
      <c r="L368" s="114" t="str">
        <f ca="1">IFERROR(__xludf.DUMMYFUNCTION("""COMPUTED_VALUE"""),"#DIV/0!")</f>
        <v>#DIV/0!</v>
      </c>
      <c r="M368" s="111"/>
      <c r="N368" s="111"/>
      <c r="O368" s="111"/>
      <c r="P368" s="111"/>
      <c r="Q368" s="112"/>
      <c r="R368" s="103"/>
      <c r="S368" s="103"/>
      <c r="T368" s="103"/>
      <c r="U368" s="103"/>
      <c r="V368" s="103"/>
      <c r="W368" s="103"/>
      <c r="X368" s="103"/>
      <c r="Y368" s="103"/>
      <c r="Z368" s="103"/>
      <c r="AA368" s="103"/>
    </row>
    <row r="369" spans="1:27" ht="51" x14ac:dyDescent="0.2">
      <c r="A369" s="111"/>
      <c r="B369" s="111" t="str">
        <f ca="1">IFERROR(__xludf.DUMMYFUNCTION("""COMPUTED_VALUE"""),"МинЖКХ ""ТОП 5 (2 этап)""")</f>
        <v>МинЖКХ "ТОП 5 (2 этап)"</v>
      </c>
      <c r="C369" s="111" t="str">
        <f ca="1">IFERROR(__xludf.DUMMYFUNCTION("""COMPUTED_VALUE"""),"г.о. Талдомский")</f>
        <v>г.о. Талдомский</v>
      </c>
      <c r="D369" s="111" t="str">
        <f ca="1">IFERROR(__xludf.DUMMYFUNCTION("""COMPUTED_VALUE"""),"Реконструкция котельной №2 по адресу г. Талдом, Промышленный проезд, д.12, г.о. Талдомский (в т.ч. ПИР, ТП)")</f>
        <v>Реконструкция котельной №2 по адресу г. Талдом, Промышленный проезд, д.12, г.о. Талдомский (в т.ч. ПИР, ТП)</v>
      </c>
      <c r="E369" s="111" t="str">
        <f ca="1">IFERROR(__xludf.DUMMYFUNCTION("""COMPUTED_VALUE"""),"2022-2023")</f>
        <v>2022-2023</v>
      </c>
      <c r="F369" s="113">
        <f ca="1">IFERROR(__xludf.DUMMYFUNCTION("""COMPUTED_VALUE"""),0)</f>
        <v>0</v>
      </c>
      <c r="G369" s="113">
        <f ca="1">IFERROR(__xludf.DUMMYFUNCTION("""COMPUTED_VALUE"""),0)</f>
        <v>0</v>
      </c>
      <c r="H369" s="113">
        <f ca="1">IFERROR(__xludf.DUMMYFUNCTION("""COMPUTED_VALUE"""),0)</f>
        <v>0</v>
      </c>
      <c r="I369" s="113">
        <f ca="1">IFERROR(__xludf.DUMMYFUNCTION("""COMPUTED_VALUE"""),0)</f>
        <v>0</v>
      </c>
      <c r="J369" s="111">
        <f ca="1">IFERROR(__xludf.DUMMYFUNCTION("""COMPUTED_VALUE"""),0)</f>
        <v>0</v>
      </c>
      <c r="K369" s="113">
        <f ca="1">IFERROR(__xludf.DUMMYFUNCTION("""COMPUTED_VALUE"""),0)</f>
        <v>0</v>
      </c>
      <c r="L369" s="114" t="str">
        <f ca="1">IFERROR(__xludf.DUMMYFUNCTION("""COMPUTED_VALUE"""),"#DIV/0!")</f>
        <v>#DIV/0!</v>
      </c>
      <c r="M369" s="111"/>
      <c r="N369" s="111"/>
      <c r="O369" s="111"/>
      <c r="P369" s="111"/>
      <c r="Q369" s="112"/>
      <c r="R369" s="103"/>
      <c r="S369" s="103"/>
      <c r="T369" s="103"/>
      <c r="U369" s="103"/>
      <c r="V369" s="103"/>
      <c r="W369" s="103"/>
      <c r="X369" s="103"/>
      <c r="Y369" s="103"/>
      <c r="Z369" s="103"/>
      <c r="AA369" s="103"/>
    </row>
    <row r="370" spans="1:27" ht="38.25" x14ac:dyDescent="0.2">
      <c r="A370" s="111"/>
      <c r="B370" s="111" t="str">
        <f ca="1">IFERROR(__xludf.DUMMYFUNCTION("""COMPUTED_VALUE"""),"МинЖКХ ""ТОП 5 (2 этап)""")</f>
        <v>МинЖКХ "ТОП 5 (2 этап)"</v>
      </c>
      <c r="C370" s="111" t="str">
        <f ca="1">IFERROR(__xludf.DUMMYFUNCTION("""COMPUTED_VALUE"""),"г.о. Талдомский")</f>
        <v>г.о. Талдомский</v>
      </c>
      <c r="D370" s="111" t="str">
        <f ca="1">IFERROR(__xludf.DUMMYFUNCTION("""COMPUTED_VALUE"""),"Реконструкция котельной ""Баня"", г. Талдом, ул. Садовая, д.17, г.о. Талдомский (в т.ч. ПИР, ТП)")</f>
        <v>Реконструкция котельной "Баня", г. Талдом, ул. Садовая, д.17, г.о. Талдомский (в т.ч. ПИР, ТП)</v>
      </c>
      <c r="E370" s="111" t="str">
        <f ca="1">IFERROR(__xludf.DUMMYFUNCTION("""COMPUTED_VALUE"""),"2023-2024")</f>
        <v>2023-2024</v>
      </c>
      <c r="F370" s="113">
        <f ca="1">IFERROR(__xludf.DUMMYFUNCTION("""COMPUTED_VALUE"""),0)</f>
        <v>0</v>
      </c>
      <c r="G370" s="113">
        <f ca="1">IFERROR(__xludf.DUMMYFUNCTION("""COMPUTED_VALUE"""),0)</f>
        <v>0</v>
      </c>
      <c r="H370" s="113">
        <f ca="1">IFERROR(__xludf.DUMMYFUNCTION("""COMPUTED_VALUE"""),0)</f>
        <v>0</v>
      </c>
      <c r="I370" s="113">
        <f ca="1">IFERROR(__xludf.DUMMYFUNCTION("""COMPUTED_VALUE"""),0)</f>
        <v>0</v>
      </c>
      <c r="J370" s="111">
        <f ca="1">IFERROR(__xludf.DUMMYFUNCTION("""COMPUTED_VALUE"""),0)</f>
        <v>0</v>
      </c>
      <c r="K370" s="113">
        <f ca="1">IFERROR(__xludf.DUMMYFUNCTION("""COMPUTED_VALUE"""),0)</f>
        <v>0</v>
      </c>
      <c r="L370" s="114" t="str">
        <f ca="1">IFERROR(__xludf.DUMMYFUNCTION("""COMPUTED_VALUE"""),"#DIV/0!")</f>
        <v>#DIV/0!</v>
      </c>
      <c r="M370" s="111"/>
      <c r="N370" s="111"/>
      <c r="O370" s="111"/>
      <c r="P370" s="111"/>
      <c r="Q370" s="112"/>
      <c r="R370" s="103"/>
      <c r="S370" s="103"/>
      <c r="T370" s="103"/>
      <c r="U370" s="103"/>
      <c r="V370" s="103"/>
      <c r="W370" s="103"/>
      <c r="X370" s="103"/>
      <c r="Y370" s="103"/>
      <c r="Z370" s="103"/>
      <c r="AA370" s="103"/>
    </row>
    <row r="371" spans="1:27" ht="38.25" x14ac:dyDescent="0.2">
      <c r="A371" s="111"/>
      <c r="B371" s="111" t="str">
        <f ca="1">IFERROR(__xludf.DUMMYFUNCTION("""COMPUTED_VALUE"""),"МинЖКХ ""ТОП 5 (2 этап)""")</f>
        <v>МинЖКХ "ТОП 5 (2 этап)"</v>
      </c>
      <c r="C371" s="111" t="str">
        <f ca="1">IFERROR(__xludf.DUMMYFUNCTION("""COMPUTED_VALUE"""),"г.о. Талдомский")</f>
        <v>г.о. Талдомский</v>
      </c>
      <c r="D371" s="111" t="str">
        <f ca="1">IFERROR(__xludf.DUMMYFUNCTION("""COMPUTED_VALUE"""),"Реконструкция котельной ""Юркино"", д. Юркино, г.о. Талдомский (в т.ч. ПИР, ТП)")</f>
        <v>Реконструкция котельной "Юркино", д. Юркино, г.о. Талдомский (в т.ч. ПИР, ТП)</v>
      </c>
      <c r="E371" s="111" t="str">
        <f ca="1">IFERROR(__xludf.DUMMYFUNCTION("""COMPUTED_VALUE"""),"2023-2024")</f>
        <v>2023-2024</v>
      </c>
      <c r="F371" s="113">
        <f ca="1">IFERROR(__xludf.DUMMYFUNCTION("""COMPUTED_VALUE"""),0)</f>
        <v>0</v>
      </c>
      <c r="G371" s="113">
        <f ca="1">IFERROR(__xludf.DUMMYFUNCTION("""COMPUTED_VALUE"""),0)</f>
        <v>0</v>
      </c>
      <c r="H371" s="113">
        <f ca="1">IFERROR(__xludf.DUMMYFUNCTION("""COMPUTED_VALUE"""),0)</f>
        <v>0</v>
      </c>
      <c r="I371" s="113">
        <f ca="1">IFERROR(__xludf.DUMMYFUNCTION("""COMPUTED_VALUE"""),0)</f>
        <v>0</v>
      </c>
      <c r="J371" s="111">
        <f ca="1">IFERROR(__xludf.DUMMYFUNCTION("""COMPUTED_VALUE"""),0)</f>
        <v>0</v>
      </c>
      <c r="K371" s="113">
        <f ca="1">IFERROR(__xludf.DUMMYFUNCTION("""COMPUTED_VALUE"""),0)</f>
        <v>0</v>
      </c>
      <c r="L371" s="114" t="str">
        <f ca="1">IFERROR(__xludf.DUMMYFUNCTION("""COMPUTED_VALUE"""),"#DIV/0!")</f>
        <v>#DIV/0!</v>
      </c>
      <c r="M371" s="111"/>
      <c r="N371" s="111"/>
      <c r="O371" s="111"/>
      <c r="P371" s="111"/>
      <c r="Q371" s="112"/>
      <c r="R371" s="103"/>
      <c r="S371" s="103"/>
      <c r="T371" s="103"/>
      <c r="U371" s="103"/>
      <c r="V371" s="103"/>
      <c r="W371" s="103"/>
      <c r="X371" s="103"/>
      <c r="Y371" s="103"/>
      <c r="Z371" s="103"/>
      <c r="AA371" s="103"/>
    </row>
    <row r="372" spans="1:27" ht="51" x14ac:dyDescent="0.2">
      <c r="A372" s="111"/>
      <c r="B372" s="111" t="str">
        <f ca="1">IFERROR(__xludf.DUMMYFUNCTION("""COMPUTED_VALUE"""),"МинЖКХ ""ТОП 5 (2 этап)""")</f>
        <v>МинЖКХ "ТОП 5 (2 этап)"</v>
      </c>
      <c r="C372" s="111" t="str">
        <f ca="1">IFERROR(__xludf.DUMMYFUNCTION("""COMPUTED_VALUE"""),"г.о. Талдомский")</f>
        <v>г.о. Талдомский</v>
      </c>
      <c r="D372" s="111" t="str">
        <f ca="1">IFERROR(__xludf.DUMMYFUNCTION("""COMPUTED_VALUE"""),"Реконструкция котельной ""Очистные сооружения"", г. Талдом, ул. Загородная, д.24а, г.о. Талдомский (в т.ч. ПИР, ТП)")</f>
        <v>Реконструкция котельной "Очистные сооружения", г. Талдом, ул. Загородная, д.24а, г.о. Талдомский (в т.ч. ПИР, ТП)</v>
      </c>
      <c r="E372" s="111" t="str">
        <f ca="1">IFERROR(__xludf.DUMMYFUNCTION("""COMPUTED_VALUE"""),"2023-2024")</f>
        <v>2023-2024</v>
      </c>
      <c r="F372" s="113">
        <f ca="1">IFERROR(__xludf.DUMMYFUNCTION("""COMPUTED_VALUE"""),0)</f>
        <v>0</v>
      </c>
      <c r="G372" s="113">
        <f ca="1">IFERROR(__xludf.DUMMYFUNCTION("""COMPUTED_VALUE"""),0)</f>
        <v>0</v>
      </c>
      <c r="H372" s="113">
        <f ca="1">IFERROR(__xludf.DUMMYFUNCTION("""COMPUTED_VALUE"""),0)</f>
        <v>0</v>
      </c>
      <c r="I372" s="113">
        <f ca="1">IFERROR(__xludf.DUMMYFUNCTION("""COMPUTED_VALUE"""),0)</f>
        <v>0</v>
      </c>
      <c r="J372" s="111">
        <f ca="1">IFERROR(__xludf.DUMMYFUNCTION("""COMPUTED_VALUE"""),0)</f>
        <v>0</v>
      </c>
      <c r="K372" s="113">
        <f ca="1">IFERROR(__xludf.DUMMYFUNCTION("""COMPUTED_VALUE"""),0)</f>
        <v>0</v>
      </c>
      <c r="L372" s="114" t="str">
        <f ca="1">IFERROR(__xludf.DUMMYFUNCTION("""COMPUTED_VALUE"""),"#DIV/0!")</f>
        <v>#DIV/0!</v>
      </c>
      <c r="M372" s="111"/>
      <c r="N372" s="111"/>
      <c r="O372" s="111"/>
      <c r="P372" s="111"/>
      <c r="Q372" s="112"/>
      <c r="R372" s="103"/>
      <c r="S372" s="103"/>
      <c r="T372" s="103"/>
      <c r="U372" s="103"/>
      <c r="V372" s="103"/>
      <c r="W372" s="103"/>
      <c r="X372" s="103"/>
      <c r="Y372" s="103"/>
      <c r="Z372" s="103"/>
      <c r="AA372" s="103"/>
    </row>
    <row r="373" spans="1:27" ht="51" x14ac:dyDescent="0.2">
      <c r="A373" s="111"/>
      <c r="B373" s="111" t="str">
        <f ca="1">IFERROR(__xludf.DUMMYFUNCTION("""COMPUTED_VALUE"""),"МинЖКХ ""ТОП 5 (2 этап)""")</f>
        <v>МинЖКХ "ТОП 5 (2 этап)"</v>
      </c>
      <c r="C373" s="111" t="str">
        <f ca="1">IFERROR(__xludf.DUMMYFUNCTION("""COMPUTED_VALUE"""),"г.о. Талдомский")</f>
        <v>г.о. Талдомский</v>
      </c>
      <c r="D373" s="111" t="str">
        <f ca="1">IFERROR(__xludf.DUMMYFUNCTION("""COMPUTED_VALUE"""),"Реконструкция котельной ""Темпы"", п. Темпы. ул. Шоссейная, д.9Б, г.о. Талдомский (в т.ч. ПИР, ТП) ")</f>
        <v xml:space="preserve">Реконструкция котельной "Темпы", п. Темпы. ул. Шоссейная, д.9Б, г.о. Талдомский (в т.ч. ПИР, ТП) </v>
      </c>
      <c r="E373" s="111" t="str">
        <f ca="1">IFERROR(__xludf.DUMMYFUNCTION("""COMPUTED_VALUE"""),"2023-2024")</f>
        <v>2023-2024</v>
      </c>
      <c r="F373" s="113">
        <f ca="1">IFERROR(__xludf.DUMMYFUNCTION("""COMPUTED_VALUE"""),0)</f>
        <v>0</v>
      </c>
      <c r="G373" s="113">
        <f ca="1">IFERROR(__xludf.DUMMYFUNCTION("""COMPUTED_VALUE"""),0)</f>
        <v>0</v>
      </c>
      <c r="H373" s="113">
        <f ca="1">IFERROR(__xludf.DUMMYFUNCTION("""COMPUTED_VALUE"""),0)</f>
        <v>0</v>
      </c>
      <c r="I373" s="113">
        <f ca="1">IFERROR(__xludf.DUMMYFUNCTION("""COMPUTED_VALUE"""),0)</f>
        <v>0</v>
      </c>
      <c r="J373" s="111">
        <f ca="1">IFERROR(__xludf.DUMMYFUNCTION("""COMPUTED_VALUE"""),0)</f>
        <v>0</v>
      </c>
      <c r="K373" s="113">
        <f ca="1">IFERROR(__xludf.DUMMYFUNCTION("""COMPUTED_VALUE"""),0)</f>
        <v>0</v>
      </c>
      <c r="L373" s="114" t="str">
        <f ca="1">IFERROR(__xludf.DUMMYFUNCTION("""COMPUTED_VALUE"""),"#DIV/0!")</f>
        <v>#DIV/0!</v>
      </c>
      <c r="M373" s="111"/>
      <c r="N373" s="111"/>
      <c r="O373" s="111"/>
      <c r="P373" s="111"/>
      <c r="Q373" s="112"/>
      <c r="R373" s="103"/>
      <c r="S373" s="103"/>
      <c r="T373" s="103"/>
      <c r="U373" s="103"/>
      <c r="V373" s="103"/>
      <c r="W373" s="103"/>
      <c r="X373" s="103"/>
      <c r="Y373" s="103"/>
      <c r="Z373" s="103"/>
      <c r="AA373" s="103"/>
    </row>
    <row r="374" spans="1:27" ht="51" x14ac:dyDescent="0.2">
      <c r="A374" s="111"/>
      <c r="B374" s="111" t="str">
        <f ca="1">IFERROR(__xludf.DUMMYFUNCTION("""COMPUTED_VALUE"""),"МинЖКХ ""ТОП 5 (2 этап)""")</f>
        <v>МинЖКХ "ТОП 5 (2 этап)"</v>
      </c>
      <c r="C374" s="111" t="str">
        <f ca="1">IFERROR(__xludf.DUMMYFUNCTION("""COMPUTED_VALUE"""),"г.о. Талдомский")</f>
        <v>г.о. Талдомский</v>
      </c>
      <c r="D374" s="111" t="str">
        <f ca="1">IFERROR(__xludf.DUMMYFUNCTION("""COMPUTED_VALUE"""),"Реконструкция котельной ""Топочная"", г. Талдом, ул. Первомайская, д.43а, г.о. Талдомский (в т.ч. ПИР, ТП)  ")</f>
        <v xml:space="preserve">Реконструкция котельной "Топочная", г. Талдом, ул. Первомайская, д.43а, г.о. Талдомский (в т.ч. ПИР, ТП)  </v>
      </c>
      <c r="E374" s="111" t="str">
        <f ca="1">IFERROR(__xludf.DUMMYFUNCTION("""COMPUTED_VALUE"""),"2023-2024")</f>
        <v>2023-2024</v>
      </c>
      <c r="F374" s="113">
        <f ca="1">IFERROR(__xludf.DUMMYFUNCTION("""COMPUTED_VALUE"""),0)</f>
        <v>0</v>
      </c>
      <c r="G374" s="113">
        <f ca="1">IFERROR(__xludf.DUMMYFUNCTION("""COMPUTED_VALUE"""),0)</f>
        <v>0</v>
      </c>
      <c r="H374" s="113">
        <f ca="1">IFERROR(__xludf.DUMMYFUNCTION("""COMPUTED_VALUE"""),0)</f>
        <v>0</v>
      </c>
      <c r="I374" s="113">
        <f ca="1">IFERROR(__xludf.DUMMYFUNCTION("""COMPUTED_VALUE"""),0)</f>
        <v>0</v>
      </c>
      <c r="J374" s="111">
        <f ca="1">IFERROR(__xludf.DUMMYFUNCTION("""COMPUTED_VALUE"""),0)</f>
        <v>0</v>
      </c>
      <c r="K374" s="113">
        <f ca="1">IFERROR(__xludf.DUMMYFUNCTION("""COMPUTED_VALUE"""),0)</f>
        <v>0</v>
      </c>
      <c r="L374" s="114" t="str">
        <f ca="1">IFERROR(__xludf.DUMMYFUNCTION("""COMPUTED_VALUE"""),"#DIV/0!")</f>
        <v>#DIV/0!</v>
      </c>
      <c r="M374" s="111"/>
      <c r="N374" s="111"/>
      <c r="O374" s="111"/>
      <c r="P374" s="111"/>
      <c r="Q374" s="112"/>
      <c r="R374" s="103"/>
      <c r="S374" s="103"/>
      <c r="T374" s="103"/>
      <c r="U374" s="103"/>
      <c r="V374" s="103"/>
      <c r="W374" s="103"/>
      <c r="X374" s="103"/>
      <c r="Y374" s="103"/>
      <c r="Z374" s="103"/>
      <c r="AA374" s="103"/>
    </row>
    <row r="375" spans="1:27" ht="51" x14ac:dyDescent="0.2">
      <c r="A375" s="111"/>
      <c r="B375" s="111" t="str">
        <f ca="1">IFERROR(__xludf.DUMMYFUNCTION("""COMPUTED_VALUE"""),"МинЖКХ ""ТОП 5 (2 этап)""")</f>
        <v>МинЖКХ "ТОП 5 (2 этап)"</v>
      </c>
      <c r="C375" s="111" t="str">
        <f ca="1">IFERROR(__xludf.DUMMYFUNCTION("""COMPUTED_VALUE"""),"г.о. Егорьевск")</f>
        <v>г.о. Егорьевск</v>
      </c>
      <c r="D375" s="111" t="str">
        <f ca="1">IFERROR(__xludf.DUMMYFUNCTION("""COMPUTED_VALUE"""),"Реконструкция котельной и ЦТП по адресу г.Егорьевск, ул. Меланжистов д.3б, г.о. Егорьевск (в т.ч. ПИР)")</f>
        <v>Реконструкция котельной и ЦТП по адресу г.Егорьевск, ул. Меланжистов д.3б, г.о. Егорьевск (в т.ч. ПИР)</v>
      </c>
      <c r="E375" s="111" t="str">
        <f ca="1">IFERROR(__xludf.DUMMYFUNCTION("""COMPUTED_VALUE"""),"2022-2024")</f>
        <v>2022-2024</v>
      </c>
      <c r="F375" s="113">
        <f ca="1">IFERROR(__xludf.DUMMYFUNCTION("""COMPUTED_VALUE"""),0)</f>
        <v>0</v>
      </c>
      <c r="G375" s="113">
        <f ca="1">IFERROR(__xludf.DUMMYFUNCTION("""COMPUTED_VALUE"""),0)</f>
        <v>0</v>
      </c>
      <c r="H375" s="113">
        <f ca="1">IFERROR(__xludf.DUMMYFUNCTION("""COMPUTED_VALUE"""),0)</f>
        <v>0</v>
      </c>
      <c r="I375" s="113">
        <f ca="1">IFERROR(__xludf.DUMMYFUNCTION("""COMPUTED_VALUE"""),0)</f>
        <v>0</v>
      </c>
      <c r="J375" s="111">
        <f ca="1">IFERROR(__xludf.DUMMYFUNCTION("""COMPUTED_VALUE"""),0)</f>
        <v>0</v>
      </c>
      <c r="K375" s="113">
        <f ca="1">IFERROR(__xludf.DUMMYFUNCTION("""COMPUTED_VALUE"""),0)</f>
        <v>0</v>
      </c>
      <c r="L375" s="114" t="str">
        <f ca="1">IFERROR(__xludf.DUMMYFUNCTION("""COMPUTED_VALUE"""),"#DIV/0!")</f>
        <v>#DIV/0!</v>
      </c>
      <c r="M375" s="111"/>
      <c r="N375" s="111"/>
      <c r="O375" s="111"/>
      <c r="P375" s="111"/>
      <c r="Q375" s="112"/>
      <c r="R375" s="103"/>
      <c r="S375" s="103"/>
      <c r="T375" s="103"/>
      <c r="U375" s="103"/>
      <c r="V375" s="103"/>
      <c r="W375" s="103"/>
      <c r="X375" s="103"/>
      <c r="Y375" s="103"/>
      <c r="Z375" s="103"/>
      <c r="AA375" s="103"/>
    </row>
    <row r="376" spans="1:27" ht="51" x14ac:dyDescent="0.2">
      <c r="A376" s="111"/>
      <c r="B376" s="111" t="str">
        <f ca="1">IFERROR(__xludf.DUMMYFUNCTION("""COMPUTED_VALUE"""),"МинЖКХ ""ТОП 5 (2 этап)""")</f>
        <v>МинЖКХ "ТОП 5 (2 этап)"</v>
      </c>
      <c r="C376" s="111" t="str">
        <f ca="1">IFERROR(__xludf.DUMMYFUNCTION("""COMPUTED_VALUE"""),"г.о. Егорьевск")</f>
        <v>г.о. Егорьевск</v>
      </c>
      <c r="D376" s="111" t="str">
        <f ca="1">IFERROR(__xludf.DUMMYFUNCTION("""COMPUTED_VALUE"""),"Реконструкция  котельной и ЦТП по адресу г.Егорьевск, ул. Жукова гора, д. 19б, г.о. Егорьевск (в т.ч. ПИР)")</f>
        <v>Реконструкция  котельной и ЦТП по адресу г.Егорьевск, ул. Жукова гора, д. 19б, г.о. Егорьевск (в т.ч. ПИР)</v>
      </c>
      <c r="E376" s="111" t="str">
        <f ca="1">IFERROR(__xludf.DUMMYFUNCTION("""COMPUTED_VALUE"""),"2022-2024")</f>
        <v>2022-2024</v>
      </c>
      <c r="F376" s="113">
        <f ca="1">IFERROR(__xludf.DUMMYFUNCTION("""COMPUTED_VALUE"""),0)</f>
        <v>0</v>
      </c>
      <c r="G376" s="113">
        <f ca="1">IFERROR(__xludf.DUMMYFUNCTION("""COMPUTED_VALUE"""),0)</f>
        <v>0</v>
      </c>
      <c r="H376" s="113">
        <f ca="1">IFERROR(__xludf.DUMMYFUNCTION("""COMPUTED_VALUE"""),0)</f>
        <v>0</v>
      </c>
      <c r="I376" s="113">
        <f ca="1">IFERROR(__xludf.DUMMYFUNCTION("""COMPUTED_VALUE"""),0)</f>
        <v>0</v>
      </c>
      <c r="J376" s="111">
        <f ca="1">IFERROR(__xludf.DUMMYFUNCTION("""COMPUTED_VALUE"""),0)</f>
        <v>0</v>
      </c>
      <c r="K376" s="113">
        <f ca="1">IFERROR(__xludf.DUMMYFUNCTION("""COMPUTED_VALUE"""),0)</f>
        <v>0</v>
      </c>
      <c r="L376" s="114" t="str">
        <f ca="1">IFERROR(__xludf.DUMMYFUNCTION("""COMPUTED_VALUE"""),"#DIV/0!")</f>
        <v>#DIV/0!</v>
      </c>
      <c r="M376" s="111"/>
      <c r="N376" s="111"/>
      <c r="O376" s="111"/>
      <c r="P376" s="111"/>
      <c r="Q376" s="112"/>
      <c r="R376" s="103"/>
      <c r="S376" s="103"/>
      <c r="T376" s="103"/>
      <c r="U376" s="103"/>
      <c r="V376" s="103"/>
      <c r="W376" s="103"/>
      <c r="X376" s="103"/>
      <c r="Y376" s="103"/>
      <c r="Z376" s="103"/>
      <c r="AA376" s="103"/>
    </row>
    <row r="377" spans="1:27" ht="51" x14ac:dyDescent="0.2">
      <c r="A377" s="111"/>
      <c r="B377" s="111" t="str">
        <f ca="1">IFERROR(__xludf.DUMMYFUNCTION("""COMPUTED_VALUE"""),"МинЖКХ ""ТОП 5 (2 этап)""")</f>
        <v>МинЖКХ "ТОП 5 (2 этап)"</v>
      </c>
      <c r="C377" s="111" t="str">
        <f ca="1">IFERROR(__xludf.DUMMYFUNCTION("""COMPUTED_VALUE"""),"г.о. Егорьевск")</f>
        <v>г.о. Егорьевск</v>
      </c>
      <c r="D377" s="111" t="str">
        <f ca="1">IFERROR(__xludf.DUMMYFUNCTION("""COMPUTED_VALUE"""),"Реконструкция котельной и ЦТП по адресу г.Егорьевск, ул. Парижской коммуны, д. 1б, г.о. Егорьевск (в т.ч. ПИР)")</f>
        <v>Реконструкция котельной и ЦТП по адресу г.Егорьевск, ул. Парижской коммуны, д. 1б, г.о. Егорьевск (в т.ч. ПИР)</v>
      </c>
      <c r="E377" s="111" t="str">
        <f ca="1">IFERROR(__xludf.DUMMYFUNCTION("""COMPUTED_VALUE"""),"2022-2024")</f>
        <v>2022-2024</v>
      </c>
      <c r="F377" s="113">
        <f ca="1">IFERROR(__xludf.DUMMYFUNCTION("""COMPUTED_VALUE"""),0)</f>
        <v>0</v>
      </c>
      <c r="G377" s="113">
        <f ca="1">IFERROR(__xludf.DUMMYFUNCTION("""COMPUTED_VALUE"""),0)</f>
        <v>0</v>
      </c>
      <c r="H377" s="113">
        <f ca="1">IFERROR(__xludf.DUMMYFUNCTION("""COMPUTED_VALUE"""),0)</f>
        <v>0</v>
      </c>
      <c r="I377" s="113">
        <f ca="1">IFERROR(__xludf.DUMMYFUNCTION("""COMPUTED_VALUE"""),0)</f>
        <v>0</v>
      </c>
      <c r="J377" s="111">
        <f ca="1">IFERROR(__xludf.DUMMYFUNCTION("""COMPUTED_VALUE"""),0)</f>
        <v>0</v>
      </c>
      <c r="K377" s="113">
        <f ca="1">IFERROR(__xludf.DUMMYFUNCTION("""COMPUTED_VALUE"""),0)</f>
        <v>0</v>
      </c>
      <c r="L377" s="114" t="str">
        <f ca="1">IFERROR(__xludf.DUMMYFUNCTION("""COMPUTED_VALUE"""),"#DIV/0!")</f>
        <v>#DIV/0!</v>
      </c>
      <c r="M377" s="111"/>
      <c r="N377" s="111"/>
      <c r="O377" s="111"/>
      <c r="P377" s="111"/>
      <c r="Q377" s="112"/>
      <c r="R377" s="103"/>
      <c r="S377" s="103"/>
      <c r="T377" s="103"/>
      <c r="U377" s="103"/>
      <c r="V377" s="103"/>
      <c r="W377" s="103"/>
      <c r="X377" s="103"/>
      <c r="Y377" s="103"/>
      <c r="Z377" s="103"/>
      <c r="AA377" s="103"/>
    </row>
    <row r="378" spans="1:27" ht="51" x14ac:dyDescent="0.2">
      <c r="A378" s="111"/>
      <c r="B378" s="111" t="str">
        <f ca="1">IFERROR(__xludf.DUMMYFUNCTION("""COMPUTED_VALUE"""),"МинЖКХ ""ТОП 5 (2 этап)""")</f>
        <v>МинЖКХ "ТОП 5 (2 этап)"</v>
      </c>
      <c r="C378" s="111" t="str">
        <f ca="1">IFERROR(__xludf.DUMMYFUNCTION("""COMPUTED_VALUE"""),"г.о. Волоколамский")</f>
        <v>г.о. Волоколамский</v>
      </c>
      <c r="D378" s="111" t="str">
        <f ca="1">IFERROR(__xludf.DUMMYFUNCTION("""COMPUTED_VALUE"""),"Строительство котельной №34, с. Ярополец, ул. Пушкинская, г.о. Волоколамский (в т.ч. ПИР, ТП)")</f>
        <v>Строительство котельной №34, с. Ярополец, ул. Пушкинская, г.о. Волоколамский (в т.ч. ПИР, ТП)</v>
      </c>
      <c r="E378" s="111" t="str">
        <f ca="1">IFERROR(__xludf.DUMMYFUNCTION("""COMPUTED_VALUE"""),"2022-2023")</f>
        <v>2022-2023</v>
      </c>
      <c r="F378" s="113">
        <f ca="1">IFERROR(__xludf.DUMMYFUNCTION("""COMPUTED_VALUE"""),0)</f>
        <v>0</v>
      </c>
      <c r="G378" s="113">
        <f ca="1">IFERROR(__xludf.DUMMYFUNCTION("""COMPUTED_VALUE"""),0)</f>
        <v>0</v>
      </c>
      <c r="H378" s="113">
        <f ca="1">IFERROR(__xludf.DUMMYFUNCTION("""COMPUTED_VALUE"""),0)</f>
        <v>0</v>
      </c>
      <c r="I378" s="113">
        <f ca="1">IFERROR(__xludf.DUMMYFUNCTION("""COMPUTED_VALUE"""),0)</f>
        <v>0</v>
      </c>
      <c r="J378" s="111">
        <f ca="1">IFERROR(__xludf.DUMMYFUNCTION("""COMPUTED_VALUE"""),0)</f>
        <v>0</v>
      </c>
      <c r="K378" s="113">
        <f ca="1">IFERROR(__xludf.DUMMYFUNCTION("""COMPUTED_VALUE"""),0)</f>
        <v>0</v>
      </c>
      <c r="L378" s="114" t="str">
        <f ca="1">IFERROR(__xludf.DUMMYFUNCTION("""COMPUTED_VALUE"""),"#DIV/0!")</f>
        <v>#DIV/0!</v>
      </c>
      <c r="M378" s="111"/>
      <c r="N378" s="111"/>
      <c r="O378" s="111"/>
      <c r="P378" s="111"/>
      <c r="Q378" s="112"/>
      <c r="R378" s="103"/>
      <c r="S378" s="103"/>
      <c r="T378" s="103"/>
      <c r="U378" s="103"/>
      <c r="V378" s="103"/>
      <c r="W378" s="103"/>
      <c r="X378" s="103"/>
      <c r="Y378" s="103"/>
      <c r="Z378" s="103"/>
      <c r="AA378" s="103"/>
    </row>
    <row r="379" spans="1:27" ht="51" x14ac:dyDescent="0.2">
      <c r="A379" s="111"/>
      <c r="B379" s="111" t="str">
        <f ca="1">IFERROR(__xludf.DUMMYFUNCTION("""COMPUTED_VALUE"""),"МинЖКХ ""ТОП 5 (2 этап)""")</f>
        <v>МинЖКХ "ТОП 5 (2 этап)"</v>
      </c>
      <c r="C379" s="111" t="str">
        <f ca="1">IFERROR(__xludf.DUMMYFUNCTION("""COMPUTED_VALUE"""),"г.о. Богородский")</f>
        <v>г.о. Богородский</v>
      </c>
      <c r="D379" s="111" t="str">
        <f ca="1">IFERROR(__xludf.DUMMYFUNCTION("""COMPUTED_VALUE"""),"Строительство котельной по адресу г. Электроугли,  ул. Маяковского, д. 25,  Богородский г.о. (в т.ч. ПИР)")</f>
        <v>Строительство котельной по адресу г. Электроугли,  ул. Маяковского, д. 25,  Богородский г.о. (в т.ч. ПИР)</v>
      </c>
      <c r="E379" s="111" t="str">
        <f ca="1">IFERROR(__xludf.DUMMYFUNCTION("""COMPUTED_VALUE"""),"2022-2024")</f>
        <v>2022-2024</v>
      </c>
      <c r="F379" s="113">
        <f ca="1">IFERROR(__xludf.DUMMYFUNCTION("""COMPUTED_VALUE"""),0)</f>
        <v>0</v>
      </c>
      <c r="G379" s="113">
        <f ca="1">IFERROR(__xludf.DUMMYFUNCTION("""COMPUTED_VALUE"""),0)</f>
        <v>0</v>
      </c>
      <c r="H379" s="113">
        <f ca="1">IFERROR(__xludf.DUMMYFUNCTION("""COMPUTED_VALUE"""),0)</f>
        <v>0</v>
      </c>
      <c r="I379" s="113">
        <f ca="1">IFERROR(__xludf.DUMMYFUNCTION("""COMPUTED_VALUE"""),0)</f>
        <v>0</v>
      </c>
      <c r="J379" s="111">
        <f ca="1">IFERROR(__xludf.DUMMYFUNCTION("""COMPUTED_VALUE"""),0)</f>
        <v>0</v>
      </c>
      <c r="K379" s="113">
        <f ca="1">IFERROR(__xludf.DUMMYFUNCTION("""COMPUTED_VALUE"""),0)</f>
        <v>0</v>
      </c>
      <c r="L379" s="114" t="str">
        <f ca="1">IFERROR(__xludf.DUMMYFUNCTION("""COMPUTED_VALUE"""),"#DIV/0!")</f>
        <v>#DIV/0!</v>
      </c>
      <c r="M379" s="111"/>
      <c r="N379" s="111"/>
      <c r="O379" s="111"/>
      <c r="P379" s="111"/>
      <c r="Q379" s="112"/>
      <c r="R379" s="103"/>
      <c r="S379" s="103"/>
      <c r="T379" s="103"/>
      <c r="U379" s="103"/>
      <c r="V379" s="103"/>
      <c r="W379" s="103"/>
      <c r="X379" s="103"/>
      <c r="Y379" s="103"/>
      <c r="Z379" s="103"/>
      <c r="AA379" s="103"/>
    </row>
    <row r="380" spans="1:27" ht="51" x14ac:dyDescent="0.2">
      <c r="A380" s="111"/>
      <c r="B380" s="111" t="str">
        <f ca="1">IFERROR(__xludf.DUMMYFUNCTION("""COMPUTED_VALUE"""),"МинЖКХ ""ТОП 5 (2 этап)""")</f>
        <v>МинЖКХ "ТОП 5 (2 этап)"</v>
      </c>
      <c r="C380" s="111" t="str">
        <f ca="1">IFERROR(__xludf.DUMMYFUNCTION("""COMPUTED_VALUE"""),"г.о. Богородский")</f>
        <v>г.о. Богородский</v>
      </c>
      <c r="D380" s="111" t="str">
        <f ca="1">IFERROR(__xludf.DUMMYFUNCTION("""COMPUTED_VALUE"""),"Реконструкция котельной ""Заречье"", г.Ногинск, ул. Соединительная, д. 5,  Богородский г.о. (в т.ч. ПИР, ТП)")</f>
        <v>Реконструкция котельной "Заречье", г.Ногинск, ул. Соединительная, д. 5,  Богородский г.о. (в т.ч. ПИР, ТП)</v>
      </c>
      <c r="E380" s="111" t="str">
        <f ca="1">IFERROR(__xludf.DUMMYFUNCTION("""COMPUTED_VALUE"""),"2022-2024")</f>
        <v>2022-2024</v>
      </c>
      <c r="F380" s="113">
        <f ca="1">IFERROR(__xludf.DUMMYFUNCTION("""COMPUTED_VALUE"""),0)</f>
        <v>0</v>
      </c>
      <c r="G380" s="113">
        <f ca="1">IFERROR(__xludf.DUMMYFUNCTION("""COMPUTED_VALUE"""),0)</f>
        <v>0</v>
      </c>
      <c r="H380" s="113">
        <f ca="1">IFERROR(__xludf.DUMMYFUNCTION("""COMPUTED_VALUE"""),0)</f>
        <v>0</v>
      </c>
      <c r="I380" s="113">
        <f ca="1">IFERROR(__xludf.DUMMYFUNCTION("""COMPUTED_VALUE"""),0)</f>
        <v>0</v>
      </c>
      <c r="J380" s="111">
        <f ca="1">IFERROR(__xludf.DUMMYFUNCTION("""COMPUTED_VALUE"""),0)</f>
        <v>0</v>
      </c>
      <c r="K380" s="113">
        <f ca="1">IFERROR(__xludf.DUMMYFUNCTION("""COMPUTED_VALUE"""),0)</f>
        <v>0</v>
      </c>
      <c r="L380" s="114" t="str">
        <f ca="1">IFERROR(__xludf.DUMMYFUNCTION("""COMPUTED_VALUE"""),"#DIV/0!")</f>
        <v>#DIV/0!</v>
      </c>
      <c r="M380" s="111"/>
      <c r="N380" s="111"/>
      <c r="O380" s="111"/>
      <c r="P380" s="111"/>
      <c r="Q380" s="112"/>
      <c r="R380" s="103"/>
      <c r="S380" s="103"/>
      <c r="T380" s="103"/>
      <c r="U380" s="103"/>
      <c r="V380" s="103"/>
      <c r="W380" s="103"/>
      <c r="X380" s="103"/>
      <c r="Y380" s="103"/>
      <c r="Z380" s="103"/>
      <c r="AA380" s="103"/>
    </row>
    <row r="381" spans="1:27" ht="216.75" x14ac:dyDescent="0.2">
      <c r="A381" s="110">
        <v>140</v>
      </c>
      <c r="B381" s="111" t="str">
        <f ca="1">IFERROR(__xludf.DUMMYFUNCTION("""COMPUTED_VALUE"""),"МинЖКХ")</f>
        <v>МинЖКХ</v>
      </c>
      <c r="C381" s="111" t="str">
        <f ca="1">IFERROR(__xludf.DUMMYFUNCTION("""COMPUTED_VALUE"""),"г.о. Солнечногорск")</f>
        <v>г.о. Солнечногорск</v>
      </c>
      <c r="D381" s="111" t="str">
        <f ca="1">IFERROR(__xludf.DUMMYFUNCTION("""COMPUTED_VALUE"""),"""Строительство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11"&amp;" 508,00 тыс.руб. из них средства бюджета Московской области - 11 507,63 тыс.руб., средства бюджета муниципального образования - 0,37 тыс.руб. ""
")</f>
        <v xml:space="preserv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11 508,00 тыс.руб. из них средства бюджета Московской области - 11 507,63 тыс.руб., средства бюджета муниципального образования - 0,37 тыс.руб. "
</v>
      </c>
      <c r="E381" s="111">
        <f ca="1">IFERROR(__xludf.DUMMYFUNCTION("""COMPUTED_VALUE"""),2020)</f>
        <v>2020</v>
      </c>
      <c r="F381" s="113">
        <f ca="1">IFERROR(__xludf.DUMMYFUNCTION("""COMPUTED_VALUE"""),11507.63)</f>
        <v>11507.63</v>
      </c>
      <c r="G381" s="113">
        <f ca="1">IFERROR(__xludf.DUMMYFUNCTION("""COMPUTED_VALUE"""),11507.63)</f>
        <v>11507.63</v>
      </c>
      <c r="H381" s="113">
        <f ca="1">IFERROR(__xludf.DUMMYFUNCTION("""COMPUTED_VALUE"""),0)</f>
        <v>0</v>
      </c>
      <c r="I381" s="113">
        <f ca="1">IFERROR(__xludf.DUMMYFUNCTION("""COMPUTED_VALUE"""),0)</f>
        <v>0</v>
      </c>
      <c r="J381" s="111">
        <f ca="1">IFERROR(__xludf.DUMMYFUNCTION("""COMPUTED_VALUE"""),11507.63)</f>
        <v>11507.63</v>
      </c>
      <c r="K381" s="113">
        <f ca="1">IFERROR(__xludf.DUMMYFUNCTION("""COMPUTED_VALUE"""),0)</f>
        <v>0</v>
      </c>
      <c r="L381" s="114">
        <f ca="1">IFERROR(__xludf.DUMMYFUNCTION("""COMPUTED_VALUE"""),1)</f>
        <v>1</v>
      </c>
      <c r="M381" s="111"/>
      <c r="N381" s="111"/>
      <c r="O381" s="111"/>
      <c r="P381" s="111"/>
      <c r="Q381" s="112"/>
      <c r="R381" s="103"/>
      <c r="S381" s="103"/>
      <c r="T381" s="103"/>
      <c r="U381" s="103"/>
      <c r="V381" s="103"/>
      <c r="W381" s="103"/>
      <c r="X381" s="103"/>
      <c r="Y381" s="103"/>
      <c r="Z381" s="103"/>
      <c r="AA381" s="103"/>
    </row>
    <row r="382" spans="1:27" ht="76.5" x14ac:dyDescent="0.2">
      <c r="A382" s="111"/>
      <c r="B382" s="111" t="str">
        <f ca="1">IFERROR(__xludf.DUMMYFUNCTION("""COMPUTED_VALUE"""),"МинЖКХ")</f>
        <v>МинЖКХ</v>
      </c>
      <c r="C382" s="111" t="str">
        <f ca="1">IFERROR(__xludf.DUMMYFUNCTION("""COMPUTED_VALUE"""),"г.о. Черноголовка")</f>
        <v>г.о. Черноголовка</v>
      </c>
      <c r="D382" s="111" t="str">
        <f ca="1">IFERROR(__xludf.DUMMYFUNCTION("""COMPUTED_VALUE"""),"Строительство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f>
        <v>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v>
      </c>
      <c r="E382" s="111" t="str">
        <f ca="1">IFERROR(__xludf.DUMMYFUNCTION("""COMPUTED_VALUE"""),"2022-2023")</f>
        <v>2022-2023</v>
      </c>
      <c r="F382" s="113">
        <f ca="1">IFERROR(__xludf.DUMMYFUNCTION("""COMPUTED_VALUE"""),0)</f>
        <v>0</v>
      </c>
      <c r="G382" s="113">
        <f ca="1">IFERROR(__xludf.DUMMYFUNCTION("""COMPUTED_VALUE"""),0)</f>
        <v>0</v>
      </c>
      <c r="H382" s="113">
        <f ca="1">IFERROR(__xludf.DUMMYFUNCTION("""COMPUTED_VALUE"""),0)</f>
        <v>0</v>
      </c>
      <c r="I382" s="113">
        <f ca="1">IFERROR(__xludf.DUMMYFUNCTION("""COMPUTED_VALUE"""),0)</f>
        <v>0</v>
      </c>
      <c r="J382" s="111">
        <f ca="1">IFERROR(__xludf.DUMMYFUNCTION("""COMPUTED_VALUE"""),0)</f>
        <v>0</v>
      </c>
      <c r="K382" s="113">
        <f ca="1">IFERROR(__xludf.DUMMYFUNCTION("""COMPUTED_VALUE"""),0)</f>
        <v>0</v>
      </c>
      <c r="L382" s="114" t="str">
        <f ca="1">IFERROR(__xludf.DUMMYFUNCTION("""COMPUTED_VALUE"""),"#DIV/0!")</f>
        <v>#DIV/0!</v>
      </c>
      <c r="M382" s="111"/>
      <c r="N382" s="111"/>
      <c r="O382" s="111"/>
      <c r="P382" s="111"/>
      <c r="Q382" s="112"/>
      <c r="R382" s="103"/>
      <c r="S382" s="103"/>
      <c r="T382" s="103"/>
      <c r="U382" s="103"/>
      <c r="V382" s="103"/>
      <c r="W382" s="103"/>
      <c r="X382" s="103"/>
      <c r="Y382" s="103"/>
      <c r="Z382" s="103"/>
      <c r="AA382" s="103"/>
    </row>
    <row r="383" spans="1:27" ht="38.25" x14ac:dyDescent="0.2">
      <c r="A383" s="111"/>
      <c r="B383" s="111" t="str">
        <f ca="1">IFERROR(__xludf.DUMMYFUNCTION("""COMPUTED_VALUE"""),"МинЖКХ")</f>
        <v>МинЖКХ</v>
      </c>
      <c r="C383" s="111" t="str">
        <f ca="1">IFERROR(__xludf.DUMMYFUNCTION("""COMPUTED_VALUE"""),"г.о. Солнечногорск")</f>
        <v>г.о. Солнечногорск</v>
      </c>
      <c r="D383" s="111" t="str">
        <f ca="1">IFERROR(__xludf.DUMMYFUNCTION("""COMPUTED_VALUE"""),"Строительство сетей водоснбжения р.п. Андреевка, г.о. Солнечногорск")</f>
        <v>Строительство сетей водоснбжения р.п. Андреевка, г.о. Солнечногорск</v>
      </c>
      <c r="E383" s="111">
        <f ca="1">IFERROR(__xludf.DUMMYFUNCTION("""COMPUTED_VALUE"""),2022)</f>
        <v>2022</v>
      </c>
      <c r="F383" s="113">
        <f ca="1">IFERROR(__xludf.DUMMYFUNCTION("""COMPUTED_VALUE"""),0)</f>
        <v>0</v>
      </c>
      <c r="G383" s="113">
        <f ca="1">IFERROR(__xludf.DUMMYFUNCTION("""COMPUTED_VALUE"""),0)</f>
        <v>0</v>
      </c>
      <c r="H383" s="113">
        <f ca="1">IFERROR(__xludf.DUMMYFUNCTION("""COMPUTED_VALUE"""),0)</f>
        <v>0</v>
      </c>
      <c r="I383" s="113">
        <f ca="1">IFERROR(__xludf.DUMMYFUNCTION("""COMPUTED_VALUE"""),0)</f>
        <v>0</v>
      </c>
      <c r="J383" s="111">
        <f ca="1">IFERROR(__xludf.DUMMYFUNCTION("""COMPUTED_VALUE"""),0)</f>
        <v>0</v>
      </c>
      <c r="K383" s="113">
        <f ca="1">IFERROR(__xludf.DUMMYFUNCTION("""COMPUTED_VALUE"""),0)</f>
        <v>0</v>
      </c>
      <c r="L383" s="114" t="str">
        <f ca="1">IFERROR(__xludf.DUMMYFUNCTION("""COMPUTED_VALUE"""),"#DIV/0!")</f>
        <v>#DIV/0!</v>
      </c>
      <c r="M383" s="111"/>
      <c r="N383" s="111"/>
      <c r="O383" s="111"/>
      <c r="P383" s="111"/>
      <c r="Q383" s="112"/>
      <c r="R383" s="103"/>
      <c r="S383" s="103"/>
      <c r="T383" s="103"/>
      <c r="U383" s="103"/>
      <c r="V383" s="103"/>
      <c r="W383" s="103"/>
      <c r="X383" s="103"/>
      <c r="Y383" s="103"/>
      <c r="Z383" s="103"/>
      <c r="AA383" s="103"/>
    </row>
    <row r="384" spans="1:27" ht="38.25" x14ac:dyDescent="0.2">
      <c r="A384" s="110">
        <v>141</v>
      </c>
      <c r="B384" s="111" t="str">
        <f ca="1">IFERROR(__xludf.DUMMYFUNCTION("""COMPUTED_VALUE"""),"МинЖКХ")</f>
        <v>МинЖКХ</v>
      </c>
      <c r="C384" s="111" t="str">
        <f ca="1">IFERROR(__xludf.DUMMYFUNCTION("""COMPUTED_VALUE"""),"г.о. Талдомский")</f>
        <v>г.о. Талдомский</v>
      </c>
      <c r="D384" s="111" t="str">
        <f ca="1">IFERROR(__xludf.DUMMYFUNCTION("""COMPUTED_VALUE"""),"Строительство дренажной системы (в т.ч. ПИР)  в рп. Запрудня, Талдомский г.о.")</f>
        <v>Строительство дренажной системы (в т.ч. ПИР)  в рп. Запрудня, Талдомский г.о.</v>
      </c>
      <c r="E384" s="111" t="str">
        <f ca="1">IFERROR(__xludf.DUMMYFUNCTION("""COMPUTED_VALUE"""),"2020-2022")</f>
        <v>2020-2022</v>
      </c>
      <c r="F384" s="113">
        <f ca="1">IFERROR(__xludf.DUMMYFUNCTION("""COMPUTED_VALUE"""),3928)</f>
        <v>3928</v>
      </c>
      <c r="G384" s="113">
        <f ca="1">IFERROR(__xludf.DUMMYFUNCTION("""COMPUTED_VALUE"""),3928)</f>
        <v>3928</v>
      </c>
      <c r="H384" s="113">
        <f ca="1">IFERROR(__xludf.DUMMYFUNCTION("""COMPUTED_VALUE"""),0)</f>
        <v>0</v>
      </c>
      <c r="I384" s="113">
        <f ca="1">IFERROR(__xludf.DUMMYFUNCTION("""COMPUTED_VALUE"""),0)</f>
        <v>0</v>
      </c>
      <c r="J384" s="111">
        <f ca="1">IFERROR(__xludf.DUMMYFUNCTION("""COMPUTED_VALUE"""),3928)</f>
        <v>3928</v>
      </c>
      <c r="K384" s="113">
        <f ca="1">IFERROR(__xludf.DUMMYFUNCTION("""COMPUTED_VALUE"""),0)</f>
        <v>0</v>
      </c>
      <c r="L384" s="114">
        <f ca="1">IFERROR(__xludf.DUMMYFUNCTION("""COMPUTED_VALUE"""),1)</f>
        <v>1</v>
      </c>
      <c r="M384" s="111"/>
      <c r="N384" s="111"/>
      <c r="O384" s="111"/>
      <c r="P384" s="111"/>
      <c r="Q384" s="112"/>
      <c r="R384" s="103"/>
      <c r="S384" s="103"/>
      <c r="T384" s="103"/>
      <c r="U384" s="103"/>
      <c r="V384" s="103"/>
      <c r="W384" s="103"/>
      <c r="X384" s="103"/>
      <c r="Y384" s="103"/>
      <c r="Z384" s="103"/>
      <c r="AA384" s="103"/>
    </row>
    <row r="385" spans="1:27" ht="63.75" x14ac:dyDescent="0.2">
      <c r="A385" s="111"/>
      <c r="B385" s="111" t="str">
        <f ca="1">IFERROR(__xludf.DUMMYFUNCTION("""COMPUTED_VALUE"""),"МинЖКХ")</f>
        <v>МинЖКХ</v>
      </c>
      <c r="C385" s="111" t="str">
        <f ca="1">IFERROR(__xludf.DUMMYFUNCTION("""COMPUTED_VALUE"""),"г.о. Кашира")</f>
        <v>г.о. Кашира</v>
      </c>
      <c r="D385" s="111" t="str">
        <f ca="1">IFERROR(__xludf.DUMMYFUNCTION("""COMPUTED_VALUE"""),"Внеплощадочные сети для очистных сооружений по адресу: Московская обл., городской округ Кашира, г.Кашира, д. Терново-1 (ПИР)")</f>
        <v>Внеплощадочные сети для очистных сооружений по адресу: Московская обл., городской округ Кашира, г.Кашира, д. Терново-1 (ПИР)</v>
      </c>
      <c r="E385" s="111">
        <f ca="1">IFERROR(__xludf.DUMMYFUNCTION("""COMPUTED_VALUE"""),2022)</f>
        <v>2022</v>
      </c>
      <c r="F385" s="113">
        <f ca="1">IFERROR(__xludf.DUMMYFUNCTION("""COMPUTED_VALUE"""),0)</f>
        <v>0</v>
      </c>
      <c r="G385" s="113">
        <f ca="1">IFERROR(__xludf.DUMMYFUNCTION("""COMPUTED_VALUE"""),0)</f>
        <v>0</v>
      </c>
      <c r="H385" s="113">
        <f ca="1">IFERROR(__xludf.DUMMYFUNCTION("""COMPUTED_VALUE"""),0)</f>
        <v>0</v>
      </c>
      <c r="I385" s="113">
        <f ca="1">IFERROR(__xludf.DUMMYFUNCTION("""COMPUTED_VALUE"""),0)</f>
        <v>0</v>
      </c>
      <c r="J385" s="111">
        <f ca="1">IFERROR(__xludf.DUMMYFUNCTION("""COMPUTED_VALUE"""),0)</f>
        <v>0</v>
      </c>
      <c r="K385" s="113">
        <f ca="1">IFERROR(__xludf.DUMMYFUNCTION("""COMPUTED_VALUE"""),0)</f>
        <v>0</v>
      </c>
      <c r="L385" s="114" t="str">
        <f ca="1">IFERROR(__xludf.DUMMYFUNCTION("""COMPUTED_VALUE"""),"#DIV/0!")</f>
        <v>#DIV/0!</v>
      </c>
      <c r="M385" s="111" t="str">
        <f ca="1">IFERROR(__xludf.DUMMYFUNCTION("""COMPUTED_VALUE"""),"6555,0 расход в 2020 году????? прошла")</f>
        <v>6555,0 расход в 2020 году????? прошла</v>
      </c>
      <c r="N385" s="111"/>
      <c r="O385" s="111"/>
      <c r="P385" s="111"/>
      <c r="Q385" s="112"/>
      <c r="R385" s="103"/>
      <c r="S385" s="103"/>
      <c r="T385" s="103"/>
      <c r="U385" s="103"/>
      <c r="V385" s="103"/>
      <c r="W385" s="103"/>
      <c r="X385" s="103"/>
      <c r="Y385" s="103"/>
      <c r="Z385" s="103"/>
      <c r="AA385" s="103"/>
    </row>
    <row r="386" spans="1:27" ht="63.75" x14ac:dyDescent="0.2">
      <c r="A386" s="111"/>
      <c r="B386" s="111" t="str">
        <f ca="1">IFERROR(__xludf.DUMMYFUNCTION("""COMPUTED_VALUE"""),"МинЖКХ")</f>
        <v>МинЖКХ</v>
      </c>
      <c r="C386" s="111" t="str">
        <f ca="1">IFERROR(__xludf.DUMMYFUNCTION("""COMPUTED_VALUE"""),"г.о. Шатура")</f>
        <v>г.о. Шатура</v>
      </c>
      <c r="D386" s="111" t="str">
        <f ca="1">IFERROR(__xludf.DUMMYFUNCTION("""COMPUTED_VALUE"""),"Строительство наружный сетей водоснабжения, водоотведеиня и теплоснабжения  г.о. Шатура (бывшая территория г.о. Рошаль) ПИР")</f>
        <v>Строительство наружный сетей водоснабжения, водоотведеиня и теплоснабжения  г.о. Шатура (бывшая территория г.о. Рошаль) ПИР</v>
      </c>
      <c r="E386" s="111" t="str">
        <f ca="1">IFERROR(__xludf.DUMMYFUNCTION("""COMPUTED_VALUE"""),"2023-2024")</f>
        <v>2023-2024</v>
      </c>
      <c r="F386" s="113">
        <f ca="1">IFERROR(__xludf.DUMMYFUNCTION("""COMPUTED_VALUE"""),0)</f>
        <v>0</v>
      </c>
      <c r="G386" s="113">
        <f ca="1">IFERROR(__xludf.DUMMYFUNCTION("""COMPUTED_VALUE"""),0)</f>
        <v>0</v>
      </c>
      <c r="H386" s="113">
        <f ca="1">IFERROR(__xludf.DUMMYFUNCTION("""COMPUTED_VALUE"""),0)</f>
        <v>0</v>
      </c>
      <c r="I386" s="113">
        <f ca="1">IFERROR(__xludf.DUMMYFUNCTION("""COMPUTED_VALUE"""),0)</f>
        <v>0</v>
      </c>
      <c r="J386" s="111">
        <f ca="1">IFERROR(__xludf.DUMMYFUNCTION("""COMPUTED_VALUE"""),0)</f>
        <v>0</v>
      </c>
      <c r="K386" s="113">
        <f ca="1">IFERROR(__xludf.DUMMYFUNCTION("""COMPUTED_VALUE"""),0)</f>
        <v>0</v>
      </c>
      <c r="L386" s="114" t="str">
        <f ca="1">IFERROR(__xludf.DUMMYFUNCTION("""COMPUTED_VALUE"""),"#DIV/0!")</f>
        <v>#DIV/0!</v>
      </c>
      <c r="M386" s="111"/>
      <c r="N386" s="111"/>
      <c r="O386" s="111"/>
      <c r="P386" s="111"/>
      <c r="Q386" s="112"/>
      <c r="R386" s="103"/>
      <c r="S386" s="103"/>
      <c r="T386" s="103"/>
      <c r="U386" s="103"/>
      <c r="V386" s="103"/>
      <c r="W386" s="103"/>
      <c r="X386" s="103"/>
      <c r="Y386" s="103"/>
      <c r="Z386" s="103"/>
      <c r="AA386" s="103"/>
    </row>
    <row r="387" spans="1:27" ht="38.25" x14ac:dyDescent="0.2">
      <c r="A387" s="111"/>
      <c r="B387" s="111" t="str">
        <f ca="1">IFERROR(__xludf.DUMMYFUNCTION("""COMPUTED_VALUE"""),"МинЖКХ")</f>
        <v>МинЖКХ</v>
      </c>
      <c r="C387" s="111" t="str">
        <f ca="1">IFERROR(__xludf.DUMMYFUNCTION("""COMPUTED_VALUE"""),"г.о. Одинцово")</f>
        <v>г.о. Одинцово</v>
      </c>
      <c r="D387" s="111" t="str">
        <f ca="1">IFERROR(__xludf.DUMMYFUNCTION("""COMPUTED_VALUE"""),"Строительство сетей водоснабжения и водоотведения в д. Подушкино, Одинцово г.о.")</f>
        <v>Строительство сетей водоснабжения и водоотведения в д. Подушкино, Одинцово г.о.</v>
      </c>
      <c r="E387" s="111">
        <f ca="1">IFERROR(__xludf.DUMMYFUNCTION("""COMPUTED_VALUE"""),2022)</f>
        <v>2022</v>
      </c>
      <c r="F387" s="113">
        <f ca="1">IFERROR(__xludf.DUMMYFUNCTION("""COMPUTED_VALUE"""),0)</f>
        <v>0</v>
      </c>
      <c r="G387" s="113">
        <f ca="1">IFERROR(__xludf.DUMMYFUNCTION("""COMPUTED_VALUE"""),0)</f>
        <v>0</v>
      </c>
      <c r="H387" s="113">
        <f ca="1">IFERROR(__xludf.DUMMYFUNCTION("""COMPUTED_VALUE"""),0)</f>
        <v>0</v>
      </c>
      <c r="I387" s="113">
        <f ca="1">IFERROR(__xludf.DUMMYFUNCTION("""COMPUTED_VALUE"""),0)</f>
        <v>0</v>
      </c>
      <c r="J387" s="111">
        <f ca="1">IFERROR(__xludf.DUMMYFUNCTION("""COMPUTED_VALUE"""),0)</f>
        <v>0</v>
      </c>
      <c r="K387" s="113">
        <f ca="1">IFERROR(__xludf.DUMMYFUNCTION("""COMPUTED_VALUE"""),0)</f>
        <v>0</v>
      </c>
      <c r="L387" s="114" t="str">
        <f ca="1">IFERROR(__xludf.DUMMYFUNCTION("""COMPUTED_VALUE"""),"#DIV/0!")</f>
        <v>#DIV/0!</v>
      </c>
      <c r="M387" s="111"/>
      <c r="N387" s="111"/>
      <c r="O387" s="111"/>
      <c r="P387" s="111"/>
      <c r="Q387" s="112"/>
      <c r="R387" s="103"/>
      <c r="S387" s="103"/>
      <c r="T387" s="103"/>
      <c r="U387" s="103"/>
      <c r="V387" s="103"/>
      <c r="W387" s="103"/>
      <c r="X387" s="103"/>
      <c r="Y387" s="103"/>
      <c r="Z387" s="103"/>
      <c r="AA387" s="103"/>
    </row>
    <row r="388" spans="1:27" ht="76.5" x14ac:dyDescent="0.2">
      <c r="A388" s="111"/>
      <c r="B388" s="111" t="str">
        <f ca="1">IFERROR(__xludf.DUMMYFUNCTION("""COMPUTED_VALUE"""),"МинЖКХ")</f>
        <v>МинЖКХ</v>
      </c>
      <c r="C388" s="111" t="str">
        <f ca="1">IFERROR(__xludf.DUMMYFUNCTION("""COMPUTED_VALUE"""),"г.о. Черноголовка")</f>
        <v>г.о. Черноголовка</v>
      </c>
      <c r="D388" s="111" t="str">
        <f ca="1">IFERROR(__xludf.DUMMYFUNCTION("""COMPUTED_VALUE"""),"Реконструкция участка магистральной тепловой сети Ду 700 от центральной котельной до тепловой камеры ТК-3 по адресу: Московская область, г. Черноголовка")</f>
        <v>Реконструкция участка магистральной тепловой сети Ду 700 от центральной котельной до тепловой камеры ТК-3 по адресу: Московская область, г. Черноголовка</v>
      </c>
      <c r="E388" s="111">
        <f ca="1">IFERROR(__xludf.DUMMYFUNCTION("""COMPUTED_VALUE"""),2020)</f>
        <v>2020</v>
      </c>
      <c r="F388" s="113">
        <f ca="1">IFERROR(__xludf.DUMMYFUNCTION("""COMPUTED_VALUE"""),0)</f>
        <v>0</v>
      </c>
      <c r="G388" s="113">
        <f ca="1">IFERROR(__xludf.DUMMYFUNCTION("""COMPUTED_VALUE"""),0)</f>
        <v>0</v>
      </c>
      <c r="H388" s="113">
        <f ca="1">IFERROR(__xludf.DUMMYFUNCTION("""COMPUTED_VALUE"""),0)</f>
        <v>0</v>
      </c>
      <c r="I388" s="113">
        <f ca="1">IFERROR(__xludf.DUMMYFUNCTION("""COMPUTED_VALUE"""),0)</f>
        <v>0</v>
      </c>
      <c r="J388" s="111">
        <f ca="1">IFERROR(__xludf.DUMMYFUNCTION("""COMPUTED_VALUE"""),0)</f>
        <v>0</v>
      </c>
      <c r="K388" s="113">
        <f ca="1">IFERROR(__xludf.DUMMYFUNCTION("""COMPUTED_VALUE"""),0)</f>
        <v>0</v>
      </c>
      <c r="L388" s="114" t="str">
        <f ca="1">IFERROR(__xludf.DUMMYFUNCTION("""COMPUTED_VALUE"""),"#DIV/0!")</f>
        <v>#DIV/0!</v>
      </c>
      <c r="M388" s="111"/>
      <c r="N388" s="111"/>
      <c r="O388" s="111"/>
      <c r="P388" s="111"/>
      <c r="Q388" s="112"/>
      <c r="R388" s="103"/>
      <c r="S388" s="103"/>
      <c r="T388" s="103"/>
      <c r="U388" s="103"/>
      <c r="V388" s="103"/>
      <c r="W388" s="103"/>
      <c r="X388" s="103"/>
      <c r="Y388" s="103"/>
      <c r="Z388" s="103"/>
      <c r="AA388" s="103"/>
    </row>
    <row r="389" spans="1:27" ht="51" x14ac:dyDescent="0.2">
      <c r="A389" s="110">
        <v>142</v>
      </c>
      <c r="B389" s="111" t="str">
        <f ca="1">IFERROR(__xludf.DUMMYFUNCTION("""COMPUTED_VALUE"""),"МинЖКХ ""ТОП 5 (1 этап)""")</f>
        <v>МинЖКХ "ТОП 5 (1 этап)"</v>
      </c>
      <c r="C389" s="111" t="str">
        <f ca="1">IFERROR(__xludf.DUMMYFUNCTION("""COMPUTED_VALUE"""),"г.о. Шатура")</f>
        <v>г.о. Шатура</v>
      </c>
      <c r="D389" s="111" t="str">
        <f ca="1">IFERROR(__xludf.DUMMYFUNCTION("""COMPUTED_VALUE""")," Модернизация (реконструкция) котельной на электрокотлах (перевод на газ) д. Бордуки (в т.ч. ПИР, ТП) г.о. Шатура")</f>
        <v xml:space="preserve"> Модернизация (реконструкция) котельной на электрокотлах (перевод на газ) д. Бордуки (в т.ч. ПИР, ТП) г.о. Шатура</v>
      </c>
      <c r="E389" s="111" t="str">
        <f ca="1">IFERROR(__xludf.DUMMYFUNCTION("""COMPUTED_VALUE"""),"2020-2021")</f>
        <v>2020-2021</v>
      </c>
      <c r="F389" s="113">
        <f ca="1">IFERROR(__xludf.DUMMYFUNCTION("""COMPUTED_VALUE"""),458)</f>
        <v>458</v>
      </c>
      <c r="G389" s="113">
        <f ca="1">IFERROR(__xludf.DUMMYFUNCTION("""COMPUTED_VALUE"""),0)</f>
        <v>0</v>
      </c>
      <c r="H389" s="113">
        <f ca="1">IFERROR(__xludf.DUMMYFUNCTION("""COMPUTED_VALUE"""),0)</f>
        <v>0</v>
      </c>
      <c r="I389" s="113">
        <f ca="1">IFERROR(__xludf.DUMMYFUNCTION("""COMPUTED_VALUE"""),458)</f>
        <v>458</v>
      </c>
      <c r="J389" s="111">
        <f ca="1">IFERROR(__xludf.DUMMYFUNCTION("""COMPUTED_VALUE"""),150.59)</f>
        <v>150.59</v>
      </c>
      <c r="K389" s="113">
        <f ca="1">IFERROR(__xludf.DUMMYFUNCTION("""COMPUTED_VALUE"""),307.409999999999)</f>
        <v>307.409999999999</v>
      </c>
      <c r="L389" s="114">
        <f ca="1">IFERROR(__xludf.DUMMYFUNCTION("""COMPUTED_VALUE"""),0.328799126637554)</f>
        <v>0.32879912663755401</v>
      </c>
      <c r="M389" s="111"/>
      <c r="N389" s="111"/>
      <c r="O389" s="111"/>
      <c r="P389" s="111"/>
      <c r="Q389" s="112"/>
      <c r="R389" s="103"/>
      <c r="S389" s="103"/>
      <c r="T389" s="103"/>
      <c r="U389" s="103"/>
      <c r="V389" s="103"/>
      <c r="W389" s="103"/>
      <c r="X389" s="103"/>
      <c r="Y389" s="103"/>
      <c r="Z389" s="103"/>
      <c r="AA389" s="103"/>
    </row>
    <row r="390" spans="1:27" ht="114.75" x14ac:dyDescent="0.2">
      <c r="A390" s="110">
        <v>143</v>
      </c>
      <c r="B390" s="111" t="str">
        <f ca="1">IFERROR(__xludf.DUMMYFUNCTION("""COMPUTED_VALUE"""),"МинЖКХ ""ТОП 5 (1 этап)""")</f>
        <v>МинЖКХ "ТОП 5 (1 этап)"</v>
      </c>
      <c r="C390" s="111" t="str">
        <f ca="1">IFERROR(__xludf.DUMMYFUNCTION("""COMPUTED_VALUE"""),"г.о. Шатура")</f>
        <v>г.о. Шатура</v>
      </c>
      <c r="D390" s="111" t="str">
        <f ca="1">IFERROR(__xludf.DUMMYFUNCTION("""COMPUTED_VALUE"""),"Модернизация (реконструкция) дизельной котельной (перевод на газ) п. Мещерский Бор (в т.ч. ПИР, ТП) г.о. Шатура")</f>
        <v>Модернизация (реконструкция) дизельной котельной (перевод на газ) п. Мещерский Бор (в т.ч. ПИР, ТП) г.о. Шатура</v>
      </c>
      <c r="E390" s="111" t="str">
        <f ca="1">IFERROR(__xludf.DUMMYFUNCTION("""COMPUTED_VALUE"""),"2020-2021")</f>
        <v>2020-2021</v>
      </c>
      <c r="F390" s="113">
        <f ca="1">IFERROR(__xludf.DUMMYFUNCTION("""COMPUTED_VALUE"""),4213.6)</f>
        <v>4213.6000000000004</v>
      </c>
      <c r="G390" s="113">
        <f ca="1">IFERROR(__xludf.DUMMYFUNCTION("""COMPUTED_VALUE"""),0)</f>
        <v>0</v>
      </c>
      <c r="H390" s="113">
        <f ca="1">IFERROR(__xludf.DUMMYFUNCTION("""COMPUTED_VALUE"""),0)</f>
        <v>0</v>
      </c>
      <c r="I390" s="113">
        <f ca="1">IFERROR(__xludf.DUMMYFUNCTION("""COMPUTED_VALUE"""),4213.6)</f>
        <v>4213.6000000000004</v>
      </c>
      <c r="J390" s="111">
        <f ca="1">IFERROR(__xludf.DUMMYFUNCTION("""COMPUTED_VALUE"""),621.81)</f>
        <v>621.80999999999995</v>
      </c>
      <c r="K390" s="113">
        <f ca="1">IFERROR(__xludf.DUMMYFUNCTION("""COMPUTED_VALUE"""),3591.79)</f>
        <v>3591.79</v>
      </c>
      <c r="L390" s="114">
        <f ca="1">IFERROR(__xludf.DUMMYFUNCTION("""COMPUTED_VALUE"""),0.147572147332447)</f>
        <v>0.147572147332447</v>
      </c>
      <c r="M390" s="111" t="str">
        <f ca="1">IFERROR(__xludf.DUMMYFUNCTION("""COMPUTED_VALUE"""),"""Выход из МОГЭ 03.12.2020 с увелечением лимитов на 5 891,49 тыс. руб. Сделан монтаж фундамента под котлы. Котлы закуплены и находятся на территории  районной эксплуатационной службе филиала МОСОБЛГАЗ.
""")</f>
        <v>"Выход из МОГЭ 03.12.2020 с увелечением лимитов на 5 891,49 тыс. руб. Сделан монтаж фундамента под котлы. Котлы закуплены и находятся на территории  районной эксплуатационной службе филиала МОСОБЛГАЗ.
"</v>
      </c>
      <c r="N390" s="111"/>
      <c r="O390" s="111"/>
      <c r="P390" s="111"/>
      <c r="Q390" s="115">
        <v>44154</v>
      </c>
      <c r="R390" s="103"/>
      <c r="S390" s="103"/>
      <c r="T390" s="103"/>
      <c r="U390" s="103"/>
      <c r="V390" s="103"/>
      <c r="W390" s="103"/>
      <c r="X390" s="103"/>
      <c r="Y390" s="103"/>
      <c r="Z390" s="103"/>
      <c r="AA390" s="103"/>
    </row>
    <row r="391" spans="1:27" ht="114.75" x14ac:dyDescent="0.2">
      <c r="A391" s="110">
        <v>144</v>
      </c>
      <c r="B391" s="111" t="str">
        <f ca="1">IFERROR(__xludf.DUMMYFUNCTION("""COMPUTED_VALUE"""),"МинЖКХ ""ТОП 5 (1 этап)""")</f>
        <v>МинЖКХ "ТОП 5 (1 этап)"</v>
      </c>
      <c r="C391" s="111" t="str">
        <f ca="1">IFERROR(__xludf.DUMMYFUNCTION("""COMPUTED_VALUE"""),"г.о. Шатура")</f>
        <v>г.о. Шатура</v>
      </c>
      <c r="D391" s="111" t="str">
        <f ca="1">IFERROR(__xludf.DUMMYFUNCTION("""COMPUTED_VALUE"""),"Модернизация (реконструкция) котельной на электрокотлах (перевод на газ) д. Новосидориха (в т.ч. ПИР, ТП) г.о. Шатура")</f>
        <v>Модернизация (реконструкция) котельной на электрокотлах (перевод на газ) д. Новосидориха (в т.ч. ПИР, ТП) г.о. Шатура</v>
      </c>
      <c r="E391" s="111" t="str">
        <f ca="1">IFERROR(__xludf.DUMMYFUNCTION("""COMPUTED_VALUE"""),"2020-2021")</f>
        <v>2020-2021</v>
      </c>
      <c r="F391" s="113">
        <f ca="1">IFERROR(__xludf.DUMMYFUNCTION("""COMPUTED_VALUE"""),1694.6)</f>
        <v>1694.6</v>
      </c>
      <c r="G391" s="113">
        <f ca="1">IFERROR(__xludf.DUMMYFUNCTION("""COMPUTED_VALUE"""),0)</f>
        <v>0</v>
      </c>
      <c r="H391" s="113">
        <f ca="1">IFERROR(__xludf.DUMMYFUNCTION("""COMPUTED_VALUE"""),0)</f>
        <v>0</v>
      </c>
      <c r="I391" s="113">
        <f ca="1">IFERROR(__xludf.DUMMYFUNCTION("""COMPUTED_VALUE"""),1694.6)</f>
        <v>1694.6</v>
      </c>
      <c r="J391" s="111">
        <f ca="1">IFERROR(__xludf.DUMMYFUNCTION("""COMPUTED_VALUE"""),609.78)</f>
        <v>609.78</v>
      </c>
      <c r="K391" s="113">
        <f ca="1">IFERROR(__xludf.DUMMYFUNCTION("""COMPUTED_VALUE"""),1084.82)</f>
        <v>1084.82</v>
      </c>
      <c r="L391" s="114">
        <f ca="1">IFERROR(__xludf.DUMMYFUNCTION("""COMPUTED_VALUE"""),0.359837129706125)</f>
        <v>0.35983712970612503</v>
      </c>
      <c r="M391" s="111" t="str">
        <f ca="1">IFERROR(__xludf.DUMMYFUNCTION("""COMPUTED_VALUE"""),"""Выход из МОГЭ 03.12.2020 с увелечением лимитов на 3 555,99 тыс. руб. Сделан монтаж фундамента под котлы. Котлы закуплены и находятся на территории  районной эксплуатационной службе филиала МОСОБЛГАЗ.
""")</f>
        <v>"Выход из МОГЭ 03.12.2020 с увелечением лимитов на 3 555,99 тыс. руб. Сделан монтаж фундамента под котлы. Котлы закуплены и находятся на территории  районной эксплуатационной службе филиала МОСОБЛГАЗ.
"</v>
      </c>
      <c r="N391" s="111"/>
      <c r="O391" s="111"/>
      <c r="P391" s="111"/>
      <c r="Q391" s="115">
        <v>44154</v>
      </c>
      <c r="R391" s="103"/>
      <c r="S391" s="103"/>
      <c r="T391" s="103"/>
      <c r="U391" s="103"/>
      <c r="V391" s="103"/>
      <c r="W391" s="103"/>
      <c r="X391" s="103"/>
      <c r="Y391" s="103"/>
      <c r="Z391" s="103"/>
      <c r="AA391" s="103"/>
    </row>
    <row r="392" spans="1:27" ht="51" x14ac:dyDescent="0.2">
      <c r="A392" s="110">
        <v>145</v>
      </c>
      <c r="B392" s="111" t="str">
        <f ca="1">IFERROR(__xludf.DUMMYFUNCTION("""COMPUTED_VALUE"""),"МинЖКХ ""ТОП 5 (1 этап)""")</f>
        <v>МинЖКХ "ТОП 5 (1 этап)"</v>
      </c>
      <c r="C392" s="111" t="str">
        <f ca="1">IFERROR(__xludf.DUMMYFUNCTION("""COMPUTED_VALUE"""),"г.о. Шатура")</f>
        <v>г.о. Шатура</v>
      </c>
      <c r="D392" s="111" t="str">
        <f ca="1">IFERROR(__xludf.DUMMYFUNCTION("""COMPUTED_VALUE"""),"Строительство газовой блочно-модульной котельной (БМК) пос. Санатория Озеро Белое (в т.ч. ПИР, ТП) г.о. Шатура")</f>
        <v>Строительство газовой блочно-модульной котельной (БМК) пос. Санатория Озеро Белое (в т.ч. ПИР, ТП) г.о. Шатура</v>
      </c>
      <c r="E392" s="111" t="str">
        <f ca="1">IFERROR(__xludf.DUMMYFUNCTION("""COMPUTED_VALUE"""),"2020-2021")</f>
        <v>2020-2021</v>
      </c>
      <c r="F392" s="113">
        <f ca="1">IFERROR(__xludf.DUMMYFUNCTION("""COMPUTED_VALUE"""),2290)</f>
        <v>2290</v>
      </c>
      <c r="G392" s="113">
        <f ca="1">IFERROR(__xludf.DUMMYFUNCTION("""COMPUTED_VALUE"""),0)</f>
        <v>0</v>
      </c>
      <c r="H392" s="113">
        <f ca="1">IFERROR(__xludf.DUMMYFUNCTION("""COMPUTED_VALUE"""),0)</f>
        <v>0</v>
      </c>
      <c r="I392" s="113">
        <f ca="1">IFERROR(__xludf.DUMMYFUNCTION("""COMPUTED_VALUE"""),2290)</f>
        <v>2290</v>
      </c>
      <c r="J392" s="111">
        <f ca="1">IFERROR(__xludf.DUMMYFUNCTION("""COMPUTED_VALUE"""),2235.13)</f>
        <v>2235.13</v>
      </c>
      <c r="K392" s="113">
        <f ca="1">IFERROR(__xludf.DUMMYFUNCTION("""COMPUTED_VALUE"""),54.8699999999998)</f>
        <v>54.869999999999798</v>
      </c>
      <c r="L392" s="114">
        <f ca="1">IFERROR(__xludf.DUMMYFUNCTION("""COMPUTED_VALUE"""),0.976039301310043)</f>
        <v>0.97603930131004302</v>
      </c>
      <c r="M392" s="111"/>
      <c r="N392" s="111"/>
      <c r="O392" s="111"/>
      <c r="P392" s="111"/>
      <c r="Q392" s="112"/>
      <c r="R392" s="103"/>
      <c r="S392" s="103"/>
      <c r="T392" s="103"/>
      <c r="U392" s="103"/>
      <c r="V392" s="103"/>
      <c r="W392" s="103"/>
      <c r="X392" s="103"/>
      <c r="Y392" s="103"/>
      <c r="Z392" s="103"/>
      <c r="AA392" s="103"/>
    </row>
    <row r="393" spans="1:27" ht="63.75" x14ac:dyDescent="0.2">
      <c r="A393" s="110">
        <v>146</v>
      </c>
      <c r="B393" s="111" t="str">
        <f ca="1">IFERROR(__xludf.DUMMYFUNCTION("""COMPUTED_VALUE"""),"МинЖКХ ""ТОП 5 (1 этап)""")</f>
        <v>МинЖКХ "ТОП 5 (1 этап)"</v>
      </c>
      <c r="C393" s="111" t="str">
        <f ca="1">IFERROR(__xludf.DUMMYFUNCTION("""COMPUTED_VALUE"""),"г.о. Шатура")</f>
        <v>г.о. Шатура</v>
      </c>
      <c r="D393" s="111" t="str">
        <f ca="1">IFERROR(__xludf.DUMMYFUNCTION("""COMPUTED_VALUE"""),"Строительство сдвоенного газового котла наружного размещения (КНР)  с. Кривандино, ул. Центральная, д. 36 (в т.ч. ПИР, ТП) г.о. Шатура")</f>
        <v>Строительство сдвоенного газового котла наружного размещения (КНР)  с. Кривандино, ул. Центральная, д. 36 (в т.ч. ПИР, ТП) г.о. Шатура</v>
      </c>
      <c r="E393" s="111" t="str">
        <f ca="1">IFERROR(__xludf.DUMMYFUNCTION("""COMPUTED_VALUE"""),"2020-2021")</f>
        <v>2020-2021</v>
      </c>
      <c r="F393" s="113">
        <f ca="1">IFERROR(__xludf.DUMMYFUNCTION("""COMPUTED_VALUE"""),458)</f>
        <v>458</v>
      </c>
      <c r="G393" s="113">
        <f ca="1">IFERROR(__xludf.DUMMYFUNCTION("""COMPUTED_VALUE"""),0)</f>
        <v>0</v>
      </c>
      <c r="H393" s="113">
        <f ca="1">IFERROR(__xludf.DUMMYFUNCTION("""COMPUTED_VALUE"""),0)</f>
        <v>0</v>
      </c>
      <c r="I393" s="113">
        <f ca="1">IFERROR(__xludf.DUMMYFUNCTION("""COMPUTED_VALUE"""),458)</f>
        <v>458</v>
      </c>
      <c r="J393" s="111">
        <f ca="1">IFERROR(__xludf.DUMMYFUNCTION("""COMPUTED_VALUE"""),458)</f>
        <v>458</v>
      </c>
      <c r="K393" s="113">
        <f ca="1">IFERROR(__xludf.DUMMYFUNCTION("""COMPUTED_VALUE"""),0)</f>
        <v>0</v>
      </c>
      <c r="L393" s="114">
        <f ca="1">IFERROR(__xludf.DUMMYFUNCTION("""COMPUTED_VALUE"""),1)</f>
        <v>1</v>
      </c>
      <c r="M393" s="111"/>
      <c r="N393" s="111"/>
      <c r="O393" s="111"/>
      <c r="P393" s="111"/>
      <c r="Q393" s="112"/>
      <c r="R393" s="103"/>
      <c r="S393" s="103"/>
      <c r="T393" s="103"/>
      <c r="U393" s="103"/>
      <c r="V393" s="103"/>
      <c r="W393" s="103"/>
      <c r="X393" s="103"/>
      <c r="Y393" s="103"/>
      <c r="Z393" s="103"/>
      <c r="AA393" s="103"/>
    </row>
    <row r="394" spans="1:27" ht="51" x14ac:dyDescent="0.2">
      <c r="A394" s="110">
        <v>147</v>
      </c>
      <c r="B394" s="111" t="str">
        <f ca="1">IFERROR(__xludf.DUMMYFUNCTION("""COMPUTED_VALUE"""),"МинЖКХ ""ТОП 5 (1 этап)""")</f>
        <v>МинЖКХ "ТОП 5 (1 этап)"</v>
      </c>
      <c r="C394" s="111" t="str">
        <f ca="1">IFERROR(__xludf.DUMMYFUNCTION("""COMPUTED_VALUE"""),"г.о. Шатура")</f>
        <v>г.о. Шатура</v>
      </c>
      <c r="D394" s="111" t="str">
        <f ca="1">IFERROR(__xludf.DUMMYFUNCTION("""COMPUTED_VALUE"""),"Строительство сдвоенного газового котла наружного размещения (КНР) д. Голыгино (в т.ч. ПИР, ТП) г.о. Шатура")</f>
        <v>Строительство сдвоенного газового котла наружного размещения (КНР) д. Голыгино (в т.ч. ПИР, ТП) г.о. Шатура</v>
      </c>
      <c r="E394" s="111" t="str">
        <f ca="1">IFERROR(__xludf.DUMMYFUNCTION("""COMPUTED_VALUE"""),"2020-2021")</f>
        <v>2020-2021</v>
      </c>
      <c r="F394" s="113">
        <f ca="1">IFERROR(__xludf.DUMMYFUNCTION("""COMPUTED_VALUE"""),1465.6)</f>
        <v>1465.6</v>
      </c>
      <c r="G394" s="113">
        <f ca="1">IFERROR(__xludf.DUMMYFUNCTION("""COMPUTED_VALUE"""),0)</f>
        <v>0</v>
      </c>
      <c r="H394" s="113">
        <f ca="1">IFERROR(__xludf.DUMMYFUNCTION("""COMPUTED_VALUE"""),0)</f>
        <v>0</v>
      </c>
      <c r="I394" s="113">
        <f ca="1">IFERROR(__xludf.DUMMYFUNCTION("""COMPUTED_VALUE"""),1465.6)</f>
        <v>1465.6</v>
      </c>
      <c r="J394" s="111">
        <f ca="1">IFERROR(__xludf.DUMMYFUNCTION("""COMPUTED_VALUE"""),1154.83)</f>
        <v>1154.83</v>
      </c>
      <c r="K394" s="113">
        <f ca="1">IFERROR(__xludf.DUMMYFUNCTION("""COMPUTED_VALUE"""),310.77)</f>
        <v>310.77</v>
      </c>
      <c r="L394" s="114">
        <f ca="1">IFERROR(__xludf.DUMMYFUNCTION("""COMPUTED_VALUE"""),0.787957150655021)</f>
        <v>0.78795715065502103</v>
      </c>
      <c r="M394" s="111"/>
      <c r="N394" s="111"/>
      <c r="O394" s="111"/>
      <c r="P394" s="111"/>
      <c r="Q394" s="112"/>
      <c r="R394" s="103"/>
      <c r="S394" s="103"/>
      <c r="T394" s="103"/>
      <c r="U394" s="103"/>
      <c r="V394" s="103"/>
      <c r="W394" s="103"/>
      <c r="X394" s="103"/>
      <c r="Y394" s="103"/>
      <c r="Z394" s="103"/>
      <c r="AA394" s="103"/>
    </row>
    <row r="395" spans="1:27" ht="63.75" x14ac:dyDescent="0.2">
      <c r="A395" s="110">
        <v>148</v>
      </c>
      <c r="B395" s="111" t="str">
        <f ca="1">IFERROR(__xludf.DUMMYFUNCTION("""COMPUTED_VALUE"""),"МинЖКХ ""ТОП 5 (1 этап)""")</f>
        <v>МинЖКХ "ТОП 5 (1 этап)"</v>
      </c>
      <c r="C395" s="111" t="str">
        <f ca="1">IFERROR(__xludf.DUMMYFUNCTION("""COMPUTED_VALUE"""),"г.о. Шатура")</f>
        <v>г.о. Шатура</v>
      </c>
      <c r="D395" s="111" t="str">
        <f ca="1">IFERROR(__xludf.DUMMYFUNCTION("""COMPUTED_VALUE"""),"Строительство сдвоенного газового котла наружного размещения (КНР) рп. Черусти, Пионерский пр. (в т.ч. ПИР, ТП г.о. Шатура")</f>
        <v>Строительство сдвоенного газового котла наружного размещения (КНР) рп. Черусти, Пионерский пр. (в т.ч. ПИР, ТП г.о. Шатура</v>
      </c>
      <c r="E395" s="111" t="str">
        <f ca="1">IFERROR(__xludf.DUMMYFUNCTION("""COMPUTED_VALUE"""),"2020-2021")</f>
        <v>2020-2021</v>
      </c>
      <c r="F395" s="113">
        <f ca="1">IFERROR(__xludf.DUMMYFUNCTION("""COMPUTED_VALUE"""),1374)</f>
        <v>1374</v>
      </c>
      <c r="G395" s="113">
        <f ca="1">IFERROR(__xludf.DUMMYFUNCTION("""COMPUTED_VALUE"""),0)</f>
        <v>0</v>
      </c>
      <c r="H395" s="113">
        <f ca="1">IFERROR(__xludf.DUMMYFUNCTION("""COMPUTED_VALUE"""),0)</f>
        <v>0</v>
      </c>
      <c r="I395" s="113">
        <f ca="1">IFERROR(__xludf.DUMMYFUNCTION("""COMPUTED_VALUE"""),1374)</f>
        <v>1374</v>
      </c>
      <c r="J395" s="111">
        <f ca="1">IFERROR(__xludf.DUMMYFUNCTION("""COMPUTED_VALUE"""),823.76)</f>
        <v>823.76</v>
      </c>
      <c r="K395" s="113">
        <f ca="1">IFERROR(__xludf.DUMMYFUNCTION("""COMPUTED_VALUE"""),550.24)</f>
        <v>550.24</v>
      </c>
      <c r="L395" s="114">
        <f ca="1">IFERROR(__xludf.DUMMYFUNCTION("""COMPUTED_VALUE"""),0.599534206695778)</f>
        <v>0.59953420669577795</v>
      </c>
      <c r="M395" s="111"/>
      <c r="N395" s="111"/>
      <c r="O395" s="111"/>
      <c r="P395" s="111"/>
      <c r="Q395" s="115"/>
      <c r="R395" s="103"/>
      <c r="S395" s="103"/>
      <c r="T395" s="103"/>
      <c r="U395" s="103"/>
      <c r="V395" s="103"/>
      <c r="W395" s="103"/>
      <c r="X395" s="103"/>
      <c r="Y395" s="103"/>
      <c r="Z395" s="103"/>
      <c r="AA395" s="103"/>
    </row>
    <row r="396" spans="1:27" ht="76.5" x14ac:dyDescent="0.2">
      <c r="A396" s="110">
        <v>149</v>
      </c>
      <c r="B396" s="111" t="str">
        <f ca="1">IFERROR(__xludf.DUMMYFUNCTION("""COMPUTED_VALUE"""),"МинЖКХ ""ТОП 5 (1 этап)""")</f>
        <v>МинЖКХ "ТОП 5 (1 этап)"</v>
      </c>
      <c r="C396" s="111" t="str">
        <f ca="1">IFERROR(__xludf.DUMMYFUNCTION("""COMPUTED_VALUE"""),"г.о. Шатура")</f>
        <v>г.о. Шатура</v>
      </c>
      <c r="D396" s="111" t="str">
        <f ca="1">IFERROR(__xludf.DUMMYFUNCTION("""COMPUTED_VALUE"""),"Строительство сдвоенного газового котла наружного размещения (КНР) рп. Черусти, ул. Вокзальная, д.12 (в т.ч. ПИР, ТП) г.о. Шатура")</f>
        <v>Строительство сдвоенного газового котла наружного размещения (КНР) рп. Черусти, ул. Вокзальная, д.12 (в т.ч. ПИР, ТП) г.о. Шатура</v>
      </c>
      <c r="E396" s="111" t="str">
        <f ca="1">IFERROR(__xludf.DUMMYFUNCTION("""COMPUTED_VALUE"""),"2020-2021")</f>
        <v>2020-2021</v>
      </c>
      <c r="F396" s="113">
        <f ca="1">IFERROR(__xludf.DUMMYFUNCTION("""COMPUTED_VALUE"""),1511.4)</f>
        <v>1511.4</v>
      </c>
      <c r="G396" s="113">
        <f ca="1">IFERROR(__xludf.DUMMYFUNCTION("""COMPUTED_VALUE"""),0)</f>
        <v>0</v>
      </c>
      <c r="H396" s="113">
        <f ca="1">IFERROR(__xludf.DUMMYFUNCTION("""COMPUTED_VALUE"""),0)</f>
        <v>0</v>
      </c>
      <c r="I396" s="113">
        <f ca="1">IFERROR(__xludf.DUMMYFUNCTION("""COMPUTED_VALUE"""),1511.4)</f>
        <v>1511.4</v>
      </c>
      <c r="J396" s="111">
        <f ca="1">IFERROR(__xludf.DUMMYFUNCTION("""COMPUTED_VALUE"""),633.89)</f>
        <v>633.89</v>
      </c>
      <c r="K396" s="113">
        <f ca="1">IFERROR(__xludf.DUMMYFUNCTION("""COMPUTED_VALUE"""),877.51)</f>
        <v>877.51</v>
      </c>
      <c r="L396" s="114">
        <f ca="1">IFERROR(__xludf.DUMMYFUNCTION("""COMPUTED_VALUE"""),0.419405848881831)</f>
        <v>0.41940584888183102</v>
      </c>
      <c r="M396" s="111" t="str">
        <f ca="1">IFERROR(__xludf.DUMMYFUNCTION("""COMPUTED_VALUE"""),"Выход из МОГЭ 03.12.2020 с увелечением лимитов на 3 825,14 тыс. руб. Котлы закуплены и находятся на территории районной эксплуатационной службе филиала МОСОБЛГАЗ.")</f>
        <v>Выход из МОГЭ 03.12.2020 с увелечением лимитов на 3 825,14 тыс. руб. Котлы закуплены и находятся на территории районной эксплуатационной службе филиала МОСОБЛГАЗ.</v>
      </c>
      <c r="N396" s="111"/>
      <c r="O396" s="111"/>
      <c r="P396" s="111"/>
      <c r="Q396" s="115">
        <v>44154</v>
      </c>
      <c r="R396" s="103"/>
      <c r="S396" s="103"/>
      <c r="T396" s="103"/>
      <c r="U396" s="103"/>
      <c r="V396" s="103"/>
      <c r="W396" s="103"/>
      <c r="X396" s="103"/>
      <c r="Y396" s="103"/>
      <c r="Z396" s="103"/>
      <c r="AA396" s="103"/>
    </row>
    <row r="397" spans="1:27" ht="76.5" x14ac:dyDescent="0.2">
      <c r="A397" s="110">
        <v>150</v>
      </c>
      <c r="B397" s="111" t="str">
        <f ca="1">IFERROR(__xludf.DUMMYFUNCTION("""COMPUTED_VALUE"""),"МинЖКХ ""ТОП 5 (1 этап)""")</f>
        <v>МинЖКХ "ТОП 5 (1 этап)"</v>
      </c>
      <c r="C397" s="111" t="str">
        <f ca="1">IFERROR(__xludf.DUMMYFUNCTION("""COMPUTED_VALUE"""),"г.о. Шатура")</f>
        <v>г.о. Шатура</v>
      </c>
      <c r="D397" s="111" t="str">
        <f ca="1">IFERROR(__xludf.DUMMYFUNCTION("""COMPUTED_VALUE"""),"Строительство сдвоенного газового котла наружного размещения (КНР) рп. Черусти, ул. М.Горького 3 (в т.ч. ПИР, ТП)  г.о. Шатура")</f>
        <v>Строительство сдвоенного газового котла наружного размещения (КНР) рп. Черусти, ул. М.Горького 3 (в т.ч. ПИР, ТП)  г.о. Шатура</v>
      </c>
      <c r="E397" s="111" t="str">
        <f ca="1">IFERROR(__xludf.DUMMYFUNCTION("""COMPUTED_VALUE"""),"2020-2021")</f>
        <v>2020-2021</v>
      </c>
      <c r="F397" s="113">
        <f ca="1">IFERROR(__xludf.DUMMYFUNCTION("""COMPUTED_VALUE"""),1511.4)</f>
        <v>1511.4</v>
      </c>
      <c r="G397" s="113">
        <f ca="1">IFERROR(__xludf.DUMMYFUNCTION("""COMPUTED_VALUE"""),0)</f>
        <v>0</v>
      </c>
      <c r="H397" s="113">
        <f ca="1">IFERROR(__xludf.DUMMYFUNCTION("""COMPUTED_VALUE"""),0)</f>
        <v>0</v>
      </c>
      <c r="I397" s="113">
        <f ca="1">IFERROR(__xludf.DUMMYFUNCTION("""COMPUTED_VALUE"""),1511.4)</f>
        <v>1511.4</v>
      </c>
      <c r="J397" s="111">
        <f ca="1">IFERROR(__xludf.DUMMYFUNCTION("""COMPUTED_VALUE"""),591.88)</f>
        <v>591.88</v>
      </c>
      <c r="K397" s="113">
        <f ca="1">IFERROR(__xludf.DUMMYFUNCTION("""COMPUTED_VALUE"""),919.52)</f>
        <v>919.52</v>
      </c>
      <c r="L397" s="114">
        <f ca="1">IFERROR(__xludf.DUMMYFUNCTION("""COMPUTED_VALUE"""),0.391610427418287)</f>
        <v>0.391610427418287</v>
      </c>
      <c r="M397" s="111" t="str">
        <f ca="1">IFERROR(__xludf.DUMMYFUNCTION("""COMPUTED_VALUE"""),"Выход из МОГЭ 03.12.2020 с увелечением лимитов на 8 693,98 тыс. руб. Котлы закуплены и находятся на территории районной эксплуатационной службе филиала МОСОБЛГАЗ.")</f>
        <v>Выход из МОГЭ 03.12.2020 с увелечением лимитов на 8 693,98 тыс. руб. Котлы закуплены и находятся на территории районной эксплуатационной службе филиала МОСОБЛГАЗ.</v>
      </c>
      <c r="N397" s="111"/>
      <c r="O397" s="111"/>
      <c r="P397" s="111"/>
      <c r="Q397" s="115">
        <v>44154</v>
      </c>
      <c r="R397" s="103"/>
      <c r="S397" s="103"/>
      <c r="T397" s="103"/>
      <c r="U397" s="103"/>
      <c r="V397" s="103"/>
      <c r="W397" s="103"/>
      <c r="X397" s="103"/>
      <c r="Y397" s="103"/>
      <c r="Z397" s="103"/>
      <c r="AA397" s="103"/>
    </row>
    <row r="398" spans="1:27" ht="51" x14ac:dyDescent="0.2">
      <c r="A398" s="110">
        <v>151</v>
      </c>
      <c r="B398" s="111" t="str">
        <f ca="1">IFERROR(__xludf.DUMMYFUNCTION("""COMPUTED_VALUE"""),"МинЖКХ ""ТОП 5 (1 этап)""")</f>
        <v>МинЖКХ "ТОП 5 (1 этап)"</v>
      </c>
      <c r="C398" s="111" t="str">
        <f ca="1">IFERROR(__xludf.DUMMYFUNCTION("""COMPUTED_VALUE"""),"г.о. Шатура")</f>
        <v>г.о. Шатура</v>
      </c>
      <c r="D398" s="111" t="str">
        <f ca="1">IFERROR(__xludf.DUMMYFUNCTION("""COMPUTED_VALUE"""),"Строительство сдвоенного газового котла наружного размещения (КНР) с. Власово (в т.ч. ПИР, ТП) г.о. Шатура")</f>
        <v>Строительство сдвоенного газового котла наружного размещения (КНР) с. Власово (в т.ч. ПИР, ТП) г.о. Шатура</v>
      </c>
      <c r="E398" s="111" t="str">
        <f ca="1">IFERROR(__xludf.DUMMYFUNCTION("""COMPUTED_VALUE"""),"2020-2021")</f>
        <v>2020-2021</v>
      </c>
      <c r="F398" s="113">
        <f ca="1">IFERROR(__xludf.DUMMYFUNCTION("""COMPUTED_VALUE"""),1374)</f>
        <v>1374</v>
      </c>
      <c r="G398" s="113">
        <f ca="1">IFERROR(__xludf.DUMMYFUNCTION("""COMPUTED_VALUE"""),0)</f>
        <v>0</v>
      </c>
      <c r="H398" s="113">
        <f ca="1">IFERROR(__xludf.DUMMYFUNCTION("""COMPUTED_VALUE"""),0)</f>
        <v>0</v>
      </c>
      <c r="I398" s="113">
        <f ca="1">IFERROR(__xludf.DUMMYFUNCTION("""COMPUTED_VALUE"""),1374)</f>
        <v>1374</v>
      </c>
      <c r="J398" s="111">
        <f ca="1">IFERROR(__xludf.DUMMYFUNCTION("""COMPUTED_VALUE"""),1274.84)</f>
        <v>1274.8399999999999</v>
      </c>
      <c r="K398" s="113">
        <f ca="1">IFERROR(__xludf.DUMMYFUNCTION("""COMPUTED_VALUE"""),99.16)</f>
        <v>99.16</v>
      </c>
      <c r="L398" s="114">
        <f ca="1">IFERROR(__xludf.DUMMYFUNCTION("""COMPUTED_VALUE"""),0.927831149927219)</f>
        <v>0.92783114992721905</v>
      </c>
      <c r="M398" s="111"/>
      <c r="N398" s="111"/>
      <c r="O398" s="111"/>
      <c r="P398" s="111"/>
      <c r="Q398" s="112"/>
      <c r="R398" s="103"/>
      <c r="S398" s="103"/>
      <c r="T398" s="103"/>
      <c r="U398" s="103"/>
      <c r="V398" s="103"/>
      <c r="W398" s="103"/>
      <c r="X398" s="103"/>
      <c r="Y398" s="103"/>
      <c r="Z398" s="103"/>
      <c r="AA398" s="103"/>
    </row>
    <row r="399" spans="1:27" ht="89.25" x14ac:dyDescent="0.2">
      <c r="A399" s="110">
        <v>152</v>
      </c>
      <c r="B399" s="111" t="str">
        <f ca="1">IFERROR(__xludf.DUMMYFUNCTION("""COMPUTED_VALUE"""),"МинЖКХ")</f>
        <v>МинЖКХ</v>
      </c>
      <c r="C399" s="111" t="str">
        <f ca="1">IFERROR(__xludf.DUMMYFUNCTION("""COMPUTED_VALUE"""),"г.о. Орехово-Зуево")</f>
        <v>г.о. Орехово-Зуево</v>
      </c>
      <c r="D399" s="111" t="str">
        <f ca="1">IFERROR(__xludf.DUMMYFUNCTION("""COMPUTED_VALUE"""),"Капитальный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f>
        <v xml:space="preserv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v>
      </c>
      <c r="E399" s="111">
        <f ca="1">IFERROR(__xludf.DUMMYFUNCTION("""COMPUTED_VALUE"""),2020)</f>
        <v>2020</v>
      </c>
      <c r="F399" s="113">
        <f ca="1">IFERROR(__xludf.DUMMYFUNCTION("""COMPUTED_VALUE"""),290743)</f>
        <v>290743</v>
      </c>
      <c r="G399" s="113">
        <f ca="1">IFERROR(__xludf.DUMMYFUNCTION("""COMPUTED_VALUE"""),0)</f>
        <v>0</v>
      </c>
      <c r="H399" s="113">
        <f ca="1">IFERROR(__xludf.DUMMYFUNCTION("""COMPUTED_VALUE"""),0)</f>
        <v>0</v>
      </c>
      <c r="I399" s="113">
        <f ca="1">IFERROR(__xludf.DUMMYFUNCTION("""COMPUTED_VALUE"""),290743)</f>
        <v>290743</v>
      </c>
      <c r="J399" s="111">
        <f ca="1">IFERROR(__xludf.DUMMYFUNCTION("""COMPUTED_VALUE"""),265835.15)</f>
        <v>265835.15000000002</v>
      </c>
      <c r="K399" s="113">
        <f ca="1">IFERROR(__xludf.DUMMYFUNCTION("""COMPUTED_VALUE"""),24907.8499999999)</f>
        <v>24907.8499999999</v>
      </c>
      <c r="L399" s="114">
        <f ca="1">IFERROR(__xludf.DUMMYFUNCTION("""COMPUTED_VALUE"""),0.914330353611265)</f>
        <v>0.91433035361126502</v>
      </c>
      <c r="M399" s="111"/>
      <c r="N399" s="111"/>
      <c r="O399" s="111"/>
      <c r="P399" s="111"/>
      <c r="Q399" s="112"/>
      <c r="R399" s="103"/>
      <c r="S399" s="103"/>
      <c r="T399" s="103"/>
      <c r="U399" s="103"/>
      <c r="V399" s="103"/>
      <c r="W399" s="103"/>
      <c r="X399" s="103"/>
      <c r="Y399" s="103"/>
      <c r="Z399" s="103"/>
      <c r="AA399" s="103"/>
    </row>
    <row r="400" spans="1:27" ht="89.25" x14ac:dyDescent="0.2">
      <c r="A400" s="110">
        <v>153</v>
      </c>
      <c r="B400" s="111" t="str">
        <f ca="1">IFERROR(__xludf.DUMMYFUNCTION("""COMPUTED_VALUE"""),"МинЖКХ")</f>
        <v>МинЖКХ</v>
      </c>
      <c r="C400" s="111" t="str">
        <f ca="1">IFERROR(__xludf.DUMMYFUNCTION("""COMPUTED_VALUE"""),"МОС АВС")</f>
        <v>МОС АВС</v>
      </c>
      <c r="D400" s="111" t="str">
        <f ca="1">IFERROR(__xludf.DUMMYFUNCTION("""COMPUTED_VALUE"""),"Строительство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f>
        <v>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v>
      </c>
      <c r="E400" s="111" t="str">
        <f ca="1">IFERROR(__xludf.DUMMYFUNCTION("""COMPUTED_VALUE"""),"2020-2021")</f>
        <v>2020-2021</v>
      </c>
      <c r="F400" s="113">
        <f ca="1">IFERROR(__xludf.DUMMYFUNCTION("""COMPUTED_VALUE"""),742.19)</f>
        <v>742.19</v>
      </c>
      <c r="G400" s="113">
        <f ca="1">IFERROR(__xludf.DUMMYFUNCTION("""COMPUTED_VALUE"""),742.19)</f>
        <v>742.19</v>
      </c>
      <c r="H400" s="113">
        <f ca="1">IFERROR(__xludf.DUMMYFUNCTION("""COMPUTED_VALUE"""),0)</f>
        <v>0</v>
      </c>
      <c r="I400" s="113">
        <f ca="1">IFERROR(__xludf.DUMMYFUNCTION("""COMPUTED_VALUE"""),0)</f>
        <v>0</v>
      </c>
      <c r="J400" s="111">
        <f ca="1">IFERROR(__xludf.DUMMYFUNCTION("""COMPUTED_VALUE"""),0)</f>
        <v>0</v>
      </c>
      <c r="K400" s="113">
        <f ca="1">IFERROR(__xludf.DUMMYFUNCTION("""COMPUTED_VALUE"""),742.19)</f>
        <v>742.19</v>
      </c>
      <c r="L400" s="114">
        <f ca="1">IFERROR(__xludf.DUMMYFUNCTION("""COMPUTED_VALUE"""),0)</f>
        <v>0</v>
      </c>
      <c r="M400" s="111"/>
      <c r="N400" s="111"/>
      <c r="O400" s="111"/>
      <c r="P400" s="111"/>
      <c r="Q400" s="112"/>
      <c r="R400" s="103"/>
      <c r="S400" s="103"/>
      <c r="T400" s="103"/>
      <c r="U400" s="103"/>
      <c r="V400" s="103"/>
      <c r="W400" s="103"/>
      <c r="X400" s="103"/>
      <c r="Y400" s="103"/>
      <c r="Z400" s="103"/>
      <c r="AA400" s="103"/>
    </row>
    <row r="401" spans="1:27" ht="140.25" x14ac:dyDescent="0.2">
      <c r="A401" s="110">
        <v>154</v>
      </c>
      <c r="B401" s="111" t="str">
        <f ca="1">IFERROR(__xludf.DUMMYFUNCTION("""COMPUTED_VALUE"""),"МинЖКХ")</f>
        <v>МинЖКХ</v>
      </c>
      <c r="C401" s="111" t="str">
        <f ca="1">IFERROR(__xludf.DUMMYFUNCTION("""COMPUTED_VALUE"""),"МОС АВС")</f>
        <v>МОС АВС</v>
      </c>
      <c r="D401" s="111" t="str">
        <f ca="1">IFERROR(__xludf.DUMMYFUNCTION("""COMPUTED_VALUE"""),"Строительство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(городско"&amp;"й округ Егорьевск)  (в том числе ПИР)")</f>
        <v>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(городской округ Егорьевск)  (в том числе ПИР)</v>
      </c>
      <c r="E401" s="111" t="str">
        <f ca="1">IFERROR(__xludf.DUMMYFUNCTION("""COMPUTED_VALUE"""),"2020-2021")</f>
        <v>2020-2021</v>
      </c>
      <c r="F401" s="113">
        <f ca="1">IFERROR(__xludf.DUMMYFUNCTION("""COMPUTED_VALUE"""),56534.59)</f>
        <v>56534.59</v>
      </c>
      <c r="G401" s="113">
        <f ca="1">IFERROR(__xludf.DUMMYFUNCTION("""COMPUTED_VALUE"""),56534.59)</f>
        <v>56534.59</v>
      </c>
      <c r="H401" s="113">
        <f ca="1">IFERROR(__xludf.DUMMYFUNCTION("""COMPUTED_VALUE"""),0)</f>
        <v>0</v>
      </c>
      <c r="I401" s="113">
        <f ca="1">IFERROR(__xludf.DUMMYFUNCTION("""COMPUTED_VALUE"""),0)</f>
        <v>0</v>
      </c>
      <c r="J401" s="111">
        <f ca="1">IFERROR(__xludf.DUMMYFUNCTION("""COMPUTED_VALUE"""),36215.89)</f>
        <v>36215.89</v>
      </c>
      <c r="K401" s="113">
        <f ca="1">IFERROR(__xludf.DUMMYFUNCTION("""COMPUTED_VALUE"""),20318.6999999999)</f>
        <v>20318.699999999899</v>
      </c>
      <c r="L401" s="114">
        <f ca="1">IFERROR(__xludf.DUMMYFUNCTION("""COMPUTED_VALUE"""),0.640597022106289)</f>
        <v>0.64059702210628899</v>
      </c>
      <c r="M401" s="111"/>
      <c r="N401" s="111"/>
      <c r="O401" s="111"/>
      <c r="P401" s="111"/>
      <c r="Q401" s="112"/>
      <c r="R401" s="103"/>
      <c r="S401" s="103"/>
      <c r="T401" s="103"/>
      <c r="U401" s="103"/>
      <c r="V401" s="103"/>
      <c r="W401" s="103"/>
      <c r="X401" s="103"/>
      <c r="Y401" s="103"/>
      <c r="Z401" s="103"/>
      <c r="AA401" s="103"/>
    </row>
    <row r="402" spans="1:27" ht="114.75" x14ac:dyDescent="0.2">
      <c r="A402" s="110">
        <v>155</v>
      </c>
      <c r="B402" s="111" t="str">
        <f ca="1">IFERROR(__xludf.DUMMYFUNCTION("""COMPUTED_VALUE"""),"МинЖКХ")</f>
        <v>МинЖКХ</v>
      </c>
      <c r="C402" s="111" t="str">
        <f ca="1">IFERROR(__xludf.DUMMYFUNCTION("""COMPUTED_VALUE"""),"МОС АВС")</f>
        <v>МОС АВС</v>
      </c>
      <c r="D402" s="111" t="str">
        <f ca="1">IFERROR(__xludf.DUMMYFUNCTION("""COMPUTED_VALUE"""),"Строительство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f>
        <v>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v>
      </c>
      <c r="E402" s="111" t="str">
        <f ca="1">IFERROR(__xludf.DUMMYFUNCTION("""COMPUTED_VALUE"""),"2020-2022")</f>
        <v>2020-2022</v>
      </c>
      <c r="F402" s="113">
        <f ca="1">IFERROR(__xludf.DUMMYFUNCTION("""COMPUTED_VALUE"""),158.05)</f>
        <v>158.05000000000001</v>
      </c>
      <c r="G402" s="113">
        <f ca="1">IFERROR(__xludf.DUMMYFUNCTION("""COMPUTED_VALUE"""),158.05)</f>
        <v>158.05000000000001</v>
      </c>
      <c r="H402" s="113">
        <f ca="1">IFERROR(__xludf.DUMMYFUNCTION("""COMPUTED_VALUE"""),0)</f>
        <v>0</v>
      </c>
      <c r="I402" s="113">
        <f ca="1">IFERROR(__xludf.DUMMYFUNCTION("""COMPUTED_VALUE"""),0)</f>
        <v>0</v>
      </c>
      <c r="J402" s="111">
        <f ca="1">IFERROR(__xludf.DUMMYFUNCTION("""COMPUTED_VALUE"""),66.23)</f>
        <v>66.23</v>
      </c>
      <c r="K402" s="113">
        <f ca="1">IFERROR(__xludf.DUMMYFUNCTION("""COMPUTED_VALUE"""),91.82)</f>
        <v>91.82</v>
      </c>
      <c r="L402" s="114">
        <f ca="1">IFERROR(__xludf.DUMMYFUNCTION("""COMPUTED_VALUE"""),0.419044606137298)</f>
        <v>0.41904460613729799</v>
      </c>
      <c r="M402" s="111" t="str">
        <f ca="1">IFERROR(__xludf.DUMMYFUNCTION("""COMPUTED_VALUE"""),"ПИР до 25.12.2020")</f>
        <v>ПИР до 25.12.2020</v>
      </c>
      <c r="N402" s="111"/>
      <c r="O402" s="111"/>
      <c r="P402" s="111"/>
      <c r="Q402" s="112"/>
      <c r="R402" s="103"/>
      <c r="S402" s="103"/>
      <c r="T402" s="103"/>
      <c r="U402" s="103"/>
      <c r="V402" s="103"/>
      <c r="W402" s="103"/>
      <c r="X402" s="103"/>
      <c r="Y402" s="103"/>
      <c r="Z402" s="103"/>
      <c r="AA402" s="103"/>
    </row>
    <row r="403" spans="1:27" ht="89.25" x14ac:dyDescent="0.2">
      <c r="A403" s="110">
        <v>156</v>
      </c>
      <c r="B403" s="111" t="str">
        <f ca="1">IFERROR(__xludf.DUMMYFUNCTION("""COMPUTED_VALUE"""),"МинЖКХ")</f>
        <v>МинЖКХ</v>
      </c>
      <c r="C403" s="111" t="str">
        <f ca="1">IFERROR(__xludf.DUMMYFUNCTION("""COMPUTED_VALUE"""),"МОС АВС")</f>
        <v>МОС АВС</v>
      </c>
      <c r="D403" s="111" t="str">
        <f ca="1">IFERROR(__xludf.DUMMYFUNCTION("""COMPUTED_VALUE"""),"Строительство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f>
        <v>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v>
      </c>
      <c r="E403" s="111" t="str">
        <f ca="1">IFERROR(__xludf.DUMMYFUNCTION("""COMPUTED_VALUE"""),"2020-2021")</f>
        <v>2020-2021</v>
      </c>
      <c r="F403" s="113">
        <f ca="1">IFERROR(__xludf.DUMMYFUNCTION("""COMPUTED_VALUE"""),214.65)</f>
        <v>214.65</v>
      </c>
      <c r="G403" s="113">
        <f ca="1">IFERROR(__xludf.DUMMYFUNCTION("""COMPUTED_VALUE"""),214.65)</f>
        <v>214.65</v>
      </c>
      <c r="H403" s="113">
        <f ca="1">IFERROR(__xludf.DUMMYFUNCTION("""COMPUTED_VALUE"""),0)</f>
        <v>0</v>
      </c>
      <c r="I403" s="113">
        <f ca="1">IFERROR(__xludf.DUMMYFUNCTION("""COMPUTED_VALUE"""),0)</f>
        <v>0</v>
      </c>
      <c r="J403" s="111">
        <f ca="1">IFERROR(__xludf.DUMMYFUNCTION("""COMPUTED_VALUE"""),99.88)</f>
        <v>99.88</v>
      </c>
      <c r="K403" s="113">
        <f ca="1">IFERROR(__xludf.DUMMYFUNCTION("""COMPUTED_VALUE"""),114.77)</f>
        <v>114.77</v>
      </c>
      <c r="L403" s="114">
        <f ca="1">IFERROR(__xludf.DUMMYFUNCTION("""COMPUTED_VALUE"""),0.465315630095504)</f>
        <v>0.46531563009550397</v>
      </c>
      <c r="M403" s="111"/>
      <c r="N403" s="111"/>
      <c r="O403" s="111"/>
      <c r="P403" s="111"/>
      <c r="Q403" s="112"/>
      <c r="R403" s="103"/>
      <c r="S403" s="103"/>
      <c r="T403" s="103"/>
      <c r="U403" s="103"/>
      <c r="V403" s="103"/>
      <c r="W403" s="103"/>
      <c r="X403" s="103"/>
      <c r="Y403" s="103"/>
      <c r="Z403" s="103"/>
      <c r="AA403" s="103"/>
    </row>
    <row r="404" spans="1:27" ht="89.25" x14ac:dyDescent="0.2">
      <c r="A404" s="110">
        <v>157</v>
      </c>
      <c r="B404" s="111" t="str">
        <f ca="1">IFERROR(__xludf.DUMMYFUNCTION("""COMPUTED_VALUE"""),"МинЖКХ")</f>
        <v>МинЖКХ</v>
      </c>
      <c r="C404" s="111" t="str">
        <f ca="1">IFERROR(__xludf.DUMMYFUNCTION("""COMPUTED_VALUE"""),"МОС АВС")</f>
        <v>МОС АВС</v>
      </c>
      <c r="D404" s="111" t="str">
        <f ca="1">IFERROR(__xludf.DUMMYFUNCTION("""COMPUTED_VALUE"""),"Строительство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f>
        <v>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v>
      </c>
      <c r="E404" s="111" t="str">
        <f ca="1">IFERROR(__xludf.DUMMYFUNCTION("""COMPUTED_VALUE"""),"2020-2021")</f>
        <v>2020-2021</v>
      </c>
      <c r="F404" s="113">
        <f ca="1">IFERROR(__xludf.DUMMYFUNCTION("""COMPUTED_VALUE"""),50.1)</f>
        <v>50.1</v>
      </c>
      <c r="G404" s="113">
        <f ca="1">IFERROR(__xludf.DUMMYFUNCTION("""COMPUTED_VALUE"""),50.1)</f>
        <v>50.1</v>
      </c>
      <c r="H404" s="113">
        <f ca="1">IFERROR(__xludf.DUMMYFUNCTION("""COMPUTED_VALUE"""),0)</f>
        <v>0</v>
      </c>
      <c r="I404" s="113">
        <f ca="1">IFERROR(__xludf.DUMMYFUNCTION("""COMPUTED_VALUE"""),0)</f>
        <v>0</v>
      </c>
      <c r="J404" s="111">
        <f ca="1">IFERROR(__xludf.DUMMYFUNCTION("""COMPUTED_VALUE"""),0)</f>
        <v>0</v>
      </c>
      <c r="K404" s="113">
        <f ca="1">IFERROR(__xludf.DUMMYFUNCTION("""COMPUTED_VALUE"""),50.1)</f>
        <v>50.1</v>
      </c>
      <c r="L404" s="114">
        <f ca="1">IFERROR(__xludf.DUMMYFUNCTION("""COMPUTED_VALUE"""),0)</f>
        <v>0</v>
      </c>
      <c r="M404" s="111"/>
      <c r="N404" s="111"/>
      <c r="O404" s="111"/>
      <c r="P404" s="111"/>
      <c r="Q404" s="112"/>
      <c r="R404" s="103"/>
      <c r="S404" s="103"/>
      <c r="T404" s="103"/>
      <c r="U404" s="103"/>
      <c r="V404" s="103"/>
      <c r="W404" s="103"/>
      <c r="X404" s="103"/>
      <c r="Y404" s="103"/>
      <c r="Z404" s="103"/>
      <c r="AA404" s="103"/>
    </row>
    <row r="405" spans="1:27" ht="127.5" x14ac:dyDescent="0.2">
      <c r="A405" s="110">
        <v>158</v>
      </c>
      <c r="B405" s="111" t="str">
        <f ca="1">IFERROR(__xludf.DUMMYFUNCTION("""COMPUTED_VALUE"""),"МинЖКХ")</f>
        <v>МинЖКХ</v>
      </c>
      <c r="C405" s="111" t="str">
        <f ca="1">IFERROR(__xludf.DUMMYFUNCTION("""COMPUTED_VALUE"""),"МОС АВС")</f>
        <v>МОС АВС</v>
      </c>
      <c r="D405" s="111" t="str">
        <f ca="1">IFERROR(__xludf.DUMMYFUNCTION("""COMPUTED_VALUE"""),"Строительство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f>
        <v>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v>
      </c>
      <c r="E405" s="111" t="str">
        <f ca="1">IFERROR(__xludf.DUMMYFUNCTION("""COMPUTED_VALUE"""),"2020-2022")</f>
        <v>2020-2022</v>
      </c>
      <c r="F405" s="113">
        <f ca="1">IFERROR(__xludf.DUMMYFUNCTION("""COMPUTED_VALUE"""),658.32)</f>
        <v>658.32</v>
      </c>
      <c r="G405" s="113">
        <f ca="1">IFERROR(__xludf.DUMMYFUNCTION("""COMPUTED_VALUE"""),658.32)</f>
        <v>658.32</v>
      </c>
      <c r="H405" s="113">
        <f ca="1">IFERROR(__xludf.DUMMYFUNCTION("""COMPUTED_VALUE"""),0)</f>
        <v>0</v>
      </c>
      <c r="I405" s="113">
        <f ca="1">IFERROR(__xludf.DUMMYFUNCTION("""COMPUTED_VALUE"""),0)</f>
        <v>0</v>
      </c>
      <c r="J405" s="111">
        <f ca="1">IFERROR(__xludf.DUMMYFUNCTION("""COMPUTED_VALUE"""),0)</f>
        <v>0</v>
      </c>
      <c r="K405" s="113">
        <f ca="1">IFERROR(__xludf.DUMMYFUNCTION("""COMPUTED_VALUE"""),658.32)</f>
        <v>658.32</v>
      </c>
      <c r="L405" s="114">
        <f ca="1">IFERROR(__xludf.DUMMYFUNCTION("""COMPUTED_VALUE"""),0)</f>
        <v>0</v>
      </c>
      <c r="M405" s="111" t="str">
        <f ca="1">IFERROR(__xludf.DUMMYFUNCTION("""COMPUTED_VALUE"""),"ПИР до 25.12.2020")</f>
        <v>ПИР до 25.12.2020</v>
      </c>
      <c r="N405" s="111"/>
      <c r="O405" s="111"/>
      <c r="P405" s="111"/>
      <c r="Q405" s="112"/>
      <c r="R405" s="103"/>
      <c r="S405" s="103"/>
      <c r="T405" s="103"/>
      <c r="U405" s="103"/>
      <c r="V405" s="103"/>
      <c r="W405" s="103"/>
      <c r="X405" s="103"/>
      <c r="Y405" s="103"/>
      <c r="Z405" s="103"/>
      <c r="AA405" s="103"/>
    </row>
    <row r="406" spans="1:27" ht="51" x14ac:dyDescent="0.2">
      <c r="A406" s="111"/>
      <c r="B406" s="111" t="str">
        <f ca="1">IFERROR(__xludf.DUMMYFUNCTION("""COMPUTED_VALUE"""),"МинЖКХ")</f>
        <v>МинЖКХ</v>
      </c>
      <c r="C406" s="111" t="str">
        <f ca="1">IFERROR(__xludf.DUMMYFUNCTION("""COMPUTED_VALUE"""),"г.о. Коломенский")</f>
        <v>г.о. Коломенский</v>
      </c>
      <c r="D406" s="111" t="str">
        <f ca="1">IFERROR(__xludf.DUMMYFUNCTION("""COMPUTED_VALUE"""),"Капитальный ремонт канализационных сетей в посёлке Станция Непецино, Коломенский г.о. (в т.ч. ПИР) ")</f>
        <v xml:space="preserve">Капитальный ремонт канализационных сетей в посёлке Станция Непецино, Коломенский г.о. (в т.ч. ПИР) </v>
      </c>
      <c r="E406" s="111">
        <f ca="1">IFERROR(__xludf.DUMMYFUNCTION("""COMPUTED_VALUE"""),2021)</f>
        <v>2021</v>
      </c>
      <c r="F406" s="113">
        <f ca="1">IFERROR(__xludf.DUMMYFUNCTION("""COMPUTED_VALUE"""),0)</f>
        <v>0</v>
      </c>
      <c r="G406" s="113">
        <f ca="1">IFERROR(__xludf.DUMMYFUNCTION("""COMPUTED_VALUE"""),0)</f>
        <v>0</v>
      </c>
      <c r="H406" s="113">
        <f ca="1">IFERROR(__xludf.DUMMYFUNCTION("""COMPUTED_VALUE"""),0)</f>
        <v>0</v>
      </c>
      <c r="I406" s="113">
        <f ca="1">IFERROR(__xludf.DUMMYFUNCTION("""COMPUTED_VALUE"""),0)</f>
        <v>0</v>
      </c>
      <c r="J406" s="111">
        <f ca="1">IFERROR(__xludf.DUMMYFUNCTION("""COMPUTED_VALUE"""),0)</f>
        <v>0</v>
      </c>
      <c r="K406" s="113">
        <f ca="1">IFERROR(__xludf.DUMMYFUNCTION("""COMPUTED_VALUE"""),0)</f>
        <v>0</v>
      </c>
      <c r="L406" s="114" t="str">
        <f ca="1">IFERROR(__xludf.DUMMYFUNCTION("""COMPUTED_VALUE"""),"#DIV/0!")</f>
        <v>#DIV/0!</v>
      </c>
      <c r="M406" s="111"/>
      <c r="N406" s="111"/>
      <c r="O406" s="111"/>
      <c r="P406" s="111"/>
      <c r="Q406" s="112"/>
      <c r="R406" s="103"/>
      <c r="S406" s="103"/>
      <c r="T406" s="103"/>
      <c r="U406" s="103"/>
      <c r="V406" s="103"/>
      <c r="W406" s="103"/>
      <c r="X406" s="103"/>
      <c r="Y406" s="103"/>
      <c r="Z406" s="103"/>
      <c r="AA406" s="103"/>
    </row>
    <row r="407" spans="1:27" ht="102" x14ac:dyDescent="0.2">
      <c r="A407" s="110">
        <v>159</v>
      </c>
      <c r="B407" s="111" t="str">
        <f ca="1">IFERROR(__xludf.DUMMYFUNCTION("""COMPUTED_VALUE"""),"МинЖКХ")</f>
        <v>МинЖКХ</v>
      </c>
      <c r="C407" s="111" t="str">
        <f ca="1">IFERROR(__xludf.DUMMYFUNCTION("""COMPUTED_VALUE"""),"МОС АВС")</f>
        <v>МОС АВС</v>
      </c>
      <c r="D407" s="111" t="str">
        <f ca="1">IFERROR(__xludf.DUMMYFUNCTION("""COMPUTED_VALUE"""),"Строительство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f>
        <v>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v>
      </c>
      <c r="E407" s="111" t="str">
        <f ca="1">IFERROR(__xludf.DUMMYFUNCTION("""COMPUTED_VALUE"""),"2020-2021")</f>
        <v>2020-2021</v>
      </c>
      <c r="F407" s="113">
        <f ca="1">IFERROR(__xludf.DUMMYFUNCTION("""COMPUTED_VALUE"""),12228.3)</f>
        <v>12228.3</v>
      </c>
      <c r="G407" s="113">
        <f ca="1">IFERROR(__xludf.DUMMYFUNCTION("""COMPUTED_VALUE"""),12228.3)</f>
        <v>12228.3</v>
      </c>
      <c r="H407" s="113">
        <f ca="1">IFERROR(__xludf.DUMMYFUNCTION("""COMPUTED_VALUE"""),0)</f>
        <v>0</v>
      </c>
      <c r="I407" s="113">
        <f ca="1">IFERROR(__xludf.DUMMYFUNCTION("""COMPUTED_VALUE"""),0)</f>
        <v>0</v>
      </c>
      <c r="J407" s="111">
        <f ca="1">IFERROR(__xludf.DUMMYFUNCTION("""COMPUTED_VALUE"""),7861.6)</f>
        <v>7861.6</v>
      </c>
      <c r="K407" s="113">
        <f ca="1">IFERROR(__xludf.DUMMYFUNCTION("""COMPUTED_VALUE"""),4366.69999999999)</f>
        <v>4366.6999999999898</v>
      </c>
      <c r="L407" s="114">
        <f ca="1">IFERROR(__xludf.DUMMYFUNCTION("""COMPUTED_VALUE"""),0.642902120490992)</f>
        <v>0.64290212049099205</v>
      </c>
      <c r="M407" s="111"/>
      <c r="N407" s="111"/>
      <c r="O407" s="111"/>
      <c r="P407" s="111"/>
      <c r="Q407" s="112"/>
      <c r="R407" s="103"/>
      <c r="S407" s="103"/>
      <c r="T407" s="103"/>
      <c r="U407" s="103"/>
      <c r="V407" s="103"/>
      <c r="W407" s="103"/>
      <c r="X407" s="103"/>
      <c r="Y407" s="103"/>
      <c r="Z407" s="103"/>
      <c r="AA407" s="103"/>
    </row>
    <row r="408" spans="1:27" ht="89.25" x14ac:dyDescent="0.2">
      <c r="A408" s="110">
        <v>160</v>
      </c>
      <c r="B408" s="111" t="str">
        <f ca="1">IFERROR(__xludf.DUMMYFUNCTION("""COMPUTED_VALUE"""),"МинЖКХ")</f>
        <v>МинЖКХ</v>
      </c>
      <c r="C408" s="111" t="str">
        <f ca="1">IFERROR(__xludf.DUMMYFUNCTION("""COMPUTED_VALUE"""),"МОС АВС")</f>
        <v>МОС АВС</v>
      </c>
      <c r="D408" s="111" t="str">
        <f ca="1">IFERROR(__xludf.DUMMYFUNCTION("""COMPUTED_VALUE"""),"Строительство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f>
        <v>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v>
      </c>
      <c r="E408" s="111" t="str">
        <f ca="1">IFERROR(__xludf.DUMMYFUNCTION("""COMPUTED_VALUE"""),"2020-2022")</f>
        <v>2020-2022</v>
      </c>
      <c r="F408" s="113">
        <f ca="1">IFERROR(__xludf.DUMMYFUNCTION("""COMPUTED_VALUE"""),4918.85)</f>
        <v>4918.8500000000004</v>
      </c>
      <c r="G408" s="113">
        <f ca="1">IFERROR(__xludf.DUMMYFUNCTION("""COMPUTED_VALUE"""),4918.85)</f>
        <v>4918.8500000000004</v>
      </c>
      <c r="H408" s="113">
        <f ca="1">IFERROR(__xludf.DUMMYFUNCTION("""COMPUTED_VALUE"""),0)</f>
        <v>0</v>
      </c>
      <c r="I408" s="113">
        <f ca="1">IFERROR(__xludf.DUMMYFUNCTION("""COMPUTED_VALUE"""),0)</f>
        <v>0</v>
      </c>
      <c r="J408" s="111">
        <f ca="1">IFERROR(__xludf.DUMMYFUNCTION("""COMPUTED_VALUE"""),0)</f>
        <v>0</v>
      </c>
      <c r="K408" s="113">
        <f ca="1">IFERROR(__xludf.DUMMYFUNCTION("""COMPUTED_VALUE"""),4918.85)</f>
        <v>4918.8500000000004</v>
      </c>
      <c r="L408" s="114">
        <f ca="1">IFERROR(__xludf.DUMMYFUNCTION("""COMPUTED_VALUE"""),0)</f>
        <v>0</v>
      </c>
      <c r="M408" s="111"/>
      <c r="N408" s="111"/>
      <c r="O408" s="111"/>
      <c r="P408" s="111"/>
      <c r="Q408" s="112"/>
      <c r="R408" s="103"/>
      <c r="S408" s="103"/>
      <c r="T408" s="103"/>
      <c r="U408" s="103"/>
      <c r="V408" s="103"/>
      <c r="W408" s="103"/>
      <c r="X408" s="103"/>
      <c r="Y408" s="103"/>
      <c r="Z408" s="103"/>
      <c r="AA408" s="103"/>
    </row>
    <row r="409" spans="1:27" ht="38.25" x14ac:dyDescent="0.2">
      <c r="A409" s="111"/>
      <c r="B409" s="111" t="str">
        <f ca="1">IFERROR(__xludf.DUMMYFUNCTION("""COMPUTED_VALUE"""),"МинЖКХ")</f>
        <v>МинЖКХ</v>
      </c>
      <c r="C409" s="111" t="str">
        <f ca="1">IFERROR(__xludf.DUMMYFUNCTION("""COMPUTED_VALUE"""),"г.о. Солнечногорск")</f>
        <v>г.о. Солнечногорск</v>
      </c>
      <c r="D409" s="111" t="str">
        <f ca="1">IFERROR(__xludf.DUMMYFUNCTION("""COMPUTED_VALUE"""),"Капитальный ремонт  водопроводных сетей,  д. Новая, Солнечногорский м.р. ")</f>
        <v xml:space="preserve">Капитальный ремонт  водопроводных сетей,  д. Новая, Солнечногорский м.р. </v>
      </c>
      <c r="E409" s="111">
        <f ca="1">IFERROR(__xludf.DUMMYFUNCTION("""COMPUTED_VALUE"""),2022)</f>
        <v>2022</v>
      </c>
      <c r="F409" s="113">
        <f ca="1">IFERROR(__xludf.DUMMYFUNCTION("""COMPUTED_VALUE"""),0)</f>
        <v>0</v>
      </c>
      <c r="G409" s="113">
        <f ca="1">IFERROR(__xludf.DUMMYFUNCTION("""COMPUTED_VALUE"""),0)</f>
        <v>0</v>
      </c>
      <c r="H409" s="113">
        <f ca="1">IFERROR(__xludf.DUMMYFUNCTION("""COMPUTED_VALUE"""),0)</f>
        <v>0</v>
      </c>
      <c r="I409" s="113">
        <f ca="1">IFERROR(__xludf.DUMMYFUNCTION("""COMPUTED_VALUE"""),0)</f>
        <v>0</v>
      </c>
      <c r="J409" s="111">
        <f ca="1">IFERROR(__xludf.DUMMYFUNCTION("""COMPUTED_VALUE"""),0)</f>
        <v>0</v>
      </c>
      <c r="K409" s="113">
        <f ca="1">IFERROR(__xludf.DUMMYFUNCTION("""COMPUTED_VALUE"""),0)</f>
        <v>0</v>
      </c>
      <c r="L409" s="114" t="str">
        <f ca="1">IFERROR(__xludf.DUMMYFUNCTION("""COMPUTED_VALUE"""),"#DIV/0!")</f>
        <v>#DIV/0!</v>
      </c>
      <c r="M409" s="111"/>
      <c r="N409" s="111"/>
      <c r="O409" s="111"/>
      <c r="P409" s="111"/>
      <c r="Q409" s="112"/>
      <c r="R409" s="103"/>
      <c r="S409" s="103"/>
      <c r="T409" s="103"/>
      <c r="U409" s="103"/>
      <c r="V409" s="103"/>
      <c r="W409" s="103"/>
      <c r="X409" s="103"/>
      <c r="Y409" s="103"/>
      <c r="Z409" s="103"/>
      <c r="AA409" s="103"/>
    </row>
    <row r="410" spans="1:27" ht="76.5" x14ac:dyDescent="0.2">
      <c r="A410" s="110">
        <v>161</v>
      </c>
      <c r="B410" s="111" t="str">
        <f ca="1">IFERROR(__xludf.DUMMYFUNCTION("""COMPUTED_VALUE"""),"МинЖКХ")</f>
        <v>МинЖКХ</v>
      </c>
      <c r="C410" s="111" t="str">
        <f ca="1">IFERROR(__xludf.DUMMYFUNCTION("""COMPUTED_VALUE"""),"МОС АВС")</f>
        <v>МОС АВС</v>
      </c>
      <c r="D410" s="111" t="str">
        <f ca="1">IFERROR(__xludf.DUMMYFUNCTION("""COMPUTED_VALUE"""),"Строительство блочно-модульной котельной для ГБУЗ МО ""Пушкинская поликлиника микрорайона Клязьма"" по адресу: ул. Лермонтовская, д. 25  (в том числе ПИР)")</f>
        <v>Строительство блочно-модульной котельной для ГБУЗ МО "Пушкинская поликлиника микрорайона Клязьма" по адресу: ул. Лермонтовская, д. 25  (в том числе ПИР)</v>
      </c>
      <c r="E410" s="111" t="str">
        <f ca="1">IFERROR(__xludf.DUMMYFUNCTION("""COMPUTED_VALUE"""),"2020-2021")</f>
        <v>2020-2021</v>
      </c>
      <c r="F410" s="113">
        <f ca="1">IFERROR(__xludf.DUMMYFUNCTION("""COMPUTED_VALUE"""),2697.78)</f>
        <v>2697.78</v>
      </c>
      <c r="G410" s="113">
        <f ca="1">IFERROR(__xludf.DUMMYFUNCTION("""COMPUTED_VALUE"""),2697.78)</f>
        <v>2697.78</v>
      </c>
      <c r="H410" s="113">
        <f ca="1">IFERROR(__xludf.DUMMYFUNCTION("""COMPUTED_VALUE"""),0)</f>
        <v>0</v>
      </c>
      <c r="I410" s="113">
        <f ca="1">IFERROR(__xludf.DUMMYFUNCTION("""COMPUTED_VALUE"""),0)</f>
        <v>0</v>
      </c>
      <c r="J410" s="111">
        <f ca="1">IFERROR(__xludf.DUMMYFUNCTION("""COMPUTED_VALUE"""),889.7)</f>
        <v>889.7</v>
      </c>
      <c r="K410" s="113">
        <f ca="1">IFERROR(__xludf.DUMMYFUNCTION("""COMPUTED_VALUE"""),1808.08)</f>
        <v>1808.08</v>
      </c>
      <c r="L410" s="114">
        <f ca="1">IFERROR(__xludf.DUMMYFUNCTION("""COMPUTED_VALUE"""),0.329789678921187)</f>
        <v>0.32978967892118699</v>
      </c>
      <c r="M410" s="111"/>
      <c r="N410" s="111"/>
      <c r="O410" s="111"/>
      <c r="P410" s="111"/>
      <c r="Q410" s="112"/>
      <c r="R410" s="103"/>
      <c r="S410" s="103"/>
      <c r="T410" s="103"/>
      <c r="U410" s="103"/>
      <c r="V410" s="103"/>
      <c r="W410" s="103"/>
      <c r="X410" s="103"/>
      <c r="Y410" s="103"/>
      <c r="Z410" s="103"/>
      <c r="AA410" s="103"/>
    </row>
    <row r="411" spans="1:27" ht="89.25" x14ac:dyDescent="0.2">
      <c r="A411" s="110">
        <v>162</v>
      </c>
      <c r="B411" s="111" t="str">
        <f ca="1">IFERROR(__xludf.DUMMYFUNCTION("""COMPUTED_VALUE"""),"МинЖКХ")</f>
        <v>МинЖКХ</v>
      </c>
      <c r="C411" s="111" t="str">
        <f ca="1">IFERROR(__xludf.DUMMYFUNCTION("""COMPUTED_VALUE"""),"МОС АВС")</f>
        <v>МОС АВС</v>
      </c>
      <c r="D411" s="111"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f>
        <v>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v>
      </c>
      <c r="E411" s="111">
        <f ca="1">IFERROR(__xludf.DUMMYFUNCTION("""COMPUTED_VALUE"""),2020)</f>
        <v>2020</v>
      </c>
      <c r="F411" s="113">
        <f ca="1">IFERROR(__xludf.DUMMYFUNCTION("""COMPUTED_VALUE"""),5800)</f>
        <v>5800</v>
      </c>
      <c r="G411" s="113">
        <f ca="1">IFERROR(__xludf.DUMMYFUNCTION("""COMPUTED_VALUE"""),5800)</f>
        <v>5800</v>
      </c>
      <c r="H411" s="113">
        <f ca="1">IFERROR(__xludf.DUMMYFUNCTION("""COMPUTED_VALUE"""),0)</f>
        <v>0</v>
      </c>
      <c r="I411" s="113">
        <f ca="1">IFERROR(__xludf.DUMMYFUNCTION("""COMPUTED_VALUE"""),0)</f>
        <v>0</v>
      </c>
      <c r="J411" s="111">
        <f ca="1">IFERROR(__xludf.DUMMYFUNCTION("""COMPUTED_VALUE"""),0)</f>
        <v>0</v>
      </c>
      <c r="K411" s="113">
        <f ca="1">IFERROR(__xludf.DUMMYFUNCTION("""COMPUTED_VALUE"""),5800)</f>
        <v>5800</v>
      </c>
      <c r="L411" s="114">
        <f ca="1">IFERROR(__xludf.DUMMYFUNCTION("""COMPUTED_VALUE"""),0)</f>
        <v>0</v>
      </c>
      <c r="M411" s="111"/>
      <c r="N411" s="111"/>
      <c r="O411" s="111"/>
      <c r="P411" s="111"/>
      <c r="Q411" s="112"/>
      <c r="R411" s="103"/>
      <c r="S411" s="103"/>
      <c r="T411" s="103"/>
      <c r="U411" s="103"/>
      <c r="V411" s="103"/>
      <c r="W411" s="103"/>
      <c r="X411" s="103"/>
      <c r="Y411" s="103"/>
      <c r="Z411" s="103"/>
      <c r="AA411" s="103"/>
    </row>
    <row r="412" spans="1:27" ht="114.75" x14ac:dyDescent="0.2">
      <c r="A412" s="110">
        <v>163</v>
      </c>
      <c r="B412" s="111" t="str">
        <f ca="1">IFERROR(__xludf.DUMMYFUNCTION("""COMPUTED_VALUE"""),"МинЖКХ")</f>
        <v>МинЖКХ</v>
      </c>
      <c r="C412" s="111" t="str">
        <f ca="1">IFERROR(__xludf.DUMMYFUNCTION("""COMPUTED_VALUE"""),"МОС АВС")</f>
        <v>МОС АВС</v>
      </c>
      <c r="D412" s="111"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f>
        <v xml:space="preserv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v>
      </c>
      <c r="E412" s="111">
        <f ca="1">IFERROR(__xludf.DUMMYFUNCTION("""COMPUTED_VALUE"""),2020)</f>
        <v>2020</v>
      </c>
      <c r="F412" s="113">
        <f ca="1">IFERROR(__xludf.DUMMYFUNCTION("""COMPUTED_VALUE"""),7211.71)</f>
        <v>7211.71</v>
      </c>
      <c r="G412" s="113">
        <f ca="1">IFERROR(__xludf.DUMMYFUNCTION("""COMPUTED_VALUE"""),7211.71)</f>
        <v>7211.71</v>
      </c>
      <c r="H412" s="113">
        <f ca="1">IFERROR(__xludf.DUMMYFUNCTION("""COMPUTED_VALUE"""),0)</f>
        <v>0</v>
      </c>
      <c r="I412" s="113">
        <f ca="1">IFERROR(__xludf.DUMMYFUNCTION("""COMPUTED_VALUE"""),0)</f>
        <v>0</v>
      </c>
      <c r="J412" s="111">
        <f ca="1">IFERROR(__xludf.DUMMYFUNCTION("""COMPUTED_VALUE"""),0)</f>
        <v>0</v>
      </c>
      <c r="K412" s="113">
        <f ca="1">IFERROR(__xludf.DUMMYFUNCTION("""COMPUTED_VALUE"""),7211.71)</f>
        <v>7211.71</v>
      </c>
      <c r="L412" s="114">
        <f ca="1">IFERROR(__xludf.DUMMYFUNCTION("""COMPUTED_VALUE"""),0)</f>
        <v>0</v>
      </c>
      <c r="M412" s="111"/>
      <c r="N412" s="111"/>
      <c r="O412" s="111"/>
      <c r="P412" s="111"/>
      <c r="Q412" s="112"/>
      <c r="R412" s="103"/>
      <c r="S412" s="103"/>
      <c r="T412" s="103"/>
      <c r="U412" s="103"/>
      <c r="V412" s="103"/>
      <c r="W412" s="103"/>
      <c r="X412" s="103"/>
      <c r="Y412" s="103"/>
      <c r="Z412" s="103"/>
      <c r="AA412" s="103"/>
    </row>
    <row r="413" spans="1:27" ht="76.5" x14ac:dyDescent="0.2">
      <c r="A413" s="110">
        <v>164</v>
      </c>
      <c r="B413" s="111" t="str">
        <f ca="1">IFERROR(__xludf.DUMMYFUNCTION("""COMPUTED_VALUE"""),"МинЖКХ")</f>
        <v>МинЖКХ</v>
      </c>
      <c r="C413" s="111" t="str">
        <f ca="1">IFERROR(__xludf.DUMMYFUNCTION("""COMPUTED_VALUE"""),"МОС АВС")</f>
        <v>МОС АВС</v>
      </c>
      <c r="D413" s="111" t="str">
        <f ca="1">IFERROR(__xludf.DUMMYFUNCTION("""COMPUTED_VALUE"""),"Строительство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f>
        <v>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v>
      </c>
      <c r="E413" s="111" t="str">
        <f ca="1">IFERROR(__xludf.DUMMYFUNCTION("""COMPUTED_VALUE"""),"2020-2021")</f>
        <v>2020-2021</v>
      </c>
      <c r="F413" s="113">
        <f ca="1">IFERROR(__xludf.DUMMYFUNCTION("""COMPUTED_VALUE"""),23141.28)</f>
        <v>23141.279999999999</v>
      </c>
      <c r="G413" s="113">
        <f ca="1">IFERROR(__xludf.DUMMYFUNCTION("""COMPUTED_VALUE"""),23141.28)</f>
        <v>23141.279999999999</v>
      </c>
      <c r="H413" s="113">
        <f ca="1">IFERROR(__xludf.DUMMYFUNCTION("""COMPUTED_VALUE"""),0)</f>
        <v>0</v>
      </c>
      <c r="I413" s="113">
        <f ca="1">IFERROR(__xludf.DUMMYFUNCTION("""COMPUTED_VALUE"""),0)</f>
        <v>0</v>
      </c>
      <c r="J413" s="111">
        <f ca="1">IFERROR(__xludf.DUMMYFUNCTION("""COMPUTED_VALUE"""),15341.62)</f>
        <v>15341.62</v>
      </c>
      <c r="K413" s="113">
        <f ca="1">IFERROR(__xludf.DUMMYFUNCTION("""COMPUTED_VALUE"""),7799.65999999999)</f>
        <v>7799.6599999999899</v>
      </c>
      <c r="L413" s="114">
        <f ca="1">IFERROR(__xludf.DUMMYFUNCTION("""COMPUTED_VALUE"""),0.662954685306949)</f>
        <v>0.66295468530694901</v>
      </c>
      <c r="M413" s="111"/>
      <c r="N413" s="111"/>
      <c r="O413" s="111"/>
      <c r="P413" s="111"/>
      <c r="Q413" s="112"/>
      <c r="R413" s="103"/>
      <c r="S413" s="103"/>
      <c r="T413" s="103"/>
      <c r="U413" s="103"/>
      <c r="V413" s="103"/>
      <c r="W413" s="103"/>
      <c r="X413" s="103"/>
      <c r="Y413" s="103"/>
      <c r="Z413" s="103"/>
      <c r="AA413" s="103"/>
    </row>
    <row r="414" spans="1:27" ht="114.75" x14ac:dyDescent="0.2">
      <c r="A414" s="110">
        <v>165</v>
      </c>
      <c r="B414" s="111" t="str">
        <f ca="1">IFERROR(__xludf.DUMMYFUNCTION("""COMPUTED_VALUE"""),"МинЖКХ")</f>
        <v>МинЖКХ</v>
      </c>
      <c r="C414" s="111" t="str">
        <f ca="1">IFERROR(__xludf.DUMMYFUNCTION("""COMPUTED_VALUE"""),"МОС АВС")</f>
        <v>МОС АВС</v>
      </c>
      <c r="D414" s="111" t="str">
        <f ca="1">IFERROR(__xludf.DUMMYFUNCTION("""COMPUTED_VALUE"""),"Строительство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f>
        <v>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v>
      </c>
      <c r="E414" s="111" t="str">
        <f ca="1">IFERROR(__xludf.DUMMYFUNCTION("""COMPUTED_VALUE"""),"2020-2021")</f>
        <v>2020-2021</v>
      </c>
      <c r="F414" s="113">
        <f ca="1">IFERROR(__xludf.DUMMYFUNCTION("""COMPUTED_VALUE"""),61.36)</f>
        <v>61.36</v>
      </c>
      <c r="G414" s="113">
        <f ca="1">IFERROR(__xludf.DUMMYFUNCTION("""COMPUTED_VALUE"""),61.36)</f>
        <v>61.36</v>
      </c>
      <c r="H414" s="113">
        <f ca="1">IFERROR(__xludf.DUMMYFUNCTION("""COMPUTED_VALUE"""),0)</f>
        <v>0</v>
      </c>
      <c r="I414" s="113">
        <f ca="1">IFERROR(__xludf.DUMMYFUNCTION("""COMPUTED_VALUE"""),0)</f>
        <v>0</v>
      </c>
      <c r="J414" s="111">
        <f ca="1">IFERROR(__xludf.DUMMYFUNCTION("""COMPUTED_VALUE"""),0)</f>
        <v>0</v>
      </c>
      <c r="K414" s="113">
        <f ca="1">IFERROR(__xludf.DUMMYFUNCTION("""COMPUTED_VALUE"""),61.36)</f>
        <v>61.36</v>
      </c>
      <c r="L414" s="114">
        <f ca="1">IFERROR(__xludf.DUMMYFUNCTION("""COMPUTED_VALUE"""),0)</f>
        <v>0</v>
      </c>
      <c r="M414" s="111"/>
      <c r="N414" s="111"/>
      <c r="O414" s="111"/>
      <c r="P414" s="111"/>
      <c r="Q414" s="112"/>
      <c r="R414" s="103"/>
      <c r="S414" s="103"/>
      <c r="T414" s="103"/>
      <c r="U414" s="103"/>
      <c r="V414" s="103"/>
      <c r="W414" s="103"/>
      <c r="X414" s="103"/>
      <c r="Y414" s="103"/>
      <c r="Z414" s="103"/>
      <c r="AA414" s="103"/>
    </row>
    <row r="415" spans="1:27" ht="76.5" x14ac:dyDescent="0.2">
      <c r="A415" s="110">
        <v>166</v>
      </c>
      <c r="B415" s="111" t="str">
        <f ca="1">IFERROR(__xludf.DUMMYFUNCTION("""COMPUTED_VALUE"""),"МинЖКХ")</f>
        <v>МинЖКХ</v>
      </c>
      <c r="C415" s="111" t="str">
        <f ca="1">IFERROR(__xludf.DUMMYFUNCTION("""COMPUTED_VALUE"""),"МОС АВС")</f>
        <v>МОС АВС</v>
      </c>
      <c r="D415" s="111"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f>
        <v>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v>
      </c>
      <c r="E415" s="111" t="str">
        <f ca="1">IFERROR(__xludf.DUMMYFUNCTION("""COMPUTED_VALUE"""),"2020-2022")</f>
        <v>2020-2022</v>
      </c>
      <c r="F415" s="113">
        <f ca="1">IFERROR(__xludf.DUMMYFUNCTION("""COMPUTED_VALUE"""),2269.47)</f>
        <v>2269.4699999999998</v>
      </c>
      <c r="G415" s="113">
        <f ca="1">IFERROR(__xludf.DUMMYFUNCTION("""COMPUTED_VALUE"""),2269.47)</f>
        <v>2269.4699999999998</v>
      </c>
      <c r="H415" s="113">
        <f ca="1">IFERROR(__xludf.DUMMYFUNCTION("""COMPUTED_VALUE"""),0)</f>
        <v>0</v>
      </c>
      <c r="I415" s="113">
        <f ca="1">IFERROR(__xludf.DUMMYFUNCTION("""COMPUTED_VALUE"""),0)</f>
        <v>0</v>
      </c>
      <c r="J415" s="111">
        <f ca="1">IFERROR(__xludf.DUMMYFUNCTION("""COMPUTED_VALUE"""),0)</f>
        <v>0</v>
      </c>
      <c r="K415" s="113">
        <f ca="1">IFERROR(__xludf.DUMMYFUNCTION("""COMPUTED_VALUE"""),2269.47)</f>
        <v>2269.4699999999998</v>
      </c>
      <c r="L415" s="114">
        <f ca="1">IFERROR(__xludf.DUMMYFUNCTION("""COMPUTED_VALUE"""),0)</f>
        <v>0</v>
      </c>
      <c r="M415" s="111"/>
      <c r="N415" s="111"/>
      <c r="O415" s="111"/>
      <c r="P415" s="111"/>
      <c r="Q415" s="112"/>
      <c r="R415" s="103"/>
      <c r="S415" s="103"/>
      <c r="T415" s="103"/>
      <c r="U415" s="103"/>
      <c r="V415" s="103"/>
      <c r="W415" s="103"/>
      <c r="X415" s="103"/>
      <c r="Y415" s="103"/>
      <c r="Z415" s="103"/>
      <c r="AA415" s="103"/>
    </row>
    <row r="416" spans="1:27" ht="51" x14ac:dyDescent="0.2">
      <c r="A416" s="111"/>
      <c r="B416" s="111" t="str">
        <f ca="1">IFERROR(__xludf.DUMMYFUNCTION("""COMPUTED_VALUE"""),"МинЖКХ")</f>
        <v>МинЖКХ</v>
      </c>
      <c r="C416" s="111" t="str">
        <f ca="1">IFERROR(__xludf.DUMMYFUNCTION("""COMPUTED_VALUE"""),"г.о. Дмитровский")</f>
        <v>г.о. Дмитровский</v>
      </c>
      <c r="D416" s="111" t="str">
        <f ca="1">IFERROR(__xludf.DUMMYFUNCTION("""COMPUTED_VALUE"""),"Приобретение  объектов теплоснабжения на территории  г.п. Деденево, Дмитровский муниципальный район ")</f>
        <v xml:space="preserve">Приобретение  объектов теплоснабжения на территории  г.п. Деденево, Дмитровский муниципальный район </v>
      </c>
      <c r="E416" s="111">
        <f ca="1">IFERROR(__xludf.DUMMYFUNCTION("""COMPUTED_VALUE"""),2021)</f>
        <v>2021</v>
      </c>
      <c r="F416" s="113">
        <f ca="1">IFERROR(__xludf.DUMMYFUNCTION("""COMPUTED_VALUE"""),0)</f>
        <v>0</v>
      </c>
      <c r="G416" s="113">
        <f ca="1">IFERROR(__xludf.DUMMYFUNCTION("""COMPUTED_VALUE"""),0)</f>
        <v>0</v>
      </c>
      <c r="H416" s="113">
        <f ca="1">IFERROR(__xludf.DUMMYFUNCTION("""COMPUTED_VALUE"""),0)</f>
        <v>0</v>
      </c>
      <c r="I416" s="113">
        <f ca="1">IFERROR(__xludf.DUMMYFUNCTION("""COMPUTED_VALUE"""),0)</f>
        <v>0</v>
      </c>
      <c r="J416" s="111">
        <f ca="1">IFERROR(__xludf.DUMMYFUNCTION("""COMPUTED_VALUE"""),0)</f>
        <v>0</v>
      </c>
      <c r="K416" s="113">
        <f ca="1">IFERROR(__xludf.DUMMYFUNCTION("""COMPUTED_VALUE"""),0)</f>
        <v>0</v>
      </c>
      <c r="L416" s="114" t="str">
        <f ca="1">IFERROR(__xludf.DUMMYFUNCTION("""COMPUTED_VALUE"""),"#DIV/0!")</f>
        <v>#DIV/0!</v>
      </c>
      <c r="M416" s="111"/>
      <c r="N416" s="111"/>
      <c r="O416" s="111"/>
      <c r="P416" s="111"/>
      <c r="Q416" s="112"/>
      <c r="R416" s="103"/>
      <c r="S416" s="103"/>
      <c r="T416" s="103"/>
      <c r="U416" s="103"/>
      <c r="V416" s="103"/>
      <c r="W416" s="103"/>
      <c r="X416" s="103"/>
      <c r="Y416" s="103"/>
      <c r="Z416" s="103"/>
      <c r="AA416" s="103"/>
    </row>
    <row r="417" spans="1:27" ht="76.5" x14ac:dyDescent="0.2">
      <c r="A417" s="110">
        <v>167</v>
      </c>
      <c r="B417" s="111" t="str">
        <f ca="1">IFERROR(__xludf.DUMMYFUNCTION("""COMPUTED_VALUE"""),"МинЖКХ")</f>
        <v>МинЖКХ</v>
      </c>
      <c r="C417" s="111" t="str">
        <f ca="1">IFERROR(__xludf.DUMMYFUNCTION("""COMPUTED_VALUE"""),"МОС АВС")</f>
        <v>МОС АВС</v>
      </c>
      <c r="D417" s="111"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f>
        <v>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v>
      </c>
      <c r="E417" s="111" t="str">
        <f ca="1">IFERROR(__xludf.DUMMYFUNCTION("""COMPUTED_VALUE"""),"2020-2022")</f>
        <v>2020-2022</v>
      </c>
      <c r="F417" s="113">
        <f ca="1">IFERROR(__xludf.DUMMYFUNCTION("""COMPUTED_VALUE"""),182.5)</f>
        <v>182.5</v>
      </c>
      <c r="G417" s="113">
        <f ca="1">IFERROR(__xludf.DUMMYFUNCTION("""COMPUTED_VALUE"""),182.5)</f>
        <v>182.5</v>
      </c>
      <c r="H417" s="113">
        <f ca="1">IFERROR(__xludf.DUMMYFUNCTION("""COMPUTED_VALUE"""),0)</f>
        <v>0</v>
      </c>
      <c r="I417" s="113">
        <f ca="1">IFERROR(__xludf.DUMMYFUNCTION("""COMPUTED_VALUE"""),0)</f>
        <v>0</v>
      </c>
      <c r="J417" s="111">
        <f ca="1">IFERROR(__xludf.DUMMYFUNCTION("""COMPUTED_VALUE"""),0)</f>
        <v>0</v>
      </c>
      <c r="K417" s="113">
        <f ca="1">IFERROR(__xludf.DUMMYFUNCTION("""COMPUTED_VALUE"""),182.5)</f>
        <v>182.5</v>
      </c>
      <c r="L417" s="114">
        <f ca="1">IFERROR(__xludf.DUMMYFUNCTION("""COMPUTED_VALUE"""),0)</f>
        <v>0</v>
      </c>
      <c r="M417" s="111"/>
      <c r="N417" s="111"/>
      <c r="O417" s="111"/>
      <c r="P417" s="111"/>
      <c r="Q417" s="112"/>
      <c r="R417" s="103"/>
      <c r="S417" s="103"/>
      <c r="T417" s="103"/>
      <c r="U417" s="103"/>
      <c r="V417" s="103"/>
      <c r="W417" s="103"/>
      <c r="X417" s="103"/>
      <c r="Y417" s="103"/>
      <c r="Z417" s="103"/>
      <c r="AA417" s="103"/>
    </row>
    <row r="418" spans="1:27" ht="63.75" x14ac:dyDescent="0.2">
      <c r="A418" s="110">
        <v>168</v>
      </c>
      <c r="B418" s="111" t="str">
        <f ca="1">IFERROR(__xludf.DUMMYFUNCTION("""COMPUTED_VALUE"""),"МинЖКХ")</f>
        <v>МинЖКХ</v>
      </c>
      <c r="C418" s="111" t="str">
        <f ca="1">IFERROR(__xludf.DUMMYFUNCTION("""COMPUTED_VALUE"""),"МОС АВС")</f>
        <v>МОС АВС</v>
      </c>
      <c r="D418" s="111" t="str">
        <f ca="1">IFERROR(__xludf.DUMMYFUNCTION("""COMPUTED_VALUE"""),"Строительство блочно-модульной котельной для Клеменовская участковая больница ГБУЗ МО ""Егорьевская ЦРБ"" по адресу: д. Овчагино  (в том числе ПИР)")</f>
        <v>Строительство блочно-модульной котельной для Клеменовская участковая больница ГБУЗ МО "Егорьевская ЦРБ" по адресу: д. Овчагино  (в том числе ПИР)</v>
      </c>
      <c r="E418" s="111" t="str">
        <f ca="1">IFERROR(__xludf.DUMMYFUNCTION("""COMPUTED_VALUE"""),"2020-2021")</f>
        <v>2020-2021</v>
      </c>
      <c r="F418" s="113">
        <f ca="1">IFERROR(__xludf.DUMMYFUNCTION("""COMPUTED_VALUE"""),2578.68)</f>
        <v>2578.6799999999998</v>
      </c>
      <c r="G418" s="113">
        <f ca="1">IFERROR(__xludf.DUMMYFUNCTION("""COMPUTED_VALUE"""),2578.68)</f>
        <v>2578.6799999999998</v>
      </c>
      <c r="H418" s="113">
        <f ca="1">IFERROR(__xludf.DUMMYFUNCTION("""COMPUTED_VALUE"""),0)</f>
        <v>0</v>
      </c>
      <c r="I418" s="113">
        <f ca="1">IFERROR(__xludf.DUMMYFUNCTION("""COMPUTED_VALUE"""),0)</f>
        <v>0</v>
      </c>
      <c r="J418" s="111">
        <f ca="1">IFERROR(__xludf.DUMMYFUNCTION("""COMPUTED_VALUE"""),1566.29)</f>
        <v>1566.29</v>
      </c>
      <c r="K418" s="113">
        <f ca="1">IFERROR(__xludf.DUMMYFUNCTION("""COMPUTED_VALUE"""),1012.38999999999)</f>
        <v>1012.38999999999</v>
      </c>
      <c r="L418" s="114">
        <f ca="1">IFERROR(__xludf.DUMMYFUNCTION("""COMPUTED_VALUE"""),0.607399910031489)</f>
        <v>0.60739991003148897</v>
      </c>
      <c r="M418" s="111"/>
      <c r="N418" s="111"/>
      <c r="O418" s="111"/>
      <c r="P418" s="111"/>
      <c r="Q418" s="112"/>
      <c r="R418" s="103"/>
      <c r="S418" s="103"/>
      <c r="T418" s="103"/>
      <c r="U418" s="103"/>
      <c r="V418" s="103"/>
      <c r="W418" s="103"/>
      <c r="X418" s="103"/>
      <c r="Y418" s="103"/>
      <c r="Z418" s="103"/>
      <c r="AA418" s="103"/>
    </row>
    <row r="419" spans="1:27" ht="114.75" x14ac:dyDescent="0.2">
      <c r="A419" s="110">
        <v>169</v>
      </c>
      <c r="B419" s="111" t="str">
        <f ca="1">IFERROR(__xludf.DUMMYFUNCTION("""COMPUTED_VALUE"""),"МинЖКХ")</f>
        <v>МинЖКХ</v>
      </c>
      <c r="C419" s="111" t="str">
        <f ca="1">IFERROR(__xludf.DUMMYFUNCTION("""COMPUTED_VALUE"""),"МОС АВС")</f>
        <v>МОС АВС</v>
      </c>
      <c r="D419" s="111" t="str">
        <f ca="1">IFERROR(__xludf.DUMMYFUNCTION("""COMPUTED_VALUE"""),"Строительство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f>
        <v>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v>
      </c>
      <c r="E419" s="111" t="str">
        <f ca="1">IFERROR(__xludf.DUMMYFUNCTION("""COMPUTED_VALUE"""),"2020-2022")</f>
        <v>2020-2022</v>
      </c>
      <c r="F419" s="113">
        <f ca="1">IFERROR(__xludf.DUMMYFUNCTION("""COMPUTED_VALUE"""),804.6)</f>
        <v>804.6</v>
      </c>
      <c r="G419" s="113">
        <f ca="1">IFERROR(__xludf.DUMMYFUNCTION("""COMPUTED_VALUE"""),804.6)</f>
        <v>804.6</v>
      </c>
      <c r="H419" s="113">
        <f ca="1">IFERROR(__xludf.DUMMYFUNCTION("""COMPUTED_VALUE"""),0)</f>
        <v>0</v>
      </c>
      <c r="I419" s="113">
        <f ca="1">IFERROR(__xludf.DUMMYFUNCTION("""COMPUTED_VALUE"""),0)</f>
        <v>0</v>
      </c>
      <c r="J419" s="111">
        <f ca="1">IFERROR(__xludf.DUMMYFUNCTION("""COMPUTED_VALUE"""),0)</f>
        <v>0</v>
      </c>
      <c r="K419" s="113">
        <f ca="1">IFERROR(__xludf.DUMMYFUNCTION("""COMPUTED_VALUE"""),804.6)</f>
        <v>804.6</v>
      </c>
      <c r="L419" s="114">
        <f ca="1">IFERROR(__xludf.DUMMYFUNCTION("""COMPUTED_VALUE"""),0)</f>
        <v>0</v>
      </c>
      <c r="M419" s="111" t="str">
        <f ca="1">IFERROR(__xludf.DUMMYFUNCTION("""COMPUTED_VALUE"""),"ПИР до 25.12.2020")</f>
        <v>ПИР до 25.12.2020</v>
      </c>
      <c r="N419" s="111"/>
      <c r="O419" s="111"/>
      <c r="P419" s="111"/>
      <c r="Q419" s="112"/>
      <c r="R419" s="103"/>
      <c r="S419" s="103"/>
      <c r="T419" s="103"/>
      <c r="U419" s="103"/>
      <c r="V419" s="103"/>
      <c r="W419" s="103"/>
      <c r="X419" s="103"/>
      <c r="Y419" s="103"/>
      <c r="Z419" s="103"/>
      <c r="AA419" s="103"/>
    </row>
    <row r="420" spans="1:27" ht="51" x14ac:dyDescent="0.2">
      <c r="A420" s="110">
        <v>170</v>
      </c>
      <c r="B420" s="113" t="str">
        <f ca="1">IFERROR(__xludf.DUMMYFUNCTION("""COMPUTED_VALUE"""),"Минобр")</f>
        <v>Минобр</v>
      </c>
      <c r="C420" s="111" t="str">
        <f ca="1">IFERROR(__xludf.DUMMYFUNCTION("""COMPUTED_VALUE"""),"г.о. Ступино")</f>
        <v>г.о. Ступино</v>
      </c>
      <c r="D420" s="111" t="str">
        <f ca="1">IFERROR(__xludf.DUMMYFUNCTION("""COMPUTED_VALUE"""),"Капитальный ремонт МБОУ «Мещеринская СОШ № 1», пос. Мещерино-1, г.о. Ступино,  военный городок № 1, в/ч 03770")</f>
        <v>Капитальный ремонт МБОУ «Мещеринская СОШ № 1», пос. Мещерино-1, г.о. Ступино,  военный городок № 1, в/ч 03770</v>
      </c>
      <c r="E420" s="111">
        <f ca="1">IFERROR(__xludf.DUMMYFUNCTION("""COMPUTED_VALUE"""),2020)</f>
        <v>2020</v>
      </c>
      <c r="F420" s="113">
        <f ca="1">IFERROR(__xludf.DUMMYFUNCTION("""COMPUTED_VALUE"""),48708)</f>
        <v>48708</v>
      </c>
      <c r="G420" s="113">
        <f ca="1">IFERROR(__xludf.DUMMYFUNCTION("""COMPUTED_VALUE"""),48708)</f>
        <v>48708</v>
      </c>
      <c r="H420" s="111"/>
      <c r="I420" s="113">
        <f ca="1">IFERROR(__xludf.DUMMYFUNCTION("""COMPUTED_VALUE"""),0)</f>
        <v>0</v>
      </c>
      <c r="J420" s="111">
        <f ca="1">IFERROR(__xludf.DUMMYFUNCTION("""COMPUTED_VALUE"""),33193.68)</f>
        <v>33193.68</v>
      </c>
      <c r="K420" s="113">
        <f ca="1">IFERROR(__xludf.DUMMYFUNCTION("""COMPUTED_VALUE"""),15514.32)</f>
        <v>15514.32</v>
      </c>
      <c r="L420" s="114">
        <f ca="1">IFERROR(__xludf.DUMMYFUNCTION("""COMPUTED_VALUE"""),0.681483123922148)</f>
        <v>0.68148312392214805</v>
      </c>
      <c r="M420" s="111"/>
      <c r="N420" s="111"/>
      <c r="O420" s="111"/>
      <c r="P420" s="111"/>
      <c r="Q420" s="112"/>
      <c r="R420" s="103"/>
      <c r="S420" s="103"/>
      <c r="T420" s="103"/>
      <c r="U420" s="103"/>
      <c r="V420" s="103"/>
      <c r="W420" s="103"/>
      <c r="X420" s="103"/>
      <c r="Y420" s="103"/>
      <c r="Z420" s="103"/>
      <c r="AA420" s="103"/>
    </row>
    <row r="421" spans="1:27" ht="127.5" x14ac:dyDescent="0.2">
      <c r="A421" s="116">
        <v>171</v>
      </c>
      <c r="B421" s="118" t="str">
        <f ca="1">IFERROR(__xludf.DUMMYFUNCTION("""COMPUTED_VALUE"""),"МинЖКХ ")</f>
        <v xml:space="preserve">МинЖКХ </v>
      </c>
      <c r="C421" s="117" t="str">
        <f ca="1">IFERROR(__xludf.DUMMYFUNCTION("""COMPUTED_VALUE"""),"г.о. Балашиха")</f>
        <v>г.о. Балашиха</v>
      </c>
      <c r="D421" s="117" t="str">
        <f ca="1">IFERROR(__xludf.DUMMYFUNCTION("""COMPUTED_VALUE"""),"Капитальный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облас"&amp;"ти – 3 662,00 тыс.руб.)")</f>
        <v>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области – 3 662,00 тыс.руб.)</v>
      </c>
      <c r="E421" s="117" t="str">
        <f ca="1">IFERROR(__xludf.DUMMYFUNCTION("""COMPUTED_VALUE"""),"2019-2020")</f>
        <v>2019-2020</v>
      </c>
      <c r="F421" s="118">
        <f ca="1">IFERROR(__xludf.DUMMYFUNCTION("""COMPUTED_VALUE"""),82579.31)</f>
        <v>82579.31</v>
      </c>
      <c r="G421" s="118">
        <f ca="1">IFERROR(__xludf.DUMMYFUNCTION("""COMPUTED_VALUE"""),82579.31)</f>
        <v>82579.31</v>
      </c>
      <c r="H421" s="117"/>
      <c r="I421" s="118">
        <f ca="1">IFERROR(__xludf.DUMMYFUNCTION("""COMPUTED_VALUE"""),0)</f>
        <v>0</v>
      </c>
      <c r="J421" s="117">
        <f ca="1">IFERROR(__xludf.DUMMYFUNCTION("""COMPUTED_VALUE"""),82579.25)</f>
        <v>82579.25</v>
      </c>
      <c r="K421" s="118">
        <f ca="1">IFERROR(__xludf.DUMMYFUNCTION("""COMPUTED_VALUE"""),0.0599999999976716)</f>
        <v>5.9999999997671603E-2</v>
      </c>
      <c r="L421" s="119">
        <f ca="1">IFERROR(__xludf.DUMMYFUNCTION("""COMPUTED_VALUE"""),0.999999273425752)</f>
        <v>0.99999927342575201</v>
      </c>
      <c r="M421" s="117"/>
      <c r="N421" s="111"/>
      <c r="O421" s="111"/>
      <c r="P421" s="111"/>
      <c r="Q421" s="115">
        <v>44154</v>
      </c>
      <c r="R421" s="103"/>
      <c r="S421" s="103"/>
      <c r="T421" s="103"/>
      <c r="U421" s="103"/>
      <c r="V421" s="103"/>
      <c r="W421" s="103"/>
      <c r="X421" s="103"/>
      <c r="Y421" s="103"/>
      <c r="Z421" s="103"/>
      <c r="AA421" s="103"/>
    </row>
    <row r="422" spans="1:27" ht="140.25" x14ac:dyDescent="0.2">
      <c r="A422" s="116">
        <v>172</v>
      </c>
      <c r="B422" s="118" t="str">
        <f ca="1">IFERROR(__xludf.DUMMYFUNCTION("""COMPUTED_VALUE"""),"МинЖКХ ")</f>
        <v xml:space="preserve">МинЖКХ </v>
      </c>
      <c r="C422" s="117" t="str">
        <f ca="1">IFERROR(__xludf.DUMMYFUNCTION("""COMPUTED_VALUE"""),"г.о. Балашиха")</f>
        <v>г.о. Балашиха</v>
      </c>
      <c r="D422" s="117" t="str">
        <f ca="1">IFERROR(__xludf.DUMMYFUNCTION("""COMPUTED_VALUE"""),"Капитальный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2"&amp;"22,0 тыс.руб.)
")</f>
        <v xml:space="preserv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222,0 тыс.руб.)
</v>
      </c>
      <c r="E422" s="117" t="str">
        <f ca="1">IFERROR(__xludf.DUMMYFUNCTION("""COMPUTED_VALUE"""),"2019-2020")</f>
        <v>2019-2020</v>
      </c>
      <c r="F422" s="118">
        <f ca="1">IFERROR(__xludf.DUMMYFUNCTION("""COMPUTED_VALUE"""),197225.69)</f>
        <v>197225.69</v>
      </c>
      <c r="G422" s="118">
        <f ca="1">IFERROR(__xludf.DUMMYFUNCTION("""COMPUTED_VALUE"""),197225.69)</f>
        <v>197225.69</v>
      </c>
      <c r="H422" s="117"/>
      <c r="I422" s="118">
        <f ca="1">IFERROR(__xludf.DUMMYFUNCTION("""COMPUTED_VALUE"""),0)</f>
        <v>0</v>
      </c>
      <c r="J422" s="117">
        <f ca="1">IFERROR(__xludf.DUMMYFUNCTION("""COMPUTED_VALUE"""),172120.6)</f>
        <v>172120.6</v>
      </c>
      <c r="K422" s="118">
        <f ca="1">IFERROR(__xludf.DUMMYFUNCTION("""COMPUTED_VALUE"""),25105.0899999999)</f>
        <v>25105.089999999898</v>
      </c>
      <c r="L422" s="119">
        <f ca="1">IFERROR(__xludf.DUMMYFUNCTION("""COMPUTED_VALUE"""),0.872708824088788)</f>
        <v>0.87270882408878803</v>
      </c>
      <c r="M422" s="117"/>
      <c r="N422" s="111"/>
      <c r="O422" s="111"/>
      <c r="P422" s="111"/>
      <c r="Q422" s="115">
        <v>44154</v>
      </c>
      <c r="R422" s="103"/>
      <c r="S422" s="103"/>
      <c r="T422" s="103"/>
      <c r="U422" s="103"/>
      <c r="V422" s="103"/>
      <c r="W422" s="103"/>
      <c r="X422" s="103"/>
      <c r="Y422" s="103"/>
      <c r="Z422" s="103"/>
      <c r="AA422" s="103"/>
    </row>
    <row r="423" spans="1:27" ht="102" x14ac:dyDescent="0.2">
      <c r="A423" s="110">
        <v>173</v>
      </c>
      <c r="B423" s="113" t="str">
        <f ca="1">IFERROR(__xludf.DUMMYFUNCTION("""COMPUTED_VALUE"""),"Минкульт")</f>
        <v>Минкульт</v>
      </c>
      <c r="C423" s="111" t="str">
        <f ca="1">IFERROR(__xludf.DUMMYFUNCTION("""COMPUTED_VALUE"""),"г.о. Балашиха")</f>
        <v>г.о. Балашиха</v>
      </c>
      <c r="D423" s="111" t="str">
        <f ca="1">IFERROR(__xludf.DUMMYFUNCTION("""COMPUTED_VALUE"""),"Капитальный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f>
        <v>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v>
      </c>
      <c r="E423" s="111" t="str">
        <f ca="1">IFERROR(__xludf.DUMMYFUNCTION("""COMPUTED_VALUE"""),"2018-2020")</f>
        <v>2018-2020</v>
      </c>
      <c r="F423" s="113">
        <f ca="1">IFERROR(__xludf.DUMMYFUNCTION("""COMPUTED_VALUE"""),67408)</f>
        <v>67408</v>
      </c>
      <c r="G423" s="113">
        <f ca="1">IFERROR(__xludf.DUMMYFUNCTION("""COMPUTED_VALUE"""),67408)</f>
        <v>67408</v>
      </c>
      <c r="H423" s="111"/>
      <c r="I423" s="113">
        <f ca="1">IFERROR(__xludf.DUMMYFUNCTION("""COMPUTED_VALUE"""),0)</f>
        <v>0</v>
      </c>
      <c r="J423" s="111">
        <f ca="1">IFERROR(__xludf.DUMMYFUNCTION("""COMPUTED_VALUE"""),0)</f>
        <v>0</v>
      </c>
      <c r="K423" s="113">
        <f ca="1">IFERROR(__xludf.DUMMYFUNCTION("""COMPUTED_VALUE"""),67408)</f>
        <v>67408</v>
      </c>
      <c r="L423" s="114">
        <f ca="1">IFERROR(__xludf.DUMMYFUNCTION("""COMPUTED_VALUE"""),0)</f>
        <v>0</v>
      </c>
      <c r="M423" s="111"/>
      <c r="N423" s="111"/>
      <c r="O423" s="111"/>
      <c r="P423" s="111"/>
      <c r="Q423" s="112"/>
      <c r="R423" s="103"/>
      <c r="S423" s="103"/>
      <c r="T423" s="103"/>
      <c r="U423" s="103"/>
      <c r="V423" s="103"/>
      <c r="W423" s="103"/>
      <c r="X423" s="103"/>
      <c r="Y423" s="103"/>
      <c r="Z423" s="103"/>
      <c r="AA423" s="103"/>
    </row>
    <row r="424" spans="1:27" ht="51" x14ac:dyDescent="0.2">
      <c r="A424" s="111"/>
      <c r="B424" s="113" t="str">
        <f ca="1">IFERROR(__xludf.DUMMYFUNCTION("""COMPUTED_VALUE"""),"МинЖКХ ")</f>
        <v xml:space="preserve">МинЖКХ </v>
      </c>
      <c r="C424" s="111" t="str">
        <f ca="1">IFERROR(__xludf.DUMMYFUNCTION("""COMPUTED_VALUE"""),"г.о. Балашиха")</f>
        <v>г.о. Балашиха</v>
      </c>
      <c r="D424" s="111" t="str">
        <f ca="1">IFERROR(__xludf.DUMMYFUNCTION("""COMPUTED_VALUE"""),"Строительство газовой котельной 20МВт по адресу: городской округ Балашиха, мкр. Северный, в том числе:: ПИР")</f>
        <v>Строительство газовой котельной 20МВт по адресу: городской округ Балашиха, мкр. Северный, в том числе:: ПИР</v>
      </c>
      <c r="E424" s="113" t="str">
        <f ca="1">IFERROR(__xludf.DUMMYFUNCTION("""COMPUTED_VALUE"""),"2018, 2021, 2022")</f>
        <v>2018, 2021, 2022</v>
      </c>
      <c r="F424" s="113">
        <f ca="1">IFERROR(__xludf.DUMMYFUNCTION("""COMPUTED_VALUE"""),0)</f>
        <v>0</v>
      </c>
      <c r="G424" s="113">
        <f ca="1">IFERROR(__xludf.DUMMYFUNCTION("""COMPUTED_VALUE"""),0)</f>
        <v>0</v>
      </c>
      <c r="H424" s="111"/>
      <c r="I424" s="113">
        <f ca="1">IFERROR(__xludf.DUMMYFUNCTION("""COMPUTED_VALUE"""),0)</f>
        <v>0</v>
      </c>
      <c r="J424" s="111">
        <f ca="1">IFERROR(__xludf.DUMMYFUNCTION("""COMPUTED_VALUE"""),0)</f>
        <v>0</v>
      </c>
      <c r="K424" s="113">
        <f ca="1">IFERROR(__xludf.DUMMYFUNCTION("""COMPUTED_VALUE"""),0)</f>
        <v>0</v>
      </c>
      <c r="L424" s="114" t="str">
        <f ca="1">IFERROR(__xludf.DUMMYFUNCTION("""COMPUTED_VALUE"""),"#DIV/0!")</f>
        <v>#DIV/0!</v>
      </c>
      <c r="M424" s="111"/>
      <c r="N424" s="111"/>
      <c r="O424" s="111"/>
      <c r="P424" s="111"/>
      <c r="Q424" s="112"/>
      <c r="R424" s="103"/>
      <c r="S424" s="103"/>
      <c r="T424" s="103"/>
      <c r="U424" s="103"/>
      <c r="V424" s="103"/>
      <c r="W424" s="103"/>
      <c r="X424" s="103"/>
      <c r="Y424" s="103"/>
      <c r="Z424" s="103"/>
      <c r="AA424" s="103"/>
    </row>
    <row r="425" spans="1:27" ht="76.5" x14ac:dyDescent="0.2">
      <c r="A425" s="110">
        <v>174</v>
      </c>
      <c r="B425" s="113" t="str">
        <f ca="1">IFERROR(__xludf.DUMMYFUNCTION("""COMPUTED_VALUE"""),"МинЖКХ ")</f>
        <v xml:space="preserve">МинЖКХ </v>
      </c>
      <c r="C425" s="111" t="str">
        <f ca="1">IFERROR(__xludf.DUMMYFUNCTION("""COMPUTED_VALUE"""),"г.о. Богородский")</f>
        <v>г.о. Богородский</v>
      </c>
      <c r="D425" s="111" t="str">
        <f ca="1">IFERROR(__xludf.DUMMYFUNCTION("""COMPUTED_VALUE"""),"Реконструкция котельной № 123 по адресу: Ногинский муниципальный район, с.п. Мамонтовское, военный городок Ногинск-9, в том числе:проектно-изыскательские работы")</f>
        <v>Реконструкция котельной № 123 по адресу: Ногинский муниципальный район, с.п. Мамонтовское, военный городок Ногинск-9, в том числе:проектно-изыскательские работы</v>
      </c>
      <c r="E425" s="111" t="str">
        <f ca="1">IFERROR(__xludf.DUMMYFUNCTION("""COMPUTED_VALUE"""),"2018-2020")</f>
        <v>2018-2020</v>
      </c>
      <c r="F425" s="113">
        <f ca="1">IFERROR(__xludf.DUMMYFUNCTION("""COMPUTED_VALUE"""),194312.65)</f>
        <v>194312.65</v>
      </c>
      <c r="G425" s="113">
        <f ca="1">IFERROR(__xludf.DUMMYFUNCTION("""COMPUTED_VALUE"""),12150.65)</f>
        <v>12150.65</v>
      </c>
      <c r="H425" s="111"/>
      <c r="I425" s="113">
        <f ca="1">IFERROR(__xludf.DUMMYFUNCTION("""COMPUTED_VALUE"""),182162)</f>
        <v>182162</v>
      </c>
      <c r="J425" s="111">
        <f ca="1">IFERROR(__xludf.DUMMYFUNCTION("""COMPUTED_VALUE"""),193864.79)</f>
        <v>193864.79</v>
      </c>
      <c r="K425" s="113">
        <f ca="1">IFERROR(__xludf.DUMMYFUNCTION("""COMPUTED_VALUE"""),447.859999999998)</f>
        <v>447.85999999999802</v>
      </c>
      <c r="L425" s="114">
        <f ca="1">IFERROR(__xludf.DUMMYFUNCTION("""COMPUTED_VALUE"""),0.997695157777941)</f>
        <v>0.99769515777794104</v>
      </c>
      <c r="M425" s="111"/>
      <c r="N425" s="111"/>
      <c r="O425" s="111"/>
      <c r="P425" s="111"/>
      <c r="Q425" s="112"/>
      <c r="R425" s="103"/>
      <c r="S425" s="103"/>
      <c r="T425" s="103"/>
      <c r="U425" s="103"/>
      <c r="V425" s="103"/>
      <c r="W425" s="103"/>
      <c r="X425" s="103"/>
      <c r="Y425" s="103"/>
      <c r="Z425" s="103"/>
      <c r="AA425" s="103"/>
    </row>
    <row r="426" spans="1:27" ht="63.75" x14ac:dyDescent="0.2">
      <c r="A426" s="111"/>
      <c r="B426" s="113" t="str">
        <f ca="1">IFERROR(__xludf.DUMMYFUNCTION("""COMPUTED_VALUE"""),"МинЖКХ ")</f>
        <v xml:space="preserve">МинЖКХ </v>
      </c>
      <c r="C426" s="111" t="str">
        <f ca="1">IFERROR(__xludf.DUMMYFUNCTION("""COMPUTED_VALUE"""),"г.о. Богородский")</f>
        <v>г.о. Богородский</v>
      </c>
      <c r="D426" s="111" t="str">
        <f ca="1">IFERROR(__xludf.DUMMYFUNCTION("""COMPUTED_VALUE"""),"Капитальный ремонт наружных тепловых сетей и ГВС в в/г Ногинск-9 Богородского городского округа Московской области")</f>
        <v>Капитальный ремонт наружных тепловых сетей и ГВС в в/г Ногинск-9 Богородского городского округа Московской области</v>
      </c>
      <c r="E426" s="111">
        <f ca="1">IFERROR(__xludf.DUMMYFUNCTION("""COMPUTED_VALUE"""),2021)</f>
        <v>2021</v>
      </c>
      <c r="F426" s="113">
        <f ca="1">IFERROR(__xludf.DUMMYFUNCTION("""COMPUTED_VALUE"""),0)</f>
        <v>0</v>
      </c>
      <c r="G426" s="113">
        <f ca="1">IFERROR(__xludf.DUMMYFUNCTION("""COMPUTED_VALUE"""),0)</f>
        <v>0</v>
      </c>
      <c r="H426" s="111"/>
      <c r="I426" s="113">
        <f ca="1">IFERROR(__xludf.DUMMYFUNCTION("""COMPUTED_VALUE"""),0)</f>
        <v>0</v>
      </c>
      <c r="J426" s="111">
        <f ca="1">IFERROR(__xludf.DUMMYFUNCTION("""COMPUTED_VALUE"""),0)</f>
        <v>0</v>
      </c>
      <c r="K426" s="113">
        <f ca="1">IFERROR(__xludf.DUMMYFUNCTION("""COMPUTED_VALUE"""),0)</f>
        <v>0</v>
      </c>
      <c r="L426" s="114" t="str">
        <f ca="1">IFERROR(__xludf.DUMMYFUNCTION("""COMPUTED_VALUE"""),"#DIV/0!")</f>
        <v>#DIV/0!</v>
      </c>
      <c r="M426" s="111"/>
      <c r="N426" s="111"/>
      <c r="O426" s="111"/>
      <c r="P426" s="111"/>
      <c r="Q426" s="112"/>
      <c r="R426" s="103"/>
      <c r="S426" s="103"/>
      <c r="T426" s="103"/>
      <c r="U426" s="103"/>
      <c r="V426" s="103"/>
      <c r="W426" s="103"/>
      <c r="X426" s="103"/>
      <c r="Y426" s="103"/>
      <c r="Z426" s="103"/>
      <c r="AA426" s="103"/>
    </row>
    <row r="427" spans="1:27" ht="63.75" x14ac:dyDescent="0.2">
      <c r="A427" s="111"/>
      <c r="B427" s="113" t="str">
        <f ca="1">IFERROR(__xludf.DUMMYFUNCTION("""COMPUTED_VALUE"""),"МинЖКХ ")</f>
        <v xml:space="preserve">МинЖКХ </v>
      </c>
      <c r="C427" s="111" t="str">
        <f ca="1">IFERROR(__xludf.DUMMYFUNCTION("""COMPUTED_VALUE"""),"г.о. Богородский")</f>
        <v>г.о. Богородский</v>
      </c>
      <c r="D427" s="111" t="str">
        <f ca="1">IFERROR(__xludf.DUMMYFUNCTION("""COMPUTED_VALUE"""),"Капитальный ремонт наружных водопроводных сетей в в/г Ногинск-9 Богородского городского округа Московской области")</f>
        <v>Капитальный ремонт наружных водопроводных сетей в в/г Ногинск-9 Богородского городского округа Московской области</v>
      </c>
      <c r="E427" s="111">
        <f ca="1">IFERROR(__xludf.DUMMYFUNCTION("""COMPUTED_VALUE"""),2021)</f>
        <v>2021</v>
      </c>
      <c r="F427" s="113">
        <f ca="1">IFERROR(__xludf.DUMMYFUNCTION("""COMPUTED_VALUE"""),0)</f>
        <v>0</v>
      </c>
      <c r="G427" s="113">
        <f ca="1">IFERROR(__xludf.DUMMYFUNCTION("""COMPUTED_VALUE"""),0)</f>
        <v>0</v>
      </c>
      <c r="H427" s="111"/>
      <c r="I427" s="113">
        <f ca="1">IFERROR(__xludf.DUMMYFUNCTION("""COMPUTED_VALUE"""),0)</f>
        <v>0</v>
      </c>
      <c r="J427" s="111">
        <f ca="1">IFERROR(__xludf.DUMMYFUNCTION("""COMPUTED_VALUE"""),0)</f>
        <v>0</v>
      </c>
      <c r="K427" s="113">
        <f ca="1">IFERROR(__xludf.DUMMYFUNCTION("""COMPUTED_VALUE"""),0)</f>
        <v>0</v>
      </c>
      <c r="L427" s="114" t="str">
        <f ca="1">IFERROR(__xludf.DUMMYFUNCTION("""COMPUTED_VALUE"""),"#DIV/0!")</f>
        <v>#DIV/0!</v>
      </c>
      <c r="M427" s="111"/>
      <c r="N427" s="111"/>
      <c r="O427" s="111"/>
      <c r="P427" s="111"/>
      <c r="Q427" s="112"/>
      <c r="R427" s="103"/>
      <c r="S427" s="103"/>
      <c r="T427" s="103"/>
      <c r="U427" s="103"/>
      <c r="V427" s="103"/>
      <c r="W427" s="103"/>
      <c r="X427" s="103"/>
      <c r="Y427" s="103"/>
      <c r="Z427" s="103"/>
      <c r="AA427" s="103"/>
    </row>
    <row r="428" spans="1:27" ht="63.75" x14ac:dyDescent="0.2">
      <c r="A428" s="111"/>
      <c r="B428" s="113" t="str">
        <f ca="1">IFERROR(__xludf.DUMMYFUNCTION("""COMPUTED_VALUE"""),"МинЖКХ ")</f>
        <v xml:space="preserve">МинЖКХ </v>
      </c>
      <c r="C428" s="111" t="str">
        <f ca="1">IFERROR(__xludf.DUMMYFUNCTION("""COMPUTED_VALUE"""),"г.о. Электросталь")</f>
        <v>г.о. Электросталь</v>
      </c>
      <c r="D428" s="111" t="str">
        <f ca="1">IFERROR(__xludf.DUMMYFUNCTION("""COMPUTED_VALUE"""),"Капитальный ремонт наружных сетей канализации сельское поселение Степановское, село Всеволодово военный городок Ногинск-5")</f>
        <v>Капитальный ремонт наружных сетей канализации сельское поселение Степановское, село Всеволодово военный городок Ногинск-5</v>
      </c>
      <c r="E428" s="111">
        <f ca="1">IFERROR(__xludf.DUMMYFUNCTION("""COMPUTED_VALUE"""),2019)</f>
        <v>2019</v>
      </c>
      <c r="F428" s="113">
        <f ca="1">IFERROR(__xludf.DUMMYFUNCTION("""COMPUTED_VALUE"""),0)</f>
        <v>0</v>
      </c>
      <c r="G428" s="113">
        <f ca="1">IFERROR(__xludf.DUMMYFUNCTION("""COMPUTED_VALUE"""),0)</f>
        <v>0</v>
      </c>
      <c r="H428" s="111"/>
      <c r="I428" s="113">
        <f ca="1">IFERROR(__xludf.DUMMYFUNCTION("""COMPUTED_VALUE"""),0)</f>
        <v>0</v>
      </c>
      <c r="J428" s="111">
        <f ca="1">IFERROR(__xludf.DUMMYFUNCTION("""COMPUTED_VALUE"""),0)</f>
        <v>0</v>
      </c>
      <c r="K428" s="113">
        <f ca="1">IFERROR(__xludf.DUMMYFUNCTION("""COMPUTED_VALUE"""),0)</f>
        <v>0</v>
      </c>
      <c r="L428" s="114" t="str">
        <f ca="1">IFERROR(__xludf.DUMMYFUNCTION("""COMPUTED_VALUE"""),"#DIV/0!")</f>
        <v>#DIV/0!</v>
      </c>
      <c r="M428" s="111"/>
      <c r="N428" s="111"/>
      <c r="O428" s="111"/>
      <c r="P428" s="111"/>
      <c r="Q428" s="112"/>
      <c r="R428" s="103"/>
      <c r="S428" s="103"/>
      <c r="T428" s="103"/>
      <c r="U428" s="103"/>
      <c r="V428" s="103"/>
      <c r="W428" s="103"/>
      <c r="X428" s="103"/>
      <c r="Y428" s="103"/>
      <c r="Z428" s="103"/>
      <c r="AA428" s="103"/>
    </row>
    <row r="429" spans="1:27" ht="63.75" x14ac:dyDescent="0.2">
      <c r="A429" s="111"/>
      <c r="B429" s="113" t="str">
        <f ca="1">IFERROR(__xludf.DUMMYFUNCTION("""COMPUTED_VALUE"""),"МинЖКХ ")</f>
        <v xml:space="preserve">МинЖКХ </v>
      </c>
      <c r="C429" s="111" t="str">
        <f ca="1">IFERROR(__xludf.DUMMYFUNCTION("""COMPUTED_VALUE"""),"ЗАТО Власиха")</f>
        <v>ЗАТО Власиха</v>
      </c>
      <c r="D429" s="111" t="str">
        <f ca="1">IFERROR(__xludf.DUMMYFUNCTION("""COMPUTED_VALUE"""),"Реконструкция тепловой сети в подземном исполнении по адресу: Московская область, городской округ Власиха, п. Власиха, ул. Цветной бульвар")</f>
        <v>Реконструкция тепловой сети в подземном исполнении по адресу: Московская область, городской округ Власиха, п. Власиха, ул. Цветной бульвар</v>
      </c>
      <c r="E429" s="113" t="str">
        <f ca="1">IFERROR(__xludf.DUMMYFUNCTION("""COMPUTED_VALUE"""),"2021-2022")</f>
        <v>2021-2022</v>
      </c>
      <c r="F429" s="113">
        <f ca="1">IFERROR(__xludf.DUMMYFUNCTION("""COMPUTED_VALUE"""),0)</f>
        <v>0</v>
      </c>
      <c r="G429" s="113">
        <f ca="1">IFERROR(__xludf.DUMMYFUNCTION("""COMPUTED_VALUE"""),0)</f>
        <v>0</v>
      </c>
      <c r="H429" s="111"/>
      <c r="I429" s="113">
        <f ca="1">IFERROR(__xludf.DUMMYFUNCTION("""COMPUTED_VALUE"""),0)</f>
        <v>0</v>
      </c>
      <c r="J429" s="111">
        <f ca="1">IFERROR(__xludf.DUMMYFUNCTION("""COMPUTED_VALUE"""),0)</f>
        <v>0</v>
      </c>
      <c r="K429" s="113">
        <f ca="1">IFERROR(__xludf.DUMMYFUNCTION("""COMPUTED_VALUE"""),0)</f>
        <v>0</v>
      </c>
      <c r="L429" s="114" t="str">
        <f ca="1">IFERROR(__xludf.DUMMYFUNCTION("""COMPUTED_VALUE"""),"#DIV/0!")</f>
        <v>#DIV/0!</v>
      </c>
      <c r="M429" s="111"/>
      <c r="N429" s="111"/>
      <c r="O429" s="111"/>
      <c r="P429" s="111"/>
      <c r="Q429" s="112"/>
      <c r="R429" s="103"/>
      <c r="S429" s="103"/>
      <c r="T429" s="103"/>
      <c r="U429" s="103"/>
      <c r="V429" s="103"/>
      <c r="W429" s="103"/>
      <c r="X429" s="103"/>
      <c r="Y429" s="103"/>
      <c r="Z429" s="103"/>
      <c r="AA429" s="103"/>
    </row>
    <row r="430" spans="1:27" ht="89.25" x14ac:dyDescent="0.2">
      <c r="A430" s="111"/>
      <c r="B430" s="113" t="str">
        <f ca="1">IFERROR(__xludf.DUMMYFUNCTION("""COMPUTED_VALUE"""),"Минкульт")</f>
        <v>Минкульт</v>
      </c>
      <c r="C430" s="111" t="str">
        <f ca="1">IFERROR(__xludf.DUMMYFUNCTION("""COMPUTED_VALUE"""),"г.о. Балашиха")</f>
        <v>г.о. Балашиха</v>
      </c>
      <c r="D430" s="111" t="str">
        <f ca="1">IFERROR(__xludf.DUMMYFUNCTION("""COMPUTED_VALUE"""),"Капитальный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f>
        <v xml:space="preserv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v>
      </c>
      <c r="E430" s="111" t="str">
        <f ca="1">IFERROR(__xludf.DUMMYFUNCTION("""COMPUTED_VALUE"""),"2019-2020")</f>
        <v>2019-2020</v>
      </c>
      <c r="F430" s="113">
        <f ca="1">IFERROR(__xludf.DUMMYFUNCTION("""COMPUTED_VALUE"""),0)</f>
        <v>0</v>
      </c>
      <c r="G430" s="113">
        <f ca="1">IFERROR(__xludf.DUMMYFUNCTION("""COMPUTED_VALUE"""),0)</f>
        <v>0</v>
      </c>
      <c r="H430" s="111"/>
      <c r="I430" s="113">
        <f ca="1">IFERROR(__xludf.DUMMYFUNCTION("""COMPUTED_VALUE"""),0)</f>
        <v>0</v>
      </c>
      <c r="J430" s="111">
        <f ca="1">IFERROR(__xludf.DUMMYFUNCTION("""COMPUTED_VALUE"""),0)</f>
        <v>0</v>
      </c>
      <c r="K430" s="113">
        <f ca="1">IFERROR(__xludf.DUMMYFUNCTION("""COMPUTED_VALUE"""),0)</f>
        <v>0</v>
      </c>
      <c r="L430" s="114" t="str">
        <f ca="1">IFERROR(__xludf.DUMMYFUNCTION("""COMPUTED_VALUE"""),"#DIV/0!")</f>
        <v>#DIV/0!</v>
      </c>
      <c r="M430" s="111"/>
      <c r="N430" s="111"/>
      <c r="O430" s="111"/>
      <c r="P430" s="111"/>
      <c r="Q430" s="112"/>
      <c r="R430" s="103"/>
      <c r="S430" s="103"/>
      <c r="T430" s="103"/>
      <c r="U430" s="103"/>
      <c r="V430" s="103"/>
      <c r="W430" s="103"/>
      <c r="X430" s="103"/>
      <c r="Y430" s="103"/>
      <c r="Z430" s="103"/>
      <c r="AA430" s="103"/>
    </row>
    <row r="431" spans="1:27" ht="89.25" x14ac:dyDescent="0.2">
      <c r="A431" s="111"/>
      <c r="B431" s="113" t="str">
        <f ca="1">IFERROR(__xludf.DUMMYFUNCTION("""COMPUTED_VALUE"""),"МинЖКХ ")</f>
        <v xml:space="preserve">МинЖКХ </v>
      </c>
      <c r="C431" s="111" t="str">
        <f ca="1">IFERROR(__xludf.DUMMYFUNCTION("""COMPUTED_VALUE"""),"ЗАТО Власиха")</f>
        <v>ЗАТО Власиха</v>
      </c>
      <c r="D431" s="111" t="str">
        <f ca="1">IFERROR(__xludf.DUMMYFUNCTION("""COMPUTED_VALUE"""),"Реконструкция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f>
        <v>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v>
      </c>
      <c r="E431" s="121" t="str">
        <f ca="1">IFERROR(__xludf.DUMMYFUNCTION("""COMPUTED_VALUE"""),"2019")</f>
        <v>2019</v>
      </c>
      <c r="F431" s="113">
        <f ca="1">IFERROR(__xludf.DUMMYFUNCTION("""COMPUTED_VALUE"""),0)</f>
        <v>0</v>
      </c>
      <c r="G431" s="113">
        <f ca="1">IFERROR(__xludf.DUMMYFUNCTION("""COMPUTED_VALUE"""),0)</f>
        <v>0</v>
      </c>
      <c r="H431" s="111"/>
      <c r="I431" s="113">
        <f ca="1">IFERROR(__xludf.DUMMYFUNCTION("""COMPUTED_VALUE"""),0)</f>
        <v>0</v>
      </c>
      <c r="J431" s="111">
        <f ca="1">IFERROR(__xludf.DUMMYFUNCTION("""COMPUTED_VALUE"""),0)</f>
        <v>0</v>
      </c>
      <c r="K431" s="113">
        <f ca="1">IFERROR(__xludf.DUMMYFUNCTION("""COMPUTED_VALUE"""),0)</f>
        <v>0</v>
      </c>
      <c r="L431" s="114" t="str">
        <f ca="1">IFERROR(__xludf.DUMMYFUNCTION("""COMPUTED_VALUE"""),"#DIV/0!")</f>
        <v>#DIV/0!</v>
      </c>
      <c r="M431" s="111"/>
      <c r="N431" s="111"/>
      <c r="O431" s="111"/>
      <c r="P431" s="111"/>
      <c r="Q431" s="112"/>
      <c r="R431" s="103"/>
      <c r="S431" s="103"/>
      <c r="T431" s="103"/>
      <c r="U431" s="103"/>
      <c r="V431" s="103"/>
      <c r="W431" s="103"/>
      <c r="X431" s="103"/>
      <c r="Y431" s="103"/>
      <c r="Z431" s="103"/>
      <c r="AA431" s="103"/>
    </row>
    <row r="432" spans="1:27" ht="63.75" x14ac:dyDescent="0.2">
      <c r="A432" s="111"/>
      <c r="B432" s="113" t="str">
        <f ca="1">IFERROR(__xludf.DUMMYFUNCTION("""COMPUTED_VALUE"""),"МинЖКХ ")</f>
        <v xml:space="preserve">МинЖКХ </v>
      </c>
      <c r="C432" s="111" t="str">
        <f ca="1">IFERROR(__xludf.DUMMYFUNCTION("""COMPUTED_VALUE"""),"ЗАТО Власиха")</f>
        <v>ЗАТО Власиха</v>
      </c>
      <c r="D432" s="111" t="str">
        <f ca="1">IFERROR(__xludf.DUMMYFUNCTION("""COMPUTED_VALUE"""),"Капитальный ремонт сетей водоснабжения п. Власиха военный городок № 22/1 (г.Одинцово-10)
")</f>
        <v xml:space="preserve">Капитальный ремонт сетей водоснабжения п. Власиха военный городок № 22/1 (г.Одинцово-10)
</v>
      </c>
      <c r="E432" s="111">
        <f ca="1">IFERROR(__xludf.DUMMYFUNCTION("""COMPUTED_VALUE"""),2019)</f>
        <v>2019</v>
      </c>
      <c r="F432" s="113">
        <f ca="1">IFERROR(__xludf.DUMMYFUNCTION("""COMPUTED_VALUE"""),0)</f>
        <v>0</v>
      </c>
      <c r="G432" s="113">
        <f ca="1">IFERROR(__xludf.DUMMYFUNCTION("""COMPUTED_VALUE"""),0)</f>
        <v>0</v>
      </c>
      <c r="H432" s="111"/>
      <c r="I432" s="113">
        <f ca="1">IFERROR(__xludf.DUMMYFUNCTION("""COMPUTED_VALUE"""),0)</f>
        <v>0</v>
      </c>
      <c r="J432" s="111">
        <f ca="1">IFERROR(__xludf.DUMMYFUNCTION("""COMPUTED_VALUE"""),0)</f>
        <v>0</v>
      </c>
      <c r="K432" s="113">
        <f ca="1">IFERROR(__xludf.DUMMYFUNCTION("""COMPUTED_VALUE"""),0)</f>
        <v>0</v>
      </c>
      <c r="L432" s="114" t="str">
        <f ca="1">IFERROR(__xludf.DUMMYFUNCTION("""COMPUTED_VALUE"""),"#DIV/0!")</f>
        <v>#DIV/0!</v>
      </c>
      <c r="M432" s="111"/>
      <c r="N432" s="111"/>
      <c r="O432" s="111"/>
      <c r="P432" s="111"/>
      <c r="Q432" s="112"/>
      <c r="R432" s="103"/>
      <c r="S432" s="103"/>
      <c r="T432" s="103"/>
      <c r="U432" s="103"/>
      <c r="V432" s="103"/>
      <c r="W432" s="103"/>
      <c r="X432" s="103"/>
      <c r="Y432" s="103"/>
      <c r="Z432" s="103"/>
      <c r="AA432" s="103"/>
    </row>
    <row r="433" spans="1:27" ht="102" x14ac:dyDescent="0.2">
      <c r="A433" s="110">
        <v>175</v>
      </c>
      <c r="B433" s="113" t="str">
        <f ca="1">IFERROR(__xludf.DUMMYFUNCTION("""COMPUTED_VALUE"""),"Минкульт")</f>
        <v>Минкульт</v>
      </c>
      <c r="C433" s="111" t="str">
        <f ca="1">IFERROR(__xludf.DUMMYFUNCTION("""COMPUTED_VALUE"""),"ЗАТО Власиха")</f>
        <v>ЗАТО Власиха</v>
      </c>
      <c r="D433" s="111" t="str">
        <f ca="1">IFERROR(__xludf.DUMMYFUNCTION("""COMPUTED_VALUE"""),"Капитальный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f>
        <v xml:space="preserv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v>
      </c>
      <c r="E433" s="111" t="str">
        <f ca="1">IFERROR(__xludf.DUMMYFUNCTION("""COMPUTED_VALUE"""),"2018-2020")</f>
        <v>2018-2020</v>
      </c>
      <c r="F433" s="113">
        <f ca="1">IFERROR(__xludf.DUMMYFUNCTION("""COMPUTED_VALUE"""),59503.81)</f>
        <v>59503.81</v>
      </c>
      <c r="G433" s="113">
        <f ca="1">IFERROR(__xludf.DUMMYFUNCTION("""COMPUTED_VALUE"""),59503.81)</f>
        <v>59503.81</v>
      </c>
      <c r="H433" s="111"/>
      <c r="I433" s="113">
        <f ca="1">IFERROR(__xludf.DUMMYFUNCTION("""COMPUTED_VALUE"""),0)</f>
        <v>0</v>
      </c>
      <c r="J433" s="111">
        <f ca="1">IFERROR(__xludf.DUMMYFUNCTION("""COMPUTED_VALUE"""),0)</f>
        <v>0</v>
      </c>
      <c r="K433" s="113">
        <f ca="1">IFERROR(__xludf.DUMMYFUNCTION("""COMPUTED_VALUE"""),59503.81)</f>
        <v>59503.81</v>
      </c>
      <c r="L433" s="114">
        <f ca="1">IFERROR(__xludf.DUMMYFUNCTION("""COMPUTED_VALUE"""),0)</f>
        <v>0</v>
      </c>
      <c r="M433" s="111"/>
      <c r="N433" s="111"/>
      <c r="O433" s="111"/>
      <c r="P433" s="111"/>
      <c r="Q433" s="112"/>
      <c r="R433" s="103"/>
      <c r="S433" s="103"/>
      <c r="T433" s="103"/>
      <c r="U433" s="103"/>
      <c r="V433" s="103"/>
      <c r="W433" s="103"/>
      <c r="X433" s="103"/>
      <c r="Y433" s="103"/>
      <c r="Z433" s="103"/>
      <c r="AA433" s="103"/>
    </row>
    <row r="434" spans="1:27" ht="76.5" x14ac:dyDescent="0.2">
      <c r="A434" s="111"/>
      <c r="B434" s="113" t="str">
        <f ca="1">IFERROR(__xludf.DUMMYFUNCTION("""COMPUTED_VALUE"""),"МинЖКХ ")</f>
        <v xml:space="preserve">МинЖКХ </v>
      </c>
      <c r="C434" s="111" t="str">
        <f ca="1">IFERROR(__xludf.DUMMYFUNCTION("""COMPUTED_VALUE"""),"ЗАТО Молодежный")</f>
        <v>ЗАТО Молодежный</v>
      </c>
      <c r="D434" s="111" t="str">
        <f ca="1">IFERROR(__xludf.DUMMYFUNCTION("""COMPUTED_VALUE"""),"Канализационные очистные сооружения хозяйственно-бытовых сточных вод производительностью 1500 куб.м/сут. по адресу: п. Молодежный (в том числе ПИР)")</f>
        <v>Канализационные очистные сооружения хозяйственно-бытовых сточных вод производительностью 1500 куб.м/сут. по адресу: п. Молодежный (в том числе ПИР)</v>
      </c>
      <c r="E434" s="111" t="str">
        <f ca="1">IFERROR(__xludf.DUMMYFUNCTION("""COMPUTED_VALUE"""),"2016, 2022")</f>
        <v>2016, 2022</v>
      </c>
      <c r="F434" s="113">
        <f ca="1">IFERROR(__xludf.DUMMYFUNCTION("""COMPUTED_VALUE"""),0)</f>
        <v>0</v>
      </c>
      <c r="G434" s="113">
        <f ca="1">IFERROR(__xludf.DUMMYFUNCTION("""COMPUTED_VALUE"""),0)</f>
        <v>0</v>
      </c>
      <c r="H434" s="111"/>
      <c r="I434" s="113">
        <f ca="1">IFERROR(__xludf.DUMMYFUNCTION("""COMPUTED_VALUE"""),0)</f>
        <v>0</v>
      </c>
      <c r="J434" s="111">
        <f ca="1">IFERROR(__xludf.DUMMYFUNCTION("""COMPUTED_VALUE"""),0)</f>
        <v>0</v>
      </c>
      <c r="K434" s="113">
        <f ca="1">IFERROR(__xludf.DUMMYFUNCTION("""COMPUTED_VALUE"""),0)</f>
        <v>0</v>
      </c>
      <c r="L434" s="114" t="str">
        <f ca="1">IFERROR(__xludf.DUMMYFUNCTION("""COMPUTED_VALUE"""),"#DIV/0!")</f>
        <v>#DIV/0!</v>
      </c>
      <c r="M434" s="111"/>
      <c r="N434" s="111"/>
      <c r="O434" s="111"/>
      <c r="P434" s="111"/>
      <c r="Q434" s="112"/>
      <c r="R434" s="103"/>
      <c r="S434" s="103"/>
      <c r="T434" s="103"/>
      <c r="U434" s="103"/>
      <c r="V434" s="103"/>
      <c r="W434" s="103"/>
      <c r="X434" s="103"/>
      <c r="Y434" s="103"/>
      <c r="Z434" s="103"/>
      <c r="AA434" s="103"/>
    </row>
    <row r="435" spans="1:27" ht="63.75" x14ac:dyDescent="0.2">
      <c r="A435" s="111"/>
      <c r="B435" s="113" t="str">
        <f ca="1">IFERROR(__xludf.DUMMYFUNCTION("""COMPUTED_VALUE"""),"Минстрой")</f>
        <v>Минстрой</v>
      </c>
      <c r="C435" s="111" t="str">
        <f ca="1">IFERROR(__xludf.DUMMYFUNCTION("""COMPUTED_VALUE"""),"ЗАТО Молодежный")</f>
        <v>ЗАТО Молодежный</v>
      </c>
      <c r="D435" s="111" t="str">
        <f ca="1">IFERROR(__xludf.DUMMYFUNCTION("""COMPUTED_VALUE"""),"Физкультурно-оздоровительный комплекс с универсальным спортивным залом (ПИР и строительство) в ЗАТО Молодежный")</f>
        <v>Физкультурно-оздоровительный комплекс с универсальным спортивным залом (ПИР и строительство) в ЗАТО Молодежный</v>
      </c>
      <c r="E435" s="111" t="str">
        <f ca="1">IFERROR(__xludf.DUMMYFUNCTION("""COMPUTED_VALUE"""),"2018-2020")</f>
        <v>2018-2020</v>
      </c>
      <c r="F435" s="113">
        <f ca="1">IFERROR(__xludf.DUMMYFUNCTION("""COMPUTED_VALUE"""),0)</f>
        <v>0</v>
      </c>
      <c r="G435" s="113">
        <f ca="1">IFERROR(__xludf.DUMMYFUNCTION("""COMPUTED_VALUE"""),0)</f>
        <v>0</v>
      </c>
      <c r="H435" s="111"/>
      <c r="I435" s="113">
        <f ca="1">IFERROR(__xludf.DUMMYFUNCTION("""COMPUTED_VALUE"""),0)</f>
        <v>0</v>
      </c>
      <c r="J435" s="111">
        <f ca="1">IFERROR(__xludf.DUMMYFUNCTION("""COMPUTED_VALUE"""),0)</f>
        <v>0</v>
      </c>
      <c r="K435" s="113">
        <f ca="1">IFERROR(__xludf.DUMMYFUNCTION("""COMPUTED_VALUE"""),0)</f>
        <v>0</v>
      </c>
      <c r="L435" s="114" t="str">
        <f ca="1">IFERROR(__xludf.DUMMYFUNCTION("""COMPUTED_VALUE"""),"#DIV/0!")</f>
        <v>#DIV/0!</v>
      </c>
      <c r="M435" s="111"/>
      <c r="N435" s="111"/>
      <c r="O435" s="111"/>
      <c r="P435" s="111"/>
      <c r="Q435" s="112"/>
      <c r="R435" s="103"/>
      <c r="S435" s="103"/>
      <c r="T435" s="103"/>
      <c r="U435" s="103"/>
      <c r="V435" s="103"/>
      <c r="W435" s="103"/>
      <c r="X435" s="103"/>
      <c r="Y435" s="103"/>
      <c r="Z435" s="103"/>
      <c r="AA435" s="103"/>
    </row>
    <row r="436" spans="1:27" ht="102" x14ac:dyDescent="0.2">
      <c r="A436" s="110">
        <v>176</v>
      </c>
      <c r="B436" s="113" t="str">
        <f ca="1">IFERROR(__xludf.DUMMYFUNCTION("""COMPUTED_VALUE"""),"МинЖКХ ")</f>
        <v xml:space="preserve">МинЖКХ </v>
      </c>
      <c r="C436" s="111" t="str">
        <f ca="1">IFERROR(__xludf.DUMMYFUNCTION("""COMPUTED_VALUE"""),"г.о. Коломенский")</f>
        <v>г.о. Коломенский</v>
      </c>
      <c r="D436" s="111" t="str">
        <f ca="1">IFERROR(__xludf.DUMMYFUNCTION("""COMPUTED_VALUE"""),"Реконструкция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f>
        <v>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v>
      </c>
      <c r="E436" s="121" t="str">
        <f ca="1">IFERROR(__xludf.DUMMYFUNCTION("""COMPUTED_VALUE"""),"2019-2020")</f>
        <v>2019-2020</v>
      </c>
      <c r="F436" s="113">
        <f ca="1">IFERROR(__xludf.DUMMYFUNCTION("""COMPUTED_VALUE"""),41166.72)</f>
        <v>41166.720000000001</v>
      </c>
      <c r="G436" s="113">
        <f ca="1">IFERROR(__xludf.DUMMYFUNCTION("""COMPUTED_VALUE"""),0)</f>
        <v>0</v>
      </c>
      <c r="H436" s="111"/>
      <c r="I436" s="113">
        <f ca="1">IFERROR(__xludf.DUMMYFUNCTION("""COMPUTED_VALUE"""),41166.72)</f>
        <v>41166.720000000001</v>
      </c>
      <c r="J436" s="111">
        <f ca="1">IFERROR(__xludf.DUMMYFUNCTION("""COMPUTED_VALUE"""),40322.18)</f>
        <v>40322.18</v>
      </c>
      <c r="K436" s="113">
        <f ca="1">IFERROR(__xludf.DUMMYFUNCTION("""COMPUTED_VALUE"""),844.54)</f>
        <v>844.54</v>
      </c>
      <c r="L436" s="114">
        <f ca="1">IFERROR(__xludf.DUMMYFUNCTION("""COMPUTED_VALUE"""),0.979484884877881)</f>
        <v>0.97948488487788099</v>
      </c>
      <c r="M436" s="111"/>
      <c r="N436" s="111"/>
      <c r="O436" s="111"/>
      <c r="P436" s="111"/>
      <c r="Q436" s="120"/>
      <c r="R436" s="103"/>
      <c r="S436" s="103"/>
      <c r="T436" s="103"/>
      <c r="U436" s="103"/>
      <c r="V436" s="103"/>
      <c r="W436" s="103"/>
      <c r="X436" s="103"/>
      <c r="Y436" s="103"/>
      <c r="Z436" s="103"/>
      <c r="AA436" s="103"/>
    </row>
    <row r="437" spans="1:27" ht="63.75" x14ac:dyDescent="0.2">
      <c r="A437" s="111"/>
      <c r="B437" s="113" t="str">
        <f ca="1">IFERROR(__xludf.DUMMYFUNCTION("""COMPUTED_VALUE"""),"МинЖКХ ")</f>
        <v xml:space="preserve">МинЖКХ </v>
      </c>
      <c r="C437" s="111" t="str">
        <f ca="1">IFERROR(__xludf.DUMMYFUNCTION("""COMPUTED_VALUE"""),"г.о. Звездный городок")</f>
        <v>г.о. Звездный городок</v>
      </c>
      <c r="D437" s="111" t="str">
        <f ca="1">IFERROR(__xludf.DUMMYFUNCTION("""COMPUTED_VALUE"""),"Реконструкция инженерных сетей на территории городского округа Звездный городок Московской области
 ")</f>
        <v xml:space="preserve">Реконструкция инженерных сетей на территории городского округа Звездный городок Московской области
 </v>
      </c>
      <c r="E437" s="111">
        <f ca="1">IFERROR(__xludf.DUMMYFUNCTION("""COMPUTED_VALUE"""),2019)</f>
        <v>2019</v>
      </c>
      <c r="F437" s="113">
        <f ca="1">IFERROR(__xludf.DUMMYFUNCTION("""COMPUTED_VALUE"""),0)</f>
        <v>0</v>
      </c>
      <c r="G437" s="113">
        <f ca="1">IFERROR(__xludf.DUMMYFUNCTION("""COMPUTED_VALUE"""),0)</f>
        <v>0</v>
      </c>
      <c r="H437" s="111"/>
      <c r="I437" s="113">
        <f ca="1">IFERROR(__xludf.DUMMYFUNCTION("""COMPUTED_VALUE"""),0)</f>
        <v>0</v>
      </c>
      <c r="J437" s="111">
        <f ca="1">IFERROR(__xludf.DUMMYFUNCTION("""COMPUTED_VALUE"""),0)</f>
        <v>0</v>
      </c>
      <c r="K437" s="113">
        <f ca="1">IFERROR(__xludf.DUMMYFUNCTION("""COMPUTED_VALUE"""),0)</f>
        <v>0</v>
      </c>
      <c r="L437" s="114" t="str">
        <f ca="1">IFERROR(__xludf.DUMMYFUNCTION("""COMPUTED_VALUE"""),"#DIV/0!")</f>
        <v>#DIV/0!</v>
      </c>
      <c r="M437" s="111"/>
      <c r="N437" s="111"/>
      <c r="O437" s="111"/>
      <c r="P437" s="111"/>
      <c r="Q437" s="112"/>
      <c r="R437" s="103"/>
      <c r="S437" s="103"/>
      <c r="T437" s="103"/>
      <c r="U437" s="103"/>
      <c r="V437" s="103"/>
      <c r="W437" s="103"/>
      <c r="X437" s="103"/>
      <c r="Y437" s="103"/>
      <c r="Z437" s="103"/>
      <c r="AA437" s="103"/>
    </row>
    <row r="438" spans="1:27" ht="76.5" x14ac:dyDescent="0.2">
      <c r="A438" s="111"/>
      <c r="B438" s="113" t="str">
        <f ca="1">IFERROR(__xludf.DUMMYFUNCTION("""COMPUTED_VALUE"""),"МинЖКХ")</f>
        <v>МинЖКХ</v>
      </c>
      <c r="C438" s="111" t="str">
        <f ca="1">IFERROR(__xludf.DUMMYFUNCTION("""COMPUTED_VALUE"""),"г.о. Звездный городок")</f>
        <v>г.о. Звездный городок</v>
      </c>
      <c r="D438" s="111" t="str">
        <f ca="1">IFERROR(__xludf.DUMMYFUNCTION("""COMPUTED_VALUE"""),"Капитальный ремонт тепловых сетей и сетей горячего водоснабжения, поселок Звёздный городок, военный городок № 1, в/ч 26266
")</f>
        <v xml:space="preserve">Капитальный ремонт тепловых сетей и сетей горячего водоснабжения, поселок Звёздный городок, военный городок № 1, в/ч 26266
</v>
      </c>
      <c r="E438" s="111" t="str">
        <f ca="1">IFERROR(__xludf.DUMMYFUNCTION("""COMPUTED_VALUE"""),"2018-2019")</f>
        <v>2018-2019</v>
      </c>
      <c r="F438" s="113">
        <f ca="1">IFERROR(__xludf.DUMMYFUNCTION("""COMPUTED_VALUE"""),0)</f>
        <v>0</v>
      </c>
      <c r="G438" s="113">
        <f ca="1">IFERROR(__xludf.DUMMYFUNCTION("""COMPUTED_VALUE"""),0)</f>
        <v>0</v>
      </c>
      <c r="H438" s="111"/>
      <c r="I438" s="113">
        <f ca="1">IFERROR(__xludf.DUMMYFUNCTION("""COMPUTED_VALUE"""),0)</f>
        <v>0</v>
      </c>
      <c r="J438" s="111">
        <f ca="1">IFERROR(__xludf.DUMMYFUNCTION("""COMPUTED_VALUE"""),0)</f>
        <v>0</v>
      </c>
      <c r="K438" s="113">
        <f ca="1">IFERROR(__xludf.DUMMYFUNCTION("""COMPUTED_VALUE"""),0)</f>
        <v>0</v>
      </c>
      <c r="L438" s="114" t="str">
        <f ca="1">IFERROR(__xludf.DUMMYFUNCTION("""COMPUTED_VALUE"""),"#DIV/0!")</f>
        <v>#DIV/0!</v>
      </c>
      <c r="M438" s="111"/>
      <c r="N438" s="111"/>
      <c r="O438" s="111"/>
      <c r="P438" s="111"/>
      <c r="Q438" s="112"/>
      <c r="R438" s="103"/>
      <c r="S438" s="103"/>
      <c r="T438" s="103"/>
      <c r="U438" s="103"/>
      <c r="V438" s="103"/>
      <c r="W438" s="103"/>
      <c r="X438" s="103"/>
      <c r="Y438" s="103"/>
      <c r="Z438" s="103"/>
      <c r="AA438" s="103"/>
    </row>
    <row r="439" spans="1:27" ht="51" x14ac:dyDescent="0.2">
      <c r="A439" s="111"/>
      <c r="B439" s="113" t="str">
        <f ca="1">IFERROR(__xludf.DUMMYFUNCTION("""COMPUTED_VALUE"""),"МинЖКХ ")</f>
        <v xml:space="preserve">МинЖКХ </v>
      </c>
      <c r="C439" s="111" t="str">
        <f ca="1">IFERROR(__xludf.DUMMYFUNCTION("""COMPUTED_VALUE"""),"г.о. Клин")</f>
        <v>г.о. Клин</v>
      </c>
      <c r="D439" s="111" t="str">
        <f ca="1">IFERROR(__xludf.DUMMYFUNCTION("""COMPUTED_VALUE"""),"Приобретение, монтаж и ввод в эксплуатациюблочно-модульной станции обезжелезивания воды в Клин-9")</f>
        <v>Приобретение, монтаж и ввод в эксплуатациюблочно-модульной станции обезжелезивания воды в Клин-9</v>
      </c>
      <c r="E439" s="111">
        <f ca="1">IFERROR(__xludf.DUMMYFUNCTION("""COMPUTED_VALUE"""),2019)</f>
        <v>2019</v>
      </c>
      <c r="F439" s="113">
        <f ca="1">IFERROR(__xludf.DUMMYFUNCTION("""COMPUTED_VALUE"""),0)</f>
        <v>0</v>
      </c>
      <c r="G439" s="113">
        <f ca="1">IFERROR(__xludf.DUMMYFUNCTION("""COMPUTED_VALUE"""),0)</f>
        <v>0</v>
      </c>
      <c r="H439" s="111"/>
      <c r="I439" s="113">
        <f ca="1">IFERROR(__xludf.DUMMYFUNCTION("""COMPUTED_VALUE"""),0)</f>
        <v>0</v>
      </c>
      <c r="J439" s="111">
        <f ca="1">IFERROR(__xludf.DUMMYFUNCTION("""COMPUTED_VALUE"""),0)</f>
        <v>0</v>
      </c>
      <c r="K439" s="113">
        <f ca="1">IFERROR(__xludf.DUMMYFUNCTION("""COMPUTED_VALUE"""),0)</f>
        <v>0</v>
      </c>
      <c r="L439" s="114" t="str">
        <f ca="1">IFERROR(__xludf.DUMMYFUNCTION("""COMPUTED_VALUE"""),"#DIV/0!")</f>
        <v>#DIV/0!</v>
      </c>
      <c r="M439" s="111"/>
      <c r="N439" s="111"/>
      <c r="O439" s="111"/>
      <c r="P439" s="111"/>
      <c r="Q439" s="112"/>
      <c r="R439" s="103"/>
      <c r="S439" s="103"/>
      <c r="T439" s="103"/>
      <c r="U439" s="103"/>
      <c r="V439" s="103"/>
      <c r="W439" s="103"/>
      <c r="X439" s="103"/>
      <c r="Y439" s="103"/>
      <c r="Z439" s="103"/>
      <c r="AA439" s="103"/>
    </row>
    <row r="440" spans="1:27" ht="38.25" x14ac:dyDescent="0.2">
      <c r="A440" s="110">
        <v>177</v>
      </c>
      <c r="B440" s="113" t="str">
        <f ca="1">IFERROR(__xludf.DUMMYFUNCTION("""COMPUTED_VALUE"""),"МинЖКХ ")</f>
        <v xml:space="preserve">МинЖКХ </v>
      </c>
      <c r="C440" s="111" t="str">
        <f ca="1">IFERROR(__xludf.DUMMYFUNCTION("""COMPUTED_VALUE"""),"г.о. Коломенский")</f>
        <v>г.о. Коломенский</v>
      </c>
      <c r="D440" s="111" t="str">
        <f ca="1">IFERROR(__xludf.DUMMYFUNCTION("""COMPUTED_VALUE"""),"Строительство БМК, г. Коломна-1, военный городок Сосновый бор,  в/ч 17204 (в том числе ПИР) ")</f>
        <v xml:space="preserve">Строительство БМК, г. Коломна-1, военный городок Сосновый бор,  в/ч 17204 (в том числе ПИР) </v>
      </c>
      <c r="E440" s="121" t="str">
        <f ca="1">IFERROR(__xludf.DUMMYFUNCTION("""COMPUTED_VALUE"""),"2020-2022")</f>
        <v>2020-2022</v>
      </c>
      <c r="F440" s="113">
        <f ca="1">IFERROR(__xludf.DUMMYFUNCTION("""COMPUTED_VALUE"""),3752.5)</f>
        <v>3752.5</v>
      </c>
      <c r="G440" s="113">
        <f ca="1">IFERROR(__xludf.DUMMYFUNCTION("""COMPUTED_VALUE"""),0)</f>
        <v>0</v>
      </c>
      <c r="H440" s="111"/>
      <c r="I440" s="113">
        <f ca="1">IFERROR(__xludf.DUMMYFUNCTION("""COMPUTED_VALUE"""),3752.5)</f>
        <v>3752.5</v>
      </c>
      <c r="J440" s="111">
        <f ca="1">IFERROR(__xludf.DUMMYFUNCTION("""COMPUTED_VALUE"""),3752.5)</f>
        <v>3752.5</v>
      </c>
      <c r="K440" s="113">
        <f ca="1">IFERROR(__xludf.DUMMYFUNCTION("""COMPUTED_VALUE"""),0)</f>
        <v>0</v>
      </c>
      <c r="L440" s="114">
        <f ca="1">IFERROR(__xludf.DUMMYFUNCTION("""COMPUTED_VALUE"""),1)</f>
        <v>1</v>
      </c>
      <c r="M440" s="111"/>
      <c r="N440" s="111"/>
      <c r="O440" s="111"/>
      <c r="P440" s="111"/>
      <c r="Q440" s="120"/>
      <c r="R440" s="103"/>
      <c r="S440" s="103"/>
      <c r="T440" s="103"/>
      <c r="U440" s="103"/>
      <c r="V440" s="103"/>
      <c r="W440" s="103"/>
      <c r="X440" s="103"/>
      <c r="Y440" s="103"/>
      <c r="Z440" s="103"/>
      <c r="AA440" s="103"/>
    </row>
    <row r="441" spans="1:27" ht="38.25" x14ac:dyDescent="0.2">
      <c r="A441" s="111"/>
      <c r="B441" s="113" t="str">
        <f ca="1">IFERROR(__xludf.DUMMYFUNCTION("""COMPUTED_VALUE"""),"МинЖКХ ")</f>
        <v xml:space="preserve">МинЖКХ </v>
      </c>
      <c r="C441" s="111" t="str">
        <f ca="1">IFERROR(__xludf.DUMMYFUNCTION("""COMPUTED_VALUE"""),"г.о. Орехово-Зуево")</f>
        <v>г.о. Орехово-Зуево</v>
      </c>
      <c r="D441" s="111" t="str">
        <f ca="1">IFERROR(__xludf.DUMMYFUNCTION("""COMPUTED_VALUE"""),"Строительство скважины в п. Военный городок, Орехово-Зуевский городской округ")</f>
        <v>Строительство скважины в п. Военный городок, Орехово-Зуевский городской округ</v>
      </c>
      <c r="E441" s="111">
        <f ca="1">IFERROR(__xludf.DUMMYFUNCTION("""COMPUTED_VALUE"""),2023)</f>
        <v>2023</v>
      </c>
      <c r="F441" s="113">
        <f ca="1">IFERROR(__xludf.DUMMYFUNCTION("""COMPUTED_VALUE"""),0)</f>
        <v>0</v>
      </c>
      <c r="G441" s="113">
        <f ca="1">IFERROR(__xludf.DUMMYFUNCTION("""COMPUTED_VALUE"""),0)</f>
        <v>0</v>
      </c>
      <c r="H441" s="111"/>
      <c r="I441" s="113">
        <f ca="1">IFERROR(__xludf.DUMMYFUNCTION("""COMPUTED_VALUE"""),0)</f>
        <v>0</v>
      </c>
      <c r="J441" s="111">
        <f ca="1">IFERROR(__xludf.DUMMYFUNCTION("""COMPUTED_VALUE"""),0)</f>
        <v>0</v>
      </c>
      <c r="K441" s="113">
        <f ca="1">IFERROR(__xludf.DUMMYFUNCTION("""COMPUTED_VALUE"""),0)</f>
        <v>0</v>
      </c>
      <c r="L441" s="114" t="str">
        <f ca="1">IFERROR(__xludf.DUMMYFUNCTION("""COMPUTED_VALUE"""),"#DIV/0!")</f>
        <v>#DIV/0!</v>
      </c>
      <c r="M441" s="111"/>
      <c r="N441" s="111"/>
      <c r="O441" s="111"/>
      <c r="P441" s="111"/>
      <c r="Q441" s="112"/>
      <c r="R441" s="103"/>
      <c r="S441" s="103"/>
      <c r="T441" s="103"/>
      <c r="U441" s="103"/>
      <c r="V441" s="103"/>
      <c r="W441" s="103"/>
      <c r="X441" s="103"/>
      <c r="Y441" s="103"/>
      <c r="Z441" s="103"/>
      <c r="AA441" s="103"/>
    </row>
    <row r="442" spans="1:27" ht="76.5" x14ac:dyDescent="0.2">
      <c r="A442" s="110">
        <v>178</v>
      </c>
      <c r="B442" s="113" t="str">
        <f ca="1">IFERROR(__xludf.DUMMYFUNCTION("""COMPUTED_VALUE"""),"Минкульт")</f>
        <v>Минкульт</v>
      </c>
      <c r="C442" s="111" t="str">
        <f ca="1">IFERROR(__xludf.DUMMYFUNCTION("""COMPUTED_VALUE"""),"г.о. Краснознаменск")</f>
        <v>г.о. Краснознаменск</v>
      </c>
      <c r="D442" s="111" t="str">
        <f ca="1">IFERROR(__xludf.DUMMYFUNCTION("""COMPUTED_VALUE"""),"
Капитальный ремонт техническое переоснащение здания МБУК «Дом офицеров» Московская область, г. Краснознаменск, ул. Молодёжная, д. 2")</f>
        <v xml:space="preserve">
Капитальный ремонт техническое переоснащение здания МБУК «Дом офицеров» Московская область, г. Краснознаменск, ул. Молодёжная, д. 2</v>
      </c>
      <c r="E442" s="111" t="str">
        <f ca="1">IFERROR(__xludf.DUMMYFUNCTION("""COMPUTED_VALUE"""),"2017-2020")</f>
        <v>2017-2020</v>
      </c>
      <c r="F442" s="113">
        <f ca="1">IFERROR(__xludf.DUMMYFUNCTION("""COMPUTED_VALUE"""),3047.13)</f>
        <v>3047.13</v>
      </c>
      <c r="G442" s="113">
        <f ca="1">IFERROR(__xludf.DUMMYFUNCTION("""COMPUTED_VALUE"""),1484.5)</f>
        <v>1484.5</v>
      </c>
      <c r="H442" s="111"/>
      <c r="I442" s="113">
        <f ca="1">IFERROR(__xludf.DUMMYFUNCTION("""COMPUTED_VALUE"""),1562.63)</f>
        <v>1562.63</v>
      </c>
      <c r="J442" s="111">
        <f ca="1">IFERROR(__xludf.DUMMYFUNCTION("""COMPUTED_VALUE"""),0)</f>
        <v>0</v>
      </c>
      <c r="K442" s="113">
        <f ca="1">IFERROR(__xludf.DUMMYFUNCTION("""COMPUTED_VALUE"""),3047.13)</f>
        <v>3047.13</v>
      </c>
      <c r="L442" s="114">
        <f ca="1">IFERROR(__xludf.DUMMYFUNCTION("""COMPUTED_VALUE"""),0)</f>
        <v>0</v>
      </c>
      <c r="M442" s="111"/>
      <c r="N442" s="111"/>
      <c r="O442" s="111"/>
      <c r="P442" s="111"/>
      <c r="Q442" s="112"/>
      <c r="R442" s="103"/>
      <c r="S442" s="103"/>
      <c r="T442" s="103"/>
      <c r="U442" s="103"/>
      <c r="V442" s="103"/>
      <c r="W442" s="103"/>
      <c r="X442" s="103"/>
      <c r="Y442" s="103"/>
      <c r="Z442" s="103"/>
      <c r="AA442" s="103"/>
    </row>
    <row r="443" spans="1:27" ht="51" x14ac:dyDescent="0.2">
      <c r="A443" s="110">
        <v>179</v>
      </c>
      <c r="B443" s="113" t="str">
        <f ca="1">IFERROR(__xludf.DUMMYFUNCTION("""COMPUTED_VALUE"""),"Минобр")</f>
        <v>Минобр</v>
      </c>
      <c r="C443" s="111" t="str">
        <f ca="1">IFERROR(__xludf.DUMMYFUNCTION("""COMPUTED_VALUE"""),"г.о. Одинцово")</f>
        <v>г.о. Одинцово</v>
      </c>
      <c r="D443" s="111" t="str">
        <f ca="1">IFERROR(__xludf.DUMMYFUNCTION("""COMPUTED_VALUE"""),"Капитальный ремонт здания клуба ""Искатель"" для размещения детского сада Новый городок Кубинка-7 Одинцовский м.р.                 ")</f>
        <v xml:space="preserve">Капитальный ремонт здания клуба "Искатель" для размещения детского сада Новый городок Кубинка-7 Одинцовский м.р.                 </v>
      </c>
      <c r="E443" s="111">
        <f ca="1">IFERROR(__xludf.DUMMYFUNCTION("""COMPUTED_VALUE"""),2020)</f>
        <v>2020</v>
      </c>
      <c r="F443" s="113">
        <f ca="1">IFERROR(__xludf.DUMMYFUNCTION("""COMPUTED_VALUE"""),142032)</f>
        <v>142032</v>
      </c>
      <c r="G443" s="113">
        <f ca="1">IFERROR(__xludf.DUMMYFUNCTION("""COMPUTED_VALUE"""),142032)</f>
        <v>142032</v>
      </c>
      <c r="H443" s="111"/>
      <c r="I443" s="113">
        <f ca="1">IFERROR(__xludf.DUMMYFUNCTION("""COMPUTED_VALUE"""),0)</f>
        <v>0</v>
      </c>
      <c r="J443" s="111">
        <f ca="1">IFERROR(__xludf.DUMMYFUNCTION("""COMPUTED_VALUE"""),0)</f>
        <v>0</v>
      </c>
      <c r="K443" s="113">
        <f ca="1">IFERROR(__xludf.DUMMYFUNCTION("""COMPUTED_VALUE"""),142032)</f>
        <v>142032</v>
      </c>
      <c r="L443" s="114">
        <f ca="1">IFERROR(__xludf.DUMMYFUNCTION("""COMPUTED_VALUE"""),0)</f>
        <v>0</v>
      </c>
      <c r="M443" s="111"/>
      <c r="N443" s="111"/>
      <c r="O443" s="111"/>
      <c r="P443" s="111"/>
      <c r="Q443" s="112"/>
      <c r="R443" s="103"/>
      <c r="S443" s="103"/>
      <c r="T443" s="103"/>
      <c r="U443" s="103"/>
      <c r="V443" s="103"/>
      <c r="W443" s="103"/>
      <c r="X443" s="103"/>
      <c r="Y443" s="103"/>
      <c r="Z443" s="103"/>
      <c r="AA443" s="103"/>
    </row>
    <row r="444" spans="1:27" ht="76.5" x14ac:dyDescent="0.2">
      <c r="A444" s="110">
        <v>180</v>
      </c>
      <c r="B444" s="113" t="str">
        <f ca="1">IFERROR(__xludf.DUMMYFUNCTION("""COMPUTED_VALUE"""),"Минобр")</f>
        <v>Минобр</v>
      </c>
      <c r="C444" s="111" t="str">
        <f ca="1">IFERROR(__xludf.DUMMYFUNCTION("""COMPUTED_VALUE"""),"г.о. Одинцово")</f>
        <v>г.о. Одинцово</v>
      </c>
      <c r="D444" s="111" t="str">
        <f ca="1">IFERROR(__xludf.DUMMYFUNCTION("""COMPUTED_VALUE"""),"Капитальный ремонт МБОУ Новогородковская городская средняя образовательная школа с.п. Никольское, пос. Новый Городок военный городок Кубинка-7")</f>
        <v>Капитальный ремонт МБОУ Новогородковская городская средняя образовательная школа с.п. Никольское, пос. Новый Городок военный городок Кубинка-7</v>
      </c>
      <c r="E444" s="111" t="str">
        <f ca="1">IFERROR(__xludf.DUMMYFUNCTION("""COMPUTED_VALUE"""),"2019-2020")</f>
        <v>2019-2020</v>
      </c>
      <c r="F444" s="113">
        <f ca="1">IFERROR(__xludf.DUMMYFUNCTION("""COMPUTED_VALUE"""),205047)</f>
        <v>205047</v>
      </c>
      <c r="G444" s="113">
        <f ca="1">IFERROR(__xludf.DUMMYFUNCTION("""COMPUTED_VALUE"""),205047)</f>
        <v>205047</v>
      </c>
      <c r="H444" s="111"/>
      <c r="I444" s="113">
        <f ca="1">IFERROR(__xludf.DUMMYFUNCTION("""COMPUTED_VALUE"""),0)</f>
        <v>0</v>
      </c>
      <c r="J444" s="111">
        <f ca="1">IFERROR(__xludf.DUMMYFUNCTION("""COMPUTED_VALUE"""),0)</f>
        <v>0</v>
      </c>
      <c r="K444" s="113">
        <f ca="1">IFERROR(__xludf.DUMMYFUNCTION("""COMPUTED_VALUE"""),205047)</f>
        <v>205047</v>
      </c>
      <c r="L444" s="114">
        <f ca="1">IFERROR(__xludf.DUMMYFUNCTION("""COMPUTED_VALUE"""),0)</f>
        <v>0</v>
      </c>
      <c r="M444" s="111"/>
      <c r="N444" s="111"/>
      <c r="O444" s="111"/>
      <c r="P444" s="111"/>
      <c r="Q444" s="112"/>
      <c r="R444" s="103"/>
      <c r="S444" s="103"/>
      <c r="T444" s="103"/>
      <c r="U444" s="103"/>
      <c r="V444" s="103"/>
      <c r="W444" s="103"/>
      <c r="X444" s="103"/>
      <c r="Y444" s="103"/>
      <c r="Z444" s="103"/>
      <c r="AA444" s="103"/>
    </row>
    <row r="445" spans="1:27" ht="63.75" x14ac:dyDescent="0.2">
      <c r="A445" s="111"/>
      <c r="B445" s="113" t="str">
        <f ca="1">IFERROR(__xludf.DUMMYFUNCTION("""COMPUTED_VALUE"""),"МинЖКХ ")</f>
        <v xml:space="preserve">МинЖКХ </v>
      </c>
      <c r="C445" s="111" t="str">
        <f ca="1">IFERROR(__xludf.DUMMYFUNCTION("""COMPUTED_VALUE"""),"г.о. Орехово-Зуево")</f>
        <v>г.о. Орехово-Зуево</v>
      </c>
      <c r="D445" s="111" t="str">
        <f ca="1">IFERROR(__xludf.DUMMYFUNCTION("""COMPUTED_VALUE"""),"Строительство локальных очистных сооружений п. Военный городок объемом до 30 куб.м.  Орехово-Зуевский городской округ")</f>
        <v>Строительство локальных очистных сооружений п. Военный городок объемом до 30 куб.м.  Орехово-Зуевский городской округ</v>
      </c>
      <c r="E445" s="111">
        <f ca="1">IFERROR(__xludf.DUMMYFUNCTION("""COMPUTED_VALUE"""),2023)</f>
        <v>2023</v>
      </c>
      <c r="F445" s="113">
        <f ca="1">IFERROR(__xludf.DUMMYFUNCTION("""COMPUTED_VALUE"""),0)</f>
        <v>0</v>
      </c>
      <c r="G445" s="113">
        <f ca="1">IFERROR(__xludf.DUMMYFUNCTION("""COMPUTED_VALUE"""),0)</f>
        <v>0</v>
      </c>
      <c r="H445" s="111"/>
      <c r="I445" s="113">
        <f ca="1">IFERROR(__xludf.DUMMYFUNCTION("""COMPUTED_VALUE"""),0)</f>
        <v>0</v>
      </c>
      <c r="J445" s="111">
        <f ca="1">IFERROR(__xludf.DUMMYFUNCTION("""COMPUTED_VALUE"""),0)</f>
        <v>0</v>
      </c>
      <c r="K445" s="113">
        <f ca="1">IFERROR(__xludf.DUMMYFUNCTION("""COMPUTED_VALUE"""),0)</f>
        <v>0</v>
      </c>
      <c r="L445" s="114" t="str">
        <f ca="1">IFERROR(__xludf.DUMMYFUNCTION("""COMPUTED_VALUE"""),"#DIV/0!")</f>
        <v>#DIV/0!</v>
      </c>
      <c r="M445" s="111"/>
      <c r="N445" s="111"/>
      <c r="O445" s="111"/>
      <c r="P445" s="111"/>
      <c r="Q445" s="112"/>
      <c r="R445" s="103"/>
      <c r="S445" s="103"/>
      <c r="T445" s="103"/>
      <c r="U445" s="103"/>
      <c r="V445" s="103"/>
      <c r="W445" s="103"/>
      <c r="X445" s="103"/>
      <c r="Y445" s="103"/>
      <c r="Z445" s="103"/>
      <c r="AA445" s="103"/>
    </row>
    <row r="446" spans="1:27" ht="63.75" x14ac:dyDescent="0.2">
      <c r="A446" s="110">
        <v>181</v>
      </c>
      <c r="B446" s="113" t="str">
        <f ca="1">IFERROR(__xludf.DUMMYFUNCTION("""COMPUTED_VALUE"""),"МинЖКХ ")</f>
        <v xml:space="preserve">МинЖКХ </v>
      </c>
      <c r="C446" s="111" t="str">
        <f ca="1">IFERROR(__xludf.DUMMYFUNCTION("""COMPUTED_VALUE"""),"г.о. Ступино")</f>
        <v>г.о. Ступино</v>
      </c>
      <c r="D446" s="111" t="str">
        <f ca="1">IFERROR(__xludf.DUMMYFUNCTION("""COMPUTED_VALUE"""),"Строительство блочно-модульной котельной в военном городке № 112 Михнево-3 Ступинский муниципальный район (в том числе ПИР)")</f>
        <v>Строительство блочно-модульной котельной в военном городке № 112 Михнево-3 Ступинский муниципальный район (в том числе ПИР)</v>
      </c>
      <c r="E446" s="121" t="str">
        <f ca="1">IFERROR(__xludf.DUMMYFUNCTION("""COMPUTED_VALUE"""),"2020")</f>
        <v>2020</v>
      </c>
      <c r="F446" s="113">
        <f ca="1">IFERROR(__xludf.DUMMYFUNCTION("""COMPUTED_VALUE"""),7163.5)</f>
        <v>7163.5</v>
      </c>
      <c r="G446" s="113">
        <f ca="1">IFERROR(__xludf.DUMMYFUNCTION("""COMPUTED_VALUE"""),0)</f>
        <v>0</v>
      </c>
      <c r="H446" s="111"/>
      <c r="I446" s="113">
        <f ca="1">IFERROR(__xludf.DUMMYFUNCTION("""COMPUTED_VALUE"""),7163.5)</f>
        <v>7163.5</v>
      </c>
      <c r="J446" s="111">
        <f ca="1">IFERROR(__xludf.DUMMYFUNCTION("""COMPUTED_VALUE"""),0)</f>
        <v>0</v>
      </c>
      <c r="K446" s="113">
        <f ca="1">IFERROR(__xludf.DUMMYFUNCTION("""COMPUTED_VALUE"""),7163.5)</f>
        <v>7163.5</v>
      </c>
      <c r="L446" s="114">
        <f ca="1">IFERROR(__xludf.DUMMYFUNCTION("""COMPUTED_VALUE"""),0)</f>
        <v>0</v>
      </c>
      <c r="M446" s="111"/>
      <c r="N446" s="111"/>
      <c r="O446" s="111"/>
      <c r="P446" s="111"/>
      <c r="Q446" s="112"/>
      <c r="R446" s="103"/>
      <c r="S446" s="103"/>
      <c r="T446" s="103"/>
      <c r="U446" s="103"/>
      <c r="V446" s="103"/>
      <c r="W446" s="103"/>
      <c r="X446" s="103"/>
      <c r="Y446" s="103"/>
      <c r="Z446" s="103"/>
      <c r="AA446" s="103"/>
    </row>
    <row r="447" spans="1:27" ht="51" x14ac:dyDescent="0.2">
      <c r="A447" s="110">
        <v>182</v>
      </c>
      <c r="B447" s="113" t="str">
        <f ca="1">IFERROR(__xludf.DUMMYFUNCTION("""COMPUTED_VALUE"""),"Минобр")</f>
        <v>Минобр</v>
      </c>
      <c r="C447" s="111" t="str">
        <f ca="1">IFERROR(__xludf.DUMMYFUNCTION("""COMPUTED_VALUE"""),"г.о. Серпухов")</f>
        <v>г.о. Серпухов</v>
      </c>
      <c r="D447" s="111" t="str">
        <f ca="1">IFERROR(__xludf.DUMMYFUNCTION("""COMPUTED_VALUE"""),"Капитальный ремонт МДОУ детский сад № 39 «Золотой ключик» по адресу: г. Серпухов, Московское шоссе, д. 62 ")</f>
        <v xml:space="preserve">Капитальный ремонт МДОУ детский сад № 39 «Золотой ключик» по адресу: г. Серпухов, Московское шоссе, д. 62 </v>
      </c>
      <c r="E447" s="111" t="str">
        <f ca="1">IFERROR(__xludf.DUMMYFUNCTION("""COMPUTED_VALUE"""),"2019-2020")</f>
        <v>2019-2020</v>
      </c>
      <c r="F447" s="113">
        <f ca="1">IFERROR(__xludf.DUMMYFUNCTION("""COMPUTED_VALUE"""),0)</f>
        <v>0</v>
      </c>
      <c r="G447" s="113">
        <f ca="1">IFERROR(__xludf.DUMMYFUNCTION("""COMPUTED_VALUE"""),0)</f>
        <v>0</v>
      </c>
      <c r="H447" s="111"/>
      <c r="I447" s="113">
        <f ca="1">IFERROR(__xludf.DUMMYFUNCTION("""COMPUTED_VALUE"""),0)</f>
        <v>0</v>
      </c>
      <c r="J447" s="111">
        <f ca="1">IFERROR(__xludf.DUMMYFUNCTION("""COMPUTED_VALUE"""),0)</f>
        <v>0</v>
      </c>
      <c r="K447" s="113">
        <f ca="1">IFERROR(__xludf.DUMMYFUNCTION("""COMPUTED_VALUE"""),0)</f>
        <v>0</v>
      </c>
      <c r="L447" s="114" t="str">
        <f ca="1">IFERROR(__xludf.DUMMYFUNCTION("""COMPUTED_VALUE"""),"#DIV/0!")</f>
        <v>#DIV/0!</v>
      </c>
      <c r="M447" s="111"/>
      <c r="N447" s="111"/>
      <c r="O447" s="111"/>
      <c r="P447" s="111"/>
      <c r="Q447" s="112"/>
      <c r="R447" s="103"/>
      <c r="S447" s="103"/>
      <c r="T447" s="103"/>
      <c r="U447" s="103"/>
      <c r="V447" s="103"/>
      <c r="W447" s="103"/>
      <c r="X447" s="103"/>
      <c r="Y447" s="103"/>
      <c r="Z447" s="103"/>
      <c r="AA447" s="103"/>
    </row>
    <row r="448" spans="1:27" ht="89.25" x14ac:dyDescent="0.2">
      <c r="A448" s="110">
        <v>183</v>
      </c>
      <c r="B448" s="113" t="str">
        <f ca="1">IFERROR(__xludf.DUMMYFUNCTION("""COMPUTED_VALUE"""),"Минкульт")</f>
        <v>Минкульт</v>
      </c>
      <c r="C448" s="111" t="str">
        <f ca="1">IFERROR(__xludf.DUMMYFUNCTION("""COMPUTED_VALUE"""),"г.о. Солнечногорск")</f>
        <v>г.о. Солнечногорск</v>
      </c>
      <c r="D448" s="111" t="str">
        <f ca="1">IFERROR(__xludf.DUMMYFUNCTION("""COMPUTED_VALUE"""),"Капитальный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f>
        <v>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v>
      </c>
      <c r="E448" s="111" t="str">
        <f ca="1">IFERROR(__xludf.DUMMYFUNCTION("""COMPUTED_VALUE"""),"2019-2020")</f>
        <v>2019-2020</v>
      </c>
      <c r="F448" s="113">
        <f ca="1">IFERROR(__xludf.DUMMYFUNCTION("""COMPUTED_VALUE"""),142945)</f>
        <v>142945</v>
      </c>
      <c r="G448" s="113">
        <f ca="1">IFERROR(__xludf.DUMMYFUNCTION("""COMPUTED_VALUE"""),142945)</f>
        <v>142945</v>
      </c>
      <c r="H448" s="111"/>
      <c r="I448" s="113">
        <f ca="1">IFERROR(__xludf.DUMMYFUNCTION("""COMPUTED_VALUE"""),0)</f>
        <v>0</v>
      </c>
      <c r="J448" s="111">
        <f ca="1">IFERROR(__xludf.DUMMYFUNCTION("""COMPUTED_VALUE"""),0)</f>
        <v>0</v>
      </c>
      <c r="K448" s="113">
        <f ca="1">IFERROR(__xludf.DUMMYFUNCTION("""COMPUTED_VALUE"""),142945)</f>
        <v>142945</v>
      </c>
      <c r="L448" s="114">
        <f ca="1">IFERROR(__xludf.DUMMYFUNCTION("""COMPUTED_VALUE"""),0)</f>
        <v>0</v>
      </c>
      <c r="M448" s="111"/>
      <c r="N448" s="111"/>
      <c r="O448" s="111"/>
      <c r="P448" s="111"/>
      <c r="Q448" s="112"/>
      <c r="R448" s="103"/>
      <c r="S448" s="103"/>
      <c r="T448" s="103"/>
      <c r="U448" s="103"/>
      <c r="V448" s="103"/>
      <c r="W448" s="103"/>
      <c r="X448" s="103"/>
      <c r="Y448" s="103"/>
      <c r="Z448" s="103"/>
      <c r="AA448" s="103"/>
    </row>
    <row r="449" spans="1:27" ht="76.5" x14ac:dyDescent="0.2">
      <c r="A449" s="110">
        <v>184</v>
      </c>
      <c r="B449" s="113" t="str">
        <f ca="1">IFERROR(__xludf.DUMMYFUNCTION("""COMPUTED_VALUE"""),"МинЖКХ ")</f>
        <v xml:space="preserve">МинЖКХ </v>
      </c>
      <c r="C449" s="111" t="str">
        <f ca="1">IFERROR(__xludf.DUMMYFUNCTION("""COMPUTED_VALUE"""),"г.о. Черноголовка")</f>
        <v>г.о. Черноголовка</v>
      </c>
      <c r="D449" s="111" t="str">
        <f ca="1">IFERROR(__xludf.DUMMYFUNCTION("""COMPUTED_VALUE"""),"Строительство канализационных очистных сооружений, по адресу: военный городок Ногинск-4,
с. Макарово, городской округ Черноголовка (в т.ч. ПИР)    
")</f>
        <v xml:space="preserve">Строительство канализационных очистных сооружений, по адресу: военный городок Ногинск-4,
с. Макарово, городской округ Черноголовка (в т.ч. ПИР)    
</v>
      </c>
      <c r="E449" s="121" t="str">
        <f ca="1">IFERROR(__xludf.DUMMYFUNCTION("""COMPUTED_VALUE"""),"2020-2021")</f>
        <v>2020-2021</v>
      </c>
      <c r="F449" s="113">
        <f ca="1">IFERROR(__xludf.DUMMYFUNCTION("""COMPUTED_VALUE"""),20319)</f>
        <v>20319</v>
      </c>
      <c r="G449" s="113">
        <f ca="1">IFERROR(__xludf.DUMMYFUNCTION("""COMPUTED_VALUE"""),0)</f>
        <v>0</v>
      </c>
      <c r="H449" s="111"/>
      <c r="I449" s="113">
        <f ca="1">IFERROR(__xludf.DUMMYFUNCTION("""COMPUTED_VALUE"""),20319)</f>
        <v>20319</v>
      </c>
      <c r="J449" s="111">
        <f ca="1">IFERROR(__xludf.DUMMYFUNCTION("""COMPUTED_VALUE"""),0)</f>
        <v>0</v>
      </c>
      <c r="K449" s="113">
        <f ca="1">IFERROR(__xludf.DUMMYFUNCTION("""COMPUTED_VALUE"""),20319)</f>
        <v>20319</v>
      </c>
      <c r="L449" s="114">
        <f ca="1">IFERROR(__xludf.DUMMYFUNCTION("""COMPUTED_VALUE"""),0)</f>
        <v>0</v>
      </c>
      <c r="M449" s="111"/>
      <c r="N449" s="111"/>
      <c r="O449" s="111"/>
      <c r="P449" s="111"/>
      <c r="Q449" s="112"/>
      <c r="R449" s="103"/>
      <c r="S449" s="103"/>
      <c r="T449" s="103"/>
      <c r="U449" s="103"/>
      <c r="V449" s="103"/>
      <c r="W449" s="103"/>
      <c r="X449" s="103"/>
      <c r="Y449" s="103"/>
      <c r="Z449" s="103"/>
      <c r="AA449" s="103"/>
    </row>
    <row r="450" spans="1:27" ht="63.75" x14ac:dyDescent="0.2">
      <c r="A450" s="110">
        <v>185</v>
      </c>
      <c r="B450" s="113" t="str">
        <f ca="1">IFERROR(__xludf.DUMMYFUNCTION("""COMPUTED_VALUE"""),"Минобр")</f>
        <v>Минобр</v>
      </c>
      <c r="C450" s="111" t="str">
        <f ca="1">IFERROR(__xludf.DUMMYFUNCTION("""COMPUTED_VALUE"""),"г.о. Ступино")</f>
        <v>г.о. Ступино</v>
      </c>
      <c r="D450" s="111" t="str">
        <f ca="1">IFERROR(__xludf.DUMMYFUNCTION("""COMPUTED_VALUE"""),"Капитальный ремонт МАДОУ «Мещеринский детский сад комбинированного вида «Солнышко» г.о. Ступино, в/ч 03770")</f>
        <v>Капитальный ремонт МАДОУ «Мещеринский детский сад комбинированного вида «Солнышко» г.о. Ступино, в/ч 03770</v>
      </c>
      <c r="E450" s="111">
        <f ca="1">IFERROR(__xludf.DUMMYFUNCTION("""COMPUTED_VALUE"""),2020)</f>
        <v>2020</v>
      </c>
      <c r="F450" s="113">
        <f ca="1">IFERROR(__xludf.DUMMYFUNCTION("""COMPUTED_VALUE"""),25541)</f>
        <v>25541</v>
      </c>
      <c r="G450" s="113">
        <f ca="1">IFERROR(__xludf.DUMMYFUNCTION("""COMPUTED_VALUE"""),25541)</f>
        <v>25541</v>
      </c>
      <c r="H450" s="111"/>
      <c r="I450" s="113">
        <f ca="1">IFERROR(__xludf.DUMMYFUNCTION("""COMPUTED_VALUE"""),0)</f>
        <v>0</v>
      </c>
      <c r="J450" s="111">
        <f ca="1">IFERROR(__xludf.DUMMYFUNCTION("""COMPUTED_VALUE"""),0)</f>
        <v>0</v>
      </c>
      <c r="K450" s="113">
        <f ca="1">IFERROR(__xludf.DUMMYFUNCTION("""COMPUTED_VALUE"""),25541)</f>
        <v>25541</v>
      </c>
      <c r="L450" s="114">
        <f ca="1">IFERROR(__xludf.DUMMYFUNCTION("""COMPUTED_VALUE"""),0)</f>
        <v>0</v>
      </c>
      <c r="M450" s="111"/>
      <c r="N450" s="111"/>
      <c r="O450" s="111"/>
      <c r="P450" s="111"/>
      <c r="Q450" s="112"/>
      <c r="R450" s="103"/>
      <c r="S450" s="103"/>
      <c r="T450" s="103"/>
      <c r="U450" s="103"/>
      <c r="V450" s="103"/>
      <c r="W450" s="103"/>
      <c r="X450" s="103"/>
      <c r="Y450" s="103"/>
      <c r="Z450" s="103"/>
      <c r="AA450" s="103"/>
    </row>
    <row r="451" spans="1:27" ht="63.75" x14ac:dyDescent="0.2">
      <c r="A451" s="110">
        <v>186</v>
      </c>
      <c r="B451" s="113" t="str">
        <f ca="1">IFERROR(__xludf.DUMMYFUNCTION("""COMPUTED_VALUE"""),"Минобр")</f>
        <v>Минобр</v>
      </c>
      <c r="C451" s="111" t="str">
        <f ca="1">IFERROR(__xludf.DUMMYFUNCTION("""COMPUTED_VALUE"""),"г.о. Ступино")</f>
        <v>г.о. Ступино</v>
      </c>
      <c r="D451" s="111" t="str">
        <f ca="1">IFERROR(__xludf.DUMMYFUNCTION("""COMPUTED_VALUE"""),"Капитальный ремонт МАДОУ «Мещеринский детский сад общеразвивающего вида «Светлячок» г.о. Ступино, в/ч 92551")</f>
        <v>Капитальный ремонт МАДОУ «Мещеринский детский сад общеразвивающего вида «Светлячок» г.о. Ступино, в/ч 92551</v>
      </c>
      <c r="E451" s="111">
        <f ca="1">IFERROR(__xludf.DUMMYFUNCTION("""COMPUTED_VALUE"""),2020)</f>
        <v>2020</v>
      </c>
      <c r="F451" s="113">
        <f ca="1">IFERROR(__xludf.DUMMYFUNCTION("""COMPUTED_VALUE"""),21595)</f>
        <v>21595</v>
      </c>
      <c r="G451" s="113">
        <f ca="1">IFERROR(__xludf.DUMMYFUNCTION("""COMPUTED_VALUE"""),21595)</f>
        <v>21595</v>
      </c>
      <c r="H451" s="111"/>
      <c r="I451" s="113">
        <f ca="1">IFERROR(__xludf.DUMMYFUNCTION("""COMPUTED_VALUE"""),0)</f>
        <v>0</v>
      </c>
      <c r="J451" s="111">
        <f ca="1">IFERROR(__xludf.DUMMYFUNCTION("""COMPUTED_VALUE"""),0)</f>
        <v>0</v>
      </c>
      <c r="K451" s="113">
        <f ca="1">IFERROR(__xludf.DUMMYFUNCTION("""COMPUTED_VALUE"""),21595)</f>
        <v>21595</v>
      </c>
      <c r="L451" s="114">
        <f ca="1">IFERROR(__xludf.DUMMYFUNCTION("""COMPUTED_VALUE"""),0)</f>
        <v>0</v>
      </c>
      <c r="M451" s="111"/>
      <c r="N451" s="111"/>
      <c r="O451" s="111"/>
      <c r="P451" s="111"/>
      <c r="Q451" s="112"/>
      <c r="R451" s="103"/>
      <c r="S451" s="103"/>
      <c r="T451" s="103"/>
      <c r="U451" s="103"/>
      <c r="V451" s="103"/>
      <c r="W451" s="103"/>
      <c r="X451" s="103"/>
      <c r="Y451" s="103"/>
      <c r="Z451" s="103"/>
      <c r="AA451" s="103"/>
    </row>
    <row r="452" spans="1:27" ht="76.5" x14ac:dyDescent="0.2">
      <c r="A452" s="116">
        <v>187</v>
      </c>
      <c r="B452" s="118" t="str">
        <f ca="1">IFERROR(__xludf.DUMMYFUNCTION("""COMPUTED_VALUE"""),"МинЖКХ ")</f>
        <v xml:space="preserve">МинЖКХ </v>
      </c>
      <c r="C452" s="117" t="str">
        <f ca="1">IFERROR(__xludf.DUMMYFUNCTION("""COMPUTED_VALUE"""),"г.о. Чехов")</f>
        <v>г.о. Чехов</v>
      </c>
      <c r="D452" s="117" t="str">
        <f ca="1">IFERROR(__xludf.DUMMYFUNCTION("""COMPUTED_VALUE"""),"Реконструкция очистных сооружений канализации по адресу: пос.Чернецкое, г. Чехов-7, ул. Победы, военный городок №  18, в том числе: проектно-изыскательские работы")</f>
        <v>Реконструкция очистных сооружений канализации по адресу: пос.Чернецкое, г. Чехов-7, ул. Победы, военный городок №  18, в том числе: проектно-изыскательские работы</v>
      </c>
      <c r="E452" s="117" t="str">
        <f ca="1">IFERROR(__xludf.DUMMYFUNCTION("""COMPUTED_VALUE"""),"2019-2022")</f>
        <v>2019-2022</v>
      </c>
      <c r="F452" s="118">
        <f ca="1">IFERROR(__xludf.DUMMYFUNCTION("""COMPUTED_VALUE"""),101465.53)</f>
        <v>101465.53</v>
      </c>
      <c r="G452" s="118">
        <f ca="1">IFERROR(__xludf.DUMMYFUNCTION("""COMPUTED_VALUE"""),0)</f>
        <v>0</v>
      </c>
      <c r="H452" s="117"/>
      <c r="I452" s="118">
        <f ca="1">IFERROR(__xludf.DUMMYFUNCTION("""COMPUTED_VALUE"""),101465.53)</f>
        <v>101465.53</v>
      </c>
      <c r="J452" s="117">
        <f ca="1">IFERROR(__xludf.DUMMYFUNCTION("""COMPUTED_VALUE"""),29863.29)</f>
        <v>29863.29</v>
      </c>
      <c r="K452" s="118">
        <f ca="1">IFERROR(__xludf.DUMMYFUNCTION("""COMPUTED_VALUE"""),71602.2399999999)</f>
        <v>71602.239999999903</v>
      </c>
      <c r="L452" s="119">
        <f ca="1">IFERROR(__xludf.DUMMYFUNCTION("""COMPUTED_VALUE"""),0.294319558573241)</f>
        <v>0.29431955857324099</v>
      </c>
      <c r="M452" s="117"/>
      <c r="N452" s="111"/>
      <c r="O452" s="111"/>
      <c r="P452" s="111"/>
      <c r="Q452" s="115">
        <v>44154</v>
      </c>
      <c r="R452" s="103"/>
      <c r="S452" s="103"/>
      <c r="T452" s="103"/>
      <c r="U452" s="103"/>
      <c r="V452" s="103"/>
      <c r="W452" s="103"/>
      <c r="X452" s="103"/>
      <c r="Y452" s="103"/>
      <c r="Z452" s="103"/>
      <c r="AA452" s="103"/>
    </row>
    <row r="453" spans="1:27" ht="178.5" x14ac:dyDescent="0.2">
      <c r="A453" s="116">
        <v>188</v>
      </c>
      <c r="B453" s="118" t="str">
        <f ca="1">IFERROR(__xludf.DUMMYFUNCTION("""COMPUTED_VALUE"""),"МинЖКХ ")</f>
        <v xml:space="preserve">МинЖКХ </v>
      </c>
      <c r="C453" s="117" t="str">
        <f ca="1">IFERROR(__xludf.DUMMYFUNCTION("""COMPUTED_VALUE"""),"г.о. Чехов")</f>
        <v>г.о. Чехов</v>
      </c>
      <c r="D453" s="117" t="str">
        <f ca="1">IFERROR(__xludf.DUMMYFUNCTION("""COMPUTED_VALUE"""),"Реконструкция котельной № 6 по адресу: пос.Чернецкое, г. Чехов-7, ул. Победы, военный городок №  18 (в том числе ПИР)")</f>
        <v>Реконструкция котельной № 6 по адресу: пос.Чернецкое, г. Чехов-7, ул. Победы, военный городок №  18 (в том числе ПИР)</v>
      </c>
      <c r="E453" s="117" t="str">
        <f ca="1">IFERROR(__xludf.DUMMYFUNCTION("""COMPUTED_VALUE"""),"2019-2022")</f>
        <v>2019-2022</v>
      </c>
      <c r="F453" s="118">
        <f ca="1">IFERROR(__xludf.DUMMYFUNCTION("""COMPUTED_VALUE"""),35707.65)</f>
        <v>35707.65</v>
      </c>
      <c r="G453" s="118">
        <f ca="1">IFERROR(__xludf.DUMMYFUNCTION("""COMPUTED_VALUE"""),0)</f>
        <v>0</v>
      </c>
      <c r="H453" s="117"/>
      <c r="I453" s="118">
        <f ca="1">IFERROR(__xludf.DUMMYFUNCTION("""COMPUTED_VALUE"""),35707.65)</f>
        <v>35707.65</v>
      </c>
      <c r="J453" s="117">
        <f ca="1">IFERROR(__xludf.DUMMYFUNCTION("""COMPUTED_VALUE"""),6978.66)</f>
        <v>6978.66</v>
      </c>
      <c r="K453" s="118">
        <f ca="1">IFERROR(__xludf.DUMMYFUNCTION("""COMPUTED_VALUE"""),28728.99)</f>
        <v>28728.99</v>
      </c>
      <c r="L453" s="119">
        <f ca="1">IFERROR(__xludf.DUMMYFUNCTION("""COMPUTED_VALUE"""),0.195438792527651)</f>
        <v>0.19543879252765101</v>
      </c>
      <c r="M453" s="117" t="str">
        <f ca="1">IFERROR(__xludf.DUMMYFUNCTION("""COMPUTED_VALUE"""),"Документация направлена на получение РС в ИСОГД – 09.11.2020 (возможны замечания, потребуется время на их устранение).
Запланировано перепроектирование. 
Ориентировочный заход в МОГЭ – 24.11.2020. Ориентировочный срок выхода из МОГЭ – февраль 2021 г. Ждут"&amp;" письмо от Минжилполитики, что РС не требуется, далее планируется оплата для закупки оборудования.")</f>
        <v>Документация направлена на получение РС в ИСОГД – 09.11.2020 (возможны замечания, потребуется время на их устранение).
Запланировано перепроектирование. 
Ориентировочный заход в МОГЭ – 24.11.2020. Ориентировочный срок выхода из МОГЭ – февраль 2021 г. Ждут письмо от Минжилполитики, что РС не требуется, далее планируется оплата для закупки оборудования.</v>
      </c>
      <c r="N453" s="111"/>
      <c r="O453" s="111"/>
      <c r="P453" s="111"/>
      <c r="Q453" s="115">
        <v>44154</v>
      </c>
      <c r="R453" s="103"/>
      <c r="S453" s="103"/>
      <c r="T453" s="103"/>
      <c r="U453" s="103"/>
      <c r="V453" s="103"/>
      <c r="W453" s="103"/>
      <c r="X453" s="103"/>
      <c r="Y453" s="103"/>
      <c r="Z453" s="103"/>
      <c r="AA453" s="103"/>
    </row>
    <row r="454" spans="1:27" ht="127.5" x14ac:dyDescent="0.2">
      <c r="A454" s="110">
        <v>189</v>
      </c>
      <c r="B454" s="113" t="str">
        <f ca="1">IFERROR(__xludf.DUMMYFUNCTION("""COMPUTED_VALUE"""),"МинЖКХ ")</f>
        <v xml:space="preserve">МинЖКХ </v>
      </c>
      <c r="C454" s="111" t="str">
        <f ca="1">IFERROR(__xludf.DUMMYFUNCTION("""COMPUTED_VALUE"""),"г.о. Чехов")</f>
        <v>г.о. Чехов</v>
      </c>
      <c r="D454" s="111" t="str">
        <f ca="1">IFERROR(__xludf.DUMMYFUNCTION("""COMPUTED_VALUE"""),"Реконструкция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- 17 992,0"&amp;"  т.р. за счет средств поступивших из города Москвы) в том числе:")</f>
        <v>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  т.р. за счет средств поступивших из города Москвы) в том числе:</v>
      </c>
      <c r="E454" s="111" t="str">
        <f ca="1">IFERROR(__xludf.DUMMYFUNCTION("""COMPUTED_VALUE"""),"2018-2020")</f>
        <v>2018-2020</v>
      </c>
      <c r="F454" s="113">
        <f ca="1">IFERROR(__xludf.DUMMYFUNCTION("""COMPUTED_VALUE"""),17992)</f>
        <v>17992</v>
      </c>
      <c r="G454" s="113">
        <f ca="1">IFERROR(__xludf.DUMMYFUNCTION("""COMPUTED_VALUE"""),0)</f>
        <v>0</v>
      </c>
      <c r="H454" s="111"/>
      <c r="I454" s="113">
        <f ca="1">IFERROR(__xludf.DUMMYFUNCTION("""COMPUTED_VALUE"""),17992)</f>
        <v>17992</v>
      </c>
      <c r="J454" s="111">
        <f ca="1">IFERROR(__xludf.DUMMYFUNCTION("""COMPUTED_VALUE"""),17992)</f>
        <v>17992</v>
      </c>
      <c r="K454" s="113">
        <f ca="1">IFERROR(__xludf.DUMMYFUNCTION("""COMPUTED_VALUE"""),0)</f>
        <v>0</v>
      </c>
      <c r="L454" s="114">
        <f ca="1">IFERROR(__xludf.DUMMYFUNCTION("""COMPUTED_VALUE"""),1)</f>
        <v>1</v>
      </c>
      <c r="M454" s="111"/>
      <c r="N454" s="111"/>
      <c r="O454" s="111"/>
      <c r="P454" s="111"/>
      <c r="Q454" s="112"/>
      <c r="R454" s="103"/>
      <c r="S454" s="103"/>
      <c r="T454" s="103"/>
      <c r="U454" s="103"/>
      <c r="V454" s="103"/>
      <c r="W454" s="103"/>
      <c r="X454" s="103"/>
      <c r="Y454" s="103"/>
      <c r="Z454" s="103"/>
      <c r="AA454" s="103"/>
    </row>
    <row r="455" spans="1:27" ht="140.25" x14ac:dyDescent="0.2">
      <c r="A455" s="116">
        <v>190</v>
      </c>
      <c r="B455" s="118" t="str">
        <f ca="1">IFERROR(__xludf.DUMMYFUNCTION("""COMPUTED_VALUE"""),"МинЖКХ ")</f>
        <v xml:space="preserve">МинЖКХ </v>
      </c>
      <c r="C455" s="117" t="str">
        <f ca="1">IFERROR(__xludf.DUMMYFUNCTION("""COMPUTED_VALUE"""),"г.о. Чехов")</f>
        <v>г.о. Чехов</v>
      </c>
      <c r="D455" s="117" t="str">
        <f ca="1">IFERROR(__xludf.DUMMYFUNCTION("""COMPUTED_VALUE"""),"Реконструкция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поступивших"&amp;" из города Москвы
 ")</f>
        <v xml:space="preserv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 из города Москвы
 </v>
      </c>
      <c r="E455" s="117" t="str">
        <f ca="1">IFERROR(__xludf.DUMMYFUNCTION("""COMPUTED_VALUE"""),"2019-2020")</f>
        <v>2019-2020</v>
      </c>
      <c r="F455" s="118">
        <f ca="1">IFERROR(__xludf.DUMMYFUNCTION("""COMPUTED_VALUE"""),95347.66)</f>
        <v>95347.66</v>
      </c>
      <c r="G455" s="118">
        <f ca="1">IFERROR(__xludf.DUMMYFUNCTION("""COMPUTED_VALUE"""),0)</f>
        <v>0</v>
      </c>
      <c r="H455" s="117"/>
      <c r="I455" s="118">
        <f ca="1">IFERROR(__xludf.DUMMYFUNCTION("""COMPUTED_VALUE"""),95347.66)</f>
        <v>95347.66</v>
      </c>
      <c r="J455" s="117">
        <f ca="1">IFERROR(__xludf.DUMMYFUNCTION("""COMPUTED_VALUE"""),65700.56)</f>
        <v>65700.56</v>
      </c>
      <c r="K455" s="118">
        <f ca="1">IFERROR(__xludf.DUMMYFUNCTION("""COMPUTED_VALUE"""),29647.1)</f>
        <v>29647.1</v>
      </c>
      <c r="L455" s="119">
        <f ca="1">IFERROR(__xludf.DUMMYFUNCTION("""COMPUTED_VALUE"""),0.689063161067612)</f>
        <v>0.68906316106761201</v>
      </c>
      <c r="M455" s="117"/>
      <c r="N455" s="111"/>
      <c r="O455" s="111"/>
      <c r="P455" s="111"/>
      <c r="Q455" s="115">
        <v>44154</v>
      </c>
      <c r="R455" s="103"/>
      <c r="S455" s="103"/>
      <c r="T455" s="103"/>
      <c r="U455" s="103"/>
      <c r="V455" s="103"/>
      <c r="W455" s="103"/>
      <c r="X455" s="103"/>
      <c r="Y455" s="103"/>
      <c r="Z455" s="103"/>
      <c r="AA455" s="103"/>
    </row>
    <row r="456" spans="1:27" ht="89.25" x14ac:dyDescent="0.2">
      <c r="A456" s="111"/>
      <c r="B456" s="113" t="str">
        <f ca="1">IFERROR(__xludf.DUMMYFUNCTION("""COMPUTED_VALUE"""),"МинЖКХ ")</f>
        <v xml:space="preserve">МинЖКХ </v>
      </c>
      <c r="C456" s="111" t="str">
        <f ca="1">IFERROR(__xludf.DUMMYFUNCTION("""COMPUTED_VALUE"""),"г.о. Щелково")</f>
        <v>г.о. Щелково</v>
      </c>
      <c r="D456" s="111" t="str">
        <f ca="1">IFERROR(__xludf.DUMMYFUNCTION("""COMPUTED_VALUE"""),"Строительство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f>
        <v>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v>
      </c>
      <c r="E456" s="113" t="str">
        <f ca="1">IFERROR(__xludf.DUMMYFUNCTION("""COMPUTED_VALUE"""),"2021-2022")</f>
        <v>2021-2022</v>
      </c>
      <c r="F456" s="113">
        <f ca="1">IFERROR(__xludf.DUMMYFUNCTION("""COMPUTED_VALUE"""),0)</f>
        <v>0</v>
      </c>
      <c r="G456" s="113">
        <f ca="1">IFERROR(__xludf.DUMMYFUNCTION("""COMPUTED_VALUE"""),0)</f>
        <v>0</v>
      </c>
      <c r="H456" s="111"/>
      <c r="I456" s="113">
        <f ca="1">IFERROR(__xludf.DUMMYFUNCTION("""COMPUTED_VALUE"""),0)</f>
        <v>0</v>
      </c>
      <c r="J456" s="111">
        <f ca="1">IFERROR(__xludf.DUMMYFUNCTION("""COMPUTED_VALUE"""),0)</f>
        <v>0</v>
      </c>
      <c r="K456" s="113">
        <f ca="1">IFERROR(__xludf.DUMMYFUNCTION("""COMPUTED_VALUE"""),0)</f>
        <v>0</v>
      </c>
      <c r="L456" s="114" t="str">
        <f ca="1">IFERROR(__xludf.DUMMYFUNCTION("""COMPUTED_VALUE"""),"#DIV/0!")</f>
        <v>#DIV/0!</v>
      </c>
      <c r="M456" s="111"/>
      <c r="N456" s="111"/>
      <c r="O456" s="111"/>
      <c r="P456" s="111"/>
      <c r="Q456" s="112"/>
      <c r="R456" s="103"/>
      <c r="S456" s="103"/>
      <c r="T456" s="103"/>
      <c r="U456" s="103"/>
      <c r="V456" s="103"/>
      <c r="W456" s="103"/>
      <c r="X456" s="103"/>
      <c r="Y456" s="103"/>
      <c r="Z456" s="103"/>
      <c r="AA456" s="103"/>
    </row>
    <row r="457" spans="1:27" ht="153" x14ac:dyDescent="0.2">
      <c r="A457" s="110">
        <v>191</v>
      </c>
      <c r="B457" s="113" t="str">
        <f ca="1">IFERROR(__xludf.DUMMYFUNCTION("""COMPUTED_VALUE"""),"Минкульт")</f>
        <v>Минкульт</v>
      </c>
      <c r="C457" s="111" t="str">
        <f ca="1">IFERROR(__xludf.DUMMYFUNCTION("""COMPUTED_VALUE"""),"г.о. Щелково ")</f>
        <v xml:space="preserve">г.о. Щелково </v>
      </c>
      <c r="D457" s="111" t="str">
        <f ca="1">IFERROR(__xludf.DUMMYFUNCTION("""COMPUTED_VALUE"""),"Капитальный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f>
        <v xml:space="preserv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v>
      </c>
      <c r="E457" s="111" t="str">
        <f ca="1">IFERROR(__xludf.DUMMYFUNCTION("""COMPUTED_VALUE"""),"2016-2022")</f>
        <v>2016-2022</v>
      </c>
      <c r="F457" s="113">
        <f ca="1">IFERROR(__xludf.DUMMYFUNCTION("""COMPUTED_VALUE"""),13535.5999999999)</f>
        <v>13535.5999999999</v>
      </c>
      <c r="G457" s="113">
        <f ca="1">IFERROR(__xludf.DUMMYFUNCTION("""COMPUTED_VALUE"""),13535.5999999999)</f>
        <v>13535.5999999999</v>
      </c>
      <c r="H457" s="111"/>
      <c r="I457" s="113">
        <f ca="1">IFERROR(__xludf.DUMMYFUNCTION("""COMPUTED_VALUE"""),0)</f>
        <v>0</v>
      </c>
      <c r="J457" s="111">
        <f ca="1">IFERROR(__xludf.DUMMYFUNCTION("""COMPUTED_VALUE"""),0)</f>
        <v>0</v>
      </c>
      <c r="K457" s="113">
        <f ca="1">IFERROR(__xludf.DUMMYFUNCTION("""COMPUTED_VALUE"""),13535.5999999999)</f>
        <v>13535.5999999999</v>
      </c>
      <c r="L457" s="114">
        <f ca="1">IFERROR(__xludf.DUMMYFUNCTION("""COMPUTED_VALUE"""),0)</f>
        <v>0</v>
      </c>
      <c r="M457" s="111"/>
      <c r="N457" s="111"/>
      <c r="O457" s="111"/>
      <c r="P457" s="111"/>
      <c r="Q457" s="112"/>
      <c r="R457" s="103"/>
      <c r="S457" s="103"/>
      <c r="T457" s="103"/>
      <c r="U457" s="103"/>
      <c r="V457" s="103"/>
      <c r="W457" s="103"/>
      <c r="X457" s="103"/>
      <c r="Y457" s="103"/>
      <c r="Z457" s="103"/>
      <c r="AA457" s="103"/>
    </row>
    <row r="458" spans="1:27" ht="127.5" x14ac:dyDescent="0.2">
      <c r="A458" s="110">
        <v>192</v>
      </c>
      <c r="B458" s="113" t="str">
        <f ca="1">IFERROR(__xludf.DUMMYFUNCTION("""COMPUTED_VALUE"""),"Минкульт")</f>
        <v>Минкульт</v>
      </c>
      <c r="C458" s="111" t="str">
        <f ca="1">IFERROR(__xludf.DUMMYFUNCTION("""COMPUTED_VALUE"""),"г.о. Щелково ")</f>
        <v xml:space="preserve">г.о. Щелково </v>
      </c>
      <c r="D458" s="111" t="str">
        <f ca="1">IFERROR(__xludf.DUMMYFUNCTION("""COMPUTED_VALUE"""),"Капитальный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f>
        <v xml:space="preserv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v>
      </c>
      <c r="E458" s="111" t="str">
        <f ca="1">IFERROR(__xludf.DUMMYFUNCTION("""COMPUTED_VALUE"""),"2019-2021")</f>
        <v>2019-2021</v>
      </c>
      <c r="F458" s="113">
        <f ca="1">IFERROR(__xludf.DUMMYFUNCTION("""COMPUTED_VALUE"""),76785.2999999999)</f>
        <v>76785.299999999901</v>
      </c>
      <c r="G458" s="113">
        <f ca="1">IFERROR(__xludf.DUMMYFUNCTION("""COMPUTED_VALUE"""),76785.2999999999)</f>
        <v>76785.299999999901</v>
      </c>
      <c r="H458" s="111"/>
      <c r="I458" s="113">
        <f ca="1">IFERROR(__xludf.DUMMYFUNCTION("""COMPUTED_VALUE"""),0)</f>
        <v>0</v>
      </c>
      <c r="J458" s="111">
        <f ca="1">IFERROR(__xludf.DUMMYFUNCTION("""COMPUTED_VALUE"""),0)</f>
        <v>0</v>
      </c>
      <c r="K458" s="113">
        <f ca="1">IFERROR(__xludf.DUMMYFUNCTION("""COMPUTED_VALUE"""),76785.2999999999)</f>
        <v>76785.299999999901</v>
      </c>
      <c r="L458" s="114">
        <f ca="1">IFERROR(__xludf.DUMMYFUNCTION("""COMPUTED_VALUE"""),0)</f>
        <v>0</v>
      </c>
      <c r="M458" s="111"/>
      <c r="N458" s="111"/>
      <c r="O458" s="111"/>
      <c r="P458" s="111"/>
      <c r="Q458" s="112"/>
      <c r="R458" s="103"/>
      <c r="S458" s="103"/>
      <c r="T458" s="103"/>
      <c r="U458" s="103"/>
      <c r="V458" s="103"/>
      <c r="W458" s="103"/>
      <c r="X458" s="103"/>
      <c r="Y458" s="103"/>
      <c r="Z458" s="103"/>
      <c r="AA458" s="103"/>
    </row>
    <row r="459" spans="1:27" ht="178.5" x14ac:dyDescent="0.2">
      <c r="A459" s="110">
        <v>193</v>
      </c>
      <c r="B459" s="113" t="str">
        <f ca="1">IFERROR(__xludf.DUMMYFUNCTION("""COMPUTED_VALUE"""),"МинЖКХ")</f>
        <v>МинЖКХ</v>
      </c>
      <c r="C459" s="111" t="str">
        <f ca="1">IFERROR(__xludf.DUMMYFUNCTION("""COMPUTED_VALUE"""),"г.о. Щелково")</f>
        <v>г.о. Щелково</v>
      </c>
      <c r="D459" s="111" t="str">
        <f ca="1">IFERROR(__xludf.DUMMYFUNCTION("""COMPUTED_VALUE"""),"Проведение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Щ"&amp;"елковский район, г. Щелково (Щелково-4, ул. Беляева) - с.п. Анискинское (д. Леониха) - г. Щелково (Щелково-3),военный городок Щелково 3-4")</f>
        <v>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Щелковский район, г. Щелково (Щелково-4, ул. Беляева) - с.п. Анискинское (д. Леониха) - г. Щелково (Щелково-3),военный городок Щелково 3-4</v>
      </c>
      <c r="E459" s="111" t="str">
        <f ca="1">IFERROR(__xludf.DUMMYFUNCTION("""COMPUTED_VALUE"""),"2019-2020")</f>
        <v>2019-2020</v>
      </c>
      <c r="F459" s="113">
        <f ca="1">IFERROR(__xludf.DUMMYFUNCTION("""COMPUTED_VALUE"""),81667)</f>
        <v>81667</v>
      </c>
      <c r="G459" s="113">
        <f ca="1">IFERROR(__xludf.DUMMYFUNCTION("""COMPUTED_VALUE"""),81667)</f>
        <v>81667</v>
      </c>
      <c r="H459" s="111"/>
      <c r="I459" s="113">
        <f ca="1">IFERROR(__xludf.DUMMYFUNCTION("""COMPUTED_VALUE"""),0)</f>
        <v>0</v>
      </c>
      <c r="J459" s="111">
        <f ca="1">IFERROR(__xludf.DUMMYFUNCTION("""COMPUTED_VALUE"""),78165.32)</f>
        <v>78165.320000000007</v>
      </c>
      <c r="K459" s="113">
        <f ca="1">IFERROR(__xludf.DUMMYFUNCTION("""COMPUTED_VALUE"""),3501.67999999999)</f>
        <v>3501.6799999999898</v>
      </c>
      <c r="L459" s="114">
        <f ca="1">IFERROR(__xludf.DUMMYFUNCTION("""COMPUTED_VALUE"""),0.95712246072465)</f>
        <v>0.95712246072465001</v>
      </c>
      <c r="M459" s="111"/>
      <c r="N459" s="111"/>
      <c r="O459" s="111"/>
      <c r="P459" s="111"/>
      <c r="Q459" s="112"/>
      <c r="R459" s="103"/>
      <c r="S459" s="103"/>
      <c r="T459" s="103"/>
      <c r="U459" s="103"/>
      <c r="V459" s="103"/>
      <c r="W459" s="103"/>
      <c r="X459" s="103"/>
      <c r="Y459" s="103"/>
      <c r="Z459" s="103"/>
      <c r="AA459" s="103"/>
    </row>
    <row r="460" spans="1:27" ht="89.25" x14ac:dyDescent="0.2">
      <c r="A460" s="111"/>
      <c r="B460" s="113" t="str">
        <f ca="1">IFERROR(__xludf.DUMMYFUNCTION("""COMPUTED_VALUE"""),"МинЖКХ ")</f>
        <v xml:space="preserve">МинЖКХ </v>
      </c>
      <c r="C460" s="111" t="str">
        <f ca="1">IFERROR(__xludf.DUMMYFUNCTION("""COMPUTED_VALUE"""),"г.о. Электросталь ")</f>
        <v xml:space="preserve">г.о. Электросталь </v>
      </c>
      <c r="D460" s="111" t="str">
        <f ca="1">IFERROR(__xludf.DUMMYFUNCTION("""COMPUTED_VALUE"""),"Капитальный ремонт теплообменников и насосного оборудования на ЦТП сельское поселение Степановское, село
Всеволодово, военный городок Ногинск-5
")</f>
        <v xml:space="preserve">Капитальный ремонт теплообменников и насосного оборудования на ЦТП сельское поселение Степановское, село
Всеволодово, военный городок Ногинск-5
</v>
      </c>
      <c r="E460" s="111">
        <f ca="1">IFERROR(__xludf.DUMMYFUNCTION("""COMPUTED_VALUE"""),2022)</f>
        <v>2022</v>
      </c>
      <c r="F460" s="113">
        <f ca="1">IFERROR(__xludf.DUMMYFUNCTION("""COMPUTED_VALUE"""),0)</f>
        <v>0</v>
      </c>
      <c r="G460" s="113">
        <f ca="1">IFERROR(__xludf.DUMMYFUNCTION("""COMPUTED_VALUE"""),0)</f>
        <v>0</v>
      </c>
      <c r="H460" s="111"/>
      <c r="I460" s="113">
        <f ca="1">IFERROR(__xludf.DUMMYFUNCTION("""COMPUTED_VALUE"""),0)</f>
        <v>0</v>
      </c>
      <c r="J460" s="111">
        <f ca="1">IFERROR(__xludf.DUMMYFUNCTION("""COMPUTED_VALUE"""),0)</f>
        <v>0</v>
      </c>
      <c r="K460" s="113">
        <f ca="1">IFERROR(__xludf.DUMMYFUNCTION("""COMPUTED_VALUE"""),0)</f>
        <v>0</v>
      </c>
      <c r="L460" s="114" t="str">
        <f ca="1">IFERROR(__xludf.DUMMYFUNCTION("""COMPUTED_VALUE"""),"#DIV/0!")</f>
        <v>#DIV/0!</v>
      </c>
      <c r="M460" s="111"/>
      <c r="N460" s="111"/>
      <c r="O460" s="111"/>
      <c r="P460" s="111"/>
      <c r="Q460" s="112"/>
      <c r="R460" s="103"/>
      <c r="S460" s="103"/>
      <c r="T460" s="103"/>
      <c r="U460" s="103"/>
      <c r="V460" s="103"/>
      <c r="W460" s="103"/>
      <c r="X460" s="103"/>
      <c r="Y460" s="103"/>
      <c r="Z460" s="103"/>
      <c r="AA460" s="103"/>
    </row>
    <row r="461" spans="1:27" ht="76.5" x14ac:dyDescent="0.2">
      <c r="A461" s="110">
        <v>194</v>
      </c>
      <c r="B461" s="113" t="str">
        <f ca="1">IFERROR(__xludf.DUMMYFUNCTION("""COMPUTED_VALUE"""),"Минкульт")</f>
        <v>Минкульт</v>
      </c>
      <c r="C461" s="111" t="str">
        <f ca="1">IFERROR(__xludf.DUMMYFUNCTION("""COMPUTED_VALUE""")," г.о. Электросталь")</f>
        <v xml:space="preserve"> г.о. Электросталь</v>
      </c>
      <c r="D461" s="111" t="str">
        <f ca="1">IFERROR(__xludf.DUMMYFUNCTION("""COMPUTED_VALUE"""),"Капитальный ремонт и техническое переоснащение здания Дома культуры «Всеволодово» ф-л МБУК «СДК «Елизаветино» д. Всеволодово, д. 90, военный городок Ногинск-5")</f>
        <v>Капитальный ремонт и техническое переоснащение здания Дома культуры «Всеволодово» ф-л МБУК «СДК «Елизаветино» д. Всеволодово, д. 90, военный городок Ногинск-5</v>
      </c>
      <c r="E461" s="111" t="str">
        <f ca="1">IFERROR(__xludf.DUMMYFUNCTION("""COMPUTED_VALUE"""),"2018-2020")</f>
        <v>2018-2020</v>
      </c>
      <c r="F461" s="113">
        <f ca="1">IFERROR(__xludf.DUMMYFUNCTION("""COMPUTED_VALUE"""),43181)</f>
        <v>43181</v>
      </c>
      <c r="G461" s="113">
        <f ca="1">IFERROR(__xludf.DUMMYFUNCTION("""COMPUTED_VALUE"""),43181)</f>
        <v>43181</v>
      </c>
      <c r="H461" s="111"/>
      <c r="I461" s="113">
        <f ca="1">IFERROR(__xludf.DUMMYFUNCTION("""COMPUTED_VALUE"""),0)</f>
        <v>0</v>
      </c>
      <c r="J461" s="111">
        <f ca="1">IFERROR(__xludf.DUMMYFUNCTION("""COMPUTED_VALUE"""),0)</f>
        <v>0</v>
      </c>
      <c r="K461" s="113">
        <f ca="1">IFERROR(__xludf.DUMMYFUNCTION("""COMPUTED_VALUE"""),43181)</f>
        <v>43181</v>
      </c>
      <c r="L461" s="114">
        <f ca="1">IFERROR(__xludf.DUMMYFUNCTION("""COMPUTED_VALUE"""),0)</f>
        <v>0</v>
      </c>
      <c r="M461" s="111"/>
      <c r="N461" s="111"/>
      <c r="O461" s="111"/>
      <c r="P461" s="111"/>
      <c r="Q461" s="112"/>
      <c r="R461" s="103"/>
      <c r="S461" s="103"/>
      <c r="T461" s="103"/>
      <c r="U461" s="103"/>
      <c r="V461" s="103"/>
      <c r="W461" s="103"/>
      <c r="X461" s="103"/>
      <c r="Y461" s="103"/>
      <c r="Z461" s="103"/>
      <c r="AA461" s="103"/>
    </row>
    <row r="462" spans="1:27" ht="38.25" x14ac:dyDescent="0.2">
      <c r="A462" s="110">
        <v>195</v>
      </c>
      <c r="B462" s="113" t="str">
        <f ca="1">IFERROR(__xludf.DUMMYFUNCTION("""COMPUTED_VALUE"""),"МинЖКХ ")</f>
        <v xml:space="preserve">МинЖКХ </v>
      </c>
      <c r="C462" s="111" t="str">
        <f ca="1">IFERROR(__xludf.DUMMYFUNCTION("""COMPUTED_VALUE"""),"г.о. Электросталь ")</f>
        <v xml:space="preserve">г.о. Электросталь </v>
      </c>
      <c r="D462" s="111" t="str">
        <f ca="1">IFERROR(__xludf.DUMMYFUNCTION("""COMPUTED_VALUE"""),"Реконструкция очистных сооружений, в/г Ногинск-5, д. Всеволодово, Электросталь г.о. ")</f>
        <v xml:space="preserve">Реконструкция очистных сооружений, в/г Ногинск-5, д. Всеволодово, Электросталь г.о. </v>
      </c>
      <c r="E462" s="121" t="str">
        <f ca="1">IFERROR(__xludf.DUMMYFUNCTION("""COMPUTED_VALUE"""),"2019-2022")</f>
        <v>2019-2022</v>
      </c>
      <c r="F462" s="113">
        <f ca="1">IFERROR(__xludf.DUMMYFUNCTION("""COMPUTED_VALUE"""),17584)</f>
        <v>17584</v>
      </c>
      <c r="G462" s="113">
        <f ca="1">IFERROR(__xludf.DUMMYFUNCTION("""COMPUTED_VALUE"""),0)</f>
        <v>0</v>
      </c>
      <c r="H462" s="111"/>
      <c r="I462" s="113">
        <f ca="1">IFERROR(__xludf.DUMMYFUNCTION("""COMPUTED_VALUE"""),17584)</f>
        <v>17584</v>
      </c>
      <c r="J462" s="111">
        <f ca="1">IFERROR(__xludf.DUMMYFUNCTION("""COMPUTED_VALUE"""),17584)</f>
        <v>17584</v>
      </c>
      <c r="K462" s="113">
        <f ca="1">IFERROR(__xludf.DUMMYFUNCTION("""COMPUTED_VALUE"""),0)</f>
        <v>0</v>
      </c>
      <c r="L462" s="114">
        <f ca="1">IFERROR(__xludf.DUMMYFUNCTION("""COMPUTED_VALUE"""),1)</f>
        <v>1</v>
      </c>
      <c r="M462" s="111"/>
      <c r="N462" s="111"/>
      <c r="O462" s="111"/>
      <c r="P462" s="111"/>
      <c r="Q462" s="112"/>
      <c r="R462" s="103"/>
      <c r="S462" s="103"/>
      <c r="T462" s="103"/>
      <c r="U462" s="103"/>
      <c r="V462" s="103"/>
      <c r="W462" s="103"/>
      <c r="X462" s="103"/>
      <c r="Y462" s="103"/>
      <c r="Z462" s="103"/>
      <c r="AA462" s="103"/>
    </row>
    <row r="463" spans="1:27" ht="51" x14ac:dyDescent="0.2">
      <c r="A463" s="111"/>
      <c r="B463" s="113" t="str">
        <f ca="1">IFERROR(__xludf.DUMMYFUNCTION("""COMPUTED_VALUE"""),"МинЖКХ ")</f>
        <v xml:space="preserve">МинЖКХ </v>
      </c>
      <c r="C463" s="111" t="str">
        <f ca="1">IFERROR(__xludf.DUMMYFUNCTION("""COMPUTED_VALUE"""),"г.о. Электросталь ")</f>
        <v xml:space="preserve">г.о. Электросталь </v>
      </c>
      <c r="D463" s="111" t="str">
        <f ca="1">IFERROR(__xludf.DUMMYFUNCTION("""COMPUTED_VALUE"""),"Капитальный ремонт напорного коллектора сельское поселение Степановское, село Всеволодово военный городок Ногинск-5")</f>
        <v>Капитальный ремонт напорного коллектора сельское поселение Степановское, село Всеволодово военный городок Ногинск-5</v>
      </c>
      <c r="E463" s="111">
        <f ca="1">IFERROR(__xludf.DUMMYFUNCTION("""COMPUTED_VALUE"""),2019)</f>
        <v>2019</v>
      </c>
      <c r="F463" s="113">
        <f ca="1">IFERROR(__xludf.DUMMYFUNCTION("""COMPUTED_VALUE"""),0)</f>
        <v>0</v>
      </c>
      <c r="G463" s="113">
        <f ca="1">IFERROR(__xludf.DUMMYFUNCTION("""COMPUTED_VALUE"""),0)</f>
        <v>0</v>
      </c>
      <c r="H463" s="111"/>
      <c r="I463" s="113">
        <f ca="1">IFERROR(__xludf.DUMMYFUNCTION("""COMPUTED_VALUE"""),0)</f>
        <v>0</v>
      </c>
      <c r="J463" s="111">
        <f ca="1">IFERROR(__xludf.DUMMYFUNCTION("""COMPUTED_VALUE"""),0)</f>
        <v>0</v>
      </c>
      <c r="K463" s="113">
        <f ca="1">IFERROR(__xludf.DUMMYFUNCTION("""COMPUTED_VALUE"""),0)</f>
        <v>0</v>
      </c>
      <c r="L463" s="114" t="str">
        <f ca="1">IFERROR(__xludf.DUMMYFUNCTION("""COMPUTED_VALUE"""),"#DIV/0!")</f>
        <v>#DIV/0!</v>
      </c>
      <c r="M463" s="111"/>
      <c r="N463" s="111"/>
      <c r="O463" s="111"/>
      <c r="P463" s="111"/>
      <c r="Q463" s="112"/>
      <c r="R463" s="103"/>
      <c r="S463" s="103"/>
      <c r="T463" s="103"/>
      <c r="U463" s="103"/>
      <c r="V463" s="103"/>
      <c r="W463" s="103"/>
      <c r="X463" s="103"/>
      <c r="Y463" s="103"/>
      <c r="Z463" s="103"/>
      <c r="AA463" s="103"/>
    </row>
    <row r="464" spans="1:27" ht="51" x14ac:dyDescent="0.2">
      <c r="A464" s="111"/>
      <c r="B464" s="113" t="str">
        <f ca="1">IFERROR(__xludf.DUMMYFUNCTION("""COMPUTED_VALUE"""),"МинЖКХ ")</f>
        <v xml:space="preserve">МинЖКХ </v>
      </c>
      <c r="C464" s="111" t="str">
        <f ca="1">IFERROR(__xludf.DUMMYFUNCTION("""COMPUTED_VALUE"""),"г.о. Электросталь ")</f>
        <v xml:space="preserve">г.о. Электросталь </v>
      </c>
      <c r="D464" s="111" t="str">
        <f ca="1">IFERROR(__xludf.DUMMYFUNCTION("""COMPUTED_VALUE"""),"Капитальный ремонт котельной (2-й этап)  по адресу: Московская область, г.о. Электросталь, военный городок Ногинск-5")</f>
        <v>Капитальный ремонт котельной (2-й этап)  по адресу: Московская область, г.о. Электросталь, военный городок Ногинск-5</v>
      </c>
      <c r="E464" s="111">
        <f ca="1">IFERROR(__xludf.DUMMYFUNCTION("""COMPUTED_VALUE"""),2022)</f>
        <v>2022</v>
      </c>
      <c r="F464" s="113">
        <f ca="1">IFERROR(__xludf.DUMMYFUNCTION("""COMPUTED_VALUE"""),0)</f>
        <v>0</v>
      </c>
      <c r="G464" s="113">
        <f ca="1">IFERROR(__xludf.DUMMYFUNCTION("""COMPUTED_VALUE"""),0)</f>
        <v>0</v>
      </c>
      <c r="H464" s="111"/>
      <c r="I464" s="113">
        <f ca="1">IFERROR(__xludf.DUMMYFUNCTION("""COMPUTED_VALUE"""),0)</f>
        <v>0</v>
      </c>
      <c r="J464" s="111">
        <f ca="1">IFERROR(__xludf.DUMMYFUNCTION("""COMPUTED_VALUE"""),0)</f>
        <v>0</v>
      </c>
      <c r="K464" s="113">
        <f ca="1">IFERROR(__xludf.DUMMYFUNCTION("""COMPUTED_VALUE"""),0)</f>
        <v>0</v>
      </c>
      <c r="L464" s="114" t="str">
        <f ca="1">IFERROR(__xludf.DUMMYFUNCTION("""COMPUTED_VALUE"""),"#DIV/0!")</f>
        <v>#DIV/0!</v>
      </c>
      <c r="M464" s="111"/>
      <c r="N464" s="111"/>
      <c r="O464" s="111"/>
      <c r="P464" s="111"/>
      <c r="Q464" s="112"/>
      <c r="R464" s="103"/>
      <c r="S464" s="103"/>
      <c r="T464" s="103"/>
      <c r="U464" s="103"/>
      <c r="V464" s="103"/>
      <c r="W464" s="103"/>
      <c r="X464" s="103"/>
      <c r="Y464" s="103"/>
      <c r="Z464" s="103"/>
      <c r="AA464" s="103"/>
    </row>
    <row r="465" spans="1:27" ht="102" x14ac:dyDescent="0.2">
      <c r="A465" s="110">
        <v>196</v>
      </c>
      <c r="B465" s="111"/>
      <c r="C465" s="111" t="str">
        <f ca="1">IFERROR(__xludf.DUMMYFUNCTION("""COMPUTED_VALUE"""),"(ЗТО) г.о. Воскресенск")</f>
        <v>(ЗТО) г.о. Воскресенск</v>
      </c>
      <c r="D465" s="111" t="str">
        <f ca="1">IFERROR(__xludf.DUMMYFUNCTION("""COMPUTED_VALUE"""),"Строительство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f>
        <v>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v>
      </c>
      <c r="E465" s="111" t="str">
        <f ca="1">IFERROR(__xludf.DUMMYFUNCTION("""COMPUTED_VALUE"""),"2020-2021")</f>
        <v>2020-2021</v>
      </c>
      <c r="F465" s="113">
        <f ca="1">IFERROR(__xludf.DUMMYFUNCTION("""COMPUTED_VALUE"""),11223.35)</f>
        <v>11223.35</v>
      </c>
      <c r="G465" s="113">
        <f ca="1">IFERROR(__xludf.DUMMYFUNCTION("""COMPUTED_VALUE"""),0)</f>
        <v>0</v>
      </c>
      <c r="H465" s="113">
        <f ca="1">IFERROR(__xludf.DUMMYFUNCTION("""COMPUTED_VALUE"""),0)</f>
        <v>0</v>
      </c>
      <c r="I465" s="113">
        <f ca="1">IFERROR(__xludf.DUMMYFUNCTION("""COMPUTED_VALUE"""),11223.35)</f>
        <v>11223.35</v>
      </c>
      <c r="J465" s="111"/>
      <c r="K465" s="111"/>
      <c r="L465" s="111"/>
      <c r="M465" s="111"/>
      <c r="N465" s="111"/>
      <c r="O465" s="111"/>
      <c r="P465" s="111"/>
      <c r="Q465" s="112"/>
      <c r="R465" s="103"/>
      <c r="S465" s="103"/>
      <c r="T465" s="103"/>
      <c r="U465" s="103"/>
      <c r="V465" s="103"/>
      <c r="W465" s="103"/>
      <c r="X465" s="103"/>
      <c r="Y465" s="103"/>
      <c r="Z465" s="103"/>
      <c r="AA465" s="103"/>
    </row>
    <row r="466" spans="1:27" ht="102" x14ac:dyDescent="0.2">
      <c r="A466" s="110">
        <v>197</v>
      </c>
      <c r="B466" s="111"/>
      <c r="C466" s="111" t="str">
        <f ca="1">IFERROR(__xludf.DUMMYFUNCTION("""COMPUTED_VALUE"""),"(ЗТО) г.о. Воскресенск")</f>
        <v>(ЗТО) г.о. Воскресенск</v>
      </c>
      <c r="D466" s="111" t="str">
        <f ca="1">IFERROR(__xludf.DUMMYFUNCTION("""COMPUTED_VALUE"""),"Строительство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f>
        <v>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v>
      </c>
      <c r="E466" s="111" t="str">
        <f ca="1">IFERROR(__xludf.DUMMYFUNCTION("""COMPUTED_VALUE"""),"2020-2021")</f>
        <v>2020-2021</v>
      </c>
      <c r="F466" s="113">
        <f ca="1">IFERROR(__xludf.DUMMYFUNCTION("""COMPUTED_VALUE"""),12908.95)</f>
        <v>12908.95</v>
      </c>
      <c r="G466" s="113">
        <f ca="1">IFERROR(__xludf.DUMMYFUNCTION("""COMPUTED_VALUE"""),0)</f>
        <v>0</v>
      </c>
      <c r="H466" s="113">
        <f ca="1">IFERROR(__xludf.DUMMYFUNCTION("""COMPUTED_VALUE"""),0)</f>
        <v>0</v>
      </c>
      <c r="I466" s="113">
        <f ca="1">IFERROR(__xludf.DUMMYFUNCTION("""COMPUTED_VALUE"""),12908.95)</f>
        <v>12908.95</v>
      </c>
      <c r="J466" s="111"/>
      <c r="K466" s="111"/>
      <c r="L466" s="111"/>
      <c r="M466" s="111"/>
      <c r="N466" s="111"/>
      <c r="O466" s="111"/>
      <c r="P466" s="111"/>
      <c r="Q466" s="112"/>
      <c r="R466" s="103"/>
      <c r="S466" s="103"/>
      <c r="T466" s="103"/>
      <c r="U466" s="103"/>
      <c r="V466" s="103"/>
      <c r="W466" s="103"/>
      <c r="X466" s="103"/>
      <c r="Y466" s="103"/>
      <c r="Z466" s="103"/>
      <c r="AA466" s="103"/>
    </row>
    <row r="467" spans="1:27" ht="102" x14ac:dyDescent="0.2">
      <c r="A467" s="110">
        <v>198</v>
      </c>
      <c r="B467" s="111"/>
      <c r="C467" s="111" t="str">
        <f ca="1">IFERROR(__xludf.DUMMYFUNCTION("""COMPUTED_VALUE"""),"(ЗТО) г.о. Воскресенск")</f>
        <v>(ЗТО) г.о. Воскресенск</v>
      </c>
      <c r="D467" s="111" t="str">
        <f ca="1">IFERROR(__xludf.DUMMYFUNCTION("""COMPUTED_VALUE"""),"Строительство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f>
        <v>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v>
      </c>
      <c r="E467" s="111" t="str">
        <f ca="1">IFERROR(__xludf.DUMMYFUNCTION("""COMPUTED_VALUE"""),"2020-2021")</f>
        <v>2020-2021</v>
      </c>
      <c r="F467" s="113">
        <f ca="1">IFERROR(__xludf.DUMMYFUNCTION("""COMPUTED_VALUE"""),3850)</f>
        <v>3850</v>
      </c>
      <c r="G467" s="113">
        <f ca="1">IFERROR(__xludf.DUMMYFUNCTION("""COMPUTED_VALUE"""),0)</f>
        <v>0</v>
      </c>
      <c r="H467" s="113">
        <f ca="1">IFERROR(__xludf.DUMMYFUNCTION("""COMPUTED_VALUE"""),0)</f>
        <v>0</v>
      </c>
      <c r="I467" s="113">
        <f ca="1">IFERROR(__xludf.DUMMYFUNCTION("""COMPUTED_VALUE"""),3850)</f>
        <v>3850</v>
      </c>
      <c r="J467" s="111"/>
      <c r="K467" s="111"/>
      <c r="L467" s="111"/>
      <c r="M467" s="111"/>
      <c r="N467" s="111"/>
      <c r="O467" s="111"/>
      <c r="P467" s="111"/>
      <c r="Q467" s="112"/>
      <c r="R467" s="103"/>
      <c r="S467" s="103"/>
      <c r="T467" s="103"/>
      <c r="U467" s="103"/>
      <c r="V467" s="103"/>
      <c r="W467" s="103"/>
      <c r="X467" s="103"/>
      <c r="Y467" s="103"/>
      <c r="Z467" s="103"/>
      <c r="AA467" s="103"/>
    </row>
    <row r="468" spans="1:27" ht="140.25" x14ac:dyDescent="0.2">
      <c r="A468" s="110">
        <v>199</v>
      </c>
      <c r="B468" s="111"/>
      <c r="C468" s="111" t="str">
        <f ca="1">IFERROR(__xludf.DUMMYFUNCTION("""COMPUTED_VALUE"""),"(ЗТО) г.о. Наро-Фоминск")</f>
        <v>(ЗТО) г.о. Наро-Фоминск</v>
      </c>
      <c r="D468" s="111" t="str">
        <f ca="1">IFERROR(__xludf.DUMMYFUNCTION("""COMPUTED_VALUE"""),"Строительство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п"&amp;"рисоединение к сетям электроснабжения)")</f>
        <v>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присоединение к сетям электроснабжения)</v>
      </c>
      <c r="E468" s="111" t="str">
        <f ca="1">IFERROR(__xludf.DUMMYFUNCTION("""COMPUTED_VALUE"""),"2020-2021")</f>
        <v>2020-2021</v>
      </c>
      <c r="F468" s="113">
        <f ca="1">IFERROR(__xludf.DUMMYFUNCTION("""COMPUTED_VALUE"""),42784)</f>
        <v>42784</v>
      </c>
      <c r="G468" s="113">
        <f ca="1">IFERROR(__xludf.DUMMYFUNCTION("""COMPUTED_VALUE"""),0)</f>
        <v>0</v>
      </c>
      <c r="H468" s="113">
        <f ca="1">IFERROR(__xludf.DUMMYFUNCTION("""COMPUTED_VALUE"""),0)</f>
        <v>0</v>
      </c>
      <c r="I468" s="113">
        <f ca="1">IFERROR(__xludf.DUMMYFUNCTION("""COMPUTED_VALUE"""),42784)</f>
        <v>42784</v>
      </c>
      <c r="J468" s="111"/>
      <c r="K468" s="111"/>
      <c r="L468" s="111"/>
      <c r="M468" s="111"/>
      <c r="N468" s="111"/>
      <c r="O468" s="111"/>
      <c r="P468" s="111"/>
      <c r="Q468" s="112"/>
      <c r="R468" s="103"/>
      <c r="S468" s="103"/>
      <c r="T468" s="103"/>
      <c r="U468" s="103"/>
      <c r="V468" s="103"/>
      <c r="W468" s="103"/>
      <c r="X468" s="103"/>
      <c r="Y468" s="103"/>
      <c r="Z468" s="103"/>
      <c r="AA468" s="103"/>
    </row>
    <row r="469" spans="1:27" ht="191.25" x14ac:dyDescent="0.2">
      <c r="A469" s="110">
        <v>200</v>
      </c>
      <c r="B469" s="111"/>
      <c r="C469" s="111" t="str">
        <f ca="1">IFERROR(__xludf.DUMMYFUNCTION("""COMPUTED_VALUE"""),"(ЗТО) г.о. Наро-Фоминск")</f>
        <v>(ЗТО) г.о. Наро-Фоминск</v>
      </c>
      <c r="D469" s="111" t="str">
        <f ca="1">IFERROR(__xludf.DUMMYFUNCTION("""COMPUTED_VALUE"""),"Строительство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3800000"&amp;",00 руб., из них средства бюджета города Москвы – 2899370,00 руб. средства бюджета Московской области, средства бюджета муниципального образования - 900630,00 руб.)")</f>
        <v>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3800000,00 руб., из них средства бюджета города Москвы – 2899370,00 руб. средства бюджета Московской области, средства бюджета муниципального образования - 900630,00 руб.)</v>
      </c>
      <c r="E469" s="111" t="str">
        <f ca="1">IFERROR(__xludf.DUMMYFUNCTION("""COMPUTED_VALUE"""),"2020-2021")</f>
        <v>2020-2021</v>
      </c>
      <c r="F469" s="113">
        <f ca="1">IFERROR(__xludf.DUMMYFUNCTION("""COMPUTED_VALUE"""),8419.3)</f>
        <v>8419.2999999999993</v>
      </c>
      <c r="G469" s="113">
        <f ca="1">IFERROR(__xludf.DUMMYFUNCTION("""COMPUTED_VALUE"""),0)</f>
        <v>0</v>
      </c>
      <c r="H469" s="113">
        <f ca="1">IFERROR(__xludf.DUMMYFUNCTION("""COMPUTED_VALUE"""),0)</f>
        <v>0</v>
      </c>
      <c r="I469" s="113">
        <f ca="1">IFERROR(__xludf.DUMMYFUNCTION("""COMPUTED_VALUE"""),8419.3)</f>
        <v>8419.2999999999993</v>
      </c>
      <c r="J469" s="111"/>
      <c r="K469" s="111"/>
      <c r="L469" s="111"/>
      <c r="M469" s="111"/>
      <c r="N469" s="111"/>
      <c r="O469" s="111"/>
      <c r="P469" s="111"/>
      <c r="Q469" s="112"/>
      <c r="R469" s="103"/>
      <c r="S469" s="103"/>
      <c r="T469" s="103"/>
      <c r="U469" s="103"/>
      <c r="V469" s="103"/>
      <c r="W469" s="103"/>
      <c r="X469" s="103"/>
      <c r="Y469" s="103"/>
      <c r="Z469" s="103"/>
      <c r="AA469" s="103"/>
    </row>
    <row r="470" spans="1:27" ht="63.75" x14ac:dyDescent="0.2">
      <c r="A470" s="110">
        <v>201</v>
      </c>
      <c r="B470" s="111"/>
      <c r="C470" s="111" t="str">
        <f ca="1">IFERROR(__xludf.DUMMYFUNCTION("""COMPUTED_VALUE"""),"(ЗТО) г.о. Наро-Фоминск")</f>
        <v>(ЗТО) г.о. Наро-Фоминск</v>
      </c>
      <c r="D470" s="111" t="str">
        <f ca="1">IFERROR(__xludf.DUMMYFUNCTION("""COMPUTED_VALUE"""),"Строительство канализационной насосной станции для подачи очищенных сточных вод от ЗТО в напорный коллектор, д. Могутово, Наро-Фоминского г.о.")</f>
        <v>Строительство канализационной насосной станции для подачи очищенных сточных вод от ЗТО в напорный коллектор, д. Могутово, Наро-Фоминского г.о.</v>
      </c>
      <c r="E470" s="111">
        <f ca="1">IFERROR(__xludf.DUMMYFUNCTION("""COMPUTED_VALUE"""),2020)</f>
        <v>2020</v>
      </c>
      <c r="F470" s="113">
        <f ca="1">IFERROR(__xludf.DUMMYFUNCTION("""COMPUTED_VALUE"""),8141.4)</f>
        <v>8141.4</v>
      </c>
      <c r="G470" s="113">
        <f ca="1">IFERROR(__xludf.DUMMYFUNCTION("""COMPUTED_VALUE"""),0)</f>
        <v>0</v>
      </c>
      <c r="H470" s="113">
        <f ca="1">IFERROR(__xludf.DUMMYFUNCTION("""COMPUTED_VALUE"""),0)</f>
        <v>0</v>
      </c>
      <c r="I470" s="113">
        <f ca="1">IFERROR(__xludf.DUMMYFUNCTION("""COMPUTED_VALUE"""),8141.4)</f>
        <v>8141.4</v>
      </c>
      <c r="J470" s="111"/>
      <c r="K470" s="111"/>
      <c r="L470" s="111"/>
      <c r="M470" s="111"/>
      <c r="N470" s="111"/>
      <c r="O470" s="111"/>
      <c r="P470" s="111"/>
      <c r="Q470" s="112"/>
      <c r="R470" s="103"/>
      <c r="S470" s="103"/>
      <c r="T470" s="103"/>
      <c r="U470" s="103"/>
      <c r="V470" s="103"/>
      <c r="W470" s="103"/>
      <c r="X470" s="103"/>
      <c r="Y470" s="103"/>
      <c r="Z470" s="103"/>
      <c r="AA470" s="103"/>
    </row>
    <row r="471" spans="1:27" ht="63.75" x14ac:dyDescent="0.2">
      <c r="A471" s="110">
        <v>202</v>
      </c>
      <c r="B471" s="111"/>
      <c r="C471" s="111" t="str">
        <f ca="1">IFERROR(__xludf.DUMMYFUNCTION("""COMPUTED_VALUE"""),"(ЗТО) г.о. Богородский")</f>
        <v>(ЗТО) г.о. Богородский</v>
      </c>
      <c r="D471" s="111" t="str">
        <f ca="1">IFERROR(__xludf.DUMMYFUNCTION("""COMPUTED_VALUE"""),"Строительство ВЗУ  с сетями водоснабжения Ду 160 для технических нужд ЗТО, д. Тимохово, Богородский г.о. (в том числе ПИР) *")</f>
        <v>Строительство ВЗУ  с сетями водоснабжения Ду 160 для технических нужд ЗТО, д. Тимохово, Богородский г.о. (в том числе ПИР) *</v>
      </c>
      <c r="E471" s="111" t="str">
        <f ca="1">IFERROR(__xludf.DUMMYFUNCTION("""COMPUTED_VALUE"""),"2020-2021")</f>
        <v>2020-2021</v>
      </c>
      <c r="F471" s="113">
        <f ca="1">IFERROR(__xludf.DUMMYFUNCTION("""COMPUTED_VALUE"""),5465)</f>
        <v>5465</v>
      </c>
      <c r="G471" s="113">
        <f ca="1">IFERROR(__xludf.DUMMYFUNCTION("""COMPUTED_VALUE"""),0)</f>
        <v>0</v>
      </c>
      <c r="H471" s="113">
        <f ca="1">IFERROR(__xludf.DUMMYFUNCTION("""COMPUTED_VALUE"""),0)</f>
        <v>0</v>
      </c>
      <c r="I471" s="113">
        <f ca="1">IFERROR(__xludf.DUMMYFUNCTION("""COMPUTED_VALUE"""),5465)</f>
        <v>5465</v>
      </c>
      <c r="J471" s="111"/>
      <c r="K471" s="111"/>
      <c r="L471" s="111"/>
      <c r="M471" s="111"/>
      <c r="N471" s="111"/>
      <c r="O471" s="111"/>
      <c r="P471" s="111"/>
      <c r="Q471" s="112"/>
      <c r="R471" s="103"/>
      <c r="S471" s="103"/>
      <c r="T471" s="103"/>
      <c r="U471" s="103"/>
      <c r="V471" s="103"/>
      <c r="W471" s="103"/>
      <c r="X471" s="103"/>
      <c r="Y471" s="103"/>
      <c r="Z471" s="103"/>
      <c r="AA471" s="103"/>
    </row>
    <row r="472" spans="1:27" ht="63.75" x14ac:dyDescent="0.2">
      <c r="A472" s="110">
        <v>203</v>
      </c>
      <c r="B472" s="111"/>
      <c r="C472" s="111" t="str">
        <f ca="1">IFERROR(__xludf.DUMMYFUNCTION("""COMPUTED_VALUE"""),"(ЗТО) г.о. Богородский")</f>
        <v>(ЗТО) г.о. Богородский</v>
      </c>
      <c r="D472" s="111" t="str">
        <f ca="1">IFERROR(__xludf.DUMMYFUNCTION("""COMPUTED_VALUE"""),"Строительство сетей  водоснабжения Ду 80 для хозяйственно-бытовых нужд ЗТО,д.Тимохово, Богородский г.о. (в том числе ПИР)*")</f>
        <v>Строительство сетей  водоснабжения Ду 80 для хозяйственно-бытовых нужд ЗТО,д.Тимохово, Богородский г.о. (в том числе ПИР)*</v>
      </c>
      <c r="E472" s="111" t="str">
        <f ca="1">IFERROR(__xludf.DUMMYFUNCTION("""COMPUTED_VALUE"""),"2020-2021")</f>
        <v>2020-2021</v>
      </c>
      <c r="F472" s="113">
        <f ca="1">IFERROR(__xludf.DUMMYFUNCTION("""COMPUTED_VALUE"""),3601)</f>
        <v>3601</v>
      </c>
      <c r="G472" s="113">
        <f ca="1">IFERROR(__xludf.DUMMYFUNCTION("""COMPUTED_VALUE"""),0)</f>
        <v>0</v>
      </c>
      <c r="H472" s="113">
        <f ca="1">IFERROR(__xludf.DUMMYFUNCTION("""COMPUTED_VALUE"""),0)</f>
        <v>0</v>
      </c>
      <c r="I472" s="113">
        <f ca="1">IFERROR(__xludf.DUMMYFUNCTION("""COMPUTED_VALUE"""),3601)</f>
        <v>3601</v>
      </c>
      <c r="J472" s="111"/>
      <c r="K472" s="111"/>
      <c r="L472" s="111"/>
      <c r="M472" s="111"/>
      <c r="N472" s="111"/>
      <c r="O472" s="111"/>
      <c r="P472" s="111"/>
      <c r="Q472" s="112"/>
      <c r="R472" s="103"/>
      <c r="S472" s="103"/>
      <c r="T472" s="103"/>
      <c r="U472" s="103"/>
      <c r="V472" s="103"/>
      <c r="W472" s="103"/>
      <c r="X472" s="103"/>
      <c r="Y472" s="103"/>
      <c r="Z472" s="103"/>
      <c r="AA472" s="103"/>
    </row>
    <row r="473" spans="1:27" ht="63.75" x14ac:dyDescent="0.2">
      <c r="A473" s="110">
        <v>204</v>
      </c>
      <c r="B473" s="111"/>
      <c r="C473" s="111" t="str">
        <f ca="1">IFERROR(__xludf.DUMMYFUNCTION("""COMPUTED_VALUE"""),"(ЗТО) г.о. Богородский")</f>
        <v>(ЗТО) г.о. Богородский</v>
      </c>
      <c r="D473" s="111" t="str">
        <f ca="1">IFERROR(__xludf.DUMMYFUNCTION("""COMPUTED_VALUE"""),"Строительство напорного коллектора Ду200 от ЗТО  до точки сброса в водный объект, д. Тимохово, Богородский г.о. (в том числе ПИР)*")</f>
        <v>Строительство напорного коллектора Ду200 от ЗТО  до точки сброса в водный объект, д. Тимохово, Богородский г.о. (в том числе ПИР)*</v>
      </c>
      <c r="E473" s="111" t="str">
        <f ca="1">IFERROR(__xludf.DUMMYFUNCTION("""COMPUTED_VALUE"""),"2020-2021")</f>
        <v>2020-2021</v>
      </c>
      <c r="F473" s="113">
        <f ca="1">IFERROR(__xludf.DUMMYFUNCTION("""COMPUTED_VALUE"""),346)</f>
        <v>346</v>
      </c>
      <c r="G473" s="113">
        <f ca="1">IFERROR(__xludf.DUMMYFUNCTION("""COMPUTED_VALUE"""),0)</f>
        <v>0</v>
      </c>
      <c r="H473" s="113">
        <f ca="1">IFERROR(__xludf.DUMMYFUNCTION("""COMPUTED_VALUE"""),0)</f>
        <v>0</v>
      </c>
      <c r="I473" s="113">
        <f ca="1">IFERROR(__xludf.DUMMYFUNCTION("""COMPUTED_VALUE"""),346)</f>
        <v>346</v>
      </c>
      <c r="J473" s="111"/>
      <c r="K473" s="111"/>
      <c r="L473" s="111"/>
      <c r="M473" s="111"/>
      <c r="N473" s="111"/>
      <c r="O473" s="111"/>
      <c r="P473" s="111"/>
      <c r="Q473" s="112"/>
      <c r="R473" s="103"/>
      <c r="S473" s="103"/>
      <c r="T473" s="103"/>
      <c r="U473" s="103"/>
      <c r="V473" s="103"/>
      <c r="W473" s="103"/>
      <c r="X473" s="103"/>
      <c r="Y473" s="103"/>
      <c r="Z473" s="103"/>
      <c r="AA473" s="103"/>
    </row>
    <row r="474" spans="1:27" ht="102" x14ac:dyDescent="0.2">
      <c r="A474" s="110">
        <v>205</v>
      </c>
      <c r="B474" s="111"/>
      <c r="C474" s="111" t="str">
        <f ca="1">IFERROR(__xludf.DUMMYFUNCTION("""COMPUTED_VALUE"""),"(ЗТО) г.о. Солнечногорск")</f>
        <v>(ЗТО) г.о. Солнечногорск</v>
      </c>
      <c r="D474" s="111" t="str">
        <f ca="1">IFERROR(__xludf.DUMMYFUNCTION("""COMPUTED_VALUE"""),"Строительство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f>
        <v xml:space="preserv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v>
      </c>
      <c r="E474" s="111" t="str">
        <f ca="1">IFERROR(__xludf.DUMMYFUNCTION("""COMPUTED_VALUE"""),"2020-2021")</f>
        <v>2020-2021</v>
      </c>
      <c r="F474" s="113">
        <f ca="1">IFERROR(__xludf.DUMMYFUNCTION("""COMPUTED_VALUE"""),12082.5)</f>
        <v>12082.5</v>
      </c>
      <c r="G474" s="113">
        <f ca="1">IFERROR(__xludf.DUMMYFUNCTION("""COMPUTED_VALUE"""),0)</f>
        <v>0</v>
      </c>
      <c r="H474" s="113">
        <f ca="1">IFERROR(__xludf.DUMMYFUNCTION("""COMPUTED_VALUE"""),0)</f>
        <v>0</v>
      </c>
      <c r="I474" s="113">
        <f ca="1">IFERROR(__xludf.DUMMYFUNCTION("""COMPUTED_VALUE"""),12082.5)</f>
        <v>12082.5</v>
      </c>
      <c r="J474" s="110">
        <v>0</v>
      </c>
      <c r="K474" s="111"/>
      <c r="L474" s="111"/>
      <c r="M474" s="111"/>
      <c r="N474" s="111"/>
      <c r="O474" s="111"/>
      <c r="P474" s="111"/>
      <c r="Q474" s="112"/>
      <c r="R474" s="103"/>
      <c r="S474" s="103"/>
      <c r="T474" s="103"/>
      <c r="U474" s="103"/>
      <c r="V474" s="103"/>
      <c r="W474" s="103"/>
      <c r="X474" s="103"/>
      <c r="Y474" s="103"/>
      <c r="Z474" s="103"/>
      <c r="AA474" s="103"/>
    </row>
    <row r="475" spans="1:27" ht="63.75" x14ac:dyDescent="0.2">
      <c r="A475" s="110">
        <v>206</v>
      </c>
      <c r="B475" s="111"/>
      <c r="C475" s="111" t="str">
        <f ca="1">IFERROR(__xludf.DUMMYFUNCTION("""COMPUTED_VALUE"""),"(ЗТО) г.о. Солнечногорск")</f>
        <v>(ЗТО) г.о. Солнечногорск</v>
      </c>
      <c r="D475" s="111" t="str">
        <f ca="1">IFERROR(__xludf.DUMMYFUNCTION("""COMPUTED_VALUE"""),"Строительство КНС и напорного коллектора Ду 2х 110 до точки подключения в районе п. Санаторий МО, г.о. Солнечногорск (в том числе ПИР)")</f>
        <v>Строительство КНС и напорного коллектора Ду 2х 110 до точки подключения в районе п. Санаторий МО, г.о. Солнечногорск (в том числе ПИР)</v>
      </c>
      <c r="E475" s="111" t="str">
        <f ca="1">IFERROR(__xludf.DUMMYFUNCTION("""COMPUTED_VALUE"""),"2020-2021")</f>
        <v>2020-2021</v>
      </c>
      <c r="F475" s="113">
        <f ca="1">IFERROR(__xludf.DUMMYFUNCTION("""COMPUTED_VALUE"""),1755)</f>
        <v>1755</v>
      </c>
      <c r="G475" s="113">
        <f ca="1">IFERROR(__xludf.DUMMYFUNCTION("""COMPUTED_VALUE"""),0)</f>
        <v>0</v>
      </c>
      <c r="H475" s="113">
        <f ca="1">IFERROR(__xludf.DUMMYFUNCTION("""COMPUTED_VALUE"""),0)</f>
        <v>0</v>
      </c>
      <c r="I475" s="113">
        <f ca="1">IFERROR(__xludf.DUMMYFUNCTION("""COMPUTED_VALUE"""),1755)</f>
        <v>1755</v>
      </c>
      <c r="J475" s="111"/>
      <c r="K475" s="111"/>
      <c r="L475" s="111"/>
      <c r="M475" s="111"/>
      <c r="N475" s="111"/>
      <c r="O475" s="111"/>
      <c r="P475" s="111"/>
      <c r="Q475" s="112"/>
      <c r="R475" s="103"/>
      <c r="S475" s="103"/>
      <c r="T475" s="103"/>
      <c r="U475" s="103"/>
      <c r="V475" s="103"/>
      <c r="W475" s="103"/>
      <c r="X475" s="103"/>
      <c r="Y475" s="103"/>
      <c r="Z475" s="103"/>
      <c r="AA475" s="103"/>
    </row>
    <row r="476" spans="1:27" ht="63.75" x14ac:dyDescent="0.2">
      <c r="A476" s="110">
        <v>207</v>
      </c>
      <c r="B476" s="111"/>
      <c r="C476" s="111" t="str">
        <f ca="1">IFERROR(__xludf.DUMMYFUNCTION("""COMPUTED_VALUE"""),"(ЗТО) г.о. Солнечногорск")</f>
        <v>(ЗТО) г.о. Солнечногорск</v>
      </c>
      <c r="D476" s="111" t="str">
        <f ca="1">IFERROR(__xludf.DUMMYFUNCTION("""COMPUTED_VALUE"""),"Строительство ВЗУ с сетями водоснабжения Ду 160 для технических нужд ЗТО,  д. Хметьево, г.п. Солнечногорск  (в том числе ПИР)")</f>
        <v>Строительство ВЗУ с сетями водоснабжения Ду 160 для технических нужд ЗТО,  д. Хметьево, г.п. Солнечногорск  (в том числе ПИР)</v>
      </c>
      <c r="E476" s="111" t="str">
        <f ca="1">IFERROR(__xludf.DUMMYFUNCTION("""COMPUTED_VALUE"""),"2020-2021")</f>
        <v>2020-2021</v>
      </c>
      <c r="F476" s="113">
        <f ca="1">IFERROR(__xludf.DUMMYFUNCTION("""COMPUTED_VALUE"""),5625.5)</f>
        <v>5625.5</v>
      </c>
      <c r="G476" s="113">
        <f ca="1">IFERROR(__xludf.DUMMYFUNCTION("""COMPUTED_VALUE"""),0)</f>
        <v>0</v>
      </c>
      <c r="H476" s="113">
        <f ca="1">IFERROR(__xludf.DUMMYFUNCTION("""COMPUTED_VALUE"""),0)</f>
        <v>0</v>
      </c>
      <c r="I476" s="113">
        <f ca="1">IFERROR(__xludf.DUMMYFUNCTION("""COMPUTED_VALUE"""),5625.5)</f>
        <v>5625.5</v>
      </c>
      <c r="J476" s="111"/>
      <c r="K476" s="111"/>
      <c r="L476" s="111"/>
      <c r="M476" s="111"/>
      <c r="N476" s="111"/>
      <c r="O476" s="111"/>
      <c r="P476" s="111"/>
      <c r="Q476" s="112"/>
      <c r="R476" s="103"/>
      <c r="S476" s="103"/>
      <c r="T476" s="103"/>
      <c r="U476" s="103"/>
      <c r="V476" s="103"/>
      <c r="W476" s="103"/>
      <c r="X476" s="103"/>
      <c r="Y476" s="103"/>
      <c r="Z476" s="103"/>
      <c r="AA476" s="103"/>
    </row>
    <row r="477" spans="1:27" ht="102" x14ac:dyDescent="0.2">
      <c r="A477" s="110">
        <v>208</v>
      </c>
      <c r="B477" s="111"/>
      <c r="C477" s="111" t="str">
        <f ca="1">IFERROR(__xludf.DUMMYFUNCTION("""COMPUTED_VALUE"""),"г.о. Дубна")</f>
        <v>г.о. Дубна</v>
      </c>
      <c r="D477" s="111" t="str">
        <f ca="1">IFERROR(__xludf.DUMMYFUNCTION("""COMPUTED_VALUE"""),"Реконструкция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f>
        <v>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v>
      </c>
      <c r="E477" s="111">
        <f ca="1">IFERROR(__xludf.DUMMYFUNCTION("""COMPUTED_VALUE"""),2020)</f>
        <v>2020</v>
      </c>
      <c r="F477" s="113">
        <f ca="1">IFERROR(__xludf.DUMMYFUNCTION("""COMPUTED_VALUE"""),0)</f>
        <v>0</v>
      </c>
      <c r="G477" s="113">
        <f ca="1">IFERROR(__xludf.DUMMYFUNCTION("""COMPUTED_VALUE"""),0)</f>
        <v>0</v>
      </c>
      <c r="H477" s="113">
        <f ca="1">IFERROR(__xludf.DUMMYFUNCTION("""COMPUTED_VALUE"""),0)</f>
        <v>0</v>
      </c>
      <c r="I477" s="113">
        <f ca="1">IFERROR(__xludf.DUMMYFUNCTION("""COMPUTED_VALUE"""),0)</f>
        <v>0</v>
      </c>
      <c r="J477" s="111"/>
      <c r="K477" s="111"/>
      <c r="L477" s="111"/>
      <c r="M477" s="111"/>
      <c r="N477" s="111"/>
      <c r="O477" s="111"/>
      <c r="P477" s="111"/>
      <c r="Q477" s="112"/>
      <c r="R477" s="103"/>
      <c r="S477" s="103"/>
      <c r="T477" s="103"/>
      <c r="U477" s="103"/>
      <c r="V477" s="103"/>
      <c r="W477" s="103"/>
      <c r="X477" s="103"/>
      <c r="Y477" s="103"/>
      <c r="Z477" s="103"/>
      <c r="AA477" s="103"/>
    </row>
    <row r="478" spans="1:27" ht="102" x14ac:dyDescent="0.2">
      <c r="A478" s="110">
        <v>209</v>
      </c>
      <c r="B478" s="111"/>
      <c r="C478" s="111" t="str">
        <f ca="1">IFERROR(__xludf.DUMMYFUNCTION("""COMPUTED_VALUE"""),"г.о. Дубна")</f>
        <v>г.о. Дубна</v>
      </c>
      <c r="D478" s="111" t="str">
        <f ca="1">IFERROR(__xludf.DUMMYFUNCTION("""COMPUTED_VALUE"""),"Проектирование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f>
        <v>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v>
      </c>
      <c r="E478" s="111" t="str">
        <f ca="1">IFERROR(__xludf.DUMMYFUNCTION("""COMPUTED_VALUE"""),"2019-2020")</f>
        <v>2019-2020</v>
      </c>
      <c r="F478" s="113">
        <f ca="1">IFERROR(__xludf.DUMMYFUNCTION("""COMPUTED_VALUE"""),3046.14)</f>
        <v>3046.14</v>
      </c>
      <c r="G478" s="113">
        <f ca="1">IFERROR(__xludf.DUMMYFUNCTION("""COMPUTED_VALUE"""),3046.14)</f>
        <v>3046.14</v>
      </c>
      <c r="H478" s="113">
        <f ca="1">IFERROR(__xludf.DUMMYFUNCTION("""COMPUTED_VALUE"""),0)</f>
        <v>0</v>
      </c>
      <c r="I478" s="113">
        <f ca="1">IFERROR(__xludf.DUMMYFUNCTION("""COMPUTED_VALUE"""),0)</f>
        <v>0</v>
      </c>
      <c r="J478" s="111"/>
      <c r="K478" s="111"/>
      <c r="L478" s="111"/>
      <c r="M478" s="111"/>
      <c r="N478" s="111"/>
      <c r="O478" s="111"/>
      <c r="P478" s="111"/>
      <c r="Q478" s="112"/>
      <c r="R478" s="103"/>
      <c r="S478" s="103"/>
      <c r="T478" s="103"/>
      <c r="U478" s="103"/>
      <c r="V478" s="103"/>
      <c r="W478" s="103"/>
      <c r="X478" s="103"/>
      <c r="Y478" s="103"/>
      <c r="Z478" s="103"/>
      <c r="AA478" s="103"/>
    </row>
    <row r="479" spans="1:27" ht="89.25" x14ac:dyDescent="0.2">
      <c r="A479" s="110">
        <v>210</v>
      </c>
      <c r="B479" s="111"/>
      <c r="C479" s="111" t="str">
        <f ca="1">IFERROR(__xludf.DUMMYFUNCTION("""COMPUTED_VALUE"""),"г.о. Дубна")</f>
        <v>г.о. Дубна</v>
      </c>
      <c r="D479" s="111" t="str">
        <f ca="1">IFERROR(__xludf.DUMMYFUNCTION("""COMPUTED_VALUE"""),"""Проектирование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f>
        <v>"Проектирование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v>
      </c>
      <c r="E479" s="111" t="str">
        <f ca="1">IFERROR(__xludf.DUMMYFUNCTION("""COMPUTED_VALUE"""),"2019-2020")</f>
        <v>2019-2020</v>
      </c>
      <c r="F479" s="113">
        <f ca="1">IFERROR(__xludf.DUMMYFUNCTION("""COMPUTED_VALUE"""),25383.07)</f>
        <v>25383.07</v>
      </c>
      <c r="G479" s="113">
        <f ca="1">IFERROR(__xludf.DUMMYFUNCTION("""COMPUTED_VALUE"""),25383.07)</f>
        <v>25383.07</v>
      </c>
      <c r="H479" s="113">
        <f ca="1">IFERROR(__xludf.DUMMYFUNCTION("""COMPUTED_VALUE"""),0)</f>
        <v>0</v>
      </c>
      <c r="I479" s="113">
        <f ca="1">IFERROR(__xludf.DUMMYFUNCTION("""COMPUTED_VALUE"""),0)</f>
        <v>0</v>
      </c>
      <c r="J479" s="110">
        <v>0</v>
      </c>
      <c r="K479" s="111"/>
      <c r="L479" s="111"/>
      <c r="M479" s="111"/>
      <c r="N479" s="111"/>
      <c r="O479" s="111"/>
      <c r="P479" s="111"/>
      <c r="Q479" s="112"/>
      <c r="R479" s="103"/>
      <c r="S479" s="103"/>
      <c r="T479" s="103"/>
      <c r="U479" s="103"/>
      <c r="V479" s="103"/>
      <c r="W479" s="103"/>
      <c r="X479" s="103"/>
      <c r="Y479" s="103"/>
      <c r="Z479" s="103"/>
      <c r="AA479" s="103"/>
    </row>
    <row r="480" spans="1:27" ht="14.25" x14ac:dyDescent="0.2">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c r="AA480" s="103"/>
    </row>
    <row r="481" spans="1:27" ht="14.25" x14ac:dyDescent="0.2">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c r="AA481" s="103"/>
    </row>
    <row r="482" spans="1:27" ht="14.25" x14ac:dyDescent="0.2">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row>
    <row r="483" spans="1:27" ht="14.25" x14ac:dyDescent="0.2">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row>
    <row r="484" spans="1:27" ht="14.25" x14ac:dyDescent="0.2">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row>
    <row r="485" spans="1:27" ht="14.25" x14ac:dyDescent="0.2">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c r="AA485" s="103"/>
    </row>
    <row r="486" spans="1:27" ht="14.25" x14ac:dyDescent="0.2">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row>
    <row r="487" spans="1:27" ht="14.25" x14ac:dyDescent="0.2">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row>
    <row r="488" spans="1:27" ht="14.25" x14ac:dyDescent="0.2">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c r="AA488" s="103"/>
    </row>
    <row r="489" spans="1:27" ht="14.25" x14ac:dyDescent="0.2">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c r="AA489" s="103"/>
    </row>
    <row r="490" spans="1:27" ht="14.25" x14ac:dyDescent="0.2">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c r="AA490" s="103"/>
    </row>
    <row r="491" spans="1:27" ht="14.25" x14ac:dyDescent="0.2">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c r="AA491" s="103"/>
    </row>
    <row r="492" spans="1:27" ht="14.25" x14ac:dyDescent="0.2">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c r="AA492" s="103"/>
    </row>
    <row r="493" spans="1:27" ht="14.25" x14ac:dyDescent="0.2">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c r="AA493" s="103"/>
    </row>
    <row r="494" spans="1:27" ht="14.25" x14ac:dyDescent="0.2">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c r="AA494" s="103"/>
    </row>
    <row r="495" spans="1:27" ht="14.25" x14ac:dyDescent="0.2">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c r="AA495" s="103"/>
    </row>
    <row r="496" spans="1:27" ht="14.25" x14ac:dyDescent="0.2">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c r="AA496" s="103"/>
    </row>
    <row r="497" spans="1:27" ht="14.25" x14ac:dyDescent="0.2">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row>
    <row r="498" spans="1:27" ht="14.25" x14ac:dyDescent="0.2">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c r="AA498" s="103"/>
    </row>
    <row r="499" spans="1:27" ht="14.25" x14ac:dyDescent="0.2">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row>
    <row r="500" spans="1:27" ht="14.25" x14ac:dyDescent="0.2">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row>
    <row r="501" spans="1:27" ht="14.25" x14ac:dyDescent="0.2">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c r="AA501" s="103"/>
    </row>
    <row r="502" spans="1:27" ht="14.25" x14ac:dyDescent="0.2">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row>
    <row r="503" spans="1:27" ht="14.25" x14ac:dyDescent="0.2">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row>
    <row r="504" spans="1:27" ht="14.25" x14ac:dyDescent="0.2">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row>
    <row r="505" spans="1:27" ht="14.25" x14ac:dyDescent="0.2">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row>
    <row r="506" spans="1:27" ht="14.25" x14ac:dyDescent="0.2">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row>
    <row r="507" spans="1:27" ht="14.25" x14ac:dyDescent="0.2">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c r="AA507" s="103"/>
    </row>
    <row r="508" spans="1:27" ht="14.25" x14ac:dyDescent="0.2">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row>
    <row r="509" spans="1:27" ht="14.25" x14ac:dyDescent="0.2">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row>
    <row r="510" spans="1:27" ht="14.25" x14ac:dyDescent="0.2">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c r="AA510" s="103"/>
    </row>
    <row r="511" spans="1:27" ht="14.25" x14ac:dyDescent="0.2">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row>
    <row r="512" spans="1:27" ht="14.25" x14ac:dyDescent="0.2">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row>
    <row r="513" spans="1:27" ht="14.25" x14ac:dyDescent="0.2">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c r="AA513" s="103"/>
    </row>
    <row r="514" spans="1:27" ht="14.25" x14ac:dyDescent="0.2">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c r="AA514" s="103"/>
    </row>
    <row r="515" spans="1:27" ht="14.25" x14ac:dyDescent="0.2">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row>
    <row r="516" spans="1:27" ht="14.25" x14ac:dyDescent="0.2">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row>
    <row r="517" spans="1:27" ht="14.25" x14ac:dyDescent="0.2">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row>
    <row r="518" spans="1:27" ht="14.25" x14ac:dyDescent="0.2">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c r="AA518" s="103"/>
    </row>
    <row r="519" spans="1:27" ht="14.25" x14ac:dyDescent="0.2">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row>
    <row r="520" spans="1:27" ht="14.25" x14ac:dyDescent="0.2">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row>
    <row r="521" spans="1:27" ht="14.25" x14ac:dyDescent="0.2">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c r="AA521" s="103"/>
    </row>
    <row r="522" spans="1:27" ht="14.25" x14ac:dyDescent="0.2">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row>
    <row r="523" spans="1:27" ht="14.25" x14ac:dyDescent="0.2">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c r="AA523" s="103"/>
    </row>
    <row r="524" spans="1:27" ht="14.25" x14ac:dyDescent="0.2">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c r="AA524" s="103"/>
    </row>
    <row r="525" spans="1:27" ht="14.25" x14ac:dyDescent="0.2">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row>
    <row r="526" spans="1:27" ht="14.25" x14ac:dyDescent="0.2">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row>
    <row r="527" spans="1:27" ht="14.25" x14ac:dyDescent="0.2">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row>
    <row r="528" spans="1:27" ht="14.25" x14ac:dyDescent="0.2">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c r="AA528" s="103"/>
    </row>
    <row r="529" spans="1:27" ht="14.25" x14ac:dyDescent="0.2">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row>
    <row r="530" spans="1:27" ht="14.25" x14ac:dyDescent="0.2">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row>
    <row r="531" spans="1:27" ht="14.25" x14ac:dyDescent="0.2">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c r="AA531" s="103"/>
    </row>
    <row r="532" spans="1:27" ht="14.25" x14ac:dyDescent="0.2">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c r="AA532" s="103"/>
    </row>
    <row r="533" spans="1:27" ht="14.25" x14ac:dyDescent="0.2">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c r="AA533" s="103"/>
    </row>
    <row r="534" spans="1:27" ht="14.25" x14ac:dyDescent="0.2">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c r="AA534" s="103"/>
    </row>
    <row r="535" spans="1:27" ht="14.25" x14ac:dyDescent="0.2">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c r="AA535" s="103"/>
    </row>
    <row r="536" spans="1:27" ht="14.25" x14ac:dyDescent="0.2">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c r="AA536" s="103"/>
    </row>
    <row r="537" spans="1:27" ht="14.25" x14ac:dyDescent="0.2">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row>
    <row r="538" spans="1:27" ht="14.25" x14ac:dyDescent="0.2">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c r="AA538" s="103"/>
    </row>
    <row r="539" spans="1:27" ht="14.25" x14ac:dyDescent="0.2">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c r="AA539" s="103"/>
    </row>
    <row r="540" spans="1:27" ht="14.25" x14ac:dyDescent="0.2">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row>
    <row r="541" spans="1:27" ht="14.25" x14ac:dyDescent="0.2">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c r="AA541" s="103"/>
    </row>
    <row r="542" spans="1:27" ht="14.25" x14ac:dyDescent="0.2">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c r="AA542" s="103"/>
    </row>
    <row r="543" spans="1:27" ht="14.25" x14ac:dyDescent="0.2">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row>
    <row r="544" spans="1:27" ht="14.25" x14ac:dyDescent="0.2">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c r="AA544" s="103"/>
    </row>
    <row r="545" spans="1:27" ht="14.25" x14ac:dyDescent="0.2">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row>
    <row r="546" spans="1:27" ht="14.25" x14ac:dyDescent="0.2">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c r="AA546" s="103"/>
    </row>
    <row r="547" spans="1:27" ht="14.25" x14ac:dyDescent="0.2">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c r="AA547" s="103"/>
    </row>
    <row r="548" spans="1:27" ht="14.25" x14ac:dyDescent="0.2">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c r="AA548" s="103"/>
    </row>
    <row r="549" spans="1:27" ht="14.25" x14ac:dyDescent="0.2">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c r="AA549" s="103"/>
    </row>
    <row r="550" spans="1:27" ht="14.25" x14ac:dyDescent="0.2">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c r="AA550" s="103"/>
    </row>
    <row r="551" spans="1:27" ht="14.25" x14ac:dyDescent="0.2">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c r="AA551" s="103"/>
    </row>
    <row r="552" spans="1:27" ht="14.25" x14ac:dyDescent="0.2">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row>
    <row r="553" spans="1:27" ht="14.25" x14ac:dyDescent="0.2">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row>
    <row r="554" spans="1:27" ht="14.25" x14ac:dyDescent="0.2">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c r="AA554" s="103"/>
    </row>
    <row r="555" spans="1:27" ht="14.25" x14ac:dyDescent="0.2">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row>
    <row r="556" spans="1:27" ht="14.25" x14ac:dyDescent="0.2">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row>
    <row r="557" spans="1:27" ht="14.25" x14ac:dyDescent="0.2">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c r="AA557" s="103"/>
    </row>
    <row r="558" spans="1:27" ht="14.25" x14ac:dyDescent="0.2">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row>
    <row r="559" spans="1:27" ht="14.25" x14ac:dyDescent="0.2">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c r="AA559" s="103"/>
    </row>
    <row r="560" spans="1:27" ht="14.25" x14ac:dyDescent="0.2">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c r="AA560" s="103"/>
    </row>
    <row r="561" spans="1:27" ht="14.25" x14ac:dyDescent="0.2">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c r="AA561" s="103"/>
    </row>
    <row r="562" spans="1:27" ht="14.25" x14ac:dyDescent="0.2">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c r="AA562" s="103"/>
    </row>
    <row r="563" spans="1:27" ht="14.25" x14ac:dyDescent="0.2">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c r="AA563" s="103"/>
    </row>
    <row r="564" spans="1:27" ht="14.25" x14ac:dyDescent="0.2">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c r="AA564" s="103"/>
    </row>
    <row r="565" spans="1:27" ht="14.25" x14ac:dyDescent="0.2">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row>
    <row r="566" spans="1:27" ht="14.25" x14ac:dyDescent="0.2">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c r="AA566" s="103"/>
    </row>
    <row r="567" spans="1:27" ht="14.25" x14ac:dyDescent="0.2">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row>
    <row r="568" spans="1:27" ht="14.25" x14ac:dyDescent="0.2">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row>
    <row r="569" spans="1:27" ht="14.25" x14ac:dyDescent="0.2">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c r="AA569" s="103"/>
    </row>
    <row r="570" spans="1:27" ht="14.25" x14ac:dyDescent="0.2">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c r="AA570" s="103"/>
    </row>
    <row r="571" spans="1:27" ht="14.25" x14ac:dyDescent="0.2">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row>
    <row r="572" spans="1:27" ht="14.25" x14ac:dyDescent="0.2">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c r="AA572" s="103"/>
    </row>
    <row r="573" spans="1:27" ht="14.25" x14ac:dyDescent="0.2">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row>
    <row r="574" spans="1:27" ht="14.25" x14ac:dyDescent="0.2">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row>
    <row r="575" spans="1:27" ht="14.25" x14ac:dyDescent="0.2">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c r="AA575" s="103"/>
    </row>
    <row r="576" spans="1:27" ht="14.25" x14ac:dyDescent="0.2">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c r="AA576" s="103"/>
    </row>
    <row r="577" spans="1:27" ht="14.25" x14ac:dyDescent="0.2">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c r="AA577" s="103"/>
    </row>
    <row r="578" spans="1:27" ht="14.25" x14ac:dyDescent="0.2">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c r="AA578" s="103"/>
    </row>
    <row r="579" spans="1:27" ht="14.25" x14ac:dyDescent="0.2">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row>
    <row r="580" spans="1:27" ht="14.25" x14ac:dyDescent="0.2">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row>
    <row r="581" spans="1:27" ht="14.25" x14ac:dyDescent="0.2">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c r="AA581" s="103"/>
    </row>
    <row r="582" spans="1:27" ht="14.25" x14ac:dyDescent="0.2">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c r="AA582" s="103"/>
    </row>
    <row r="583" spans="1:27" ht="14.25" x14ac:dyDescent="0.2">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c r="AA583" s="103"/>
    </row>
    <row r="584" spans="1:27" ht="14.25" x14ac:dyDescent="0.2">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c r="AA584" s="103"/>
    </row>
    <row r="585" spans="1:27" ht="14.25" x14ac:dyDescent="0.2">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c r="AA585" s="103"/>
    </row>
    <row r="586" spans="1:27" ht="14.25" x14ac:dyDescent="0.2">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c r="AA586" s="103"/>
    </row>
    <row r="587" spans="1:27" ht="14.25" x14ac:dyDescent="0.2">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row>
    <row r="588" spans="1:27" ht="14.25" x14ac:dyDescent="0.2">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c r="AA588" s="103"/>
    </row>
    <row r="589" spans="1:27" ht="14.25" x14ac:dyDescent="0.2">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row>
    <row r="590" spans="1:27" ht="14.25" x14ac:dyDescent="0.2">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c r="AA590" s="103"/>
    </row>
    <row r="591" spans="1:27" ht="14.25" x14ac:dyDescent="0.2">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c r="AA591" s="103"/>
    </row>
    <row r="592" spans="1:27" ht="14.25" x14ac:dyDescent="0.2">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row>
    <row r="593" spans="1:27" ht="14.25" x14ac:dyDescent="0.2">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c r="AA593" s="103"/>
    </row>
    <row r="594" spans="1:27" ht="14.25" x14ac:dyDescent="0.2">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c r="AA594" s="103"/>
    </row>
    <row r="595" spans="1:27" ht="14.25" x14ac:dyDescent="0.2">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c r="AA595" s="103"/>
    </row>
    <row r="596" spans="1:27" ht="14.25" x14ac:dyDescent="0.2">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c r="AA596" s="103"/>
    </row>
    <row r="597" spans="1:27" ht="14.25" x14ac:dyDescent="0.2">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c r="AA597" s="103"/>
    </row>
    <row r="598" spans="1:27" ht="14.25" x14ac:dyDescent="0.2">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row>
    <row r="599" spans="1:27" ht="14.25" x14ac:dyDescent="0.2">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row>
    <row r="600" spans="1:27" ht="14.25" x14ac:dyDescent="0.2">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c r="AA600" s="103"/>
    </row>
    <row r="601" spans="1:27" ht="14.25" x14ac:dyDescent="0.2">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c r="AA601" s="103"/>
    </row>
    <row r="602" spans="1:27" ht="14.25" x14ac:dyDescent="0.2">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c r="AA602" s="103"/>
    </row>
    <row r="603" spans="1:27" ht="14.25" x14ac:dyDescent="0.2">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c r="AA603" s="103"/>
    </row>
    <row r="604" spans="1:27" ht="14.25" x14ac:dyDescent="0.2">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c r="AA604" s="103"/>
    </row>
    <row r="605" spans="1:27" ht="14.25" x14ac:dyDescent="0.2">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c r="AA605" s="103"/>
    </row>
    <row r="606" spans="1:27" ht="14.25" x14ac:dyDescent="0.2">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c r="AA606" s="103"/>
    </row>
    <row r="607" spans="1:27" ht="14.25" x14ac:dyDescent="0.2">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c r="AA607" s="103"/>
    </row>
    <row r="608" spans="1:27" ht="14.25" x14ac:dyDescent="0.2">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row>
    <row r="609" spans="1:27" ht="14.25" x14ac:dyDescent="0.2">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c r="AA609" s="103"/>
    </row>
    <row r="610" spans="1:27" ht="14.25" x14ac:dyDescent="0.2">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row>
    <row r="611" spans="1:27" ht="14.25" x14ac:dyDescent="0.2">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row>
    <row r="612" spans="1:27" ht="14.25" x14ac:dyDescent="0.2">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c r="AA612" s="103"/>
    </row>
    <row r="613" spans="1:27" ht="14.25" x14ac:dyDescent="0.2">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c r="AA613" s="103"/>
    </row>
    <row r="614" spans="1:27" ht="14.25" x14ac:dyDescent="0.2">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row>
    <row r="615" spans="1:27" ht="14.25" x14ac:dyDescent="0.2">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c r="AA615" s="103"/>
    </row>
    <row r="616" spans="1:27" ht="14.25" x14ac:dyDescent="0.2">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row>
    <row r="617" spans="1:27" ht="14.25" x14ac:dyDescent="0.2">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row>
    <row r="618" spans="1:27" ht="14.25" x14ac:dyDescent="0.2">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c r="AA618" s="103"/>
    </row>
    <row r="619" spans="1:27" ht="14.25" x14ac:dyDescent="0.2">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c r="AA619" s="103"/>
    </row>
    <row r="620" spans="1:27" ht="14.25" x14ac:dyDescent="0.2">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c r="AA620" s="103"/>
    </row>
    <row r="621" spans="1:27" ht="14.25" x14ac:dyDescent="0.2">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c r="AA621" s="103"/>
    </row>
    <row r="622" spans="1:27" ht="14.25" x14ac:dyDescent="0.2">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row>
    <row r="623" spans="1:27" ht="14.25" x14ac:dyDescent="0.2">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c r="AA623" s="103"/>
    </row>
    <row r="624" spans="1:27" ht="14.25" x14ac:dyDescent="0.2">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c r="AA624" s="103"/>
    </row>
    <row r="625" spans="1:27" ht="14.25" x14ac:dyDescent="0.2">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c r="AA625" s="103"/>
    </row>
    <row r="626" spans="1:27" ht="14.25" x14ac:dyDescent="0.2">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c r="AA626" s="103"/>
    </row>
    <row r="627" spans="1:27" ht="14.25" x14ac:dyDescent="0.2">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c r="AA627" s="103"/>
    </row>
    <row r="628" spans="1:27" ht="14.25" x14ac:dyDescent="0.2">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c r="AA628" s="103"/>
    </row>
    <row r="629" spans="1:27" ht="14.25" x14ac:dyDescent="0.2">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row>
    <row r="630" spans="1:27" ht="14.25" x14ac:dyDescent="0.2">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row>
    <row r="631" spans="1:27" ht="14.25" x14ac:dyDescent="0.2">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c r="AA631" s="103"/>
    </row>
    <row r="632" spans="1:27" ht="14.25" x14ac:dyDescent="0.2">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row>
    <row r="633" spans="1:27" ht="14.25" x14ac:dyDescent="0.2">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c r="AA633" s="103"/>
    </row>
    <row r="634" spans="1:27" ht="14.25" x14ac:dyDescent="0.2">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row>
    <row r="635" spans="1:27" ht="14.25" x14ac:dyDescent="0.2">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row>
    <row r="636" spans="1:27" ht="14.25" x14ac:dyDescent="0.2">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c r="AA636" s="103"/>
    </row>
    <row r="637" spans="1:27" ht="14.25" x14ac:dyDescent="0.2">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c r="AA637" s="103"/>
    </row>
    <row r="638" spans="1:27" ht="14.25" x14ac:dyDescent="0.2">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c r="AA638" s="103"/>
    </row>
    <row r="639" spans="1:27" ht="14.25" x14ac:dyDescent="0.2">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c r="AA639" s="103"/>
    </row>
    <row r="640" spans="1:27" ht="14.25" x14ac:dyDescent="0.2">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c r="AA640" s="103"/>
    </row>
    <row r="641" spans="1:27" ht="14.25" x14ac:dyDescent="0.2">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c r="AA641" s="103"/>
    </row>
    <row r="642" spans="1:27" ht="14.25" x14ac:dyDescent="0.2">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row>
    <row r="643" spans="1:27" ht="14.25" x14ac:dyDescent="0.2">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c r="AA643" s="103"/>
    </row>
    <row r="644" spans="1:27" ht="14.25" x14ac:dyDescent="0.2">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c r="AA644" s="103"/>
    </row>
    <row r="645" spans="1:27" ht="14.25" x14ac:dyDescent="0.2">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row>
    <row r="646" spans="1:27" ht="14.25" x14ac:dyDescent="0.2">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c r="AA646" s="103"/>
    </row>
    <row r="647" spans="1:27" ht="14.25" x14ac:dyDescent="0.2">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c r="AA647" s="103"/>
    </row>
    <row r="648" spans="1:27" ht="14.25" x14ac:dyDescent="0.2">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c r="AA648" s="103"/>
    </row>
    <row r="649" spans="1:27" ht="14.25" x14ac:dyDescent="0.2">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c r="AA649" s="103"/>
    </row>
    <row r="650" spans="1:27" ht="14.25" x14ac:dyDescent="0.2">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c r="AA650" s="103"/>
    </row>
    <row r="651" spans="1:27" ht="14.25" x14ac:dyDescent="0.2">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c r="AA651" s="103"/>
    </row>
    <row r="652" spans="1:27" ht="14.25" x14ac:dyDescent="0.2">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c r="AA652" s="103"/>
    </row>
    <row r="653" spans="1:27" ht="14.25" x14ac:dyDescent="0.2">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c r="AA653" s="103"/>
    </row>
    <row r="654" spans="1:27" ht="14.25" x14ac:dyDescent="0.2">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row>
    <row r="655" spans="1:27" ht="14.25" x14ac:dyDescent="0.2">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c r="AA655" s="103"/>
    </row>
    <row r="656" spans="1:27" ht="14.25" x14ac:dyDescent="0.2">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c r="AA656" s="103"/>
    </row>
    <row r="657" spans="1:27" ht="14.25" x14ac:dyDescent="0.2">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row>
    <row r="658" spans="1:27" ht="14.25" x14ac:dyDescent="0.2">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c r="AA658" s="103"/>
    </row>
    <row r="659" spans="1:27" ht="14.25" x14ac:dyDescent="0.2">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c r="AA659" s="103"/>
    </row>
    <row r="660" spans="1:27" ht="14.25" x14ac:dyDescent="0.2">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row>
    <row r="661" spans="1:27" ht="14.25" x14ac:dyDescent="0.2">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c r="AA661" s="103"/>
    </row>
    <row r="662" spans="1:27" ht="14.25" x14ac:dyDescent="0.2">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c r="AA662" s="103"/>
    </row>
    <row r="663" spans="1:27" ht="14.25" x14ac:dyDescent="0.2">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row>
    <row r="664" spans="1:27" ht="14.25" x14ac:dyDescent="0.2">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c r="AA664" s="103"/>
    </row>
    <row r="665" spans="1:27" ht="14.25" x14ac:dyDescent="0.2">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c r="AA665" s="103"/>
    </row>
    <row r="666" spans="1:27" ht="14.25" x14ac:dyDescent="0.2">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row>
    <row r="667" spans="1:27" ht="14.25" x14ac:dyDescent="0.2">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c r="AA667" s="103"/>
    </row>
    <row r="668" spans="1:27" ht="14.25" x14ac:dyDescent="0.2">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row>
    <row r="669" spans="1:27" ht="14.25" x14ac:dyDescent="0.2">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c r="AA669" s="103"/>
    </row>
    <row r="670" spans="1:27" ht="14.25" x14ac:dyDescent="0.2">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c r="AA670" s="103"/>
    </row>
    <row r="671" spans="1:27" ht="14.25" x14ac:dyDescent="0.2">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row>
    <row r="672" spans="1:27" ht="14.25" x14ac:dyDescent="0.2">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c r="AA672" s="103"/>
    </row>
    <row r="673" spans="1:27" ht="14.25" x14ac:dyDescent="0.2">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c r="AA673" s="103"/>
    </row>
    <row r="674" spans="1:27" ht="14.25" x14ac:dyDescent="0.2">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c r="AA674" s="103"/>
    </row>
    <row r="675" spans="1:27" ht="14.25" x14ac:dyDescent="0.2">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c r="AA675" s="103"/>
    </row>
    <row r="676" spans="1:27" ht="14.25" x14ac:dyDescent="0.2">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c r="AA676" s="103"/>
    </row>
    <row r="677" spans="1:27" ht="14.25" x14ac:dyDescent="0.2">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c r="AA677" s="103"/>
    </row>
    <row r="678" spans="1:27" ht="14.25" x14ac:dyDescent="0.2">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c r="AA678" s="103"/>
    </row>
    <row r="679" spans="1:27" ht="14.25" x14ac:dyDescent="0.2">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c r="AA679" s="103"/>
    </row>
    <row r="680" spans="1:27" ht="14.25" x14ac:dyDescent="0.2">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c r="AA680" s="103"/>
    </row>
    <row r="681" spans="1:27" ht="14.25" x14ac:dyDescent="0.2">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row>
    <row r="682" spans="1:27" ht="14.25" x14ac:dyDescent="0.2">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c r="AA682" s="103"/>
    </row>
    <row r="683" spans="1:27" ht="14.25" x14ac:dyDescent="0.2">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row>
    <row r="684" spans="1:27" ht="14.25" x14ac:dyDescent="0.2">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row>
    <row r="685" spans="1:27" ht="14.25" x14ac:dyDescent="0.2">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c r="AA685" s="103"/>
    </row>
    <row r="686" spans="1:27" ht="14.25" x14ac:dyDescent="0.2">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c r="AA686" s="103"/>
    </row>
    <row r="687" spans="1:27" ht="14.25" x14ac:dyDescent="0.2">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c r="AA687" s="103"/>
    </row>
    <row r="688" spans="1:27" ht="14.25" x14ac:dyDescent="0.2">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c r="AA688" s="103"/>
    </row>
    <row r="689" spans="1:27" ht="14.25" x14ac:dyDescent="0.2">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c r="AA689" s="103"/>
    </row>
    <row r="690" spans="1:27" ht="14.25" x14ac:dyDescent="0.2">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c r="AA690" s="103"/>
    </row>
    <row r="691" spans="1:27" ht="14.25" x14ac:dyDescent="0.2">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c r="AA691" s="103"/>
    </row>
    <row r="692" spans="1:27" ht="14.25" x14ac:dyDescent="0.2">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c r="AA692" s="103"/>
    </row>
    <row r="693" spans="1:27" ht="14.25" x14ac:dyDescent="0.2">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c r="AA693" s="103"/>
    </row>
    <row r="694" spans="1:27" ht="14.25" x14ac:dyDescent="0.2">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c r="AA694" s="103"/>
    </row>
    <row r="695" spans="1:27" ht="14.25" x14ac:dyDescent="0.2">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c r="AA695" s="103"/>
    </row>
    <row r="696" spans="1:27" ht="14.25" x14ac:dyDescent="0.2">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c r="AA696" s="103"/>
    </row>
    <row r="697" spans="1:27" ht="14.25" x14ac:dyDescent="0.2">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c r="AA697" s="103"/>
    </row>
    <row r="698" spans="1:27" ht="14.25" x14ac:dyDescent="0.2">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c r="AA698" s="103"/>
    </row>
    <row r="699" spans="1:27" ht="14.25" x14ac:dyDescent="0.2">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c r="AA699" s="103"/>
    </row>
    <row r="700" spans="1:27" ht="14.25" x14ac:dyDescent="0.2">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row>
    <row r="701" spans="1:27" ht="14.25" x14ac:dyDescent="0.2">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c r="AA701" s="103"/>
    </row>
    <row r="702" spans="1:27" ht="14.25" x14ac:dyDescent="0.2">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c r="AA702" s="103"/>
    </row>
    <row r="703" spans="1:27" ht="14.25" x14ac:dyDescent="0.2">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row>
    <row r="704" spans="1:27" ht="14.25" x14ac:dyDescent="0.2">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c r="AA704" s="103"/>
    </row>
    <row r="705" spans="1:27" ht="14.25" x14ac:dyDescent="0.2">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c r="AA705" s="103"/>
    </row>
    <row r="706" spans="1:27" ht="14.25" x14ac:dyDescent="0.2">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row>
    <row r="707" spans="1:27" ht="14.25" x14ac:dyDescent="0.2">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c r="AA707" s="103"/>
    </row>
    <row r="708" spans="1:27" ht="14.25" x14ac:dyDescent="0.2">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c r="AA708" s="103"/>
    </row>
    <row r="709" spans="1:27" ht="14.25" x14ac:dyDescent="0.2">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row>
    <row r="710" spans="1:27" ht="14.25" x14ac:dyDescent="0.2">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c r="AA710" s="103"/>
    </row>
    <row r="711" spans="1:27" ht="14.25" x14ac:dyDescent="0.2">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c r="AA711" s="103"/>
    </row>
    <row r="712" spans="1:27" ht="14.25" x14ac:dyDescent="0.2">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c r="AA712" s="103"/>
    </row>
    <row r="713" spans="1:27" ht="14.25" x14ac:dyDescent="0.2">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c r="AA713" s="103"/>
    </row>
    <row r="714" spans="1:27" ht="14.25" x14ac:dyDescent="0.2">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row>
    <row r="715" spans="1:27" ht="14.25" x14ac:dyDescent="0.2">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c r="AA715" s="103"/>
    </row>
    <row r="716" spans="1:27" ht="14.25" x14ac:dyDescent="0.2">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c r="AA716" s="103"/>
    </row>
    <row r="717" spans="1:27" ht="14.25" x14ac:dyDescent="0.2">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c r="AA717" s="103"/>
    </row>
    <row r="718" spans="1:27" ht="14.25" x14ac:dyDescent="0.2">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c r="AA718" s="103"/>
    </row>
    <row r="719" spans="1:27" ht="14.25" x14ac:dyDescent="0.2">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c r="AA719" s="103"/>
    </row>
    <row r="720" spans="1:27" ht="14.25" x14ac:dyDescent="0.2">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c r="AA720" s="103"/>
    </row>
    <row r="721" spans="1:27" ht="14.25" x14ac:dyDescent="0.2">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row>
    <row r="722" spans="1:27" ht="14.25" x14ac:dyDescent="0.2">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c r="AA722" s="103"/>
    </row>
    <row r="723" spans="1:27" ht="14.25" x14ac:dyDescent="0.2">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c r="AA723" s="103"/>
    </row>
    <row r="724" spans="1:27" ht="14.25" x14ac:dyDescent="0.2">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row>
    <row r="725" spans="1:27" ht="14.25" x14ac:dyDescent="0.2">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row>
    <row r="726" spans="1:27" ht="14.25" x14ac:dyDescent="0.2">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row>
    <row r="727" spans="1:27" ht="14.25" x14ac:dyDescent="0.2">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row>
    <row r="728" spans="1:27" ht="14.25" x14ac:dyDescent="0.2">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row>
    <row r="729" spans="1:27" ht="14.25" x14ac:dyDescent="0.2">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c r="AA729" s="103"/>
    </row>
    <row r="730" spans="1:27" ht="14.25" x14ac:dyDescent="0.2">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c r="AA730" s="103"/>
    </row>
    <row r="731" spans="1:27" ht="14.25" x14ac:dyDescent="0.2">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c r="AA731" s="103"/>
    </row>
    <row r="732" spans="1:27" ht="14.25" x14ac:dyDescent="0.2">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c r="AA732" s="103"/>
    </row>
    <row r="733" spans="1:27" ht="14.25" x14ac:dyDescent="0.2">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c r="AA733" s="103"/>
    </row>
    <row r="734" spans="1:27" ht="14.25" x14ac:dyDescent="0.2">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c r="AA734" s="103"/>
    </row>
    <row r="735" spans="1:27" ht="14.25" x14ac:dyDescent="0.2">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c r="AA735" s="103"/>
    </row>
    <row r="736" spans="1:27" ht="14.25" x14ac:dyDescent="0.2">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c r="AA736" s="103"/>
    </row>
    <row r="737" spans="1:27" ht="14.25" x14ac:dyDescent="0.2">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c r="AA737" s="103"/>
    </row>
    <row r="738" spans="1:27" ht="14.25" x14ac:dyDescent="0.2">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c r="AA738" s="103"/>
    </row>
    <row r="739" spans="1:27" ht="14.25" x14ac:dyDescent="0.2">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c r="AA739" s="103"/>
    </row>
    <row r="740" spans="1:27" ht="14.25" x14ac:dyDescent="0.2">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c r="AA740" s="103"/>
    </row>
    <row r="741" spans="1:27" ht="14.25" x14ac:dyDescent="0.2">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c r="AA741" s="103"/>
    </row>
    <row r="742" spans="1:27" ht="14.25" x14ac:dyDescent="0.2">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c r="AA742" s="103"/>
    </row>
    <row r="743" spans="1:27" ht="14.25" x14ac:dyDescent="0.2">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c r="AA743" s="103"/>
    </row>
    <row r="744" spans="1:27" ht="14.25" x14ac:dyDescent="0.2">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c r="AA744" s="103"/>
    </row>
    <row r="745" spans="1:27" ht="14.25" x14ac:dyDescent="0.2">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c r="AA745" s="103"/>
    </row>
    <row r="746" spans="1:27" ht="14.25" x14ac:dyDescent="0.2">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c r="AA746" s="103"/>
    </row>
    <row r="747" spans="1:27" ht="14.25" x14ac:dyDescent="0.2">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c r="AA747" s="103"/>
    </row>
    <row r="748" spans="1:27" ht="14.25" x14ac:dyDescent="0.2">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c r="AA748" s="103"/>
    </row>
    <row r="749" spans="1:27" ht="14.25" x14ac:dyDescent="0.2">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row>
    <row r="750" spans="1:27" ht="14.25" x14ac:dyDescent="0.2">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c r="AA750" s="103"/>
    </row>
    <row r="751" spans="1:27" ht="14.25" x14ac:dyDescent="0.2">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c r="AA751" s="103"/>
    </row>
    <row r="752" spans="1:27" ht="14.25" x14ac:dyDescent="0.2">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row>
    <row r="753" spans="1:27" ht="14.25" x14ac:dyDescent="0.2">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c r="AA753" s="103"/>
    </row>
    <row r="754" spans="1:27" ht="14.25" x14ac:dyDescent="0.2">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c r="AA754" s="103"/>
    </row>
    <row r="755" spans="1:27" ht="14.25" x14ac:dyDescent="0.2">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row>
    <row r="756" spans="1:27" ht="14.25" x14ac:dyDescent="0.2">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c r="AA756" s="103"/>
    </row>
    <row r="757" spans="1:27" ht="14.25" x14ac:dyDescent="0.2">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c r="AA757" s="103"/>
    </row>
    <row r="758" spans="1:27" ht="14.25" x14ac:dyDescent="0.2">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row>
    <row r="759" spans="1:27" ht="14.25" x14ac:dyDescent="0.2">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c r="AA759" s="103"/>
    </row>
    <row r="760" spans="1:27" ht="14.25" x14ac:dyDescent="0.2">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c r="AA760" s="103"/>
    </row>
    <row r="761" spans="1:27" ht="14.25" x14ac:dyDescent="0.2">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c r="AA761" s="103"/>
    </row>
    <row r="762" spans="1:27" ht="14.25" x14ac:dyDescent="0.2">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c r="AA762" s="103"/>
    </row>
    <row r="763" spans="1:27" ht="14.25" x14ac:dyDescent="0.2">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row>
    <row r="764" spans="1:27" ht="14.25" x14ac:dyDescent="0.2">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c r="AA764" s="103"/>
    </row>
    <row r="765" spans="1:27" ht="14.25" x14ac:dyDescent="0.2">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c r="AA765" s="103"/>
    </row>
    <row r="766" spans="1:27" ht="14.25" x14ac:dyDescent="0.2">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c r="AA766" s="103"/>
    </row>
    <row r="767" spans="1:27" ht="14.25" x14ac:dyDescent="0.2">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c r="AA767" s="103"/>
    </row>
    <row r="768" spans="1:27" ht="14.25" x14ac:dyDescent="0.2">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c r="AA768" s="103"/>
    </row>
    <row r="769" spans="1:27" ht="14.25" x14ac:dyDescent="0.2">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c r="AA769" s="103"/>
    </row>
    <row r="770" spans="1:27" ht="14.25" x14ac:dyDescent="0.2">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c r="AA770" s="103"/>
    </row>
    <row r="771" spans="1:27" ht="14.25" x14ac:dyDescent="0.2">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c r="AA771" s="103"/>
    </row>
    <row r="772" spans="1:27" ht="14.25" x14ac:dyDescent="0.2">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c r="AA772" s="103"/>
    </row>
    <row r="773" spans="1:27" ht="14.25" x14ac:dyDescent="0.2">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row>
    <row r="774" spans="1:27" ht="14.25" x14ac:dyDescent="0.2">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c r="AA774" s="103"/>
    </row>
    <row r="775" spans="1:27" ht="14.25" x14ac:dyDescent="0.2">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c r="AA775" s="103"/>
    </row>
    <row r="776" spans="1:27" ht="14.25" x14ac:dyDescent="0.2">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row>
    <row r="777" spans="1:27" ht="14.25" x14ac:dyDescent="0.2">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c r="AA777" s="103"/>
    </row>
    <row r="778" spans="1:27" ht="14.25" x14ac:dyDescent="0.2">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c r="AA778" s="103"/>
    </row>
    <row r="779" spans="1:27" ht="14.25" x14ac:dyDescent="0.2">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c r="AA779" s="103"/>
    </row>
    <row r="780" spans="1:27" ht="14.25" x14ac:dyDescent="0.2">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c r="AA780" s="103"/>
    </row>
    <row r="781" spans="1:27" ht="14.25" x14ac:dyDescent="0.2">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c r="AA781" s="103"/>
    </row>
    <row r="782" spans="1:27" ht="14.25" x14ac:dyDescent="0.2">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c r="AA782" s="103"/>
    </row>
    <row r="783" spans="1:27" ht="14.25" x14ac:dyDescent="0.2">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c r="AA783" s="103"/>
    </row>
    <row r="784" spans="1:27" ht="14.25" x14ac:dyDescent="0.2">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c r="AA784" s="103"/>
    </row>
    <row r="785" spans="1:27" ht="14.25" x14ac:dyDescent="0.2">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c r="AA785" s="103"/>
    </row>
    <row r="786" spans="1:27" ht="14.25" x14ac:dyDescent="0.2">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c r="AA786" s="103"/>
    </row>
    <row r="787" spans="1:27" ht="14.25" x14ac:dyDescent="0.2">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c r="AA787" s="103"/>
    </row>
    <row r="788" spans="1:27" ht="14.25" x14ac:dyDescent="0.2">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c r="AA788" s="103"/>
    </row>
    <row r="789" spans="1:27" ht="14.25" x14ac:dyDescent="0.2">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c r="AA789" s="103"/>
    </row>
    <row r="790" spans="1:27" ht="14.25" x14ac:dyDescent="0.2">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c r="AA790" s="103"/>
    </row>
    <row r="791" spans="1:27" ht="14.25" x14ac:dyDescent="0.2">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c r="AA791" s="103"/>
    </row>
    <row r="792" spans="1:27" ht="14.25" x14ac:dyDescent="0.2">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row>
    <row r="793" spans="1:27" ht="14.25" x14ac:dyDescent="0.2">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c r="AA793" s="103"/>
    </row>
    <row r="794" spans="1:27" ht="14.25" x14ac:dyDescent="0.2">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c r="AA794" s="103"/>
    </row>
    <row r="795" spans="1:27" ht="14.25" x14ac:dyDescent="0.2">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row>
    <row r="796" spans="1:27" ht="14.25" x14ac:dyDescent="0.2">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c r="AA796" s="103"/>
    </row>
    <row r="797" spans="1:27" ht="14.25" x14ac:dyDescent="0.2">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c r="AA797" s="103"/>
    </row>
    <row r="798" spans="1:27" ht="14.25" x14ac:dyDescent="0.2">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row>
    <row r="799" spans="1:27" ht="14.25" x14ac:dyDescent="0.2">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c r="AA799" s="103"/>
    </row>
    <row r="800" spans="1:27" ht="14.25" x14ac:dyDescent="0.2">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c r="AA800" s="103"/>
    </row>
    <row r="801" spans="1:27" ht="14.25" x14ac:dyDescent="0.2">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row>
    <row r="802" spans="1:27" ht="14.25" x14ac:dyDescent="0.2">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c r="AA802" s="103"/>
    </row>
    <row r="803" spans="1:27" ht="14.25" x14ac:dyDescent="0.2">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c r="AA803" s="103"/>
    </row>
    <row r="804" spans="1:27" ht="14.25" x14ac:dyDescent="0.2">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c r="AA804" s="103"/>
    </row>
    <row r="805" spans="1:27" ht="14.25" x14ac:dyDescent="0.2">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c r="AA805" s="103"/>
    </row>
    <row r="806" spans="1:27" ht="14.25" x14ac:dyDescent="0.2">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row>
    <row r="807" spans="1:27" ht="14.25" x14ac:dyDescent="0.2">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c r="AA807" s="103"/>
    </row>
    <row r="808" spans="1:27" ht="14.25" x14ac:dyDescent="0.2">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c r="AA808" s="103"/>
    </row>
    <row r="809" spans="1:27" ht="14.25" x14ac:dyDescent="0.2">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c r="AA809" s="103"/>
    </row>
    <row r="810" spans="1:27" ht="14.25" x14ac:dyDescent="0.2">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c r="AA810" s="103"/>
    </row>
    <row r="811" spans="1:27" ht="14.25" x14ac:dyDescent="0.2">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c r="AA811" s="103"/>
    </row>
    <row r="812" spans="1:27" ht="14.25" x14ac:dyDescent="0.2">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c r="AA812" s="103"/>
    </row>
    <row r="813" spans="1:27" ht="14.25" x14ac:dyDescent="0.2">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c r="AA813" s="103"/>
    </row>
    <row r="814" spans="1:27" ht="14.25" x14ac:dyDescent="0.2">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c r="AA814" s="103"/>
    </row>
    <row r="815" spans="1:27" ht="14.25" x14ac:dyDescent="0.2">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c r="AA815" s="103"/>
    </row>
    <row r="816" spans="1:27" ht="14.25" x14ac:dyDescent="0.2">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row>
    <row r="817" spans="1:27" ht="14.25" x14ac:dyDescent="0.2">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c r="AA817" s="103"/>
    </row>
    <row r="818" spans="1:27" ht="14.25" x14ac:dyDescent="0.2">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c r="AA818" s="103"/>
    </row>
    <row r="819" spans="1:27" ht="14.25" x14ac:dyDescent="0.2">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row>
    <row r="820" spans="1:27" ht="14.25" x14ac:dyDescent="0.2">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c r="AA820" s="103"/>
    </row>
    <row r="821" spans="1:27" ht="14.25" x14ac:dyDescent="0.2">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c r="AA821" s="103"/>
    </row>
    <row r="822" spans="1:27" ht="14.25" x14ac:dyDescent="0.2">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c r="AA822" s="103"/>
    </row>
    <row r="823" spans="1:27" ht="14.25" x14ac:dyDescent="0.2">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c r="AA823" s="103"/>
    </row>
    <row r="824" spans="1:27" ht="14.25" x14ac:dyDescent="0.2">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c r="AA824" s="103"/>
    </row>
    <row r="825" spans="1:27" ht="14.25" x14ac:dyDescent="0.2">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c r="AA825" s="103"/>
    </row>
    <row r="826" spans="1:27" ht="14.25" x14ac:dyDescent="0.2">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c r="AA826" s="103"/>
    </row>
    <row r="827" spans="1:27" ht="14.25" x14ac:dyDescent="0.2">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c r="AA827" s="103"/>
    </row>
    <row r="828" spans="1:27" ht="14.25" x14ac:dyDescent="0.2">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c r="AA828" s="103"/>
    </row>
    <row r="829" spans="1:27" ht="14.25" x14ac:dyDescent="0.2">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c r="AA829" s="103"/>
    </row>
    <row r="830" spans="1:27" ht="14.25" x14ac:dyDescent="0.2">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c r="AA830" s="103"/>
    </row>
    <row r="831" spans="1:27" ht="14.25" x14ac:dyDescent="0.2">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c r="AA831" s="103"/>
    </row>
    <row r="832" spans="1:27" ht="14.25" x14ac:dyDescent="0.2">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c r="AA832" s="103"/>
    </row>
    <row r="833" spans="1:27" ht="14.25" x14ac:dyDescent="0.2">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c r="AA833" s="103"/>
    </row>
    <row r="834" spans="1:27" ht="14.25" x14ac:dyDescent="0.2">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c r="AA834" s="103"/>
    </row>
    <row r="835" spans="1:27" ht="14.25" x14ac:dyDescent="0.2">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c r="AA835" s="103"/>
    </row>
    <row r="836" spans="1:27" ht="14.25" x14ac:dyDescent="0.2">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c r="AA836" s="103"/>
    </row>
    <row r="837" spans="1:27" ht="14.25" x14ac:dyDescent="0.2">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c r="AA837" s="103"/>
    </row>
    <row r="838" spans="1:27" ht="14.25" x14ac:dyDescent="0.2">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c r="AA838" s="103"/>
    </row>
    <row r="839" spans="1:27" ht="14.25" x14ac:dyDescent="0.2">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c r="AA839" s="103"/>
    </row>
    <row r="840" spans="1:27" ht="14.25" x14ac:dyDescent="0.2">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c r="AA840" s="103"/>
    </row>
    <row r="841" spans="1:27" ht="14.25" x14ac:dyDescent="0.2">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row>
    <row r="842" spans="1:27" ht="14.25" x14ac:dyDescent="0.2">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c r="AA842" s="103"/>
    </row>
    <row r="843" spans="1:27" ht="14.25" x14ac:dyDescent="0.2">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c r="AA843" s="103"/>
    </row>
    <row r="844" spans="1:27" ht="14.25" x14ac:dyDescent="0.2">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row>
    <row r="845" spans="1:27" ht="14.25" x14ac:dyDescent="0.2">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c r="AA845" s="103"/>
    </row>
    <row r="846" spans="1:27" ht="14.25" x14ac:dyDescent="0.2">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c r="AA846" s="103"/>
    </row>
    <row r="847" spans="1:27" ht="14.25" x14ac:dyDescent="0.2">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row>
    <row r="848" spans="1:27" ht="14.25" x14ac:dyDescent="0.2">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c r="AA848" s="103"/>
    </row>
    <row r="849" spans="1:27" ht="14.25" x14ac:dyDescent="0.2">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c r="AA849" s="103"/>
    </row>
    <row r="850" spans="1:27" ht="14.25" x14ac:dyDescent="0.2">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row>
    <row r="851" spans="1:27" ht="14.25" x14ac:dyDescent="0.2">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c r="AA851" s="103"/>
    </row>
    <row r="852" spans="1:27" ht="14.25" x14ac:dyDescent="0.2">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c r="AA852" s="103"/>
    </row>
    <row r="853" spans="1:27" ht="14.25" x14ac:dyDescent="0.2">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c r="AA853" s="103"/>
    </row>
    <row r="854" spans="1:27" ht="14.25" x14ac:dyDescent="0.2">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c r="AA854" s="103"/>
    </row>
    <row r="855" spans="1:27" ht="14.25" x14ac:dyDescent="0.2">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row>
    <row r="856" spans="1:27" ht="14.25" x14ac:dyDescent="0.2">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c r="AA856" s="103"/>
    </row>
    <row r="857" spans="1:27" ht="14.25" x14ac:dyDescent="0.2">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c r="AA857" s="103"/>
    </row>
    <row r="858" spans="1:27" ht="14.25" x14ac:dyDescent="0.2">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c r="AA858" s="103"/>
    </row>
    <row r="859" spans="1:27" ht="14.25" x14ac:dyDescent="0.2">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c r="AA859" s="103"/>
    </row>
    <row r="860" spans="1:27" ht="14.25" x14ac:dyDescent="0.2">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c r="AA860" s="103"/>
    </row>
    <row r="861" spans="1:27" ht="14.25" x14ac:dyDescent="0.2">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c r="AA861" s="103"/>
    </row>
    <row r="862" spans="1:27" ht="14.25" x14ac:dyDescent="0.2">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c r="AA862" s="103"/>
    </row>
    <row r="863" spans="1:27" ht="14.25" x14ac:dyDescent="0.2">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c r="AA863" s="103"/>
    </row>
    <row r="864" spans="1:27" ht="14.25" x14ac:dyDescent="0.2">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c r="AA864" s="103"/>
    </row>
    <row r="865" spans="1:27" ht="14.25" x14ac:dyDescent="0.2">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row>
    <row r="866" spans="1:27" ht="14.25" x14ac:dyDescent="0.2">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c r="AA866" s="103"/>
    </row>
    <row r="867" spans="1:27" ht="14.25" x14ac:dyDescent="0.2">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c r="AA867" s="103"/>
    </row>
    <row r="868" spans="1:27" ht="14.25" x14ac:dyDescent="0.2">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row>
    <row r="869" spans="1:27" ht="14.25" x14ac:dyDescent="0.2">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c r="AA869" s="103"/>
    </row>
    <row r="870" spans="1:27" ht="14.25" x14ac:dyDescent="0.2">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c r="AA870" s="103"/>
    </row>
    <row r="871" spans="1:27" ht="14.25" x14ac:dyDescent="0.2">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c r="AA871" s="103"/>
    </row>
    <row r="872" spans="1:27" ht="14.25" x14ac:dyDescent="0.2">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c r="AA872" s="103"/>
    </row>
    <row r="873" spans="1:27" ht="14.25" x14ac:dyDescent="0.2">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c r="AA873" s="103"/>
    </row>
    <row r="874" spans="1:27" ht="14.25" x14ac:dyDescent="0.2">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c r="AA874" s="103"/>
    </row>
    <row r="875" spans="1:27" ht="14.25" x14ac:dyDescent="0.2">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c r="AA875" s="103"/>
    </row>
    <row r="876" spans="1:27" ht="14.25" x14ac:dyDescent="0.2">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c r="AA876" s="103"/>
    </row>
    <row r="877" spans="1:27" ht="14.25" x14ac:dyDescent="0.2">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c r="AA877" s="103"/>
    </row>
    <row r="878" spans="1:27" ht="14.25" x14ac:dyDescent="0.2">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c r="AA878" s="103"/>
    </row>
    <row r="879" spans="1:27" ht="14.25" x14ac:dyDescent="0.2">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c r="AA879" s="103"/>
    </row>
    <row r="880" spans="1:27" ht="14.25" x14ac:dyDescent="0.2">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c r="AA880" s="103"/>
    </row>
    <row r="881" spans="1:27" ht="14.25" x14ac:dyDescent="0.2">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c r="AA881" s="103"/>
    </row>
    <row r="882" spans="1:27" ht="14.25" x14ac:dyDescent="0.2">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c r="AA882" s="103"/>
    </row>
    <row r="883" spans="1:27" ht="14.25" x14ac:dyDescent="0.2">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c r="AA883" s="103"/>
    </row>
    <row r="884" spans="1:27" ht="14.25" x14ac:dyDescent="0.2">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row>
    <row r="885" spans="1:27" ht="14.25" x14ac:dyDescent="0.2">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c r="AA885" s="103"/>
    </row>
    <row r="886" spans="1:27" ht="14.25" x14ac:dyDescent="0.2">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c r="AA886" s="103"/>
    </row>
    <row r="887" spans="1:27" ht="14.25" x14ac:dyDescent="0.2">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row>
    <row r="888" spans="1:27" ht="14.25" x14ac:dyDescent="0.2">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c r="AA888" s="103"/>
    </row>
    <row r="889" spans="1:27" ht="14.25" x14ac:dyDescent="0.2">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c r="AA889" s="103"/>
    </row>
    <row r="890" spans="1:27" ht="14.25" x14ac:dyDescent="0.2">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row>
    <row r="891" spans="1:27" ht="14.25" x14ac:dyDescent="0.2">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c r="AA891" s="103"/>
    </row>
    <row r="892" spans="1:27" ht="14.25" x14ac:dyDescent="0.2">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c r="AA892" s="103"/>
    </row>
    <row r="893" spans="1:27" ht="14.25" x14ac:dyDescent="0.2">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row>
    <row r="894" spans="1:27" ht="14.25" x14ac:dyDescent="0.2">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c r="AA894" s="103"/>
    </row>
    <row r="895" spans="1:27" ht="14.25" x14ac:dyDescent="0.2">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c r="AA895" s="103"/>
    </row>
    <row r="896" spans="1:27" ht="14.25" x14ac:dyDescent="0.2">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c r="AA896" s="103"/>
    </row>
    <row r="897" spans="1:27" ht="14.25" x14ac:dyDescent="0.2">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c r="AA897" s="103"/>
    </row>
    <row r="898" spans="1:27" ht="14.25" x14ac:dyDescent="0.2">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row>
    <row r="899" spans="1:27" ht="14.25" x14ac:dyDescent="0.2">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c r="AA899" s="103"/>
    </row>
    <row r="900" spans="1:27" ht="14.25" x14ac:dyDescent="0.2">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c r="AA900" s="103"/>
    </row>
    <row r="901" spans="1:27" ht="14.25" x14ac:dyDescent="0.2">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c r="AA901" s="103"/>
    </row>
    <row r="902" spans="1:27" ht="14.25" x14ac:dyDescent="0.2">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c r="AA902" s="103"/>
    </row>
    <row r="903" spans="1:27" ht="14.25" x14ac:dyDescent="0.2">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c r="AA903" s="103"/>
    </row>
    <row r="904" spans="1:27" ht="14.25" x14ac:dyDescent="0.2">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c r="AA904" s="103"/>
    </row>
    <row r="905" spans="1:27" ht="14.25" x14ac:dyDescent="0.2">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c r="AA905" s="103"/>
    </row>
    <row r="906" spans="1:27" ht="14.25" x14ac:dyDescent="0.2">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c r="AA906" s="103"/>
    </row>
    <row r="907" spans="1:27" ht="14.25" x14ac:dyDescent="0.2">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c r="AA907" s="103"/>
    </row>
    <row r="908" spans="1:27" ht="14.25" x14ac:dyDescent="0.2">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row>
    <row r="909" spans="1:27" ht="14.25" x14ac:dyDescent="0.2">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c r="AA909" s="103"/>
    </row>
    <row r="910" spans="1:27" ht="14.25" x14ac:dyDescent="0.2">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c r="AA910" s="103"/>
    </row>
    <row r="911" spans="1:27" ht="14.25" x14ac:dyDescent="0.2">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row>
    <row r="912" spans="1:27" ht="14.25" x14ac:dyDescent="0.2">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c r="AA912" s="103"/>
    </row>
    <row r="913" spans="1:27" ht="14.25" x14ac:dyDescent="0.2">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c r="AA913" s="103"/>
    </row>
    <row r="914" spans="1:27" ht="14.25" x14ac:dyDescent="0.2">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c r="AA914" s="103"/>
    </row>
    <row r="915" spans="1:27" ht="14.25" x14ac:dyDescent="0.2">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c r="AA915" s="103"/>
    </row>
    <row r="916" spans="1:27" ht="14.25" x14ac:dyDescent="0.2">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c r="AA916" s="103"/>
    </row>
    <row r="917" spans="1:27" ht="14.25" x14ac:dyDescent="0.2">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c r="AA917" s="103"/>
    </row>
    <row r="918" spans="1:27" ht="14.25" x14ac:dyDescent="0.2">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c r="AA918" s="103"/>
    </row>
    <row r="919" spans="1:27" ht="14.25" x14ac:dyDescent="0.2">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c r="AA919" s="103"/>
    </row>
    <row r="920" spans="1:27" ht="14.25" x14ac:dyDescent="0.2">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c r="AA920" s="103"/>
    </row>
    <row r="921" spans="1:27" ht="14.25" x14ac:dyDescent="0.2">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c r="AA921" s="103"/>
    </row>
    <row r="922" spans="1:27" ht="14.25" x14ac:dyDescent="0.2">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c r="AA922" s="103"/>
    </row>
    <row r="923" spans="1:27" ht="14.25" x14ac:dyDescent="0.2">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c r="AA923" s="103"/>
    </row>
    <row r="924" spans="1:27" ht="14.25" x14ac:dyDescent="0.2">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c r="AA924" s="103"/>
    </row>
    <row r="925" spans="1:27" ht="14.25" x14ac:dyDescent="0.2">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c r="AA925" s="103"/>
    </row>
    <row r="926" spans="1:27" ht="14.25" x14ac:dyDescent="0.2">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c r="AA926" s="103"/>
    </row>
    <row r="927" spans="1:27" ht="14.25" x14ac:dyDescent="0.2">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c r="AA927" s="103"/>
    </row>
    <row r="928" spans="1:27" ht="14.25" x14ac:dyDescent="0.2">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c r="AA928" s="103"/>
    </row>
    <row r="929" spans="1:27" ht="14.25" x14ac:dyDescent="0.2">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c r="AA929" s="103"/>
    </row>
    <row r="930" spans="1:27" ht="14.25" x14ac:dyDescent="0.2">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c r="AA930" s="103"/>
    </row>
    <row r="931" spans="1:27" ht="14.25" x14ac:dyDescent="0.2">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c r="AA931" s="103"/>
    </row>
    <row r="932" spans="1:27" ht="14.25" x14ac:dyDescent="0.2">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103"/>
    </row>
    <row r="933" spans="1:27" ht="14.25" x14ac:dyDescent="0.2">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row>
    <row r="934" spans="1:27" ht="14.25" x14ac:dyDescent="0.2">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c r="AA934" s="103"/>
    </row>
    <row r="935" spans="1:27" ht="14.25" x14ac:dyDescent="0.2">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c r="AA935" s="103"/>
    </row>
    <row r="936" spans="1:27" ht="14.25" x14ac:dyDescent="0.2">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row>
    <row r="937" spans="1:27" ht="14.25" x14ac:dyDescent="0.2">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c r="AA937" s="103"/>
    </row>
    <row r="938" spans="1:27" ht="14.25" x14ac:dyDescent="0.2">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c r="AA938" s="103"/>
    </row>
    <row r="939" spans="1:27" ht="14.25" x14ac:dyDescent="0.2">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row>
    <row r="940" spans="1:27" ht="14.25" x14ac:dyDescent="0.2">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c r="AA940" s="103"/>
    </row>
    <row r="941" spans="1:27" ht="14.25" x14ac:dyDescent="0.2">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c r="AA941" s="103"/>
    </row>
    <row r="942" spans="1:27" ht="14.25" x14ac:dyDescent="0.2">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row>
    <row r="943" spans="1:27" ht="14.25" x14ac:dyDescent="0.2">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c r="AA943" s="103"/>
    </row>
    <row r="944" spans="1:27" ht="14.25" x14ac:dyDescent="0.2">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c r="AA944" s="103"/>
    </row>
    <row r="945" spans="1:27" ht="14.25" x14ac:dyDescent="0.2">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c r="AA945" s="103"/>
    </row>
    <row r="946" spans="1:27" ht="14.25" x14ac:dyDescent="0.2">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c r="AA946" s="103"/>
    </row>
    <row r="947" spans="1:27" ht="14.25" x14ac:dyDescent="0.2">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row>
    <row r="948" spans="1:27" ht="14.25" x14ac:dyDescent="0.2">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c r="AA948" s="103"/>
    </row>
    <row r="949" spans="1:27" ht="14.25" x14ac:dyDescent="0.2">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c r="AA949" s="103"/>
    </row>
    <row r="950" spans="1:27" ht="14.25" x14ac:dyDescent="0.2">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c r="AA950" s="103"/>
    </row>
    <row r="951" spans="1:27" ht="14.25" x14ac:dyDescent="0.2">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c r="AA951" s="103"/>
    </row>
    <row r="952" spans="1:27" ht="14.25" x14ac:dyDescent="0.2">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c r="AA952" s="103"/>
    </row>
    <row r="953" spans="1:27" ht="14.25" x14ac:dyDescent="0.2">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c r="AA953" s="103"/>
    </row>
    <row r="954" spans="1:27" ht="14.25" x14ac:dyDescent="0.2">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c r="AA954" s="103"/>
    </row>
    <row r="955" spans="1:27" ht="14.25" x14ac:dyDescent="0.2">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c r="AA955" s="103"/>
    </row>
    <row r="956" spans="1:27" ht="14.25" x14ac:dyDescent="0.2">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c r="AA956" s="103"/>
    </row>
    <row r="957" spans="1:27" ht="14.25" x14ac:dyDescent="0.2">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row>
    <row r="958" spans="1:27" ht="14.25" x14ac:dyDescent="0.2">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c r="AA958" s="103"/>
    </row>
    <row r="959" spans="1:27" ht="14.25" x14ac:dyDescent="0.2">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c r="AA959" s="103"/>
    </row>
    <row r="960" spans="1:27" ht="14.25" x14ac:dyDescent="0.2">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row>
    <row r="961" spans="1:27" ht="14.25" x14ac:dyDescent="0.2">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c r="AA961" s="103"/>
    </row>
    <row r="962" spans="1:27" ht="14.25" x14ac:dyDescent="0.2">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c r="AA962" s="103"/>
    </row>
    <row r="963" spans="1:27" ht="14.25" x14ac:dyDescent="0.2">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c r="AA963" s="103"/>
    </row>
    <row r="964" spans="1:27" ht="14.25" x14ac:dyDescent="0.2">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c r="AA964" s="103"/>
    </row>
    <row r="965" spans="1:27" ht="14.25" x14ac:dyDescent="0.2">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c r="AA965" s="103"/>
    </row>
    <row r="966" spans="1:27" ht="14.25" x14ac:dyDescent="0.2">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c r="AA966" s="103"/>
    </row>
    <row r="967" spans="1:27" ht="14.25" x14ac:dyDescent="0.2">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c r="AA967" s="103"/>
    </row>
    <row r="968" spans="1:27" ht="14.25" x14ac:dyDescent="0.2">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c r="AA968" s="103"/>
    </row>
    <row r="969" spans="1:27" ht="14.25" x14ac:dyDescent="0.2">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c r="AA969" s="103"/>
    </row>
    <row r="970" spans="1:27" ht="14.25" x14ac:dyDescent="0.2">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c r="AA970" s="103"/>
    </row>
    <row r="971" spans="1:27" ht="14.25" x14ac:dyDescent="0.2">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c r="AA971" s="103"/>
    </row>
    <row r="972" spans="1:27" ht="14.25" x14ac:dyDescent="0.2">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c r="AA972" s="103"/>
    </row>
    <row r="973" spans="1:27" ht="14.25" x14ac:dyDescent="0.2">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c r="AA973" s="103"/>
    </row>
    <row r="974" spans="1:27" ht="14.25" x14ac:dyDescent="0.2">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c r="AA974" s="103"/>
    </row>
    <row r="975" spans="1:27" ht="14.25" x14ac:dyDescent="0.2">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c r="AA975" s="103"/>
    </row>
    <row r="976" spans="1:27" ht="14.25" x14ac:dyDescent="0.2">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row>
    <row r="977" spans="1:27" ht="14.25" x14ac:dyDescent="0.2">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c r="AA977" s="103"/>
    </row>
    <row r="978" spans="1:27" ht="14.25" x14ac:dyDescent="0.2">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c r="AA978" s="103"/>
    </row>
    <row r="979" spans="1:27" ht="14.25" x14ac:dyDescent="0.2">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row>
    <row r="980" spans="1:27" ht="14.25" x14ac:dyDescent="0.2">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c r="AA980" s="103"/>
    </row>
    <row r="981" spans="1:27" ht="14.25" x14ac:dyDescent="0.2">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c r="AA981" s="103"/>
    </row>
    <row r="982" spans="1:27" ht="14.25" x14ac:dyDescent="0.2">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row>
    <row r="983" spans="1:27" ht="14.25" x14ac:dyDescent="0.2">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c r="AA983" s="103"/>
    </row>
    <row r="984" spans="1:27" ht="14.25" x14ac:dyDescent="0.2">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c r="AA984" s="103"/>
    </row>
    <row r="985" spans="1:27" ht="14.25" x14ac:dyDescent="0.2">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row>
    <row r="986" spans="1:27" ht="14.25" x14ac:dyDescent="0.2">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c r="AA986" s="103"/>
    </row>
    <row r="987" spans="1:27" ht="14.25" x14ac:dyDescent="0.2">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c r="AA987" s="103"/>
    </row>
    <row r="988" spans="1:27" ht="14.25" x14ac:dyDescent="0.2">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c r="AA988" s="103"/>
    </row>
    <row r="989" spans="1:27" ht="14.25" x14ac:dyDescent="0.2">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c r="AA989" s="103"/>
    </row>
    <row r="990" spans="1:27" ht="14.25" x14ac:dyDescent="0.2">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row>
    <row r="991" spans="1:27" ht="14.25" x14ac:dyDescent="0.2">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c r="AA991" s="103"/>
    </row>
    <row r="992" spans="1:27" ht="14.25" x14ac:dyDescent="0.2">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c r="AA992" s="103"/>
    </row>
    <row r="993" spans="1:27" ht="14.25" x14ac:dyDescent="0.2">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c r="AA993" s="103"/>
    </row>
    <row r="994" spans="1:27" ht="14.25" x14ac:dyDescent="0.2">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c r="AA994" s="103"/>
    </row>
    <row r="995" spans="1:27" ht="14.25" x14ac:dyDescent="0.2">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c r="AA995" s="103"/>
    </row>
    <row r="996" spans="1:27" ht="14.25" x14ac:dyDescent="0.2">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c r="AA996" s="103"/>
    </row>
    <row r="997" spans="1:27" ht="14.25" x14ac:dyDescent="0.2">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c r="AA997" s="103"/>
    </row>
    <row r="998" spans="1:27" ht="14.25" x14ac:dyDescent="0.2">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c r="AA998" s="103"/>
    </row>
    <row r="999" spans="1:27" ht="14.25" x14ac:dyDescent="0.2">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c r="AA999" s="103"/>
    </row>
    <row r="1000" spans="1:27" ht="14.25" x14ac:dyDescent="0.2">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row>
  </sheetData>
  <autoFilter ref="A3:Q479" xr:uid="{00000000-0009-0000-0000-000003000000}"/>
  <customSheetViews>
    <customSheetView guid="{6D1DED28-A9AF-40F9-BE49-9FF3E154A839}" filter="1" showAutoFilter="1">
      <pageMargins left="0.7" right="0.7" top="0.75" bottom="0.75" header="0.3" footer="0.3"/>
      <autoFilter ref="A3:Q479" xr:uid="{00000000-0000-0000-0000-000000000000}"/>
    </customSheetView>
  </customSheetViews>
  <mergeCells count="1">
    <mergeCell ref="A1:Q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979"/>
  <sheetViews>
    <sheetView workbookViewId="0">
      <pane ySplit="3" topLeftCell="A4" activePane="bottomLeft" state="frozen"/>
      <selection pane="bottomLeft" activeCell="B5" sqref="B5"/>
    </sheetView>
  </sheetViews>
  <sheetFormatPr defaultColWidth="12.625" defaultRowHeight="15" customHeight="1" outlineLevelCol="2" x14ac:dyDescent="0.2"/>
  <cols>
    <col min="1" max="1" width="5.5" customWidth="1"/>
    <col min="4" max="4" width="25.875" customWidth="1"/>
    <col min="5" max="6" width="12.625" outlineLevel="1"/>
    <col min="7" max="9" width="12.625" outlineLevel="2"/>
    <col min="10" max="10" width="21.625" customWidth="1" outlineLevel="1"/>
    <col min="11" max="11" width="12.625" outlineLevel="1"/>
    <col min="12" max="12" width="14.625" customWidth="1" outlineLevel="1"/>
    <col min="13" max="13" width="25.5" customWidth="1" outlineLevel="1"/>
    <col min="14" max="14" width="26.125" customWidth="1" outlineLevel="1"/>
    <col min="15" max="16" width="12.625" outlineLevel="1"/>
  </cols>
  <sheetData>
    <row r="1" spans="1:27" ht="15" customHeight="1" x14ac:dyDescent="0.2">
      <c r="A1" s="159" t="s">
        <v>537</v>
      </c>
      <c r="B1" s="143"/>
      <c r="C1" s="143"/>
      <c r="D1" s="143"/>
      <c r="E1" s="143"/>
      <c r="F1" s="143"/>
      <c r="G1" s="143"/>
      <c r="H1" s="143"/>
      <c r="I1" s="143"/>
      <c r="J1" s="143"/>
      <c r="K1" s="143"/>
      <c r="L1" s="143"/>
      <c r="M1" s="143"/>
      <c r="N1" s="143"/>
      <c r="O1" s="143"/>
      <c r="P1" s="143"/>
      <c r="Q1" s="144"/>
      <c r="R1" s="103"/>
      <c r="S1" s="103"/>
      <c r="T1" s="103"/>
      <c r="U1" s="103"/>
      <c r="V1" s="103"/>
      <c r="W1" s="103"/>
      <c r="X1" s="103"/>
      <c r="Y1" s="103"/>
      <c r="Z1" s="103"/>
      <c r="AA1" s="103"/>
    </row>
    <row r="2" spans="1:27" ht="15" customHeight="1" x14ac:dyDescent="0.2">
      <c r="A2" s="104" t="s">
        <v>0</v>
      </c>
      <c r="B2" s="105" t="s">
        <v>3</v>
      </c>
      <c r="C2" s="104" t="s">
        <v>1</v>
      </c>
      <c r="D2" s="106" t="s">
        <v>538</v>
      </c>
      <c r="E2" s="106" t="s">
        <v>539</v>
      </c>
      <c r="F2" s="104" t="s">
        <v>523</v>
      </c>
      <c r="G2" s="106" t="s">
        <v>540</v>
      </c>
      <c r="H2" s="106" t="s">
        <v>541</v>
      </c>
      <c r="I2" s="106" t="s">
        <v>542</v>
      </c>
      <c r="J2" s="104" t="s">
        <v>543</v>
      </c>
      <c r="K2" s="104" t="s">
        <v>544</v>
      </c>
      <c r="L2" s="106" t="s">
        <v>545</v>
      </c>
      <c r="M2" s="106" t="s">
        <v>546</v>
      </c>
      <c r="N2" s="108" t="s">
        <v>552</v>
      </c>
      <c r="O2" s="106" t="s">
        <v>548</v>
      </c>
      <c r="P2" s="106" t="s">
        <v>549</v>
      </c>
      <c r="Q2" s="107" t="s">
        <v>550</v>
      </c>
      <c r="R2" s="103"/>
      <c r="S2" s="103"/>
      <c r="T2" s="103"/>
      <c r="U2" s="103"/>
      <c r="V2" s="103"/>
      <c r="W2" s="103"/>
      <c r="X2" s="103"/>
      <c r="Y2" s="103"/>
      <c r="Z2" s="103"/>
      <c r="AA2" s="103"/>
    </row>
    <row r="3" spans="1:27" ht="15" customHeight="1" x14ac:dyDescent="0.2">
      <c r="A3" s="105">
        <v>1</v>
      </c>
      <c r="B3" s="108"/>
      <c r="C3" s="108">
        <v>2</v>
      </c>
      <c r="D3" s="105">
        <v>3</v>
      </c>
      <c r="E3" s="108">
        <v>4</v>
      </c>
      <c r="F3" s="105">
        <v>5</v>
      </c>
      <c r="G3" s="108">
        <v>6</v>
      </c>
      <c r="H3" s="105">
        <v>7</v>
      </c>
      <c r="I3" s="108">
        <v>8</v>
      </c>
      <c r="J3" s="105">
        <v>9</v>
      </c>
      <c r="K3" s="108">
        <v>10</v>
      </c>
      <c r="L3" s="105">
        <v>11</v>
      </c>
      <c r="M3" s="108">
        <v>12</v>
      </c>
      <c r="N3" s="105">
        <v>1759.4</v>
      </c>
      <c r="O3" s="108">
        <v>14</v>
      </c>
      <c r="P3" s="105">
        <v>15</v>
      </c>
      <c r="Q3" s="109"/>
      <c r="R3" s="103"/>
      <c r="S3" s="103"/>
      <c r="T3" s="103"/>
      <c r="U3" s="103"/>
      <c r="V3" s="103"/>
      <c r="W3" s="103"/>
      <c r="X3" s="103"/>
      <c r="Y3" s="103"/>
      <c r="Z3" s="103"/>
      <c r="AA3" s="103"/>
    </row>
    <row r="4" spans="1:27" ht="15" customHeight="1" x14ac:dyDescent="0.2">
      <c r="A4" s="110">
        <v>1</v>
      </c>
      <c r="B4" s="122" t="s">
        <v>54</v>
      </c>
      <c r="C4" s="111" t="str">
        <f ca="1">IFERROR(__xludf.DUMMYFUNCTION("IMPORTRANGE(""https://docs.google.com/spreadsheets/d/1ZpB0joDVH_P6wgS1qdxv2Cg30eSt21FXcCJZMPEFRM4/edit#gid=85105103&amp;range=G6:G481"", ""'Касса  '!G6:G481"")"),"г.о. Фрязино")</f>
        <v>г.о. Фрязино</v>
      </c>
      <c r="D4" s="112" t="str">
        <f ca="1">IFERROR(__xludf.DUMMYFUNCTION("IMPORTRANGE(""https://docs.google.com/spreadsheets/d/1ZpB0joDVH_P6wgS1qdxv2Cg30eSt21FXcCJZMPEFRM4/edit#gid=85105103&amp;range=E6:E481"", ""'Касса  '!E6:E481"")"),"Реконструкция ВЗУ №4 с установкой станции водоподготовки , г. Фрязино,  Окружной проезд, дом 2, стр. 1                                     ")</f>
        <v xml:space="preserve">Реконструкция ВЗУ №4 с установкой станции водоподготовки , г. Фрязино,  Окружной проезд, дом 2, стр. 1                                     </v>
      </c>
      <c r="E4" s="111" t="str">
        <f ca="1">IFERROR(__xludf.DUMMYFUNCTION("IMPORTRANGE(""https://docs.google.com/spreadsheets/d/1ZpB0joDVH_P6wgS1qdxv2Cg30eSt21FXcCJZMPEFRM4/edit#gid=85105103&amp;range=H6:H481"", ""'Касса  '!H6:H481"")"),"2020-2021")</f>
        <v>2020-2021</v>
      </c>
      <c r="F4" s="113">
        <f ca="1">IFERROR(__xludf.DUMMYFUNCTION("IMPORTRANGE(""https://docs.google.com/spreadsheets/d/1ZpB0joDVH_P6wgS1qdxv2Cg30eSt21FXcCJZMPEFRM4/edit#gid=85105103&amp;range=P6:P481"", ""'Касса  '!P6:P481"")"),147800.8)</f>
        <v>147800.79999999999</v>
      </c>
      <c r="G4" s="113">
        <f ca="1">IFERROR(__xludf.DUMMYFUNCTION("IMPORTRANGE(""https://docs.google.com/spreadsheets/d/1ZpB0joDVH_P6wgS1qdxv2Cg30eSt21FXcCJZMPEFRM4/edit#gid=85105103&amp;range=L6:L481"", ""'Касса  '!L6:L481"")"),36950.2)</f>
        <v>36950.199999999997</v>
      </c>
      <c r="H4" s="113">
        <f ca="1">IFERROR(__xludf.DUMMYFUNCTION("IMPORTRANGE(""https://docs.google.com/spreadsheets/d/1ZpB0joDVH_P6wgS1qdxv2Cg30eSt21FXcCJZMPEFRM4/edit#gid=85105103&amp;range=M6:M481"", ""'Касса  '!M6:M481"")"),110850.6)</f>
        <v>110850.6</v>
      </c>
      <c r="I4" s="111" t="str">
        <f ca="1">IFERROR(__xludf.DUMMYFUNCTION("IMPORTRANGE(""https://docs.google.com/spreadsheets/d/1ZpB0joDVH_P6wgS1qdxv2Cg30eSt21FXcCJZMPEFRM4/edit#gid=85105103&amp;range=N6:N481"", ""'Касса  '!N6:N481"")"),"")</f>
        <v/>
      </c>
      <c r="J4" s="113">
        <f ca="1">IFERROR(__xludf.DUMMYFUNCTION("IMPORTRANGE(""https://docs.google.com/spreadsheets/d/1ZpB0joDVH_P6wgS1qdxv2Cg30eSt21FXcCJZMPEFRM4/edit#gid=85105103&amp;range=Z6:Z466"", ""'Касса  '!Z6:Z466"")"),114329.62)</f>
        <v>114329.62</v>
      </c>
      <c r="K4" s="113">
        <f ca="1">IFERROR(__xludf.DUMMYFUNCTION("IMPORTRANGE(""https://docs.google.com/spreadsheets/d/1ZpB0joDVH_P6wgS1qdxv2Cg30eSt21FXcCJZMPEFRM4/edit#gid=85105103&amp;range=Y6:Y466"", ""'Касса  '!Y6:Y466"")"),33471.1799999999)</f>
        <v>33471.179999999898</v>
      </c>
      <c r="L4" s="114">
        <f ca="1">IFERROR(__xludf.DUMMYFUNCTION("IMPORTRANGE(""https://docs.google.com/spreadsheets/d/1ZpB0joDVH_P6wgS1qdxv2Cg30eSt21FXcCJZMPEFRM4/edit#gid=85105103&amp;range=AD6:AD466"", ""'Касса  '!AD6:AD466"")"),0.77353857353952)</f>
        <v>0.77353857353952005</v>
      </c>
      <c r="M4" s="111" t="str">
        <f ca="1">IFERROR(__xludf.DUMMYFUNCTION("IMPORTRANGE(""https://docs.google.com/spreadsheets/d/1ZpB0joDVH_P6wgS1qdxv2Cg30eSt21FXcCJZMPEFRM4/edit#gid=85105103&amp;range=A6:A481"", ""'Касса  '!A6:A481"")"),"Требуется корректировка проекта в части замены технологического оборудования. Протокол ислледования качетсва воды для согласования ТТХ аналогичного оборудования отсутствует.
 Получение РС до 10.12.2020")</f>
        <v>Требуется корректировка проекта в части замены технологического оборудования. Протокол ислледования качетсва воды для согласования ТТХ аналогичного оборудования отсутствует.
 Получение РС до 10.12.2020</v>
      </c>
      <c r="N4" s="110" t="s">
        <v>553</v>
      </c>
      <c r="O4" s="111"/>
      <c r="P4" s="111"/>
      <c r="Q4" s="112"/>
      <c r="R4" s="103"/>
      <c r="S4" s="103"/>
      <c r="T4" s="103"/>
      <c r="U4" s="103"/>
      <c r="V4" s="103"/>
      <c r="W4" s="103"/>
      <c r="X4" s="103"/>
      <c r="Y4" s="103"/>
      <c r="Z4" s="103"/>
      <c r="AA4" s="103"/>
    </row>
    <row r="5" spans="1:27" ht="15" customHeight="1" x14ac:dyDescent="0.2">
      <c r="A5" s="110">
        <v>2</v>
      </c>
      <c r="B5" s="110" t="s">
        <v>54</v>
      </c>
      <c r="C5" s="111" t="str">
        <f ca="1">IFERROR(__xludf.DUMMYFUNCTION("""COMPUTED_VALUE"""),"г.о. Фрязино")</f>
        <v>г.о. Фрязино</v>
      </c>
      <c r="D5" s="112" t="str">
        <f ca="1">IFERROR(__xludf.DUMMYFUNCTION("""COMPUTED_VALUE"""),"Реконструкция ВЗУ №5 с установкой станции водоподготовки по адресу: Московская область, г. Фрязино, площадь Введенского, д. 1, стр. 1")</f>
        <v>Реконструкция ВЗУ №5 с установкой станции водоподготовки по адресу: Московская область, г. Фрязино, площадь Введенского, д. 1, стр. 1</v>
      </c>
      <c r="E5" s="111" t="str">
        <f ca="1">IFERROR(__xludf.DUMMYFUNCTION("""COMPUTED_VALUE"""),"2020-2021")</f>
        <v>2020-2021</v>
      </c>
      <c r="F5" s="113">
        <f ca="1">IFERROR(__xludf.DUMMYFUNCTION("""COMPUTED_VALUE"""),52728.28)</f>
        <v>52728.28</v>
      </c>
      <c r="G5" s="113">
        <f ca="1">IFERROR(__xludf.DUMMYFUNCTION("""COMPUTED_VALUE"""),13182.08)</f>
        <v>13182.08</v>
      </c>
      <c r="H5" s="113">
        <f ca="1">IFERROR(__xludf.DUMMYFUNCTION("""COMPUTED_VALUE"""),39546.2)</f>
        <v>39546.199999999997</v>
      </c>
      <c r="I5" s="111"/>
      <c r="J5" s="113">
        <f ca="1">IFERROR(__xludf.DUMMYFUNCTION("""COMPUTED_VALUE"""),40614.78)</f>
        <v>40614.78</v>
      </c>
      <c r="K5" s="113">
        <f ca="1">IFERROR(__xludf.DUMMYFUNCTION("""COMPUTED_VALUE"""),12113.4999999999)</f>
        <v>12113.4999999999</v>
      </c>
      <c r="L5" s="114">
        <f ca="1">IFERROR(__xludf.DUMMYFUNCTION("""COMPUTED_VALUE"""),0.770265595615863)</f>
        <v>0.77026559561586305</v>
      </c>
      <c r="M5" s="111" t="str">
        <f ca="1">IFERROR(__xludf.DUMMYFUNCTION("""COMPUTED_VALUE"""),"Прорабатывается вопрос увеличения авансирования под лимиты 2020 года после перераспределения части финансирования с ВЗУ-4.
 Получение РС до 10.12.2020")</f>
        <v>Прорабатывается вопрос увеличения авансирования под лимиты 2020 года после перераспределения части финансирования с ВЗУ-4.
 Получение РС до 10.12.2020</v>
      </c>
      <c r="N5" s="110" t="s">
        <v>553</v>
      </c>
      <c r="O5" s="111"/>
      <c r="P5" s="111"/>
      <c r="Q5" s="112"/>
      <c r="R5" s="103"/>
      <c r="S5" s="103"/>
      <c r="T5" s="103"/>
      <c r="U5" s="103"/>
      <c r="V5" s="103"/>
      <c r="W5" s="103"/>
      <c r="X5" s="103"/>
      <c r="Y5" s="103"/>
      <c r="Z5" s="103"/>
      <c r="AA5" s="103"/>
    </row>
    <row r="6" spans="1:27" ht="15" customHeight="1" x14ac:dyDescent="0.2">
      <c r="A6" s="110">
        <v>3</v>
      </c>
      <c r="B6" s="110" t="s">
        <v>54</v>
      </c>
      <c r="C6" s="111" t="str">
        <f ca="1">IFERROR(__xludf.DUMMYFUNCTION("""COMPUTED_VALUE""")," г.о. Воскресенск")</f>
        <v xml:space="preserve"> г.о. Воскресенск</v>
      </c>
      <c r="D6" s="111"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f>
        <v>Реконструкция ВЗУ Степанщино Воскресенский м.р., с устройством РЧВ 500 м. куб. и установкой станции обезжелезования; бурение доп. артскважин</v>
      </c>
      <c r="E6" s="111" t="str">
        <f ca="1">IFERROR(__xludf.DUMMYFUNCTION("""COMPUTED_VALUE"""),"2022-2023")</f>
        <v>2022-2023</v>
      </c>
      <c r="F6" s="113">
        <f ca="1">IFERROR(__xludf.DUMMYFUNCTION("""COMPUTED_VALUE"""),0)</f>
        <v>0</v>
      </c>
      <c r="G6" s="113">
        <f ca="1">IFERROR(__xludf.DUMMYFUNCTION("""COMPUTED_VALUE"""),0)</f>
        <v>0</v>
      </c>
      <c r="H6" s="113">
        <f ca="1">IFERROR(__xludf.DUMMYFUNCTION("""COMPUTED_VALUE"""),0)</f>
        <v>0</v>
      </c>
      <c r="I6" s="111"/>
      <c r="J6" s="111">
        <f ca="1">IFERROR(__xludf.DUMMYFUNCTION("""COMPUTED_VALUE"""),0)</f>
        <v>0</v>
      </c>
      <c r="K6" s="113">
        <f ca="1">IFERROR(__xludf.DUMMYFUNCTION("""COMPUTED_VALUE"""),0)</f>
        <v>0</v>
      </c>
      <c r="L6" s="114" t="str">
        <f ca="1">IFERROR(__xludf.DUMMYFUNCTION("""COMPUTED_VALUE"""),"#DIV/0!")</f>
        <v>#DIV/0!</v>
      </c>
      <c r="M6" s="111"/>
      <c r="N6" s="111"/>
      <c r="O6" s="111"/>
      <c r="P6" s="111"/>
      <c r="Q6" s="112"/>
      <c r="R6" s="103"/>
      <c r="S6" s="103"/>
      <c r="T6" s="103"/>
      <c r="U6" s="103"/>
      <c r="V6" s="103"/>
      <c r="W6" s="103"/>
      <c r="X6" s="103"/>
      <c r="Y6" s="103"/>
      <c r="Z6" s="103"/>
      <c r="AA6" s="103"/>
    </row>
    <row r="7" spans="1:27" ht="15" customHeight="1" x14ac:dyDescent="0.2">
      <c r="A7" s="110">
        <v>4</v>
      </c>
      <c r="B7" s="110" t="s">
        <v>54</v>
      </c>
      <c r="C7" s="111" t="str">
        <f ca="1">IFERROR(__xludf.DUMMYFUNCTION("""COMPUTED_VALUE"""),"г.о. Егорьевск ")</f>
        <v xml:space="preserve">г.о. Егорьевск </v>
      </c>
      <c r="D7" s="111" t="str">
        <f ca="1">IFERROR(__xludf.DUMMYFUNCTION("""COMPUTED_VALUE"""),"Реконструкция ВЗУ в пгт.Новый, г.о. Егорьевск")</f>
        <v>Реконструкция ВЗУ в пгт.Новый, г.о. Егорьевск</v>
      </c>
      <c r="E7" s="111">
        <f ca="1">IFERROR(__xludf.DUMMYFUNCTION("""COMPUTED_VALUE"""),2023)</f>
        <v>2023</v>
      </c>
      <c r="F7" s="113">
        <f ca="1">IFERROR(__xludf.DUMMYFUNCTION("""COMPUTED_VALUE"""),0)</f>
        <v>0</v>
      </c>
      <c r="G7" s="113">
        <f ca="1">IFERROR(__xludf.DUMMYFUNCTION("""COMPUTED_VALUE"""),0)</f>
        <v>0</v>
      </c>
      <c r="H7" s="113">
        <f ca="1">IFERROR(__xludf.DUMMYFUNCTION("""COMPUTED_VALUE"""),0)</f>
        <v>0</v>
      </c>
      <c r="I7" s="111"/>
      <c r="J7" s="111">
        <f ca="1">IFERROR(__xludf.DUMMYFUNCTION("""COMPUTED_VALUE"""),0)</f>
        <v>0</v>
      </c>
      <c r="K7" s="113">
        <f ca="1">IFERROR(__xludf.DUMMYFUNCTION("""COMPUTED_VALUE"""),0)</f>
        <v>0</v>
      </c>
      <c r="L7" s="114" t="str">
        <f ca="1">IFERROR(__xludf.DUMMYFUNCTION("""COMPUTED_VALUE"""),"#DIV/0!")</f>
        <v>#DIV/0!</v>
      </c>
      <c r="M7" s="111"/>
      <c r="N7" s="111"/>
      <c r="O7" s="111"/>
      <c r="P7" s="111"/>
      <c r="Q7" s="112"/>
      <c r="R7" s="103"/>
      <c r="S7" s="103"/>
      <c r="T7" s="103"/>
      <c r="U7" s="103"/>
      <c r="V7" s="103"/>
      <c r="W7" s="103"/>
      <c r="X7" s="103"/>
      <c r="Y7" s="103"/>
      <c r="Z7" s="103"/>
      <c r="AA7" s="103"/>
    </row>
    <row r="8" spans="1:27" ht="15" customHeight="1" x14ac:dyDescent="0.2">
      <c r="A8" s="110">
        <v>5</v>
      </c>
      <c r="B8" s="110" t="s">
        <v>54</v>
      </c>
      <c r="C8" s="111" t="str">
        <f ca="1">IFERROR(__xludf.DUMMYFUNCTION("""COMPUTED_VALUE"""),"г.о. Люберцы")</f>
        <v>г.о. Люберцы</v>
      </c>
      <c r="D8" s="111" t="str">
        <f ca="1">IFERROR(__xludf.DUMMYFUNCTION("""COMPUTED_VALUE"""),"Реконструкция ВЗУ Звездочка скважина №2 д Мотяково, д. б/н г.о. Люберцы")</f>
        <v>Реконструкция ВЗУ Звездочка скважина №2 д Мотяково, д. б/н г.о. Люберцы</v>
      </c>
      <c r="E8" s="111">
        <f ca="1">IFERROR(__xludf.DUMMYFUNCTION("""COMPUTED_VALUE"""),2021)</f>
        <v>2021</v>
      </c>
      <c r="F8" s="113">
        <f ca="1">IFERROR(__xludf.DUMMYFUNCTION("""COMPUTED_VALUE"""),0)</f>
        <v>0</v>
      </c>
      <c r="G8" s="113">
        <f ca="1">IFERROR(__xludf.DUMMYFUNCTION("""COMPUTED_VALUE"""),0)</f>
        <v>0</v>
      </c>
      <c r="H8" s="113">
        <f ca="1">IFERROR(__xludf.DUMMYFUNCTION("""COMPUTED_VALUE"""),0)</f>
        <v>0</v>
      </c>
      <c r="I8" s="111"/>
      <c r="J8" s="111">
        <f ca="1">IFERROR(__xludf.DUMMYFUNCTION("""COMPUTED_VALUE"""),0)</f>
        <v>0</v>
      </c>
      <c r="K8" s="113">
        <f ca="1">IFERROR(__xludf.DUMMYFUNCTION("""COMPUTED_VALUE"""),0)</f>
        <v>0</v>
      </c>
      <c r="L8" s="114" t="str">
        <f ca="1">IFERROR(__xludf.DUMMYFUNCTION("""COMPUTED_VALUE"""),"#DIV/0!")</f>
        <v>#DIV/0!</v>
      </c>
      <c r="M8" s="111"/>
      <c r="N8" s="111"/>
      <c r="O8" s="111"/>
      <c r="P8" s="111"/>
      <c r="Q8" s="112"/>
      <c r="R8" s="103"/>
      <c r="S8" s="103"/>
      <c r="T8" s="103"/>
      <c r="U8" s="103"/>
      <c r="V8" s="103"/>
      <c r="W8" s="103"/>
      <c r="X8" s="103"/>
      <c r="Y8" s="103"/>
      <c r="Z8" s="103"/>
      <c r="AA8" s="103"/>
    </row>
    <row r="9" spans="1:27" ht="15" customHeight="1" x14ac:dyDescent="0.2">
      <c r="A9" s="110">
        <v>6</v>
      </c>
      <c r="B9" s="110" t="s">
        <v>54</v>
      </c>
      <c r="C9" s="111" t="str">
        <f ca="1">IFERROR(__xludf.DUMMYFUNCTION("""COMPUTED_VALUE"""),"г.о. Люберцы")</f>
        <v>г.о. Люберцы</v>
      </c>
      <c r="D9" s="111" t="str">
        <f ca="1">IFERROR(__xludf.DUMMYFUNCTION("""COMPUTED_VALUE"""),"Реконструкция ВЗУ №21 д.п. Красково г.о. Люберцы")</f>
        <v>Реконструкция ВЗУ №21 д.п. Красково г.о. Люберцы</v>
      </c>
      <c r="E9" s="111" t="str">
        <f ca="1">IFERROR(__xludf.DUMMYFUNCTION("""COMPUTED_VALUE"""),"2021-2023")</f>
        <v>2021-2023</v>
      </c>
      <c r="F9" s="113">
        <f ca="1">IFERROR(__xludf.DUMMYFUNCTION("""COMPUTED_VALUE"""),0)</f>
        <v>0</v>
      </c>
      <c r="G9" s="113">
        <f ca="1">IFERROR(__xludf.DUMMYFUNCTION("""COMPUTED_VALUE"""),0)</f>
        <v>0</v>
      </c>
      <c r="H9" s="113">
        <f ca="1">IFERROR(__xludf.DUMMYFUNCTION("""COMPUTED_VALUE"""),0)</f>
        <v>0</v>
      </c>
      <c r="I9" s="111"/>
      <c r="J9" s="111">
        <f ca="1">IFERROR(__xludf.DUMMYFUNCTION("""COMPUTED_VALUE"""),0)</f>
        <v>0</v>
      </c>
      <c r="K9" s="113">
        <f ca="1">IFERROR(__xludf.DUMMYFUNCTION("""COMPUTED_VALUE"""),0)</f>
        <v>0</v>
      </c>
      <c r="L9" s="114" t="str">
        <f ca="1">IFERROR(__xludf.DUMMYFUNCTION("""COMPUTED_VALUE"""),"#DIV/0!")</f>
        <v>#DIV/0!</v>
      </c>
      <c r="M9" s="111"/>
      <c r="N9" s="111"/>
      <c r="O9" s="111"/>
      <c r="P9" s="111"/>
      <c r="Q9" s="112"/>
      <c r="R9" s="103"/>
      <c r="S9" s="103"/>
      <c r="T9" s="103"/>
      <c r="U9" s="103"/>
      <c r="V9" s="103"/>
      <c r="W9" s="103"/>
      <c r="X9" s="103"/>
      <c r="Y9" s="103"/>
      <c r="Z9" s="103"/>
      <c r="AA9" s="103"/>
    </row>
    <row r="10" spans="1:27" ht="15" customHeight="1" x14ac:dyDescent="0.2">
      <c r="A10" s="110">
        <v>7</v>
      </c>
      <c r="B10" s="110" t="s">
        <v>54</v>
      </c>
      <c r="C10" s="111" t="str">
        <f ca="1">IFERROR(__xludf.DUMMYFUNCTION("""COMPUTED_VALUE"""),"г.о. Люберцы")</f>
        <v>г.о. Люберцы</v>
      </c>
      <c r="D10" s="111" t="str">
        <f ca="1">IFERROR(__xludf.DUMMYFUNCTION("""COMPUTED_VALUE"""),"Реконструкция ВЗУ №11 г.п.Малаховка г.о. Люберцы")</f>
        <v>Реконструкция ВЗУ №11 г.п.Малаховка г.о. Люберцы</v>
      </c>
      <c r="E10" s="111" t="str">
        <f ca="1">IFERROR(__xludf.DUMMYFUNCTION("""COMPUTED_VALUE"""),"Н/Л")</f>
        <v>Н/Л</v>
      </c>
      <c r="F10" s="113">
        <f ca="1">IFERROR(__xludf.DUMMYFUNCTION("""COMPUTED_VALUE"""),0)</f>
        <v>0</v>
      </c>
      <c r="G10" s="113">
        <f ca="1">IFERROR(__xludf.DUMMYFUNCTION("""COMPUTED_VALUE"""),0)</f>
        <v>0</v>
      </c>
      <c r="H10" s="113">
        <f ca="1">IFERROR(__xludf.DUMMYFUNCTION("""COMPUTED_VALUE"""),0)</f>
        <v>0</v>
      </c>
      <c r="I10" s="111"/>
      <c r="J10" s="111">
        <f ca="1">IFERROR(__xludf.DUMMYFUNCTION("""COMPUTED_VALUE"""),0)</f>
        <v>0</v>
      </c>
      <c r="K10" s="113">
        <f ca="1">IFERROR(__xludf.DUMMYFUNCTION("""COMPUTED_VALUE"""),0)</f>
        <v>0</v>
      </c>
      <c r="L10" s="114" t="str">
        <f ca="1">IFERROR(__xludf.DUMMYFUNCTION("""COMPUTED_VALUE"""),"#DIV/0!")</f>
        <v>#DIV/0!</v>
      </c>
      <c r="M10" s="111"/>
      <c r="N10" s="111"/>
      <c r="O10" s="111"/>
      <c r="P10" s="111"/>
      <c r="Q10" s="112"/>
      <c r="R10" s="103"/>
      <c r="S10" s="103"/>
      <c r="T10" s="103"/>
      <c r="U10" s="103"/>
      <c r="V10" s="103"/>
      <c r="W10" s="103"/>
      <c r="X10" s="103"/>
      <c r="Y10" s="103"/>
      <c r="Z10" s="103"/>
      <c r="AA10" s="103"/>
    </row>
    <row r="11" spans="1:27" ht="15" customHeight="1" x14ac:dyDescent="0.2">
      <c r="A11" s="110">
        <v>8</v>
      </c>
      <c r="B11" s="110" t="s">
        <v>54</v>
      </c>
      <c r="C11" s="111" t="str">
        <f ca="1">IFERROR(__xludf.DUMMYFUNCTION("""COMPUTED_VALUE"""),"г.о. Люберцы")</f>
        <v>г.о. Люберцы</v>
      </c>
      <c r="D11" s="111" t="str">
        <f ca="1">IFERROR(__xludf.DUMMYFUNCTION("""COMPUTED_VALUE"""),"Реконструкция ВЗУ №5  г.о. Люберцы")</f>
        <v>Реконструкция ВЗУ №5  г.о. Люберцы</v>
      </c>
      <c r="E11" s="111" t="str">
        <f ca="1">IFERROR(__xludf.DUMMYFUNCTION("""COMPUTED_VALUE"""),"Н/Л")</f>
        <v>Н/Л</v>
      </c>
      <c r="F11" s="113">
        <f ca="1">IFERROR(__xludf.DUMMYFUNCTION("""COMPUTED_VALUE"""),0)</f>
        <v>0</v>
      </c>
      <c r="G11" s="113">
        <f ca="1">IFERROR(__xludf.DUMMYFUNCTION("""COMPUTED_VALUE"""),0)</f>
        <v>0</v>
      </c>
      <c r="H11" s="113">
        <f ca="1">IFERROR(__xludf.DUMMYFUNCTION("""COMPUTED_VALUE"""),0)</f>
        <v>0</v>
      </c>
      <c r="I11" s="111"/>
      <c r="J11" s="111">
        <f ca="1">IFERROR(__xludf.DUMMYFUNCTION("""COMPUTED_VALUE"""),0)</f>
        <v>0</v>
      </c>
      <c r="K11" s="113">
        <f ca="1">IFERROR(__xludf.DUMMYFUNCTION("""COMPUTED_VALUE"""),0)</f>
        <v>0</v>
      </c>
      <c r="L11" s="114" t="str">
        <f ca="1">IFERROR(__xludf.DUMMYFUNCTION("""COMPUTED_VALUE"""),"#DIV/0!")</f>
        <v>#DIV/0!</v>
      </c>
      <c r="M11" s="111"/>
      <c r="N11" s="111"/>
      <c r="O11" s="111"/>
      <c r="P11" s="111"/>
      <c r="Q11" s="112"/>
      <c r="R11" s="103"/>
      <c r="S11" s="103"/>
      <c r="T11" s="103"/>
      <c r="U11" s="103"/>
      <c r="V11" s="103"/>
      <c r="W11" s="103"/>
      <c r="X11" s="103"/>
      <c r="Y11" s="103"/>
      <c r="Z11" s="103"/>
      <c r="AA11" s="103"/>
    </row>
    <row r="12" spans="1:27" ht="15" customHeight="1" x14ac:dyDescent="0.2">
      <c r="A12" s="110">
        <v>9</v>
      </c>
      <c r="B12" s="110" t="s">
        <v>54</v>
      </c>
      <c r="C12" s="111" t="str">
        <f ca="1">IFERROR(__xludf.DUMMYFUNCTION("""COMPUTED_VALUE"""),"г.о. Люберцы")</f>
        <v>г.о. Люберцы</v>
      </c>
      <c r="D12" s="111" t="str">
        <f ca="1">IFERROR(__xludf.DUMMYFUNCTION("""COMPUTED_VALUE"""),"Реконструкция ВЗУ№20-Томилино  г.о. Люберцы")</f>
        <v>Реконструкция ВЗУ№20-Томилино  г.о. Люберцы</v>
      </c>
      <c r="E12" s="111">
        <f ca="1">IFERROR(__xludf.DUMMYFUNCTION("""COMPUTED_VALUE"""),2022)</f>
        <v>2022</v>
      </c>
      <c r="F12" s="113">
        <f ca="1">IFERROR(__xludf.DUMMYFUNCTION("""COMPUTED_VALUE"""),0)</f>
        <v>0</v>
      </c>
      <c r="G12" s="113">
        <f ca="1">IFERROR(__xludf.DUMMYFUNCTION("""COMPUTED_VALUE"""),0)</f>
        <v>0</v>
      </c>
      <c r="H12" s="113">
        <f ca="1">IFERROR(__xludf.DUMMYFUNCTION("""COMPUTED_VALUE"""),0)</f>
        <v>0</v>
      </c>
      <c r="I12" s="111"/>
      <c r="J12" s="111">
        <f ca="1">IFERROR(__xludf.DUMMYFUNCTION("""COMPUTED_VALUE"""),0)</f>
        <v>0</v>
      </c>
      <c r="K12" s="113">
        <f ca="1">IFERROR(__xludf.DUMMYFUNCTION("""COMPUTED_VALUE"""),0)</f>
        <v>0</v>
      </c>
      <c r="L12" s="114" t="str">
        <f ca="1">IFERROR(__xludf.DUMMYFUNCTION("""COMPUTED_VALUE"""),"#DIV/0!")</f>
        <v>#DIV/0!</v>
      </c>
      <c r="M12" s="111"/>
      <c r="N12" s="111"/>
      <c r="O12" s="111"/>
      <c r="P12" s="111"/>
      <c r="Q12" s="112"/>
      <c r="R12" s="103"/>
      <c r="S12" s="103"/>
      <c r="T12" s="103"/>
      <c r="U12" s="103"/>
      <c r="V12" s="103"/>
      <c r="W12" s="103"/>
      <c r="X12" s="103"/>
      <c r="Y12" s="103"/>
      <c r="Z12" s="103"/>
      <c r="AA12" s="103"/>
    </row>
    <row r="13" spans="1:27" ht="15" customHeight="1" x14ac:dyDescent="0.2">
      <c r="A13" s="110">
        <v>10</v>
      </c>
      <c r="B13" s="110" t="s">
        <v>54</v>
      </c>
      <c r="C13" s="111" t="str">
        <f ca="1">IFERROR(__xludf.DUMMYFUNCTION("""COMPUTED_VALUE"""),"г.о. Люберцы")</f>
        <v>г.о. Люберцы</v>
      </c>
      <c r="D13" s="111" t="str">
        <f ca="1">IFERROR(__xludf.DUMMYFUNCTION("""COMPUTED_VALUE"""),"Реконструкция ВЗУ-Птицефабрика  г.о. Люберцы")</f>
        <v>Реконструкция ВЗУ-Птицефабрика  г.о. Люберцы</v>
      </c>
      <c r="E13" s="111">
        <f ca="1">IFERROR(__xludf.DUMMYFUNCTION("""COMPUTED_VALUE"""),2022)</f>
        <v>2022</v>
      </c>
      <c r="F13" s="113">
        <f ca="1">IFERROR(__xludf.DUMMYFUNCTION("""COMPUTED_VALUE"""),0)</f>
        <v>0</v>
      </c>
      <c r="G13" s="113">
        <f ca="1">IFERROR(__xludf.DUMMYFUNCTION("""COMPUTED_VALUE"""),0)</f>
        <v>0</v>
      </c>
      <c r="H13" s="113">
        <f ca="1">IFERROR(__xludf.DUMMYFUNCTION("""COMPUTED_VALUE"""),0)</f>
        <v>0</v>
      </c>
      <c r="I13" s="111"/>
      <c r="J13" s="111">
        <f ca="1">IFERROR(__xludf.DUMMYFUNCTION("""COMPUTED_VALUE"""),0)</f>
        <v>0</v>
      </c>
      <c r="K13" s="113">
        <f ca="1">IFERROR(__xludf.DUMMYFUNCTION("""COMPUTED_VALUE"""),0)</f>
        <v>0</v>
      </c>
      <c r="L13" s="114" t="str">
        <f ca="1">IFERROR(__xludf.DUMMYFUNCTION("""COMPUTED_VALUE"""),"#DIV/0!")</f>
        <v>#DIV/0!</v>
      </c>
      <c r="M13" s="111"/>
      <c r="N13" s="111"/>
      <c r="O13" s="111"/>
      <c r="P13" s="111"/>
      <c r="Q13" s="112"/>
      <c r="R13" s="103"/>
      <c r="S13" s="103"/>
      <c r="T13" s="103"/>
      <c r="U13" s="103"/>
      <c r="V13" s="103"/>
      <c r="W13" s="103"/>
      <c r="X13" s="103"/>
      <c r="Y13" s="103"/>
      <c r="Z13" s="103"/>
      <c r="AA13" s="103"/>
    </row>
    <row r="14" spans="1:27" ht="15" customHeight="1" x14ac:dyDescent="0.2">
      <c r="A14" s="110">
        <v>11</v>
      </c>
      <c r="B14" s="110" t="s">
        <v>54</v>
      </c>
      <c r="C14" s="111" t="str">
        <f ca="1">IFERROR(__xludf.DUMMYFUNCTION("""COMPUTED_VALUE"""),"г.о. Люберцы")</f>
        <v>г.о. Люберцы</v>
      </c>
      <c r="D14" s="111" t="str">
        <f ca="1">IFERROR(__xludf.DUMMYFUNCTION("""COMPUTED_VALUE"""),"Строительство ПВНС г. Люберцы по адресу: г. Люберцы, ул. Московская у дома № 1 (в том числе техническое присоединение)")</f>
        <v>Строительство ПВНС г. Люберцы по адресу: г. Люберцы, ул. Московская у дома № 1 (в том числе техническое присоединение)</v>
      </c>
      <c r="E14" s="111" t="str">
        <f ca="1">IFERROR(__xludf.DUMMYFUNCTION("""COMPUTED_VALUE"""),"2020-2021")</f>
        <v>2020-2021</v>
      </c>
      <c r="F14" s="113">
        <f ca="1">IFERROR(__xludf.DUMMYFUNCTION("""COMPUTED_VALUE"""),34108.27)</f>
        <v>34108.269999999997</v>
      </c>
      <c r="G14" s="113">
        <f ca="1">IFERROR(__xludf.DUMMYFUNCTION("""COMPUTED_VALUE"""),8527.07)</f>
        <v>8527.07</v>
      </c>
      <c r="H14" s="113">
        <f ca="1">IFERROR(__xludf.DUMMYFUNCTION("""COMPUTED_VALUE"""),25581.2)</f>
        <v>25581.200000000001</v>
      </c>
      <c r="I14" s="111"/>
      <c r="J14" s="113">
        <f ca="1">IFERROR(__xludf.DUMMYFUNCTION("""COMPUTED_VALUE"""),19570.48)</f>
        <v>19570.48</v>
      </c>
      <c r="K14" s="113">
        <f ca="1">IFERROR(__xludf.DUMMYFUNCTION("""COMPUTED_VALUE"""),14537.79)</f>
        <v>14537.79</v>
      </c>
      <c r="L14" s="114">
        <f ca="1">IFERROR(__xludf.DUMMYFUNCTION("""COMPUTED_VALUE"""),0.573775216391801)</f>
        <v>0.57377521639180096</v>
      </c>
      <c r="M14" s="111" t="str">
        <f ca="1">IFERROR(__xludf.DUMMYFUNCTION("""COMPUTED_VALUE"""),"Отсутсвует ГПР. Прорабатывается вопрос увеличения аванса до 50% после предоставления увеличенной БГ подрядчиком
Получение РС до 30.11.2020")</f>
        <v>Отсутсвует ГПР. Прорабатывается вопрос увеличения аванса до 50% после предоставления увеличенной БГ подрядчиком
Получение РС до 30.11.2020</v>
      </c>
      <c r="N14" s="110" t="s">
        <v>554</v>
      </c>
      <c r="O14" s="111"/>
      <c r="P14" s="111"/>
      <c r="Q14" s="112"/>
      <c r="R14" s="103"/>
      <c r="S14" s="103"/>
      <c r="T14" s="103"/>
      <c r="U14" s="103"/>
      <c r="V14" s="103"/>
      <c r="W14" s="103"/>
      <c r="X14" s="103"/>
      <c r="Y14" s="103"/>
      <c r="Z14" s="103"/>
      <c r="AA14" s="103"/>
    </row>
    <row r="15" spans="1:27" ht="15" customHeight="1" x14ac:dyDescent="0.2">
      <c r="A15" s="110">
        <v>12</v>
      </c>
      <c r="B15" s="110" t="s">
        <v>54</v>
      </c>
      <c r="C15" s="111" t="str">
        <f ca="1">IFERROR(__xludf.DUMMYFUNCTION("""COMPUTED_VALUE"""),"г.о. Одинцово")</f>
        <v>г.о. Одинцово</v>
      </c>
      <c r="D15" s="111" t="str">
        <f ca="1">IFERROR(__xludf.DUMMYFUNCTION("""COMPUTED_VALUE"""),"Реконструкция ВЗУ-1 г.п. Одинцово Одинцовский г.о.")</f>
        <v>Реконструкция ВЗУ-1 г.п. Одинцово Одинцовский г.о.</v>
      </c>
      <c r="E15" s="111" t="str">
        <f ca="1">IFERROR(__xludf.DUMMYFUNCTION("""COMPUTED_VALUE"""),"2020-2021")</f>
        <v>2020-2021</v>
      </c>
      <c r="F15" s="113">
        <f ca="1">IFERROR(__xludf.DUMMYFUNCTION("""COMPUTED_VALUE"""),145000)</f>
        <v>145000</v>
      </c>
      <c r="G15" s="113">
        <f ca="1">IFERROR(__xludf.DUMMYFUNCTION("""COMPUTED_VALUE"""),36250)</f>
        <v>36250</v>
      </c>
      <c r="H15" s="113">
        <f ca="1">IFERROR(__xludf.DUMMYFUNCTION("""COMPUTED_VALUE"""),108750)</f>
        <v>108750</v>
      </c>
      <c r="I15" s="111"/>
      <c r="J15" s="113">
        <f ca="1">IFERROR(__xludf.DUMMYFUNCTION("""COMPUTED_VALUE"""),135035.08)</f>
        <v>135035.07999999999</v>
      </c>
      <c r="K15" s="113">
        <f ca="1">IFERROR(__xludf.DUMMYFUNCTION("""COMPUTED_VALUE"""),9964.92)</f>
        <v>9964.92</v>
      </c>
      <c r="L15" s="114">
        <f ca="1">IFERROR(__xludf.DUMMYFUNCTION("""COMPUTED_VALUE"""),0.931276413793103)</f>
        <v>0.931276413793103</v>
      </c>
      <c r="M15" s="111" t="str">
        <f ca="1">IFERROR(__xludf.DUMMYFUNCTION("""COMPUTED_VALUE"""),"Получение РС до 10.12.2020")</f>
        <v>Получение РС до 10.12.2020</v>
      </c>
      <c r="N15" s="110" t="s">
        <v>554</v>
      </c>
      <c r="O15" s="111"/>
      <c r="P15" s="111"/>
      <c r="Q15" s="112"/>
      <c r="R15" s="103"/>
      <c r="S15" s="103"/>
      <c r="T15" s="103"/>
      <c r="U15" s="103"/>
      <c r="V15" s="103"/>
      <c r="W15" s="103"/>
      <c r="X15" s="103"/>
      <c r="Y15" s="103"/>
      <c r="Z15" s="103"/>
      <c r="AA15" s="103"/>
    </row>
    <row r="16" spans="1:27" ht="15" customHeight="1" x14ac:dyDescent="0.2">
      <c r="A16" s="110">
        <v>13</v>
      </c>
      <c r="B16" s="110" t="s">
        <v>54</v>
      </c>
      <c r="C16" s="111" t="str">
        <f ca="1">IFERROR(__xludf.DUMMYFUNCTION("""COMPUTED_VALUE"""),"г.о. Одинцово")</f>
        <v>г.о. Одинцово</v>
      </c>
      <c r="D16" s="111" t="str">
        <f ca="1">IFERROR(__xludf.DUMMYFUNCTION("""COMPUTED_VALUE"""),"Реконструкция ВЗУ-8 г.п. Одинцово Одинцовский г.о.")</f>
        <v>Реконструкция ВЗУ-8 г.п. Одинцово Одинцовский г.о.</v>
      </c>
      <c r="E16" s="111">
        <f ca="1">IFERROR(__xludf.DUMMYFUNCTION("""COMPUTED_VALUE"""),2024)</f>
        <v>2024</v>
      </c>
      <c r="F16" s="113">
        <f ca="1">IFERROR(__xludf.DUMMYFUNCTION("""COMPUTED_VALUE"""),0)</f>
        <v>0</v>
      </c>
      <c r="G16" s="113">
        <f ca="1">IFERROR(__xludf.DUMMYFUNCTION("""COMPUTED_VALUE"""),0)</f>
        <v>0</v>
      </c>
      <c r="H16" s="113">
        <f ca="1">IFERROR(__xludf.DUMMYFUNCTION("""COMPUTED_VALUE"""),0)</f>
        <v>0</v>
      </c>
      <c r="I16" s="111"/>
      <c r="J16" s="111">
        <f ca="1">IFERROR(__xludf.DUMMYFUNCTION("""COMPUTED_VALUE"""),0)</f>
        <v>0</v>
      </c>
      <c r="K16" s="113">
        <f ca="1">IFERROR(__xludf.DUMMYFUNCTION("""COMPUTED_VALUE"""),0)</f>
        <v>0</v>
      </c>
      <c r="L16" s="114" t="str">
        <f ca="1">IFERROR(__xludf.DUMMYFUNCTION("""COMPUTED_VALUE"""),"#DIV/0!")</f>
        <v>#DIV/0!</v>
      </c>
      <c r="M16" s="111"/>
      <c r="N16" s="111"/>
      <c r="O16" s="111"/>
      <c r="P16" s="111"/>
      <c r="Q16" s="112"/>
      <c r="R16" s="103"/>
      <c r="S16" s="103"/>
      <c r="T16" s="103"/>
      <c r="U16" s="103"/>
      <c r="V16" s="103"/>
      <c r="W16" s="103"/>
      <c r="X16" s="103"/>
      <c r="Y16" s="103"/>
      <c r="Z16" s="103"/>
      <c r="AA16" s="103"/>
    </row>
    <row r="17" spans="1:27" ht="15" customHeight="1" x14ac:dyDescent="0.2">
      <c r="A17" s="110">
        <v>14</v>
      </c>
      <c r="B17" s="110" t="s">
        <v>54</v>
      </c>
      <c r="C17" s="111" t="str">
        <f ca="1">IFERROR(__xludf.DUMMYFUNCTION("""COMPUTED_VALUE"""),"г.о. Одинцово")</f>
        <v>г.о. Одинцово</v>
      </c>
      <c r="D17" s="111" t="str">
        <f ca="1">IFERROR(__xludf.DUMMYFUNCTION("""COMPUTED_VALUE"""),"Реконструкция ВЗУ-7 г.п. Одинцово Одинцовский г.о.")</f>
        <v>Реконструкция ВЗУ-7 г.п. Одинцово Одинцовский г.о.</v>
      </c>
      <c r="E17" s="111">
        <f ca="1">IFERROR(__xludf.DUMMYFUNCTION("""COMPUTED_VALUE"""),2024)</f>
        <v>2024</v>
      </c>
      <c r="F17" s="113">
        <f ca="1">IFERROR(__xludf.DUMMYFUNCTION("""COMPUTED_VALUE"""),0)</f>
        <v>0</v>
      </c>
      <c r="G17" s="113">
        <f ca="1">IFERROR(__xludf.DUMMYFUNCTION("""COMPUTED_VALUE"""),0)</f>
        <v>0</v>
      </c>
      <c r="H17" s="113">
        <f ca="1">IFERROR(__xludf.DUMMYFUNCTION("""COMPUTED_VALUE"""),0)</f>
        <v>0</v>
      </c>
      <c r="I17" s="111"/>
      <c r="J17" s="111">
        <f ca="1">IFERROR(__xludf.DUMMYFUNCTION("""COMPUTED_VALUE"""),0)</f>
        <v>0</v>
      </c>
      <c r="K17" s="113">
        <f ca="1">IFERROR(__xludf.DUMMYFUNCTION("""COMPUTED_VALUE"""),0)</f>
        <v>0</v>
      </c>
      <c r="L17" s="114" t="str">
        <f ca="1">IFERROR(__xludf.DUMMYFUNCTION("""COMPUTED_VALUE"""),"#DIV/0!")</f>
        <v>#DIV/0!</v>
      </c>
      <c r="M17" s="111"/>
      <c r="N17" s="111"/>
      <c r="O17" s="111"/>
      <c r="P17" s="111"/>
      <c r="Q17" s="112"/>
      <c r="R17" s="103"/>
      <c r="S17" s="103"/>
      <c r="T17" s="103"/>
      <c r="U17" s="103"/>
      <c r="V17" s="103"/>
      <c r="W17" s="103"/>
      <c r="X17" s="103"/>
      <c r="Y17" s="103"/>
      <c r="Z17" s="103"/>
      <c r="AA17" s="103"/>
    </row>
    <row r="18" spans="1:27" ht="15" customHeight="1" x14ac:dyDescent="0.2">
      <c r="A18" s="110">
        <v>15</v>
      </c>
      <c r="B18" s="110" t="s">
        <v>54</v>
      </c>
      <c r="C18" s="111" t="str">
        <f ca="1">IFERROR(__xludf.DUMMYFUNCTION("""COMPUTED_VALUE"""),"г.о. Одинцово")</f>
        <v>г.о. Одинцово</v>
      </c>
      <c r="D18" s="111" t="str">
        <f ca="1">IFERROR(__xludf.DUMMYFUNCTION("""COMPUTED_VALUE"""),"Реконструкция ВЗУ-6 г.п. Одинцово Одинцовский г.о.")</f>
        <v>Реконструкция ВЗУ-6 г.п. Одинцово Одинцовский г.о.</v>
      </c>
      <c r="E18" s="111">
        <f ca="1">IFERROR(__xludf.DUMMYFUNCTION("""COMPUTED_VALUE"""),2024)</f>
        <v>2024</v>
      </c>
      <c r="F18" s="113">
        <f ca="1">IFERROR(__xludf.DUMMYFUNCTION("""COMPUTED_VALUE"""),0)</f>
        <v>0</v>
      </c>
      <c r="G18" s="113">
        <f ca="1">IFERROR(__xludf.DUMMYFUNCTION("""COMPUTED_VALUE"""),0)</f>
        <v>0</v>
      </c>
      <c r="H18" s="113">
        <f ca="1">IFERROR(__xludf.DUMMYFUNCTION("""COMPUTED_VALUE"""),0)</f>
        <v>0</v>
      </c>
      <c r="I18" s="111"/>
      <c r="J18" s="111">
        <f ca="1">IFERROR(__xludf.DUMMYFUNCTION("""COMPUTED_VALUE"""),0)</f>
        <v>0</v>
      </c>
      <c r="K18" s="113">
        <f ca="1">IFERROR(__xludf.DUMMYFUNCTION("""COMPUTED_VALUE"""),0)</f>
        <v>0</v>
      </c>
      <c r="L18" s="114" t="str">
        <f ca="1">IFERROR(__xludf.DUMMYFUNCTION("""COMPUTED_VALUE"""),"#DIV/0!")</f>
        <v>#DIV/0!</v>
      </c>
      <c r="M18" s="111"/>
      <c r="N18" s="111"/>
      <c r="O18" s="111"/>
      <c r="P18" s="111"/>
      <c r="Q18" s="112"/>
      <c r="R18" s="103"/>
      <c r="S18" s="103"/>
      <c r="T18" s="103"/>
      <c r="U18" s="103"/>
      <c r="V18" s="103"/>
      <c r="W18" s="103"/>
      <c r="X18" s="103"/>
      <c r="Y18" s="103"/>
      <c r="Z18" s="103"/>
      <c r="AA18" s="103"/>
    </row>
    <row r="19" spans="1:27" ht="15" customHeight="1" x14ac:dyDescent="0.2">
      <c r="A19" s="110">
        <v>16</v>
      </c>
      <c r="B19" s="110" t="s">
        <v>54</v>
      </c>
      <c r="C19" s="111" t="str">
        <f ca="1">IFERROR(__xludf.DUMMYFUNCTION("""COMPUTED_VALUE"""),"г.о. Одинцово")</f>
        <v>г.о. Одинцово</v>
      </c>
      <c r="D19" s="111" t="str">
        <f ca="1">IFERROR(__xludf.DUMMYFUNCTION("""COMPUTED_VALUE"""),"Реконструкция ВЗУ-10 г.п. Одинцово Одинцовский г.о.")</f>
        <v>Реконструкция ВЗУ-10 г.п. Одинцово Одинцовский г.о.</v>
      </c>
      <c r="E19" s="111">
        <f ca="1">IFERROR(__xludf.DUMMYFUNCTION("""COMPUTED_VALUE"""),2024)</f>
        <v>2024</v>
      </c>
      <c r="F19" s="113">
        <f ca="1">IFERROR(__xludf.DUMMYFUNCTION("""COMPUTED_VALUE"""),0)</f>
        <v>0</v>
      </c>
      <c r="G19" s="113">
        <f ca="1">IFERROR(__xludf.DUMMYFUNCTION("""COMPUTED_VALUE"""),0)</f>
        <v>0</v>
      </c>
      <c r="H19" s="113">
        <f ca="1">IFERROR(__xludf.DUMMYFUNCTION("""COMPUTED_VALUE"""),0)</f>
        <v>0</v>
      </c>
      <c r="I19" s="111"/>
      <c r="J19" s="111">
        <f ca="1">IFERROR(__xludf.DUMMYFUNCTION("""COMPUTED_VALUE"""),0)</f>
        <v>0</v>
      </c>
      <c r="K19" s="113">
        <f ca="1">IFERROR(__xludf.DUMMYFUNCTION("""COMPUTED_VALUE"""),0)</f>
        <v>0</v>
      </c>
      <c r="L19" s="114" t="str">
        <f ca="1">IFERROR(__xludf.DUMMYFUNCTION("""COMPUTED_VALUE"""),"#DIV/0!")</f>
        <v>#DIV/0!</v>
      </c>
      <c r="M19" s="111"/>
      <c r="N19" s="111"/>
      <c r="O19" s="111"/>
      <c r="P19" s="111"/>
      <c r="Q19" s="112"/>
      <c r="R19" s="103"/>
      <c r="S19" s="103"/>
      <c r="T19" s="103"/>
      <c r="U19" s="103"/>
      <c r="V19" s="103"/>
      <c r="W19" s="103"/>
      <c r="X19" s="103"/>
      <c r="Y19" s="103"/>
      <c r="Z19" s="103"/>
      <c r="AA19" s="103"/>
    </row>
    <row r="20" spans="1:27" ht="15" customHeight="1" x14ac:dyDescent="0.2">
      <c r="A20" s="110">
        <v>17</v>
      </c>
      <c r="B20" s="110" t="s">
        <v>54</v>
      </c>
      <c r="C20" s="111" t="str">
        <f ca="1">IFERROR(__xludf.DUMMYFUNCTION("""COMPUTED_VALUE"""),"г.о. Одинцово")</f>
        <v>г.о. Одинцово</v>
      </c>
      <c r="D20" s="111" t="str">
        <f ca="1">IFERROR(__xludf.DUMMYFUNCTION("""COMPUTED_VALUE"""),"Реконструкция ВЗУ ВНИИССОК г.п. Лесной городок Одинцовский г.о.")</f>
        <v>Реконструкция ВЗУ ВНИИССОК г.п. Лесной городок Одинцовский г.о.</v>
      </c>
      <c r="E20" s="111">
        <f ca="1">IFERROR(__xludf.DUMMYFUNCTION("""COMPUTED_VALUE"""),2024)</f>
        <v>2024</v>
      </c>
      <c r="F20" s="113">
        <f ca="1">IFERROR(__xludf.DUMMYFUNCTION("""COMPUTED_VALUE"""),0)</f>
        <v>0</v>
      </c>
      <c r="G20" s="113">
        <f ca="1">IFERROR(__xludf.DUMMYFUNCTION("""COMPUTED_VALUE"""),0)</f>
        <v>0</v>
      </c>
      <c r="H20" s="113">
        <f ca="1">IFERROR(__xludf.DUMMYFUNCTION("""COMPUTED_VALUE"""),0)</f>
        <v>0</v>
      </c>
      <c r="I20" s="111"/>
      <c r="J20" s="111">
        <f ca="1">IFERROR(__xludf.DUMMYFUNCTION("""COMPUTED_VALUE"""),0)</f>
        <v>0</v>
      </c>
      <c r="K20" s="113">
        <f ca="1">IFERROR(__xludf.DUMMYFUNCTION("""COMPUTED_VALUE"""),0)</f>
        <v>0</v>
      </c>
      <c r="L20" s="114" t="str">
        <f ca="1">IFERROR(__xludf.DUMMYFUNCTION("""COMPUTED_VALUE"""),"#DIV/0!")</f>
        <v>#DIV/0!</v>
      </c>
      <c r="M20" s="111"/>
      <c r="N20" s="111"/>
      <c r="O20" s="111"/>
      <c r="P20" s="111"/>
      <c r="Q20" s="112"/>
      <c r="R20" s="103"/>
      <c r="S20" s="103"/>
      <c r="T20" s="103"/>
      <c r="U20" s="103"/>
      <c r="V20" s="103"/>
      <c r="W20" s="103"/>
      <c r="X20" s="103"/>
      <c r="Y20" s="103"/>
      <c r="Z20" s="103"/>
      <c r="AA20" s="103"/>
    </row>
    <row r="21" spans="1:27" ht="15" customHeight="1" x14ac:dyDescent="0.2">
      <c r="A21" s="110">
        <v>18</v>
      </c>
      <c r="B21" s="110" t="s">
        <v>54</v>
      </c>
      <c r="C21" s="111" t="str">
        <f ca="1">IFERROR(__xludf.DUMMYFUNCTION("""COMPUTED_VALUE"""),"г.о. Одинцово")</f>
        <v>г.о. Одинцово</v>
      </c>
      <c r="D21" s="111" t="str">
        <f ca="1">IFERROR(__xludf.DUMMYFUNCTION("""COMPUTED_VALUE"""),"Реконструкция ВЗУ 1 г.п. Большие Вяземы Одинцовский г.о.")</f>
        <v>Реконструкция ВЗУ 1 г.п. Большие Вяземы Одинцовский г.о.</v>
      </c>
      <c r="E21" s="111">
        <f ca="1">IFERROR(__xludf.DUMMYFUNCTION("""COMPUTED_VALUE"""),2024)</f>
        <v>2024</v>
      </c>
      <c r="F21" s="113">
        <f ca="1">IFERROR(__xludf.DUMMYFUNCTION("""COMPUTED_VALUE"""),0)</f>
        <v>0</v>
      </c>
      <c r="G21" s="113">
        <f ca="1">IFERROR(__xludf.DUMMYFUNCTION("""COMPUTED_VALUE"""),0)</f>
        <v>0</v>
      </c>
      <c r="H21" s="113">
        <f ca="1">IFERROR(__xludf.DUMMYFUNCTION("""COMPUTED_VALUE"""),0)</f>
        <v>0</v>
      </c>
      <c r="I21" s="111"/>
      <c r="J21" s="111">
        <f ca="1">IFERROR(__xludf.DUMMYFUNCTION("""COMPUTED_VALUE"""),0)</f>
        <v>0</v>
      </c>
      <c r="K21" s="113">
        <f ca="1">IFERROR(__xludf.DUMMYFUNCTION("""COMPUTED_VALUE"""),0)</f>
        <v>0</v>
      </c>
      <c r="L21" s="114" t="str">
        <f ca="1">IFERROR(__xludf.DUMMYFUNCTION("""COMPUTED_VALUE"""),"#DIV/0!")</f>
        <v>#DIV/0!</v>
      </c>
      <c r="M21" s="111"/>
      <c r="N21" s="111"/>
      <c r="O21" s="111"/>
      <c r="P21" s="111"/>
      <c r="Q21" s="112"/>
      <c r="R21" s="103"/>
      <c r="S21" s="103"/>
      <c r="T21" s="103"/>
      <c r="U21" s="103"/>
      <c r="V21" s="103"/>
      <c r="W21" s="103"/>
      <c r="X21" s="103"/>
      <c r="Y21" s="103"/>
      <c r="Z21" s="103"/>
      <c r="AA21" s="103"/>
    </row>
    <row r="22" spans="1:27" ht="15" customHeight="1" x14ac:dyDescent="0.2">
      <c r="A22" s="110">
        <v>19</v>
      </c>
      <c r="B22" s="110" t="s">
        <v>54</v>
      </c>
      <c r="C22" s="111" t="str">
        <f ca="1">IFERROR(__xludf.DUMMYFUNCTION("""COMPUTED_VALUE"""),"г.о. Одинцово")</f>
        <v>г.о. Одинцово</v>
      </c>
      <c r="D22" s="111" t="str">
        <f ca="1">IFERROR(__xludf.DUMMYFUNCTION("""COMPUTED_VALUE"""),"Реконструкция ВЗУ 2 г.п. Большие Вяземы Одинцовский г.о.")</f>
        <v>Реконструкция ВЗУ 2 г.п. Большие Вяземы Одинцовский г.о.</v>
      </c>
      <c r="E22" s="111">
        <f ca="1">IFERROR(__xludf.DUMMYFUNCTION("""COMPUTED_VALUE"""),2024)</f>
        <v>2024</v>
      </c>
      <c r="F22" s="113">
        <f ca="1">IFERROR(__xludf.DUMMYFUNCTION("""COMPUTED_VALUE"""),0)</f>
        <v>0</v>
      </c>
      <c r="G22" s="113">
        <f ca="1">IFERROR(__xludf.DUMMYFUNCTION("""COMPUTED_VALUE"""),0)</f>
        <v>0</v>
      </c>
      <c r="H22" s="113">
        <f ca="1">IFERROR(__xludf.DUMMYFUNCTION("""COMPUTED_VALUE"""),0)</f>
        <v>0</v>
      </c>
      <c r="I22" s="111"/>
      <c r="J22" s="111">
        <f ca="1">IFERROR(__xludf.DUMMYFUNCTION("""COMPUTED_VALUE"""),0)</f>
        <v>0</v>
      </c>
      <c r="K22" s="113">
        <f ca="1">IFERROR(__xludf.DUMMYFUNCTION("""COMPUTED_VALUE"""),0)</f>
        <v>0</v>
      </c>
      <c r="L22" s="114" t="str">
        <f ca="1">IFERROR(__xludf.DUMMYFUNCTION("""COMPUTED_VALUE"""),"#DIV/0!")</f>
        <v>#DIV/0!</v>
      </c>
      <c r="M22" s="111"/>
      <c r="N22" s="111"/>
      <c r="O22" s="111"/>
      <c r="P22" s="111"/>
      <c r="Q22" s="112"/>
      <c r="R22" s="103"/>
      <c r="S22" s="103"/>
      <c r="T22" s="103"/>
      <c r="U22" s="103"/>
      <c r="V22" s="103"/>
      <c r="W22" s="103"/>
      <c r="X22" s="103"/>
      <c r="Y22" s="103"/>
      <c r="Z22" s="103"/>
      <c r="AA22" s="103"/>
    </row>
    <row r="23" spans="1:27" ht="15" customHeight="1" x14ac:dyDescent="0.2">
      <c r="A23" s="110">
        <v>20</v>
      </c>
      <c r="B23" s="110" t="s">
        <v>54</v>
      </c>
      <c r="C23" s="111" t="str">
        <f ca="1">IFERROR(__xludf.DUMMYFUNCTION("""COMPUTED_VALUE"""),"г.о. Одинцово")</f>
        <v>г.о. Одинцово</v>
      </c>
      <c r="D23" s="111" t="str">
        <f ca="1">IFERROR(__xludf.DUMMYFUNCTION("""COMPUTED_VALUE"""),"Реконструкция ВЗУ 9 Одинцовский г.о.")</f>
        <v>Реконструкция ВЗУ 9 Одинцовский г.о.</v>
      </c>
      <c r="E23" s="111">
        <f ca="1">IFERROR(__xludf.DUMMYFUNCTION("""COMPUTED_VALUE"""),2024)</f>
        <v>2024</v>
      </c>
      <c r="F23" s="113">
        <f ca="1">IFERROR(__xludf.DUMMYFUNCTION("""COMPUTED_VALUE"""),0)</f>
        <v>0</v>
      </c>
      <c r="G23" s="113">
        <f ca="1">IFERROR(__xludf.DUMMYFUNCTION("""COMPUTED_VALUE"""),0)</f>
        <v>0</v>
      </c>
      <c r="H23" s="113">
        <f ca="1">IFERROR(__xludf.DUMMYFUNCTION("""COMPUTED_VALUE"""),0)</f>
        <v>0</v>
      </c>
      <c r="I23" s="111"/>
      <c r="J23" s="111">
        <f ca="1">IFERROR(__xludf.DUMMYFUNCTION("""COMPUTED_VALUE"""),0)</f>
        <v>0</v>
      </c>
      <c r="K23" s="113">
        <f ca="1">IFERROR(__xludf.DUMMYFUNCTION("""COMPUTED_VALUE"""),0)</f>
        <v>0</v>
      </c>
      <c r="L23" s="114" t="str">
        <f ca="1">IFERROR(__xludf.DUMMYFUNCTION("""COMPUTED_VALUE"""),"#DIV/0!")</f>
        <v>#DIV/0!</v>
      </c>
      <c r="M23" s="111"/>
      <c r="N23" s="111"/>
      <c r="O23" s="111"/>
      <c r="P23" s="111"/>
      <c r="Q23" s="112"/>
      <c r="R23" s="103"/>
      <c r="S23" s="103"/>
      <c r="T23" s="103"/>
      <c r="U23" s="103"/>
      <c r="V23" s="103"/>
      <c r="W23" s="103"/>
      <c r="X23" s="103"/>
      <c r="Y23" s="103"/>
      <c r="Z23" s="103"/>
      <c r="AA23" s="103"/>
    </row>
    <row r="24" spans="1:27" ht="15" customHeight="1" x14ac:dyDescent="0.2">
      <c r="A24" s="110">
        <v>21</v>
      </c>
      <c r="B24" s="110" t="s">
        <v>54</v>
      </c>
      <c r="C24" s="111" t="str">
        <f ca="1">IFERROR(__xludf.DUMMYFUNCTION("""COMPUTED_VALUE"""),"г.о. Одинцово")</f>
        <v>г.о. Одинцово</v>
      </c>
      <c r="D24" s="111" t="str">
        <f ca="1">IFERROR(__xludf.DUMMYFUNCTION("""COMPUTED_VALUE"""),"Реконструкция ВЗУ В.Ромашково Одинцовский г.о.")</f>
        <v>Реконструкция ВЗУ В.Ромашково Одинцовский г.о.</v>
      </c>
      <c r="E24" s="111">
        <f ca="1">IFERROR(__xludf.DUMMYFUNCTION("""COMPUTED_VALUE"""),2024)</f>
        <v>2024</v>
      </c>
      <c r="F24" s="113">
        <f ca="1">IFERROR(__xludf.DUMMYFUNCTION("""COMPUTED_VALUE"""),0)</f>
        <v>0</v>
      </c>
      <c r="G24" s="113">
        <f ca="1">IFERROR(__xludf.DUMMYFUNCTION("""COMPUTED_VALUE"""),0)</f>
        <v>0</v>
      </c>
      <c r="H24" s="113">
        <f ca="1">IFERROR(__xludf.DUMMYFUNCTION("""COMPUTED_VALUE"""),0)</f>
        <v>0</v>
      </c>
      <c r="I24" s="111"/>
      <c r="J24" s="111">
        <f ca="1">IFERROR(__xludf.DUMMYFUNCTION("""COMPUTED_VALUE"""),0)</f>
        <v>0</v>
      </c>
      <c r="K24" s="113">
        <f ca="1">IFERROR(__xludf.DUMMYFUNCTION("""COMPUTED_VALUE"""),0)</f>
        <v>0</v>
      </c>
      <c r="L24" s="114" t="str">
        <f ca="1">IFERROR(__xludf.DUMMYFUNCTION("""COMPUTED_VALUE"""),"#DIV/0!")</f>
        <v>#DIV/0!</v>
      </c>
      <c r="M24" s="111"/>
      <c r="N24" s="111"/>
      <c r="O24" s="111"/>
      <c r="P24" s="111"/>
      <c r="Q24" s="112"/>
      <c r="R24" s="103"/>
      <c r="S24" s="103"/>
      <c r="T24" s="103"/>
      <c r="U24" s="103"/>
      <c r="V24" s="103"/>
      <c r="W24" s="103"/>
      <c r="X24" s="103"/>
      <c r="Y24" s="103"/>
      <c r="Z24" s="103"/>
      <c r="AA24" s="103"/>
    </row>
    <row r="25" spans="1:27" ht="15" customHeight="1" x14ac:dyDescent="0.2">
      <c r="A25" s="110">
        <v>22</v>
      </c>
      <c r="B25" s="110" t="s">
        <v>54</v>
      </c>
      <c r="C25" s="111" t="str">
        <f ca="1">IFERROR(__xludf.DUMMYFUNCTION("""COMPUTED_VALUE"""),"г.о. Одинцово")</f>
        <v>г.о. Одинцово</v>
      </c>
      <c r="D25" s="111" t="str">
        <f ca="1">IFERROR(__xludf.DUMMYFUNCTION("""COMPUTED_VALUE"""),"Реконструкция ВЗУ Н. Ромашково Одинцовский г.о.")</f>
        <v>Реконструкция ВЗУ Н. Ромашково Одинцовский г.о.</v>
      </c>
      <c r="E25" s="111">
        <f ca="1">IFERROR(__xludf.DUMMYFUNCTION("""COMPUTED_VALUE"""),2024)</f>
        <v>2024</v>
      </c>
      <c r="F25" s="113">
        <f ca="1">IFERROR(__xludf.DUMMYFUNCTION("""COMPUTED_VALUE"""),0)</f>
        <v>0</v>
      </c>
      <c r="G25" s="113">
        <f ca="1">IFERROR(__xludf.DUMMYFUNCTION("""COMPUTED_VALUE"""),0)</f>
        <v>0</v>
      </c>
      <c r="H25" s="113">
        <f ca="1">IFERROR(__xludf.DUMMYFUNCTION("""COMPUTED_VALUE"""),0)</f>
        <v>0</v>
      </c>
      <c r="I25" s="111"/>
      <c r="J25" s="111">
        <f ca="1">IFERROR(__xludf.DUMMYFUNCTION("""COMPUTED_VALUE"""),0)</f>
        <v>0</v>
      </c>
      <c r="K25" s="113">
        <f ca="1">IFERROR(__xludf.DUMMYFUNCTION("""COMPUTED_VALUE"""),0)</f>
        <v>0</v>
      </c>
      <c r="L25" s="114" t="str">
        <f ca="1">IFERROR(__xludf.DUMMYFUNCTION("""COMPUTED_VALUE"""),"#DIV/0!")</f>
        <v>#DIV/0!</v>
      </c>
      <c r="M25" s="111"/>
      <c r="N25" s="111"/>
      <c r="O25" s="111"/>
      <c r="P25" s="111"/>
      <c r="Q25" s="112"/>
      <c r="R25" s="103"/>
      <c r="S25" s="103"/>
      <c r="T25" s="103"/>
      <c r="U25" s="103"/>
      <c r="V25" s="103"/>
      <c r="W25" s="103"/>
      <c r="X25" s="103"/>
      <c r="Y25" s="103"/>
      <c r="Z25" s="103"/>
      <c r="AA25" s="103"/>
    </row>
    <row r="26" spans="1:27" ht="15" customHeight="1" x14ac:dyDescent="0.2">
      <c r="A26" s="110">
        <v>23</v>
      </c>
      <c r="B26" s="110" t="s">
        <v>54</v>
      </c>
      <c r="C26" s="111" t="str">
        <f ca="1">IFERROR(__xludf.DUMMYFUNCTION("""COMPUTED_VALUE"""),"г.о. Одинцово")</f>
        <v>г.о. Одинцово</v>
      </c>
      <c r="D26" s="111" t="str">
        <f ca="1">IFERROR(__xludf.DUMMYFUNCTION("""COMPUTED_VALUE"""),"Реконструкция ВЗУ Ликино п. Жаворонковские Одинцовский г.о.")</f>
        <v>Реконструкция ВЗУ Ликино п. Жаворонковские Одинцовский г.о.</v>
      </c>
      <c r="E26" s="111">
        <f ca="1">IFERROR(__xludf.DUMMYFUNCTION("""COMPUTED_VALUE"""),2024)</f>
        <v>2024</v>
      </c>
      <c r="F26" s="113">
        <f ca="1">IFERROR(__xludf.DUMMYFUNCTION("""COMPUTED_VALUE"""),0)</f>
        <v>0</v>
      </c>
      <c r="G26" s="113">
        <f ca="1">IFERROR(__xludf.DUMMYFUNCTION("""COMPUTED_VALUE"""),0)</f>
        <v>0</v>
      </c>
      <c r="H26" s="113">
        <f ca="1">IFERROR(__xludf.DUMMYFUNCTION("""COMPUTED_VALUE"""),0)</f>
        <v>0</v>
      </c>
      <c r="I26" s="111"/>
      <c r="J26" s="111">
        <f ca="1">IFERROR(__xludf.DUMMYFUNCTION("""COMPUTED_VALUE"""),0)</f>
        <v>0</v>
      </c>
      <c r="K26" s="113">
        <f ca="1">IFERROR(__xludf.DUMMYFUNCTION("""COMPUTED_VALUE"""),0)</f>
        <v>0</v>
      </c>
      <c r="L26" s="114" t="str">
        <f ca="1">IFERROR(__xludf.DUMMYFUNCTION("""COMPUTED_VALUE"""),"#DIV/0!")</f>
        <v>#DIV/0!</v>
      </c>
      <c r="M26" s="111"/>
      <c r="N26" s="111"/>
      <c r="O26" s="111"/>
      <c r="P26" s="111"/>
      <c r="Q26" s="112"/>
      <c r="R26" s="103"/>
      <c r="S26" s="103"/>
      <c r="T26" s="103"/>
      <c r="U26" s="103"/>
      <c r="V26" s="103"/>
      <c r="W26" s="103"/>
      <c r="X26" s="103"/>
      <c r="Y26" s="103"/>
      <c r="Z26" s="103"/>
      <c r="AA26" s="103"/>
    </row>
    <row r="27" spans="1:27" ht="15" customHeight="1" x14ac:dyDescent="0.2">
      <c r="A27" s="110">
        <v>24</v>
      </c>
      <c r="B27" s="110" t="s">
        <v>54</v>
      </c>
      <c r="C27" s="111" t="str">
        <f ca="1">IFERROR(__xludf.DUMMYFUNCTION("""COMPUTED_VALUE"""),"г.о. Одинцово")</f>
        <v>г.о. Одинцово</v>
      </c>
      <c r="D27" s="111" t="str">
        <f ca="1">IFERROR(__xludf.DUMMYFUNCTION("""COMPUTED_VALUE"""),"Реконструкция ВЗУ ПМС-4 п. Часцовское Одинцовский г.о.")</f>
        <v>Реконструкция ВЗУ ПМС-4 п. Часцовское Одинцовский г.о.</v>
      </c>
      <c r="E27" s="111">
        <f ca="1">IFERROR(__xludf.DUMMYFUNCTION("""COMPUTED_VALUE"""),2024)</f>
        <v>2024</v>
      </c>
      <c r="F27" s="113">
        <f ca="1">IFERROR(__xludf.DUMMYFUNCTION("""COMPUTED_VALUE"""),0)</f>
        <v>0</v>
      </c>
      <c r="G27" s="113">
        <f ca="1">IFERROR(__xludf.DUMMYFUNCTION("""COMPUTED_VALUE"""),0)</f>
        <v>0</v>
      </c>
      <c r="H27" s="113">
        <f ca="1">IFERROR(__xludf.DUMMYFUNCTION("""COMPUTED_VALUE"""),0)</f>
        <v>0</v>
      </c>
      <c r="I27" s="111"/>
      <c r="J27" s="111">
        <f ca="1">IFERROR(__xludf.DUMMYFUNCTION("""COMPUTED_VALUE"""),0)</f>
        <v>0</v>
      </c>
      <c r="K27" s="113">
        <f ca="1">IFERROR(__xludf.DUMMYFUNCTION("""COMPUTED_VALUE"""),0)</f>
        <v>0</v>
      </c>
      <c r="L27" s="114" t="str">
        <f ca="1">IFERROR(__xludf.DUMMYFUNCTION("""COMPUTED_VALUE"""),"#DIV/0!")</f>
        <v>#DIV/0!</v>
      </c>
      <c r="M27" s="111"/>
      <c r="N27" s="111"/>
      <c r="O27" s="111"/>
      <c r="P27" s="111"/>
      <c r="Q27" s="112"/>
      <c r="R27" s="103"/>
      <c r="S27" s="103"/>
      <c r="T27" s="103"/>
      <c r="U27" s="103"/>
      <c r="V27" s="103"/>
      <c r="W27" s="103"/>
      <c r="X27" s="103"/>
      <c r="Y27" s="103"/>
      <c r="Z27" s="103"/>
      <c r="AA27" s="103"/>
    </row>
    <row r="28" spans="1:27" ht="15" customHeight="1" x14ac:dyDescent="0.2">
      <c r="A28" s="110">
        <v>25</v>
      </c>
      <c r="B28" s="110" t="s">
        <v>54</v>
      </c>
      <c r="C28" s="111" t="str">
        <f ca="1">IFERROR(__xludf.DUMMYFUNCTION("""COMPUTED_VALUE"""),"г.о. Одинцово")</f>
        <v>г.о. Одинцово</v>
      </c>
      <c r="D28" s="111" t="str">
        <f ca="1">IFERROR(__xludf.DUMMYFUNCTION("""COMPUTED_VALUE"""),"Реконструкция ВЗУ Аниково г.Кубинка Одинцовский г.о.")</f>
        <v>Реконструкция ВЗУ Аниково г.Кубинка Одинцовский г.о.</v>
      </c>
      <c r="E28" s="111">
        <f ca="1">IFERROR(__xludf.DUMMYFUNCTION("""COMPUTED_VALUE"""),2024)</f>
        <v>2024</v>
      </c>
      <c r="F28" s="113">
        <f ca="1">IFERROR(__xludf.DUMMYFUNCTION("""COMPUTED_VALUE"""),0)</f>
        <v>0</v>
      </c>
      <c r="G28" s="113">
        <f ca="1">IFERROR(__xludf.DUMMYFUNCTION("""COMPUTED_VALUE"""),0)</f>
        <v>0</v>
      </c>
      <c r="H28" s="113">
        <f ca="1">IFERROR(__xludf.DUMMYFUNCTION("""COMPUTED_VALUE"""),0)</f>
        <v>0</v>
      </c>
      <c r="I28" s="111"/>
      <c r="J28" s="111">
        <f ca="1">IFERROR(__xludf.DUMMYFUNCTION("""COMPUTED_VALUE"""),0)</f>
        <v>0</v>
      </c>
      <c r="K28" s="113">
        <f ca="1">IFERROR(__xludf.DUMMYFUNCTION("""COMPUTED_VALUE"""),0)</f>
        <v>0</v>
      </c>
      <c r="L28" s="114" t="str">
        <f ca="1">IFERROR(__xludf.DUMMYFUNCTION("""COMPUTED_VALUE"""),"#DIV/0!")</f>
        <v>#DIV/0!</v>
      </c>
      <c r="M28" s="111"/>
      <c r="N28" s="111"/>
      <c r="O28" s="111"/>
      <c r="P28" s="111"/>
      <c r="Q28" s="112"/>
      <c r="R28" s="103"/>
      <c r="S28" s="103"/>
      <c r="T28" s="103"/>
      <c r="U28" s="103"/>
      <c r="V28" s="103"/>
      <c r="W28" s="103"/>
      <c r="X28" s="103"/>
      <c r="Y28" s="103"/>
      <c r="Z28" s="103"/>
      <c r="AA28" s="103"/>
    </row>
    <row r="29" spans="1:27" ht="15" customHeight="1" x14ac:dyDescent="0.2">
      <c r="A29" s="110">
        <v>26</v>
      </c>
      <c r="B29" s="110" t="s">
        <v>54</v>
      </c>
      <c r="C29" s="111" t="str">
        <f ca="1">IFERROR(__xludf.DUMMYFUNCTION("""COMPUTED_VALUE"""),"г.о. Чехов")</f>
        <v>г.о. Чехов</v>
      </c>
      <c r="D29" s="111" t="str">
        <f ca="1">IFERROR(__xludf.DUMMYFUNCTION("""COMPUTED_VALUE"""),"Строительство станции второго подъема и станции обезжелезивания по адресу: Московская область, Чеховский район, п. Мещерское")</f>
        <v>Строительство станции второго подъема и станции обезжелезивания по адресу: Московская область, Чеховский район, п. Мещерское</v>
      </c>
      <c r="E29" s="111" t="str">
        <f ca="1">IFERROR(__xludf.DUMMYFUNCTION("""COMPUTED_VALUE"""),"2020-2021")</f>
        <v>2020-2021</v>
      </c>
      <c r="F29" s="113">
        <f ca="1">IFERROR(__xludf.DUMMYFUNCTION("""COMPUTED_VALUE"""),35226.27)</f>
        <v>35226.269999999997</v>
      </c>
      <c r="G29" s="113">
        <f ca="1">IFERROR(__xludf.DUMMYFUNCTION("""COMPUTED_VALUE"""),8806.57)</f>
        <v>8806.57</v>
      </c>
      <c r="H29" s="113">
        <f ca="1">IFERROR(__xludf.DUMMYFUNCTION("""COMPUTED_VALUE"""),26419.7)</f>
        <v>26419.7</v>
      </c>
      <c r="I29" s="111"/>
      <c r="J29" s="113">
        <f ca="1">IFERROR(__xludf.DUMMYFUNCTION("""COMPUTED_VALUE"""),26206.39)</f>
        <v>26206.39</v>
      </c>
      <c r="K29" s="113">
        <f ca="1">IFERROR(__xludf.DUMMYFUNCTION("""COMPUTED_VALUE"""),9019.88)</f>
        <v>9019.8799999999992</v>
      </c>
      <c r="L29" s="114">
        <f ca="1">IFERROR(__xludf.DUMMYFUNCTION("""COMPUTED_VALUE"""),0.743944505052621)</f>
        <v>0.743944505052621</v>
      </c>
      <c r="M29" s="111" t="str">
        <f ca="1">IFERROR(__xludf.DUMMYFUNCTION("""COMPUTED_VALUE"""),"В связи с тем, что проектные решения не позволяют обеспечить должное функционирование объекта требуется корректировка проекта. Получение РС до 10.12.2020")</f>
        <v>В связи с тем, что проектные решения не позволяют обеспечить должное функционирование объекта требуется корректировка проекта. Получение РС до 10.12.2020</v>
      </c>
      <c r="N29" s="110" t="s">
        <v>553</v>
      </c>
      <c r="O29" s="111"/>
      <c r="P29" s="111"/>
      <c r="Q29" s="112"/>
      <c r="R29" s="103"/>
      <c r="S29" s="103"/>
      <c r="T29" s="103"/>
      <c r="U29" s="103"/>
      <c r="V29" s="103"/>
      <c r="W29" s="103"/>
      <c r="X29" s="103"/>
      <c r="Y29" s="103"/>
      <c r="Z29" s="103"/>
      <c r="AA29" s="103"/>
    </row>
    <row r="30" spans="1:27" ht="15" customHeight="1" x14ac:dyDescent="0.2">
      <c r="A30" s="110">
        <v>27</v>
      </c>
      <c r="B30" s="110" t="s">
        <v>54</v>
      </c>
      <c r="C30" s="111" t="str">
        <f ca="1">IFERROR(__xludf.DUMMYFUNCTION("""COMPUTED_VALUE"""),"г.о. Чехов")</f>
        <v>г.о. Чехов</v>
      </c>
      <c r="D30" s="111" t="str">
        <f ca="1">IFERROR(__xludf.DUMMYFUNCTION("""COMPUTED_VALUE"""),"Строительство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f>
        <v>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v>
      </c>
      <c r="E30" s="111" t="str">
        <f ca="1">IFERROR(__xludf.DUMMYFUNCTION("""COMPUTED_VALUE"""),"2021-2022")</f>
        <v>2021-2022</v>
      </c>
      <c r="F30" s="113">
        <f ca="1">IFERROR(__xludf.DUMMYFUNCTION("""COMPUTED_VALUE"""),0)</f>
        <v>0</v>
      </c>
      <c r="G30" s="113">
        <f ca="1">IFERROR(__xludf.DUMMYFUNCTION("""COMPUTED_VALUE"""),0)</f>
        <v>0</v>
      </c>
      <c r="H30" s="113">
        <f ca="1">IFERROR(__xludf.DUMMYFUNCTION("""COMPUTED_VALUE"""),0)</f>
        <v>0</v>
      </c>
      <c r="I30" s="111"/>
      <c r="J30" s="111">
        <f ca="1">IFERROR(__xludf.DUMMYFUNCTION("""COMPUTED_VALUE"""),0)</f>
        <v>0</v>
      </c>
      <c r="K30" s="113">
        <f ca="1">IFERROR(__xludf.DUMMYFUNCTION("""COMPUTED_VALUE"""),0)</f>
        <v>0</v>
      </c>
      <c r="L30" s="114" t="str">
        <f ca="1">IFERROR(__xludf.DUMMYFUNCTION("""COMPUTED_VALUE"""),"#DIV/0!")</f>
        <v>#DIV/0!</v>
      </c>
      <c r="M30" s="111"/>
      <c r="N30" s="111"/>
      <c r="O30" s="111"/>
      <c r="P30" s="111"/>
      <c r="Q30" s="112"/>
      <c r="R30" s="103"/>
      <c r="S30" s="103"/>
      <c r="T30" s="103"/>
      <c r="U30" s="103"/>
      <c r="V30" s="103"/>
      <c r="W30" s="103"/>
      <c r="X30" s="103"/>
      <c r="Y30" s="103"/>
      <c r="Z30" s="103"/>
      <c r="AA30" s="103"/>
    </row>
    <row r="31" spans="1:27" ht="15" customHeight="1" x14ac:dyDescent="0.2">
      <c r="A31" s="110">
        <v>28</v>
      </c>
      <c r="B31" s="110" t="s">
        <v>54</v>
      </c>
      <c r="C31" s="111" t="str">
        <f ca="1">IFERROR(__xludf.DUMMYFUNCTION("""COMPUTED_VALUE"""),"г.о. Электросталь")</f>
        <v>г.о. Электросталь</v>
      </c>
      <c r="D31" s="111" t="str">
        <f ca="1">IFERROR(__xludf.DUMMYFUNCTION("""COMPUTED_VALUE"""),"Строительство ВЗУ  Есино г.о. Электросталь ")</f>
        <v xml:space="preserve">Строительство ВЗУ  Есино г.о. Электросталь </v>
      </c>
      <c r="E31" s="111">
        <f ca="1">IFERROR(__xludf.DUMMYFUNCTION("""COMPUTED_VALUE"""),2022)</f>
        <v>2022</v>
      </c>
      <c r="F31" s="113">
        <f ca="1">IFERROR(__xludf.DUMMYFUNCTION("""COMPUTED_VALUE"""),0)</f>
        <v>0</v>
      </c>
      <c r="G31" s="113">
        <f ca="1">IFERROR(__xludf.DUMMYFUNCTION("""COMPUTED_VALUE"""),0)</f>
        <v>0</v>
      </c>
      <c r="H31" s="113">
        <f ca="1">IFERROR(__xludf.DUMMYFUNCTION("""COMPUTED_VALUE"""),0)</f>
        <v>0</v>
      </c>
      <c r="I31" s="111"/>
      <c r="J31" s="111">
        <f ca="1">IFERROR(__xludf.DUMMYFUNCTION("""COMPUTED_VALUE"""),0)</f>
        <v>0</v>
      </c>
      <c r="K31" s="113">
        <f ca="1">IFERROR(__xludf.DUMMYFUNCTION("""COMPUTED_VALUE"""),0)</f>
        <v>0</v>
      </c>
      <c r="L31" s="114" t="str">
        <f ca="1">IFERROR(__xludf.DUMMYFUNCTION("""COMPUTED_VALUE"""),"#DIV/0!")</f>
        <v>#DIV/0!</v>
      </c>
      <c r="M31" s="111"/>
      <c r="N31" s="111"/>
      <c r="O31" s="111"/>
      <c r="P31" s="111"/>
      <c r="Q31" s="112"/>
      <c r="R31" s="103"/>
      <c r="S31" s="103"/>
      <c r="T31" s="103"/>
      <c r="U31" s="103"/>
      <c r="V31" s="103"/>
      <c r="W31" s="103"/>
      <c r="X31" s="103"/>
      <c r="Y31" s="103"/>
      <c r="Z31" s="103"/>
      <c r="AA31" s="103"/>
    </row>
    <row r="32" spans="1:27" ht="15" customHeight="1" x14ac:dyDescent="0.2">
      <c r="A32" s="110">
        <v>29</v>
      </c>
      <c r="B32" s="110" t="s">
        <v>54</v>
      </c>
      <c r="C32" s="111" t="str">
        <f ca="1">IFERROR(__xludf.DUMMYFUNCTION("""COMPUTED_VALUE"""),"г.о. Орехово-Зуево")</f>
        <v>г.о. Орехово-Зуево</v>
      </c>
      <c r="D32" s="111" t="str">
        <f ca="1">IFERROR(__xludf.DUMMYFUNCTION("""COMPUTED_VALUE"""),"Строительство ВЗУ ""Верея Ск №1"" п. Верея (Верейское с/п), ул. Почтовая, д. 7 Орехово-Зуевский г.о. ")</f>
        <v xml:space="preserve">Строительство ВЗУ "Верея Ск №1" п. Верея (Верейское с/п), ул. Почтовая, д. 7 Орехово-Зуевский г.о. </v>
      </c>
      <c r="E32" s="111">
        <f ca="1">IFERROR(__xludf.DUMMYFUNCTION("""COMPUTED_VALUE"""),2022)</f>
        <v>2022</v>
      </c>
      <c r="F32" s="113">
        <f ca="1">IFERROR(__xludf.DUMMYFUNCTION("""COMPUTED_VALUE"""),0)</f>
        <v>0</v>
      </c>
      <c r="G32" s="113">
        <f ca="1">IFERROR(__xludf.DUMMYFUNCTION("""COMPUTED_VALUE"""),0)</f>
        <v>0</v>
      </c>
      <c r="H32" s="113">
        <f ca="1">IFERROR(__xludf.DUMMYFUNCTION("""COMPUTED_VALUE"""),0)</f>
        <v>0</v>
      </c>
      <c r="I32" s="111"/>
      <c r="J32" s="111">
        <f ca="1">IFERROR(__xludf.DUMMYFUNCTION("""COMPUTED_VALUE"""),0)</f>
        <v>0</v>
      </c>
      <c r="K32" s="113">
        <f ca="1">IFERROR(__xludf.DUMMYFUNCTION("""COMPUTED_VALUE"""),0)</f>
        <v>0</v>
      </c>
      <c r="L32" s="114" t="str">
        <f ca="1">IFERROR(__xludf.DUMMYFUNCTION("""COMPUTED_VALUE"""),"#DIV/0!")</f>
        <v>#DIV/0!</v>
      </c>
      <c r="M32" s="111"/>
      <c r="N32" s="111"/>
      <c r="O32" s="111"/>
      <c r="P32" s="111"/>
      <c r="Q32" s="112"/>
      <c r="R32" s="103"/>
      <c r="S32" s="103"/>
      <c r="T32" s="103"/>
      <c r="U32" s="103"/>
      <c r="V32" s="103"/>
      <c r="W32" s="103"/>
      <c r="X32" s="103"/>
      <c r="Y32" s="103"/>
      <c r="Z32" s="103"/>
      <c r="AA32" s="103"/>
    </row>
    <row r="33" spans="1:27" ht="15" customHeight="1" x14ac:dyDescent="0.2">
      <c r="A33" s="110">
        <v>30</v>
      </c>
      <c r="B33" s="110" t="s">
        <v>54</v>
      </c>
      <c r="C33" s="111" t="str">
        <f ca="1">IFERROR(__xludf.DUMMYFUNCTION("""COMPUTED_VALUE"""),"г.о. Орехово-Зуево")</f>
        <v>г.о. Орехово-Зуево</v>
      </c>
      <c r="D33" s="111" t="str">
        <f ca="1">IFERROR(__xludf.DUMMYFUNCTION("""COMPUTED_VALUE"""),"Реконструкция ВЗУ ""Кировский"" г. Орехово-Зуево, ул. Кирова,  Орехово-Зуевский г.о. ")</f>
        <v xml:space="preserve">Реконструкция ВЗУ "Кировский" г. Орехово-Зуево, ул. Кирова,  Орехово-Зуевский г.о. </v>
      </c>
      <c r="E33" s="111">
        <f ca="1">IFERROR(__xludf.DUMMYFUNCTION("""COMPUTED_VALUE"""),2022)</f>
        <v>2022</v>
      </c>
      <c r="F33" s="113">
        <f ca="1">IFERROR(__xludf.DUMMYFUNCTION("""COMPUTED_VALUE"""),0)</f>
        <v>0</v>
      </c>
      <c r="G33" s="113">
        <f ca="1">IFERROR(__xludf.DUMMYFUNCTION("""COMPUTED_VALUE"""),0)</f>
        <v>0</v>
      </c>
      <c r="H33" s="113">
        <f ca="1">IFERROR(__xludf.DUMMYFUNCTION("""COMPUTED_VALUE"""),0)</f>
        <v>0</v>
      </c>
      <c r="I33" s="111"/>
      <c r="J33" s="111">
        <f ca="1">IFERROR(__xludf.DUMMYFUNCTION("""COMPUTED_VALUE"""),0)</f>
        <v>0</v>
      </c>
      <c r="K33" s="113">
        <f ca="1">IFERROR(__xludf.DUMMYFUNCTION("""COMPUTED_VALUE"""),0)</f>
        <v>0</v>
      </c>
      <c r="L33" s="114" t="str">
        <f ca="1">IFERROR(__xludf.DUMMYFUNCTION("""COMPUTED_VALUE"""),"#DIV/0!")</f>
        <v>#DIV/0!</v>
      </c>
      <c r="M33" s="111"/>
      <c r="N33" s="111"/>
      <c r="O33" s="111"/>
      <c r="P33" s="111"/>
      <c r="Q33" s="112"/>
      <c r="R33" s="103"/>
      <c r="S33" s="103"/>
      <c r="T33" s="103"/>
      <c r="U33" s="103"/>
      <c r="V33" s="103"/>
      <c r="W33" s="103"/>
      <c r="X33" s="103"/>
      <c r="Y33" s="103"/>
      <c r="Z33" s="103"/>
      <c r="AA33" s="103"/>
    </row>
    <row r="34" spans="1:27" ht="15" customHeight="1" x14ac:dyDescent="0.2">
      <c r="A34" s="110">
        <v>31</v>
      </c>
      <c r="B34" s="110" t="s">
        <v>54</v>
      </c>
      <c r="C34" s="111" t="str">
        <f ca="1">IFERROR(__xludf.DUMMYFUNCTION("""COMPUTED_VALUE"""),"г.о. Орехово-Зуево")</f>
        <v>г.о. Орехово-Зуево</v>
      </c>
      <c r="D34" s="111" t="str">
        <f ca="1">IFERROR(__xludf.DUMMYFUNCTION("""COMPUTED_VALUE"""),"Реконструкция ВЗУ ""Стрелки"" г. Орехово-Зуево, проезд. Сосновый, Орехово-Зуевский  г.о.")</f>
        <v>Реконструкция ВЗУ "Стрелки" г. Орехово-Зуево, проезд. Сосновый, Орехово-Зуевский  г.о.</v>
      </c>
      <c r="E34" s="111">
        <f ca="1">IFERROR(__xludf.DUMMYFUNCTION("""COMPUTED_VALUE"""),2022)</f>
        <v>2022</v>
      </c>
      <c r="F34" s="113">
        <f ca="1">IFERROR(__xludf.DUMMYFUNCTION("""COMPUTED_VALUE"""),0)</f>
        <v>0</v>
      </c>
      <c r="G34" s="113">
        <f ca="1">IFERROR(__xludf.DUMMYFUNCTION("""COMPUTED_VALUE"""),0)</f>
        <v>0</v>
      </c>
      <c r="H34" s="113">
        <f ca="1">IFERROR(__xludf.DUMMYFUNCTION("""COMPUTED_VALUE"""),0)</f>
        <v>0</v>
      </c>
      <c r="I34" s="111"/>
      <c r="J34" s="111">
        <f ca="1">IFERROR(__xludf.DUMMYFUNCTION("""COMPUTED_VALUE"""),0)</f>
        <v>0</v>
      </c>
      <c r="K34" s="113">
        <f ca="1">IFERROR(__xludf.DUMMYFUNCTION("""COMPUTED_VALUE"""),0)</f>
        <v>0</v>
      </c>
      <c r="L34" s="114" t="str">
        <f ca="1">IFERROR(__xludf.DUMMYFUNCTION("""COMPUTED_VALUE"""),"#DIV/0!")</f>
        <v>#DIV/0!</v>
      </c>
      <c r="M34" s="111"/>
      <c r="N34" s="111"/>
      <c r="O34" s="111"/>
      <c r="P34" s="111"/>
      <c r="Q34" s="112"/>
      <c r="R34" s="103"/>
      <c r="S34" s="103"/>
      <c r="T34" s="103"/>
      <c r="U34" s="103"/>
      <c r="V34" s="103"/>
      <c r="W34" s="103"/>
      <c r="X34" s="103"/>
      <c r="Y34" s="103"/>
      <c r="Z34" s="103"/>
      <c r="AA34" s="103"/>
    </row>
    <row r="35" spans="1:27" ht="15" customHeight="1" x14ac:dyDescent="0.2">
      <c r="A35" s="110">
        <v>32</v>
      </c>
      <c r="B35" s="110" t="s">
        <v>54</v>
      </c>
      <c r="C35" s="111" t="str">
        <f ca="1">IFERROR(__xludf.DUMMYFUNCTION("""COMPUTED_VALUE"""),"г.о. Орехово-Зуево")</f>
        <v>г.о. Орехово-Зуево</v>
      </c>
      <c r="D35" s="111" t="str">
        <f ca="1">IFERROR(__xludf.DUMMYFUNCTION("""COMPUTED_VALUE"""),"Реконструкция водопровода от ВЗУ ""Новая стройка"" до городского парка с переходом по железной дорогой, L=750 м  Орехово-Зуевский г.о.  ")</f>
        <v xml:space="preserve">Реконструкция водопровода от ВЗУ "Новая стройка" до городского парка с переходом по железной дорогой, L=750 м  Орехово-Зуевский г.о.  </v>
      </c>
      <c r="E35" s="111">
        <f ca="1">IFERROR(__xludf.DUMMYFUNCTION("""COMPUTED_VALUE"""),2023)</f>
        <v>2023</v>
      </c>
      <c r="F35" s="113">
        <f ca="1">IFERROR(__xludf.DUMMYFUNCTION("""COMPUTED_VALUE"""),0)</f>
        <v>0</v>
      </c>
      <c r="G35" s="113">
        <f ca="1">IFERROR(__xludf.DUMMYFUNCTION("""COMPUTED_VALUE"""),0)</f>
        <v>0</v>
      </c>
      <c r="H35" s="113">
        <f ca="1">IFERROR(__xludf.DUMMYFUNCTION("""COMPUTED_VALUE"""),0)</f>
        <v>0</v>
      </c>
      <c r="I35" s="111"/>
      <c r="J35" s="111">
        <f ca="1">IFERROR(__xludf.DUMMYFUNCTION("""COMPUTED_VALUE"""),0)</f>
        <v>0</v>
      </c>
      <c r="K35" s="113">
        <f ca="1">IFERROR(__xludf.DUMMYFUNCTION("""COMPUTED_VALUE"""),0)</f>
        <v>0</v>
      </c>
      <c r="L35" s="114" t="str">
        <f ca="1">IFERROR(__xludf.DUMMYFUNCTION("""COMPUTED_VALUE"""),"#DIV/0!")</f>
        <v>#DIV/0!</v>
      </c>
      <c r="M35" s="111"/>
      <c r="N35" s="111"/>
      <c r="O35" s="111"/>
      <c r="P35" s="111"/>
      <c r="Q35" s="112"/>
      <c r="R35" s="103"/>
      <c r="S35" s="103"/>
      <c r="T35" s="103"/>
      <c r="U35" s="103"/>
      <c r="V35" s="103"/>
      <c r="W35" s="103"/>
      <c r="X35" s="103"/>
      <c r="Y35" s="103"/>
      <c r="Z35" s="103"/>
      <c r="AA35" s="103"/>
    </row>
    <row r="36" spans="1:27" ht="15" customHeight="1" x14ac:dyDescent="0.2">
      <c r="A36" s="110">
        <v>33</v>
      </c>
      <c r="B36" s="110" t="s">
        <v>54</v>
      </c>
      <c r="C36" s="111" t="str">
        <f ca="1">IFERROR(__xludf.DUMMYFUNCTION("""COMPUTED_VALUE"""),"г.о. Орехово-Зуево")</f>
        <v>г.о. Орехово-Зуево</v>
      </c>
      <c r="D36" s="111" t="str">
        <f ca="1">IFERROR(__xludf.DUMMYFUNCTION("""COMPUTED_VALUE"""),"Реконструкция водопровода от Водозаборного узла ""Стрелки"" до ДСК, далее до перекрестка Малодубенское шоссе-ул. Северная,  L= 2950 м  Орехово-Зуевский г.о.")</f>
        <v>Реконструкция водопровода от Водозаборного узла "Стрелки" до ДСК, далее до перекрестка Малодубенское шоссе-ул. Северная,  L= 2950 м  Орехово-Зуевский г.о.</v>
      </c>
      <c r="E36" s="111">
        <f ca="1">IFERROR(__xludf.DUMMYFUNCTION("""COMPUTED_VALUE"""),2023)</f>
        <v>2023</v>
      </c>
      <c r="F36" s="113">
        <f ca="1">IFERROR(__xludf.DUMMYFUNCTION("""COMPUTED_VALUE"""),0)</f>
        <v>0</v>
      </c>
      <c r="G36" s="113">
        <f ca="1">IFERROR(__xludf.DUMMYFUNCTION("""COMPUTED_VALUE"""),0)</f>
        <v>0</v>
      </c>
      <c r="H36" s="113">
        <f ca="1">IFERROR(__xludf.DUMMYFUNCTION("""COMPUTED_VALUE"""),0)</f>
        <v>0</v>
      </c>
      <c r="I36" s="111"/>
      <c r="J36" s="111">
        <f ca="1">IFERROR(__xludf.DUMMYFUNCTION("""COMPUTED_VALUE"""),0)</f>
        <v>0</v>
      </c>
      <c r="K36" s="113">
        <f ca="1">IFERROR(__xludf.DUMMYFUNCTION("""COMPUTED_VALUE"""),0)</f>
        <v>0</v>
      </c>
      <c r="L36" s="114" t="str">
        <f ca="1">IFERROR(__xludf.DUMMYFUNCTION("""COMPUTED_VALUE"""),"#DIV/0!")</f>
        <v>#DIV/0!</v>
      </c>
      <c r="M36" s="111"/>
      <c r="N36" s="111"/>
      <c r="O36" s="111"/>
      <c r="P36" s="111"/>
      <c r="Q36" s="112"/>
      <c r="R36" s="103"/>
      <c r="S36" s="103"/>
      <c r="T36" s="103"/>
      <c r="U36" s="103"/>
      <c r="V36" s="103"/>
      <c r="W36" s="103"/>
      <c r="X36" s="103"/>
      <c r="Y36" s="103"/>
      <c r="Z36" s="103"/>
      <c r="AA36" s="103"/>
    </row>
    <row r="37" spans="1:27" ht="15" customHeight="1" x14ac:dyDescent="0.2">
      <c r="A37" s="110">
        <v>34</v>
      </c>
      <c r="B37" s="110" t="s">
        <v>54</v>
      </c>
      <c r="C37" s="111" t="str">
        <f ca="1">IFERROR(__xludf.DUMMYFUNCTION("""COMPUTED_VALUE"""),"г.о. Жуковский")</f>
        <v>г.о. Жуковский</v>
      </c>
      <c r="D37" s="111" t="str">
        <f ca="1">IFERROR(__xludf.DUMMYFUNCTION("""COMPUTED_VALUE"""),"Реконструкция ВЗУ №4 г.о. Жуковский")</f>
        <v>Реконструкция ВЗУ №4 г.о. Жуковский</v>
      </c>
      <c r="E37" s="111" t="str">
        <f ca="1">IFERROR(__xludf.DUMMYFUNCTION("""COMPUTED_VALUE"""),"Н/Л")</f>
        <v>Н/Л</v>
      </c>
      <c r="F37" s="113">
        <f ca="1">IFERROR(__xludf.DUMMYFUNCTION("""COMPUTED_VALUE"""),0)</f>
        <v>0</v>
      </c>
      <c r="G37" s="113">
        <f ca="1">IFERROR(__xludf.DUMMYFUNCTION("""COMPUTED_VALUE"""),0)</f>
        <v>0</v>
      </c>
      <c r="H37" s="113">
        <f ca="1">IFERROR(__xludf.DUMMYFUNCTION("""COMPUTED_VALUE"""),0)</f>
        <v>0</v>
      </c>
      <c r="I37" s="111"/>
      <c r="J37" s="111">
        <f ca="1">IFERROR(__xludf.DUMMYFUNCTION("""COMPUTED_VALUE"""),0)</f>
        <v>0</v>
      </c>
      <c r="K37" s="113">
        <f ca="1">IFERROR(__xludf.DUMMYFUNCTION("""COMPUTED_VALUE"""),0)</f>
        <v>0</v>
      </c>
      <c r="L37" s="114" t="str">
        <f ca="1">IFERROR(__xludf.DUMMYFUNCTION("""COMPUTED_VALUE"""),"#DIV/0!")</f>
        <v>#DIV/0!</v>
      </c>
      <c r="M37" s="111"/>
      <c r="N37" s="111"/>
      <c r="O37" s="111"/>
      <c r="P37" s="111"/>
      <c r="Q37" s="112"/>
      <c r="R37" s="103"/>
      <c r="S37" s="103"/>
      <c r="T37" s="103"/>
      <c r="U37" s="103"/>
      <c r="V37" s="103"/>
      <c r="W37" s="103"/>
      <c r="X37" s="103"/>
      <c r="Y37" s="103"/>
      <c r="Z37" s="103"/>
      <c r="AA37" s="103"/>
    </row>
    <row r="38" spans="1:27" ht="15" customHeight="1" x14ac:dyDescent="0.2">
      <c r="A38" s="110">
        <v>35</v>
      </c>
      <c r="B38" s="110" t="s">
        <v>54</v>
      </c>
      <c r="C38" s="111" t="str">
        <f ca="1">IFERROR(__xludf.DUMMYFUNCTION("""COMPUTED_VALUE"""),"г.о. Жуковский")</f>
        <v>г.о. Жуковский</v>
      </c>
      <c r="D38" s="111" t="str">
        <f ca="1">IFERROR(__xludf.DUMMYFUNCTION("""COMPUTED_VALUE"""),"Реконструкция ВЗУ №1 г.о. Жуковский")</f>
        <v>Реконструкция ВЗУ №1 г.о. Жуковский</v>
      </c>
      <c r="E38" s="111">
        <f ca="1">IFERROR(__xludf.DUMMYFUNCTION("""COMPUTED_VALUE"""),2022)</f>
        <v>2022</v>
      </c>
      <c r="F38" s="113">
        <f ca="1">IFERROR(__xludf.DUMMYFUNCTION("""COMPUTED_VALUE"""),0)</f>
        <v>0</v>
      </c>
      <c r="G38" s="113">
        <f ca="1">IFERROR(__xludf.DUMMYFUNCTION("""COMPUTED_VALUE"""),0)</f>
        <v>0</v>
      </c>
      <c r="H38" s="113">
        <f ca="1">IFERROR(__xludf.DUMMYFUNCTION("""COMPUTED_VALUE"""),0)</f>
        <v>0</v>
      </c>
      <c r="I38" s="111"/>
      <c r="J38" s="111">
        <f ca="1">IFERROR(__xludf.DUMMYFUNCTION("""COMPUTED_VALUE"""),0)</f>
        <v>0</v>
      </c>
      <c r="K38" s="113">
        <f ca="1">IFERROR(__xludf.DUMMYFUNCTION("""COMPUTED_VALUE"""),0)</f>
        <v>0</v>
      </c>
      <c r="L38" s="114" t="str">
        <f ca="1">IFERROR(__xludf.DUMMYFUNCTION("""COMPUTED_VALUE"""),"#DIV/0!")</f>
        <v>#DIV/0!</v>
      </c>
      <c r="M38" s="111"/>
      <c r="N38" s="111"/>
      <c r="O38" s="111"/>
      <c r="P38" s="111"/>
      <c r="Q38" s="112"/>
      <c r="R38" s="103"/>
      <c r="S38" s="103"/>
      <c r="T38" s="103"/>
      <c r="U38" s="103"/>
      <c r="V38" s="103"/>
      <c r="W38" s="103"/>
      <c r="X38" s="103"/>
      <c r="Y38" s="103"/>
      <c r="Z38" s="103"/>
      <c r="AA38" s="103"/>
    </row>
    <row r="39" spans="1:27" ht="15" customHeight="1" x14ac:dyDescent="0.2">
      <c r="A39" s="110">
        <v>36</v>
      </c>
      <c r="B39" s="110" t="s">
        <v>54</v>
      </c>
      <c r="C39" s="111" t="str">
        <f ca="1">IFERROR(__xludf.DUMMYFUNCTION("""COMPUTED_VALUE"""),"г.о. Жуковский")</f>
        <v>г.о. Жуковский</v>
      </c>
      <c r="D39" s="111" t="str">
        <f ca="1">IFERROR(__xludf.DUMMYFUNCTION("""COMPUTED_VALUE"""),"Реконструкция ВЗУ №2 г.о. Жуковский")</f>
        <v>Реконструкция ВЗУ №2 г.о. Жуковский</v>
      </c>
      <c r="E39" s="111" t="str">
        <f ca="1">IFERROR(__xludf.DUMMYFUNCTION("""COMPUTED_VALUE"""),"Н/Л")</f>
        <v>Н/Л</v>
      </c>
      <c r="F39" s="113">
        <f ca="1">IFERROR(__xludf.DUMMYFUNCTION("""COMPUTED_VALUE"""),0)</f>
        <v>0</v>
      </c>
      <c r="G39" s="113">
        <f ca="1">IFERROR(__xludf.DUMMYFUNCTION("""COMPUTED_VALUE"""),0)</f>
        <v>0</v>
      </c>
      <c r="H39" s="113">
        <f ca="1">IFERROR(__xludf.DUMMYFUNCTION("""COMPUTED_VALUE"""),0)</f>
        <v>0</v>
      </c>
      <c r="I39" s="111"/>
      <c r="J39" s="111">
        <f ca="1">IFERROR(__xludf.DUMMYFUNCTION("""COMPUTED_VALUE"""),0)</f>
        <v>0</v>
      </c>
      <c r="K39" s="113">
        <f ca="1">IFERROR(__xludf.DUMMYFUNCTION("""COMPUTED_VALUE"""),0)</f>
        <v>0</v>
      </c>
      <c r="L39" s="114" t="str">
        <f ca="1">IFERROR(__xludf.DUMMYFUNCTION("""COMPUTED_VALUE"""),"#DIV/0!")</f>
        <v>#DIV/0!</v>
      </c>
      <c r="M39" s="111"/>
      <c r="N39" s="111"/>
      <c r="O39" s="111"/>
      <c r="P39" s="111"/>
      <c r="Q39" s="112"/>
      <c r="R39" s="103"/>
      <c r="S39" s="103"/>
      <c r="T39" s="103"/>
      <c r="U39" s="103"/>
      <c r="V39" s="103"/>
      <c r="W39" s="103"/>
      <c r="X39" s="103"/>
      <c r="Y39" s="103"/>
      <c r="Z39" s="103"/>
      <c r="AA39" s="103"/>
    </row>
    <row r="40" spans="1:27" ht="15" customHeight="1" x14ac:dyDescent="0.2">
      <c r="A40" s="110">
        <v>37</v>
      </c>
      <c r="B40" s="110" t="s">
        <v>54</v>
      </c>
      <c r="C40" s="111" t="str">
        <f ca="1">IFERROR(__xludf.DUMMYFUNCTION("""COMPUTED_VALUE"""),"г.о. Пушкинский")</f>
        <v>г.о. Пушкинский</v>
      </c>
      <c r="D40" s="111" t="str">
        <f ca="1">IFERROR(__xludf.DUMMYFUNCTION("""COMPUTED_VALUE"""),"Реконструкция ВЗУ № 1 г. Пушкино Пушкинский г.о. ")</f>
        <v xml:space="preserve">Реконструкция ВЗУ № 1 г. Пушкино Пушкинский г.о. </v>
      </c>
      <c r="E40" s="111">
        <f ca="1">IFERROR(__xludf.DUMMYFUNCTION("""COMPUTED_VALUE"""),2023)</f>
        <v>2023</v>
      </c>
      <c r="F40" s="113">
        <f ca="1">IFERROR(__xludf.DUMMYFUNCTION("""COMPUTED_VALUE"""),0)</f>
        <v>0</v>
      </c>
      <c r="G40" s="113">
        <f ca="1">IFERROR(__xludf.DUMMYFUNCTION("""COMPUTED_VALUE"""),0)</f>
        <v>0</v>
      </c>
      <c r="H40" s="113">
        <f ca="1">IFERROR(__xludf.DUMMYFUNCTION("""COMPUTED_VALUE"""),0)</f>
        <v>0</v>
      </c>
      <c r="I40" s="111"/>
      <c r="J40" s="111">
        <f ca="1">IFERROR(__xludf.DUMMYFUNCTION("""COMPUTED_VALUE"""),0)</f>
        <v>0</v>
      </c>
      <c r="K40" s="113">
        <f ca="1">IFERROR(__xludf.DUMMYFUNCTION("""COMPUTED_VALUE"""),0)</f>
        <v>0</v>
      </c>
      <c r="L40" s="114" t="str">
        <f ca="1">IFERROR(__xludf.DUMMYFUNCTION("""COMPUTED_VALUE"""),"#DIV/0!")</f>
        <v>#DIV/0!</v>
      </c>
      <c r="M40" s="111"/>
      <c r="N40" s="111"/>
      <c r="O40" s="111"/>
      <c r="P40" s="111"/>
      <c r="Q40" s="112"/>
      <c r="R40" s="103"/>
      <c r="S40" s="103"/>
      <c r="T40" s="103"/>
      <c r="U40" s="103"/>
      <c r="V40" s="103"/>
      <c r="W40" s="103"/>
      <c r="X40" s="103"/>
      <c r="Y40" s="103"/>
      <c r="Z40" s="103"/>
      <c r="AA40" s="103"/>
    </row>
    <row r="41" spans="1:27" ht="15" customHeight="1" x14ac:dyDescent="0.2">
      <c r="A41" s="110">
        <v>38</v>
      </c>
      <c r="B41" s="110" t="s">
        <v>54</v>
      </c>
      <c r="C41" s="111" t="str">
        <f ca="1">IFERROR(__xludf.DUMMYFUNCTION("""COMPUTED_VALUE"""),"г.о. Пушкинский")</f>
        <v>г.о. Пушкинский</v>
      </c>
      <c r="D41" s="111" t="str">
        <f ca="1">IFERROR(__xludf.DUMMYFUNCTION("""COMPUTED_VALUE"""),"Реконструкция ВЗУ № 3 г. Пушкино г.о. Пушкино")</f>
        <v>Реконструкция ВЗУ № 3 г. Пушкино г.о. Пушкино</v>
      </c>
      <c r="E41" s="111" t="str">
        <f ca="1">IFERROR(__xludf.DUMMYFUNCTION("""COMPUTED_VALUE"""),"Н/Л")</f>
        <v>Н/Л</v>
      </c>
      <c r="F41" s="113">
        <f ca="1">IFERROR(__xludf.DUMMYFUNCTION("""COMPUTED_VALUE"""),0)</f>
        <v>0</v>
      </c>
      <c r="G41" s="113">
        <f ca="1">IFERROR(__xludf.DUMMYFUNCTION("""COMPUTED_VALUE"""),0)</f>
        <v>0</v>
      </c>
      <c r="H41" s="113">
        <f ca="1">IFERROR(__xludf.DUMMYFUNCTION("""COMPUTED_VALUE"""),0)</f>
        <v>0</v>
      </c>
      <c r="I41" s="111"/>
      <c r="J41" s="111">
        <f ca="1">IFERROR(__xludf.DUMMYFUNCTION("""COMPUTED_VALUE"""),0)</f>
        <v>0</v>
      </c>
      <c r="K41" s="113">
        <f ca="1">IFERROR(__xludf.DUMMYFUNCTION("""COMPUTED_VALUE"""),0)</f>
        <v>0</v>
      </c>
      <c r="L41" s="114" t="str">
        <f ca="1">IFERROR(__xludf.DUMMYFUNCTION("""COMPUTED_VALUE"""),"#DIV/0!")</f>
        <v>#DIV/0!</v>
      </c>
      <c r="M41" s="111"/>
      <c r="N41" s="111"/>
      <c r="O41" s="111"/>
      <c r="P41" s="111"/>
      <c r="Q41" s="112"/>
      <c r="R41" s="103"/>
      <c r="S41" s="103"/>
      <c r="T41" s="103"/>
      <c r="U41" s="103"/>
      <c r="V41" s="103"/>
      <c r="W41" s="103"/>
      <c r="X41" s="103"/>
      <c r="Y41" s="103"/>
      <c r="Z41" s="103"/>
      <c r="AA41" s="103"/>
    </row>
    <row r="42" spans="1:27" ht="15" customHeight="1" x14ac:dyDescent="0.2">
      <c r="A42" s="110">
        <v>39</v>
      </c>
      <c r="B42" s="110" t="s">
        <v>54</v>
      </c>
      <c r="C42" s="111" t="str">
        <f ca="1">IFERROR(__xludf.DUMMYFUNCTION("""COMPUTED_VALUE"""),"г.о. Пушкинский")</f>
        <v>г.о. Пушкинский</v>
      </c>
      <c r="D42" s="111" t="str">
        <f ca="1">IFERROR(__xludf.DUMMYFUNCTION("""COMPUTED_VALUE"""),"Реконструкция ВЗУ № 12 г. Пушкино Пушкинский г.о.")</f>
        <v>Реконструкция ВЗУ № 12 г. Пушкино Пушкинский г.о.</v>
      </c>
      <c r="E42" s="111">
        <f ca="1">IFERROR(__xludf.DUMMYFUNCTION("""COMPUTED_VALUE"""),2024)</f>
        <v>2024</v>
      </c>
      <c r="F42" s="113">
        <f ca="1">IFERROR(__xludf.DUMMYFUNCTION("""COMPUTED_VALUE"""),0)</f>
        <v>0</v>
      </c>
      <c r="G42" s="113">
        <f ca="1">IFERROR(__xludf.DUMMYFUNCTION("""COMPUTED_VALUE"""),0)</f>
        <v>0</v>
      </c>
      <c r="H42" s="113">
        <f ca="1">IFERROR(__xludf.DUMMYFUNCTION("""COMPUTED_VALUE"""),0)</f>
        <v>0</v>
      </c>
      <c r="I42" s="111"/>
      <c r="J42" s="111">
        <f ca="1">IFERROR(__xludf.DUMMYFUNCTION("""COMPUTED_VALUE"""),0)</f>
        <v>0</v>
      </c>
      <c r="K42" s="113">
        <f ca="1">IFERROR(__xludf.DUMMYFUNCTION("""COMPUTED_VALUE"""),0)</f>
        <v>0</v>
      </c>
      <c r="L42" s="114" t="str">
        <f ca="1">IFERROR(__xludf.DUMMYFUNCTION("""COMPUTED_VALUE"""),"#DIV/0!")</f>
        <v>#DIV/0!</v>
      </c>
      <c r="M42" s="111"/>
      <c r="N42" s="111"/>
      <c r="O42" s="111"/>
      <c r="P42" s="111"/>
      <c r="Q42" s="112"/>
      <c r="R42" s="103"/>
      <c r="S42" s="103"/>
      <c r="T42" s="103"/>
      <c r="U42" s="103"/>
      <c r="V42" s="103"/>
      <c r="W42" s="103"/>
      <c r="X42" s="103"/>
      <c r="Y42" s="103"/>
      <c r="Z42" s="103"/>
      <c r="AA42" s="103"/>
    </row>
    <row r="43" spans="1:27" ht="15" customHeight="1" x14ac:dyDescent="0.2">
      <c r="A43" s="110">
        <v>40</v>
      </c>
      <c r="B43" s="110" t="s">
        <v>54</v>
      </c>
      <c r="C43" s="111" t="str">
        <f ca="1">IFERROR(__xludf.DUMMYFUNCTION("""COMPUTED_VALUE"""),"г.о. Пушкинский")</f>
        <v>г.о. Пушкинский</v>
      </c>
      <c r="D43" s="111" t="str">
        <f ca="1">IFERROR(__xludf.DUMMYFUNCTION("""COMPUTED_VALUE"""),"Реконструкция ВЗУ № 14 пос. Правдинский  Пушкинский г.о.")</f>
        <v>Реконструкция ВЗУ № 14 пос. Правдинский  Пушкинский г.о.</v>
      </c>
      <c r="E43" s="111">
        <f ca="1">IFERROR(__xludf.DUMMYFUNCTION("""COMPUTED_VALUE"""),2024)</f>
        <v>2024</v>
      </c>
      <c r="F43" s="113">
        <f ca="1">IFERROR(__xludf.DUMMYFUNCTION("""COMPUTED_VALUE"""),0)</f>
        <v>0</v>
      </c>
      <c r="G43" s="113">
        <f ca="1">IFERROR(__xludf.DUMMYFUNCTION("""COMPUTED_VALUE"""),0)</f>
        <v>0</v>
      </c>
      <c r="H43" s="113">
        <f ca="1">IFERROR(__xludf.DUMMYFUNCTION("""COMPUTED_VALUE"""),0)</f>
        <v>0</v>
      </c>
      <c r="I43" s="111"/>
      <c r="J43" s="111">
        <f ca="1">IFERROR(__xludf.DUMMYFUNCTION("""COMPUTED_VALUE"""),0)</f>
        <v>0</v>
      </c>
      <c r="K43" s="113">
        <f ca="1">IFERROR(__xludf.DUMMYFUNCTION("""COMPUTED_VALUE"""),0)</f>
        <v>0</v>
      </c>
      <c r="L43" s="114" t="str">
        <f ca="1">IFERROR(__xludf.DUMMYFUNCTION("""COMPUTED_VALUE"""),"#DIV/0!")</f>
        <v>#DIV/0!</v>
      </c>
      <c r="M43" s="111"/>
      <c r="N43" s="111"/>
      <c r="O43" s="111"/>
      <c r="P43" s="111"/>
      <c r="Q43" s="112"/>
      <c r="R43" s="103"/>
      <c r="S43" s="103"/>
      <c r="T43" s="103"/>
      <c r="U43" s="103"/>
      <c r="V43" s="103"/>
      <c r="W43" s="103"/>
      <c r="X43" s="103"/>
      <c r="Y43" s="103"/>
      <c r="Z43" s="103"/>
      <c r="AA43" s="103"/>
    </row>
    <row r="44" spans="1:27" ht="25.5" x14ac:dyDescent="0.2">
      <c r="A44" s="110">
        <v>41</v>
      </c>
      <c r="B44" s="110" t="s">
        <v>54</v>
      </c>
      <c r="C44" s="111" t="str">
        <f ca="1">IFERROR(__xludf.DUMMYFUNCTION("""COMPUTED_VALUE"""),"г.о. Пушкинский")</f>
        <v>г.о. Пушкинский</v>
      </c>
      <c r="D44" s="111" t="str">
        <f ca="1">IFERROR(__xludf.DUMMYFUNCTION("""COMPUTED_VALUE"""),"Реконструкция ВЗУ № 18 пос. Правдинский  г.о. Пушкино")</f>
        <v>Реконструкция ВЗУ № 18 пос. Правдинский  г.о. Пушкино</v>
      </c>
      <c r="E44" s="111" t="str">
        <f ca="1">IFERROR(__xludf.DUMMYFUNCTION("""COMPUTED_VALUE"""),"Н/Л")</f>
        <v>Н/Л</v>
      </c>
      <c r="F44" s="113">
        <f ca="1">IFERROR(__xludf.DUMMYFUNCTION("""COMPUTED_VALUE"""),0)</f>
        <v>0</v>
      </c>
      <c r="G44" s="113">
        <f ca="1">IFERROR(__xludf.DUMMYFUNCTION("""COMPUTED_VALUE"""),0)</f>
        <v>0</v>
      </c>
      <c r="H44" s="113">
        <f ca="1">IFERROR(__xludf.DUMMYFUNCTION("""COMPUTED_VALUE"""),0)</f>
        <v>0</v>
      </c>
      <c r="I44" s="111"/>
      <c r="J44" s="111">
        <f ca="1">IFERROR(__xludf.DUMMYFUNCTION("""COMPUTED_VALUE"""),0)</f>
        <v>0</v>
      </c>
      <c r="K44" s="113">
        <f ca="1">IFERROR(__xludf.DUMMYFUNCTION("""COMPUTED_VALUE"""),0)</f>
        <v>0</v>
      </c>
      <c r="L44" s="114" t="str">
        <f ca="1">IFERROR(__xludf.DUMMYFUNCTION("""COMPUTED_VALUE"""),"#DIV/0!")</f>
        <v>#DIV/0!</v>
      </c>
      <c r="M44" s="111"/>
      <c r="N44" s="111"/>
      <c r="O44" s="111"/>
      <c r="P44" s="111"/>
      <c r="Q44" s="112"/>
      <c r="R44" s="103"/>
      <c r="S44" s="103"/>
      <c r="T44" s="103"/>
      <c r="U44" s="103"/>
      <c r="V44" s="103"/>
      <c r="W44" s="103"/>
      <c r="X44" s="103"/>
      <c r="Y44" s="103"/>
      <c r="Z44" s="103"/>
      <c r="AA44" s="103"/>
    </row>
    <row r="45" spans="1:27" ht="25.5" x14ac:dyDescent="0.2">
      <c r="A45" s="110">
        <v>42</v>
      </c>
      <c r="B45" s="110" t="s">
        <v>54</v>
      </c>
      <c r="C45" s="111" t="str">
        <f ca="1">IFERROR(__xludf.DUMMYFUNCTION("""COMPUTED_VALUE"""),"г.о. Пушкинский")</f>
        <v>г.о. Пушкинский</v>
      </c>
      <c r="D45" s="111" t="str">
        <f ca="1">IFERROR(__xludf.DUMMYFUNCTION("""COMPUTED_VALUE"""),"Реконструкция ВЗУ № 42  пос. Царевское Пушкинский г.о.")</f>
        <v>Реконструкция ВЗУ № 42  пос. Царевское Пушкинский г.о.</v>
      </c>
      <c r="E45" s="111">
        <f ca="1">IFERROR(__xludf.DUMMYFUNCTION("""COMPUTED_VALUE"""),2024)</f>
        <v>2024</v>
      </c>
      <c r="F45" s="113">
        <f ca="1">IFERROR(__xludf.DUMMYFUNCTION("""COMPUTED_VALUE"""),0)</f>
        <v>0</v>
      </c>
      <c r="G45" s="113">
        <f ca="1">IFERROR(__xludf.DUMMYFUNCTION("""COMPUTED_VALUE"""),0)</f>
        <v>0</v>
      </c>
      <c r="H45" s="113">
        <f ca="1">IFERROR(__xludf.DUMMYFUNCTION("""COMPUTED_VALUE"""),0)</f>
        <v>0</v>
      </c>
      <c r="I45" s="111"/>
      <c r="J45" s="111">
        <f ca="1">IFERROR(__xludf.DUMMYFUNCTION("""COMPUTED_VALUE"""),0)</f>
        <v>0</v>
      </c>
      <c r="K45" s="113">
        <f ca="1">IFERROR(__xludf.DUMMYFUNCTION("""COMPUTED_VALUE"""),0)</f>
        <v>0</v>
      </c>
      <c r="L45" s="114" t="str">
        <f ca="1">IFERROR(__xludf.DUMMYFUNCTION("""COMPUTED_VALUE"""),"#DIV/0!")</f>
        <v>#DIV/0!</v>
      </c>
      <c r="M45" s="111"/>
      <c r="N45" s="111"/>
      <c r="O45" s="111"/>
      <c r="P45" s="111"/>
      <c r="Q45" s="112"/>
      <c r="R45" s="103"/>
      <c r="S45" s="103"/>
      <c r="T45" s="103"/>
      <c r="U45" s="103"/>
      <c r="V45" s="103"/>
      <c r="W45" s="103"/>
      <c r="X45" s="103"/>
      <c r="Y45" s="103"/>
      <c r="Z45" s="103"/>
      <c r="AA45" s="103"/>
    </row>
    <row r="46" spans="1:27" ht="25.5" x14ac:dyDescent="0.2">
      <c r="A46" s="110">
        <v>43</v>
      </c>
      <c r="B46" s="110" t="s">
        <v>54</v>
      </c>
      <c r="C46" s="111" t="str">
        <f ca="1">IFERROR(__xludf.DUMMYFUNCTION("""COMPUTED_VALUE"""),"г.о. Пушкинский")</f>
        <v>г.о. Пушкинский</v>
      </c>
      <c r="D46" s="111" t="str">
        <f ca="1">IFERROR(__xludf.DUMMYFUNCTION("""COMPUTED_VALUE"""),"Реконструкция ВЗУ № 8  пос. Царевское  г.о. Пушкино")</f>
        <v>Реконструкция ВЗУ № 8  пос. Царевское  г.о. Пушкино</v>
      </c>
      <c r="E46" s="111">
        <f ca="1">IFERROR(__xludf.DUMMYFUNCTION("""COMPUTED_VALUE"""),2024)</f>
        <v>2024</v>
      </c>
      <c r="F46" s="113">
        <f ca="1">IFERROR(__xludf.DUMMYFUNCTION("""COMPUTED_VALUE"""),0)</f>
        <v>0</v>
      </c>
      <c r="G46" s="113">
        <f ca="1">IFERROR(__xludf.DUMMYFUNCTION("""COMPUTED_VALUE"""),0)</f>
        <v>0</v>
      </c>
      <c r="H46" s="113">
        <f ca="1">IFERROR(__xludf.DUMMYFUNCTION("""COMPUTED_VALUE"""),0)</f>
        <v>0</v>
      </c>
      <c r="I46" s="111"/>
      <c r="J46" s="111">
        <f ca="1">IFERROR(__xludf.DUMMYFUNCTION("""COMPUTED_VALUE"""),0)</f>
        <v>0</v>
      </c>
      <c r="K46" s="113">
        <f ca="1">IFERROR(__xludf.DUMMYFUNCTION("""COMPUTED_VALUE"""),0)</f>
        <v>0</v>
      </c>
      <c r="L46" s="114" t="str">
        <f ca="1">IFERROR(__xludf.DUMMYFUNCTION("""COMPUTED_VALUE"""),"#DIV/0!")</f>
        <v>#DIV/0!</v>
      </c>
      <c r="M46" s="111"/>
      <c r="N46" s="111"/>
      <c r="O46" s="111"/>
      <c r="P46" s="111"/>
      <c r="Q46" s="112"/>
      <c r="R46" s="103"/>
      <c r="S46" s="103"/>
      <c r="T46" s="103"/>
      <c r="U46" s="103"/>
      <c r="V46" s="103"/>
      <c r="W46" s="103"/>
      <c r="X46" s="103"/>
      <c r="Y46" s="103"/>
      <c r="Z46" s="103"/>
      <c r="AA46" s="103"/>
    </row>
    <row r="47" spans="1:27" ht="63.75" x14ac:dyDescent="0.2">
      <c r="A47" s="110">
        <v>44</v>
      </c>
      <c r="B47" s="110" t="s">
        <v>54</v>
      </c>
      <c r="C47" s="111" t="str">
        <f ca="1">IFERROR(__xludf.DUMMYFUNCTION("""COMPUTED_VALUE"""),"г.о. Можайск")</f>
        <v>г.о. Можайск</v>
      </c>
      <c r="D47" s="111" t="str">
        <f ca="1">IFERROR(__xludf.DUMMYFUNCTION("""COMPUTED_VALUE"""),"Реконструкция ВЗУ Большие Парфенки Московская область, Можайский городской округ, с.п. Борисовское, д. Большие Парфенки")</f>
        <v>Реконструкция ВЗУ Большие Парфенки Московская область, Можайский городской округ, с.п. Борисовское, д. Большие Парфенки</v>
      </c>
      <c r="E47" s="111">
        <f ca="1">IFERROR(__xludf.DUMMYFUNCTION("""COMPUTED_VALUE"""),2022)</f>
        <v>2022</v>
      </c>
      <c r="F47" s="113">
        <f ca="1">IFERROR(__xludf.DUMMYFUNCTION("""COMPUTED_VALUE"""),0)</f>
        <v>0</v>
      </c>
      <c r="G47" s="113">
        <f ca="1">IFERROR(__xludf.DUMMYFUNCTION("""COMPUTED_VALUE"""),0)</f>
        <v>0</v>
      </c>
      <c r="H47" s="113">
        <f ca="1">IFERROR(__xludf.DUMMYFUNCTION("""COMPUTED_VALUE"""),0)</f>
        <v>0</v>
      </c>
      <c r="I47" s="111"/>
      <c r="J47" s="111">
        <f ca="1">IFERROR(__xludf.DUMMYFUNCTION("""COMPUTED_VALUE"""),0)</f>
        <v>0</v>
      </c>
      <c r="K47" s="113">
        <f ca="1">IFERROR(__xludf.DUMMYFUNCTION("""COMPUTED_VALUE"""),0)</f>
        <v>0</v>
      </c>
      <c r="L47" s="114" t="str">
        <f ca="1">IFERROR(__xludf.DUMMYFUNCTION("""COMPUTED_VALUE"""),"#DIV/0!")</f>
        <v>#DIV/0!</v>
      </c>
      <c r="M47" s="111"/>
      <c r="N47" s="111"/>
      <c r="O47" s="111"/>
      <c r="P47" s="111"/>
      <c r="Q47" s="112"/>
      <c r="R47" s="103"/>
      <c r="S47" s="103"/>
      <c r="T47" s="103"/>
      <c r="U47" s="103"/>
      <c r="V47" s="103"/>
      <c r="W47" s="103"/>
      <c r="X47" s="103"/>
      <c r="Y47" s="103"/>
      <c r="Z47" s="103"/>
      <c r="AA47" s="103"/>
    </row>
    <row r="48" spans="1:27" ht="25.5" x14ac:dyDescent="0.2">
      <c r="A48" s="110">
        <v>45</v>
      </c>
      <c r="B48" s="110" t="s">
        <v>54</v>
      </c>
      <c r="C48" s="111" t="str">
        <f ca="1">IFERROR(__xludf.DUMMYFUNCTION("""COMPUTED_VALUE"""),"г.о. Солнечногорск")</f>
        <v>г.о. Солнечногорск</v>
      </c>
      <c r="D48" s="111" t="str">
        <f ca="1">IFERROR(__xludf.DUMMYFUNCTION("""COMPUTED_VALUE"""),"Реконструкция ВЗУ № 5 ЦМИС г.о. Солнечногорск")</f>
        <v>Реконструкция ВЗУ № 5 ЦМИС г.о. Солнечногорск</v>
      </c>
      <c r="E48" s="111">
        <f ca="1">IFERROR(__xludf.DUMMYFUNCTION("""COMPUTED_VALUE"""),2022)</f>
        <v>2022</v>
      </c>
      <c r="F48" s="113">
        <f ca="1">IFERROR(__xludf.DUMMYFUNCTION("""COMPUTED_VALUE"""),0)</f>
        <v>0</v>
      </c>
      <c r="G48" s="113">
        <f ca="1">IFERROR(__xludf.DUMMYFUNCTION("""COMPUTED_VALUE"""),0)</f>
        <v>0</v>
      </c>
      <c r="H48" s="113">
        <f ca="1">IFERROR(__xludf.DUMMYFUNCTION("""COMPUTED_VALUE"""),0)</f>
        <v>0</v>
      </c>
      <c r="I48" s="111"/>
      <c r="J48" s="111">
        <f ca="1">IFERROR(__xludf.DUMMYFUNCTION("""COMPUTED_VALUE"""),0)</f>
        <v>0</v>
      </c>
      <c r="K48" s="113">
        <f ca="1">IFERROR(__xludf.DUMMYFUNCTION("""COMPUTED_VALUE"""),0)</f>
        <v>0</v>
      </c>
      <c r="L48" s="114" t="str">
        <f ca="1">IFERROR(__xludf.DUMMYFUNCTION("""COMPUTED_VALUE"""),"#DIV/0!")</f>
        <v>#DIV/0!</v>
      </c>
      <c r="M48" s="111"/>
      <c r="N48" s="111"/>
      <c r="O48" s="111"/>
      <c r="P48" s="111"/>
      <c r="Q48" s="112"/>
      <c r="R48" s="103"/>
      <c r="S48" s="103"/>
      <c r="T48" s="103"/>
      <c r="U48" s="103"/>
      <c r="V48" s="103"/>
      <c r="W48" s="103"/>
      <c r="X48" s="103"/>
      <c r="Y48" s="103"/>
      <c r="Z48" s="103"/>
      <c r="AA48" s="103"/>
    </row>
    <row r="49" spans="1:27" ht="25.5" x14ac:dyDescent="0.2">
      <c r="A49" s="110">
        <v>46</v>
      </c>
      <c r="B49" s="110" t="s">
        <v>54</v>
      </c>
      <c r="C49" s="111" t="str">
        <f ca="1">IFERROR(__xludf.DUMMYFUNCTION("""COMPUTED_VALUE"""),"г.о. Солнечногорск")</f>
        <v>г.о. Солнечногорск</v>
      </c>
      <c r="D49" s="111" t="str">
        <f ca="1">IFERROR(__xludf.DUMMYFUNCTION("""COMPUTED_VALUE"""),"Реконструкция ВЗУ д.Брехово г.о. Солнечногорск")</f>
        <v>Реконструкция ВЗУ д.Брехово г.о. Солнечногорск</v>
      </c>
      <c r="E49" s="111">
        <f ca="1">IFERROR(__xludf.DUMMYFUNCTION("""COMPUTED_VALUE"""),2022)</f>
        <v>2022</v>
      </c>
      <c r="F49" s="113">
        <f ca="1">IFERROR(__xludf.DUMMYFUNCTION("""COMPUTED_VALUE"""),0)</f>
        <v>0</v>
      </c>
      <c r="G49" s="113">
        <f ca="1">IFERROR(__xludf.DUMMYFUNCTION("""COMPUTED_VALUE"""),0)</f>
        <v>0</v>
      </c>
      <c r="H49" s="113">
        <f ca="1">IFERROR(__xludf.DUMMYFUNCTION("""COMPUTED_VALUE"""),0)</f>
        <v>0</v>
      </c>
      <c r="I49" s="111"/>
      <c r="J49" s="111">
        <f ca="1">IFERROR(__xludf.DUMMYFUNCTION("""COMPUTED_VALUE"""),0)</f>
        <v>0</v>
      </c>
      <c r="K49" s="113">
        <f ca="1">IFERROR(__xludf.DUMMYFUNCTION("""COMPUTED_VALUE"""),0)</f>
        <v>0</v>
      </c>
      <c r="L49" s="114" t="str">
        <f ca="1">IFERROR(__xludf.DUMMYFUNCTION("""COMPUTED_VALUE"""),"#DIV/0!")</f>
        <v>#DIV/0!</v>
      </c>
      <c r="M49" s="111"/>
      <c r="N49" s="111"/>
      <c r="O49" s="111"/>
      <c r="P49" s="111"/>
      <c r="Q49" s="112"/>
      <c r="R49" s="103"/>
      <c r="S49" s="103"/>
      <c r="T49" s="103"/>
      <c r="U49" s="103"/>
      <c r="V49" s="103"/>
      <c r="W49" s="103"/>
      <c r="X49" s="103"/>
      <c r="Y49" s="103"/>
      <c r="Z49" s="103"/>
      <c r="AA49" s="103"/>
    </row>
    <row r="50" spans="1:27" ht="25.5" x14ac:dyDescent="0.2">
      <c r="A50" s="110">
        <v>47</v>
      </c>
      <c r="B50" s="110" t="s">
        <v>54</v>
      </c>
      <c r="C50" s="111" t="str">
        <f ca="1">IFERROR(__xludf.DUMMYFUNCTION("""COMPUTED_VALUE"""),"г.о. Солнечногорск")</f>
        <v>г.о. Солнечногорск</v>
      </c>
      <c r="D50" s="111" t="str">
        <f ca="1">IFERROR(__xludf.DUMMYFUNCTION("""COMPUTED_VALUE"""),"Реконструкция ВЗУ №4 д. Кресты  г.о. Солнечногорск")</f>
        <v>Реконструкция ВЗУ №4 д. Кресты  г.о. Солнечногорск</v>
      </c>
      <c r="E50" s="111">
        <f ca="1">IFERROR(__xludf.DUMMYFUNCTION("""COMPUTED_VALUE"""),2022)</f>
        <v>2022</v>
      </c>
      <c r="F50" s="113">
        <f ca="1">IFERROR(__xludf.DUMMYFUNCTION("""COMPUTED_VALUE"""),0)</f>
        <v>0</v>
      </c>
      <c r="G50" s="113">
        <f ca="1">IFERROR(__xludf.DUMMYFUNCTION("""COMPUTED_VALUE"""),0)</f>
        <v>0</v>
      </c>
      <c r="H50" s="113">
        <f ca="1">IFERROR(__xludf.DUMMYFUNCTION("""COMPUTED_VALUE"""),0)</f>
        <v>0</v>
      </c>
      <c r="I50" s="111"/>
      <c r="J50" s="111">
        <f ca="1">IFERROR(__xludf.DUMMYFUNCTION("""COMPUTED_VALUE"""),0)</f>
        <v>0</v>
      </c>
      <c r="K50" s="113">
        <f ca="1">IFERROR(__xludf.DUMMYFUNCTION("""COMPUTED_VALUE"""),0)</f>
        <v>0</v>
      </c>
      <c r="L50" s="114" t="str">
        <f ca="1">IFERROR(__xludf.DUMMYFUNCTION("""COMPUTED_VALUE"""),"#DIV/0!")</f>
        <v>#DIV/0!</v>
      </c>
      <c r="M50" s="111"/>
      <c r="N50" s="111"/>
      <c r="O50" s="111"/>
      <c r="P50" s="111"/>
      <c r="Q50" s="112"/>
      <c r="R50" s="103"/>
      <c r="S50" s="103"/>
      <c r="T50" s="103"/>
      <c r="U50" s="103"/>
      <c r="V50" s="103"/>
      <c r="W50" s="103"/>
      <c r="X50" s="103"/>
      <c r="Y50" s="103"/>
      <c r="Z50" s="103"/>
      <c r="AA50" s="103"/>
    </row>
    <row r="51" spans="1:27" ht="25.5" x14ac:dyDescent="0.2">
      <c r="A51" s="110">
        <v>48</v>
      </c>
      <c r="B51" s="110" t="s">
        <v>54</v>
      </c>
      <c r="C51" s="111" t="str">
        <f ca="1">IFERROR(__xludf.DUMMYFUNCTION("""COMPUTED_VALUE"""),"г.о. Солнечногорск")</f>
        <v>г.о. Солнечногорск</v>
      </c>
      <c r="D51" s="111" t="str">
        <f ca="1">IFERROR(__xludf.DUMMYFUNCTION("""COMPUTED_VALUE"""),"Реконструкция ВЗУ №8 д. Тимоново  г.о. Солнечногорск")</f>
        <v>Реконструкция ВЗУ №8 д. Тимоново  г.о. Солнечногорск</v>
      </c>
      <c r="E51" s="111" t="str">
        <f ca="1">IFERROR(__xludf.DUMMYFUNCTION("""COMPUTED_VALUE"""),"Н/Л")</f>
        <v>Н/Л</v>
      </c>
      <c r="F51" s="113">
        <f ca="1">IFERROR(__xludf.DUMMYFUNCTION("""COMPUTED_VALUE"""),0)</f>
        <v>0</v>
      </c>
      <c r="G51" s="113">
        <f ca="1">IFERROR(__xludf.DUMMYFUNCTION("""COMPUTED_VALUE"""),0)</f>
        <v>0</v>
      </c>
      <c r="H51" s="113">
        <f ca="1">IFERROR(__xludf.DUMMYFUNCTION("""COMPUTED_VALUE"""),0)</f>
        <v>0</v>
      </c>
      <c r="I51" s="111"/>
      <c r="J51" s="111">
        <f ca="1">IFERROR(__xludf.DUMMYFUNCTION("""COMPUTED_VALUE"""),0)</f>
        <v>0</v>
      </c>
      <c r="K51" s="113">
        <f ca="1">IFERROR(__xludf.DUMMYFUNCTION("""COMPUTED_VALUE"""),0)</f>
        <v>0</v>
      </c>
      <c r="L51" s="114" t="str">
        <f ca="1">IFERROR(__xludf.DUMMYFUNCTION("""COMPUTED_VALUE"""),"#DIV/0!")</f>
        <v>#DIV/0!</v>
      </c>
      <c r="M51" s="111"/>
      <c r="N51" s="111"/>
      <c r="O51" s="111"/>
      <c r="P51" s="111"/>
      <c r="Q51" s="112"/>
      <c r="R51" s="103"/>
      <c r="S51" s="103"/>
      <c r="T51" s="103"/>
      <c r="U51" s="103"/>
      <c r="V51" s="103"/>
      <c r="W51" s="103"/>
      <c r="X51" s="103"/>
      <c r="Y51" s="103"/>
      <c r="Z51" s="103"/>
      <c r="AA51" s="103"/>
    </row>
    <row r="52" spans="1:27" ht="25.5" x14ac:dyDescent="0.2">
      <c r="A52" s="110">
        <v>49</v>
      </c>
      <c r="B52" s="110" t="s">
        <v>54</v>
      </c>
      <c r="C52" s="111" t="str">
        <f ca="1">IFERROR(__xludf.DUMMYFUNCTION("""COMPUTED_VALUE"""),"г.о. Солнечногорск")</f>
        <v>г.о. Солнечногорск</v>
      </c>
      <c r="D52" s="111" t="str">
        <f ca="1">IFERROR(__xludf.DUMMYFUNCTION("""COMPUTED_VALUE"""),"Реконструкция ВЗУ №6 СЭМЗ  г.о. Солнечногорск")</f>
        <v>Реконструкция ВЗУ №6 СЭМЗ  г.о. Солнечногорск</v>
      </c>
      <c r="E52" s="111" t="str">
        <f ca="1">IFERROR(__xludf.DUMMYFUNCTION("""COMPUTED_VALUE"""),"Н/Л")</f>
        <v>Н/Л</v>
      </c>
      <c r="F52" s="113">
        <f ca="1">IFERROR(__xludf.DUMMYFUNCTION("""COMPUTED_VALUE"""),0)</f>
        <v>0</v>
      </c>
      <c r="G52" s="113">
        <f ca="1">IFERROR(__xludf.DUMMYFUNCTION("""COMPUTED_VALUE"""),0)</f>
        <v>0</v>
      </c>
      <c r="H52" s="113">
        <f ca="1">IFERROR(__xludf.DUMMYFUNCTION("""COMPUTED_VALUE"""),0)</f>
        <v>0</v>
      </c>
      <c r="I52" s="111"/>
      <c r="J52" s="111">
        <f ca="1">IFERROR(__xludf.DUMMYFUNCTION("""COMPUTED_VALUE"""),0)</f>
        <v>0</v>
      </c>
      <c r="K52" s="113">
        <f ca="1">IFERROR(__xludf.DUMMYFUNCTION("""COMPUTED_VALUE"""),0)</f>
        <v>0</v>
      </c>
      <c r="L52" s="114" t="str">
        <f ca="1">IFERROR(__xludf.DUMMYFUNCTION("""COMPUTED_VALUE"""),"#DIV/0!")</f>
        <v>#DIV/0!</v>
      </c>
      <c r="M52" s="111"/>
      <c r="N52" s="111"/>
      <c r="O52" s="111"/>
      <c r="P52" s="111"/>
      <c r="Q52" s="112"/>
      <c r="R52" s="103"/>
      <c r="S52" s="103"/>
      <c r="T52" s="103"/>
      <c r="U52" s="103"/>
      <c r="V52" s="103"/>
      <c r="W52" s="103"/>
      <c r="X52" s="103"/>
      <c r="Y52" s="103"/>
      <c r="Z52" s="103"/>
      <c r="AA52" s="103"/>
    </row>
    <row r="53" spans="1:27" ht="25.5" x14ac:dyDescent="0.2">
      <c r="A53" s="110">
        <v>50</v>
      </c>
      <c r="B53" s="110" t="s">
        <v>54</v>
      </c>
      <c r="C53" s="111" t="str">
        <f ca="1">IFERROR(__xludf.DUMMYFUNCTION("""COMPUTED_VALUE"""),"г.о. Солнечногорск")</f>
        <v>г.о. Солнечногорск</v>
      </c>
      <c r="D53" s="111" t="str">
        <f ca="1">IFERROR(__xludf.DUMMYFUNCTION("""COMPUTED_VALUE"""),"Реконструкция ВЗУ №2 ул. Рабочая  г.о. Солнечногорск")</f>
        <v>Реконструкция ВЗУ №2 ул. Рабочая  г.о. Солнечногорск</v>
      </c>
      <c r="E53" s="111">
        <f ca="1">IFERROR(__xludf.DUMMYFUNCTION("""COMPUTED_VALUE"""),2023)</f>
        <v>2023</v>
      </c>
      <c r="F53" s="113">
        <f ca="1">IFERROR(__xludf.DUMMYFUNCTION("""COMPUTED_VALUE"""),0)</f>
        <v>0</v>
      </c>
      <c r="G53" s="113">
        <f ca="1">IFERROR(__xludf.DUMMYFUNCTION("""COMPUTED_VALUE"""),0)</f>
        <v>0</v>
      </c>
      <c r="H53" s="113">
        <f ca="1">IFERROR(__xludf.DUMMYFUNCTION("""COMPUTED_VALUE"""),0)</f>
        <v>0</v>
      </c>
      <c r="I53" s="111"/>
      <c r="J53" s="111">
        <f ca="1">IFERROR(__xludf.DUMMYFUNCTION("""COMPUTED_VALUE"""),0)</f>
        <v>0</v>
      </c>
      <c r="K53" s="113">
        <f ca="1">IFERROR(__xludf.DUMMYFUNCTION("""COMPUTED_VALUE"""),0)</f>
        <v>0</v>
      </c>
      <c r="L53" s="114" t="str">
        <f ca="1">IFERROR(__xludf.DUMMYFUNCTION("""COMPUTED_VALUE"""),"#DIV/0!")</f>
        <v>#DIV/0!</v>
      </c>
      <c r="M53" s="111"/>
      <c r="N53" s="111"/>
      <c r="O53" s="111"/>
      <c r="P53" s="111"/>
      <c r="Q53" s="112"/>
      <c r="R53" s="103"/>
      <c r="S53" s="103"/>
      <c r="T53" s="103"/>
      <c r="U53" s="103"/>
      <c r="V53" s="103"/>
      <c r="W53" s="103"/>
      <c r="X53" s="103"/>
      <c r="Y53" s="103"/>
      <c r="Z53" s="103"/>
      <c r="AA53" s="103"/>
    </row>
    <row r="54" spans="1:27" ht="25.5" x14ac:dyDescent="0.2">
      <c r="A54" s="110">
        <v>51</v>
      </c>
      <c r="B54" s="110" t="s">
        <v>54</v>
      </c>
      <c r="C54" s="111" t="str">
        <f ca="1">IFERROR(__xludf.DUMMYFUNCTION("""COMPUTED_VALUE"""),"г.о. Солнечногорск")</f>
        <v>г.о. Солнечногорск</v>
      </c>
      <c r="D54" s="111" t="str">
        <f ca="1">IFERROR(__xludf.DUMMYFUNCTION("""COMPUTED_VALUE"""),"Реконструкция ВЗУ №1Ул. Крупской  г.о. Солнечногорск")</f>
        <v>Реконструкция ВЗУ №1Ул. Крупской  г.о. Солнечногорск</v>
      </c>
      <c r="E54" s="111" t="str">
        <f ca="1">IFERROR(__xludf.DUMMYFUNCTION("""COMPUTED_VALUE"""),"Н/Л")</f>
        <v>Н/Л</v>
      </c>
      <c r="F54" s="113">
        <f ca="1">IFERROR(__xludf.DUMMYFUNCTION("""COMPUTED_VALUE"""),0)</f>
        <v>0</v>
      </c>
      <c r="G54" s="113">
        <f ca="1">IFERROR(__xludf.DUMMYFUNCTION("""COMPUTED_VALUE"""),0)</f>
        <v>0</v>
      </c>
      <c r="H54" s="113">
        <f ca="1">IFERROR(__xludf.DUMMYFUNCTION("""COMPUTED_VALUE"""),0)</f>
        <v>0</v>
      </c>
      <c r="I54" s="111"/>
      <c r="J54" s="111">
        <f ca="1">IFERROR(__xludf.DUMMYFUNCTION("""COMPUTED_VALUE"""),0)</f>
        <v>0</v>
      </c>
      <c r="K54" s="113">
        <f ca="1">IFERROR(__xludf.DUMMYFUNCTION("""COMPUTED_VALUE"""),0)</f>
        <v>0</v>
      </c>
      <c r="L54" s="114" t="str">
        <f ca="1">IFERROR(__xludf.DUMMYFUNCTION("""COMPUTED_VALUE"""),"#DIV/0!")</f>
        <v>#DIV/0!</v>
      </c>
      <c r="M54" s="111"/>
      <c r="N54" s="111"/>
      <c r="O54" s="111"/>
      <c r="P54" s="111"/>
      <c r="Q54" s="112"/>
      <c r="R54" s="103"/>
      <c r="S54" s="103"/>
      <c r="T54" s="103"/>
      <c r="U54" s="103"/>
      <c r="V54" s="103"/>
      <c r="W54" s="103"/>
      <c r="X54" s="103"/>
      <c r="Y54" s="103"/>
      <c r="Z54" s="103"/>
      <c r="AA54" s="103"/>
    </row>
    <row r="55" spans="1:27" ht="25.5" x14ac:dyDescent="0.2">
      <c r="A55" s="110">
        <v>52</v>
      </c>
      <c r="B55" s="110" t="s">
        <v>54</v>
      </c>
      <c r="C55" s="111" t="str">
        <f ca="1">IFERROR(__xludf.DUMMYFUNCTION("""COMPUTED_VALUE"""),"г.о. Солнечногорск")</f>
        <v>г.о. Солнечногорск</v>
      </c>
      <c r="D55" s="111" t="str">
        <f ca="1">IFERROR(__xludf.DUMMYFUNCTION("""COMPUTED_VALUE"""),"Реконструкция ВЗУ №3 пос. Матросова  г.о. Солнечногорск")</f>
        <v>Реконструкция ВЗУ №3 пос. Матросова  г.о. Солнечногорск</v>
      </c>
      <c r="E55" s="111" t="str">
        <f ca="1">IFERROR(__xludf.DUMMYFUNCTION("""COMPUTED_VALUE"""),"Н/Л")</f>
        <v>Н/Л</v>
      </c>
      <c r="F55" s="113">
        <f ca="1">IFERROR(__xludf.DUMMYFUNCTION("""COMPUTED_VALUE"""),0)</f>
        <v>0</v>
      </c>
      <c r="G55" s="113">
        <f ca="1">IFERROR(__xludf.DUMMYFUNCTION("""COMPUTED_VALUE"""),0)</f>
        <v>0</v>
      </c>
      <c r="H55" s="113">
        <f ca="1">IFERROR(__xludf.DUMMYFUNCTION("""COMPUTED_VALUE"""),0)</f>
        <v>0</v>
      </c>
      <c r="I55" s="111"/>
      <c r="J55" s="111">
        <f ca="1">IFERROR(__xludf.DUMMYFUNCTION("""COMPUTED_VALUE"""),0)</f>
        <v>0</v>
      </c>
      <c r="K55" s="113">
        <f ca="1">IFERROR(__xludf.DUMMYFUNCTION("""COMPUTED_VALUE"""),0)</f>
        <v>0</v>
      </c>
      <c r="L55" s="114" t="str">
        <f ca="1">IFERROR(__xludf.DUMMYFUNCTION("""COMPUTED_VALUE"""),"#DIV/0!")</f>
        <v>#DIV/0!</v>
      </c>
      <c r="M55" s="111"/>
      <c r="N55" s="111"/>
      <c r="O55" s="111"/>
      <c r="P55" s="111"/>
      <c r="Q55" s="112"/>
      <c r="R55" s="103"/>
      <c r="S55" s="103"/>
      <c r="T55" s="103"/>
      <c r="U55" s="103"/>
      <c r="V55" s="103"/>
      <c r="W55" s="103"/>
      <c r="X55" s="103"/>
      <c r="Y55" s="103"/>
      <c r="Z55" s="103"/>
      <c r="AA55" s="103"/>
    </row>
    <row r="56" spans="1:27" ht="25.5" x14ac:dyDescent="0.2">
      <c r="A56" s="110">
        <v>53</v>
      </c>
      <c r="B56" s="110" t="s">
        <v>54</v>
      </c>
      <c r="C56" s="111" t="str">
        <f ca="1">IFERROR(__xludf.DUMMYFUNCTION("""COMPUTED_VALUE"""),"г.о. Солнечногорск")</f>
        <v>г.о. Солнечногорск</v>
      </c>
      <c r="D56" s="111" t="str">
        <f ca="1">IFERROR(__xludf.DUMMYFUNCTION("""COMPUTED_VALUE"""),"Реконструкция ВЗУ №9 пос. Сан.МО  г.о. Солнечногорск")</f>
        <v>Реконструкция ВЗУ №9 пос. Сан.МО  г.о. Солнечногорск</v>
      </c>
      <c r="E56" s="111">
        <f ca="1">IFERROR(__xludf.DUMMYFUNCTION("""COMPUTED_VALUE"""),2022)</f>
        <v>2022</v>
      </c>
      <c r="F56" s="113">
        <f ca="1">IFERROR(__xludf.DUMMYFUNCTION("""COMPUTED_VALUE"""),0)</f>
        <v>0</v>
      </c>
      <c r="G56" s="113">
        <f ca="1">IFERROR(__xludf.DUMMYFUNCTION("""COMPUTED_VALUE"""),0)</f>
        <v>0</v>
      </c>
      <c r="H56" s="113">
        <f ca="1">IFERROR(__xludf.DUMMYFUNCTION("""COMPUTED_VALUE"""),0)</f>
        <v>0</v>
      </c>
      <c r="I56" s="111"/>
      <c r="J56" s="111">
        <f ca="1">IFERROR(__xludf.DUMMYFUNCTION("""COMPUTED_VALUE"""),0)</f>
        <v>0</v>
      </c>
      <c r="K56" s="113">
        <f ca="1">IFERROR(__xludf.DUMMYFUNCTION("""COMPUTED_VALUE"""),0)</f>
        <v>0</v>
      </c>
      <c r="L56" s="114" t="str">
        <f ca="1">IFERROR(__xludf.DUMMYFUNCTION("""COMPUTED_VALUE"""),"#DIV/0!")</f>
        <v>#DIV/0!</v>
      </c>
      <c r="M56" s="111"/>
      <c r="N56" s="111"/>
      <c r="O56" s="111"/>
      <c r="P56" s="111"/>
      <c r="Q56" s="112"/>
      <c r="R56" s="103"/>
      <c r="S56" s="103"/>
      <c r="T56" s="103"/>
      <c r="U56" s="103"/>
      <c r="V56" s="103"/>
      <c r="W56" s="103"/>
      <c r="X56" s="103"/>
      <c r="Y56" s="103"/>
      <c r="Z56" s="103"/>
      <c r="AA56" s="103"/>
    </row>
    <row r="57" spans="1:27" ht="63.75" x14ac:dyDescent="0.2">
      <c r="A57" s="110">
        <v>54</v>
      </c>
      <c r="B57" s="110" t="s">
        <v>54</v>
      </c>
      <c r="C57" s="111" t="str">
        <f ca="1">IFERROR(__xludf.DUMMYFUNCTION("""COMPUTED_VALUE"""),"г.о. Солнечногорск")</f>
        <v>г.о. Солнечногорск</v>
      </c>
      <c r="D57" s="111" t="str">
        <f ca="1">IFERROR(__xludf.DUMMYFUNCTION("""COMPUTED_VALUE"""),"Реконструкция ВЗУ №14  д. Новая  городского округа Солнечногорск (доукомплектация станцией очистки воды) (в т.ч. Тех.присоединение)")</f>
        <v>Реконструкция ВЗУ №14  д. Новая  городского округа Солнечногорск (доукомплектация станцией очистки воды) (в т.ч. Тех.присоединение)</v>
      </c>
      <c r="E57" s="111">
        <f ca="1">IFERROR(__xludf.DUMMYFUNCTION("""COMPUTED_VALUE"""),2021)</f>
        <v>2021</v>
      </c>
      <c r="F57" s="113">
        <f ca="1">IFERROR(__xludf.DUMMYFUNCTION("""COMPUTED_VALUE"""),0)</f>
        <v>0</v>
      </c>
      <c r="G57" s="113">
        <f ca="1">IFERROR(__xludf.DUMMYFUNCTION("""COMPUTED_VALUE"""),0)</f>
        <v>0</v>
      </c>
      <c r="H57" s="113">
        <f ca="1">IFERROR(__xludf.DUMMYFUNCTION("""COMPUTED_VALUE"""),0)</f>
        <v>0</v>
      </c>
      <c r="I57" s="111"/>
      <c r="J57" s="111">
        <f ca="1">IFERROR(__xludf.DUMMYFUNCTION("""COMPUTED_VALUE"""),0)</f>
        <v>0</v>
      </c>
      <c r="K57" s="113">
        <f ca="1">IFERROR(__xludf.DUMMYFUNCTION("""COMPUTED_VALUE"""),0)</f>
        <v>0</v>
      </c>
      <c r="L57" s="114" t="str">
        <f ca="1">IFERROR(__xludf.DUMMYFUNCTION("""COMPUTED_VALUE"""),"#DIV/0!")</f>
        <v>#DIV/0!</v>
      </c>
      <c r="M57" s="111"/>
      <c r="N57" s="111"/>
      <c r="O57" s="111"/>
      <c r="P57" s="111"/>
      <c r="Q57" s="112"/>
      <c r="R57" s="103"/>
      <c r="S57" s="103"/>
      <c r="T57" s="103"/>
      <c r="U57" s="103"/>
      <c r="V57" s="103"/>
      <c r="W57" s="103"/>
      <c r="X57" s="103"/>
      <c r="Y57" s="103"/>
      <c r="Z57" s="103"/>
      <c r="AA57" s="103"/>
    </row>
    <row r="58" spans="1:27" ht="25.5" x14ac:dyDescent="0.2">
      <c r="A58" s="110">
        <v>55</v>
      </c>
      <c r="B58" s="110" t="s">
        <v>54</v>
      </c>
      <c r="C58" s="111" t="str">
        <f ca="1">IFERROR(__xludf.DUMMYFUNCTION("""COMPUTED_VALUE"""),"г.о. Солнечногорск")</f>
        <v>г.о. Солнечногорск</v>
      </c>
      <c r="D58" s="111" t="str">
        <f ca="1">IFERROR(__xludf.DUMMYFUNCTION("""COMPUTED_VALUE"""),"Реконструкция ВЗУ №19 д. Толстяково г.о. Солнечногорск")</f>
        <v>Реконструкция ВЗУ №19 д. Толстяково г.о. Солнечногорск</v>
      </c>
      <c r="E58" s="111">
        <f ca="1">IFERROR(__xludf.DUMMYFUNCTION("""COMPUTED_VALUE"""),2022)</f>
        <v>2022</v>
      </c>
      <c r="F58" s="113">
        <f ca="1">IFERROR(__xludf.DUMMYFUNCTION("""COMPUTED_VALUE"""),0)</f>
        <v>0</v>
      </c>
      <c r="G58" s="113">
        <f ca="1">IFERROR(__xludf.DUMMYFUNCTION("""COMPUTED_VALUE"""),0)</f>
        <v>0</v>
      </c>
      <c r="H58" s="113">
        <f ca="1">IFERROR(__xludf.DUMMYFUNCTION("""COMPUTED_VALUE"""),0)</f>
        <v>0</v>
      </c>
      <c r="I58" s="111"/>
      <c r="J58" s="111">
        <f ca="1">IFERROR(__xludf.DUMMYFUNCTION("""COMPUTED_VALUE"""),0)</f>
        <v>0</v>
      </c>
      <c r="K58" s="113">
        <f ca="1">IFERROR(__xludf.DUMMYFUNCTION("""COMPUTED_VALUE"""),0)</f>
        <v>0</v>
      </c>
      <c r="L58" s="114" t="str">
        <f ca="1">IFERROR(__xludf.DUMMYFUNCTION("""COMPUTED_VALUE"""),"#DIV/0!")</f>
        <v>#DIV/0!</v>
      </c>
      <c r="M58" s="111"/>
      <c r="N58" s="111"/>
      <c r="O58" s="111"/>
      <c r="P58" s="111"/>
      <c r="Q58" s="112"/>
      <c r="R58" s="103"/>
      <c r="S58" s="103"/>
      <c r="T58" s="103"/>
      <c r="U58" s="103"/>
      <c r="V58" s="103"/>
      <c r="W58" s="103"/>
      <c r="X58" s="103"/>
      <c r="Y58" s="103"/>
      <c r="Z58" s="103"/>
      <c r="AA58" s="103"/>
    </row>
    <row r="59" spans="1:27" ht="63.75" x14ac:dyDescent="0.2">
      <c r="A59" s="110">
        <v>56</v>
      </c>
      <c r="B59" s="110" t="s">
        <v>54</v>
      </c>
      <c r="C59" s="111" t="str">
        <f ca="1">IFERROR(__xludf.DUMMYFUNCTION("""COMPUTED_VALUE"""),"г.о. Солнечногорск")</f>
        <v>г.о. Солнечногорск</v>
      </c>
      <c r="D59" s="111" t="str">
        <f ca="1">IFERROR(__xludf.DUMMYFUNCTION("""COMPUTED_VALUE"""),"Реконструкция ВЗУ №1 д.п. Поварово мкрн. Поваровка городского округа Солнечногорск (доукомплектация станцией очистки воды)")</f>
        <v>Реконструкция ВЗУ №1 д.п. Поварово мкрн. Поваровка городского округа Солнечногорск (доукомплектация станцией очистки воды)</v>
      </c>
      <c r="E59" s="111" t="str">
        <f ca="1">IFERROR(__xludf.DUMMYFUNCTION("""COMPUTED_VALUE"""),"2021-2022")</f>
        <v>2021-2022</v>
      </c>
      <c r="F59" s="113">
        <f ca="1">IFERROR(__xludf.DUMMYFUNCTION("""COMPUTED_VALUE"""),0)</f>
        <v>0</v>
      </c>
      <c r="G59" s="113">
        <f ca="1">IFERROR(__xludf.DUMMYFUNCTION("""COMPUTED_VALUE"""),0)</f>
        <v>0</v>
      </c>
      <c r="H59" s="113">
        <f ca="1">IFERROR(__xludf.DUMMYFUNCTION("""COMPUTED_VALUE"""),0)</f>
        <v>0</v>
      </c>
      <c r="I59" s="111"/>
      <c r="J59" s="111">
        <f ca="1">IFERROR(__xludf.DUMMYFUNCTION("""COMPUTED_VALUE"""),0)</f>
        <v>0</v>
      </c>
      <c r="K59" s="113">
        <f ca="1">IFERROR(__xludf.DUMMYFUNCTION("""COMPUTED_VALUE"""),0)</f>
        <v>0</v>
      </c>
      <c r="L59" s="114" t="str">
        <f ca="1">IFERROR(__xludf.DUMMYFUNCTION("""COMPUTED_VALUE"""),"#DIV/0!")</f>
        <v>#DIV/0!</v>
      </c>
      <c r="M59" s="111"/>
      <c r="N59" s="111"/>
      <c r="O59" s="111"/>
      <c r="P59" s="111"/>
      <c r="Q59" s="112"/>
      <c r="R59" s="103"/>
      <c r="S59" s="103"/>
      <c r="T59" s="103"/>
      <c r="U59" s="103"/>
      <c r="V59" s="103"/>
      <c r="W59" s="103"/>
      <c r="X59" s="103"/>
      <c r="Y59" s="103"/>
      <c r="Z59" s="103"/>
      <c r="AA59" s="103"/>
    </row>
    <row r="60" spans="1:27" ht="38.25" x14ac:dyDescent="0.2">
      <c r="A60" s="110">
        <v>57</v>
      </c>
      <c r="B60" s="110" t="s">
        <v>54</v>
      </c>
      <c r="C60" s="111" t="str">
        <f ca="1">IFERROR(__xludf.DUMMYFUNCTION("""COMPUTED_VALUE"""),"г.о. Дмитровский")</f>
        <v>г.о. Дмитровский</v>
      </c>
      <c r="D60" s="111" t="str">
        <f ca="1">IFERROR(__xludf.DUMMYFUNCTION("""COMPUTED_VALUE"""),"Реконструкция ВЗУ №3 п. Деденево, ул. Набережная, г.о. Дмтровский")</f>
        <v>Реконструкция ВЗУ №3 п. Деденево, ул. Набережная, г.о. Дмтровский</v>
      </c>
      <c r="E60" s="111" t="str">
        <f ca="1">IFERROR(__xludf.DUMMYFUNCTION("""COMPUTED_VALUE"""),"Н/Л")</f>
        <v>Н/Л</v>
      </c>
      <c r="F60" s="113">
        <f ca="1">IFERROR(__xludf.DUMMYFUNCTION("""COMPUTED_VALUE"""),0)</f>
        <v>0</v>
      </c>
      <c r="G60" s="113">
        <f ca="1">IFERROR(__xludf.DUMMYFUNCTION("""COMPUTED_VALUE"""),0)</f>
        <v>0</v>
      </c>
      <c r="H60" s="113">
        <f ca="1">IFERROR(__xludf.DUMMYFUNCTION("""COMPUTED_VALUE"""),0)</f>
        <v>0</v>
      </c>
      <c r="I60" s="111"/>
      <c r="J60" s="111">
        <f ca="1">IFERROR(__xludf.DUMMYFUNCTION("""COMPUTED_VALUE"""),0)</f>
        <v>0</v>
      </c>
      <c r="K60" s="113">
        <f ca="1">IFERROR(__xludf.DUMMYFUNCTION("""COMPUTED_VALUE"""),0)</f>
        <v>0</v>
      </c>
      <c r="L60" s="114" t="str">
        <f ca="1">IFERROR(__xludf.DUMMYFUNCTION("""COMPUTED_VALUE"""),"#DIV/0!")</f>
        <v>#DIV/0!</v>
      </c>
      <c r="M60" s="111"/>
      <c r="N60" s="111"/>
      <c r="O60" s="111"/>
      <c r="P60" s="111"/>
      <c r="Q60" s="112"/>
      <c r="R60" s="103"/>
      <c r="S60" s="103"/>
      <c r="T60" s="103"/>
      <c r="U60" s="103"/>
      <c r="V60" s="103"/>
      <c r="W60" s="103"/>
      <c r="X60" s="103"/>
      <c r="Y60" s="103"/>
      <c r="Z60" s="103"/>
      <c r="AA60" s="103"/>
    </row>
    <row r="61" spans="1:27" ht="25.5" x14ac:dyDescent="0.2">
      <c r="A61" s="110">
        <v>58</v>
      </c>
      <c r="B61" s="110" t="s">
        <v>54</v>
      </c>
      <c r="C61" s="111" t="str">
        <f ca="1">IFERROR(__xludf.DUMMYFUNCTION("""COMPUTED_VALUE"""),"г.о. Дмитровский")</f>
        <v>г.о. Дмитровский</v>
      </c>
      <c r="D61" s="111" t="str">
        <f ca="1">IFERROR(__xludf.DUMMYFUNCTION("""COMPUTED_VALUE"""),"Реконструкция ВЗУ№1 г. Яхрома, ул. Рабочая; Дмитровский г.о")</f>
        <v>Реконструкция ВЗУ№1 г. Яхрома, ул. Рабочая; Дмитровский г.о</v>
      </c>
      <c r="E61" s="111">
        <f ca="1">IFERROR(__xludf.DUMMYFUNCTION("""COMPUTED_VALUE"""),2023)</f>
        <v>2023</v>
      </c>
      <c r="F61" s="113">
        <f ca="1">IFERROR(__xludf.DUMMYFUNCTION("""COMPUTED_VALUE"""),0)</f>
        <v>0</v>
      </c>
      <c r="G61" s="113">
        <f ca="1">IFERROR(__xludf.DUMMYFUNCTION("""COMPUTED_VALUE"""),0)</f>
        <v>0</v>
      </c>
      <c r="H61" s="113">
        <f ca="1">IFERROR(__xludf.DUMMYFUNCTION("""COMPUTED_VALUE"""),0)</f>
        <v>0</v>
      </c>
      <c r="I61" s="111"/>
      <c r="J61" s="111">
        <f ca="1">IFERROR(__xludf.DUMMYFUNCTION("""COMPUTED_VALUE"""),0)</f>
        <v>0</v>
      </c>
      <c r="K61" s="113">
        <f ca="1">IFERROR(__xludf.DUMMYFUNCTION("""COMPUTED_VALUE"""),0)</f>
        <v>0</v>
      </c>
      <c r="L61" s="114" t="str">
        <f ca="1">IFERROR(__xludf.DUMMYFUNCTION("""COMPUTED_VALUE"""),"#DIV/0!")</f>
        <v>#DIV/0!</v>
      </c>
      <c r="M61" s="111"/>
      <c r="N61" s="111"/>
      <c r="O61" s="111"/>
      <c r="P61" s="111"/>
      <c r="Q61" s="112"/>
      <c r="R61" s="103"/>
      <c r="S61" s="103"/>
      <c r="T61" s="103"/>
      <c r="U61" s="103"/>
      <c r="V61" s="103"/>
      <c r="W61" s="103"/>
      <c r="X61" s="103"/>
      <c r="Y61" s="103"/>
      <c r="Z61" s="103"/>
      <c r="AA61" s="103"/>
    </row>
    <row r="62" spans="1:27" ht="25.5" x14ac:dyDescent="0.2">
      <c r="A62" s="110">
        <v>59</v>
      </c>
      <c r="B62" s="110" t="s">
        <v>54</v>
      </c>
      <c r="C62" s="111" t="str">
        <f ca="1">IFERROR(__xludf.DUMMYFUNCTION("""COMPUTED_VALUE"""),"г.о. Дмитровский")</f>
        <v>г.о. Дмитровский</v>
      </c>
      <c r="D62" s="111" t="str">
        <f ca="1">IFERROR(__xludf.DUMMYFUNCTION("""COMPUTED_VALUE"""),"Реконструкция ВЗУ  п. Орево   г.о.")</f>
        <v>Реконструкция ВЗУ  п. Орево   г.о.</v>
      </c>
      <c r="E62" s="111">
        <f ca="1">IFERROR(__xludf.DUMMYFUNCTION("""COMPUTED_VALUE"""),2023)</f>
        <v>2023</v>
      </c>
      <c r="F62" s="113">
        <f ca="1">IFERROR(__xludf.DUMMYFUNCTION("""COMPUTED_VALUE"""),0)</f>
        <v>0</v>
      </c>
      <c r="G62" s="113">
        <f ca="1">IFERROR(__xludf.DUMMYFUNCTION("""COMPUTED_VALUE"""),0)</f>
        <v>0</v>
      </c>
      <c r="H62" s="113">
        <f ca="1">IFERROR(__xludf.DUMMYFUNCTION("""COMPUTED_VALUE"""),0)</f>
        <v>0</v>
      </c>
      <c r="I62" s="111"/>
      <c r="J62" s="111">
        <f ca="1">IFERROR(__xludf.DUMMYFUNCTION("""COMPUTED_VALUE"""),0)</f>
        <v>0</v>
      </c>
      <c r="K62" s="113">
        <f ca="1">IFERROR(__xludf.DUMMYFUNCTION("""COMPUTED_VALUE"""),0)</f>
        <v>0</v>
      </c>
      <c r="L62" s="114" t="str">
        <f ca="1">IFERROR(__xludf.DUMMYFUNCTION("""COMPUTED_VALUE"""),"#DIV/0!")</f>
        <v>#DIV/0!</v>
      </c>
      <c r="M62" s="111"/>
      <c r="N62" s="111"/>
      <c r="O62" s="111"/>
      <c r="P62" s="111"/>
      <c r="Q62" s="112"/>
      <c r="R62" s="103"/>
      <c r="S62" s="103"/>
      <c r="T62" s="103"/>
      <c r="U62" s="103"/>
      <c r="V62" s="103"/>
      <c r="W62" s="103"/>
      <c r="X62" s="103"/>
      <c r="Y62" s="103"/>
      <c r="Z62" s="103"/>
      <c r="AA62" s="103"/>
    </row>
    <row r="63" spans="1:27" ht="25.5" x14ac:dyDescent="0.2">
      <c r="A63" s="110">
        <v>60</v>
      </c>
      <c r="B63" s="110" t="s">
        <v>54</v>
      </c>
      <c r="C63" s="111" t="str">
        <f ca="1">IFERROR(__xludf.DUMMYFUNCTION("""COMPUTED_VALUE"""),"г.о. Дмитровский")</f>
        <v>г.о. Дмитровский</v>
      </c>
      <c r="D63" s="111" t="str">
        <f ca="1">IFERROR(__xludf.DUMMYFUNCTION("""COMPUTED_VALUE"""),"Реконструкция ВЗУп. Насадкино г.о. Дмтровский")</f>
        <v>Реконструкция ВЗУп. Насадкино г.о. Дмтровский</v>
      </c>
      <c r="E63" s="111" t="str">
        <f ca="1">IFERROR(__xludf.DUMMYFUNCTION("""COMPUTED_VALUE"""),"Н/Л")</f>
        <v>Н/Л</v>
      </c>
      <c r="F63" s="113">
        <f ca="1">IFERROR(__xludf.DUMMYFUNCTION("""COMPUTED_VALUE"""),0)</f>
        <v>0</v>
      </c>
      <c r="G63" s="113">
        <f ca="1">IFERROR(__xludf.DUMMYFUNCTION("""COMPUTED_VALUE"""),0)</f>
        <v>0</v>
      </c>
      <c r="H63" s="113">
        <f ca="1">IFERROR(__xludf.DUMMYFUNCTION("""COMPUTED_VALUE"""),0)</f>
        <v>0</v>
      </c>
      <c r="I63" s="111"/>
      <c r="J63" s="111">
        <f ca="1">IFERROR(__xludf.DUMMYFUNCTION("""COMPUTED_VALUE"""),0)</f>
        <v>0</v>
      </c>
      <c r="K63" s="113">
        <f ca="1">IFERROR(__xludf.DUMMYFUNCTION("""COMPUTED_VALUE"""),0)</f>
        <v>0</v>
      </c>
      <c r="L63" s="114" t="str">
        <f ca="1">IFERROR(__xludf.DUMMYFUNCTION("""COMPUTED_VALUE"""),"#DIV/0!")</f>
        <v>#DIV/0!</v>
      </c>
      <c r="M63" s="111"/>
      <c r="N63" s="111"/>
      <c r="O63" s="111"/>
      <c r="P63" s="111"/>
      <c r="Q63" s="112"/>
      <c r="R63" s="103"/>
      <c r="S63" s="103"/>
      <c r="T63" s="103"/>
      <c r="U63" s="103"/>
      <c r="V63" s="103"/>
      <c r="W63" s="103"/>
      <c r="X63" s="103"/>
      <c r="Y63" s="103"/>
      <c r="Z63" s="103"/>
      <c r="AA63" s="103"/>
    </row>
    <row r="64" spans="1:27" ht="25.5" x14ac:dyDescent="0.2">
      <c r="A64" s="110">
        <v>61</v>
      </c>
      <c r="B64" s="110" t="s">
        <v>54</v>
      </c>
      <c r="C64" s="111" t="str">
        <f ca="1">IFERROR(__xludf.DUMMYFUNCTION("""COMPUTED_VALUE"""),"г.о. Дмитровский")</f>
        <v>г.о. Дмитровский</v>
      </c>
      <c r="D64" s="111" t="str">
        <f ca="1">IFERROR(__xludf.DUMMYFUNCTION("""COMPUTED_VALUE"""),"Реконструкция ВЗУ д. Бунятино г.о. Дмтровский")</f>
        <v>Реконструкция ВЗУ д. Бунятино г.о. Дмтровский</v>
      </c>
      <c r="E64" s="111" t="str">
        <f ca="1">IFERROR(__xludf.DUMMYFUNCTION("""COMPUTED_VALUE"""),"Н/Л")</f>
        <v>Н/Л</v>
      </c>
      <c r="F64" s="113">
        <f ca="1">IFERROR(__xludf.DUMMYFUNCTION("""COMPUTED_VALUE"""),0)</f>
        <v>0</v>
      </c>
      <c r="G64" s="113">
        <f ca="1">IFERROR(__xludf.DUMMYFUNCTION("""COMPUTED_VALUE"""),0)</f>
        <v>0</v>
      </c>
      <c r="H64" s="113">
        <f ca="1">IFERROR(__xludf.DUMMYFUNCTION("""COMPUTED_VALUE"""),0)</f>
        <v>0</v>
      </c>
      <c r="I64" s="111"/>
      <c r="J64" s="111">
        <f ca="1">IFERROR(__xludf.DUMMYFUNCTION("""COMPUTED_VALUE"""),0)</f>
        <v>0</v>
      </c>
      <c r="K64" s="113">
        <f ca="1">IFERROR(__xludf.DUMMYFUNCTION("""COMPUTED_VALUE"""),0)</f>
        <v>0</v>
      </c>
      <c r="L64" s="114" t="str">
        <f ca="1">IFERROR(__xludf.DUMMYFUNCTION("""COMPUTED_VALUE"""),"#DIV/0!")</f>
        <v>#DIV/0!</v>
      </c>
      <c r="M64" s="111"/>
      <c r="N64" s="111"/>
      <c r="O64" s="111"/>
      <c r="P64" s="111"/>
      <c r="Q64" s="112"/>
      <c r="R64" s="103"/>
      <c r="S64" s="103"/>
      <c r="T64" s="103"/>
      <c r="U64" s="103"/>
      <c r="V64" s="103"/>
      <c r="W64" s="103"/>
      <c r="X64" s="103"/>
      <c r="Y64" s="103"/>
      <c r="Z64" s="103"/>
      <c r="AA64" s="103"/>
    </row>
    <row r="65" spans="1:27" ht="25.5" x14ac:dyDescent="0.2">
      <c r="A65" s="110">
        <v>62</v>
      </c>
      <c r="B65" s="110" t="s">
        <v>54</v>
      </c>
      <c r="C65" s="111" t="str">
        <f ca="1">IFERROR(__xludf.DUMMYFUNCTION("""COMPUTED_VALUE"""),"г.о. Талдомский")</f>
        <v>г.о. Талдомский</v>
      </c>
      <c r="D65" s="111" t="str">
        <f ca="1">IFERROR(__xludf.DUMMYFUNCTION("""COMPUTED_VALUE"""),"Реконструкция ВЗУ д. Юркино Талдомский г.о.")</f>
        <v>Реконструкция ВЗУ д. Юркино Талдомский г.о.</v>
      </c>
      <c r="E65" s="111">
        <f ca="1">IFERROR(__xludf.DUMMYFUNCTION("""COMPUTED_VALUE"""),2023)</f>
        <v>2023</v>
      </c>
      <c r="F65" s="113">
        <f ca="1">IFERROR(__xludf.DUMMYFUNCTION("""COMPUTED_VALUE"""),0)</f>
        <v>0</v>
      </c>
      <c r="G65" s="113">
        <f ca="1">IFERROR(__xludf.DUMMYFUNCTION("""COMPUTED_VALUE"""),0)</f>
        <v>0</v>
      </c>
      <c r="H65" s="113">
        <f ca="1">IFERROR(__xludf.DUMMYFUNCTION("""COMPUTED_VALUE"""),0)</f>
        <v>0</v>
      </c>
      <c r="I65" s="111"/>
      <c r="J65" s="111">
        <f ca="1">IFERROR(__xludf.DUMMYFUNCTION("""COMPUTED_VALUE"""),0)</f>
        <v>0</v>
      </c>
      <c r="K65" s="113">
        <f ca="1">IFERROR(__xludf.DUMMYFUNCTION("""COMPUTED_VALUE"""),0)</f>
        <v>0</v>
      </c>
      <c r="L65" s="114" t="str">
        <f ca="1">IFERROR(__xludf.DUMMYFUNCTION("""COMPUTED_VALUE"""),"#DIV/0!")</f>
        <v>#DIV/0!</v>
      </c>
      <c r="M65" s="111"/>
      <c r="N65" s="111"/>
      <c r="O65" s="111"/>
      <c r="P65" s="111"/>
      <c r="Q65" s="112"/>
      <c r="R65" s="103"/>
      <c r="S65" s="103"/>
      <c r="T65" s="103"/>
      <c r="U65" s="103"/>
      <c r="V65" s="103"/>
      <c r="W65" s="103"/>
      <c r="X65" s="103"/>
      <c r="Y65" s="103"/>
      <c r="Z65" s="103"/>
      <c r="AA65" s="103"/>
    </row>
    <row r="66" spans="1:27" ht="25.5" x14ac:dyDescent="0.2">
      <c r="A66" s="110">
        <v>63</v>
      </c>
      <c r="B66" s="110" t="s">
        <v>54</v>
      </c>
      <c r="C66" s="111" t="str">
        <f ca="1">IFERROR(__xludf.DUMMYFUNCTION("""COMPUTED_VALUE"""),"г.о. Талдомский")</f>
        <v>г.о. Талдомский</v>
      </c>
      <c r="D66" s="111" t="str">
        <f ca="1">IFERROR(__xludf.DUMMYFUNCTION("""COMPUTED_VALUE"""),"Реконструкция ВЗУ Павловичи г.о. Талдомский")</f>
        <v>Реконструкция ВЗУ Павловичи г.о. Талдомский</v>
      </c>
      <c r="E66" s="111">
        <f ca="1">IFERROR(__xludf.DUMMYFUNCTION("""COMPUTED_VALUE"""),2022)</f>
        <v>2022</v>
      </c>
      <c r="F66" s="113">
        <f ca="1">IFERROR(__xludf.DUMMYFUNCTION("""COMPUTED_VALUE"""),0)</f>
        <v>0</v>
      </c>
      <c r="G66" s="113">
        <f ca="1">IFERROR(__xludf.DUMMYFUNCTION("""COMPUTED_VALUE"""),0)</f>
        <v>0</v>
      </c>
      <c r="H66" s="113">
        <f ca="1">IFERROR(__xludf.DUMMYFUNCTION("""COMPUTED_VALUE"""),0)</f>
        <v>0</v>
      </c>
      <c r="I66" s="111"/>
      <c r="J66" s="111">
        <f ca="1">IFERROR(__xludf.DUMMYFUNCTION("""COMPUTED_VALUE"""),0)</f>
        <v>0</v>
      </c>
      <c r="K66" s="113">
        <f ca="1">IFERROR(__xludf.DUMMYFUNCTION("""COMPUTED_VALUE"""),0)</f>
        <v>0</v>
      </c>
      <c r="L66" s="114" t="str">
        <f ca="1">IFERROR(__xludf.DUMMYFUNCTION("""COMPUTED_VALUE"""),"#DIV/0!")</f>
        <v>#DIV/0!</v>
      </c>
      <c r="M66" s="111"/>
      <c r="N66" s="111"/>
      <c r="O66" s="111"/>
      <c r="P66" s="111"/>
      <c r="Q66" s="112"/>
      <c r="R66" s="103"/>
      <c r="S66" s="103"/>
      <c r="T66" s="103"/>
      <c r="U66" s="103"/>
      <c r="V66" s="103"/>
      <c r="W66" s="103"/>
      <c r="X66" s="103"/>
      <c r="Y66" s="103"/>
      <c r="Z66" s="103"/>
      <c r="AA66" s="103"/>
    </row>
    <row r="67" spans="1:27" ht="38.25" x14ac:dyDescent="0.2">
      <c r="A67" s="110">
        <v>64</v>
      </c>
      <c r="B67" s="110" t="s">
        <v>54</v>
      </c>
      <c r="C67" s="111" t="str">
        <f ca="1">IFERROR(__xludf.DUMMYFUNCTION("""COMPUTED_VALUE"""),"г.о. Волоколамский")</f>
        <v>г.о. Волоколамский</v>
      </c>
      <c r="D67" s="111" t="str">
        <f ca="1">IFERROR(__xludf.DUMMYFUNCTION("""COMPUTED_VALUE"""),"Строительство ВЗУ №8 г. Волоколамск, ул. Мелиораторов, Волоколамский г.о.")</f>
        <v>Строительство ВЗУ №8 г. Волоколамск, ул. Мелиораторов, Волоколамский г.о.</v>
      </c>
      <c r="E67" s="111">
        <f ca="1">IFERROR(__xludf.DUMMYFUNCTION("""COMPUTED_VALUE"""),2022)</f>
        <v>2022</v>
      </c>
      <c r="F67" s="113">
        <f ca="1">IFERROR(__xludf.DUMMYFUNCTION("""COMPUTED_VALUE"""),0)</f>
        <v>0</v>
      </c>
      <c r="G67" s="113">
        <f ca="1">IFERROR(__xludf.DUMMYFUNCTION("""COMPUTED_VALUE"""),0)</f>
        <v>0</v>
      </c>
      <c r="H67" s="113">
        <f ca="1">IFERROR(__xludf.DUMMYFUNCTION("""COMPUTED_VALUE"""),0)</f>
        <v>0</v>
      </c>
      <c r="I67" s="111"/>
      <c r="J67" s="111">
        <f ca="1">IFERROR(__xludf.DUMMYFUNCTION("""COMPUTED_VALUE"""),0)</f>
        <v>0</v>
      </c>
      <c r="K67" s="113">
        <f ca="1">IFERROR(__xludf.DUMMYFUNCTION("""COMPUTED_VALUE"""),0)</f>
        <v>0</v>
      </c>
      <c r="L67" s="114" t="str">
        <f ca="1">IFERROR(__xludf.DUMMYFUNCTION("""COMPUTED_VALUE"""),"#DIV/0!")</f>
        <v>#DIV/0!</v>
      </c>
      <c r="M67" s="111"/>
      <c r="N67" s="111"/>
      <c r="O67" s="111"/>
      <c r="P67" s="111"/>
      <c r="Q67" s="112"/>
      <c r="R67" s="103"/>
      <c r="S67" s="103"/>
      <c r="T67" s="103"/>
      <c r="U67" s="103"/>
      <c r="V67" s="103"/>
      <c r="W67" s="103"/>
      <c r="X67" s="103"/>
      <c r="Y67" s="103"/>
      <c r="Z67" s="103"/>
      <c r="AA67" s="103"/>
    </row>
    <row r="68" spans="1:27" ht="38.25" x14ac:dyDescent="0.2">
      <c r="A68" s="110">
        <v>65</v>
      </c>
      <c r="B68" s="110" t="s">
        <v>54</v>
      </c>
      <c r="C68" s="111" t="str">
        <f ca="1">IFERROR(__xludf.DUMMYFUNCTION("""COMPUTED_VALUE"""),"г.о. Волоколамский")</f>
        <v>г.о. Волоколамский</v>
      </c>
      <c r="D68" s="111" t="str">
        <f ca="1">IFERROR(__xludf.DUMMYFUNCTION("""COMPUTED_VALUE"""),"Реконструкция ВЗУ №14 г. Волоколамск,  ул. Лесная, Волоколамский г.о.")</f>
        <v>Реконструкция ВЗУ №14 г. Волоколамск,  ул. Лесная, Волоколамский г.о.</v>
      </c>
      <c r="E68" s="111">
        <f ca="1">IFERROR(__xludf.DUMMYFUNCTION("""COMPUTED_VALUE"""),2022)</f>
        <v>2022</v>
      </c>
      <c r="F68" s="113">
        <f ca="1">IFERROR(__xludf.DUMMYFUNCTION("""COMPUTED_VALUE"""),0)</f>
        <v>0</v>
      </c>
      <c r="G68" s="113">
        <f ca="1">IFERROR(__xludf.DUMMYFUNCTION("""COMPUTED_VALUE"""),0)</f>
        <v>0</v>
      </c>
      <c r="H68" s="113">
        <f ca="1">IFERROR(__xludf.DUMMYFUNCTION("""COMPUTED_VALUE"""),0)</f>
        <v>0</v>
      </c>
      <c r="I68" s="111"/>
      <c r="J68" s="111">
        <f ca="1">IFERROR(__xludf.DUMMYFUNCTION("""COMPUTED_VALUE"""),0)</f>
        <v>0</v>
      </c>
      <c r="K68" s="113">
        <f ca="1">IFERROR(__xludf.DUMMYFUNCTION("""COMPUTED_VALUE"""),0)</f>
        <v>0</v>
      </c>
      <c r="L68" s="114" t="str">
        <f ca="1">IFERROR(__xludf.DUMMYFUNCTION("""COMPUTED_VALUE"""),"#DIV/0!")</f>
        <v>#DIV/0!</v>
      </c>
      <c r="M68" s="111"/>
      <c r="N68" s="111"/>
      <c r="O68" s="111"/>
      <c r="P68" s="111"/>
      <c r="Q68" s="112"/>
      <c r="R68" s="103"/>
      <c r="S68" s="103"/>
      <c r="T68" s="103"/>
      <c r="U68" s="103"/>
      <c r="V68" s="103"/>
      <c r="W68" s="103"/>
      <c r="X68" s="103"/>
      <c r="Y68" s="103"/>
      <c r="Z68" s="103"/>
      <c r="AA68" s="103"/>
    </row>
    <row r="69" spans="1:27" ht="38.25" x14ac:dyDescent="0.2">
      <c r="A69" s="110">
        <v>66</v>
      </c>
      <c r="B69" s="110" t="s">
        <v>54</v>
      </c>
      <c r="C69" s="111" t="str">
        <f ca="1">IFERROR(__xludf.DUMMYFUNCTION("""COMPUTED_VALUE"""),"г.о. Наро-Фоминск")</f>
        <v>г.о. Наро-Фоминск</v>
      </c>
      <c r="D69" s="111" t="str">
        <f ca="1">IFERROR(__xludf.DUMMYFUNCTION("""COMPUTED_VALUE"""),"Реконструкция ВЗУ-442 г. Верея, проезд. Ленинский, Наро-Фоминский г.о.")</f>
        <v>Реконструкция ВЗУ-442 г. Верея, проезд. Ленинский, Наро-Фоминский г.о.</v>
      </c>
      <c r="E69" s="111" t="str">
        <f ca="1">IFERROR(__xludf.DUMMYFUNCTION("""COMPUTED_VALUE"""),"Н/Л")</f>
        <v>Н/Л</v>
      </c>
      <c r="F69" s="113">
        <f ca="1">IFERROR(__xludf.DUMMYFUNCTION("""COMPUTED_VALUE"""),0)</f>
        <v>0</v>
      </c>
      <c r="G69" s="113">
        <f ca="1">IFERROR(__xludf.DUMMYFUNCTION("""COMPUTED_VALUE"""),0)</f>
        <v>0</v>
      </c>
      <c r="H69" s="113">
        <f ca="1">IFERROR(__xludf.DUMMYFUNCTION("""COMPUTED_VALUE"""),0)</f>
        <v>0</v>
      </c>
      <c r="I69" s="111"/>
      <c r="J69" s="111">
        <f ca="1">IFERROR(__xludf.DUMMYFUNCTION("""COMPUTED_VALUE"""),0)</f>
        <v>0</v>
      </c>
      <c r="K69" s="113">
        <f ca="1">IFERROR(__xludf.DUMMYFUNCTION("""COMPUTED_VALUE"""),0)</f>
        <v>0</v>
      </c>
      <c r="L69" s="114" t="str">
        <f ca="1">IFERROR(__xludf.DUMMYFUNCTION("""COMPUTED_VALUE"""),"#DIV/0!")</f>
        <v>#DIV/0!</v>
      </c>
      <c r="M69" s="111"/>
      <c r="N69" s="111"/>
      <c r="O69" s="111"/>
      <c r="P69" s="111"/>
      <c r="Q69" s="112"/>
      <c r="R69" s="103"/>
      <c r="S69" s="103"/>
      <c r="T69" s="103"/>
      <c r="U69" s="103"/>
      <c r="V69" s="103"/>
      <c r="W69" s="103"/>
      <c r="X69" s="103"/>
      <c r="Y69" s="103"/>
      <c r="Z69" s="103"/>
      <c r="AA69" s="103"/>
    </row>
    <row r="70" spans="1:27" ht="25.5" x14ac:dyDescent="0.2">
      <c r="A70" s="110">
        <v>67</v>
      </c>
      <c r="B70" s="110" t="s">
        <v>54</v>
      </c>
      <c r="C70" s="111" t="str">
        <f ca="1">IFERROR(__xludf.DUMMYFUNCTION("""COMPUTED_VALUE"""),"г.о. Ленинский")</f>
        <v>г.о. Ленинский</v>
      </c>
      <c r="D70" s="111" t="str">
        <f ca="1">IFERROR(__xludf.DUMMYFUNCTION("""COMPUTED_VALUE"""),"Реконструкция ВЗУ-11пгт. Горки Ленинские, Ленинский г.о.")</f>
        <v>Реконструкция ВЗУ-11пгт. Горки Ленинские, Ленинский г.о.</v>
      </c>
      <c r="E70" s="111" t="str">
        <f ca="1">IFERROR(__xludf.DUMMYFUNCTION("""COMPUTED_VALUE"""),"Н/Л")</f>
        <v>Н/Л</v>
      </c>
      <c r="F70" s="113">
        <f ca="1">IFERROR(__xludf.DUMMYFUNCTION("""COMPUTED_VALUE"""),0)</f>
        <v>0</v>
      </c>
      <c r="G70" s="113">
        <f ca="1">IFERROR(__xludf.DUMMYFUNCTION("""COMPUTED_VALUE"""),0)</f>
        <v>0</v>
      </c>
      <c r="H70" s="113">
        <f ca="1">IFERROR(__xludf.DUMMYFUNCTION("""COMPUTED_VALUE"""),0)</f>
        <v>0</v>
      </c>
      <c r="I70" s="111"/>
      <c r="J70" s="111">
        <f ca="1">IFERROR(__xludf.DUMMYFUNCTION("""COMPUTED_VALUE"""),0)</f>
        <v>0</v>
      </c>
      <c r="K70" s="113">
        <f ca="1">IFERROR(__xludf.DUMMYFUNCTION("""COMPUTED_VALUE"""),0)</f>
        <v>0</v>
      </c>
      <c r="L70" s="114" t="str">
        <f ca="1">IFERROR(__xludf.DUMMYFUNCTION("""COMPUTED_VALUE"""),"#DIV/0!")</f>
        <v>#DIV/0!</v>
      </c>
      <c r="M70" s="111"/>
      <c r="N70" s="111"/>
      <c r="O70" s="111"/>
      <c r="P70" s="111"/>
      <c r="Q70" s="112"/>
      <c r="R70" s="103"/>
      <c r="S70" s="103"/>
      <c r="T70" s="103"/>
      <c r="U70" s="103"/>
      <c r="V70" s="103"/>
      <c r="W70" s="103"/>
      <c r="X70" s="103"/>
      <c r="Y70" s="103"/>
      <c r="Z70" s="103"/>
      <c r="AA70" s="103"/>
    </row>
    <row r="71" spans="1:27" ht="38.25" x14ac:dyDescent="0.2">
      <c r="A71" s="110">
        <v>68</v>
      </c>
      <c r="B71" s="110" t="s">
        <v>54</v>
      </c>
      <c r="C71" s="111" t="str">
        <f ca="1">IFERROR(__xludf.DUMMYFUNCTION("""COMPUTED_VALUE"""),"г.о. Ленинский")</f>
        <v>г.о. Ленинский</v>
      </c>
      <c r="D71" s="111" t="str">
        <f ca="1">IFERROR(__xludf.DUMMYFUNCTION("""COMPUTED_VALUE"""),"Реконструкция ВЗУ-18 с/п. Молоковское, с. Остров, ул. Центральная, Ленинский г.о.")</f>
        <v>Реконструкция ВЗУ-18 с/п. Молоковское, с. Остров, ул. Центральная, Ленинский г.о.</v>
      </c>
      <c r="E71" s="111" t="str">
        <f ca="1">IFERROR(__xludf.DUMMYFUNCTION("""COMPUTED_VALUE"""),"Н/Л")</f>
        <v>Н/Л</v>
      </c>
      <c r="F71" s="113">
        <f ca="1">IFERROR(__xludf.DUMMYFUNCTION("""COMPUTED_VALUE"""),0)</f>
        <v>0</v>
      </c>
      <c r="G71" s="113">
        <f ca="1">IFERROR(__xludf.DUMMYFUNCTION("""COMPUTED_VALUE"""),0)</f>
        <v>0</v>
      </c>
      <c r="H71" s="113">
        <f ca="1">IFERROR(__xludf.DUMMYFUNCTION("""COMPUTED_VALUE"""),0)</f>
        <v>0</v>
      </c>
      <c r="I71" s="111"/>
      <c r="J71" s="111">
        <f ca="1">IFERROR(__xludf.DUMMYFUNCTION("""COMPUTED_VALUE"""),0)</f>
        <v>0</v>
      </c>
      <c r="K71" s="113">
        <f ca="1">IFERROR(__xludf.DUMMYFUNCTION("""COMPUTED_VALUE"""),0)</f>
        <v>0</v>
      </c>
      <c r="L71" s="114" t="str">
        <f ca="1">IFERROR(__xludf.DUMMYFUNCTION("""COMPUTED_VALUE"""),"#DIV/0!")</f>
        <v>#DIV/0!</v>
      </c>
      <c r="M71" s="111"/>
      <c r="N71" s="111"/>
      <c r="O71" s="111"/>
      <c r="P71" s="111"/>
      <c r="Q71" s="112"/>
      <c r="R71" s="103"/>
      <c r="S71" s="103"/>
      <c r="T71" s="103"/>
      <c r="U71" s="103"/>
      <c r="V71" s="103"/>
      <c r="W71" s="103"/>
      <c r="X71" s="103"/>
      <c r="Y71" s="103"/>
      <c r="Z71" s="103"/>
      <c r="AA71" s="103"/>
    </row>
    <row r="72" spans="1:27" ht="25.5" x14ac:dyDescent="0.2">
      <c r="A72" s="110">
        <v>69</v>
      </c>
      <c r="B72" s="110" t="s">
        <v>54</v>
      </c>
      <c r="C72" s="111" t="str">
        <f ca="1">IFERROR(__xludf.DUMMYFUNCTION("""COMPUTED_VALUE"""),"г.о. Ленинский")</f>
        <v>г.о. Ленинский</v>
      </c>
      <c r="D72" s="111" t="str">
        <f ca="1">IFERROR(__xludf.DUMMYFUNCTION("""COMPUTED_VALUE"""),"Реконструкция ВЗУ-15 с/п. Молоковское,  Ленинский г.о.")</f>
        <v>Реконструкция ВЗУ-15 с/п. Молоковское,  Ленинский г.о.</v>
      </c>
      <c r="E72" s="111">
        <f ca="1">IFERROR(__xludf.DUMMYFUNCTION("""COMPUTED_VALUE"""),2022)</f>
        <v>2022</v>
      </c>
      <c r="F72" s="113">
        <f ca="1">IFERROR(__xludf.DUMMYFUNCTION("""COMPUTED_VALUE"""),0)</f>
        <v>0</v>
      </c>
      <c r="G72" s="113">
        <f ca="1">IFERROR(__xludf.DUMMYFUNCTION("""COMPUTED_VALUE"""),0)</f>
        <v>0</v>
      </c>
      <c r="H72" s="113">
        <f ca="1">IFERROR(__xludf.DUMMYFUNCTION("""COMPUTED_VALUE"""),0)</f>
        <v>0</v>
      </c>
      <c r="I72" s="111"/>
      <c r="J72" s="111">
        <f ca="1">IFERROR(__xludf.DUMMYFUNCTION("""COMPUTED_VALUE"""),0)</f>
        <v>0</v>
      </c>
      <c r="K72" s="113">
        <f ca="1">IFERROR(__xludf.DUMMYFUNCTION("""COMPUTED_VALUE"""),0)</f>
        <v>0</v>
      </c>
      <c r="L72" s="114" t="str">
        <f ca="1">IFERROR(__xludf.DUMMYFUNCTION("""COMPUTED_VALUE"""),"#DIV/0!")</f>
        <v>#DIV/0!</v>
      </c>
      <c r="M72" s="111"/>
      <c r="N72" s="111"/>
      <c r="O72" s="111"/>
      <c r="P72" s="111"/>
      <c r="Q72" s="112"/>
      <c r="R72" s="103"/>
      <c r="S72" s="103"/>
      <c r="T72" s="103"/>
      <c r="U72" s="103"/>
      <c r="V72" s="103"/>
      <c r="W72" s="103"/>
      <c r="X72" s="103"/>
      <c r="Y72" s="103"/>
      <c r="Z72" s="103"/>
      <c r="AA72" s="103"/>
    </row>
    <row r="73" spans="1:27" ht="76.5" x14ac:dyDescent="0.2">
      <c r="A73" s="110">
        <v>70</v>
      </c>
      <c r="B73" s="110" t="s">
        <v>54</v>
      </c>
      <c r="C73" s="111" t="str">
        <f ca="1">IFERROR(__xludf.DUMMYFUNCTION("""COMPUTED_VALUE"""),"г.о. Ленинский")</f>
        <v>г.о. Ленинский</v>
      </c>
      <c r="D73" s="111" t="str">
        <f ca="1">IFERROR(__xludf.DUMMYFUNCTION("""COMPUTED_VALUE"""),"Строительство водозаборного узла в д. Дроздово сельского поселения Развилковское Ленинского муниципального района Московской области")</f>
        <v>Строительство водозаборного узла в д. Дроздово сельского поселения Развилковское Ленинского муниципального района Московской области</v>
      </c>
      <c r="E73" s="111" t="str">
        <f ca="1">IFERROR(__xludf.DUMMYFUNCTION("""COMPUTED_VALUE"""),"2020-2021")</f>
        <v>2020-2021</v>
      </c>
      <c r="F73" s="113">
        <f ca="1">IFERROR(__xludf.DUMMYFUNCTION("""COMPUTED_VALUE"""),37024.8)</f>
        <v>37024.800000000003</v>
      </c>
      <c r="G73" s="113">
        <f ca="1">IFERROR(__xludf.DUMMYFUNCTION("""COMPUTED_VALUE"""),9256.2)</f>
        <v>9256.2000000000007</v>
      </c>
      <c r="H73" s="113">
        <f ca="1">IFERROR(__xludf.DUMMYFUNCTION("""COMPUTED_VALUE"""),27768.6)</f>
        <v>27768.6</v>
      </c>
      <c r="I73" s="111"/>
      <c r="J73" s="113">
        <f ca="1">IFERROR(__xludf.DUMMYFUNCTION("""COMPUTED_VALUE"""),35276.91)</f>
        <v>35276.910000000003</v>
      </c>
      <c r="K73" s="113">
        <f ca="1">IFERROR(__xludf.DUMMYFUNCTION("""COMPUTED_VALUE"""),1747.88999999999)</f>
        <v>1747.8899999999901</v>
      </c>
      <c r="L73" s="114">
        <f ca="1">IFERROR(__xludf.DUMMYFUNCTION("""COMPUTED_VALUE"""),0.952791372269397)</f>
        <v>0.95279137226939703</v>
      </c>
      <c r="M73" s="111" t="str">
        <f ca="1">IFERROR(__xludf.DUMMYFUNCTION("""COMPUTED_VALUE"""),"Риск не освоения лимитов финансирования 2020 года. В Минстрой РФ направлены документы на перераспределение части лимитов 2020 году на ВЗУ Орлово.")</f>
        <v>Риск не освоения лимитов финансирования 2020 года. В Минстрой РФ направлены документы на перераспределение части лимитов 2020 году на ВЗУ Орлово.</v>
      </c>
      <c r="N73" s="110" t="s">
        <v>554</v>
      </c>
      <c r="O73" s="111"/>
      <c r="P73" s="111"/>
      <c r="Q73" s="112"/>
      <c r="R73" s="103"/>
      <c r="S73" s="103"/>
      <c r="T73" s="103"/>
      <c r="U73" s="103"/>
      <c r="V73" s="103"/>
      <c r="W73" s="103"/>
      <c r="X73" s="103"/>
      <c r="Y73" s="103"/>
      <c r="Z73" s="103"/>
      <c r="AA73" s="103"/>
    </row>
    <row r="74" spans="1:27" ht="63.75" x14ac:dyDescent="0.2">
      <c r="A74" s="110">
        <v>71</v>
      </c>
      <c r="B74" s="110" t="s">
        <v>54</v>
      </c>
      <c r="C74" s="111" t="str">
        <f ca="1">IFERROR(__xludf.DUMMYFUNCTION("""COMPUTED_VALUE"""),"г.о. Ленинский")</f>
        <v>г.о. Ленинский</v>
      </c>
      <c r="D74" s="111" t="str">
        <f ca="1">IFERROR(__xludf.DUMMYFUNCTION("""COMPUTED_VALUE"""),"Строительство сети водоснабжения по адресу: Московской области, Ленинский г.о. сельское поселение Булатниковское, с. Булатниково.")</f>
        <v>Строительство сети водоснабжения по адресу: Московской области, Ленинский г.о. сельское поселение Булатниковское, с. Булатниково.</v>
      </c>
      <c r="E74" s="111">
        <f ca="1">IFERROR(__xludf.DUMMYFUNCTION("""COMPUTED_VALUE"""),2021)</f>
        <v>2021</v>
      </c>
      <c r="F74" s="113">
        <f ca="1">IFERROR(__xludf.DUMMYFUNCTION("""COMPUTED_VALUE"""),0)</f>
        <v>0</v>
      </c>
      <c r="G74" s="113">
        <f ca="1">IFERROR(__xludf.DUMMYFUNCTION("""COMPUTED_VALUE"""),0)</f>
        <v>0</v>
      </c>
      <c r="H74" s="113">
        <f ca="1">IFERROR(__xludf.DUMMYFUNCTION("""COMPUTED_VALUE"""),0)</f>
        <v>0</v>
      </c>
      <c r="I74" s="111"/>
      <c r="J74" s="111">
        <f ca="1">IFERROR(__xludf.DUMMYFUNCTION("""COMPUTED_VALUE"""),0)</f>
        <v>0</v>
      </c>
      <c r="K74" s="113">
        <f ca="1">IFERROR(__xludf.DUMMYFUNCTION("""COMPUTED_VALUE"""),0)</f>
        <v>0</v>
      </c>
      <c r="L74" s="114" t="str">
        <f ca="1">IFERROR(__xludf.DUMMYFUNCTION("""COMPUTED_VALUE"""),"#DIV/0!")</f>
        <v>#DIV/0!</v>
      </c>
      <c r="M74" s="111"/>
      <c r="N74" s="111"/>
      <c r="O74" s="111"/>
      <c r="P74" s="111"/>
      <c r="Q74" s="112"/>
      <c r="R74" s="103"/>
      <c r="S74" s="103"/>
      <c r="T74" s="103"/>
      <c r="U74" s="103"/>
      <c r="V74" s="103"/>
      <c r="W74" s="103"/>
      <c r="X74" s="103"/>
      <c r="Y74" s="103"/>
      <c r="Z74" s="103"/>
      <c r="AA74" s="103"/>
    </row>
    <row r="75" spans="1:27" ht="102" x14ac:dyDescent="0.2">
      <c r="A75" s="110">
        <v>72</v>
      </c>
      <c r="B75" s="110" t="s">
        <v>54</v>
      </c>
      <c r="C75" s="111" t="str">
        <f ca="1">IFERROR(__xludf.DUMMYFUNCTION("""COMPUTED_VALUE"""),"г.о. Ленинский")</f>
        <v>г.о. Ленинский</v>
      </c>
      <c r="D75" s="111" t="str">
        <f ca="1">IFERROR(__xludf.DUMMYFUNCTION("""COMPUTED_VALUE"""),"Реконструкция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f>
        <v>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v>
      </c>
      <c r="E75" s="111" t="str">
        <f ca="1">IFERROR(__xludf.DUMMYFUNCTION("""COMPUTED_VALUE"""),"2020-2022")</f>
        <v>2020-2022</v>
      </c>
      <c r="F75" s="113">
        <f ca="1">IFERROR(__xludf.DUMMYFUNCTION("""COMPUTED_VALUE"""),17659.48)</f>
        <v>17659.48</v>
      </c>
      <c r="G75" s="113">
        <f ca="1">IFERROR(__xludf.DUMMYFUNCTION("""COMPUTED_VALUE"""),4414.88)</f>
        <v>4414.88</v>
      </c>
      <c r="H75" s="113">
        <f ca="1">IFERROR(__xludf.DUMMYFUNCTION("""COMPUTED_VALUE"""),13244.6)</f>
        <v>13244.6</v>
      </c>
      <c r="I75" s="111"/>
      <c r="J75" s="113">
        <f ca="1">IFERROR(__xludf.DUMMYFUNCTION("""COMPUTED_VALUE"""),16587.2399999999)</f>
        <v>16587.2399999999</v>
      </c>
      <c r="K75" s="113">
        <f ca="1">IFERROR(__xludf.DUMMYFUNCTION("""COMPUTED_VALUE"""),1072.24)</f>
        <v>1072.24</v>
      </c>
      <c r="L75" s="114">
        <f ca="1">IFERROR(__xludf.DUMMYFUNCTION("""COMPUTED_VALUE"""),0.939282470378516)</f>
        <v>0.93928247037851598</v>
      </c>
      <c r="M75" s="111"/>
      <c r="N75" s="111"/>
      <c r="O75" s="111"/>
      <c r="P75" s="111"/>
      <c r="Q75" s="112"/>
      <c r="R75" s="103"/>
      <c r="S75" s="103"/>
      <c r="T75" s="103"/>
      <c r="U75" s="103"/>
      <c r="V75" s="103"/>
      <c r="W75" s="103"/>
      <c r="X75" s="103"/>
      <c r="Y75" s="103"/>
      <c r="Z75" s="103"/>
      <c r="AA75" s="103"/>
    </row>
    <row r="76" spans="1:27" ht="76.5" x14ac:dyDescent="0.2">
      <c r="A76" s="110">
        <v>73</v>
      </c>
      <c r="B76" s="110" t="s">
        <v>54</v>
      </c>
      <c r="C76" s="111" t="str">
        <f ca="1">IFERROR(__xludf.DUMMYFUNCTION("""COMPUTED_VALUE"""),"г.о. Ленинский")</f>
        <v>г.о. Ленинский</v>
      </c>
      <c r="D76" s="111" t="str">
        <f ca="1">IFERROR(__xludf.DUMMYFUNCTION("""COMPUTED_VALUE"""),"Реконструкция водозаборного узла в п/о ""Петровское"" городского поселения Горки Ленинские Ленинского муниципального района Московской области")</f>
        <v>Реконструкция водозаборного узла в п/о "Петровское" городского поселения Горки Ленинские Ленинского муниципального района Московской области</v>
      </c>
      <c r="E76" s="111" t="str">
        <f ca="1">IFERROR(__xludf.DUMMYFUNCTION("""COMPUTED_VALUE"""),"2021-2022")</f>
        <v>2021-2022</v>
      </c>
      <c r="F76" s="113">
        <f ca="1">IFERROR(__xludf.DUMMYFUNCTION("""COMPUTED_VALUE"""),0)</f>
        <v>0</v>
      </c>
      <c r="G76" s="113">
        <f ca="1">IFERROR(__xludf.DUMMYFUNCTION("""COMPUTED_VALUE"""),0)</f>
        <v>0</v>
      </c>
      <c r="H76" s="113">
        <f ca="1">IFERROR(__xludf.DUMMYFUNCTION("""COMPUTED_VALUE"""),0)</f>
        <v>0</v>
      </c>
      <c r="I76" s="111"/>
      <c r="J76" s="111">
        <f ca="1">IFERROR(__xludf.DUMMYFUNCTION("""COMPUTED_VALUE"""),0)</f>
        <v>0</v>
      </c>
      <c r="K76" s="113">
        <f ca="1">IFERROR(__xludf.DUMMYFUNCTION("""COMPUTED_VALUE"""),0)</f>
        <v>0</v>
      </c>
      <c r="L76" s="114" t="str">
        <f ca="1">IFERROR(__xludf.DUMMYFUNCTION("""COMPUTED_VALUE"""),"#DIV/0!")</f>
        <v>#DIV/0!</v>
      </c>
      <c r="M76" s="111"/>
      <c r="N76" s="111"/>
      <c r="O76" s="111"/>
      <c r="P76" s="111"/>
      <c r="Q76" s="112"/>
      <c r="R76" s="103"/>
      <c r="S76" s="103"/>
      <c r="T76" s="103"/>
      <c r="U76" s="103"/>
      <c r="V76" s="103"/>
      <c r="W76" s="103"/>
      <c r="X76" s="103"/>
      <c r="Y76" s="103"/>
      <c r="Z76" s="103"/>
      <c r="AA76" s="103"/>
    </row>
    <row r="77" spans="1:27" ht="76.5" x14ac:dyDescent="0.2">
      <c r="A77" s="110">
        <v>74</v>
      </c>
      <c r="B77" s="110" t="s">
        <v>54</v>
      </c>
      <c r="C77" s="111" t="str">
        <f ca="1">IFERROR(__xludf.DUMMYFUNCTION("""COMPUTED_VALUE"""),"г.о. Ленинский")</f>
        <v>г.о. Ленинский</v>
      </c>
      <c r="D77" s="111" t="str">
        <f ca="1">IFERROR(__xludf.DUMMYFUNCTION("""COMPUTED_VALUE"""),"Реконструкция водозаборного узла № 8 в п.Горки Ленинские городского поселения Горки Ленинские Ленинского городского округа Московской области")</f>
        <v>Реконструкция водозаборного узла № 8 в п.Горки Ленинские городского поселения Горки Ленинские Ленинского городского округа Московской области</v>
      </c>
      <c r="E77" s="111" t="str">
        <f ca="1">IFERROR(__xludf.DUMMYFUNCTION("""COMPUTED_VALUE"""),"2021-2022")</f>
        <v>2021-2022</v>
      </c>
      <c r="F77" s="113">
        <f ca="1">IFERROR(__xludf.DUMMYFUNCTION("""COMPUTED_VALUE"""),0)</f>
        <v>0</v>
      </c>
      <c r="G77" s="113">
        <f ca="1">IFERROR(__xludf.DUMMYFUNCTION("""COMPUTED_VALUE"""),0)</f>
        <v>0</v>
      </c>
      <c r="H77" s="113">
        <f ca="1">IFERROR(__xludf.DUMMYFUNCTION("""COMPUTED_VALUE"""),0)</f>
        <v>0</v>
      </c>
      <c r="I77" s="111"/>
      <c r="J77" s="111">
        <f ca="1">IFERROR(__xludf.DUMMYFUNCTION("""COMPUTED_VALUE"""),0)</f>
        <v>0</v>
      </c>
      <c r="K77" s="113">
        <f ca="1">IFERROR(__xludf.DUMMYFUNCTION("""COMPUTED_VALUE"""),0)</f>
        <v>0</v>
      </c>
      <c r="L77" s="114" t="str">
        <f ca="1">IFERROR(__xludf.DUMMYFUNCTION("""COMPUTED_VALUE"""),"#DIV/0!")</f>
        <v>#DIV/0!</v>
      </c>
      <c r="M77" s="111"/>
      <c r="N77" s="111"/>
      <c r="O77" s="111"/>
      <c r="P77" s="111"/>
      <c r="Q77" s="112"/>
      <c r="R77" s="103"/>
      <c r="S77" s="103"/>
      <c r="T77" s="103"/>
      <c r="U77" s="103"/>
      <c r="V77" s="103"/>
      <c r="W77" s="103"/>
      <c r="X77" s="103"/>
      <c r="Y77" s="103"/>
      <c r="Z77" s="103"/>
      <c r="AA77" s="103"/>
    </row>
    <row r="78" spans="1:27" ht="25.5" x14ac:dyDescent="0.2">
      <c r="A78" s="110">
        <v>75</v>
      </c>
      <c r="B78" s="110" t="s">
        <v>54</v>
      </c>
      <c r="C78" s="111" t="str">
        <f ca="1">IFERROR(__xludf.DUMMYFUNCTION("""COMPUTED_VALUE"""),"г.о. Мытищи")</f>
        <v>г.о. Мытищи</v>
      </c>
      <c r="D78" s="111" t="str">
        <f ca="1">IFERROR(__xludf.DUMMYFUNCTION("""COMPUTED_VALUE"""),"Реконструкция ВЗУ Пироговкий г.о. Мытищи")</f>
        <v>Реконструкция ВЗУ Пироговкий г.о. Мытищи</v>
      </c>
      <c r="E78" s="111" t="str">
        <f ca="1">IFERROR(__xludf.DUMMYFUNCTION("""COMPUTED_VALUE"""),"2023-2024")</f>
        <v>2023-2024</v>
      </c>
      <c r="F78" s="113">
        <f ca="1">IFERROR(__xludf.DUMMYFUNCTION("""COMPUTED_VALUE"""),0)</f>
        <v>0</v>
      </c>
      <c r="G78" s="113">
        <f ca="1">IFERROR(__xludf.DUMMYFUNCTION("""COMPUTED_VALUE"""),0)</f>
        <v>0</v>
      </c>
      <c r="H78" s="113">
        <f ca="1">IFERROR(__xludf.DUMMYFUNCTION("""COMPUTED_VALUE"""),0)</f>
        <v>0</v>
      </c>
      <c r="I78" s="111"/>
      <c r="J78" s="111">
        <f ca="1">IFERROR(__xludf.DUMMYFUNCTION("""COMPUTED_VALUE"""),0)</f>
        <v>0</v>
      </c>
      <c r="K78" s="113">
        <f ca="1">IFERROR(__xludf.DUMMYFUNCTION("""COMPUTED_VALUE"""),0)</f>
        <v>0</v>
      </c>
      <c r="L78" s="114" t="str">
        <f ca="1">IFERROR(__xludf.DUMMYFUNCTION("""COMPUTED_VALUE"""),"#DIV/0!")</f>
        <v>#DIV/0!</v>
      </c>
      <c r="M78" s="111"/>
      <c r="N78" s="111"/>
      <c r="O78" s="111"/>
      <c r="P78" s="111"/>
      <c r="Q78" s="112"/>
      <c r="R78" s="103"/>
      <c r="S78" s="103"/>
      <c r="T78" s="103"/>
      <c r="U78" s="103"/>
      <c r="V78" s="103"/>
      <c r="W78" s="103"/>
      <c r="X78" s="103"/>
      <c r="Y78" s="103"/>
      <c r="Z78" s="103"/>
      <c r="AA78" s="103"/>
    </row>
    <row r="79" spans="1:27" ht="63.75" x14ac:dyDescent="0.2">
      <c r="A79" s="110">
        <v>76</v>
      </c>
      <c r="B79" s="110" t="s">
        <v>54</v>
      </c>
      <c r="C79" s="111" t="str">
        <f ca="1">IFERROR(__xludf.DUMMYFUNCTION("""COMPUTED_VALUE"""),"г.о. Дзержинский")</f>
        <v>г.о. Дзержинский</v>
      </c>
      <c r="D79" s="111" t="str">
        <f ca="1">IFERROR(__xludf.DUMMYFUNCTION("""COMPUTED_VALUE"""),"Реконструкция ВЗУ № 1 г.о.Дзержинский с переводом в станцию второго подъема производительностью 10 тыс. м3/сут.")</f>
        <v>Реконструкция ВЗУ № 1 г.о.Дзержинский с переводом в станцию второго подъема производительностью 10 тыс. м3/сут.</v>
      </c>
      <c r="E79" s="111">
        <f ca="1">IFERROR(__xludf.DUMMYFUNCTION("""COMPUTED_VALUE"""),2021)</f>
        <v>2021</v>
      </c>
      <c r="F79" s="113">
        <f ca="1">IFERROR(__xludf.DUMMYFUNCTION("""COMPUTED_VALUE"""),0)</f>
        <v>0</v>
      </c>
      <c r="G79" s="113">
        <f ca="1">IFERROR(__xludf.DUMMYFUNCTION("""COMPUTED_VALUE"""),0)</f>
        <v>0</v>
      </c>
      <c r="H79" s="113">
        <f ca="1">IFERROR(__xludf.DUMMYFUNCTION("""COMPUTED_VALUE"""),0)</f>
        <v>0</v>
      </c>
      <c r="I79" s="111"/>
      <c r="J79" s="111">
        <f ca="1">IFERROR(__xludf.DUMMYFUNCTION("""COMPUTED_VALUE"""),0)</f>
        <v>0</v>
      </c>
      <c r="K79" s="113">
        <f ca="1">IFERROR(__xludf.DUMMYFUNCTION("""COMPUTED_VALUE"""),0)</f>
        <v>0</v>
      </c>
      <c r="L79" s="114" t="str">
        <f ca="1">IFERROR(__xludf.DUMMYFUNCTION("""COMPUTED_VALUE"""),"#DIV/0!")</f>
        <v>#DIV/0!</v>
      </c>
      <c r="M79" s="111"/>
      <c r="N79" s="111"/>
      <c r="O79" s="111"/>
      <c r="P79" s="111"/>
      <c r="Q79" s="112"/>
      <c r="R79" s="103"/>
      <c r="S79" s="103"/>
      <c r="T79" s="103"/>
      <c r="U79" s="103"/>
      <c r="V79" s="103"/>
      <c r="W79" s="103"/>
      <c r="X79" s="103"/>
      <c r="Y79" s="103"/>
      <c r="Z79" s="103"/>
      <c r="AA79" s="103"/>
    </row>
    <row r="80" spans="1:27" ht="63.75" x14ac:dyDescent="0.2">
      <c r="A80" s="110">
        <v>77</v>
      </c>
      <c r="B80" s="110" t="s">
        <v>54</v>
      </c>
      <c r="C80" s="111" t="str">
        <f ca="1">IFERROR(__xludf.DUMMYFUNCTION("""COMPUTED_VALUE"""),"г.о. Дзержинский")</f>
        <v>г.о. Дзержинский</v>
      </c>
      <c r="D80" s="111" t="str">
        <f ca="1">IFERROR(__xludf.DUMMYFUNCTION("""COMPUTED_VALUE""")," Реконструкция ВЗУ № 3 г.о.Дзержинский с переводом в станцию второго подъема производительностью 10 тыс. м3/сут")</f>
        <v xml:space="preserve"> Реконструкция ВЗУ № 3 г.о.Дзержинский с переводом в станцию второго подъема производительностью 10 тыс. м3/сут</v>
      </c>
      <c r="E80" s="111">
        <f ca="1">IFERROR(__xludf.DUMMYFUNCTION("""COMPUTED_VALUE"""),2021)</f>
        <v>2021</v>
      </c>
      <c r="F80" s="113">
        <f ca="1">IFERROR(__xludf.DUMMYFUNCTION("""COMPUTED_VALUE"""),0)</f>
        <v>0</v>
      </c>
      <c r="G80" s="113">
        <f ca="1">IFERROR(__xludf.DUMMYFUNCTION("""COMPUTED_VALUE"""),0)</f>
        <v>0</v>
      </c>
      <c r="H80" s="113">
        <f ca="1">IFERROR(__xludf.DUMMYFUNCTION("""COMPUTED_VALUE"""),0)</f>
        <v>0</v>
      </c>
      <c r="I80" s="111"/>
      <c r="J80" s="111">
        <f ca="1">IFERROR(__xludf.DUMMYFUNCTION("""COMPUTED_VALUE"""),0)</f>
        <v>0</v>
      </c>
      <c r="K80" s="113">
        <f ca="1">IFERROR(__xludf.DUMMYFUNCTION("""COMPUTED_VALUE"""),0)</f>
        <v>0</v>
      </c>
      <c r="L80" s="114" t="str">
        <f ca="1">IFERROR(__xludf.DUMMYFUNCTION("""COMPUTED_VALUE"""),"#DIV/0!")</f>
        <v>#DIV/0!</v>
      </c>
      <c r="M80" s="111"/>
      <c r="N80" s="111"/>
      <c r="O80" s="111"/>
      <c r="P80" s="111"/>
      <c r="Q80" s="112"/>
      <c r="R80" s="103"/>
      <c r="S80" s="103"/>
      <c r="T80" s="103"/>
      <c r="U80" s="103"/>
      <c r="V80" s="103"/>
      <c r="W80" s="103"/>
      <c r="X80" s="103"/>
      <c r="Y80" s="103"/>
      <c r="Z80" s="103"/>
      <c r="AA80" s="103"/>
    </row>
    <row r="81" spans="1:27" ht="63.75" x14ac:dyDescent="0.2">
      <c r="A81" s="110">
        <v>78</v>
      </c>
      <c r="B81" s="110" t="s">
        <v>54</v>
      </c>
      <c r="C81" s="111" t="str">
        <f ca="1">IFERROR(__xludf.DUMMYFUNCTION("""COMPUTED_VALUE"""),"г.о. Дзержинский")</f>
        <v>г.о. Дзержинский</v>
      </c>
      <c r="D81" s="111" t="str">
        <f ca="1">IFERROR(__xludf.DUMMYFUNCTION("""COMPUTED_VALUE"""),"Строительство сетей водоснабжения от ВРУ до т. А, по адресу: Московская обл., г. Дзержинский, в районе поймы Москвы-реки")</f>
        <v>Строительство сетей водоснабжения от ВРУ до т. А, по адресу: Московская обл., г. Дзержинский, в районе поймы Москвы-реки</v>
      </c>
      <c r="E81" s="111">
        <f ca="1">IFERROR(__xludf.DUMMYFUNCTION("""COMPUTED_VALUE"""),2021)</f>
        <v>2021</v>
      </c>
      <c r="F81" s="113">
        <f ca="1">IFERROR(__xludf.DUMMYFUNCTION("""COMPUTED_VALUE"""),0)</f>
        <v>0</v>
      </c>
      <c r="G81" s="113">
        <f ca="1">IFERROR(__xludf.DUMMYFUNCTION("""COMPUTED_VALUE"""),0)</f>
        <v>0</v>
      </c>
      <c r="H81" s="113">
        <f ca="1">IFERROR(__xludf.DUMMYFUNCTION("""COMPUTED_VALUE"""),0)</f>
        <v>0</v>
      </c>
      <c r="I81" s="111"/>
      <c r="J81" s="111">
        <f ca="1">IFERROR(__xludf.DUMMYFUNCTION("""COMPUTED_VALUE"""),0)</f>
        <v>0</v>
      </c>
      <c r="K81" s="113">
        <f ca="1">IFERROR(__xludf.DUMMYFUNCTION("""COMPUTED_VALUE"""),0)</f>
        <v>0</v>
      </c>
      <c r="L81" s="114" t="str">
        <f ca="1">IFERROR(__xludf.DUMMYFUNCTION("""COMPUTED_VALUE"""),"#DIV/0!")</f>
        <v>#DIV/0!</v>
      </c>
      <c r="M81" s="111"/>
      <c r="N81" s="111"/>
      <c r="O81" s="111"/>
      <c r="P81" s="111"/>
      <c r="Q81" s="112"/>
      <c r="R81" s="103"/>
      <c r="S81" s="103"/>
      <c r="T81" s="103"/>
      <c r="U81" s="103"/>
      <c r="V81" s="103"/>
      <c r="W81" s="103"/>
      <c r="X81" s="103"/>
      <c r="Y81" s="103"/>
      <c r="Z81" s="103"/>
      <c r="AA81" s="103"/>
    </row>
    <row r="82" spans="1:27" ht="51" x14ac:dyDescent="0.2">
      <c r="A82" s="110">
        <v>79</v>
      </c>
      <c r="B82" s="110" t="s">
        <v>54</v>
      </c>
      <c r="C82" s="111" t="str">
        <f ca="1">IFERROR(__xludf.DUMMYFUNCTION("""COMPUTED_VALUE"""),"г.о. Дзержинский")</f>
        <v>г.о. Дзержинский</v>
      </c>
      <c r="D82" s="111" t="str">
        <f ca="1">IFERROR(__xludf.DUMMYFUNCTION("""COMPUTED_VALUE"""),"Строительсвто сетей водоснабжения от т.А до ВЗУ-3 по адресу: Московская обл., г. Дзержинский, ул. Дзержинская")</f>
        <v>Строительсвто сетей водоснабжения от т.А до ВЗУ-3 по адресу: Московская обл., г. Дзержинский, ул. Дзержинская</v>
      </c>
      <c r="E82" s="111">
        <f ca="1">IFERROR(__xludf.DUMMYFUNCTION("""COMPUTED_VALUE"""),2021)</f>
        <v>2021</v>
      </c>
      <c r="F82" s="113">
        <f ca="1">IFERROR(__xludf.DUMMYFUNCTION("""COMPUTED_VALUE"""),0)</f>
        <v>0</v>
      </c>
      <c r="G82" s="113">
        <f ca="1">IFERROR(__xludf.DUMMYFUNCTION("""COMPUTED_VALUE"""),0)</f>
        <v>0</v>
      </c>
      <c r="H82" s="113">
        <f ca="1">IFERROR(__xludf.DUMMYFUNCTION("""COMPUTED_VALUE"""),0)</f>
        <v>0</v>
      </c>
      <c r="I82" s="111"/>
      <c r="J82" s="111">
        <f ca="1">IFERROR(__xludf.DUMMYFUNCTION("""COMPUTED_VALUE"""),0)</f>
        <v>0</v>
      </c>
      <c r="K82" s="113">
        <f ca="1">IFERROR(__xludf.DUMMYFUNCTION("""COMPUTED_VALUE"""),0)</f>
        <v>0</v>
      </c>
      <c r="L82" s="114" t="str">
        <f ca="1">IFERROR(__xludf.DUMMYFUNCTION("""COMPUTED_VALUE"""),"#DIV/0!")</f>
        <v>#DIV/0!</v>
      </c>
      <c r="M82" s="111"/>
      <c r="N82" s="111"/>
      <c r="O82" s="111"/>
      <c r="P82" s="111"/>
      <c r="Q82" s="112"/>
      <c r="R82" s="103"/>
      <c r="S82" s="103"/>
      <c r="T82" s="103"/>
      <c r="U82" s="103"/>
      <c r="V82" s="103"/>
      <c r="W82" s="103"/>
      <c r="X82" s="103"/>
      <c r="Y82" s="103"/>
      <c r="Z82" s="103"/>
      <c r="AA82" s="103"/>
    </row>
    <row r="83" spans="1:27" ht="63.75" x14ac:dyDescent="0.2">
      <c r="A83" s="110">
        <v>80</v>
      </c>
      <c r="B83" s="110" t="s">
        <v>54</v>
      </c>
      <c r="C83" s="111" t="str">
        <f ca="1">IFERROR(__xludf.DUMMYFUNCTION("""COMPUTED_VALUE"""),"г.о. Дзержинский")</f>
        <v>г.о. Дзержинский</v>
      </c>
      <c r="D83" s="111" t="str">
        <f ca="1">IFERROR(__xludf.DUMMYFUNCTION("""COMPUTED_VALUE"""),"Строительство сетей водоснабжения от т.А до ВЗУ-1 по адресу: Московская обл., г.Дзержинский, ул.Академика Жукова")</f>
        <v>Строительство сетей водоснабжения от т.А до ВЗУ-1 по адресу: Московская обл., г.Дзержинский, ул.Академика Жукова</v>
      </c>
      <c r="E83" s="111">
        <f ca="1">IFERROR(__xludf.DUMMYFUNCTION("""COMPUTED_VALUE"""),2021)</f>
        <v>2021</v>
      </c>
      <c r="F83" s="113">
        <f ca="1">IFERROR(__xludf.DUMMYFUNCTION("""COMPUTED_VALUE"""),0)</f>
        <v>0</v>
      </c>
      <c r="G83" s="113">
        <f ca="1">IFERROR(__xludf.DUMMYFUNCTION("""COMPUTED_VALUE"""),0)</f>
        <v>0</v>
      </c>
      <c r="H83" s="113">
        <f ca="1">IFERROR(__xludf.DUMMYFUNCTION("""COMPUTED_VALUE"""),0)</f>
        <v>0</v>
      </c>
      <c r="I83" s="111"/>
      <c r="J83" s="111">
        <f ca="1">IFERROR(__xludf.DUMMYFUNCTION("""COMPUTED_VALUE"""),0)</f>
        <v>0</v>
      </c>
      <c r="K83" s="113">
        <f ca="1">IFERROR(__xludf.DUMMYFUNCTION("""COMPUTED_VALUE"""),0)</f>
        <v>0</v>
      </c>
      <c r="L83" s="114" t="str">
        <f ca="1">IFERROR(__xludf.DUMMYFUNCTION("""COMPUTED_VALUE"""),"#DIV/0!")</f>
        <v>#DIV/0!</v>
      </c>
      <c r="M83" s="111"/>
      <c r="N83" s="111"/>
      <c r="O83" s="111"/>
      <c r="P83" s="111"/>
      <c r="Q83" s="112"/>
      <c r="R83" s="103"/>
      <c r="S83" s="103"/>
      <c r="T83" s="103"/>
      <c r="U83" s="103"/>
      <c r="V83" s="103"/>
      <c r="W83" s="103"/>
      <c r="X83" s="103"/>
      <c r="Y83" s="103"/>
      <c r="Z83" s="103"/>
      <c r="AA83" s="103"/>
    </row>
    <row r="84" spans="1:27" ht="63.75" x14ac:dyDescent="0.2">
      <c r="A84" s="110">
        <v>81</v>
      </c>
      <c r="B84" s="110" t="s">
        <v>54</v>
      </c>
      <c r="C84" s="111" t="str">
        <f ca="1">IFERROR(__xludf.DUMMYFUNCTION("""COMPUTED_VALUE"""),"г.о. Красногорск")</f>
        <v>г.о. Красногорск</v>
      </c>
      <c r="D84" s="111" t="str">
        <f ca="1">IFERROR(__xludf.DUMMYFUNCTION("""COMPUTED_VALUE"""),"Реконструкция водопроводных сетей в мкр. Опалиха, расположенных по адресу: Московская область, г/о Красногорск, мкр. Опалиха")</f>
        <v>Реконструкция водопроводных сетей в мкр. Опалиха, расположенных по адресу: Московская область, г/о Красногорск, мкр. Опалиха</v>
      </c>
      <c r="E84" s="111">
        <f ca="1">IFERROR(__xludf.DUMMYFUNCTION("""COMPUTED_VALUE"""),2022)</f>
        <v>2022</v>
      </c>
      <c r="F84" s="113">
        <f ca="1">IFERROR(__xludf.DUMMYFUNCTION("""COMPUTED_VALUE"""),0)</f>
        <v>0</v>
      </c>
      <c r="G84" s="113">
        <f ca="1">IFERROR(__xludf.DUMMYFUNCTION("""COMPUTED_VALUE"""),0)</f>
        <v>0</v>
      </c>
      <c r="H84" s="113">
        <f ca="1">IFERROR(__xludf.DUMMYFUNCTION("""COMPUTED_VALUE"""),0)</f>
        <v>0</v>
      </c>
      <c r="I84" s="111"/>
      <c r="J84" s="111">
        <f ca="1">IFERROR(__xludf.DUMMYFUNCTION("""COMPUTED_VALUE"""),0)</f>
        <v>0</v>
      </c>
      <c r="K84" s="113">
        <f ca="1">IFERROR(__xludf.DUMMYFUNCTION("""COMPUTED_VALUE"""),0)</f>
        <v>0</v>
      </c>
      <c r="L84" s="114" t="str">
        <f ca="1">IFERROR(__xludf.DUMMYFUNCTION("""COMPUTED_VALUE"""),"#DIV/0!")</f>
        <v>#DIV/0!</v>
      </c>
      <c r="M84" s="111"/>
      <c r="N84" s="111"/>
      <c r="O84" s="111"/>
      <c r="P84" s="111"/>
      <c r="Q84" s="112"/>
      <c r="R84" s="103"/>
      <c r="S84" s="103"/>
      <c r="T84" s="103"/>
      <c r="U84" s="103"/>
      <c r="V84" s="103"/>
      <c r="W84" s="103"/>
      <c r="X84" s="103"/>
      <c r="Y84" s="103"/>
      <c r="Z84" s="103"/>
      <c r="AA84" s="103"/>
    </row>
    <row r="85" spans="1:27" ht="63.75" x14ac:dyDescent="0.2">
      <c r="A85" s="110">
        <v>82</v>
      </c>
      <c r="B85" s="110" t="s">
        <v>54</v>
      </c>
      <c r="C85" s="111" t="str">
        <f ca="1">IFERROR(__xludf.DUMMYFUNCTION("""COMPUTED_VALUE"""),"г.о. Богородский")</f>
        <v>г.о. Богородский</v>
      </c>
      <c r="D85" s="111" t="str">
        <f ca="1">IFERROR(__xludf.DUMMYFUNCTION("""COMPUTED_VALUE"""),"Строительство присоединительного водовода от НС-9 в г.п. Старая Купавна к пос. Рыбхоз, к пос. Зеленый и д. Щемилово")</f>
        <v>Строительство присоединительного водовода от НС-9 в г.п. Старая Купавна к пос. Рыбхоз, к пос. Зеленый и д. Щемилово</v>
      </c>
      <c r="E85" s="111">
        <f ca="1">IFERROR(__xludf.DUMMYFUNCTION("""COMPUTED_VALUE"""),2021)</f>
        <v>2021</v>
      </c>
      <c r="F85" s="113">
        <f ca="1">IFERROR(__xludf.DUMMYFUNCTION("""COMPUTED_VALUE"""),0)</f>
        <v>0</v>
      </c>
      <c r="G85" s="113">
        <f ca="1">IFERROR(__xludf.DUMMYFUNCTION("""COMPUTED_VALUE"""),0)</f>
        <v>0</v>
      </c>
      <c r="H85" s="113">
        <f ca="1">IFERROR(__xludf.DUMMYFUNCTION("""COMPUTED_VALUE"""),0)</f>
        <v>0</v>
      </c>
      <c r="I85" s="111"/>
      <c r="J85" s="111">
        <f ca="1">IFERROR(__xludf.DUMMYFUNCTION("""COMPUTED_VALUE"""),0)</f>
        <v>0</v>
      </c>
      <c r="K85" s="113">
        <f ca="1">IFERROR(__xludf.DUMMYFUNCTION("""COMPUTED_VALUE"""),0)</f>
        <v>0</v>
      </c>
      <c r="L85" s="114" t="str">
        <f ca="1">IFERROR(__xludf.DUMMYFUNCTION("""COMPUTED_VALUE"""),"#DIV/0!")</f>
        <v>#DIV/0!</v>
      </c>
      <c r="M85" s="111"/>
      <c r="N85" s="111"/>
      <c r="O85" s="111"/>
      <c r="P85" s="111"/>
      <c r="Q85" s="112"/>
      <c r="R85" s="103"/>
      <c r="S85" s="103"/>
      <c r="T85" s="103"/>
      <c r="U85" s="103"/>
      <c r="V85" s="103"/>
      <c r="W85" s="103"/>
      <c r="X85" s="103"/>
      <c r="Y85" s="103"/>
      <c r="Z85" s="103"/>
      <c r="AA85" s="103"/>
    </row>
    <row r="86" spans="1:27" ht="51" x14ac:dyDescent="0.2">
      <c r="A86" s="110">
        <v>83</v>
      </c>
      <c r="B86" s="110" t="s">
        <v>54</v>
      </c>
      <c r="C86" s="111" t="str">
        <f ca="1">IFERROR(__xludf.DUMMYFUNCTION("""COMPUTED_VALUE"""),"г.о. Богородский")</f>
        <v>г.о. Богородский</v>
      </c>
      <c r="D86" s="111" t="str">
        <f ca="1">IFERROR(__xludf.DUMMYFUNCTION("""COMPUTED_VALUE"""),"Строителььство ВЗУ «Заречье» и сетей водоснабжения  с врезкой в существующую сеть,  г.о. Богородский")</f>
        <v>Строителььство ВЗУ «Заречье» и сетей водоснабжения  с врезкой в существующую сеть,  г.о. Богородский</v>
      </c>
      <c r="E86" s="111">
        <f ca="1">IFERROR(__xludf.DUMMYFUNCTION("""COMPUTED_VALUE"""),2023)</f>
        <v>2023</v>
      </c>
      <c r="F86" s="113">
        <f ca="1">IFERROR(__xludf.DUMMYFUNCTION("""COMPUTED_VALUE"""),0)</f>
        <v>0</v>
      </c>
      <c r="G86" s="113">
        <f ca="1">IFERROR(__xludf.DUMMYFUNCTION("""COMPUTED_VALUE"""),0)</f>
        <v>0</v>
      </c>
      <c r="H86" s="113">
        <f ca="1">IFERROR(__xludf.DUMMYFUNCTION("""COMPUTED_VALUE"""),0)</f>
        <v>0</v>
      </c>
      <c r="I86" s="111"/>
      <c r="J86" s="111">
        <f ca="1">IFERROR(__xludf.DUMMYFUNCTION("""COMPUTED_VALUE"""),0)</f>
        <v>0</v>
      </c>
      <c r="K86" s="113">
        <f ca="1">IFERROR(__xludf.DUMMYFUNCTION("""COMPUTED_VALUE"""),0)</f>
        <v>0</v>
      </c>
      <c r="L86" s="114" t="str">
        <f ca="1">IFERROR(__xludf.DUMMYFUNCTION("""COMPUTED_VALUE"""),"#DIV/0!")</f>
        <v>#DIV/0!</v>
      </c>
      <c r="M86" s="111"/>
      <c r="N86" s="111"/>
      <c r="O86" s="111"/>
      <c r="P86" s="111"/>
      <c r="Q86" s="112"/>
      <c r="R86" s="103"/>
      <c r="S86" s="103"/>
      <c r="T86" s="103"/>
      <c r="U86" s="103"/>
      <c r="V86" s="103"/>
      <c r="W86" s="103"/>
      <c r="X86" s="103"/>
      <c r="Y86" s="103"/>
      <c r="Z86" s="103"/>
      <c r="AA86" s="103"/>
    </row>
    <row r="87" spans="1:27" ht="51" x14ac:dyDescent="0.2">
      <c r="A87" s="110">
        <v>84</v>
      </c>
      <c r="B87" s="110" t="s">
        <v>54</v>
      </c>
      <c r="C87" s="111" t="str">
        <f ca="1">IFERROR(__xludf.DUMMYFUNCTION("""COMPUTED_VALUE"""),"г.о. Богородский")</f>
        <v>г.о. Богородский</v>
      </c>
      <c r="D87" s="111" t="str">
        <f ca="1">IFERROR(__xludf.DUMMYFUNCTION("""COMPUTED_VALUE"""),"Строительство II-ой нитки присоединительного водовода Ду 500 мм от ВК-7/14 до НС-9 г.о. Богородский")</f>
        <v>Строительство II-ой нитки присоединительного водовода Ду 500 мм от ВК-7/14 до НС-9 г.о. Богородский</v>
      </c>
      <c r="E87" s="111">
        <f ca="1">IFERROR(__xludf.DUMMYFUNCTION("""COMPUTED_VALUE"""),2023)</f>
        <v>2023</v>
      </c>
      <c r="F87" s="113">
        <f ca="1">IFERROR(__xludf.DUMMYFUNCTION("""COMPUTED_VALUE"""),0)</f>
        <v>0</v>
      </c>
      <c r="G87" s="113">
        <f ca="1">IFERROR(__xludf.DUMMYFUNCTION("""COMPUTED_VALUE"""),0)</f>
        <v>0</v>
      </c>
      <c r="H87" s="113">
        <f ca="1">IFERROR(__xludf.DUMMYFUNCTION("""COMPUTED_VALUE"""),0)</f>
        <v>0</v>
      </c>
      <c r="I87" s="111"/>
      <c r="J87" s="111">
        <f ca="1">IFERROR(__xludf.DUMMYFUNCTION("""COMPUTED_VALUE"""),0)</f>
        <v>0</v>
      </c>
      <c r="K87" s="113">
        <f ca="1">IFERROR(__xludf.DUMMYFUNCTION("""COMPUTED_VALUE"""),0)</f>
        <v>0</v>
      </c>
      <c r="L87" s="114" t="str">
        <f ca="1">IFERROR(__xludf.DUMMYFUNCTION("""COMPUTED_VALUE"""),"#DIV/0!")</f>
        <v>#DIV/0!</v>
      </c>
      <c r="M87" s="111"/>
      <c r="N87" s="111"/>
      <c r="O87" s="111"/>
      <c r="P87" s="111"/>
      <c r="Q87" s="112"/>
      <c r="R87" s="103"/>
      <c r="S87" s="103"/>
      <c r="T87" s="103"/>
      <c r="U87" s="103"/>
      <c r="V87" s="103"/>
      <c r="W87" s="103"/>
      <c r="X87" s="103"/>
      <c r="Y87" s="103"/>
      <c r="Z87" s="103"/>
      <c r="AA87" s="103"/>
    </row>
    <row r="88" spans="1:27" ht="38.25" x14ac:dyDescent="0.2">
      <c r="A88" s="110">
        <v>85</v>
      </c>
      <c r="B88" s="110" t="s">
        <v>54</v>
      </c>
      <c r="C88" s="111" t="str">
        <f ca="1">IFERROR(__xludf.DUMMYFUNCTION("""COMPUTED_VALUE"""),"г.о. Богородский")</f>
        <v>г.о. Богородский</v>
      </c>
      <c r="D88" s="111" t="str">
        <f ca="1">IFERROR(__xludf.DUMMYFUNCTION("""COMPUTED_VALUE"""),"Строительство сетей водоснабжения в г. Старая Купавна Богородского г.о.")</f>
        <v>Строительство сетей водоснабжения в г. Старая Купавна Богородского г.о.</v>
      </c>
      <c r="E88" s="111">
        <f ca="1">IFERROR(__xludf.DUMMYFUNCTION("""COMPUTED_VALUE"""),2023)</f>
        <v>2023</v>
      </c>
      <c r="F88" s="113">
        <f ca="1">IFERROR(__xludf.DUMMYFUNCTION("""COMPUTED_VALUE"""),0)</f>
        <v>0</v>
      </c>
      <c r="G88" s="113">
        <f ca="1">IFERROR(__xludf.DUMMYFUNCTION("""COMPUTED_VALUE"""),0)</f>
        <v>0</v>
      </c>
      <c r="H88" s="113">
        <f ca="1">IFERROR(__xludf.DUMMYFUNCTION("""COMPUTED_VALUE"""),0)</f>
        <v>0</v>
      </c>
      <c r="I88" s="111"/>
      <c r="J88" s="111">
        <f ca="1">IFERROR(__xludf.DUMMYFUNCTION("""COMPUTED_VALUE"""),0)</f>
        <v>0</v>
      </c>
      <c r="K88" s="113">
        <f ca="1">IFERROR(__xludf.DUMMYFUNCTION("""COMPUTED_VALUE"""),0)</f>
        <v>0</v>
      </c>
      <c r="L88" s="114" t="str">
        <f ca="1">IFERROR(__xludf.DUMMYFUNCTION("""COMPUTED_VALUE"""),"#DIV/0!")</f>
        <v>#DIV/0!</v>
      </c>
      <c r="M88" s="111"/>
      <c r="N88" s="111"/>
      <c r="O88" s="111"/>
      <c r="P88" s="111"/>
      <c r="Q88" s="112"/>
      <c r="R88" s="103"/>
      <c r="S88" s="103"/>
      <c r="T88" s="103"/>
      <c r="U88" s="103"/>
      <c r="V88" s="103"/>
      <c r="W88" s="103"/>
      <c r="X88" s="103"/>
      <c r="Y88" s="103"/>
      <c r="Z88" s="103"/>
      <c r="AA88" s="103"/>
    </row>
    <row r="89" spans="1:27" ht="89.25" x14ac:dyDescent="0.2">
      <c r="A89" s="110">
        <v>86</v>
      </c>
      <c r="B89" s="110" t="s">
        <v>54</v>
      </c>
      <c r="C89" s="111" t="str">
        <f ca="1">IFERROR(__xludf.DUMMYFUNCTION("""COMPUTED_VALUE"""),"КСМО")</f>
        <v>КСМО</v>
      </c>
      <c r="D89" s="111" t="str">
        <f ca="1">IFERROR(__xludf.DUMMYFUNCTION("""COMPUTED_VALUE"""),"Строительство  присоеденительного водовода от Восточной системы водоснабжения Московской области к  д. Тимохово Богородский г.о. (в том числе ПИР)")</f>
        <v>Строительство  присоеденительного водовода от Восточной системы водоснабжения Московской области к  д. Тимохово Богородский г.о. (в том числе ПИР)</v>
      </c>
      <c r="E89" s="111" t="str">
        <f ca="1">IFERROR(__xludf.DUMMYFUNCTION("""COMPUTED_VALUE"""),"2020-2022")</f>
        <v>2020-2022</v>
      </c>
      <c r="F89" s="113">
        <f ca="1">IFERROR(__xludf.DUMMYFUNCTION("""COMPUTED_VALUE"""),15000)</f>
        <v>15000</v>
      </c>
      <c r="G89" s="113">
        <f ca="1">IFERROR(__xludf.DUMMYFUNCTION("""COMPUTED_VALUE"""),15000)</f>
        <v>15000</v>
      </c>
      <c r="H89" s="113">
        <f ca="1">IFERROR(__xludf.DUMMYFUNCTION("""COMPUTED_VALUE"""),0)</f>
        <v>0</v>
      </c>
      <c r="I89" s="111"/>
      <c r="J89" s="111">
        <f ca="1">IFERROR(__xludf.DUMMYFUNCTION("""COMPUTED_VALUE"""),15000)</f>
        <v>15000</v>
      </c>
      <c r="K89" s="113">
        <f ca="1">IFERROR(__xludf.DUMMYFUNCTION("""COMPUTED_VALUE"""),0)</f>
        <v>0</v>
      </c>
      <c r="L89" s="114">
        <f ca="1">IFERROR(__xludf.DUMMYFUNCTION("""COMPUTED_VALUE"""),1)</f>
        <v>1</v>
      </c>
      <c r="M89" s="111"/>
      <c r="N89" s="110" t="s">
        <v>554</v>
      </c>
      <c r="O89" s="111"/>
      <c r="P89" s="111"/>
      <c r="Q89" s="112"/>
      <c r="R89" s="103"/>
      <c r="S89" s="103"/>
      <c r="T89" s="103"/>
      <c r="U89" s="103"/>
      <c r="V89" s="103"/>
      <c r="W89" s="103"/>
      <c r="X89" s="103"/>
      <c r="Y89" s="103"/>
      <c r="Z89" s="103"/>
      <c r="AA89" s="103"/>
    </row>
    <row r="90" spans="1:27" ht="25.5" x14ac:dyDescent="0.2">
      <c r="A90" s="110">
        <v>87</v>
      </c>
      <c r="B90" s="110" t="s">
        <v>54</v>
      </c>
      <c r="C90" s="111" t="str">
        <f ca="1">IFERROR(__xludf.DUMMYFUNCTION("""COMPUTED_VALUE"""),"г.о. Богородский")</f>
        <v>г.о. Богородский</v>
      </c>
      <c r="D90" s="111" t="str">
        <f ca="1">IFERROR(__xludf.DUMMYFUNCTION("""COMPUTED_VALUE"""),"Реконструкция НС-1 Восточнй системы водоснабжения")</f>
        <v>Реконструкция НС-1 Восточнй системы водоснабжения</v>
      </c>
      <c r="E90" s="111" t="str">
        <f ca="1">IFERROR(__xludf.DUMMYFUNCTION("""COMPUTED_VALUE"""),"Н/Л")</f>
        <v>Н/Л</v>
      </c>
      <c r="F90" s="113">
        <f ca="1">IFERROR(__xludf.DUMMYFUNCTION("""COMPUTED_VALUE"""),0)</f>
        <v>0</v>
      </c>
      <c r="G90" s="113">
        <f ca="1">IFERROR(__xludf.DUMMYFUNCTION("""COMPUTED_VALUE"""),0)</f>
        <v>0</v>
      </c>
      <c r="H90" s="113">
        <f ca="1">IFERROR(__xludf.DUMMYFUNCTION("""COMPUTED_VALUE"""),0)</f>
        <v>0</v>
      </c>
      <c r="I90" s="111"/>
      <c r="J90" s="111">
        <f ca="1">IFERROR(__xludf.DUMMYFUNCTION("""COMPUTED_VALUE"""),0)</f>
        <v>0</v>
      </c>
      <c r="K90" s="113">
        <f ca="1">IFERROR(__xludf.DUMMYFUNCTION("""COMPUTED_VALUE"""),0)</f>
        <v>0</v>
      </c>
      <c r="L90" s="114" t="str">
        <f ca="1">IFERROR(__xludf.DUMMYFUNCTION("""COMPUTED_VALUE"""),"#DIV/0!")</f>
        <v>#DIV/0!</v>
      </c>
      <c r="M90" s="111"/>
      <c r="N90" s="111"/>
      <c r="O90" s="111"/>
      <c r="P90" s="111"/>
      <c r="Q90" s="112"/>
      <c r="R90" s="103"/>
      <c r="S90" s="103"/>
      <c r="T90" s="103"/>
      <c r="U90" s="103"/>
      <c r="V90" s="103"/>
      <c r="W90" s="103"/>
      <c r="X90" s="103"/>
      <c r="Y90" s="103"/>
      <c r="Z90" s="103"/>
      <c r="AA90" s="103"/>
    </row>
    <row r="91" spans="1:27" ht="63.75" x14ac:dyDescent="0.2">
      <c r="A91" s="110">
        <v>88</v>
      </c>
      <c r="B91" s="110" t="s">
        <v>54</v>
      </c>
      <c r="C91" s="111" t="str">
        <f ca="1">IFERROR(__xludf.DUMMYFUNCTION("""COMPUTED_VALUE"""),"г.о. Можайск")</f>
        <v>г.о. Можайск</v>
      </c>
      <c r="D91" s="111" t="str">
        <f ca="1">IFERROR(__xludf.DUMMYFUNCTION("""COMPUTED_VALUE"""),"Реконструкция ВЗУ Карьероуправление с.п. Дровнинское, д. Карьероуправление г.о. Можайский")</f>
        <v>Реконструкция ВЗУ Карьероуправление с.п. Дровнинское, д. Карьероуправление г.о. Можайский</v>
      </c>
      <c r="E91" s="111">
        <f ca="1">IFERROR(__xludf.DUMMYFUNCTION("""COMPUTED_VALUE"""),2022)</f>
        <v>2022</v>
      </c>
      <c r="F91" s="113">
        <f ca="1">IFERROR(__xludf.DUMMYFUNCTION("""COMPUTED_VALUE"""),0)</f>
        <v>0</v>
      </c>
      <c r="G91" s="113">
        <f ca="1">IFERROR(__xludf.DUMMYFUNCTION("""COMPUTED_VALUE"""),0)</f>
        <v>0</v>
      </c>
      <c r="H91" s="113">
        <f ca="1">IFERROR(__xludf.DUMMYFUNCTION("""COMPUTED_VALUE"""),0)</f>
        <v>0</v>
      </c>
      <c r="I91" s="111"/>
      <c r="J91" s="111">
        <f ca="1">IFERROR(__xludf.DUMMYFUNCTION("""COMPUTED_VALUE"""),0)</f>
        <v>0</v>
      </c>
      <c r="K91" s="113">
        <f ca="1">IFERROR(__xludf.DUMMYFUNCTION("""COMPUTED_VALUE"""),0)</f>
        <v>0</v>
      </c>
      <c r="L91" s="114" t="str">
        <f ca="1">IFERROR(__xludf.DUMMYFUNCTION("""COMPUTED_VALUE"""),"#DIV/0!")</f>
        <v>#DIV/0!</v>
      </c>
      <c r="M91" s="111"/>
      <c r="N91" s="111"/>
      <c r="O91" s="111"/>
      <c r="P91" s="111"/>
      <c r="Q91" s="112"/>
      <c r="R91" s="103"/>
      <c r="S91" s="103"/>
      <c r="T91" s="103"/>
      <c r="U91" s="103"/>
      <c r="V91" s="103"/>
      <c r="W91" s="103"/>
      <c r="X91" s="103"/>
      <c r="Y91" s="103"/>
      <c r="Z91" s="103"/>
      <c r="AA91" s="103"/>
    </row>
    <row r="92" spans="1:27" ht="38.25" x14ac:dyDescent="0.2">
      <c r="A92" s="110">
        <v>89</v>
      </c>
      <c r="B92" s="110" t="s">
        <v>54</v>
      </c>
      <c r="C92" s="111" t="str">
        <f ca="1">IFERROR(__xludf.DUMMYFUNCTION("""COMPUTED_VALUE"""),"г.о. Можайск")</f>
        <v>г.о. Можайск</v>
      </c>
      <c r="D92" s="111" t="str">
        <f ca="1">IFERROR(__xludf.DUMMYFUNCTION("""COMPUTED_VALUE"""),"Реконструкция ВЗУ Цветковский с.п. Дровнинское, п. Цветковский г.о. Можайский")</f>
        <v>Реконструкция ВЗУ Цветковский с.п. Дровнинское, п. Цветковский г.о. Можайский</v>
      </c>
      <c r="E92" s="111">
        <f ca="1">IFERROR(__xludf.DUMMYFUNCTION("""COMPUTED_VALUE"""),2022)</f>
        <v>2022</v>
      </c>
      <c r="F92" s="113">
        <f ca="1">IFERROR(__xludf.DUMMYFUNCTION("""COMPUTED_VALUE"""),0)</f>
        <v>0</v>
      </c>
      <c r="G92" s="113">
        <f ca="1">IFERROR(__xludf.DUMMYFUNCTION("""COMPUTED_VALUE"""),0)</f>
        <v>0</v>
      </c>
      <c r="H92" s="113">
        <f ca="1">IFERROR(__xludf.DUMMYFUNCTION("""COMPUTED_VALUE"""),0)</f>
        <v>0</v>
      </c>
      <c r="I92" s="111"/>
      <c r="J92" s="111">
        <f ca="1">IFERROR(__xludf.DUMMYFUNCTION("""COMPUTED_VALUE"""),0)</f>
        <v>0</v>
      </c>
      <c r="K92" s="113">
        <f ca="1">IFERROR(__xludf.DUMMYFUNCTION("""COMPUTED_VALUE"""),0)</f>
        <v>0</v>
      </c>
      <c r="L92" s="114" t="str">
        <f ca="1">IFERROR(__xludf.DUMMYFUNCTION("""COMPUTED_VALUE"""),"#DIV/0!")</f>
        <v>#DIV/0!</v>
      </c>
      <c r="M92" s="111"/>
      <c r="N92" s="111"/>
      <c r="O92" s="111"/>
      <c r="P92" s="111"/>
      <c r="Q92" s="112"/>
      <c r="R92" s="103"/>
      <c r="S92" s="103"/>
      <c r="T92" s="103"/>
      <c r="U92" s="103"/>
      <c r="V92" s="103"/>
      <c r="W92" s="103"/>
      <c r="X92" s="103"/>
      <c r="Y92" s="103"/>
      <c r="Z92" s="103"/>
      <c r="AA92" s="103"/>
    </row>
    <row r="93" spans="1:27" ht="38.25" x14ac:dyDescent="0.2">
      <c r="A93" s="110">
        <v>90</v>
      </c>
      <c r="B93" s="110" t="s">
        <v>54</v>
      </c>
      <c r="C93" s="111" t="str">
        <f ca="1">IFERROR(__xludf.DUMMYFUNCTION("""COMPUTED_VALUE"""),"г.о. Можайск")</f>
        <v>г.о. Можайск</v>
      </c>
      <c r="D93" s="111" t="str">
        <f ca="1">IFERROR(__xludf.DUMMYFUNCTION("""COMPUTED_VALUE"""),"Реконструкция ВЗУ Сокольниковос с.п. Юрловское, с. Сокольниково г.о. Можайский")</f>
        <v>Реконструкция ВЗУ Сокольниковос с.п. Юрловское, с. Сокольниково г.о. Можайский</v>
      </c>
      <c r="E93" s="111">
        <f ca="1">IFERROR(__xludf.DUMMYFUNCTION("""COMPUTED_VALUE"""),2022)</f>
        <v>2022</v>
      </c>
      <c r="F93" s="113">
        <f ca="1">IFERROR(__xludf.DUMMYFUNCTION("""COMPUTED_VALUE"""),0)</f>
        <v>0</v>
      </c>
      <c r="G93" s="113">
        <f ca="1">IFERROR(__xludf.DUMMYFUNCTION("""COMPUTED_VALUE"""),0)</f>
        <v>0</v>
      </c>
      <c r="H93" s="113">
        <f ca="1">IFERROR(__xludf.DUMMYFUNCTION("""COMPUTED_VALUE"""),0)</f>
        <v>0</v>
      </c>
      <c r="I93" s="111"/>
      <c r="J93" s="111">
        <f ca="1">IFERROR(__xludf.DUMMYFUNCTION("""COMPUTED_VALUE"""),0)</f>
        <v>0</v>
      </c>
      <c r="K93" s="113">
        <f ca="1">IFERROR(__xludf.DUMMYFUNCTION("""COMPUTED_VALUE"""),0)</f>
        <v>0</v>
      </c>
      <c r="L93" s="114" t="str">
        <f ca="1">IFERROR(__xludf.DUMMYFUNCTION("""COMPUTED_VALUE"""),"#DIV/0!")</f>
        <v>#DIV/0!</v>
      </c>
      <c r="M93" s="111"/>
      <c r="N93" s="111"/>
      <c r="O93" s="111"/>
      <c r="P93" s="111"/>
      <c r="Q93" s="112"/>
      <c r="R93" s="103"/>
      <c r="S93" s="103"/>
      <c r="T93" s="103"/>
      <c r="U93" s="103"/>
      <c r="V93" s="103"/>
      <c r="W93" s="103"/>
      <c r="X93" s="103"/>
      <c r="Y93" s="103"/>
      <c r="Z93" s="103"/>
      <c r="AA93" s="103"/>
    </row>
    <row r="94" spans="1:27" ht="38.25" x14ac:dyDescent="0.2">
      <c r="A94" s="110">
        <v>91</v>
      </c>
      <c r="B94" s="110" t="s">
        <v>54</v>
      </c>
      <c r="C94" s="111" t="str">
        <f ca="1">IFERROR(__xludf.DUMMYFUNCTION("""COMPUTED_VALUE"""),"г.о. Можайск")</f>
        <v>г.о. Можайск</v>
      </c>
      <c r="D94" s="111" t="str">
        <f ca="1">IFERROR(__xludf.DUMMYFUNCTION("""COMPUTED_VALUE"""),"Реконструкция ВЗУ Мокрое с.п. Замошинское, д. Мокрое г.о. Можайский")</f>
        <v>Реконструкция ВЗУ Мокрое с.п. Замошинское, д. Мокрое г.о. Можайский</v>
      </c>
      <c r="E94" s="111">
        <f ca="1">IFERROR(__xludf.DUMMYFUNCTION("""COMPUTED_VALUE"""),2022)</f>
        <v>2022</v>
      </c>
      <c r="F94" s="113">
        <f ca="1">IFERROR(__xludf.DUMMYFUNCTION("""COMPUTED_VALUE"""),0)</f>
        <v>0</v>
      </c>
      <c r="G94" s="113">
        <f ca="1">IFERROR(__xludf.DUMMYFUNCTION("""COMPUTED_VALUE"""),0)</f>
        <v>0</v>
      </c>
      <c r="H94" s="113">
        <f ca="1">IFERROR(__xludf.DUMMYFUNCTION("""COMPUTED_VALUE"""),0)</f>
        <v>0</v>
      </c>
      <c r="I94" s="111"/>
      <c r="J94" s="111">
        <f ca="1">IFERROR(__xludf.DUMMYFUNCTION("""COMPUTED_VALUE"""),0)</f>
        <v>0</v>
      </c>
      <c r="K94" s="113">
        <f ca="1">IFERROR(__xludf.DUMMYFUNCTION("""COMPUTED_VALUE"""),0)</f>
        <v>0</v>
      </c>
      <c r="L94" s="114" t="str">
        <f ca="1">IFERROR(__xludf.DUMMYFUNCTION("""COMPUTED_VALUE"""),"#DIV/0!")</f>
        <v>#DIV/0!</v>
      </c>
      <c r="M94" s="111"/>
      <c r="N94" s="111"/>
      <c r="O94" s="111"/>
      <c r="P94" s="111"/>
      <c r="Q94" s="112"/>
      <c r="R94" s="103"/>
      <c r="S94" s="103"/>
      <c r="T94" s="103"/>
      <c r="U94" s="103"/>
      <c r="V94" s="103"/>
      <c r="W94" s="103"/>
      <c r="X94" s="103"/>
      <c r="Y94" s="103"/>
      <c r="Z94" s="103"/>
      <c r="AA94" s="103"/>
    </row>
    <row r="95" spans="1:27" ht="38.25" x14ac:dyDescent="0.2">
      <c r="A95" s="110">
        <v>92</v>
      </c>
      <c r="B95" s="110" t="s">
        <v>54</v>
      </c>
      <c r="C95" s="111" t="str">
        <f ca="1">IFERROR(__xludf.DUMMYFUNCTION("""COMPUTED_VALUE"""),"г.о. Можайск")</f>
        <v>г.о. Можайск</v>
      </c>
      <c r="D95" s="111" t="str">
        <f ca="1">IFERROR(__xludf.DUMMYFUNCTION("""COMPUTED_VALUE"""),"Реконструкция ВЗУ Ивакино с.п. Юрловское, д. Ивакино г.о. Можайский")</f>
        <v>Реконструкция ВЗУ Ивакино с.п. Юрловское, д. Ивакино г.о. Можайский</v>
      </c>
      <c r="E95" s="111">
        <f ca="1">IFERROR(__xludf.DUMMYFUNCTION("""COMPUTED_VALUE"""),2022)</f>
        <v>2022</v>
      </c>
      <c r="F95" s="113">
        <f ca="1">IFERROR(__xludf.DUMMYFUNCTION("""COMPUTED_VALUE"""),0)</f>
        <v>0</v>
      </c>
      <c r="G95" s="113">
        <f ca="1">IFERROR(__xludf.DUMMYFUNCTION("""COMPUTED_VALUE"""),0)</f>
        <v>0</v>
      </c>
      <c r="H95" s="113">
        <f ca="1">IFERROR(__xludf.DUMMYFUNCTION("""COMPUTED_VALUE"""),0)</f>
        <v>0</v>
      </c>
      <c r="I95" s="111"/>
      <c r="J95" s="111">
        <f ca="1">IFERROR(__xludf.DUMMYFUNCTION("""COMPUTED_VALUE"""),0)</f>
        <v>0</v>
      </c>
      <c r="K95" s="113">
        <f ca="1">IFERROR(__xludf.DUMMYFUNCTION("""COMPUTED_VALUE"""),0)</f>
        <v>0</v>
      </c>
      <c r="L95" s="114" t="str">
        <f ca="1">IFERROR(__xludf.DUMMYFUNCTION("""COMPUTED_VALUE"""),"#DIV/0!")</f>
        <v>#DIV/0!</v>
      </c>
      <c r="M95" s="111"/>
      <c r="N95" s="111"/>
      <c r="O95" s="111"/>
      <c r="P95" s="111"/>
      <c r="Q95" s="112"/>
      <c r="R95" s="103"/>
      <c r="S95" s="103"/>
      <c r="T95" s="103"/>
      <c r="U95" s="103"/>
      <c r="V95" s="103"/>
      <c r="W95" s="103"/>
      <c r="X95" s="103"/>
      <c r="Y95" s="103"/>
      <c r="Z95" s="103"/>
      <c r="AA95" s="103"/>
    </row>
    <row r="96" spans="1:27" ht="51" x14ac:dyDescent="0.2">
      <c r="A96" s="110">
        <v>93</v>
      </c>
      <c r="B96" s="110" t="s">
        <v>54</v>
      </c>
      <c r="C96" s="111" t="str">
        <f ca="1">IFERROR(__xludf.DUMMYFUNCTION("""COMPUTED_VALUE"""),"г.о. Можайск")</f>
        <v>г.о. Можайск</v>
      </c>
      <c r="D96" s="111" t="str">
        <f ca="1">IFERROR(__xludf.DUMMYFUNCTION("""COMPUTED_VALUE"""),"Реконструкция ВЗУ Семеновское Московская область, Можайский городской округ, с.п. Замошинское, д. Семеновское")</f>
        <v>Реконструкция ВЗУ Семеновское Московская область, Можайский городской округ, с.п. Замошинское, д. Семеновское</v>
      </c>
      <c r="E96" s="111">
        <f ca="1">IFERROR(__xludf.DUMMYFUNCTION("""COMPUTED_VALUE"""),2023)</f>
        <v>2023</v>
      </c>
      <c r="F96" s="113">
        <f ca="1">IFERROR(__xludf.DUMMYFUNCTION("""COMPUTED_VALUE"""),0)</f>
        <v>0</v>
      </c>
      <c r="G96" s="113">
        <f ca="1">IFERROR(__xludf.DUMMYFUNCTION("""COMPUTED_VALUE"""),0)</f>
        <v>0</v>
      </c>
      <c r="H96" s="113">
        <f ca="1">IFERROR(__xludf.DUMMYFUNCTION("""COMPUTED_VALUE"""),0)</f>
        <v>0</v>
      </c>
      <c r="I96" s="111"/>
      <c r="J96" s="111">
        <f ca="1">IFERROR(__xludf.DUMMYFUNCTION("""COMPUTED_VALUE"""),0)</f>
        <v>0</v>
      </c>
      <c r="K96" s="113">
        <f ca="1">IFERROR(__xludf.DUMMYFUNCTION("""COMPUTED_VALUE"""),0)</f>
        <v>0</v>
      </c>
      <c r="L96" s="114" t="str">
        <f ca="1">IFERROR(__xludf.DUMMYFUNCTION("""COMPUTED_VALUE"""),"#DIV/0!")</f>
        <v>#DIV/0!</v>
      </c>
      <c r="M96" s="111"/>
      <c r="N96" s="111"/>
      <c r="O96" s="111"/>
      <c r="P96" s="111"/>
      <c r="Q96" s="112"/>
      <c r="R96" s="103"/>
      <c r="S96" s="103"/>
      <c r="T96" s="103"/>
      <c r="U96" s="103"/>
      <c r="V96" s="103"/>
      <c r="W96" s="103"/>
      <c r="X96" s="103"/>
      <c r="Y96" s="103"/>
      <c r="Z96" s="103"/>
      <c r="AA96" s="103"/>
    </row>
    <row r="97" spans="1:27" ht="51" x14ac:dyDescent="0.2">
      <c r="A97" s="110">
        <v>94</v>
      </c>
      <c r="B97" s="110" t="s">
        <v>54</v>
      </c>
      <c r="C97" s="111" t="str">
        <f ca="1">IFERROR(__xludf.DUMMYFUNCTION("""COMPUTED_VALUE"""),"г.о. Можайск")</f>
        <v>г.о. Можайск</v>
      </c>
      <c r="D97" s="111" t="str">
        <f ca="1">IFERROR(__xludf.DUMMYFUNCTION("""COMPUTED_VALUE"""),"Реконструкция ВЗУ №1 и №2 Павлищево Московская область, Можайский городской округ, с.п. Клементьевское, д. Павлищево")</f>
        <v>Реконструкция ВЗУ №1 и №2 Павлищево Московская область, Можайский городской округ, с.п. Клементьевское, д. Павлищево</v>
      </c>
      <c r="E97" s="111">
        <f ca="1">IFERROR(__xludf.DUMMYFUNCTION("""COMPUTED_VALUE"""),2023)</f>
        <v>2023</v>
      </c>
      <c r="F97" s="113">
        <f ca="1">IFERROR(__xludf.DUMMYFUNCTION("""COMPUTED_VALUE"""),0)</f>
        <v>0</v>
      </c>
      <c r="G97" s="113">
        <f ca="1">IFERROR(__xludf.DUMMYFUNCTION("""COMPUTED_VALUE"""),0)</f>
        <v>0</v>
      </c>
      <c r="H97" s="113">
        <f ca="1">IFERROR(__xludf.DUMMYFUNCTION("""COMPUTED_VALUE"""),0)</f>
        <v>0</v>
      </c>
      <c r="I97" s="111"/>
      <c r="J97" s="111">
        <f ca="1">IFERROR(__xludf.DUMMYFUNCTION("""COMPUTED_VALUE"""),0)</f>
        <v>0</v>
      </c>
      <c r="K97" s="113">
        <f ca="1">IFERROR(__xludf.DUMMYFUNCTION("""COMPUTED_VALUE"""),0)</f>
        <v>0</v>
      </c>
      <c r="L97" s="114" t="str">
        <f ca="1">IFERROR(__xludf.DUMMYFUNCTION("""COMPUTED_VALUE"""),"#DIV/0!")</f>
        <v>#DIV/0!</v>
      </c>
      <c r="M97" s="111"/>
      <c r="N97" s="111"/>
      <c r="O97" s="111"/>
      <c r="P97" s="111"/>
      <c r="Q97" s="112"/>
      <c r="R97" s="103"/>
      <c r="S97" s="103"/>
      <c r="T97" s="103"/>
      <c r="U97" s="103"/>
      <c r="V97" s="103"/>
      <c r="W97" s="103"/>
      <c r="X97" s="103"/>
      <c r="Y97" s="103"/>
      <c r="Z97" s="103"/>
      <c r="AA97" s="103"/>
    </row>
    <row r="98" spans="1:27" ht="51" x14ac:dyDescent="0.2">
      <c r="A98" s="110">
        <v>95</v>
      </c>
      <c r="B98" s="110" t="s">
        <v>54</v>
      </c>
      <c r="C98" s="111" t="str">
        <f ca="1">IFERROR(__xludf.DUMMYFUNCTION("""COMPUTED_VALUE"""),"г.о. Можайск")</f>
        <v>г.о. Можайск</v>
      </c>
      <c r="D98" s="111" t="str">
        <f ca="1">IFERROR(__xludf.DUMMYFUNCTION("""COMPUTED_VALUE"""),"Реконструкция ВЗУ Новая Московская область, Можайский городской округ, г.п. Можайск, д. Новая")</f>
        <v>Реконструкция ВЗУ Новая Московская область, Можайский городской округ, г.п. Можайск, д. Новая</v>
      </c>
      <c r="E98" s="111">
        <f ca="1">IFERROR(__xludf.DUMMYFUNCTION("""COMPUTED_VALUE"""),2023)</f>
        <v>2023</v>
      </c>
      <c r="F98" s="113">
        <f ca="1">IFERROR(__xludf.DUMMYFUNCTION("""COMPUTED_VALUE"""),0)</f>
        <v>0</v>
      </c>
      <c r="G98" s="113">
        <f ca="1">IFERROR(__xludf.DUMMYFUNCTION("""COMPUTED_VALUE"""),0)</f>
        <v>0</v>
      </c>
      <c r="H98" s="113">
        <f ca="1">IFERROR(__xludf.DUMMYFUNCTION("""COMPUTED_VALUE"""),0)</f>
        <v>0</v>
      </c>
      <c r="I98" s="111"/>
      <c r="J98" s="111">
        <f ca="1">IFERROR(__xludf.DUMMYFUNCTION("""COMPUTED_VALUE"""),0)</f>
        <v>0</v>
      </c>
      <c r="K98" s="113">
        <f ca="1">IFERROR(__xludf.DUMMYFUNCTION("""COMPUTED_VALUE"""),0)</f>
        <v>0</v>
      </c>
      <c r="L98" s="114" t="str">
        <f ca="1">IFERROR(__xludf.DUMMYFUNCTION("""COMPUTED_VALUE"""),"#DIV/0!")</f>
        <v>#DIV/0!</v>
      </c>
      <c r="M98" s="111"/>
      <c r="N98" s="111"/>
      <c r="O98" s="111"/>
      <c r="P98" s="111"/>
      <c r="Q98" s="112"/>
      <c r="R98" s="103"/>
      <c r="S98" s="103"/>
      <c r="T98" s="103"/>
      <c r="U98" s="103"/>
      <c r="V98" s="103"/>
      <c r="W98" s="103"/>
      <c r="X98" s="103"/>
      <c r="Y98" s="103"/>
      <c r="Z98" s="103"/>
      <c r="AA98" s="103"/>
    </row>
    <row r="99" spans="1:27" ht="51" x14ac:dyDescent="0.2">
      <c r="A99" s="110">
        <v>96</v>
      </c>
      <c r="B99" s="110" t="s">
        <v>54</v>
      </c>
      <c r="C99" s="111" t="str">
        <f ca="1">IFERROR(__xludf.DUMMYFUNCTION("""COMPUTED_VALUE"""),"г.о. Можайск")</f>
        <v>г.о. Можайск</v>
      </c>
      <c r="D99" s="111"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E99" s="111" t="str">
        <f ca="1">IFERROR(__xludf.DUMMYFUNCTION("""COMPUTED_VALUE"""),"Н/Л")</f>
        <v>Н/Л</v>
      </c>
      <c r="F99" s="113">
        <f ca="1">IFERROR(__xludf.DUMMYFUNCTION("""COMPUTED_VALUE"""),0)</f>
        <v>0</v>
      </c>
      <c r="G99" s="113">
        <f ca="1">IFERROR(__xludf.DUMMYFUNCTION("""COMPUTED_VALUE"""),0)</f>
        <v>0</v>
      </c>
      <c r="H99" s="113">
        <f ca="1">IFERROR(__xludf.DUMMYFUNCTION("""COMPUTED_VALUE"""),0)</f>
        <v>0</v>
      </c>
      <c r="I99" s="111"/>
      <c r="J99" s="111">
        <f ca="1">IFERROR(__xludf.DUMMYFUNCTION("""COMPUTED_VALUE"""),0)</f>
        <v>0</v>
      </c>
      <c r="K99" s="113">
        <f ca="1">IFERROR(__xludf.DUMMYFUNCTION("""COMPUTED_VALUE"""),0)</f>
        <v>0</v>
      </c>
      <c r="L99" s="114" t="str">
        <f ca="1">IFERROR(__xludf.DUMMYFUNCTION("""COMPUTED_VALUE"""),"#DIV/0!")</f>
        <v>#DIV/0!</v>
      </c>
      <c r="M99" s="111"/>
      <c r="N99" s="111"/>
      <c r="O99" s="111"/>
      <c r="P99" s="111"/>
      <c r="Q99" s="112"/>
      <c r="R99" s="103"/>
      <c r="S99" s="103"/>
      <c r="T99" s="103"/>
      <c r="U99" s="103"/>
      <c r="V99" s="103"/>
      <c r="W99" s="103"/>
      <c r="X99" s="103"/>
      <c r="Y99" s="103"/>
      <c r="Z99" s="103"/>
      <c r="AA99" s="103"/>
    </row>
    <row r="100" spans="1:27" ht="51" x14ac:dyDescent="0.2">
      <c r="A100" s="110">
        <v>97</v>
      </c>
      <c r="B100" s="110" t="s">
        <v>54</v>
      </c>
      <c r="C100" s="111" t="str">
        <f ca="1">IFERROR(__xludf.DUMMYFUNCTION("""COMPUTED_VALUE"""),"г.о. Можайск")</f>
        <v>г.о. Можайск</v>
      </c>
      <c r="D100" s="111" t="str">
        <f ca="1">IFERROR(__xludf.DUMMYFUNCTION("""COMPUTED_VALUE"""),"Реконструкция ВЗУ Сокольниково ул. Верхнее Сокольниково Московская область, Можайский городской округ, с.п. Юрловское")</f>
        <v>Реконструкция ВЗУ Сокольниково ул. Верхнее Сокольниково Московская область, Можайский городской округ, с.п. Юрловское</v>
      </c>
      <c r="E100" s="111">
        <f ca="1">IFERROR(__xludf.DUMMYFUNCTION("""COMPUTED_VALUE"""),2023)</f>
        <v>2023</v>
      </c>
      <c r="F100" s="113">
        <f ca="1">IFERROR(__xludf.DUMMYFUNCTION("""COMPUTED_VALUE"""),0)</f>
        <v>0</v>
      </c>
      <c r="G100" s="113">
        <f ca="1">IFERROR(__xludf.DUMMYFUNCTION("""COMPUTED_VALUE"""),0)</f>
        <v>0</v>
      </c>
      <c r="H100" s="113">
        <f ca="1">IFERROR(__xludf.DUMMYFUNCTION("""COMPUTED_VALUE"""),0)</f>
        <v>0</v>
      </c>
      <c r="I100" s="111"/>
      <c r="J100" s="111">
        <f ca="1">IFERROR(__xludf.DUMMYFUNCTION("""COMPUTED_VALUE"""),0)</f>
        <v>0</v>
      </c>
      <c r="K100" s="113">
        <f ca="1">IFERROR(__xludf.DUMMYFUNCTION("""COMPUTED_VALUE"""),0)</f>
        <v>0</v>
      </c>
      <c r="L100" s="114" t="str">
        <f ca="1">IFERROR(__xludf.DUMMYFUNCTION("""COMPUTED_VALUE"""),"#DIV/0!")</f>
        <v>#DIV/0!</v>
      </c>
      <c r="M100" s="111"/>
      <c r="N100" s="111"/>
      <c r="O100" s="111"/>
      <c r="P100" s="111"/>
      <c r="Q100" s="112"/>
      <c r="R100" s="103"/>
      <c r="S100" s="103"/>
      <c r="T100" s="103"/>
      <c r="U100" s="103"/>
      <c r="V100" s="103"/>
      <c r="W100" s="103"/>
      <c r="X100" s="103"/>
      <c r="Y100" s="103"/>
      <c r="Z100" s="103"/>
      <c r="AA100" s="103"/>
    </row>
    <row r="101" spans="1:27" ht="51" x14ac:dyDescent="0.2">
      <c r="A101" s="110">
        <v>98</v>
      </c>
      <c r="B101" s="110" t="s">
        <v>54</v>
      </c>
      <c r="C101" s="111" t="str">
        <f ca="1">IFERROR(__xludf.DUMMYFUNCTION("""COMPUTED_VALUE"""),"г.о. Можайск")</f>
        <v>г.о. Можайск</v>
      </c>
      <c r="D101" s="111" t="str">
        <f ca="1">IFERROR(__xludf.DUMMYFUNCTION("""COMPUTED_VALUE"""),"Реконструкция ВЗУ Преснецово Московская область, Можайский городской округ, с.п. Юрловское, д. Преснецово")</f>
        <v>Реконструкция ВЗУ Преснецово Московская область, Можайский городской округ, с.п. Юрловское, д. Преснецово</v>
      </c>
      <c r="E101" s="111">
        <f ca="1">IFERROR(__xludf.DUMMYFUNCTION("""COMPUTED_VALUE"""),2023)</f>
        <v>2023</v>
      </c>
      <c r="F101" s="113">
        <f ca="1">IFERROR(__xludf.DUMMYFUNCTION("""COMPUTED_VALUE"""),0)</f>
        <v>0</v>
      </c>
      <c r="G101" s="113">
        <f ca="1">IFERROR(__xludf.DUMMYFUNCTION("""COMPUTED_VALUE"""),0)</f>
        <v>0</v>
      </c>
      <c r="H101" s="113">
        <f ca="1">IFERROR(__xludf.DUMMYFUNCTION("""COMPUTED_VALUE"""),0)</f>
        <v>0</v>
      </c>
      <c r="I101" s="111"/>
      <c r="J101" s="111">
        <f ca="1">IFERROR(__xludf.DUMMYFUNCTION("""COMPUTED_VALUE"""),0)</f>
        <v>0</v>
      </c>
      <c r="K101" s="113">
        <f ca="1">IFERROR(__xludf.DUMMYFUNCTION("""COMPUTED_VALUE"""),0)</f>
        <v>0</v>
      </c>
      <c r="L101" s="114" t="str">
        <f ca="1">IFERROR(__xludf.DUMMYFUNCTION("""COMPUTED_VALUE"""),"#DIV/0!")</f>
        <v>#DIV/0!</v>
      </c>
      <c r="M101" s="111"/>
      <c r="N101" s="111"/>
      <c r="O101" s="111"/>
      <c r="P101" s="111"/>
      <c r="Q101" s="112"/>
      <c r="R101" s="103"/>
      <c r="S101" s="103"/>
      <c r="T101" s="103"/>
      <c r="U101" s="103"/>
      <c r="V101" s="103"/>
      <c r="W101" s="103"/>
      <c r="X101" s="103"/>
      <c r="Y101" s="103"/>
      <c r="Z101" s="103"/>
      <c r="AA101" s="103"/>
    </row>
    <row r="102" spans="1:27" ht="51" x14ac:dyDescent="0.2">
      <c r="A102" s="110">
        <v>99</v>
      </c>
      <c r="B102" s="110" t="s">
        <v>54</v>
      </c>
      <c r="C102" s="111" t="str">
        <f ca="1">IFERROR(__xludf.DUMMYFUNCTION("""COMPUTED_VALUE"""),"г.о. Можайск")</f>
        <v>г.о. Можайск</v>
      </c>
      <c r="D102" s="111" t="str">
        <f ca="1">IFERROR(__xludf.DUMMYFUNCTION("""COMPUTED_VALUE"""),"Реконструкция ВЗУ Марфин Брод Московская область, Можайский городской округ, г.п. Можайск, д. Марфин Брод")</f>
        <v>Реконструкция ВЗУ Марфин Брод Московская область, Можайский городской округ, г.п. Можайск, д. Марфин Брод</v>
      </c>
      <c r="E102" s="111">
        <f ca="1">IFERROR(__xludf.DUMMYFUNCTION("""COMPUTED_VALUE"""),2023)</f>
        <v>2023</v>
      </c>
      <c r="F102" s="113">
        <f ca="1">IFERROR(__xludf.DUMMYFUNCTION("""COMPUTED_VALUE"""),0)</f>
        <v>0</v>
      </c>
      <c r="G102" s="113">
        <f ca="1">IFERROR(__xludf.DUMMYFUNCTION("""COMPUTED_VALUE"""),0)</f>
        <v>0</v>
      </c>
      <c r="H102" s="113">
        <f ca="1">IFERROR(__xludf.DUMMYFUNCTION("""COMPUTED_VALUE"""),0)</f>
        <v>0</v>
      </c>
      <c r="I102" s="111"/>
      <c r="J102" s="111">
        <f ca="1">IFERROR(__xludf.DUMMYFUNCTION("""COMPUTED_VALUE"""),0)</f>
        <v>0</v>
      </c>
      <c r="K102" s="113">
        <f ca="1">IFERROR(__xludf.DUMMYFUNCTION("""COMPUTED_VALUE"""),0)</f>
        <v>0</v>
      </c>
      <c r="L102" s="114" t="str">
        <f ca="1">IFERROR(__xludf.DUMMYFUNCTION("""COMPUTED_VALUE"""),"#DIV/0!")</f>
        <v>#DIV/0!</v>
      </c>
      <c r="M102" s="111"/>
      <c r="N102" s="111"/>
      <c r="O102" s="111"/>
      <c r="P102" s="111"/>
      <c r="Q102" s="112"/>
      <c r="R102" s="103"/>
      <c r="S102" s="103"/>
      <c r="T102" s="103"/>
      <c r="U102" s="103"/>
      <c r="V102" s="103"/>
      <c r="W102" s="103"/>
      <c r="X102" s="103"/>
      <c r="Y102" s="103"/>
      <c r="Z102" s="103"/>
      <c r="AA102" s="103"/>
    </row>
    <row r="103" spans="1:27" ht="51" x14ac:dyDescent="0.2">
      <c r="A103" s="110">
        <v>100</v>
      </c>
      <c r="B103" s="110" t="s">
        <v>54</v>
      </c>
      <c r="C103" s="111" t="str">
        <f ca="1">IFERROR(__xludf.DUMMYFUNCTION("""COMPUTED_VALUE"""),"г.о. Можайск")</f>
        <v>г.о. Можайск</v>
      </c>
      <c r="D103" s="111" t="str">
        <f ca="1">IFERROR(__xludf.DUMMYFUNCTION("""COMPUTED_VALUE"""),"Реконструкция ВЗУ Троица Московская область, Можайский городской округ, с.п. Бородинское, д. Троица")</f>
        <v>Реконструкция ВЗУ Троица Московская область, Можайский городской округ, с.п. Бородинское, д. Троица</v>
      </c>
      <c r="E103" s="111">
        <f ca="1">IFERROR(__xludf.DUMMYFUNCTION("""COMPUTED_VALUE"""),2023)</f>
        <v>2023</v>
      </c>
      <c r="F103" s="113">
        <f ca="1">IFERROR(__xludf.DUMMYFUNCTION("""COMPUTED_VALUE"""),0)</f>
        <v>0</v>
      </c>
      <c r="G103" s="113">
        <f ca="1">IFERROR(__xludf.DUMMYFUNCTION("""COMPUTED_VALUE"""),0)</f>
        <v>0</v>
      </c>
      <c r="H103" s="113">
        <f ca="1">IFERROR(__xludf.DUMMYFUNCTION("""COMPUTED_VALUE"""),0)</f>
        <v>0</v>
      </c>
      <c r="I103" s="111"/>
      <c r="J103" s="111">
        <f ca="1">IFERROR(__xludf.DUMMYFUNCTION("""COMPUTED_VALUE"""),0)</f>
        <v>0</v>
      </c>
      <c r="K103" s="113">
        <f ca="1">IFERROR(__xludf.DUMMYFUNCTION("""COMPUTED_VALUE"""),0)</f>
        <v>0</v>
      </c>
      <c r="L103" s="114" t="str">
        <f ca="1">IFERROR(__xludf.DUMMYFUNCTION("""COMPUTED_VALUE"""),"#DIV/0!")</f>
        <v>#DIV/0!</v>
      </c>
      <c r="M103" s="111"/>
      <c r="N103" s="111"/>
      <c r="O103" s="111"/>
      <c r="P103" s="111"/>
      <c r="Q103" s="112"/>
      <c r="R103" s="103"/>
      <c r="S103" s="103"/>
      <c r="T103" s="103"/>
      <c r="U103" s="103"/>
      <c r="V103" s="103"/>
      <c r="W103" s="103"/>
      <c r="X103" s="103"/>
      <c r="Y103" s="103"/>
      <c r="Z103" s="103"/>
      <c r="AA103" s="103"/>
    </row>
    <row r="104" spans="1:27" ht="38.25" x14ac:dyDescent="0.2">
      <c r="A104" s="110">
        <v>101</v>
      </c>
      <c r="B104" s="110" t="s">
        <v>54</v>
      </c>
      <c r="C104" s="111" t="str">
        <f ca="1">IFERROR(__xludf.DUMMYFUNCTION("""COMPUTED_VALUE"""),"г.о. Можайск")</f>
        <v>г.о. Можайск</v>
      </c>
      <c r="D104" s="111" t="str">
        <f ca="1">IFERROR(__xludf.DUMMYFUNCTION("""COMPUTED_VALUE"""),"Реконструкция ВЗУ Клементьево с.п. Клементьевское, д. Клементьево г.о. Можайский")</f>
        <v>Реконструкция ВЗУ Клементьево с.п. Клементьевское, д. Клементьево г.о. Можайский</v>
      </c>
      <c r="E104" s="111">
        <f ca="1">IFERROR(__xludf.DUMMYFUNCTION("""COMPUTED_VALUE"""),2023)</f>
        <v>2023</v>
      </c>
      <c r="F104" s="113">
        <f ca="1">IFERROR(__xludf.DUMMYFUNCTION("""COMPUTED_VALUE"""),0)</f>
        <v>0</v>
      </c>
      <c r="G104" s="113">
        <f ca="1">IFERROR(__xludf.DUMMYFUNCTION("""COMPUTED_VALUE"""),0)</f>
        <v>0</v>
      </c>
      <c r="H104" s="113">
        <f ca="1">IFERROR(__xludf.DUMMYFUNCTION("""COMPUTED_VALUE"""),0)</f>
        <v>0</v>
      </c>
      <c r="I104" s="111"/>
      <c r="J104" s="111">
        <f ca="1">IFERROR(__xludf.DUMMYFUNCTION("""COMPUTED_VALUE"""),0)</f>
        <v>0</v>
      </c>
      <c r="K104" s="113">
        <f ca="1">IFERROR(__xludf.DUMMYFUNCTION("""COMPUTED_VALUE"""),0)</f>
        <v>0</v>
      </c>
      <c r="L104" s="114" t="str">
        <f ca="1">IFERROR(__xludf.DUMMYFUNCTION("""COMPUTED_VALUE"""),"#DIV/0!")</f>
        <v>#DIV/0!</v>
      </c>
      <c r="M104" s="111"/>
      <c r="N104" s="111"/>
      <c r="O104" s="111"/>
      <c r="P104" s="111"/>
      <c r="Q104" s="112"/>
      <c r="R104" s="103"/>
      <c r="S104" s="103"/>
      <c r="T104" s="103"/>
      <c r="U104" s="103"/>
      <c r="V104" s="103"/>
      <c r="W104" s="103"/>
      <c r="X104" s="103"/>
      <c r="Y104" s="103"/>
      <c r="Z104" s="103"/>
      <c r="AA104" s="103"/>
    </row>
    <row r="105" spans="1:27" ht="63.75" x14ac:dyDescent="0.2">
      <c r="A105" s="110">
        <v>102</v>
      </c>
      <c r="B105" s="110" t="s">
        <v>54</v>
      </c>
      <c r="C105" s="111" t="str">
        <f ca="1">IFERROR(__xludf.DUMMYFUNCTION("""COMPUTED_VALUE"""),"г.о. Можайск")</f>
        <v>г.о. Можайск</v>
      </c>
      <c r="D105" s="111" t="str">
        <f ca="1">IFERROR(__xludf.DUMMYFUNCTION("""COMPUTED_VALUE"""),"Реконструкция ВЗУ Александрово Московская область, Можайский городской округ, с.п. Бородинское, п. учхоза Александрово")</f>
        <v>Реконструкция ВЗУ Александрово Московская область, Можайский городской округ, с.п. Бородинское, п. учхоза Александрово</v>
      </c>
      <c r="E105" s="111">
        <f ca="1">IFERROR(__xludf.DUMMYFUNCTION("""COMPUTED_VALUE"""),2023)</f>
        <v>2023</v>
      </c>
      <c r="F105" s="113">
        <f ca="1">IFERROR(__xludf.DUMMYFUNCTION("""COMPUTED_VALUE"""),0)</f>
        <v>0</v>
      </c>
      <c r="G105" s="113">
        <f ca="1">IFERROR(__xludf.DUMMYFUNCTION("""COMPUTED_VALUE"""),0)</f>
        <v>0</v>
      </c>
      <c r="H105" s="113">
        <f ca="1">IFERROR(__xludf.DUMMYFUNCTION("""COMPUTED_VALUE"""),0)</f>
        <v>0</v>
      </c>
      <c r="I105" s="111"/>
      <c r="J105" s="111">
        <f ca="1">IFERROR(__xludf.DUMMYFUNCTION("""COMPUTED_VALUE"""),0)</f>
        <v>0</v>
      </c>
      <c r="K105" s="113">
        <f ca="1">IFERROR(__xludf.DUMMYFUNCTION("""COMPUTED_VALUE"""),0)</f>
        <v>0</v>
      </c>
      <c r="L105" s="114" t="str">
        <f ca="1">IFERROR(__xludf.DUMMYFUNCTION("""COMPUTED_VALUE"""),"#DIV/0!")</f>
        <v>#DIV/0!</v>
      </c>
      <c r="M105" s="111"/>
      <c r="N105" s="111"/>
      <c r="O105" s="111"/>
      <c r="P105" s="111"/>
      <c r="Q105" s="112"/>
      <c r="R105" s="103"/>
      <c r="S105" s="103"/>
      <c r="T105" s="103"/>
      <c r="U105" s="103"/>
      <c r="V105" s="103"/>
      <c r="W105" s="103"/>
      <c r="X105" s="103"/>
      <c r="Y105" s="103"/>
      <c r="Z105" s="103"/>
      <c r="AA105" s="103"/>
    </row>
    <row r="106" spans="1:27" ht="51" x14ac:dyDescent="0.2">
      <c r="A106" s="110">
        <v>103</v>
      </c>
      <c r="B106" s="110" t="s">
        <v>54</v>
      </c>
      <c r="C106" s="111" t="str">
        <f ca="1">IFERROR(__xludf.DUMMYFUNCTION("""COMPUTED_VALUE"""),"г.о. Можайск")</f>
        <v>г.о. Можайск</v>
      </c>
      <c r="D106" s="111" t="str">
        <f ca="1">IFERROR(__xludf.DUMMYFUNCTION("""COMPUTED_VALUE"""),"Реконструкция ВЗУ Язево  Московская область, Можайский городской округ, с.п. Борисовское, д. Язево")</f>
        <v>Реконструкция ВЗУ Язево  Московская область, Можайский городской округ, с.п. Борисовское, д. Язево</v>
      </c>
      <c r="E106" s="111">
        <f ca="1">IFERROR(__xludf.DUMMYFUNCTION("""COMPUTED_VALUE"""),2023)</f>
        <v>2023</v>
      </c>
      <c r="F106" s="113">
        <f ca="1">IFERROR(__xludf.DUMMYFUNCTION("""COMPUTED_VALUE"""),0)</f>
        <v>0</v>
      </c>
      <c r="G106" s="113">
        <f ca="1">IFERROR(__xludf.DUMMYFUNCTION("""COMPUTED_VALUE"""),0)</f>
        <v>0</v>
      </c>
      <c r="H106" s="113">
        <f ca="1">IFERROR(__xludf.DUMMYFUNCTION("""COMPUTED_VALUE"""),0)</f>
        <v>0</v>
      </c>
      <c r="I106" s="111"/>
      <c r="J106" s="111">
        <f ca="1">IFERROR(__xludf.DUMMYFUNCTION("""COMPUTED_VALUE"""),0)</f>
        <v>0</v>
      </c>
      <c r="K106" s="113">
        <f ca="1">IFERROR(__xludf.DUMMYFUNCTION("""COMPUTED_VALUE"""),0)</f>
        <v>0</v>
      </c>
      <c r="L106" s="114" t="str">
        <f ca="1">IFERROR(__xludf.DUMMYFUNCTION("""COMPUTED_VALUE"""),"#DIV/0!")</f>
        <v>#DIV/0!</v>
      </c>
      <c r="M106" s="111"/>
      <c r="N106" s="111"/>
      <c r="O106" s="111"/>
      <c r="P106" s="111"/>
      <c r="Q106" s="112"/>
      <c r="R106" s="103"/>
      <c r="S106" s="103"/>
      <c r="T106" s="103"/>
      <c r="U106" s="103"/>
      <c r="V106" s="103"/>
      <c r="W106" s="103"/>
      <c r="X106" s="103"/>
      <c r="Y106" s="103"/>
      <c r="Z106" s="103"/>
      <c r="AA106" s="103"/>
    </row>
    <row r="107" spans="1:27" ht="51" x14ac:dyDescent="0.2">
      <c r="A107" s="110">
        <v>104</v>
      </c>
      <c r="B107" s="110" t="s">
        <v>54</v>
      </c>
      <c r="C107" s="111" t="str">
        <f ca="1">IFERROR(__xludf.DUMMYFUNCTION("""COMPUTED_VALUE"""),"г.о. Можайск")</f>
        <v>г.о. Можайск</v>
      </c>
      <c r="D107" s="111"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E107" s="111">
        <f ca="1">IFERROR(__xludf.DUMMYFUNCTION("""COMPUTED_VALUE"""),2023)</f>
        <v>2023</v>
      </c>
      <c r="F107" s="113">
        <f ca="1">IFERROR(__xludf.DUMMYFUNCTION("""COMPUTED_VALUE"""),0)</f>
        <v>0</v>
      </c>
      <c r="G107" s="113">
        <f ca="1">IFERROR(__xludf.DUMMYFUNCTION("""COMPUTED_VALUE"""),0)</f>
        <v>0</v>
      </c>
      <c r="H107" s="113">
        <f ca="1">IFERROR(__xludf.DUMMYFUNCTION("""COMPUTED_VALUE"""),0)</f>
        <v>0</v>
      </c>
      <c r="I107" s="111"/>
      <c r="J107" s="111">
        <f ca="1">IFERROR(__xludf.DUMMYFUNCTION("""COMPUTED_VALUE"""),0)</f>
        <v>0</v>
      </c>
      <c r="K107" s="113">
        <f ca="1">IFERROR(__xludf.DUMMYFUNCTION("""COMPUTED_VALUE"""),0)</f>
        <v>0</v>
      </c>
      <c r="L107" s="114" t="str">
        <f ca="1">IFERROR(__xludf.DUMMYFUNCTION("""COMPUTED_VALUE"""),"#DIV/0!")</f>
        <v>#DIV/0!</v>
      </c>
      <c r="M107" s="111"/>
      <c r="N107" s="111"/>
      <c r="O107" s="111"/>
      <c r="P107" s="111"/>
      <c r="Q107" s="112"/>
      <c r="R107" s="103"/>
      <c r="S107" s="103"/>
      <c r="T107" s="103"/>
      <c r="U107" s="103"/>
      <c r="V107" s="103"/>
      <c r="W107" s="103"/>
      <c r="X107" s="103"/>
      <c r="Y107" s="103"/>
      <c r="Z107" s="103"/>
      <c r="AA107" s="103"/>
    </row>
    <row r="108" spans="1:27" ht="63.75" x14ac:dyDescent="0.2">
      <c r="A108" s="110">
        <v>105</v>
      </c>
      <c r="B108" s="110" t="s">
        <v>54</v>
      </c>
      <c r="C108" s="111" t="str">
        <f ca="1">IFERROR(__xludf.DUMMYFUNCTION("""COMPUTED_VALUE"""),"г.о. Волоколамский")</f>
        <v>г.о. Волоколамский</v>
      </c>
      <c r="D108" s="111" t="str">
        <f ca="1">IFERROR(__xludf.DUMMYFUNCTION("""COMPUTED_VALUE"""),"Строительство ВЗУ по адресу: г. Волоколамск, ул. Пороховская (в том числе корректировка проекта) (в том числе кредиторская задолженность)")</f>
        <v>Строительство ВЗУ по адресу: г. Волоколамск, ул. Пороховская (в том числе корректировка проекта) (в том числе кредиторская задолженность)</v>
      </c>
      <c r="E108" s="111" t="str">
        <f ca="1">IFERROR(__xludf.DUMMYFUNCTION("""COMPUTED_VALUE"""),"2020-2022")</f>
        <v>2020-2022</v>
      </c>
      <c r="F108" s="113">
        <f ca="1">IFERROR(__xludf.DUMMYFUNCTION("""COMPUTED_VALUE"""),7092)</f>
        <v>7092</v>
      </c>
      <c r="G108" s="113">
        <f ca="1">IFERROR(__xludf.DUMMYFUNCTION("""COMPUTED_VALUE"""),7092)</f>
        <v>7092</v>
      </c>
      <c r="H108" s="113">
        <f ca="1">IFERROR(__xludf.DUMMYFUNCTION("""COMPUTED_VALUE"""),0)</f>
        <v>0</v>
      </c>
      <c r="I108" s="113">
        <f ca="1">IFERROR(__xludf.DUMMYFUNCTION("""COMPUTED_VALUE"""),0)</f>
        <v>0</v>
      </c>
      <c r="J108" s="111">
        <f ca="1">IFERROR(__xludf.DUMMYFUNCTION("""COMPUTED_VALUE"""),7092)</f>
        <v>7092</v>
      </c>
      <c r="K108" s="113">
        <f ca="1">IFERROR(__xludf.DUMMYFUNCTION("""COMPUTED_VALUE"""),0)</f>
        <v>0</v>
      </c>
      <c r="L108" s="114">
        <f ca="1">IFERROR(__xludf.DUMMYFUNCTION("""COMPUTED_VALUE"""),1)</f>
        <v>1</v>
      </c>
      <c r="M108" s="111"/>
      <c r="N108" s="110" t="s">
        <v>554</v>
      </c>
      <c r="O108" s="111"/>
      <c r="P108" s="111"/>
      <c r="Q108" s="112"/>
      <c r="R108" s="103"/>
      <c r="S108" s="103"/>
      <c r="T108" s="103"/>
      <c r="U108" s="103"/>
      <c r="V108" s="103"/>
      <c r="W108" s="103"/>
      <c r="X108" s="103"/>
      <c r="Y108" s="103"/>
      <c r="Z108" s="103"/>
      <c r="AA108" s="103"/>
    </row>
    <row r="109" spans="1:27" ht="63.75" x14ac:dyDescent="0.2">
      <c r="A109" s="110">
        <v>106</v>
      </c>
      <c r="B109" s="110" t="s">
        <v>54</v>
      </c>
      <c r="C109" s="111" t="str">
        <f ca="1">IFERROR(__xludf.DUMMYFUNCTION("""COMPUTED_VALUE"""),"г.о. Луховицы")</f>
        <v>г.о. Луховицы</v>
      </c>
      <c r="D109" s="111" t="str">
        <f ca="1">IFERROR(__xludf.DUMMYFUNCTION("""COMPUTED_VALUE"""),"Строительство ВЗУ с установкой станции обезжелезивания по адресу: городской округ Луховицы,  д. Круглово (в т.ч. ПИР)")</f>
        <v>Строительство ВЗУ с установкой станции обезжелезивания по адресу: городской округ Луховицы,  д. Круглово (в т.ч. ПИР)</v>
      </c>
      <c r="E109" s="111">
        <f ca="1">IFERROR(__xludf.DUMMYFUNCTION("""COMPUTED_VALUE"""),2020)</f>
        <v>2020</v>
      </c>
      <c r="F109" s="113">
        <f ca="1">IFERROR(__xludf.DUMMYFUNCTION("""COMPUTED_VALUE"""),22586)</f>
        <v>22586</v>
      </c>
      <c r="G109" s="113">
        <f ca="1">IFERROR(__xludf.DUMMYFUNCTION("""COMPUTED_VALUE"""),22586)</f>
        <v>22586</v>
      </c>
      <c r="H109" s="113">
        <f ca="1">IFERROR(__xludf.DUMMYFUNCTION("""COMPUTED_VALUE"""),0)</f>
        <v>0</v>
      </c>
      <c r="I109" s="113">
        <f ca="1">IFERROR(__xludf.DUMMYFUNCTION("""COMPUTED_VALUE"""),0)</f>
        <v>0</v>
      </c>
      <c r="J109" s="111">
        <f ca="1">IFERROR(__xludf.DUMMYFUNCTION("""COMPUTED_VALUE"""),22025.66)</f>
        <v>22025.66</v>
      </c>
      <c r="K109" s="113">
        <f ca="1">IFERROR(__xludf.DUMMYFUNCTION("""COMPUTED_VALUE"""),560.34)</f>
        <v>560.34</v>
      </c>
      <c r="L109" s="114">
        <f ca="1">IFERROR(__xludf.DUMMYFUNCTION("""COMPUTED_VALUE"""),0.975190826175506)</f>
        <v>0.97519082617550601</v>
      </c>
      <c r="M109" s="111" t="str">
        <f ca="1">IFERROR(__xludf.DUMMYFUNCTION("""COMPUTED_VALUE"""),"РС получено. Необходимо запросить график оплат до конца 2020 года. Лимиты в бюджетной заявке исключены.")</f>
        <v>РС получено. Необходимо запросить график оплат до конца 2020 года. Лимиты в бюджетной заявке исключены.</v>
      </c>
      <c r="N109" s="110" t="s">
        <v>554</v>
      </c>
      <c r="O109" s="111"/>
      <c r="P109" s="111"/>
      <c r="Q109" s="112"/>
      <c r="R109" s="103"/>
      <c r="S109" s="103"/>
      <c r="T109" s="103"/>
      <c r="U109" s="103"/>
      <c r="V109" s="103"/>
      <c r="W109" s="103"/>
      <c r="X109" s="103"/>
      <c r="Y109" s="103"/>
      <c r="Z109" s="103"/>
      <c r="AA109" s="103"/>
    </row>
    <row r="110" spans="1:27" ht="63.75" x14ac:dyDescent="0.2">
      <c r="A110" s="110">
        <v>107</v>
      </c>
      <c r="B110" s="110" t="s">
        <v>54</v>
      </c>
      <c r="C110" s="111" t="str">
        <f ca="1">IFERROR(__xludf.DUMMYFUNCTION("""COMPUTED_VALUE"""),"г.о. Можайск")</f>
        <v>г.о. Можайск</v>
      </c>
      <c r="D110" s="111" t="str">
        <f ca="1">IFERROR(__xludf.DUMMYFUNCTION("""COMPUTED_VALUE"""),"Реконструкция ВЗУ, расположенного по адресу: Московская область, Можайский район, п. Спутник  (в том числе ПИР)")</f>
        <v>Реконструкция ВЗУ, расположенного по адресу: Московская область, Можайский район, п. Спутник  (в том числе ПИР)</v>
      </c>
      <c r="E110" s="111">
        <f ca="1">IFERROR(__xludf.DUMMYFUNCTION("""COMPUTED_VALUE"""),2020)</f>
        <v>2020</v>
      </c>
      <c r="F110" s="113">
        <f ca="1">IFERROR(__xludf.DUMMYFUNCTION("""COMPUTED_VALUE"""),30816)</f>
        <v>30816</v>
      </c>
      <c r="G110" s="113">
        <f ca="1">IFERROR(__xludf.DUMMYFUNCTION("""COMPUTED_VALUE"""),30816)</f>
        <v>30816</v>
      </c>
      <c r="H110" s="113">
        <f ca="1">IFERROR(__xludf.DUMMYFUNCTION("""COMPUTED_VALUE"""),0)</f>
        <v>0</v>
      </c>
      <c r="I110" s="113">
        <f ca="1">IFERROR(__xludf.DUMMYFUNCTION("""COMPUTED_VALUE"""),0)</f>
        <v>0</v>
      </c>
      <c r="J110" s="111">
        <f ca="1">IFERROR(__xludf.DUMMYFUNCTION("""COMPUTED_VALUE"""),30176.4)</f>
        <v>30176.400000000001</v>
      </c>
      <c r="K110" s="113">
        <f ca="1">IFERROR(__xludf.DUMMYFUNCTION("""COMPUTED_VALUE"""),639.599999999998)</f>
        <v>639.59999999999798</v>
      </c>
      <c r="L110" s="114">
        <f ca="1">IFERROR(__xludf.DUMMYFUNCTION("""COMPUTED_VALUE"""),0.979244548286604)</f>
        <v>0.97924454828660401</v>
      </c>
      <c r="M110" s="111" t="str">
        <f ca="1">IFERROR(__xludf.DUMMYFUNCTION("""COMPUTED_VALUE"""),"Отсутствует РС. Не представлена дорожная карта по получению РС.")</f>
        <v>Отсутствует РС. Не представлена дорожная карта по получению РС.</v>
      </c>
      <c r="N110" s="110" t="s">
        <v>553</v>
      </c>
      <c r="O110" s="111"/>
      <c r="P110" s="111"/>
      <c r="Q110" s="112"/>
      <c r="R110" s="103"/>
      <c r="S110" s="103"/>
      <c r="T110" s="103"/>
      <c r="U110" s="103"/>
      <c r="V110" s="103"/>
      <c r="W110" s="103"/>
      <c r="X110" s="103"/>
      <c r="Y110" s="103"/>
      <c r="Z110" s="103"/>
      <c r="AA110" s="103"/>
    </row>
    <row r="111" spans="1:27" ht="76.5" x14ac:dyDescent="0.2">
      <c r="A111" s="110">
        <v>108</v>
      </c>
      <c r="B111" s="110" t="s">
        <v>54</v>
      </c>
      <c r="C111" s="111" t="str">
        <f ca="1">IFERROR(__xludf.DUMMYFUNCTION("""COMPUTED_VALUE"""),"г.о. Воскресенск")</f>
        <v>г.о. Воскресенск</v>
      </c>
      <c r="D111" s="111"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 (в том числе ПИР)")</f>
        <v>Реконструкция ВЗУ Степанщино Воскресенский м.р., с устройством РЧВ 500 м. куб. и установкой станции обезжелезования; бурение доп. артскважин (в том числе ПИР)</v>
      </c>
      <c r="E111" s="111">
        <f ca="1">IFERROR(__xludf.DUMMYFUNCTION("""COMPUTED_VALUE"""),2020)</f>
        <v>2020</v>
      </c>
      <c r="F111" s="113">
        <f ca="1">IFERROR(__xludf.DUMMYFUNCTION("""COMPUTED_VALUE"""),9715)</f>
        <v>9715</v>
      </c>
      <c r="G111" s="113">
        <f ca="1">IFERROR(__xludf.DUMMYFUNCTION("""COMPUTED_VALUE"""),9715)</f>
        <v>9715</v>
      </c>
      <c r="H111" s="113">
        <f ca="1">IFERROR(__xludf.DUMMYFUNCTION("""COMPUTED_VALUE"""),0)</f>
        <v>0</v>
      </c>
      <c r="I111" s="113">
        <f ca="1">IFERROR(__xludf.DUMMYFUNCTION("""COMPUTED_VALUE"""),0)</f>
        <v>0</v>
      </c>
      <c r="J111" s="111">
        <f ca="1">IFERROR(__xludf.DUMMYFUNCTION("""COMPUTED_VALUE"""),0)</f>
        <v>0</v>
      </c>
      <c r="K111" s="113">
        <f ca="1">IFERROR(__xludf.DUMMYFUNCTION("""COMPUTED_VALUE"""),9715)</f>
        <v>9715</v>
      </c>
      <c r="L111" s="114">
        <f ca="1">IFERROR(__xludf.DUMMYFUNCTION("""COMPUTED_VALUE"""),0)</f>
        <v>0</v>
      </c>
      <c r="M111" s="111" t="str">
        <f ca="1">IFERROR(__xludf.DUMMYFUNCTION("""COMPUTED_VALUE"""),"Нарушен срок получения положительного заключения государственной экспертизы.")</f>
        <v>Нарушен срок получения положительного заключения государственной экспертизы.</v>
      </c>
      <c r="N111" s="110" t="s">
        <v>554</v>
      </c>
      <c r="O111" s="111"/>
      <c r="P111" s="111"/>
      <c r="Q111" s="115">
        <v>44154</v>
      </c>
      <c r="R111" s="103"/>
      <c r="S111" s="103"/>
      <c r="T111" s="103"/>
      <c r="U111" s="103"/>
      <c r="V111" s="103"/>
      <c r="W111" s="103"/>
      <c r="X111" s="103"/>
      <c r="Y111" s="103"/>
      <c r="Z111" s="103"/>
      <c r="AA111" s="103"/>
    </row>
    <row r="112" spans="1:27" ht="38.25" x14ac:dyDescent="0.2">
      <c r="A112" s="110">
        <v>109</v>
      </c>
      <c r="B112" s="110" t="s">
        <v>54</v>
      </c>
      <c r="C112" s="111" t="str">
        <f ca="1">IFERROR(__xludf.DUMMYFUNCTION("""COMPUTED_VALUE"""),"г.о. Серпухов")</f>
        <v>г.о. Серпухов</v>
      </c>
      <c r="D112" s="111" t="str">
        <f ca="1">IFERROR(__xludf.DUMMYFUNCTION("""COMPUTED_VALUE"""),"Строительство ВЗУ в  д. Глазово, Серпуховский м.р. (в том числе ПИР)")</f>
        <v>Строительство ВЗУ в  д. Глазово, Серпуховский м.р. (в том числе ПИР)</v>
      </c>
      <c r="E112" s="111">
        <f ca="1">IFERROR(__xludf.DUMMYFUNCTION("""COMPUTED_VALUE"""),2022)</f>
        <v>2022</v>
      </c>
      <c r="F112" s="113">
        <f ca="1">IFERROR(__xludf.DUMMYFUNCTION("""COMPUTED_VALUE"""),0)</f>
        <v>0</v>
      </c>
      <c r="G112" s="113">
        <f ca="1">IFERROR(__xludf.DUMMYFUNCTION("""COMPUTED_VALUE"""),0)</f>
        <v>0</v>
      </c>
      <c r="H112" s="113">
        <f ca="1">IFERROR(__xludf.DUMMYFUNCTION("""COMPUTED_VALUE"""),0)</f>
        <v>0</v>
      </c>
      <c r="I112" s="113">
        <f ca="1">IFERROR(__xludf.DUMMYFUNCTION("""COMPUTED_VALUE"""),0)</f>
        <v>0</v>
      </c>
      <c r="J112" s="111">
        <f ca="1">IFERROR(__xludf.DUMMYFUNCTION("""COMPUTED_VALUE"""),0)</f>
        <v>0</v>
      </c>
      <c r="K112" s="113">
        <f ca="1">IFERROR(__xludf.DUMMYFUNCTION("""COMPUTED_VALUE"""),0)</f>
        <v>0</v>
      </c>
      <c r="L112" s="114" t="str">
        <f ca="1">IFERROR(__xludf.DUMMYFUNCTION("""COMPUTED_VALUE"""),"#DIV/0!")</f>
        <v>#DIV/0!</v>
      </c>
      <c r="M112" s="111"/>
      <c r="N112" s="111"/>
      <c r="O112" s="111"/>
      <c r="P112" s="111"/>
      <c r="Q112" s="112"/>
      <c r="R112" s="103"/>
      <c r="S112" s="103"/>
      <c r="T112" s="103"/>
      <c r="U112" s="103"/>
      <c r="V112" s="103"/>
      <c r="W112" s="103"/>
      <c r="X112" s="103"/>
      <c r="Y112" s="103"/>
      <c r="Z112" s="103"/>
      <c r="AA112" s="103"/>
    </row>
    <row r="113" spans="1:27" ht="38.25" x14ac:dyDescent="0.2">
      <c r="A113" s="110">
        <v>110</v>
      </c>
      <c r="B113" s="110" t="s">
        <v>54</v>
      </c>
      <c r="C113" s="111" t="str">
        <f ca="1">IFERROR(__xludf.DUMMYFUNCTION("""COMPUTED_VALUE"""),"г.о. Серпухов")</f>
        <v>г.о. Серпухов</v>
      </c>
      <c r="D113" s="111" t="str">
        <f ca="1">IFERROR(__xludf.DUMMYFUNCTION("""COMPUTED_VALUE"""),"Строительство ВЗУ в д. Селино, д. Вечери, Серпуховский м.р. (в том числе ПИР)")</f>
        <v>Строительство ВЗУ в д. Селино, д. Вечери, Серпуховский м.р. (в том числе ПИР)</v>
      </c>
      <c r="E113" s="111">
        <f ca="1">IFERROR(__xludf.DUMMYFUNCTION("""COMPUTED_VALUE"""),2022)</f>
        <v>2022</v>
      </c>
      <c r="F113" s="113">
        <f ca="1">IFERROR(__xludf.DUMMYFUNCTION("""COMPUTED_VALUE"""),0)</f>
        <v>0</v>
      </c>
      <c r="G113" s="113">
        <f ca="1">IFERROR(__xludf.DUMMYFUNCTION("""COMPUTED_VALUE"""),0)</f>
        <v>0</v>
      </c>
      <c r="H113" s="113">
        <f ca="1">IFERROR(__xludf.DUMMYFUNCTION("""COMPUTED_VALUE"""),0)</f>
        <v>0</v>
      </c>
      <c r="I113" s="113">
        <f ca="1">IFERROR(__xludf.DUMMYFUNCTION("""COMPUTED_VALUE"""),0)</f>
        <v>0</v>
      </c>
      <c r="J113" s="111">
        <f ca="1">IFERROR(__xludf.DUMMYFUNCTION("""COMPUTED_VALUE"""),0)</f>
        <v>0</v>
      </c>
      <c r="K113" s="113">
        <f ca="1">IFERROR(__xludf.DUMMYFUNCTION("""COMPUTED_VALUE"""),0)</f>
        <v>0</v>
      </c>
      <c r="L113" s="114" t="str">
        <f ca="1">IFERROR(__xludf.DUMMYFUNCTION("""COMPUTED_VALUE"""),"#DIV/0!")</f>
        <v>#DIV/0!</v>
      </c>
      <c r="M113" s="111"/>
      <c r="N113" s="111"/>
      <c r="O113" s="111"/>
      <c r="P113" s="111"/>
      <c r="Q113" s="112"/>
      <c r="R113" s="103"/>
      <c r="S113" s="103"/>
      <c r="T113" s="103"/>
      <c r="U113" s="103"/>
      <c r="V113" s="103"/>
      <c r="W113" s="103"/>
      <c r="X113" s="103"/>
      <c r="Y113" s="103"/>
      <c r="Z113" s="103"/>
      <c r="AA113" s="103"/>
    </row>
    <row r="114" spans="1:27" ht="38.25" x14ac:dyDescent="0.2">
      <c r="A114" s="110">
        <v>111</v>
      </c>
      <c r="B114" s="110" t="s">
        <v>54</v>
      </c>
      <c r="C114" s="111" t="str">
        <f ca="1">IFERROR(__xludf.DUMMYFUNCTION("""COMPUTED_VALUE"""),"г.о. Серпухов")</f>
        <v>г.о. Серпухов</v>
      </c>
      <c r="D114" s="111" t="str">
        <f ca="1">IFERROR(__xludf.DUMMYFUNCTION("""COMPUTED_VALUE"""),"Строительство ВЗУ в д. Б. Грызлово, Серпуховский м.р. (в том числе ПИР)")</f>
        <v>Строительство ВЗУ в д. Б. Грызлово, Серпуховский м.р. (в том числе ПИР)</v>
      </c>
      <c r="E114" s="111">
        <f ca="1">IFERROR(__xludf.DUMMYFUNCTION("""COMPUTED_VALUE"""),2022)</f>
        <v>2022</v>
      </c>
      <c r="F114" s="113">
        <f ca="1">IFERROR(__xludf.DUMMYFUNCTION("""COMPUTED_VALUE"""),0)</f>
        <v>0</v>
      </c>
      <c r="G114" s="113">
        <f ca="1">IFERROR(__xludf.DUMMYFUNCTION("""COMPUTED_VALUE"""),0)</f>
        <v>0</v>
      </c>
      <c r="H114" s="113">
        <f ca="1">IFERROR(__xludf.DUMMYFUNCTION("""COMPUTED_VALUE"""),0)</f>
        <v>0</v>
      </c>
      <c r="I114" s="113">
        <f ca="1">IFERROR(__xludf.DUMMYFUNCTION("""COMPUTED_VALUE"""),0)</f>
        <v>0</v>
      </c>
      <c r="J114" s="111">
        <f ca="1">IFERROR(__xludf.DUMMYFUNCTION("""COMPUTED_VALUE"""),0)</f>
        <v>0</v>
      </c>
      <c r="K114" s="113">
        <f ca="1">IFERROR(__xludf.DUMMYFUNCTION("""COMPUTED_VALUE"""),0)</f>
        <v>0</v>
      </c>
      <c r="L114" s="114" t="str">
        <f ca="1">IFERROR(__xludf.DUMMYFUNCTION("""COMPUTED_VALUE"""),"#DIV/0!")</f>
        <v>#DIV/0!</v>
      </c>
      <c r="M114" s="111"/>
      <c r="N114" s="111"/>
      <c r="O114" s="111"/>
      <c r="P114" s="111"/>
      <c r="Q114" s="112"/>
      <c r="R114" s="103"/>
      <c r="S114" s="103"/>
      <c r="T114" s="103"/>
      <c r="U114" s="103"/>
      <c r="V114" s="103"/>
      <c r="W114" s="103"/>
      <c r="X114" s="103"/>
      <c r="Y114" s="103"/>
      <c r="Z114" s="103"/>
      <c r="AA114" s="103"/>
    </row>
    <row r="115" spans="1:27" ht="38.25" x14ac:dyDescent="0.2">
      <c r="A115" s="110">
        <v>112</v>
      </c>
      <c r="B115" s="110" t="s">
        <v>54</v>
      </c>
      <c r="C115" s="111" t="str">
        <f ca="1">IFERROR(__xludf.DUMMYFUNCTION("""COMPUTED_VALUE"""),"г.о. Серпухов")</f>
        <v>г.о. Серпухов</v>
      </c>
      <c r="D115" s="111" t="str">
        <f ca="1">IFERROR(__xludf.DUMMYFUNCTION("""COMPUTED_VALUE"""),"Строительство ВЗУ в д. Калугино, Серпуховский м.р. (в том числе ПИР)")</f>
        <v>Строительство ВЗУ в д. Калугино, Серпуховский м.р. (в том числе ПИР)</v>
      </c>
      <c r="E115" s="111">
        <f ca="1">IFERROR(__xludf.DUMMYFUNCTION("""COMPUTED_VALUE"""),2022)</f>
        <v>2022</v>
      </c>
      <c r="F115" s="113">
        <f ca="1">IFERROR(__xludf.DUMMYFUNCTION("""COMPUTED_VALUE"""),0)</f>
        <v>0</v>
      </c>
      <c r="G115" s="113">
        <f ca="1">IFERROR(__xludf.DUMMYFUNCTION("""COMPUTED_VALUE"""),0)</f>
        <v>0</v>
      </c>
      <c r="H115" s="113">
        <f ca="1">IFERROR(__xludf.DUMMYFUNCTION("""COMPUTED_VALUE"""),0)</f>
        <v>0</v>
      </c>
      <c r="I115" s="113">
        <f ca="1">IFERROR(__xludf.DUMMYFUNCTION("""COMPUTED_VALUE"""),0)</f>
        <v>0</v>
      </c>
      <c r="J115" s="111">
        <f ca="1">IFERROR(__xludf.DUMMYFUNCTION("""COMPUTED_VALUE"""),0)</f>
        <v>0</v>
      </c>
      <c r="K115" s="113">
        <f ca="1">IFERROR(__xludf.DUMMYFUNCTION("""COMPUTED_VALUE"""),0)</f>
        <v>0</v>
      </c>
      <c r="L115" s="114" t="str">
        <f ca="1">IFERROR(__xludf.DUMMYFUNCTION("""COMPUTED_VALUE"""),"#DIV/0!")</f>
        <v>#DIV/0!</v>
      </c>
      <c r="M115" s="111"/>
      <c r="N115" s="111"/>
      <c r="O115" s="111"/>
      <c r="P115" s="111"/>
      <c r="Q115" s="112"/>
      <c r="R115" s="103"/>
      <c r="S115" s="103"/>
      <c r="T115" s="103"/>
      <c r="U115" s="103"/>
      <c r="V115" s="103"/>
      <c r="W115" s="103"/>
      <c r="X115" s="103"/>
      <c r="Y115" s="103"/>
      <c r="Z115" s="103"/>
      <c r="AA115" s="103"/>
    </row>
    <row r="116" spans="1:27" ht="63.75" x14ac:dyDescent="0.2">
      <c r="A116" s="110">
        <v>113</v>
      </c>
      <c r="B116" s="110" t="s">
        <v>54</v>
      </c>
      <c r="C116" s="111" t="str">
        <f ca="1">IFERROR(__xludf.DUMMYFUNCTION("""COMPUTED_VALUE"""),"г.о. Фрязино")</f>
        <v>г.о. Фрязино</v>
      </c>
      <c r="D116" s="111" t="str">
        <f ca="1">IFERROR(__xludf.DUMMYFUNCTION("""COMPUTED_VALUE"""),"Реконструкция  ВЗУ №4 с установкой станции водоподготовки , г. Фрязино,  Окружной проезд, дом 2, стр. 1 (ПИР)                                         ")</f>
        <v xml:space="preserve">Реконструкция  ВЗУ №4 с установкой станции водоподготовки , г. Фрязино,  Окружной проезд, дом 2, стр. 1 (ПИР)                                         </v>
      </c>
      <c r="E116" s="111">
        <f ca="1">IFERROR(__xludf.DUMMYFUNCTION("""COMPUTED_VALUE"""),2020)</f>
        <v>2020</v>
      </c>
      <c r="F116" s="113">
        <f ca="1">IFERROR(__xludf.DUMMYFUNCTION("""COMPUTED_VALUE"""),14502)</f>
        <v>14502</v>
      </c>
      <c r="G116" s="113">
        <f ca="1">IFERROR(__xludf.DUMMYFUNCTION("""COMPUTED_VALUE"""),14502)</f>
        <v>14502</v>
      </c>
      <c r="H116" s="113">
        <f ca="1">IFERROR(__xludf.DUMMYFUNCTION("""COMPUTED_VALUE"""),0)</f>
        <v>0</v>
      </c>
      <c r="I116" s="113">
        <f ca="1">IFERROR(__xludf.DUMMYFUNCTION("""COMPUTED_VALUE"""),0)</f>
        <v>0</v>
      </c>
      <c r="J116" s="111">
        <f ca="1">IFERROR(__xludf.DUMMYFUNCTION("""COMPUTED_VALUE"""),14502)</f>
        <v>14502</v>
      </c>
      <c r="K116" s="113">
        <f ca="1">IFERROR(__xludf.DUMMYFUNCTION("""COMPUTED_VALUE"""),0)</f>
        <v>0</v>
      </c>
      <c r="L116" s="114">
        <f ca="1">IFERROR(__xludf.DUMMYFUNCTION("""COMPUTED_VALUE"""),1)</f>
        <v>1</v>
      </c>
      <c r="M116" s="113" t="str">
        <f ca="1">IFERROR(__xludf.DUMMYFUNCTION("""COMPUTED_VALUE"""),"только бмо, завершено")</f>
        <v>только бмо, завершено</v>
      </c>
      <c r="N116" s="110" t="s">
        <v>555</v>
      </c>
      <c r="O116" s="111"/>
      <c r="P116" s="111"/>
      <c r="Q116" s="112"/>
      <c r="R116" s="103"/>
      <c r="S116" s="103"/>
      <c r="T116" s="103"/>
      <c r="U116" s="103"/>
      <c r="V116" s="103"/>
      <c r="W116" s="103"/>
      <c r="X116" s="103"/>
      <c r="Y116" s="103"/>
      <c r="Z116" s="103"/>
      <c r="AA116" s="103"/>
    </row>
    <row r="117" spans="1:27" ht="51" x14ac:dyDescent="0.2">
      <c r="A117" s="110">
        <v>114</v>
      </c>
      <c r="B117" s="110" t="s">
        <v>54</v>
      </c>
      <c r="C117" s="111" t="str">
        <f ca="1">IFERROR(__xludf.DUMMYFUNCTION("""COMPUTED_VALUE"""),"г.о. Фрязино")</f>
        <v>г.о. Фрязино</v>
      </c>
      <c r="D117" s="111" t="str">
        <f ca="1">IFERROR(__xludf.DUMMYFUNCTION("""COMPUTED_VALUE"""),"Реконструкция  ВЗУ №5 с установкой станции водоподготовки, г. Фрязино, пл. Введенского, дом 1, стр. 1   (ПИР)                                            ")</f>
        <v xml:space="preserve">Реконструкция  ВЗУ №5 с установкой станции водоподготовки, г. Фрязино, пл. Введенского, дом 1, стр. 1   (ПИР)                                            </v>
      </c>
      <c r="E117" s="111">
        <f ca="1">IFERROR(__xludf.DUMMYFUNCTION("""COMPUTED_VALUE"""),2020)</f>
        <v>2020</v>
      </c>
      <c r="F117" s="113">
        <f ca="1">IFERROR(__xludf.DUMMYFUNCTION("""COMPUTED_VALUE"""),12593)</f>
        <v>12593</v>
      </c>
      <c r="G117" s="113">
        <f ca="1">IFERROR(__xludf.DUMMYFUNCTION("""COMPUTED_VALUE"""),12593)</f>
        <v>12593</v>
      </c>
      <c r="H117" s="113">
        <f ca="1">IFERROR(__xludf.DUMMYFUNCTION("""COMPUTED_VALUE"""),0)</f>
        <v>0</v>
      </c>
      <c r="I117" s="113">
        <f ca="1">IFERROR(__xludf.DUMMYFUNCTION("""COMPUTED_VALUE"""),0)</f>
        <v>0</v>
      </c>
      <c r="J117" s="111">
        <f ca="1">IFERROR(__xludf.DUMMYFUNCTION("""COMPUTED_VALUE"""),12593)</f>
        <v>12593</v>
      </c>
      <c r="K117" s="113">
        <f ca="1">IFERROR(__xludf.DUMMYFUNCTION("""COMPUTED_VALUE"""),0)</f>
        <v>0</v>
      </c>
      <c r="L117" s="114">
        <f ca="1">IFERROR(__xludf.DUMMYFUNCTION("""COMPUTED_VALUE"""),1)</f>
        <v>1</v>
      </c>
      <c r="M117" s="113" t="str">
        <f ca="1">IFERROR(__xludf.DUMMYFUNCTION("""COMPUTED_VALUE"""),"только бмо, завершено")</f>
        <v>только бмо, завершено</v>
      </c>
      <c r="N117" s="110" t="s">
        <v>555</v>
      </c>
      <c r="O117" s="111"/>
      <c r="P117" s="111"/>
      <c r="Q117" s="112"/>
      <c r="R117" s="103"/>
      <c r="S117" s="103"/>
      <c r="T117" s="103"/>
      <c r="U117" s="103"/>
      <c r="V117" s="103"/>
      <c r="W117" s="103"/>
      <c r="X117" s="103"/>
      <c r="Y117" s="103"/>
      <c r="Z117" s="103"/>
      <c r="AA117" s="103"/>
    </row>
    <row r="118" spans="1:27" ht="127.5" x14ac:dyDescent="0.2">
      <c r="A118" s="110">
        <v>115</v>
      </c>
      <c r="B118" s="110" t="s">
        <v>54</v>
      </c>
      <c r="C118" s="111" t="str">
        <f ca="1">IFERROR(__xludf.DUMMYFUNCTION("""COMPUTED_VALUE"""),"г.о. Раменский")</f>
        <v>г.о. Раменский</v>
      </c>
      <c r="D118" s="112" t="str">
        <f ca="1">IFERROR(__xludf.DUMMYFUNCTION("""COMPUTED_VALUE"""),"Строительство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f>
        <v>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v>
      </c>
      <c r="E118" s="111" t="str">
        <f ca="1">IFERROR(__xludf.DUMMYFUNCTION("""COMPUTED_VALUE"""),"2020-2021")</f>
        <v>2020-2021</v>
      </c>
      <c r="F118" s="113">
        <f ca="1">IFERROR(__xludf.DUMMYFUNCTION("""COMPUTED_VALUE"""),35631)</f>
        <v>35631</v>
      </c>
      <c r="G118" s="113">
        <f ca="1">IFERROR(__xludf.DUMMYFUNCTION("""COMPUTED_VALUE"""),35631)</f>
        <v>35631</v>
      </c>
      <c r="H118" s="113">
        <f ca="1">IFERROR(__xludf.DUMMYFUNCTION("""COMPUTED_VALUE"""),0)</f>
        <v>0</v>
      </c>
      <c r="I118" s="113">
        <f ca="1">IFERROR(__xludf.DUMMYFUNCTION("""COMPUTED_VALUE"""),0)</f>
        <v>0</v>
      </c>
      <c r="J118" s="111">
        <f ca="1">IFERROR(__xludf.DUMMYFUNCTION("""COMPUTED_VALUE"""),15852.89)</f>
        <v>15852.89</v>
      </c>
      <c r="K118" s="113">
        <f ca="1">IFERROR(__xludf.DUMMYFUNCTION("""COMPUTED_VALUE"""),19778.11)</f>
        <v>19778.11</v>
      </c>
      <c r="L118" s="114">
        <f ca="1">IFERROR(__xludf.DUMMYFUNCTION("""COMPUTED_VALUE"""),0.44491846987174)</f>
        <v>0.44491846987174</v>
      </c>
      <c r="M118" s="111" t="str">
        <f ca="1">IFERROR(__xludf.DUMMYFUNCTION("""COMPUTED_VALUE"""),"""Отклонена заявка на сумму 154,11 тыс. рублей.
Администарцией направлено письмо от 19.11.2020 № 161-01Исх-17190 о переносе лимитов на 2021 год.""")</f>
        <v>"Отклонена заявка на сумму 154,11 тыс. рублей.
Администарцией направлено письмо от 19.11.2020 № 161-01Исх-17190 о переносе лимитов на 2021 год."</v>
      </c>
      <c r="N118" s="110" t="s">
        <v>556</v>
      </c>
      <c r="O118" s="111"/>
      <c r="P118" s="111"/>
      <c r="Q118" s="115">
        <v>44154</v>
      </c>
      <c r="R118" s="103"/>
      <c r="S118" s="103"/>
      <c r="T118" s="103"/>
      <c r="U118" s="103"/>
      <c r="V118" s="103"/>
      <c r="W118" s="103"/>
      <c r="X118" s="103"/>
      <c r="Y118" s="103"/>
      <c r="Z118" s="103"/>
      <c r="AA118" s="103"/>
    </row>
    <row r="119" spans="1:27" ht="102" x14ac:dyDescent="0.2">
      <c r="A119" s="110">
        <v>116</v>
      </c>
      <c r="B119" s="116" t="s">
        <v>54</v>
      </c>
      <c r="C119" s="117" t="str">
        <f ca="1">IFERROR(__xludf.DUMMYFUNCTION("""COMPUTED_VALUE"""),"г.о. Жуковский")</f>
        <v>г.о. Жуковский</v>
      </c>
      <c r="D119" s="117" t="str">
        <f ca="1">IFERROR(__xludf.DUMMYFUNCTION("""COMPUTED_VALUE"""),"Реконструкция и модернизация комплекса сооружений водопроводной насосной станции №5 (ВЗУ№5) ,  г. Жуковский")</f>
        <v>Реконструкция и модернизация комплекса сооружений водопроводной насосной станции №5 (ВЗУ№5) ,  г. Жуковский</v>
      </c>
      <c r="E119" s="117" t="str">
        <f ca="1">IFERROR(__xludf.DUMMYFUNCTION("""COMPUTED_VALUE"""),"2020-2022")</f>
        <v>2020-2022</v>
      </c>
      <c r="F119" s="118">
        <f ca="1">IFERROR(__xludf.DUMMYFUNCTION("""COMPUTED_VALUE"""),59709)</f>
        <v>59709</v>
      </c>
      <c r="G119" s="118">
        <f ca="1">IFERROR(__xludf.DUMMYFUNCTION("""COMPUTED_VALUE"""),59709)</f>
        <v>59709</v>
      </c>
      <c r="H119" s="118">
        <f ca="1">IFERROR(__xludf.DUMMYFUNCTION("""COMPUTED_VALUE"""),0)</f>
        <v>0</v>
      </c>
      <c r="I119" s="118">
        <f ca="1">IFERROR(__xludf.DUMMYFUNCTION("""COMPUTED_VALUE"""),0)</f>
        <v>0</v>
      </c>
      <c r="J119" s="117">
        <f ca="1">IFERROR(__xludf.DUMMYFUNCTION("""COMPUTED_VALUE"""),59359.06)</f>
        <v>59359.06</v>
      </c>
      <c r="K119" s="118">
        <f ca="1">IFERROR(__xludf.DUMMYFUNCTION("""COMPUTED_VALUE"""),349.940000000002)</f>
        <v>349.94000000000199</v>
      </c>
      <c r="L119" s="119">
        <f ca="1">IFERROR(__xludf.DUMMYFUNCTION("""COMPUTED_VALUE"""),0.994139241990319)</f>
        <v>0.994139241990319</v>
      </c>
      <c r="M119" s="117" t="str">
        <f ca="1">IFERROR(__xludf.DUMMYFUNCTION("""COMPUTED_VALUE"""),"""Необходима корректировка проекта в части включения укомплектования трансформаторной подстанции.  
 Низкий процент освоения. Повторно направлена заявка с учетом замечаний на сумму 9,3 млн. руб.""")</f>
        <v>"Необходима корректировка проекта в части включения укомплектования трансформаторной подстанции.  
 Низкий процент освоения. Повторно направлена заявка с учетом замечаний на сумму 9,3 млн. руб."</v>
      </c>
      <c r="N119" s="110" t="s">
        <v>557</v>
      </c>
      <c r="O119" s="111"/>
      <c r="P119" s="111"/>
      <c r="Q119" s="115">
        <v>44154</v>
      </c>
      <c r="R119" s="103"/>
      <c r="S119" s="103"/>
      <c r="T119" s="103"/>
      <c r="U119" s="103"/>
      <c r="V119" s="103"/>
      <c r="W119" s="103"/>
      <c r="X119" s="103"/>
      <c r="Y119" s="103"/>
      <c r="Z119" s="103"/>
      <c r="AA119" s="103"/>
    </row>
    <row r="120" spans="1:27" ht="102" x14ac:dyDescent="0.2">
      <c r="A120" s="110">
        <v>117</v>
      </c>
      <c r="B120" s="110" t="s">
        <v>54</v>
      </c>
      <c r="C120" s="111" t="str">
        <f ca="1">IFERROR(__xludf.DUMMYFUNCTION("""COMPUTED_VALUE"""),"г.о. Дмитровский")</f>
        <v>г.о. Дмитровский</v>
      </c>
      <c r="D120" s="111" t="str">
        <f ca="1">IFERROR(__xludf.DUMMYFUNCTION("""COMPUTED_VALUE"""),"Строительство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f>
        <v>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v>
      </c>
      <c r="E120" s="111">
        <f ca="1">IFERROR(__xludf.DUMMYFUNCTION("""COMPUTED_VALUE"""),2020)</f>
        <v>2020</v>
      </c>
      <c r="F120" s="113">
        <f ca="1">IFERROR(__xludf.DUMMYFUNCTION("""COMPUTED_VALUE"""),14941)</f>
        <v>14941</v>
      </c>
      <c r="G120" s="113">
        <f ca="1">IFERROR(__xludf.DUMMYFUNCTION("""COMPUTED_VALUE"""),14941)</f>
        <v>14941</v>
      </c>
      <c r="H120" s="113">
        <f ca="1">IFERROR(__xludf.DUMMYFUNCTION("""COMPUTED_VALUE"""),0)</f>
        <v>0</v>
      </c>
      <c r="I120" s="113">
        <f ca="1">IFERROR(__xludf.DUMMYFUNCTION("""COMPUTED_VALUE"""),0)</f>
        <v>0</v>
      </c>
      <c r="J120" s="111">
        <f ca="1">IFERROR(__xludf.DUMMYFUNCTION("""COMPUTED_VALUE"""),13172.33)</f>
        <v>13172.33</v>
      </c>
      <c r="K120" s="113">
        <f ca="1">IFERROR(__xludf.DUMMYFUNCTION("""COMPUTED_VALUE"""),1768.67)</f>
        <v>1768.67</v>
      </c>
      <c r="L120" s="114">
        <f ca="1">IFERROR(__xludf.DUMMYFUNCTION("""COMPUTED_VALUE"""),0.881623050665952)</f>
        <v>0.88162305066595203</v>
      </c>
      <c r="M120" s="111"/>
      <c r="N120" s="110" t="s">
        <v>554</v>
      </c>
      <c r="O120" s="111"/>
      <c r="P120" s="111"/>
      <c r="Q120" s="112"/>
      <c r="R120" s="103"/>
      <c r="S120" s="103"/>
      <c r="T120" s="103"/>
      <c r="U120" s="103"/>
      <c r="V120" s="103"/>
      <c r="W120" s="103"/>
      <c r="X120" s="103"/>
      <c r="Y120" s="103"/>
      <c r="Z120" s="103"/>
      <c r="AA120" s="103"/>
    </row>
    <row r="121" spans="1:27" ht="38.25" x14ac:dyDescent="0.2">
      <c r="A121" s="110">
        <v>118</v>
      </c>
      <c r="B121" s="110" t="s">
        <v>54</v>
      </c>
      <c r="C121" s="111" t="str">
        <f ca="1">IFERROR(__xludf.DUMMYFUNCTION("""COMPUTED_VALUE"""),"г.о. Орехово-Зуево")</f>
        <v>г.о. Орехово-Зуево</v>
      </c>
      <c r="D121" s="111" t="str">
        <f ca="1">IFERROR(__xludf.DUMMYFUNCTION("""COMPUTED_VALUE"""),"Строительство 2х скважин в п.Новый Снопок (в т.ч.  ПИР и разрешительная документация)")</f>
        <v>Строительство 2х скважин в п.Новый Снопок (в т.ч.  ПИР и разрешительная документация)</v>
      </c>
      <c r="E121" s="111">
        <f ca="1">IFERROR(__xludf.DUMMYFUNCTION("""COMPUTED_VALUE"""),2023)</f>
        <v>2023</v>
      </c>
      <c r="F121" s="113">
        <f ca="1">IFERROR(__xludf.DUMMYFUNCTION("""COMPUTED_VALUE"""),0)</f>
        <v>0</v>
      </c>
      <c r="G121" s="113">
        <f ca="1">IFERROR(__xludf.DUMMYFUNCTION("""COMPUTED_VALUE"""),0)</f>
        <v>0</v>
      </c>
      <c r="H121" s="113">
        <f ca="1">IFERROR(__xludf.DUMMYFUNCTION("""COMPUTED_VALUE"""),0)</f>
        <v>0</v>
      </c>
      <c r="I121" s="113">
        <f ca="1">IFERROR(__xludf.DUMMYFUNCTION("""COMPUTED_VALUE"""),0)</f>
        <v>0</v>
      </c>
      <c r="J121" s="111">
        <f ca="1">IFERROR(__xludf.DUMMYFUNCTION("""COMPUTED_VALUE"""),0)</f>
        <v>0</v>
      </c>
      <c r="K121" s="113">
        <f ca="1">IFERROR(__xludf.DUMMYFUNCTION("""COMPUTED_VALUE"""),0)</f>
        <v>0</v>
      </c>
      <c r="L121" s="114" t="str">
        <f ca="1">IFERROR(__xludf.DUMMYFUNCTION("""COMPUTED_VALUE"""),"#DIV/0!")</f>
        <v>#DIV/0!</v>
      </c>
      <c r="M121" s="111"/>
      <c r="N121" s="111"/>
      <c r="O121" s="111"/>
      <c r="P121" s="111"/>
      <c r="Q121" s="112"/>
      <c r="R121" s="103"/>
      <c r="S121" s="103"/>
      <c r="T121" s="103"/>
      <c r="U121" s="103"/>
      <c r="V121" s="103"/>
      <c r="W121" s="103"/>
      <c r="X121" s="103"/>
      <c r="Y121" s="103"/>
      <c r="Z121" s="103"/>
      <c r="AA121" s="103"/>
    </row>
    <row r="122" spans="1:27" ht="38.25" x14ac:dyDescent="0.2">
      <c r="A122" s="110">
        <v>119</v>
      </c>
      <c r="B122" s="110" t="s">
        <v>54</v>
      </c>
      <c r="C122" s="111" t="str">
        <f ca="1">IFERROR(__xludf.DUMMYFUNCTION("""COMPUTED_VALUE"""),"г.о. Орехово-Зуево")</f>
        <v>г.о. Орехово-Зуево</v>
      </c>
      <c r="D122" s="111" t="str">
        <f ca="1">IFERROR(__xludf.DUMMYFUNCTION("""COMPUTED_VALUE"""),"Строительство 2х скважин  в п.Озерецкий (в т.ч. ПИР и разрешительная документация)")</f>
        <v>Строительство 2х скважин  в п.Озерецкий (в т.ч. ПИР и разрешительная документация)</v>
      </c>
      <c r="E122" s="111">
        <f ca="1">IFERROR(__xludf.DUMMYFUNCTION("""COMPUTED_VALUE"""),2023)</f>
        <v>2023</v>
      </c>
      <c r="F122" s="113">
        <f ca="1">IFERROR(__xludf.DUMMYFUNCTION("""COMPUTED_VALUE"""),0)</f>
        <v>0</v>
      </c>
      <c r="G122" s="113">
        <f ca="1">IFERROR(__xludf.DUMMYFUNCTION("""COMPUTED_VALUE"""),0)</f>
        <v>0</v>
      </c>
      <c r="H122" s="113">
        <f ca="1">IFERROR(__xludf.DUMMYFUNCTION("""COMPUTED_VALUE"""),0)</f>
        <v>0</v>
      </c>
      <c r="I122" s="113">
        <f ca="1">IFERROR(__xludf.DUMMYFUNCTION("""COMPUTED_VALUE"""),0)</f>
        <v>0</v>
      </c>
      <c r="J122" s="111">
        <f ca="1">IFERROR(__xludf.DUMMYFUNCTION("""COMPUTED_VALUE"""),0)</f>
        <v>0</v>
      </c>
      <c r="K122" s="113">
        <f ca="1">IFERROR(__xludf.DUMMYFUNCTION("""COMPUTED_VALUE"""),0)</f>
        <v>0</v>
      </c>
      <c r="L122" s="114" t="str">
        <f ca="1">IFERROR(__xludf.DUMMYFUNCTION("""COMPUTED_VALUE"""),"#DIV/0!")</f>
        <v>#DIV/0!</v>
      </c>
      <c r="M122" s="111"/>
      <c r="N122" s="111"/>
      <c r="O122" s="111"/>
      <c r="P122" s="111"/>
      <c r="Q122" s="112"/>
      <c r="R122" s="103"/>
      <c r="S122" s="103"/>
      <c r="T122" s="103"/>
      <c r="U122" s="103"/>
      <c r="V122" s="103"/>
      <c r="W122" s="103"/>
      <c r="X122" s="103"/>
      <c r="Y122" s="103"/>
      <c r="Z122" s="103"/>
      <c r="AA122" s="103"/>
    </row>
    <row r="123" spans="1:27" ht="38.25" x14ac:dyDescent="0.2">
      <c r="A123" s="110">
        <v>120</v>
      </c>
      <c r="B123" s="110" t="s">
        <v>54</v>
      </c>
      <c r="C123" s="111" t="str">
        <f ca="1">IFERROR(__xludf.DUMMYFUNCTION("""COMPUTED_VALUE"""),"г.о. Орехово-Зуево")</f>
        <v>г.о. Орехово-Зуево</v>
      </c>
      <c r="D123" s="111" t="str">
        <f ca="1">IFERROR(__xludf.DUMMYFUNCTION("""COMPUTED_VALUE"""),"Строительство 2х скважин в п.Малая Дубна (в т.ч.  ПИР и разрешительная документация)")</f>
        <v>Строительство 2х скважин в п.Малая Дубна (в т.ч.  ПИР и разрешительная документация)</v>
      </c>
      <c r="E123" s="111">
        <f ca="1">IFERROR(__xludf.DUMMYFUNCTION("""COMPUTED_VALUE"""),2023)</f>
        <v>2023</v>
      </c>
      <c r="F123" s="113">
        <f ca="1">IFERROR(__xludf.DUMMYFUNCTION("""COMPUTED_VALUE"""),0)</f>
        <v>0</v>
      </c>
      <c r="G123" s="113">
        <f ca="1">IFERROR(__xludf.DUMMYFUNCTION("""COMPUTED_VALUE"""),0)</f>
        <v>0</v>
      </c>
      <c r="H123" s="113">
        <f ca="1">IFERROR(__xludf.DUMMYFUNCTION("""COMPUTED_VALUE"""),0)</f>
        <v>0</v>
      </c>
      <c r="I123" s="113">
        <f ca="1">IFERROR(__xludf.DUMMYFUNCTION("""COMPUTED_VALUE"""),0)</f>
        <v>0</v>
      </c>
      <c r="J123" s="111">
        <f ca="1">IFERROR(__xludf.DUMMYFUNCTION("""COMPUTED_VALUE"""),0)</f>
        <v>0</v>
      </c>
      <c r="K123" s="113">
        <f ca="1">IFERROR(__xludf.DUMMYFUNCTION("""COMPUTED_VALUE"""),0)</f>
        <v>0</v>
      </c>
      <c r="L123" s="114" t="str">
        <f ca="1">IFERROR(__xludf.DUMMYFUNCTION("""COMPUTED_VALUE"""),"#DIV/0!")</f>
        <v>#DIV/0!</v>
      </c>
      <c r="M123" s="111"/>
      <c r="N123" s="111"/>
      <c r="O123" s="111"/>
      <c r="P123" s="111"/>
      <c r="Q123" s="112"/>
      <c r="R123" s="103"/>
      <c r="S123" s="103"/>
      <c r="T123" s="103"/>
      <c r="U123" s="103"/>
      <c r="V123" s="103"/>
      <c r="W123" s="103"/>
      <c r="X123" s="103"/>
      <c r="Y123" s="103"/>
      <c r="Z123" s="103"/>
      <c r="AA123" s="103"/>
    </row>
    <row r="124" spans="1:27" ht="38.25" x14ac:dyDescent="0.2">
      <c r="A124" s="110">
        <v>121</v>
      </c>
      <c r="B124" s="110" t="s">
        <v>54</v>
      </c>
      <c r="C124" s="111" t="str">
        <f ca="1">IFERROR(__xludf.DUMMYFUNCTION("""COMPUTED_VALUE"""),"г.о. Орехово-Зуево")</f>
        <v>г.о. Орехово-Зуево</v>
      </c>
      <c r="D124" s="111" t="str">
        <f ca="1">IFERROR(__xludf.DUMMYFUNCTION("""COMPUTED_VALUE"""),"Строительство 1 скважины в м. Крольчатник (в т.ч. ПИР и  разрешительная документация)")</f>
        <v>Строительство 1 скважины в м. Крольчатник (в т.ч. ПИР и  разрешительная документация)</v>
      </c>
      <c r="E124" s="111">
        <f ca="1">IFERROR(__xludf.DUMMYFUNCTION("""COMPUTED_VALUE"""),2023)</f>
        <v>2023</v>
      </c>
      <c r="F124" s="113">
        <f ca="1">IFERROR(__xludf.DUMMYFUNCTION("""COMPUTED_VALUE"""),0)</f>
        <v>0</v>
      </c>
      <c r="G124" s="113">
        <f ca="1">IFERROR(__xludf.DUMMYFUNCTION("""COMPUTED_VALUE"""),0)</f>
        <v>0</v>
      </c>
      <c r="H124" s="113">
        <f ca="1">IFERROR(__xludf.DUMMYFUNCTION("""COMPUTED_VALUE"""),0)</f>
        <v>0</v>
      </c>
      <c r="I124" s="113">
        <f ca="1">IFERROR(__xludf.DUMMYFUNCTION("""COMPUTED_VALUE"""),0)</f>
        <v>0</v>
      </c>
      <c r="J124" s="111">
        <f ca="1">IFERROR(__xludf.DUMMYFUNCTION("""COMPUTED_VALUE"""),0)</f>
        <v>0</v>
      </c>
      <c r="K124" s="113">
        <f ca="1">IFERROR(__xludf.DUMMYFUNCTION("""COMPUTED_VALUE"""),0)</f>
        <v>0</v>
      </c>
      <c r="L124" s="114" t="str">
        <f ca="1">IFERROR(__xludf.DUMMYFUNCTION("""COMPUTED_VALUE"""),"#DIV/0!")</f>
        <v>#DIV/0!</v>
      </c>
      <c r="M124" s="111"/>
      <c r="N124" s="111"/>
      <c r="O124" s="111"/>
      <c r="P124" s="111"/>
      <c r="Q124" s="112"/>
      <c r="R124" s="103"/>
      <c r="S124" s="103"/>
      <c r="T124" s="103"/>
      <c r="U124" s="103"/>
      <c r="V124" s="103"/>
      <c r="W124" s="103"/>
      <c r="X124" s="103"/>
      <c r="Y124" s="103"/>
      <c r="Z124" s="103"/>
      <c r="AA124" s="103"/>
    </row>
    <row r="125" spans="1:27" ht="25.5" x14ac:dyDescent="0.2">
      <c r="A125" s="110">
        <v>122</v>
      </c>
      <c r="B125" s="110" t="s">
        <v>54</v>
      </c>
      <c r="C125" s="111" t="str">
        <f ca="1">IFERROR(__xludf.DUMMYFUNCTION("""COMPUTED_VALUE"""),"г.о. Орехово-Зуево")</f>
        <v>г.о. Орехово-Зуево</v>
      </c>
      <c r="D125" s="111" t="str">
        <f ca="1">IFERROR(__xludf.DUMMYFUNCTION("""COMPUTED_VALUE"""),"Строительство ВЗУ  в местечке Крольчатник  г.о. Орехово-Зуево")</f>
        <v>Строительство ВЗУ  в местечке Крольчатник  г.о. Орехово-Зуево</v>
      </c>
      <c r="E125" s="111">
        <f ca="1">IFERROR(__xludf.DUMMYFUNCTION("""COMPUTED_VALUE"""),2023)</f>
        <v>2023</v>
      </c>
      <c r="F125" s="113">
        <f ca="1">IFERROR(__xludf.DUMMYFUNCTION("""COMPUTED_VALUE"""),0)</f>
        <v>0</v>
      </c>
      <c r="G125" s="113">
        <f ca="1">IFERROR(__xludf.DUMMYFUNCTION("""COMPUTED_VALUE"""),0)</f>
        <v>0</v>
      </c>
      <c r="H125" s="113">
        <f ca="1">IFERROR(__xludf.DUMMYFUNCTION("""COMPUTED_VALUE"""),0)</f>
        <v>0</v>
      </c>
      <c r="I125" s="113">
        <f ca="1">IFERROR(__xludf.DUMMYFUNCTION("""COMPUTED_VALUE"""),0)</f>
        <v>0</v>
      </c>
      <c r="J125" s="111">
        <f ca="1">IFERROR(__xludf.DUMMYFUNCTION("""COMPUTED_VALUE"""),0)</f>
        <v>0</v>
      </c>
      <c r="K125" s="113">
        <f ca="1">IFERROR(__xludf.DUMMYFUNCTION("""COMPUTED_VALUE"""),0)</f>
        <v>0</v>
      </c>
      <c r="L125" s="114" t="str">
        <f ca="1">IFERROR(__xludf.DUMMYFUNCTION("""COMPUTED_VALUE"""),"#DIV/0!")</f>
        <v>#DIV/0!</v>
      </c>
      <c r="M125" s="111"/>
      <c r="N125" s="111"/>
      <c r="O125" s="111"/>
      <c r="P125" s="111"/>
      <c r="Q125" s="112"/>
      <c r="R125" s="103"/>
      <c r="S125" s="103"/>
      <c r="T125" s="103"/>
      <c r="U125" s="103"/>
      <c r="V125" s="103"/>
      <c r="W125" s="103"/>
      <c r="X125" s="103"/>
      <c r="Y125" s="103"/>
      <c r="Z125" s="103"/>
      <c r="AA125" s="103"/>
    </row>
    <row r="126" spans="1:27" ht="63.75" x14ac:dyDescent="0.2">
      <c r="A126" s="110">
        <v>123</v>
      </c>
      <c r="B126" s="110" t="s">
        <v>54</v>
      </c>
      <c r="C126" s="111" t="str">
        <f ca="1">IFERROR(__xludf.DUMMYFUNCTION("""COMPUTED_VALUE"""),"г.о. Щелково")</f>
        <v>г.о. Щелково</v>
      </c>
      <c r="D126" s="111" t="str">
        <f ca="1">IFERROR(__xludf.DUMMYFUNCTION("""COMPUTED_VALUE"""),"Реконструкция системы водоснабжения с установкой оборудования водоподготовки, ВЗУ №3 гп Фряново Щелковского района Московсой области (ПИР)")</f>
        <v>Реконструкция системы водоснабжения с установкой оборудования водоподготовки, ВЗУ №3 гп Фряново Щелковского района Московсой области (ПИР)</v>
      </c>
      <c r="E126" s="111" t="str">
        <f ca="1">IFERROR(__xludf.DUMMYFUNCTION("""COMPUTED_VALUE"""),"Н/Л")</f>
        <v>Н/Л</v>
      </c>
      <c r="F126" s="113">
        <f ca="1">IFERROR(__xludf.DUMMYFUNCTION("""COMPUTED_VALUE"""),0)</f>
        <v>0</v>
      </c>
      <c r="G126" s="113">
        <f ca="1">IFERROR(__xludf.DUMMYFUNCTION("""COMPUTED_VALUE"""),0)</f>
        <v>0</v>
      </c>
      <c r="H126" s="113">
        <f ca="1">IFERROR(__xludf.DUMMYFUNCTION("""COMPUTED_VALUE"""),0)</f>
        <v>0</v>
      </c>
      <c r="I126" s="113">
        <f ca="1">IFERROR(__xludf.DUMMYFUNCTION("""COMPUTED_VALUE"""),0)</f>
        <v>0</v>
      </c>
      <c r="J126" s="111">
        <f ca="1">IFERROR(__xludf.DUMMYFUNCTION("""COMPUTED_VALUE"""),0)</f>
        <v>0</v>
      </c>
      <c r="K126" s="113">
        <f ca="1">IFERROR(__xludf.DUMMYFUNCTION("""COMPUTED_VALUE"""),0)</f>
        <v>0</v>
      </c>
      <c r="L126" s="114" t="str">
        <f ca="1">IFERROR(__xludf.DUMMYFUNCTION("""COMPUTED_VALUE"""),"#DIV/0!")</f>
        <v>#DIV/0!</v>
      </c>
      <c r="M126" s="111"/>
      <c r="N126" s="111"/>
      <c r="O126" s="111"/>
      <c r="P126" s="111"/>
      <c r="Q126" s="112"/>
      <c r="R126" s="103"/>
      <c r="S126" s="103"/>
      <c r="T126" s="103"/>
      <c r="U126" s="103"/>
      <c r="V126" s="103"/>
      <c r="W126" s="103"/>
      <c r="X126" s="103"/>
      <c r="Y126" s="103"/>
      <c r="Z126" s="103"/>
      <c r="AA126" s="103"/>
    </row>
    <row r="127" spans="1:27" ht="25.5" x14ac:dyDescent="0.2">
      <c r="A127" s="110">
        <v>124</v>
      </c>
      <c r="B127" s="110" t="s">
        <v>54</v>
      </c>
      <c r="C127" s="111" t="str">
        <f ca="1">IFERROR(__xludf.DUMMYFUNCTION("""COMPUTED_VALUE"""),"г.о. Дзержинский")</f>
        <v>г.о. Дзержинский</v>
      </c>
      <c r="D127" s="111" t="str">
        <f ca="1">IFERROR(__xludf.DUMMYFUNCTION("""COMPUTED_VALUE"""),"Реконструкция ВЗУ №1 и ВЗУ №3 г.о. Дзержинский (ПИР)")</f>
        <v>Реконструкция ВЗУ №1 и ВЗУ №3 г.о. Дзержинский (ПИР)</v>
      </c>
      <c r="E127" s="111">
        <f ca="1">IFERROR(__xludf.DUMMYFUNCTION("""COMPUTED_VALUE"""),2020)</f>
        <v>2020</v>
      </c>
      <c r="F127" s="113">
        <f ca="1">IFERROR(__xludf.DUMMYFUNCTION("""COMPUTED_VALUE"""),0)</f>
        <v>0</v>
      </c>
      <c r="G127" s="113">
        <f ca="1">IFERROR(__xludf.DUMMYFUNCTION("""COMPUTED_VALUE"""),0)</f>
        <v>0</v>
      </c>
      <c r="H127" s="113">
        <f ca="1">IFERROR(__xludf.DUMMYFUNCTION("""COMPUTED_VALUE"""),0)</f>
        <v>0</v>
      </c>
      <c r="I127" s="113">
        <f ca="1">IFERROR(__xludf.DUMMYFUNCTION("""COMPUTED_VALUE"""),0)</f>
        <v>0</v>
      </c>
      <c r="J127" s="111">
        <f ca="1">IFERROR(__xludf.DUMMYFUNCTION("""COMPUTED_VALUE"""),0)</f>
        <v>0</v>
      </c>
      <c r="K127" s="113">
        <f ca="1">IFERROR(__xludf.DUMMYFUNCTION("""COMPUTED_VALUE"""),0)</f>
        <v>0</v>
      </c>
      <c r="L127" s="114" t="str">
        <f ca="1">IFERROR(__xludf.DUMMYFUNCTION("""COMPUTED_VALUE"""),"#DIV/0!")</f>
        <v>#DIV/0!</v>
      </c>
      <c r="M127" s="111"/>
      <c r="N127" s="111"/>
      <c r="O127" s="111"/>
      <c r="P127" s="111"/>
      <c r="Q127" s="112"/>
      <c r="R127" s="103"/>
      <c r="S127" s="103"/>
      <c r="T127" s="103"/>
      <c r="U127" s="103"/>
      <c r="V127" s="103"/>
      <c r="W127" s="103"/>
      <c r="X127" s="103"/>
      <c r="Y127" s="103"/>
      <c r="Z127" s="103"/>
      <c r="AA127" s="103"/>
    </row>
    <row r="128" spans="1:27" ht="51" x14ac:dyDescent="0.2">
      <c r="A128" s="110">
        <v>125</v>
      </c>
      <c r="B128" s="110" t="s">
        <v>54</v>
      </c>
      <c r="C128" s="111" t="str">
        <f ca="1">IFERROR(__xludf.DUMMYFUNCTION("""COMPUTED_VALUE"""),"г.о. Шатура")</f>
        <v>г.о. Шатура</v>
      </c>
      <c r="D128" s="111" t="str">
        <f ca="1">IFERROR(__xludf.DUMMYFUNCTION("""COMPUTED_VALUE"""),"Строительство и реконструкция артезианских скважин г.о. Шатура (бывшая территория г.о. Рошаль) ПИР")</f>
        <v>Строительство и реконструкция артезианских скважин г.о. Шатура (бывшая территория г.о. Рошаль) ПИР</v>
      </c>
      <c r="E128" s="111" t="str">
        <f ca="1">IFERROR(__xludf.DUMMYFUNCTION("""COMPUTED_VALUE"""),"Н/Л")</f>
        <v>Н/Л</v>
      </c>
      <c r="F128" s="113">
        <f ca="1">IFERROR(__xludf.DUMMYFUNCTION("""COMPUTED_VALUE"""),0)</f>
        <v>0</v>
      </c>
      <c r="G128" s="113">
        <f ca="1">IFERROR(__xludf.DUMMYFUNCTION("""COMPUTED_VALUE"""),0)</f>
        <v>0</v>
      </c>
      <c r="H128" s="113">
        <f ca="1">IFERROR(__xludf.DUMMYFUNCTION("""COMPUTED_VALUE"""),0)</f>
        <v>0</v>
      </c>
      <c r="I128" s="113">
        <f ca="1">IFERROR(__xludf.DUMMYFUNCTION("""COMPUTED_VALUE"""),0)</f>
        <v>0</v>
      </c>
      <c r="J128" s="111">
        <f ca="1">IFERROR(__xludf.DUMMYFUNCTION("""COMPUTED_VALUE"""),0)</f>
        <v>0</v>
      </c>
      <c r="K128" s="113">
        <f ca="1">IFERROR(__xludf.DUMMYFUNCTION("""COMPUTED_VALUE"""),0)</f>
        <v>0</v>
      </c>
      <c r="L128" s="114" t="str">
        <f ca="1">IFERROR(__xludf.DUMMYFUNCTION("""COMPUTED_VALUE"""),"#DIV/0!")</f>
        <v>#DIV/0!</v>
      </c>
      <c r="M128" s="111"/>
      <c r="N128" s="111"/>
      <c r="O128" s="111"/>
      <c r="P128" s="111"/>
      <c r="Q128" s="112"/>
      <c r="R128" s="103"/>
      <c r="S128" s="103"/>
      <c r="T128" s="103"/>
      <c r="U128" s="103"/>
      <c r="V128" s="103"/>
      <c r="W128" s="103"/>
      <c r="X128" s="103"/>
      <c r="Y128" s="103"/>
      <c r="Z128" s="103"/>
      <c r="AA128" s="103"/>
    </row>
    <row r="129" spans="1:27" ht="89.25" x14ac:dyDescent="0.2">
      <c r="A129" s="110">
        <v>126</v>
      </c>
      <c r="B129" s="110" t="s">
        <v>54</v>
      </c>
      <c r="C129" s="111" t="str">
        <f ca="1">IFERROR(__xludf.DUMMYFUNCTION("""COMPUTED_VALUE"""),"г.о. Балашиха")</f>
        <v>г.о. Балашиха</v>
      </c>
      <c r="D129" s="111" t="str">
        <f ca="1">IFERROR(__xludf.DUMMYFUNCTION("""COMPUTED_VALUE"""),"Строительство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f>
        <v>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v>
      </c>
      <c r="E129" s="111" t="str">
        <f ca="1">IFERROR(__xludf.DUMMYFUNCTION("""COMPUTED_VALUE"""),"2020-2021")</f>
        <v>2020-2021</v>
      </c>
      <c r="F129" s="113">
        <f ca="1">IFERROR(__xludf.DUMMYFUNCTION("""COMPUTED_VALUE"""),7841)</f>
        <v>7841</v>
      </c>
      <c r="G129" s="113">
        <f ca="1">IFERROR(__xludf.DUMMYFUNCTION("""COMPUTED_VALUE"""),7841)</f>
        <v>7841</v>
      </c>
      <c r="H129" s="113">
        <f ca="1">IFERROR(__xludf.DUMMYFUNCTION("""COMPUTED_VALUE"""),0)</f>
        <v>0</v>
      </c>
      <c r="I129" s="113">
        <f ca="1">IFERROR(__xludf.DUMMYFUNCTION("""COMPUTED_VALUE"""),0)</f>
        <v>0</v>
      </c>
      <c r="J129" s="111">
        <f ca="1">IFERROR(__xludf.DUMMYFUNCTION("""COMPUTED_VALUE"""),6441.59)</f>
        <v>6441.59</v>
      </c>
      <c r="K129" s="113">
        <f ca="1">IFERROR(__xludf.DUMMYFUNCTION("""COMPUTED_VALUE"""),1399.40999999999)</f>
        <v>1399.4099999999901</v>
      </c>
      <c r="L129" s="114">
        <f ca="1">IFERROR(__xludf.DUMMYFUNCTION("""COMPUTED_VALUE"""),0.821526590996046)</f>
        <v>0.82152659099604597</v>
      </c>
      <c r="M129" s="111"/>
      <c r="N129" s="110" t="s">
        <v>554</v>
      </c>
      <c r="O129" s="111"/>
      <c r="P129" s="111"/>
      <c r="Q129" s="112"/>
      <c r="R129" s="103"/>
      <c r="S129" s="103"/>
      <c r="T129" s="103"/>
      <c r="U129" s="103"/>
      <c r="V129" s="103"/>
      <c r="W129" s="103"/>
      <c r="X129" s="103"/>
      <c r="Y129" s="103"/>
      <c r="Z129" s="103"/>
      <c r="AA129" s="103"/>
    </row>
    <row r="130" spans="1:27" ht="63.75" x14ac:dyDescent="0.2">
      <c r="A130" s="110">
        <v>127</v>
      </c>
      <c r="B130" s="110" t="s">
        <v>54</v>
      </c>
      <c r="C130" s="111" t="str">
        <f ca="1">IFERROR(__xludf.DUMMYFUNCTION("""COMPUTED_VALUE"""),"г.о. Пушкинский")</f>
        <v>г.о. Пушкинский</v>
      </c>
      <c r="D130" s="111" t="str">
        <f ca="1">IFERROR(__xludf.DUMMYFUNCTION("""COMPUTED_VALUE"""),"Капитальный ремонт ВНС № 29  с устройством станции обезжелезивания,   пос. Софрино, ул. Комсомольская, д.13, г.п. Софрино")</f>
        <v>Капитальный ремонт ВНС № 29  с устройством станции обезжелезивания,   пос. Софрино, ул. Комсомольская, д.13, г.п. Софрино</v>
      </c>
      <c r="E130" s="111" t="str">
        <f ca="1">IFERROR(__xludf.DUMMYFUNCTION("""COMPUTED_VALUE"""),"Н/Л")</f>
        <v>Н/Л</v>
      </c>
      <c r="F130" s="113">
        <f ca="1">IFERROR(__xludf.DUMMYFUNCTION("""COMPUTED_VALUE"""),0)</f>
        <v>0</v>
      </c>
      <c r="G130" s="113">
        <f ca="1">IFERROR(__xludf.DUMMYFUNCTION("""COMPUTED_VALUE"""),0)</f>
        <v>0</v>
      </c>
      <c r="H130" s="113">
        <f ca="1">IFERROR(__xludf.DUMMYFUNCTION("""COMPUTED_VALUE"""),0)</f>
        <v>0</v>
      </c>
      <c r="I130" s="113">
        <f ca="1">IFERROR(__xludf.DUMMYFUNCTION("""COMPUTED_VALUE"""),0)</f>
        <v>0</v>
      </c>
      <c r="J130" s="111">
        <f ca="1">IFERROR(__xludf.DUMMYFUNCTION("""COMPUTED_VALUE"""),0)</f>
        <v>0</v>
      </c>
      <c r="K130" s="113">
        <f ca="1">IFERROR(__xludf.DUMMYFUNCTION("""COMPUTED_VALUE"""),0)</f>
        <v>0</v>
      </c>
      <c r="L130" s="114" t="str">
        <f ca="1">IFERROR(__xludf.DUMMYFUNCTION("""COMPUTED_VALUE"""),"#DIV/0!")</f>
        <v>#DIV/0!</v>
      </c>
      <c r="M130" s="111"/>
      <c r="N130" s="111"/>
      <c r="O130" s="111"/>
      <c r="P130" s="111"/>
      <c r="Q130" s="112"/>
      <c r="R130" s="103"/>
      <c r="S130" s="103"/>
      <c r="T130" s="103"/>
      <c r="U130" s="103"/>
      <c r="V130" s="103"/>
      <c r="W130" s="103"/>
      <c r="X130" s="103"/>
      <c r="Y130" s="103"/>
      <c r="Z130" s="103"/>
      <c r="AA130" s="103"/>
    </row>
    <row r="131" spans="1:27" ht="63.75" x14ac:dyDescent="0.2">
      <c r="A131" s="110">
        <v>128</v>
      </c>
      <c r="B131" s="110" t="s">
        <v>54</v>
      </c>
      <c r="C131" s="111" t="str">
        <f ca="1">IFERROR(__xludf.DUMMYFUNCTION("""COMPUTED_VALUE"""),"г.о. Богородский")</f>
        <v>г.о. Богородский</v>
      </c>
      <c r="D131" s="111" t="str">
        <f ca="1">IFERROR(__xludf.DUMMYFUNCTION("""COMPUTED_VALUE"""),"Приобретение, монтаж и ввод в эксплуатацию  станции водоочистки на ВЗУ дер. Б.Буньково, мкр. Фабрики,  Богородский г.о.")</f>
        <v>Приобретение, монтаж и ввод в эксплуатацию  станции водоочистки на ВЗУ дер. Б.Буньково, мкр. Фабрики,  Богородский г.о.</v>
      </c>
      <c r="E131" s="111" t="str">
        <f ca="1">IFERROR(__xludf.DUMMYFUNCTION("""COMPUTED_VALUE"""),"Н/Л")</f>
        <v>Н/Л</v>
      </c>
      <c r="F131" s="113">
        <f ca="1">IFERROR(__xludf.DUMMYFUNCTION("""COMPUTED_VALUE"""),0)</f>
        <v>0</v>
      </c>
      <c r="G131" s="113">
        <f ca="1">IFERROR(__xludf.DUMMYFUNCTION("""COMPUTED_VALUE"""),0)</f>
        <v>0</v>
      </c>
      <c r="H131" s="113">
        <f ca="1">IFERROR(__xludf.DUMMYFUNCTION("""COMPUTED_VALUE"""),0)</f>
        <v>0</v>
      </c>
      <c r="I131" s="113">
        <f ca="1">IFERROR(__xludf.DUMMYFUNCTION("""COMPUTED_VALUE"""),0)</f>
        <v>0</v>
      </c>
      <c r="J131" s="111">
        <f ca="1">IFERROR(__xludf.DUMMYFUNCTION("""COMPUTED_VALUE"""),0)</f>
        <v>0</v>
      </c>
      <c r="K131" s="113">
        <f ca="1">IFERROR(__xludf.DUMMYFUNCTION("""COMPUTED_VALUE"""),0)</f>
        <v>0</v>
      </c>
      <c r="L131" s="114" t="str">
        <f ca="1">IFERROR(__xludf.DUMMYFUNCTION("""COMPUTED_VALUE"""),"#DIV/0!")</f>
        <v>#DIV/0!</v>
      </c>
      <c r="M131" s="111"/>
      <c r="N131" s="111"/>
      <c r="O131" s="111"/>
      <c r="P131" s="111"/>
      <c r="Q131" s="112"/>
      <c r="R131" s="103"/>
      <c r="S131" s="103"/>
      <c r="T131" s="103"/>
      <c r="U131" s="103"/>
      <c r="V131" s="103"/>
      <c r="W131" s="103"/>
      <c r="X131" s="103"/>
      <c r="Y131" s="103"/>
      <c r="Z131" s="103"/>
      <c r="AA131" s="103"/>
    </row>
    <row r="132" spans="1:27" ht="51" x14ac:dyDescent="0.2">
      <c r="A132" s="110">
        <v>129</v>
      </c>
      <c r="B132" s="110" t="s">
        <v>54</v>
      </c>
      <c r="C132" s="111" t="str">
        <f ca="1">IFERROR(__xludf.DUMMYFUNCTION("""COMPUTED_VALUE"""),"г.о. Богородский")</f>
        <v>г.о. Богородский</v>
      </c>
      <c r="D132" s="111" t="str">
        <f ca="1">IFERROR(__xludf.DUMMYFUNCTION("""COMPUTED_VALUE"""),"Приобретение, монтаж и ввод в эксплуатацию  станции водоочистки на ВЗУ дер. Караваево, Богородский г.о.  ")</f>
        <v xml:space="preserve">Приобретение, монтаж и ввод в эксплуатацию  станции водоочистки на ВЗУ дер. Караваево, Богородский г.о.  </v>
      </c>
      <c r="E132" s="111" t="str">
        <f ca="1">IFERROR(__xludf.DUMMYFUNCTION("""COMPUTED_VALUE"""),"Н/Л")</f>
        <v>Н/Л</v>
      </c>
      <c r="F132" s="113">
        <f ca="1">IFERROR(__xludf.DUMMYFUNCTION("""COMPUTED_VALUE"""),0)</f>
        <v>0</v>
      </c>
      <c r="G132" s="113">
        <f ca="1">IFERROR(__xludf.DUMMYFUNCTION("""COMPUTED_VALUE"""),0)</f>
        <v>0</v>
      </c>
      <c r="H132" s="113">
        <f ca="1">IFERROR(__xludf.DUMMYFUNCTION("""COMPUTED_VALUE"""),0)</f>
        <v>0</v>
      </c>
      <c r="I132" s="113">
        <f ca="1">IFERROR(__xludf.DUMMYFUNCTION("""COMPUTED_VALUE"""),0)</f>
        <v>0</v>
      </c>
      <c r="J132" s="111">
        <f ca="1">IFERROR(__xludf.DUMMYFUNCTION("""COMPUTED_VALUE"""),0)</f>
        <v>0</v>
      </c>
      <c r="K132" s="113">
        <f ca="1">IFERROR(__xludf.DUMMYFUNCTION("""COMPUTED_VALUE"""),0)</f>
        <v>0</v>
      </c>
      <c r="L132" s="114" t="str">
        <f ca="1">IFERROR(__xludf.DUMMYFUNCTION("""COMPUTED_VALUE"""),"#DIV/0!")</f>
        <v>#DIV/0!</v>
      </c>
      <c r="M132" s="111"/>
      <c r="N132" s="111"/>
      <c r="O132" s="111"/>
      <c r="P132" s="111"/>
      <c r="Q132" s="112"/>
      <c r="R132" s="103"/>
      <c r="S132" s="103"/>
      <c r="T132" s="103"/>
      <c r="U132" s="103"/>
      <c r="V132" s="103"/>
      <c r="W132" s="103"/>
      <c r="X132" s="103"/>
      <c r="Y132" s="103"/>
      <c r="Z132" s="103"/>
      <c r="AA132" s="103"/>
    </row>
    <row r="133" spans="1:27" ht="63.75" x14ac:dyDescent="0.2">
      <c r="A133" s="110">
        <v>130</v>
      </c>
      <c r="B133" s="110" t="s">
        <v>54</v>
      </c>
      <c r="C133" s="111" t="str">
        <f ca="1">IFERROR(__xludf.DUMMYFUNCTION("""COMPUTED_VALUE"""),"г.о. Богородский")</f>
        <v>г.о. Богородский</v>
      </c>
      <c r="D133" s="111" t="str">
        <f ca="1">IFERROR(__xludf.DUMMYFUNCTION("""COMPUTED_VALUE"""),"Приобретение, монтаж и ввод в эксплуатацию   станции водоочистки на ВЗУ дер. Б.Буньково, ул. Ленинская, 126 (БЗКИ), Богородский г.о.")</f>
        <v>Приобретение, монтаж и ввод в эксплуатацию   станции водоочистки на ВЗУ дер. Б.Буньково, ул. Ленинская, 126 (БЗКИ), Богородский г.о.</v>
      </c>
      <c r="E133" s="111" t="str">
        <f ca="1">IFERROR(__xludf.DUMMYFUNCTION("""COMPUTED_VALUE"""),"Н/Л")</f>
        <v>Н/Л</v>
      </c>
      <c r="F133" s="113">
        <f ca="1">IFERROR(__xludf.DUMMYFUNCTION("""COMPUTED_VALUE"""),0)</f>
        <v>0</v>
      </c>
      <c r="G133" s="113">
        <f ca="1">IFERROR(__xludf.DUMMYFUNCTION("""COMPUTED_VALUE"""),0)</f>
        <v>0</v>
      </c>
      <c r="H133" s="113">
        <f ca="1">IFERROR(__xludf.DUMMYFUNCTION("""COMPUTED_VALUE"""),0)</f>
        <v>0</v>
      </c>
      <c r="I133" s="113">
        <f ca="1">IFERROR(__xludf.DUMMYFUNCTION("""COMPUTED_VALUE"""),0)</f>
        <v>0</v>
      </c>
      <c r="J133" s="111">
        <f ca="1">IFERROR(__xludf.DUMMYFUNCTION("""COMPUTED_VALUE"""),0)</f>
        <v>0</v>
      </c>
      <c r="K133" s="113">
        <f ca="1">IFERROR(__xludf.DUMMYFUNCTION("""COMPUTED_VALUE"""),0)</f>
        <v>0</v>
      </c>
      <c r="L133" s="114" t="str">
        <f ca="1">IFERROR(__xludf.DUMMYFUNCTION("""COMPUTED_VALUE"""),"#DIV/0!")</f>
        <v>#DIV/0!</v>
      </c>
      <c r="M133" s="111"/>
      <c r="N133" s="111"/>
      <c r="O133" s="111"/>
      <c r="P133" s="111"/>
      <c r="Q133" s="112"/>
      <c r="R133" s="103"/>
      <c r="S133" s="103"/>
      <c r="T133" s="103"/>
      <c r="U133" s="103"/>
      <c r="V133" s="103"/>
      <c r="W133" s="103"/>
      <c r="X133" s="103"/>
      <c r="Y133" s="103"/>
      <c r="Z133" s="103"/>
      <c r="AA133" s="103"/>
    </row>
    <row r="134" spans="1:27" ht="76.5" x14ac:dyDescent="0.2">
      <c r="A134" s="110">
        <v>131</v>
      </c>
      <c r="B134" s="110" t="s">
        <v>54</v>
      </c>
      <c r="C134" s="111" t="str">
        <f ca="1">IFERROR(__xludf.DUMMYFUNCTION("""COMPUTED_VALUE"""),"г.о. Богородский")</f>
        <v>г.о. Богородский</v>
      </c>
      <c r="D134" s="111" t="str">
        <f ca="1">IFERROR(__xludf.DUMMYFUNCTION("""COMPUTED_VALUE"""),"Приобретение, монтаж и ввод в эксплуатацию    станции водоочистки на ВЗУ дер. Б.Буньково, ул. Ленинская, 126 (ул. Демонстрационная), Богородский г.о.")</f>
        <v>Приобретение, монтаж и ввод в эксплуатацию    станции водоочистки на ВЗУ дер. Б.Буньково, ул. Ленинская, 126 (ул. Демонстрационная), Богородский г.о.</v>
      </c>
      <c r="E134" s="111" t="str">
        <f ca="1">IFERROR(__xludf.DUMMYFUNCTION("""COMPUTED_VALUE"""),"Н/Л")</f>
        <v>Н/Л</v>
      </c>
      <c r="F134" s="113">
        <f ca="1">IFERROR(__xludf.DUMMYFUNCTION("""COMPUTED_VALUE"""),0)</f>
        <v>0</v>
      </c>
      <c r="G134" s="113">
        <f ca="1">IFERROR(__xludf.DUMMYFUNCTION("""COMPUTED_VALUE"""),0)</f>
        <v>0</v>
      </c>
      <c r="H134" s="113">
        <f ca="1">IFERROR(__xludf.DUMMYFUNCTION("""COMPUTED_VALUE"""),0)</f>
        <v>0</v>
      </c>
      <c r="I134" s="113">
        <f ca="1">IFERROR(__xludf.DUMMYFUNCTION("""COMPUTED_VALUE"""),0)</f>
        <v>0</v>
      </c>
      <c r="J134" s="111">
        <f ca="1">IFERROR(__xludf.DUMMYFUNCTION("""COMPUTED_VALUE"""),0)</f>
        <v>0</v>
      </c>
      <c r="K134" s="113">
        <f ca="1">IFERROR(__xludf.DUMMYFUNCTION("""COMPUTED_VALUE"""),0)</f>
        <v>0</v>
      </c>
      <c r="L134" s="114" t="str">
        <f ca="1">IFERROR(__xludf.DUMMYFUNCTION("""COMPUTED_VALUE"""),"#DIV/0!")</f>
        <v>#DIV/0!</v>
      </c>
      <c r="M134" s="111"/>
      <c r="N134" s="111"/>
      <c r="O134" s="111"/>
      <c r="P134" s="111"/>
      <c r="Q134" s="112"/>
      <c r="R134" s="103"/>
      <c r="S134" s="103"/>
      <c r="T134" s="103"/>
      <c r="U134" s="103"/>
      <c r="V134" s="103"/>
      <c r="W134" s="103"/>
      <c r="X134" s="103"/>
      <c r="Y134" s="103"/>
      <c r="Z134" s="103"/>
      <c r="AA134" s="103"/>
    </row>
    <row r="135" spans="1:27" ht="38.25" x14ac:dyDescent="0.2">
      <c r="A135" s="110">
        <v>132</v>
      </c>
      <c r="B135" s="110" t="s">
        <v>54</v>
      </c>
      <c r="C135" s="111" t="str">
        <f ca="1">IFERROR(__xludf.DUMMYFUNCTION("""COMPUTED_VALUE"""),"г.о. Богородский")</f>
        <v>г.о. Богородский</v>
      </c>
      <c r="D135" s="111" t="str">
        <f ca="1">IFERROR(__xludf.DUMMYFUNCTION("""COMPUTED_VALUE"""),"Капитальный ремонт участка водопровода Ду-500 мм в г.п.  Старая Купавна ")</f>
        <v xml:space="preserve">Капитальный ремонт участка водопровода Ду-500 мм в г.п.  Старая Купавна </v>
      </c>
      <c r="E135" s="111" t="str">
        <f ca="1">IFERROR(__xludf.DUMMYFUNCTION("""COMPUTED_VALUE"""),"Н/Л")</f>
        <v>Н/Л</v>
      </c>
      <c r="F135" s="113">
        <f ca="1">IFERROR(__xludf.DUMMYFUNCTION("""COMPUTED_VALUE"""),0)</f>
        <v>0</v>
      </c>
      <c r="G135" s="113">
        <f ca="1">IFERROR(__xludf.DUMMYFUNCTION("""COMPUTED_VALUE"""),0)</f>
        <v>0</v>
      </c>
      <c r="H135" s="113">
        <f ca="1">IFERROR(__xludf.DUMMYFUNCTION("""COMPUTED_VALUE"""),0)</f>
        <v>0</v>
      </c>
      <c r="I135" s="113">
        <f ca="1">IFERROR(__xludf.DUMMYFUNCTION("""COMPUTED_VALUE"""),0)</f>
        <v>0</v>
      </c>
      <c r="J135" s="111">
        <f ca="1">IFERROR(__xludf.DUMMYFUNCTION("""COMPUTED_VALUE"""),0)</f>
        <v>0</v>
      </c>
      <c r="K135" s="113">
        <f ca="1">IFERROR(__xludf.DUMMYFUNCTION("""COMPUTED_VALUE"""),0)</f>
        <v>0</v>
      </c>
      <c r="L135" s="114" t="str">
        <f ca="1">IFERROR(__xludf.DUMMYFUNCTION("""COMPUTED_VALUE"""),"#DIV/0!")</f>
        <v>#DIV/0!</v>
      </c>
      <c r="M135" s="111"/>
      <c r="N135" s="111"/>
      <c r="O135" s="111"/>
      <c r="P135" s="111"/>
      <c r="Q135" s="112"/>
      <c r="R135" s="103"/>
      <c r="S135" s="103"/>
      <c r="T135" s="103"/>
      <c r="U135" s="103"/>
      <c r="V135" s="103"/>
      <c r="W135" s="103"/>
      <c r="X135" s="103"/>
      <c r="Y135" s="103"/>
      <c r="Z135" s="103"/>
      <c r="AA135" s="103"/>
    </row>
    <row r="136" spans="1:27" ht="63.75" x14ac:dyDescent="0.2">
      <c r="A136" s="110">
        <v>133</v>
      </c>
      <c r="B136" s="110" t="s">
        <v>54</v>
      </c>
      <c r="C136" s="111" t="str">
        <f ca="1">IFERROR(__xludf.DUMMYFUNCTION("""COMPUTED_VALUE"""),"г.о. Воскресенск")</f>
        <v>г.о. Воскресенск</v>
      </c>
      <c r="D136" s="111" t="str">
        <f ca="1">IFERROR(__xludf.DUMMYFUNCTION("""COMPUTED_VALUE"""),"Приобретение, монтаж и ввод в эксплуатацию станции водоподготовки на ВЗУ-5, Воскресенский м.р., д. Цибино г.п. Белоозерский")</f>
        <v>Приобретение, монтаж и ввод в эксплуатацию станции водоподготовки на ВЗУ-5, Воскресенский м.р., д. Цибино г.п. Белоозерский</v>
      </c>
      <c r="E136" s="111" t="str">
        <f ca="1">IFERROR(__xludf.DUMMYFUNCTION("""COMPUTED_VALUE"""),"Н/Л")</f>
        <v>Н/Л</v>
      </c>
      <c r="F136" s="113">
        <f ca="1">IFERROR(__xludf.DUMMYFUNCTION("""COMPUTED_VALUE"""),0)</f>
        <v>0</v>
      </c>
      <c r="G136" s="113">
        <f ca="1">IFERROR(__xludf.DUMMYFUNCTION("""COMPUTED_VALUE"""),0)</f>
        <v>0</v>
      </c>
      <c r="H136" s="113">
        <f ca="1">IFERROR(__xludf.DUMMYFUNCTION("""COMPUTED_VALUE"""),0)</f>
        <v>0</v>
      </c>
      <c r="I136" s="113">
        <f ca="1">IFERROR(__xludf.DUMMYFUNCTION("""COMPUTED_VALUE"""),0)</f>
        <v>0</v>
      </c>
      <c r="J136" s="111">
        <f ca="1">IFERROR(__xludf.DUMMYFUNCTION("""COMPUTED_VALUE"""),0)</f>
        <v>0</v>
      </c>
      <c r="K136" s="113">
        <f ca="1">IFERROR(__xludf.DUMMYFUNCTION("""COMPUTED_VALUE"""),0)</f>
        <v>0</v>
      </c>
      <c r="L136" s="114" t="str">
        <f ca="1">IFERROR(__xludf.DUMMYFUNCTION("""COMPUTED_VALUE"""),"#DIV/0!")</f>
        <v>#DIV/0!</v>
      </c>
      <c r="M136" s="111"/>
      <c r="N136" s="111"/>
      <c r="O136" s="111"/>
      <c r="P136" s="111"/>
      <c r="Q136" s="112"/>
      <c r="R136" s="103"/>
      <c r="S136" s="103"/>
      <c r="T136" s="103"/>
      <c r="U136" s="103"/>
      <c r="V136" s="103"/>
      <c r="W136" s="103"/>
      <c r="X136" s="103"/>
      <c r="Y136" s="103"/>
      <c r="Z136" s="103"/>
      <c r="AA136" s="103"/>
    </row>
    <row r="137" spans="1:27" ht="63.75" x14ac:dyDescent="0.2">
      <c r="A137" s="110">
        <v>134</v>
      </c>
      <c r="B137" s="110" t="s">
        <v>54</v>
      </c>
      <c r="C137" s="111" t="str">
        <f ca="1">IFERROR(__xludf.DUMMYFUNCTION("""COMPUTED_VALUE"""),"г.о. Воскресенск")</f>
        <v>г.о. Воскресенск</v>
      </c>
      <c r="D137" s="111" t="str">
        <f ca="1">IFERROR(__xludf.DUMMYFUNCTION("""COMPUTED_VALUE"""),"Приобретение, монтаж и ввод в эксплуатацию станции водоподготовки на ВЗУ-6, Воскресенский м.р., дер. Ивановка  г.п. Белоозерский")</f>
        <v>Приобретение, монтаж и ввод в эксплуатацию станции водоподготовки на ВЗУ-6, Воскресенский м.р., дер. Ивановка  г.п. Белоозерский</v>
      </c>
      <c r="E137" s="111" t="str">
        <f ca="1">IFERROR(__xludf.DUMMYFUNCTION("""COMPUTED_VALUE"""),"Н/Л")</f>
        <v>Н/Л</v>
      </c>
      <c r="F137" s="113">
        <f ca="1">IFERROR(__xludf.DUMMYFUNCTION("""COMPUTED_VALUE"""),0)</f>
        <v>0</v>
      </c>
      <c r="G137" s="113">
        <f ca="1">IFERROR(__xludf.DUMMYFUNCTION("""COMPUTED_VALUE"""),0)</f>
        <v>0</v>
      </c>
      <c r="H137" s="113">
        <f ca="1">IFERROR(__xludf.DUMMYFUNCTION("""COMPUTED_VALUE"""),0)</f>
        <v>0</v>
      </c>
      <c r="I137" s="113">
        <f ca="1">IFERROR(__xludf.DUMMYFUNCTION("""COMPUTED_VALUE"""),0)</f>
        <v>0</v>
      </c>
      <c r="J137" s="111">
        <f ca="1">IFERROR(__xludf.DUMMYFUNCTION("""COMPUTED_VALUE"""),0)</f>
        <v>0</v>
      </c>
      <c r="K137" s="113">
        <f ca="1">IFERROR(__xludf.DUMMYFUNCTION("""COMPUTED_VALUE"""),0)</f>
        <v>0</v>
      </c>
      <c r="L137" s="114" t="str">
        <f ca="1">IFERROR(__xludf.DUMMYFUNCTION("""COMPUTED_VALUE"""),"#DIV/0!")</f>
        <v>#DIV/0!</v>
      </c>
      <c r="M137" s="111"/>
      <c r="N137" s="111"/>
      <c r="O137" s="111"/>
      <c r="P137" s="111"/>
      <c r="Q137" s="112"/>
      <c r="R137" s="103"/>
      <c r="S137" s="103"/>
      <c r="T137" s="103"/>
      <c r="U137" s="103"/>
      <c r="V137" s="103"/>
      <c r="W137" s="103"/>
      <c r="X137" s="103"/>
      <c r="Y137" s="103"/>
      <c r="Z137" s="103"/>
      <c r="AA137" s="103"/>
    </row>
    <row r="138" spans="1:27" ht="63.75" x14ac:dyDescent="0.2">
      <c r="A138" s="110">
        <v>135</v>
      </c>
      <c r="B138" s="110" t="s">
        <v>54</v>
      </c>
      <c r="C138" s="111" t="str">
        <f ca="1">IFERROR(__xludf.DUMMYFUNCTION("""COMPUTED_VALUE"""),"г.о. Воскресенск")</f>
        <v>г.о. Воскресенск</v>
      </c>
      <c r="D138" s="111" t="str">
        <f ca="1">IFERROR(__xludf.DUMMYFUNCTION("""COMPUTED_VALUE"""),"Приобретение, монтаж и ввод в эксплуатацию станции водоподготовки на ВЗУ-8,  Воскресенский м.р.,  дер. Ворщиково  г.п. Белоозерский")</f>
        <v>Приобретение, монтаж и ввод в эксплуатацию станции водоподготовки на ВЗУ-8,  Воскресенский м.р.,  дер. Ворщиково  г.п. Белоозерский</v>
      </c>
      <c r="E138" s="111" t="str">
        <f ca="1">IFERROR(__xludf.DUMMYFUNCTION("""COMPUTED_VALUE"""),"Н/Л")</f>
        <v>Н/Л</v>
      </c>
      <c r="F138" s="113">
        <f ca="1">IFERROR(__xludf.DUMMYFUNCTION("""COMPUTED_VALUE"""),0)</f>
        <v>0</v>
      </c>
      <c r="G138" s="113">
        <f ca="1">IFERROR(__xludf.DUMMYFUNCTION("""COMPUTED_VALUE"""),0)</f>
        <v>0</v>
      </c>
      <c r="H138" s="113">
        <f ca="1">IFERROR(__xludf.DUMMYFUNCTION("""COMPUTED_VALUE"""),0)</f>
        <v>0</v>
      </c>
      <c r="I138" s="113">
        <f ca="1">IFERROR(__xludf.DUMMYFUNCTION("""COMPUTED_VALUE"""),0)</f>
        <v>0</v>
      </c>
      <c r="J138" s="111">
        <f ca="1">IFERROR(__xludf.DUMMYFUNCTION("""COMPUTED_VALUE"""),0)</f>
        <v>0</v>
      </c>
      <c r="K138" s="113">
        <f ca="1">IFERROR(__xludf.DUMMYFUNCTION("""COMPUTED_VALUE"""),0)</f>
        <v>0</v>
      </c>
      <c r="L138" s="114" t="str">
        <f ca="1">IFERROR(__xludf.DUMMYFUNCTION("""COMPUTED_VALUE"""),"#DIV/0!")</f>
        <v>#DIV/0!</v>
      </c>
      <c r="M138" s="111"/>
      <c r="N138" s="111"/>
      <c r="O138" s="111"/>
      <c r="P138" s="111"/>
      <c r="Q138" s="112"/>
      <c r="R138" s="103"/>
      <c r="S138" s="103"/>
      <c r="T138" s="103"/>
      <c r="U138" s="103"/>
      <c r="V138" s="103"/>
      <c r="W138" s="103"/>
      <c r="X138" s="103"/>
      <c r="Y138" s="103"/>
      <c r="Z138" s="103"/>
      <c r="AA138" s="103"/>
    </row>
    <row r="139" spans="1:27" ht="63.75" x14ac:dyDescent="0.2">
      <c r="A139" s="110">
        <v>136</v>
      </c>
      <c r="B139" s="110" t="s">
        <v>54</v>
      </c>
      <c r="C139" s="111" t="str">
        <f ca="1">IFERROR(__xludf.DUMMYFUNCTION("""COMPUTED_VALUE"""),"г.о. Воскресенск")</f>
        <v>г.о. Воскресенск</v>
      </c>
      <c r="D139" s="111" t="str">
        <f ca="1">IFERROR(__xludf.DUMMYFUNCTION("""COMPUTED_VALUE"""),"Приобретение, монтаж и ввод в эксплуатацию станции водоподготовки на ВЗУ - 9, Воскресенский м.р., дер.  Ворщиково г.п. Белоозерский ")</f>
        <v xml:space="preserve">Приобретение, монтаж и ввод в эксплуатацию станции водоподготовки на ВЗУ - 9, Воскресенский м.р., дер.  Ворщиково г.п. Белоозерский </v>
      </c>
      <c r="E139" s="111" t="str">
        <f ca="1">IFERROR(__xludf.DUMMYFUNCTION("""COMPUTED_VALUE"""),"Н/Л")</f>
        <v>Н/Л</v>
      </c>
      <c r="F139" s="113">
        <f ca="1">IFERROR(__xludf.DUMMYFUNCTION("""COMPUTED_VALUE"""),0)</f>
        <v>0</v>
      </c>
      <c r="G139" s="113">
        <f ca="1">IFERROR(__xludf.DUMMYFUNCTION("""COMPUTED_VALUE"""),0)</f>
        <v>0</v>
      </c>
      <c r="H139" s="113">
        <f ca="1">IFERROR(__xludf.DUMMYFUNCTION("""COMPUTED_VALUE"""),0)</f>
        <v>0</v>
      </c>
      <c r="I139" s="113">
        <f ca="1">IFERROR(__xludf.DUMMYFUNCTION("""COMPUTED_VALUE"""),0)</f>
        <v>0</v>
      </c>
      <c r="J139" s="111">
        <f ca="1">IFERROR(__xludf.DUMMYFUNCTION("""COMPUTED_VALUE"""),0)</f>
        <v>0</v>
      </c>
      <c r="K139" s="113">
        <f ca="1">IFERROR(__xludf.DUMMYFUNCTION("""COMPUTED_VALUE"""),0)</f>
        <v>0</v>
      </c>
      <c r="L139" s="114" t="str">
        <f ca="1">IFERROR(__xludf.DUMMYFUNCTION("""COMPUTED_VALUE"""),"#DIV/0!")</f>
        <v>#DIV/0!</v>
      </c>
      <c r="M139" s="111"/>
      <c r="N139" s="111"/>
      <c r="O139" s="111"/>
      <c r="P139" s="111"/>
      <c r="Q139" s="112"/>
      <c r="R139" s="103"/>
      <c r="S139" s="103"/>
      <c r="T139" s="103"/>
      <c r="U139" s="103"/>
      <c r="V139" s="103"/>
      <c r="W139" s="103"/>
      <c r="X139" s="103"/>
      <c r="Y139" s="103"/>
      <c r="Z139" s="103"/>
      <c r="AA139" s="103"/>
    </row>
    <row r="140" spans="1:27" ht="102" x14ac:dyDescent="0.2">
      <c r="A140" s="110">
        <v>137</v>
      </c>
      <c r="B140" s="110" t="s">
        <v>54</v>
      </c>
      <c r="C140" s="111" t="str">
        <f ca="1">IFERROR(__xludf.DUMMYFUNCTION("""COMPUTED_VALUE"""),"г.о. Воскресенск")</f>
        <v>г.о. Воскресенск</v>
      </c>
      <c r="D140" s="111" t="str">
        <f ca="1">IFERROR(__xludf.DUMMYFUNCTION("""COMPUTED_VALUE"""),"Приобретение,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f>
        <v>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v>
      </c>
      <c r="E140" s="111" t="str">
        <f ca="1">IFERROR(__xludf.DUMMYFUNCTION("""COMPUTED_VALUE"""),"Н/Л")</f>
        <v>Н/Л</v>
      </c>
      <c r="F140" s="113">
        <f ca="1">IFERROR(__xludf.DUMMYFUNCTION("""COMPUTED_VALUE"""),0)</f>
        <v>0</v>
      </c>
      <c r="G140" s="113">
        <f ca="1">IFERROR(__xludf.DUMMYFUNCTION("""COMPUTED_VALUE"""),0)</f>
        <v>0</v>
      </c>
      <c r="H140" s="113">
        <f ca="1">IFERROR(__xludf.DUMMYFUNCTION("""COMPUTED_VALUE"""),0)</f>
        <v>0</v>
      </c>
      <c r="I140" s="113">
        <f ca="1">IFERROR(__xludf.DUMMYFUNCTION("""COMPUTED_VALUE"""),0)</f>
        <v>0</v>
      </c>
      <c r="J140" s="111">
        <f ca="1">IFERROR(__xludf.DUMMYFUNCTION("""COMPUTED_VALUE"""),0)</f>
        <v>0</v>
      </c>
      <c r="K140" s="113">
        <f ca="1">IFERROR(__xludf.DUMMYFUNCTION("""COMPUTED_VALUE"""),0)</f>
        <v>0</v>
      </c>
      <c r="L140" s="114" t="str">
        <f ca="1">IFERROR(__xludf.DUMMYFUNCTION("""COMPUTED_VALUE"""),"#DIV/0!")</f>
        <v>#DIV/0!</v>
      </c>
      <c r="M140" s="111"/>
      <c r="N140" s="111"/>
      <c r="O140" s="111"/>
      <c r="P140" s="111"/>
      <c r="Q140" s="112"/>
      <c r="R140" s="103"/>
      <c r="S140" s="103"/>
      <c r="T140" s="103"/>
      <c r="U140" s="103"/>
      <c r="V140" s="103"/>
      <c r="W140" s="103"/>
      <c r="X140" s="103"/>
      <c r="Y140" s="103"/>
      <c r="Z140" s="103"/>
      <c r="AA140" s="103"/>
    </row>
    <row r="141" spans="1:27" ht="102" x14ac:dyDescent="0.2">
      <c r="A141" s="110">
        <v>138</v>
      </c>
      <c r="B141" s="110" t="s">
        <v>54</v>
      </c>
      <c r="C141" s="111" t="str">
        <f ca="1">IFERROR(__xludf.DUMMYFUNCTION("""COMPUTED_VALUE"""),"г.о. Наро-Фоминск")</f>
        <v>г.о. Наро-Фоминск</v>
      </c>
      <c r="D141" s="111" t="str">
        <f ca="1">IFERROR(__xludf.DUMMYFUNCTION("""COMPUTED_VALUE"""),"Приобретение,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f>
        <v>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v>
      </c>
      <c r="E141" s="111" t="str">
        <f ca="1">IFERROR(__xludf.DUMMYFUNCTION("""COMPUTED_VALUE"""),"Н/Л")</f>
        <v>Н/Л</v>
      </c>
      <c r="F141" s="113">
        <f ca="1">IFERROR(__xludf.DUMMYFUNCTION("""COMPUTED_VALUE"""),0)</f>
        <v>0</v>
      </c>
      <c r="G141" s="113">
        <f ca="1">IFERROR(__xludf.DUMMYFUNCTION("""COMPUTED_VALUE"""),0)</f>
        <v>0</v>
      </c>
      <c r="H141" s="113">
        <f ca="1">IFERROR(__xludf.DUMMYFUNCTION("""COMPUTED_VALUE"""),0)</f>
        <v>0</v>
      </c>
      <c r="I141" s="113">
        <f ca="1">IFERROR(__xludf.DUMMYFUNCTION("""COMPUTED_VALUE"""),0)</f>
        <v>0</v>
      </c>
      <c r="J141" s="111">
        <f ca="1">IFERROR(__xludf.DUMMYFUNCTION("""COMPUTED_VALUE"""),0)</f>
        <v>0</v>
      </c>
      <c r="K141" s="113">
        <f ca="1">IFERROR(__xludf.DUMMYFUNCTION("""COMPUTED_VALUE"""),0)</f>
        <v>0</v>
      </c>
      <c r="L141" s="114" t="str">
        <f ca="1">IFERROR(__xludf.DUMMYFUNCTION("""COMPUTED_VALUE"""),"#DIV/0!")</f>
        <v>#DIV/0!</v>
      </c>
      <c r="M141" s="111"/>
      <c r="N141" s="111"/>
      <c r="O141" s="111"/>
      <c r="P141" s="111"/>
      <c r="Q141" s="112"/>
      <c r="R141" s="103"/>
      <c r="S141" s="103"/>
      <c r="T141" s="103"/>
      <c r="U141" s="103"/>
      <c r="V141" s="103"/>
      <c r="W141" s="103"/>
      <c r="X141" s="103"/>
      <c r="Y141" s="103"/>
      <c r="Z141" s="103"/>
      <c r="AA141" s="103"/>
    </row>
    <row r="142" spans="1:27" ht="102" x14ac:dyDescent="0.2">
      <c r="A142" s="110">
        <v>139</v>
      </c>
      <c r="B142" s="110" t="s">
        <v>54</v>
      </c>
      <c r="C142" s="111" t="str">
        <f ca="1">IFERROR(__xludf.DUMMYFUNCTION("""COMPUTED_VALUE"""),"г.о. Наро-Фоминск")</f>
        <v>г.о. Наро-Фоминск</v>
      </c>
      <c r="D142" s="111" t="str">
        <f ca="1">IFERROR(__xludf.DUMMYFUNCTION("""COMPUTED_VALUE"""),"Приобретение,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f>
        <v>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v>
      </c>
      <c r="E142" s="111" t="str">
        <f ca="1">IFERROR(__xludf.DUMMYFUNCTION("""COMPUTED_VALUE"""),"Н/Л")</f>
        <v>Н/Л</v>
      </c>
      <c r="F142" s="113">
        <f ca="1">IFERROR(__xludf.DUMMYFUNCTION("""COMPUTED_VALUE"""),0)</f>
        <v>0</v>
      </c>
      <c r="G142" s="113">
        <f ca="1">IFERROR(__xludf.DUMMYFUNCTION("""COMPUTED_VALUE"""),0)</f>
        <v>0</v>
      </c>
      <c r="H142" s="113">
        <f ca="1">IFERROR(__xludf.DUMMYFUNCTION("""COMPUTED_VALUE"""),0)</f>
        <v>0</v>
      </c>
      <c r="I142" s="113">
        <f ca="1">IFERROR(__xludf.DUMMYFUNCTION("""COMPUTED_VALUE"""),0)</f>
        <v>0</v>
      </c>
      <c r="J142" s="111">
        <f ca="1">IFERROR(__xludf.DUMMYFUNCTION("""COMPUTED_VALUE"""),0)</f>
        <v>0</v>
      </c>
      <c r="K142" s="113">
        <f ca="1">IFERROR(__xludf.DUMMYFUNCTION("""COMPUTED_VALUE"""),0)</f>
        <v>0</v>
      </c>
      <c r="L142" s="114" t="str">
        <f ca="1">IFERROR(__xludf.DUMMYFUNCTION("""COMPUTED_VALUE"""),"#DIV/0!")</f>
        <v>#DIV/0!</v>
      </c>
      <c r="M142" s="111"/>
      <c r="N142" s="111"/>
      <c r="O142" s="111"/>
      <c r="P142" s="111"/>
      <c r="Q142" s="112"/>
      <c r="R142" s="103"/>
      <c r="S142" s="103"/>
      <c r="T142" s="103"/>
      <c r="U142" s="103"/>
      <c r="V142" s="103"/>
      <c r="W142" s="103"/>
      <c r="X142" s="103"/>
      <c r="Y142" s="103"/>
      <c r="Z142" s="103"/>
      <c r="AA142" s="103"/>
    </row>
    <row r="143" spans="1:27" ht="76.5" x14ac:dyDescent="0.2">
      <c r="A143" s="110">
        <v>140</v>
      </c>
      <c r="B143" s="110" t="s">
        <v>54</v>
      </c>
      <c r="C143" s="111" t="str">
        <f ca="1">IFERROR(__xludf.DUMMYFUNCTION("""COMPUTED_VALUE"""),"г.о. Наро-Фоминск")</f>
        <v>г.о. Наро-Фоминск</v>
      </c>
      <c r="D143" s="111" t="str">
        <f ca="1">IFERROR(__xludf.DUMMYFUNCTION("""COMPUTED_VALUE"""),"Приобретение, монтаж и ввод в эксплуатацию станции водоочистки, д. Софьино (в том числе погашение кредиторской задолженности - 6 157,72 тыс.руб.)  г.о. Наро-Фоминск")</f>
        <v>Приобретение, монтаж и ввод в эксплуатацию станции водоочистки, д. Софьино (в том числе погашение кредиторской задолженности - 6 157,72 тыс.руб.)  г.о. Наро-Фоминск</v>
      </c>
      <c r="E143" s="111" t="str">
        <f ca="1">IFERROR(__xludf.DUMMYFUNCTION("""COMPUTED_VALUE"""),"Н/Л")</f>
        <v>Н/Л</v>
      </c>
      <c r="F143" s="113">
        <f ca="1">IFERROR(__xludf.DUMMYFUNCTION("""COMPUTED_VALUE"""),0)</f>
        <v>0</v>
      </c>
      <c r="G143" s="113">
        <f ca="1">IFERROR(__xludf.DUMMYFUNCTION("""COMPUTED_VALUE"""),0)</f>
        <v>0</v>
      </c>
      <c r="H143" s="113">
        <f ca="1">IFERROR(__xludf.DUMMYFUNCTION("""COMPUTED_VALUE"""),0)</f>
        <v>0</v>
      </c>
      <c r="I143" s="113">
        <f ca="1">IFERROR(__xludf.DUMMYFUNCTION("""COMPUTED_VALUE"""),0)</f>
        <v>0</v>
      </c>
      <c r="J143" s="111">
        <f ca="1">IFERROR(__xludf.DUMMYFUNCTION("""COMPUTED_VALUE"""),0)</f>
        <v>0</v>
      </c>
      <c r="K143" s="113">
        <f ca="1">IFERROR(__xludf.DUMMYFUNCTION("""COMPUTED_VALUE"""),0)</f>
        <v>0</v>
      </c>
      <c r="L143" s="114" t="str">
        <f ca="1">IFERROR(__xludf.DUMMYFUNCTION("""COMPUTED_VALUE"""),"#DIV/0!")</f>
        <v>#DIV/0!</v>
      </c>
      <c r="M143" s="111"/>
      <c r="N143" s="111"/>
      <c r="O143" s="111"/>
      <c r="P143" s="111"/>
      <c r="Q143" s="112"/>
      <c r="R143" s="103"/>
      <c r="S143" s="103"/>
      <c r="T143" s="103"/>
      <c r="U143" s="103"/>
      <c r="V143" s="103"/>
      <c r="W143" s="103"/>
      <c r="X143" s="103"/>
      <c r="Y143" s="103"/>
      <c r="Z143" s="103"/>
      <c r="AA143" s="103"/>
    </row>
    <row r="144" spans="1:27" ht="63.75" x14ac:dyDescent="0.2">
      <c r="A144" s="110">
        <v>141</v>
      </c>
      <c r="B144" s="110" t="s">
        <v>54</v>
      </c>
      <c r="C144" s="111" t="str">
        <f ca="1">IFERROR(__xludf.DUMMYFUNCTION("""COMPUTED_VALUE"""),"г.о. Солнечногорск")</f>
        <v>г.о. Солнечногорск</v>
      </c>
      <c r="D144" s="111" t="str">
        <f ca="1">IFERROR(__xludf.DUMMYFUNCTION("""COMPUTED_VALUE"""),"Приобретение, монтаж и ввод в эксплуатацию станции обезжелезивания на ВЗУ № 15, д. Стрелино, с. п. Кривцовское  Солнечногорский м.р.")</f>
        <v>Приобретение, монтаж и ввод в эксплуатацию станции обезжелезивания на ВЗУ № 15, д. Стрелино, с. п. Кривцовское  Солнечногорский м.р.</v>
      </c>
      <c r="E144" s="111" t="str">
        <f ca="1">IFERROR(__xludf.DUMMYFUNCTION("""COMPUTED_VALUE"""),"Н/Л")</f>
        <v>Н/Л</v>
      </c>
      <c r="F144" s="113">
        <f ca="1">IFERROR(__xludf.DUMMYFUNCTION("""COMPUTED_VALUE"""),0)</f>
        <v>0</v>
      </c>
      <c r="G144" s="113">
        <f ca="1">IFERROR(__xludf.DUMMYFUNCTION("""COMPUTED_VALUE"""),0)</f>
        <v>0</v>
      </c>
      <c r="H144" s="113">
        <f ca="1">IFERROR(__xludf.DUMMYFUNCTION("""COMPUTED_VALUE"""),0)</f>
        <v>0</v>
      </c>
      <c r="I144" s="113">
        <f ca="1">IFERROR(__xludf.DUMMYFUNCTION("""COMPUTED_VALUE"""),0)</f>
        <v>0</v>
      </c>
      <c r="J144" s="111">
        <f ca="1">IFERROR(__xludf.DUMMYFUNCTION("""COMPUTED_VALUE"""),0)</f>
        <v>0</v>
      </c>
      <c r="K144" s="113">
        <f ca="1">IFERROR(__xludf.DUMMYFUNCTION("""COMPUTED_VALUE"""),0)</f>
        <v>0</v>
      </c>
      <c r="L144" s="114" t="str">
        <f ca="1">IFERROR(__xludf.DUMMYFUNCTION("""COMPUTED_VALUE"""),"#DIV/0!")</f>
        <v>#DIV/0!</v>
      </c>
      <c r="M144" s="111"/>
      <c r="N144" s="111"/>
      <c r="O144" s="111"/>
      <c r="P144" s="111"/>
      <c r="Q144" s="112"/>
      <c r="R144" s="103"/>
      <c r="S144" s="103"/>
      <c r="T144" s="103"/>
      <c r="U144" s="103"/>
      <c r="V144" s="103"/>
      <c r="W144" s="103"/>
      <c r="X144" s="103"/>
      <c r="Y144" s="103"/>
      <c r="Z144" s="103"/>
      <c r="AA144" s="103"/>
    </row>
    <row r="145" spans="1:27" ht="63.75" x14ac:dyDescent="0.2">
      <c r="A145" s="110">
        <v>142</v>
      </c>
      <c r="B145" s="110" t="s">
        <v>54</v>
      </c>
      <c r="C145" s="111" t="str">
        <f ca="1">IFERROR(__xludf.DUMMYFUNCTION("""COMPUTED_VALUE"""),"г.о. Солнечногорск")</f>
        <v>г.о. Солнечногорск</v>
      </c>
      <c r="D145" s="111" t="str">
        <f ca="1">IFERROR(__xludf.DUMMYFUNCTION("""COMPUTED_VALUE"""),"Приобретение, монтаж и ввод в эксплуатацию станции обезжелезивания на ВЗУ № 19, д. Тараканово, с. п. Смирновское Солнечногорский м.р.")</f>
        <v>Приобретение, монтаж и ввод в эксплуатацию станции обезжелезивания на ВЗУ № 19, д. Тараканово, с. п. Смирновское Солнечногорский м.р.</v>
      </c>
      <c r="E145" s="111" t="str">
        <f ca="1">IFERROR(__xludf.DUMMYFUNCTION("""COMPUTED_VALUE"""),"Н/Л")</f>
        <v>Н/Л</v>
      </c>
      <c r="F145" s="113">
        <f ca="1">IFERROR(__xludf.DUMMYFUNCTION("""COMPUTED_VALUE"""),0)</f>
        <v>0</v>
      </c>
      <c r="G145" s="113">
        <f ca="1">IFERROR(__xludf.DUMMYFUNCTION("""COMPUTED_VALUE"""),0)</f>
        <v>0</v>
      </c>
      <c r="H145" s="113">
        <f ca="1">IFERROR(__xludf.DUMMYFUNCTION("""COMPUTED_VALUE"""),0)</f>
        <v>0</v>
      </c>
      <c r="I145" s="113">
        <f ca="1">IFERROR(__xludf.DUMMYFUNCTION("""COMPUTED_VALUE"""),0)</f>
        <v>0</v>
      </c>
      <c r="J145" s="111">
        <f ca="1">IFERROR(__xludf.DUMMYFUNCTION("""COMPUTED_VALUE"""),0)</f>
        <v>0</v>
      </c>
      <c r="K145" s="113">
        <f ca="1">IFERROR(__xludf.DUMMYFUNCTION("""COMPUTED_VALUE"""),0)</f>
        <v>0</v>
      </c>
      <c r="L145" s="114" t="str">
        <f ca="1">IFERROR(__xludf.DUMMYFUNCTION("""COMPUTED_VALUE"""),"#DIV/0!")</f>
        <v>#DIV/0!</v>
      </c>
      <c r="M145" s="111"/>
      <c r="N145" s="111"/>
      <c r="O145" s="111"/>
      <c r="P145" s="111"/>
      <c r="Q145" s="112"/>
      <c r="R145" s="103"/>
      <c r="S145" s="103"/>
      <c r="T145" s="103"/>
      <c r="U145" s="103"/>
      <c r="V145" s="103"/>
      <c r="W145" s="103"/>
      <c r="X145" s="103"/>
      <c r="Y145" s="103"/>
      <c r="Z145" s="103"/>
      <c r="AA145" s="103"/>
    </row>
    <row r="146" spans="1:27" ht="51" x14ac:dyDescent="0.2">
      <c r="A146" s="110">
        <v>143</v>
      </c>
      <c r="B146" s="110" t="s">
        <v>54</v>
      </c>
      <c r="C146" s="111" t="str">
        <f ca="1">IFERROR(__xludf.DUMMYFUNCTION("""COMPUTED_VALUE"""),"г.о. Щелково")</f>
        <v>г.о. Щелково</v>
      </c>
      <c r="D146" s="111" t="str">
        <f ca="1">IFERROR(__xludf.DUMMYFUNCTION("""COMPUTED_VALUE"""),"Капитальный ремонт ВЗУ  со станцией обезжелезивания, п. Краснознаменский г. Щелково, Щелковский м.р. ")</f>
        <v xml:space="preserve">Капитальный ремонт ВЗУ  со станцией обезжелезивания, п. Краснознаменский г. Щелково, Щелковский м.р. </v>
      </c>
      <c r="E146" s="111">
        <f ca="1">IFERROR(__xludf.DUMMYFUNCTION("""COMPUTED_VALUE"""),2021)</f>
        <v>2021</v>
      </c>
      <c r="F146" s="113">
        <f ca="1">IFERROR(__xludf.DUMMYFUNCTION("""COMPUTED_VALUE"""),0)</f>
        <v>0</v>
      </c>
      <c r="G146" s="113">
        <f ca="1">IFERROR(__xludf.DUMMYFUNCTION("""COMPUTED_VALUE"""),0)</f>
        <v>0</v>
      </c>
      <c r="H146" s="113">
        <f ca="1">IFERROR(__xludf.DUMMYFUNCTION("""COMPUTED_VALUE"""),0)</f>
        <v>0</v>
      </c>
      <c r="I146" s="113">
        <f ca="1">IFERROR(__xludf.DUMMYFUNCTION("""COMPUTED_VALUE"""),0)</f>
        <v>0</v>
      </c>
      <c r="J146" s="111">
        <f ca="1">IFERROR(__xludf.DUMMYFUNCTION("""COMPUTED_VALUE"""),0)</f>
        <v>0</v>
      </c>
      <c r="K146" s="113">
        <f ca="1">IFERROR(__xludf.DUMMYFUNCTION("""COMPUTED_VALUE"""),0)</f>
        <v>0</v>
      </c>
      <c r="L146" s="114" t="str">
        <f ca="1">IFERROR(__xludf.DUMMYFUNCTION("""COMPUTED_VALUE"""),"#DIV/0!")</f>
        <v>#DIV/0!</v>
      </c>
      <c r="M146" s="111"/>
      <c r="N146" s="111"/>
      <c r="O146" s="111"/>
      <c r="P146" s="111"/>
      <c r="Q146" s="112"/>
      <c r="R146" s="103"/>
      <c r="S146" s="103"/>
      <c r="T146" s="103"/>
      <c r="U146" s="103"/>
      <c r="V146" s="103"/>
      <c r="W146" s="103"/>
      <c r="X146" s="103"/>
      <c r="Y146" s="103"/>
      <c r="Z146" s="103"/>
      <c r="AA146" s="103"/>
    </row>
    <row r="147" spans="1:27" ht="51" x14ac:dyDescent="0.2">
      <c r="A147" s="110">
        <v>144</v>
      </c>
      <c r="B147" s="110" t="s">
        <v>54</v>
      </c>
      <c r="C147" s="111" t="str">
        <f ca="1">IFERROR(__xludf.DUMMYFUNCTION("""COMPUTED_VALUE"""),"г.о. Щелково")</f>
        <v>г.о. Щелково</v>
      </c>
      <c r="D147" s="111" t="str">
        <f ca="1">IFERROR(__xludf.DUMMYFUNCTION("""COMPUTED_VALUE"""),"Капитальный ремонт ВЗУ №3 со станцией обезжелезивания г. Щелково, ул. Центральная 1-ый и 2-ой этапы")</f>
        <v>Капитальный ремонт ВЗУ №3 со станцией обезжелезивания г. Щелково, ул. Центральная 1-ый и 2-ой этапы</v>
      </c>
      <c r="E147" s="111">
        <f ca="1">IFERROR(__xludf.DUMMYFUNCTION("""COMPUTED_VALUE"""),2021)</f>
        <v>2021</v>
      </c>
      <c r="F147" s="113">
        <f ca="1">IFERROR(__xludf.DUMMYFUNCTION("""COMPUTED_VALUE"""),0)</f>
        <v>0</v>
      </c>
      <c r="G147" s="113">
        <f ca="1">IFERROR(__xludf.DUMMYFUNCTION("""COMPUTED_VALUE"""),0)</f>
        <v>0</v>
      </c>
      <c r="H147" s="113">
        <f ca="1">IFERROR(__xludf.DUMMYFUNCTION("""COMPUTED_VALUE"""),0)</f>
        <v>0</v>
      </c>
      <c r="I147" s="113">
        <f ca="1">IFERROR(__xludf.DUMMYFUNCTION("""COMPUTED_VALUE"""),0)</f>
        <v>0</v>
      </c>
      <c r="J147" s="111">
        <f ca="1">IFERROR(__xludf.DUMMYFUNCTION("""COMPUTED_VALUE"""),0)</f>
        <v>0</v>
      </c>
      <c r="K147" s="113">
        <f ca="1">IFERROR(__xludf.DUMMYFUNCTION("""COMPUTED_VALUE"""),0)</f>
        <v>0</v>
      </c>
      <c r="L147" s="114" t="str">
        <f ca="1">IFERROR(__xludf.DUMMYFUNCTION("""COMPUTED_VALUE"""),"#DIV/0!")</f>
        <v>#DIV/0!</v>
      </c>
      <c r="M147" s="111"/>
      <c r="N147" s="111"/>
      <c r="O147" s="111"/>
      <c r="P147" s="111"/>
      <c r="Q147" s="112"/>
      <c r="R147" s="103"/>
      <c r="S147" s="103"/>
      <c r="T147" s="103"/>
      <c r="U147" s="103"/>
      <c r="V147" s="103"/>
      <c r="W147" s="103"/>
      <c r="X147" s="103"/>
      <c r="Y147" s="103"/>
      <c r="Z147" s="103"/>
      <c r="AA147" s="103"/>
    </row>
    <row r="148" spans="1:27" ht="76.5" x14ac:dyDescent="0.2">
      <c r="A148" s="110">
        <v>145</v>
      </c>
      <c r="B148" s="110" t="s">
        <v>54</v>
      </c>
      <c r="C148" s="111" t="str">
        <f ca="1">IFERROR(__xludf.DUMMYFUNCTION("""COMPUTED_VALUE"""),"г.о. Щелково")</f>
        <v>г.о. Щелково</v>
      </c>
      <c r="D148" s="111" t="str">
        <f ca="1">IFERROR(__xludf.DUMMYFUNCTION("""COMPUTED_VALUE"""),"Капитальный ремонт ВЗУ  со станцией обезжелезивания  ул. Розы Люксембург, г.п. Загорянский  Щелковский муниципальный район Московской области (I этап)")</f>
        <v>Капитальный ремонт ВЗУ  со станцией обезжелезивания  ул. Розы Люксембург, г.п. Загорянский  Щелковский муниципальный район Московской области (I этап)</v>
      </c>
      <c r="E148" s="111" t="str">
        <f ca="1">IFERROR(__xludf.DUMMYFUNCTION("""COMPUTED_VALUE"""),"Н/Л")</f>
        <v>Н/Л</v>
      </c>
      <c r="F148" s="113">
        <f ca="1">IFERROR(__xludf.DUMMYFUNCTION("""COMPUTED_VALUE"""),0)</f>
        <v>0</v>
      </c>
      <c r="G148" s="113">
        <f ca="1">IFERROR(__xludf.DUMMYFUNCTION("""COMPUTED_VALUE"""),0)</f>
        <v>0</v>
      </c>
      <c r="H148" s="113">
        <f ca="1">IFERROR(__xludf.DUMMYFUNCTION("""COMPUTED_VALUE"""),0)</f>
        <v>0</v>
      </c>
      <c r="I148" s="113">
        <f ca="1">IFERROR(__xludf.DUMMYFUNCTION("""COMPUTED_VALUE"""),0)</f>
        <v>0</v>
      </c>
      <c r="J148" s="111">
        <f ca="1">IFERROR(__xludf.DUMMYFUNCTION("""COMPUTED_VALUE"""),0)</f>
        <v>0</v>
      </c>
      <c r="K148" s="113">
        <f ca="1">IFERROR(__xludf.DUMMYFUNCTION("""COMPUTED_VALUE"""),0)</f>
        <v>0</v>
      </c>
      <c r="L148" s="114" t="str">
        <f ca="1">IFERROR(__xludf.DUMMYFUNCTION("""COMPUTED_VALUE"""),"#DIV/0!")</f>
        <v>#DIV/0!</v>
      </c>
      <c r="M148" s="111"/>
      <c r="N148" s="111"/>
      <c r="O148" s="111"/>
      <c r="P148" s="111"/>
      <c r="Q148" s="112"/>
      <c r="R148" s="103"/>
      <c r="S148" s="103"/>
      <c r="T148" s="103"/>
      <c r="U148" s="103"/>
      <c r="V148" s="103"/>
      <c r="W148" s="103"/>
      <c r="X148" s="103"/>
      <c r="Y148" s="103"/>
      <c r="Z148" s="103"/>
      <c r="AA148" s="103"/>
    </row>
    <row r="149" spans="1:27" ht="89.25" x14ac:dyDescent="0.2">
      <c r="A149" s="110">
        <v>146</v>
      </c>
      <c r="B149" s="110" t="s">
        <v>54</v>
      </c>
      <c r="C149" s="111" t="str">
        <f ca="1">IFERROR(__xludf.DUMMYFUNCTION("""COMPUTED_VALUE"""),"г.о. Щелково")</f>
        <v>г.о. Щелково</v>
      </c>
      <c r="D149" s="111" t="str">
        <f ca="1">IFERROR(__xludf.DUMMYFUNCTION("""COMPUTED_VALUE"""),"Приобретение,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f>
        <v>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v>
      </c>
      <c r="E149" s="111" t="str">
        <f ca="1">IFERROR(__xludf.DUMMYFUNCTION("""COMPUTED_VALUE"""),"Н/Л")</f>
        <v>Н/Л</v>
      </c>
      <c r="F149" s="113">
        <f ca="1">IFERROR(__xludf.DUMMYFUNCTION("""COMPUTED_VALUE"""),0)</f>
        <v>0</v>
      </c>
      <c r="G149" s="113">
        <f ca="1">IFERROR(__xludf.DUMMYFUNCTION("""COMPUTED_VALUE"""),0)</f>
        <v>0</v>
      </c>
      <c r="H149" s="113">
        <f ca="1">IFERROR(__xludf.DUMMYFUNCTION("""COMPUTED_VALUE"""),0)</f>
        <v>0</v>
      </c>
      <c r="I149" s="113">
        <f ca="1">IFERROR(__xludf.DUMMYFUNCTION("""COMPUTED_VALUE"""),0)</f>
        <v>0</v>
      </c>
      <c r="J149" s="111">
        <f ca="1">IFERROR(__xludf.DUMMYFUNCTION("""COMPUTED_VALUE"""),0)</f>
        <v>0</v>
      </c>
      <c r="K149" s="113">
        <f ca="1">IFERROR(__xludf.DUMMYFUNCTION("""COMPUTED_VALUE"""),0)</f>
        <v>0</v>
      </c>
      <c r="L149" s="114" t="str">
        <f ca="1">IFERROR(__xludf.DUMMYFUNCTION("""COMPUTED_VALUE"""),"#DIV/0!")</f>
        <v>#DIV/0!</v>
      </c>
      <c r="M149" s="111"/>
      <c r="N149" s="111"/>
      <c r="O149" s="111"/>
      <c r="P149" s="111"/>
      <c r="Q149" s="112"/>
      <c r="R149" s="103"/>
      <c r="S149" s="103"/>
      <c r="T149" s="103"/>
      <c r="U149" s="103"/>
      <c r="V149" s="103"/>
      <c r="W149" s="103"/>
      <c r="X149" s="103"/>
      <c r="Y149" s="103"/>
      <c r="Z149" s="103"/>
      <c r="AA149" s="103"/>
    </row>
    <row r="150" spans="1:27" ht="89.25" x14ac:dyDescent="0.2">
      <c r="A150" s="110">
        <v>147</v>
      </c>
      <c r="B150" s="110" t="s">
        <v>54</v>
      </c>
      <c r="C150" s="111" t="str">
        <f ca="1">IFERROR(__xludf.DUMMYFUNCTION("""COMPUTED_VALUE"""),"г.о. Щелково")</f>
        <v>г.о. Щелково</v>
      </c>
      <c r="D150" s="111" t="str">
        <f ca="1">IFERROR(__xludf.DUMMYFUNCTION("""COMPUTED_VALUE"""),"Приобретение,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f>
        <v>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v>
      </c>
      <c r="E150" s="111" t="str">
        <f ca="1">IFERROR(__xludf.DUMMYFUNCTION("""COMPUTED_VALUE"""),"Н/Л")</f>
        <v>Н/Л</v>
      </c>
      <c r="F150" s="113">
        <f ca="1">IFERROR(__xludf.DUMMYFUNCTION("""COMPUTED_VALUE"""),0)</f>
        <v>0</v>
      </c>
      <c r="G150" s="113">
        <f ca="1">IFERROR(__xludf.DUMMYFUNCTION("""COMPUTED_VALUE"""),0)</f>
        <v>0</v>
      </c>
      <c r="H150" s="113">
        <f ca="1">IFERROR(__xludf.DUMMYFUNCTION("""COMPUTED_VALUE"""),0)</f>
        <v>0</v>
      </c>
      <c r="I150" s="113">
        <f ca="1">IFERROR(__xludf.DUMMYFUNCTION("""COMPUTED_VALUE"""),0)</f>
        <v>0</v>
      </c>
      <c r="J150" s="111">
        <f ca="1">IFERROR(__xludf.DUMMYFUNCTION("""COMPUTED_VALUE"""),0)</f>
        <v>0</v>
      </c>
      <c r="K150" s="113">
        <f ca="1">IFERROR(__xludf.DUMMYFUNCTION("""COMPUTED_VALUE"""),0)</f>
        <v>0</v>
      </c>
      <c r="L150" s="114" t="str">
        <f ca="1">IFERROR(__xludf.DUMMYFUNCTION("""COMPUTED_VALUE"""),"#DIV/0!")</f>
        <v>#DIV/0!</v>
      </c>
      <c r="M150" s="111"/>
      <c r="N150" s="111"/>
      <c r="O150" s="111"/>
      <c r="P150" s="111"/>
      <c r="Q150" s="112"/>
      <c r="R150" s="103"/>
      <c r="S150" s="103"/>
      <c r="T150" s="103"/>
      <c r="U150" s="103"/>
      <c r="V150" s="103"/>
      <c r="W150" s="103"/>
      <c r="X150" s="103"/>
      <c r="Y150" s="103"/>
      <c r="Z150" s="103"/>
      <c r="AA150" s="103"/>
    </row>
    <row r="151" spans="1:27" ht="89.25" x14ac:dyDescent="0.2">
      <c r="A151" s="110">
        <v>148</v>
      </c>
      <c r="B151" s="110" t="s">
        <v>54</v>
      </c>
      <c r="C151" s="111" t="str">
        <f ca="1">IFERROR(__xludf.DUMMYFUNCTION("""COMPUTED_VALUE"""),"г.о. Сергиев Посад")</f>
        <v>г.о. Сергиев Посад</v>
      </c>
      <c r="D151" s="111" t="str">
        <f ca="1">IFERROR(__xludf.DUMMYFUNCTION("""COMPUTED_VALUE"""),"Приобретение,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f>
        <v>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v>
      </c>
      <c r="E151" s="111" t="str">
        <f ca="1">IFERROR(__xludf.DUMMYFUNCTION("""COMPUTED_VALUE"""),"Н/Л")</f>
        <v>Н/Л</v>
      </c>
      <c r="F151" s="113">
        <f ca="1">IFERROR(__xludf.DUMMYFUNCTION("""COMPUTED_VALUE"""),0)</f>
        <v>0</v>
      </c>
      <c r="G151" s="113">
        <f ca="1">IFERROR(__xludf.DUMMYFUNCTION("""COMPUTED_VALUE"""),0)</f>
        <v>0</v>
      </c>
      <c r="H151" s="113">
        <f ca="1">IFERROR(__xludf.DUMMYFUNCTION("""COMPUTED_VALUE"""),0)</f>
        <v>0</v>
      </c>
      <c r="I151" s="113">
        <f ca="1">IFERROR(__xludf.DUMMYFUNCTION("""COMPUTED_VALUE"""),0)</f>
        <v>0</v>
      </c>
      <c r="J151" s="111">
        <f ca="1">IFERROR(__xludf.DUMMYFUNCTION("""COMPUTED_VALUE"""),0)</f>
        <v>0</v>
      </c>
      <c r="K151" s="113">
        <f ca="1">IFERROR(__xludf.DUMMYFUNCTION("""COMPUTED_VALUE"""),0)</f>
        <v>0</v>
      </c>
      <c r="L151" s="114" t="str">
        <f ca="1">IFERROR(__xludf.DUMMYFUNCTION("""COMPUTED_VALUE"""),"#DIV/0!")</f>
        <v>#DIV/0!</v>
      </c>
      <c r="M151" s="111"/>
      <c r="N151" s="111"/>
      <c r="O151" s="111"/>
      <c r="P151" s="111"/>
      <c r="Q151" s="112"/>
      <c r="R151" s="103"/>
      <c r="S151" s="103"/>
      <c r="T151" s="103"/>
      <c r="U151" s="103"/>
      <c r="V151" s="103"/>
      <c r="W151" s="103"/>
      <c r="X151" s="103"/>
      <c r="Y151" s="103"/>
      <c r="Z151" s="103"/>
      <c r="AA151" s="103"/>
    </row>
    <row r="152" spans="1:27" ht="51" x14ac:dyDescent="0.2">
      <c r="A152" s="110">
        <v>149</v>
      </c>
      <c r="B152" s="110" t="s">
        <v>54</v>
      </c>
      <c r="C152" s="111" t="str">
        <f ca="1">IFERROR(__xludf.DUMMYFUNCTION("""COMPUTED_VALUE"""),"г.о. Сергиев Посад")</f>
        <v>г.о. Сергиев Посад</v>
      </c>
      <c r="D152" s="111" t="str">
        <f ca="1">IFERROR(__xludf.DUMMYFUNCTION("""COMPUTED_VALUE"""),"Приобретение, монтаж и ввод в эксплуатацию станции водоочистки, Сергиево-Посадский м.р., с.п. Шеметово, д. Самотовино")</f>
        <v>Приобретение, монтаж и ввод в эксплуатацию станции водоочистки, Сергиево-Посадский м.р., с.п. Шеметово, д. Самотовино</v>
      </c>
      <c r="E152" s="111" t="str">
        <f ca="1">IFERROR(__xludf.DUMMYFUNCTION("""COMPUTED_VALUE"""),"Н/Л")</f>
        <v>Н/Л</v>
      </c>
      <c r="F152" s="113">
        <f ca="1">IFERROR(__xludf.DUMMYFUNCTION("""COMPUTED_VALUE"""),0)</f>
        <v>0</v>
      </c>
      <c r="G152" s="113">
        <f ca="1">IFERROR(__xludf.DUMMYFUNCTION("""COMPUTED_VALUE"""),0)</f>
        <v>0</v>
      </c>
      <c r="H152" s="113">
        <f ca="1">IFERROR(__xludf.DUMMYFUNCTION("""COMPUTED_VALUE"""),0)</f>
        <v>0</v>
      </c>
      <c r="I152" s="113">
        <f ca="1">IFERROR(__xludf.DUMMYFUNCTION("""COMPUTED_VALUE"""),0)</f>
        <v>0</v>
      </c>
      <c r="J152" s="111">
        <f ca="1">IFERROR(__xludf.DUMMYFUNCTION("""COMPUTED_VALUE"""),0)</f>
        <v>0</v>
      </c>
      <c r="K152" s="113">
        <f ca="1">IFERROR(__xludf.DUMMYFUNCTION("""COMPUTED_VALUE"""),0)</f>
        <v>0</v>
      </c>
      <c r="L152" s="114" t="str">
        <f ca="1">IFERROR(__xludf.DUMMYFUNCTION("""COMPUTED_VALUE"""),"#DIV/0!")</f>
        <v>#DIV/0!</v>
      </c>
      <c r="M152" s="111"/>
      <c r="N152" s="111"/>
      <c r="O152" s="111"/>
      <c r="P152" s="111"/>
      <c r="Q152" s="112"/>
      <c r="R152" s="103"/>
      <c r="S152" s="103"/>
      <c r="T152" s="103"/>
      <c r="U152" s="103"/>
      <c r="V152" s="103"/>
      <c r="W152" s="103"/>
      <c r="X152" s="103"/>
      <c r="Y152" s="103"/>
      <c r="Z152" s="103"/>
      <c r="AA152" s="103"/>
    </row>
    <row r="153" spans="1:27" ht="38.25" x14ac:dyDescent="0.2">
      <c r="A153" s="110">
        <v>150</v>
      </c>
      <c r="B153" s="110" t="s">
        <v>54</v>
      </c>
      <c r="C153" s="111" t="str">
        <f ca="1">IFERROR(__xludf.DUMMYFUNCTION("""COMPUTED_VALUE"""),"г.о. Красногорск")</f>
        <v>г.о. Красногорск</v>
      </c>
      <c r="D153" s="111" t="str">
        <f ca="1">IFERROR(__xludf.DUMMYFUNCTION("""COMPUTED_VALUE"""),"Капитальный ремонт ВЗУ в п. Архангельское Красногорского района")</f>
        <v>Капитальный ремонт ВЗУ в п. Архангельское Красногорского района</v>
      </c>
      <c r="E153" s="111" t="str">
        <f ca="1">IFERROR(__xludf.DUMMYFUNCTION("""COMPUTED_VALUE"""),"Н/Л")</f>
        <v>Н/Л</v>
      </c>
      <c r="F153" s="113">
        <f ca="1">IFERROR(__xludf.DUMMYFUNCTION("""COMPUTED_VALUE"""),0)</f>
        <v>0</v>
      </c>
      <c r="G153" s="113">
        <f ca="1">IFERROR(__xludf.DUMMYFUNCTION("""COMPUTED_VALUE"""),0)</f>
        <v>0</v>
      </c>
      <c r="H153" s="113">
        <f ca="1">IFERROR(__xludf.DUMMYFUNCTION("""COMPUTED_VALUE"""),0)</f>
        <v>0</v>
      </c>
      <c r="I153" s="113">
        <f ca="1">IFERROR(__xludf.DUMMYFUNCTION("""COMPUTED_VALUE"""),0)</f>
        <v>0</v>
      </c>
      <c r="J153" s="111">
        <f ca="1">IFERROR(__xludf.DUMMYFUNCTION("""COMPUTED_VALUE"""),0)</f>
        <v>0</v>
      </c>
      <c r="K153" s="113">
        <f ca="1">IFERROR(__xludf.DUMMYFUNCTION("""COMPUTED_VALUE"""),0)</f>
        <v>0</v>
      </c>
      <c r="L153" s="114" t="str">
        <f ca="1">IFERROR(__xludf.DUMMYFUNCTION("""COMPUTED_VALUE"""),"#DIV/0!")</f>
        <v>#DIV/0!</v>
      </c>
      <c r="M153" s="111"/>
      <c r="N153" s="111"/>
      <c r="O153" s="111"/>
      <c r="P153" s="111"/>
      <c r="Q153" s="112"/>
      <c r="R153" s="103"/>
      <c r="S153" s="103"/>
      <c r="T153" s="103"/>
      <c r="U153" s="103"/>
      <c r="V153" s="103"/>
      <c r="W153" s="103"/>
      <c r="X153" s="103"/>
      <c r="Y153" s="103"/>
      <c r="Z153" s="103"/>
      <c r="AA153" s="103"/>
    </row>
    <row r="154" spans="1:27" ht="102" x14ac:dyDescent="0.2">
      <c r="A154" s="110">
        <v>151</v>
      </c>
      <c r="B154" s="110" t="s">
        <v>54</v>
      </c>
      <c r="C154" s="111" t="str">
        <f ca="1">IFERROR(__xludf.DUMMYFUNCTION("""COMPUTED_VALUE"""),"г.о. Балашиха")</f>
        <v>г.о. Балашиха</v>
      </c>
      <c r="D154" s="111" t="str">
        <f ca="1">IFERROR(__xludf.DUMMYFUNCTION("""COMPUTED_VALUE"""),"Приобретение,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f>
        <v>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v>
      </c>
      <c r="E154" s="111" t="str">
        <f ca="1">IFERROR(__xludf.DUMMYFUNCTION("""COMPUTED_VALUE"""),"Н/Л")</f>
        <v>Н/Л</v>
      </c>
      <c r="F154" s="113">
        <f ca="1">IFERROR(__xludf.DUMMYFUNCTION("""COMPUTED_VALUE"""),0)</f>
        <v>0</v>
      </c>
      <c r="G154" s="113">
        <f ca="1">IFERROR(__xludf.DUMMYFUNCTION("""COMPUTED_VALUE"""),0)</f>
        <v>0</v>
      </c>
      <c r="H154" s="113">
        <f ca="1">IFERROR(__xludf.DUMMYFUNCTION("""COMPUTED_VALUE"""),0)</f>
        <v>0</v>
      </c>
      <c r="I154" s="113">
        <f ca="1">IFERROR(__xludf.DUMMYFUNCTION("""COMPUTED_VALUE"""),0)</f>
        <v>0</v>
      </c>
      <c r="J154" s="111">
        <f ca="1">IFERROR(__xludf.DUMMYFUNCTION("""COMPUTED_VALUE"""),0)</f>
        <v>0</v>
      </c>
      <c r="K154" s="113">
        <f ca="1">IFERROR(__xludf.DUMMYFUNCTION("""COMPUTED_VALUE"""),0)</f>
        <v>0</v>
      </c>
      <c r="L154" s="114" t="str">
        <f ca="1">IFERROR(__xludf.DUMMYFUNCTION("""COMPUTED_VALUE"""),"#DIV/0!")</f>
        <v>#DIV/0!</v>
      </c>
      <c r="M154" s="111"/>
      <c r="N154" s="111"/>
      <c r="O154" s="111"/>
      <c r="P154" s="111"/>
      <c r="Q154" s="112"/>
      <c r="R154" s="103"/>
      <c r="S154" s="103"/>
      <c r="T154" s="103"/>
      <c r="U154" s="103"/>
      <c r="V154" s="103"/>
      <c r="W154" s="103"/>
      <c r="X154" s="103"/>
      <c r="Y154" s="103"/>
      <c r="Z154" s="103"/>
      <c r="AA154" s="103"/>
    </row>
    <row r="155" spans="1:27" ht="63.75" x14ac:dyDescent="0.2">
      <c r="A155" s="110">
        <v>152</v>
      </c>
      <c r="B155" s="110" t="s">
        <v>54</v>
      </c>
      <c r="C155" s="111" t="str">
        <f ca="1">IFERROR(__xludf.DUMMYFUNCTION("""COMPUTED_VALUE"""),"г.о. Пушкинский")</f>
        <v>г.о. Пушкинский</v>
      </c>
      <c r="D155" s="111" t="str">
        <f ca="1">IFERROR(__xludf.DUMMYFUNCTION("""COMPUTED_VALUE"""),"Капитальный ремонт ВЗУ № 4 по адресу: Московская область, Пушкинский муниципальный район, г.Пушкино, мкр. Новая деревня  ")</f>
        <v xml:space="preserve">Капитальный ремонт ВЗУ № 4 по адресу: Московская область, Пушкинский муниципальный район, г.Пушкино, мкр. Новая деревня  </v>
      </c>
      <c r="E155" s="111" t="str">
        <f ca="1">IFERROR(__xludf.DUMMYFUNCTION("""COMPUTED_VALUE"""),"Н/Л")</f>
        <v>Н/Л</v>
      </c>
      <c r="F155" s="113">
        <f ca="1">IFERROR(__xludf.DUMMYFUNCTION("""COMPUTED_VALUE"""),0)</f>
        <v>0</v>
      </c>
      <c r="G155" s="113">
        <f ca="1">IFERROR(__xludf.DUMMYFUNCTION("""COMPUTED_VALUE"""),0)</f>
        <v>0</v>
      </c>
      <c r="H155" s="113">
        <f ca="1">IFERROR(__xludf.DUMMYFUNCTION("""COMPUTED_VALUE"""),0)</f>
        <v>0</v>
      </c>
      <c r="I155" s="113">
        <f ca="1">IFERROR(__xludf.DUMMYFUNCTION("""COMPUTED_VALUE"""),0)</f>
        <v>0</v>
      </c>
      <c r="J155" s="111">
        <f ca="1">IFERROR(__xludf.DUMMYFUNCTION("""COMPUTED_VALUE"""),0)</f>
        <v>0</v>
      </c>
      <c r="K155" s="113">
        <f ca="1">IFERROR(__xludf.DUMMYFUNCTION("""COMPUTED_VALUE"""),0)</f>
        <v>0</v>
      </c>
      <c r="L155" s="114" t="str">
        <f ca="1">IFERROR(__xludf.DUMMYFUNCTION("""COMPUTED_VALUE"""),"#DIV/0!")</f>
        <v>#DIV/0!</v>
      </c>
      <c r="M155" s="111"/>
      <c r="N155" s="111"/>
      <c r="O155" s="111"/>
      <c r="P155" s="111"/>
      <c r="Q155" s="112"/>
      <c r="R155" s="103"/>
      <c r="S155" s="103"/>
      <c r="T155" s="103"/>
      <c r="U155" s="103"/>
      <c r="V155" s="103"/>
      <c r="W155" s="103"/>
      <c r="X155" s="103"/>
      <c r="Y155" s="103"/>
      <c r="Z155" s="103"/>
      <c r="AA155" s="103"/>
    </row>
    <row r="156" spans="1:27" ht="51" x14ac:dyDescent="0.2">
      <c r="A156" s="110">
        <v>153</v>
      </c>
      <c r="B156" s="110" t="s">
        <v>54</v>
      </c>
      <c r="C156" s="111" t="str">
        <f ca="1">IFERROR(__xludf.DUMMYFUNCTION("""COMPUTED_VALUE"""),"г.о. Егорьевск")</f>
        <v>г.о. Егорьевск</v>
      </c>
      <c r="D156" s="111" t="str">
        <f ca="1">IFERROR(__xludf.DUMMYFUNCTION("""COMPUTED_VALUE"""),"Приобретение, монтаж и ввод в эксплуатацию станции водоочистки по адресу: д. Михали, г.о. Егорьевск. ")</f>
        <v xml:space="preserve">Приобретение, монтаж и ввод в эксплуатацию станции водоочистки по адресу: д. Михали, г.о. Егорьевск. </v>
      </c>
      <c r="E156" s="111" t="str">
        <f ca="1">IFERROR(__xludf.DUMMYFUNCTION("""COMPUTED_VALUE"""),"Н/Л")</f>
        <v>Н/Л</v>
      </c>
      <c r="F156" s="113">
        <f ca="1">IFERROR(__xludf.DUMMYFUNCTION("""COMPUTED_VALUE"""),0)</f>
        <v>0</v>
      </c>
      <c r="G156" s="113">
        <f ca="1">IFERROR(__xludf.DUMMYFUNCTION("""COMPUTED_VALUE"""),0)</f>
        <v>0</v>
      </c>
      <c r="H156" s="113">
        <f ca="1">IFERROR(__xludf.DUMMYFUNCTION("""COMPUTED_VALUE"""),0)</f>
        <v>0</v>
      </c>
      <c r="I156" s="113">
        <f ca="1">IFERROR(__xludf.DUMMYFUNCTION("""COMPUTED_VALUE"""),0)</f>
        <v>0</v>
      </c>
      <c r="J156" s="111">
        <f ca="1">IFERROR(__xludf.DUMMYFUNCTION("""COMPUTED_VALUE"""),0)</f>
        <v>0</v>
      </c>
      <c r="K156" s="113">
        <f ca="1">IFERROR(__xludf.DUMMYFUNCTION("""COMPUTED_VALUE"""),0)</f>
        <v>0</v>
      </c>
      <c r="L156" s="114" t="str">
        <f ca="1">IFERROR(__xludf.DUMMYFUNCTION("""COMPUTED_VALUE"""),"#DIV/0!")</f>
        <v>#DIV/0!</v>
      </c>
      <c r="M156" s="111"/>
      <c r="N156" s="111"/>
      <c r="O156" s="111"/>
      <c r="P156" s="111"/>
      <c r="Q156" s="112"/>
      <c r="R156" s="103"/>
      <c r="S156" s="103"/>
      <c r="T156" s="103"/>
      <c r="U156" s="103"/>
      <c r="V156" s="103"/>
      <c r="W156" s="103"/>
      <c r="X156" s="103"/>
      <c r="Y156" s="103"/>
      <c r="Z156" s="103"/>
      <c r="AA156" s="103"/>
    </row>
    <row r="157" spans="1:27" ht="51" x14ac:dyDescent="0.2">
      <c r="A157" s="110">
        <v>154</v>
      </c>
      <c r="B157" s="110" t="s">
        <v>54</v>
      </c>
      <c r="C157" s="111" t="str">
        <f ca="1">IFERROR(__xludf.DUMMYFUNCTION("""COMPUTED_VALUE"""),"г.о. Егорьевск")</f>
        <v>г.о. Егорьевск</v>
      </c>
      <c r="D157" s="111" t="str">
        <f ca="1">IFERROR(__xludf.DUMMYFUNCTION("""COMPUTED_VALUE"""),"Приобретение, монтаж и ввод в эксплуатацию станции водоочистки по адресу: д.Клеменово, г.о. Егорьевск. ")</f>
        <v xml:space="preserve">Приобретение, монтаж и ввод в эксплуатацию станции водоочистки по адресу: д.Клеменово, г.о. Егорьевск. </v>
      </c>
      <c r="E157" s="111" t="str">
        <f ca="1">IFERROR(__xludf.DUMMYFUNCTION("""COMPUTED_VALUE"""),"Н/Л")</f>
        <v>Н/Л</v>
      </c>
      <c r="F157" s="113">
        <f ca="1">IFERROR(__xludf.DUMMYFUNCTION("""COMPUTED_VALUE"""),0)</f>
        <v>0</v>
      </c>
      <c r="G157" s="113">
        <f ca="1">IFERROR(__xludf.DUMMYFUNCTION("""COMPUTED_VALUE"""),0)</f>
        <v>0</v>
      </c>
      <c r="H157" s="113">
        <f ca="1">IFERROR(__xludf.DUMMYFUNCTION("""COMPUTED_VALUE"""),0)</f>
        <v>0</v>
      </c>
      <c r="I157" s="113">
        <f ca="1">IFERROR(__xludf.DUMMYFUNCTION("""COMPUTED_VALUE"""),0)</f>
        <v>0</v>
      </c>
      <c r="J157" s="111">
        <f ca="1">IFERROR(__xludf.DUMMYFUNCTION("""COMPUTED_VALUE"""),0)</f>
        <v>0</v>
      </c>
      <c r="K157" s="113">
        <f ca="1">IFERROR(__xludf.DUMMYFUNCTION("""COMPUTED_VALUE"""),0)</f>
        <v>0</v>
      </c>
      <c r="L157" s="114" t="str">
        <f ca="1">IFERROR(__xludf.DUMMYFUNCTION("""COMPUTED_VALUE"""),"#DIV/0!")</f>
        <v>#DIV/0!</v>
      </c>
      <c r="M157" s="111"/>
      <c r="N157" s="111"/>
      <c r="O157" s="111"/>
      <c r="P157" s="111"/>
      <c r="Q157" s="112"/>
      <c r="R157" s="103"/>
      <c r="S157" s="103"/>
      <c r="T157" s="103"/>
      <c r="U157" s="103"/>
      <c r="V157" s="103"/>
      <c r="W157" s="103"/>
      <c r="X157" s="103"/>
      <c r="Y157" s="103"/>
      <c r="Z157" s="103"/>
      <c r="AA157" s="103"/>
    </row>
    <row r="158" spans="1:27" ht="51" x14ac:dyDescent="0.2">
      <c r="A158" s="110">
        <v>155</v>
      </c>
      <c r="B158" s="110" t="s">
        <v>54</v>
      </c>
      <c r="C158" s="111" t="str">
        <f ca="1">IFERROR(__xludf.DUMMYFUNCTION("""COMPUTED_VALUE"""),"г.о. Егорьевск")</f>
        <v>г.о. Егорьевск</v>
      </c>
      <c r="D158" s="111" t="str">
        <f ca="1">IFERROR(__xludf.DUMMYFUNCTION("""COMPUTED_VALUE"""),"Приобретение, монтаж и ввод в эксплуатацию станции водоочистки по адресу: д. Лелечи, г.о. Егорьевск. ")</f>
        <v xml:space="preserve">Приобретение, монтаж и ввод в эксплуатацию станции водоочистки по адресу: д. Лелечи, г.о. Егорьевск. </v>
      </c>
      <c r="E158" s="111" t="str">
        <f ca="1">IFERROR(__xludf.DUMMYFUNCTION("""COMPUTED_VALUE"""),"Н/Л")</f>
        <v>Н/Л</v>
      </c>
      <c r="F158" s="113">
        <f ca="1">IFERROR(__xludf.DUMMYFUNCTION("""COMPUTED_VALUE"""),0)</f>
        <v>0</v>
      </c>
      <c r="G158" s="113">
        <f ca="1">IFERROR(__xludf.DUMMYFUNCTION("""COMPUTED_VALUE"""),0)</f>
        <v>0</v>
      </c>
      <c r="H158" s="113">
        <f ca="1">IFERROR(__xludf.DUMMYFUNCTION("""COMPUTED_VALUE"""),0)</f>
        <v>0</v>
      </c>
      <c r="I158" s="113">
        <f ca="1">IFERROR(__xludf.DUMMYFUNCTION("""COMPUTED_VALUE"""),0)</f>
        <v>0</v>
      </c>
      <c r="J158" s="111">
        <f ca="1">IFERROR(__xludf.DUMMYFUNCTION("""COMPUTED_VALUE"""),0)</f>
        <v>0</v>
      </c>
      <c r="K158" s="113">
        <f ca="1">IFERROR(__xludf.DUMMYFUNCTION("""COMPUTED_VALUE"""),0)</f>
        <v>0</v>
      </c>
      <c r="L158" s="114" t="str">
        <f ca="1">IFERROR(__xludf.DUMMYFUNCTION("""COMPUTED_VALUE"""),"#DIV/0!")</f>
        <v>#DIV/0!</v>
      </c>
      <c r="M158" s="111"/>
      <c r="N158" s="111"/>
      <c r="O158" s="111"/>
      <c r="P158" s="111"/>
      <c r="Q158" s="112"/>
      <c r="R158" s="103"/>
      <c r="S158" s="103"/>
      <c r="T158" s="103"/>
      <c r="U158" s="103"/>
      <c r="V158" s="103"/>
      <c r="W158" s="103"/>
      <c r="X158" s="103"/>
      <c r="Y158" s="103"/>
      <c r="Z158" s="103"/>
      <c r="AA158" s="103"/>
    </row>
    <row r="159" spans="1:27" ht="51" x14ac:dyDescent="0.2">
      <c r="A159" s="110">
        <v>156</v>
      </c>
      <c r="B159" s="110" t="s">
        <v>54</v>
      </c>
      <c r="C159" s="111" t="str">
        <f ca="1">IFERROR(__xludf.DUMMYFUNCTION("""COMPUTED_VALUE"""),"г.о. Егорьевск")</f>
        <v>г.о. Егорьевск</v>
      </c>
      <c r="D159" s="111" t="str">
        <f ca="1">IFERROR(__xludf.DUMMYFUNCTION("""COMPUTED_VALUE"""),"Приобретение, монтаж и ввод в эксплуатацию станции водоочистки по адресу: д. Захарово, 3В, г.о. Егорьевск. ")</f>
        <v xml:space="preserve">Приобретение, монтаж и ввод в эксплуатацию станции водоочистки по адресу: д. Захарово, 3В, г.о. Егорьевск. </v>
      </c>
      <c r="E159" s="111" t="str">
        <f ca="1">IFERROR(__xludf.DUMMYFUNCTION("""COMPUTED_VALUE"""),"Н/Л")</f>
        <v>Н/Л</v>
      </c>
      <c r="F159" s="113">
        <f ca="1">IFERROR(__xludf.DUMMYFUNCTION("""COMPUTED_VALUE"""),0)</f>
        <v>0</v>
      </c>
      <c r="G159" s="113">
        <f ca="1">IFERROR(__xludf.DUMMYFUNCTION("""COMPUTED_VALUE"""),0)</f>
        <v>0</v>
      </c>
      <c r="H159" s="113">
        <f ca="1">IFERROR(__xludf.DUMMYFUNCTION("""COMPUTED_VALUE"""),0)</f>
        <v>0</v>
      </c>
      <c r="I159" s="113">
        <f ca="1">IFERROR(__xludf.DUMMYFUNCTION("""COMPUTED_VALUE"""),0)</f>
        <v>0</v>
      </c>
      <c r="J159" s="111">
        <f ca="1">IFERROR(__xludf.DUMMYFUNCTION("""COMPUTED_VALUE"""),0)</f>
        <v>0</v>
      </c>
      <c r="K159" s="113">
        <f ca="1">IFERROR(__xludf.DUMMYFUNCTION("""COMPUTED_VALUE"""),0)</f>
        <v>0</v>
      </c>
      <c r="L159" s="114" t="str">
        <f ca="1">IFERROR(__xludf.DUMMYFUNCTION("""COMPUTED_VALUE"""),"#DIV/0!")</f>
        <v>#DIV/0!</v>
      </c>
      <c r="M159" s="111"/>
      <c r="N159" s="111"/>
      <c r="O159" s="111"/>
      <c r="P159" s="111"/>
      <c r="Q159" s="112"/>
      <c r="R159" s="103"/>
      <c r="S159" s="103"/>
      <c r="T159" s="103"/>
      <c r="U159" s="103"/>
      <c r="V159" s="103"/>
      <c r="W159" s="103"/>
      <c r="X159" s="103"/>
      <c r="Y159" s="103"/>
      <c r="Z159" s="103"/>
      <c r="AA159" s="103"/>
    </row>
    <row r="160" spans="1:27" ht="51" x14ac:dyDescent="0.2">
      <c r="A160" s="110">
        <v>157</v>
      </c>
      <c r="B160" s="110" t="s">
        <v>54</v>
      </c>
      <c r="C160" s="111" t="str">
        <f ca="1">IFERROR(__xludf.DUMMYFUNCTION("""COMPUTED_VALUE"""),"г.о. Егорьевск")</f>
        <v>г.о. Егорьевск</v>
      </c>
      <c r="D160" s="111" t="str">
        <f ca="1">IFERROR(__xludf.DUMMYFUNCTION("""COMPUTED_VALUE"""),"Приобретение, монтаж и ввод в эксплуатацию станции водоочистки по адресу: д. Дмитровка, г.о. Егорьевск. ")</f>
        <v xml:space="preserve">Приобретение, монтаж и ввод в эксплуатацию станции водоочистки по адресу: д. Дмитровка, г.о. Егорьевск. </v>
      </c>
      <c r="E160" s="111" t="str">
        <f ca="1">IFERROR(__xludf.DUMMYFUNCTION("""COMPUTED_VALUE"""),"Н/Л")</f>
        <v>Н/Л</v>
      </c>
      <c r="F160" s="113">
        <f ca="1">IFERROR(__xludf.DUMMYFUNCTION("""COMPUTED_VALUE"""),0)</f>
        <v>0</v>
      </c>
      <c r="G160" s="113">
        <f ca="1">IFERROR(__xludf.DUMMYFUNCTION("""COMPUTED_VALUE"""),0)</f>
        <v>0</v>
      </c>
      <c r="H160" s="113">
        <f ca="1">IFERROR(__xludf.DUMMYFUNCTION("""COMPUTED_VALUE"""),0)</f>
        <v>0</v>
      </c>
      <c r="I160" s="113">
        <f ca="1">IFERROR(__xludf.DUMMYFUNCTION("""COMPUTED_VALUE"""),0)</f>
        <v>0</v>
      </c>
      <c r="J160" s="111">
        <f ca="1">IFERROR(__xludf.DUMMYFUNCTION("""COMPUTED_VALUE"""),0)</f>
        <v>0</v>
      </c>
      <c r="K160" s="113">
        <f ca="1">IFERROR(__xludf.DUMMYFUNCTION("""COMPUTED_VALUE"""),0)</f>
        <v>0</v>
      </c>
      <c r="L160" s="114" t="str">
        <f ca="1">IFERROR(__xludf.DUMMYFUNCTION("""COMPUTED_VALUE"""),"#DIV/0!")</f>
        <v>#DIV/0!</v>
      </c>
      <c r="M160" s="111"/>
      <c r="N160" s="111"/>
      <c r="O160" s="111"/>
      <c r="P160" s="111"/>
      <c r="Q160" s="112"/>
      <c r="R160" s="103"/>
      <c r="S160" s="103"/>
      <c r="T160" s="103"/>
      <c r="U160" s="103"/>
      <c r="V160" s="103"/>
      <c r="W160" s="103"/>
      <c r="X160" s="103"/>
      <c r="Y160" s="103"/>
      <c r="Z160" s="103"/>
      <c r="AA160" s="103"/>
    </row>
    <row r="161" spans="1:27" ht="51" x14ac:dyDescent="0.2">
      <c r="A161" s="110">
        <v>158</v>
      </c>
      <c r="B161" s="110" t="s">
        <v>54</v>
      </c>
      <c r="C161" s="111" t="str">
        <f ca="1">IFERROR(__xludf.DUMMYFUNCTION("""COMPUTED_VALUE"""),"г.о. Егорьевск")</f>
        <v>г.о. Егорьевск</v>
      </c>
      <c r="D161" s="111" t="str">
        <f ca="1">IFERROR(__xludf.DUMMYFUNCTION("""COMPUTED_VALUE"""),"Приобретение, монтаж и ввод в эксплуатацию станции водоочистки по адресу: д. Жучага, г.о. Егорьевск. ")</f>
        <v xml:space="preserve">Приобретение, монтаж и ввод в эксплуатацию станции водоочистки по адресу: д. Жучага, г.о. Егорьевск. </v>
      </c>
      <c r="E161" s="111" t="str">
        <f ca="1">IFERROR(__xludf.DUMMYFUNCTION("""COMPUTED_VALUE"""),"Н/Л")</f>
        <v>Н/Л</v>
      </c>
      <c r="F161" s="113">
        <f ca="1">IFERROR(__xludf.DUMMYFUNCTION("""COMPUTED_VALUE"""),0)</f>
        <v>0</v>
      </c>
      <c r="G161" s="113">
        <f ca="1">IFERROR(__xludf.DUMMYFUNCTION("""COMPUTED_VALUE"""),0)</f>
        <v>0</v>
      </c>
      <c r="H161" s="113">
        <f ca="1">IFERROR(__xludf.DUMMYFUNCTION("""COMPUTED_VALUE"""),0)</f>
        <v>0</v>
      </c>
      <c r="I161" s="113">
        <f ca="1">IFERROR(__xludf.DUMMYFUNCTION("""COMPUTED_VALUE"""),0)</f>
        <v>0</v>
      </c>
      <c r="J161" s="111">
        <f ca="1">IFERROR(__xludf.DUMMYFUNCTION("""COMPUTED_VALUE"""),0)</f>
        <v>0</v>
      </c>
      <c r="K161" s="113">
        <f ca="1">IFERROR(__xludf.DUMMYFUNCTION("""COMPUTED_VALUE"""),0)</f>
        <v>0</v>
      </c>
      <c r="L161" s="114" t="str">
        <f ca="1">IFERROR(__xludf.DUMMYFUNCTION("""COMPUTED_VALUE"""),"#DIV/0!")</f>
        <v>#DIV/0!</v>
      </c>
      <c r="M161" s="111"/>
      <c r="N161" s="111"/>
      <c r="O161" s="111"/>
      <c r="P161" s="111"/>
      <c r="Q161" s="112"/>
      <c r="R161" s="103"/>
      <c r="S161" s="103"/>
      <c r="T161" s="103"/>
      <c r="U161" s="103"/>
      <c r="V161" s="103"/>
      <c r="W161" s="103"/>
      <c r="X161" s="103"/>
      <c r="Y161" s="103"/>
      <c r="Z161" s="103"/>
      <c r="AA161" s="103"/>
    </row>
    <row r="162" spans="1:27" ht="51" x14ac:dyDescent="0.2">
      <c r="A162" s="110">
        <v>159</v>
      </c>
      <c r="B162" s="110" t="s">
        <v>54</v>
      </c>
      <c r="C162" s="111" t="str">
        <f ca="1">IFERROR(__xludf.DUMMYFUNCTION("""COMPUTED_VALUE"""),"г.о. Егорьевск")</f>
        <v>г.о. Егорьевск</v>
      </c>
      <c r="D162" s="111" t="str">
        <f ca="1">IFERROR(__xludf.DUMMYFUNCTION("""COMPUTED_VALUE"""),"Приобретение, монтаж и ввод в эксплуатацию станции водоочистки по адресу: д. Радовицы, г.о. Егорьевск. ")</f>
        <v xml:space="preserve">Приобретение, монтаж и ввод в эксплуатацию станции водоочистки по адресу: д. Радовицы, г.о. Егорьевск. </v>
      </c>
      <c r="E162" s="111" t="str">
        <f ca="1">IFERROR(__xludf.DUMMYFUNCTION("""COMPUTED_VALUE"""),"Н/Л")</f>
        <v>Н/Л</v>
      </c>
      <c r="F162" s="113">
        <f ca="1">IFERROR(__xludf.DUMMYFUNCTION("""COMPUTED_VALUE"""),0)</f>
        <v>0</v>
      </c>
      <c r="G162" s="113">
        <f ca="1">IFERROR(__xludf.DUMMYFUNCTION("""COMPUTED_VALUE"""),0)</f>
        <v>0</v>
      </c>
      <c r="H162" s="113">
        <f ca="1">IFERROR(__xludf.DUMMYFUNCTION("""COMPUTED_VALUE"""),0)</f>
        <v>0</v>
      </c>
      <c r="I162" s="113">
        <f ca="1">IFERROR(__xludf.DUMMYFUNCTION("""COMPUTED_VALUE"""),0)</f>
        <v>0</v>
      </c>
      <c r="J162" s="111">
        <f ca="1">IFERROR(__xludf.DUMMYFUNCTION("""COMPUTED_VALUE"""),0)</f>
        <v>0</v>
      </c>
      <c r="K162" s="113">
        <f ca="1">IFERROR(__xludf.DUMMYFUNCTION("""COMPUTED_VALUE"""),0)</f>
        <v>0</v>
      </c>
      <c r="L162" s="114" t="str">
        <f ca="1">IFERROR(__xludf.DUMMYFUNCTION("""COMPUTED_VALUE"""),"#DIV/0!")</f>
        <v>#DIV/0!</v>
      </c>
      <c r="M162" s="111"/>
      <c r="N162" s="111"/>
      <c r="O162" s="111"/>
      <c r="P162" s="111"/>
      <c r="Q162" s="112"/>
      <c r="R162" s="103"/>
      <c r="S162" s="103"/>
      <c r="T162" s="103"/>
      <c r="U162" s="103"/>
      <c r="V162" s="103"/>
      <c r="W162" s="103"/>
      <c r="X162" s="103"/>
      <c r="Y162" s="103"/>
      <c r="Z162" s="103"/>
      <c r="AA162" s="103"/>
    </row>
    <row r="163" spans="1:27" ht="51" x14ac:dyDescent="0.2">
      <c r="A163" s="110">
        <v>160</v>
      </c>
      <c r="B163" s="110" t="s">
        <v>54</v>
      </c>
      <c r="C163" s="111" t="str">
        <f ca="1">IFERROR(__xludf.DUMMYFUNCTION("""COMPUTED_VALUE"""),"г.о. Егорьевск")</f>
        <v>г.о. Егорьевск</v>
      </c>
      <c r="D163" s="111" t="str">
        <f ca="1">IFERROR(__xludf.DUMMYFUNCTION("""COMPUTED_VALUE"""),"Приобретение, монтаж и ввод в эксплуатацию станции водоочистки по адресу: д. Леоново, г.о. Егорьевск. ")</f>
        <v xml:space="preserve">Приобретение, монтаж и ввод в эксплуатацию станции водоочистки по адресу: д. Леоново, г.о. Егорьевск. </v>
      </c>
      <c r="E163" s="111" t="str">
        <f ca="1">IFERROR(__xludf.DUMMYFUNCTION("""COMPUTED_VALUE"""),"Н/Л")</f>
        <v>Н/Л</v>
      </c>
      <c r="F163" s="113">
        <f ca="1">IFERROR(__xludf.DUMMYFUNCTION("""COMPUTED_VALUE"""),0)</f>
        <v>0</v>
      </c>
      <c r="G163" s="113">
        <f ca="1">IFERROR(__xludf.DUMMYFUNCTION("""COMPUTED_VALUE"""),0)</f>
        <v>0</v>
      </c>
      <c r="H163" s="113">
        <f ca="1">IFERROR(__xludf.DUMMYFUNCTION("""COMPUTED_VALUE"""),0)</f>
        <v>0</v>
      </c>
      <c r="I163" s="113">
        <f ca="1">IFERROR(__xludf.DUMMYFUNCTION("""COMPUTED_VALUE"""),0)</f>
        <v>0</v>
      </c>
      <c r="J163" s="111">
        <f ca="1">IFERROR(__xludf.DUMMYFUNCTION("""COMPUTED_VALUE"""),0)</f>
        <v>0</v>
      </c>
      <c r="K163" s="113">
        <f ca="1">IFERROR(__xludf.DUMMYFUNCTION("""COMPUTED_VALUE"""),0)</f>
        <v>0</v>
      </c>
      <c r="L163" s="114" t="str">
        <f ca="1">IFERROR(__xludf.DUMMYFUNCTION("""COMPUTED_VALUE"""),"#DIV/0!")</f>
        <v>#DIV/0!</v>
      </c>
      <c r="M163" s="111"/>
      <c r="N163" s="111"/>
      <c r="O163" s="111"/>
      <c r="P163" s="111"/>
      <c r="Q163" s="112"/>
      <c r="R163" s="103"/>
      <c r="S163" s="103"/>
      <c r="T163" s="103"/>
      <c r="U163" s="103"/>
      <c r="V163" s="103"/>
      <c r="W163" s="103"/>
      <c r="X163" s="103"/>
      <c r="Y163" s="103"/>
      <c r="Z163" s="103"/>
      <c r="AA163" s="103"/>
    </row>
    <row r="164" spans="1:27" ht="51" x14ac:dyDescent="0.2">
      <c r="A164" s="110">
        <v>161</v>
      </c>
      <c r="B164" s="110" t="s">
        <v>54</v>
      </c>
      <c r="C164" s="111" t="str">
        <f ca="1">IFERROR(__xludf.DUMMYFUNCTION("""COMPUTED_VALUE"""),"г.о. Егорьевск")</f>
        <v>г.о. Егорьевск</v>
      </c>
      <c r="D164" s="111" t="str">
        <f ca="1">IFERROR(__xludf.DUMMYFUNCTION("""COMPUTED_VALUE"""),"Приобретение, монтаж и ввод в эксплуатацию станции водоочистки по адресу: д. Волково, г.о. Егорьевск. ")</f>
        <v xml:space="preserve">Приобретение, монтаж и ввод в эксплуатацию станции водоочистки по адресу: д. Волково, г.о. Егорьевск. </v>
      </c>
      <c r="E164" s="111" t="str">
        <f ca="1">IFERROR(__xludf.DUMMYFUNCTION("""COMPUTED_VALUE"""),"Н/Л")</f>
        <v>Н/Л</v>
      </c>
      <c r="F164" s="113">
        <f ca="1">IFERROR(__xludf.DUMMYFUNCTION("""COMPUTED_VALUE"""),0)</f>
        <v>0</v>
      </c>
      <c r="G164" s="113">
        <f ca="1">IFERROR(__xludf.DUMMYFUNCTION("""COMPUTED_VALUE"""),0)</f>
        <v>0</v>
      </c>
      <c r="H164" s="113">
        <f ca="1">IFERROR(__xludf.DUMMYFUNCTION("""COMPUTED_VALUE"""),0)</f>
        <v>0</v>
      </c>
      <c r="I164" s="113">
        <f ca="1">IFERROR(__xludf.DUMMYFUNCTION("""COMPUTED_VALUE"""),0)</f>
        <v>0</v>
      </c>
      <c r="J164" s="111">
        <f ca="1">IFERROR(__xludf.DUMMYFUNCTION("""COMPUTED_VALUE"""),0)</f>
        <v>0</v>
      </c>
      <c r="K164" s="113">
        <f ca="1">IFERROR(__xludf.DUMMYFUNCTION("""COMPUTED_VALUE"""),0)</f>
        <v>0</v>
      </c>
      <c r="L164" s="114" t="str">
        <f ca="1">IFERROR(__xludf.DUMMYFUNCTION("""COMPUTED_VALUE"""),"#DIV/0!")</f>
        <v>#DIV/0!</v>
      </c>
      <c r="M164" s="111"/>
      <c r="N164" s="111"/>
      <c r="O164" s="111"/>
      <c r="P164" s="111"/>
      <c r="Q164" s="112"/>
      <c r="R164" s="103"/>
      <c r="S164" s="103"/>
      <c r="T164" s="103"/>
      <c r="U164" s="103"/>
      <c r="V164" s="103"/>
      <c r="W164" s="103"/>
      <c r="X164" s="103"/>
      <c r="Y164" s="103"/>
      <c r="Z164" s="103"/>
      <c r="AA164" s="103"/>
    </row>
    <row r="165" spans="1:27" ht="51" x14ac:dyDescent="0.2">
      <c r="A165" s="110">
        <v>162</v>
      </c>
      <c r="B165" s="110" t="s">
        <v>54</v>
      </c>
      <c r="C165" s="111" t="str">
        <f ca="1">IFERROR(__xludf.DUMMYFUNCTION("""COMPUTED_VALUE"""),"г.о. Коломенский")</f>
        <v>г.о. Коломенский</v>
      </c>
      <c r="D165" s="111" t="str">
        <f ca="1">IFERROR(__xludf.DUMMYFUNCTION("""COMPUTED_VALUE"""),"Приобретение, монтаж и ввод в эксплуатацию станции очистки воды на ВЗУ в с. Старое Бобренево, Коломенский г.о.")</f>
        <v>Приобретение, монтаж и ввод в эксплуатацию станции очистки воды на ВЗУ в с. Старое Бобренево, Коломенский г.о.</v>
      </c>
      <c r="E165" s="111">
        <f ca="1">IFERROR(__xludf.DUMMYFUNCTION("""COMPUTED_VALUE"""),2020)</f>
        <v>2020</v>
      </c>
      <c r="F165" s="113">
        <f ca="1">IFERROR(__xludf.DUMMYFUNCTION("""COMPUTED_VALUE"""),1874.2)</f>
        <v>1874.2</v>
      </c>
      <c r="G165" s="113">
        <f ca="1">IFERROR(__xludf.DUMMYFUNCTION("""COMPUTED_VALUE"""),0)</f>
        <v>0</v>
      </c>
      <c r="H165" s="113">
        <f ca="1">IFERROR(__xludf.DUMMYFUNCTION("""COMPUTED_VALUE"""),0)</f>
        <v>0</v>
      </c>
      <c r="I165" s="113">
        <f ca="1">IFERROR(__xludf.DUMMYFUNCTION("""COMPUTED_VALUE"""),1874.2)</f>
        <v>1874.2</v>
      </c>
      <c r="J165" s="111">
        <f ca="1">IFERROR(__xludf.DUMMYFUNCTION("""COMPUTED_VALUE"""),1874.2)</f>
        <v>1874.2</v>
      </c>
      <c r="K165" s="113">
        <f ca="1">IFERROR(__xludf.DUMMYFUNCTION("""COMPUTED_VALUE"""),0)</f>
        <v>0</v>
      </c>
      <c r="L165" s="114">
        <f ca="1">IFERROR(__xludf.DUMMYFUNCTION("""COMPUTED_VALUE"""),1)</f>
        <v>1</v>
      </c>
      <c r="M165" s="111"/>
      <c r="N165" s="110" t="s">
        <v>558</v>
      </c>
      <c r="O165" s="111"/>
      <c r="P165" s="111"/>
      <c r="Q165" s="120" t="s">
        <v>551</v>
      </c>
      <c r="R165" s="103"/>
      <c r="S165" s="103"/>
      <c r="T165" s="103"/>
      <c r="U165" s="103"/>
      <c r="V165" s="103"/>
      <c r="W165" s="103"/>
      <c r="X165" s="103"/>
      <c r="Y165" s="103"/>
      <c r="Z165" s="103"/>
      <c r="AA165" s="103"/>
    </row>
    <row r="166" spans="1:27" ht="51" x14ac:dyDescent="0.2">
      <c r="A166" s="110">
        <v>163</v>
      </c>
      <c r="B166" s="110" t="s">
        <v>54</v>
      </c>
      <c r="C166" s="111" t="str">
        <f ca="1">IFERROR(__xludf.DUMMYFUNCTION("""COMPUTED_VALUE"""),"г.о. Коломенский")</f>
        <v>г.о. Коломенский</v>
      </c>
      <c r="D166" s="111" t="str">
        <f ca="1">IFERROR(__xludf.DUMMYFUNCTION("""COMPUTED_VALUE"""),"Приобретение, монтаж и ввод в эксплуатацию станции  очистки воды на ВЗУ в с. Октябрьское, Коломенский г.о.")</f>
        <v>Приобретение, монтаж и ввод в эксплуатацию станции  очистки воды на ВЗУ в с. Октябрьское, Коломенский г.о.</v>
      </c>
      <c r="E166" s="111">
        <f ca="1">IFERROR(__xludf.DUMMYFUNCTION("""COMPUTED_VALUE"""),2020)</f>
        <v>2020</v>
      </c>
      <c r="F166" s="113">
        <f ca="1">IFERROR(__xludf.DUMMYFUNCTION("""COMPUTED_VALUE"""),1582.61)</f>
        <v>1582.61</v>
      </c>
      <c r="G166" s="113">
        <f ca="1">IFERROR(__xludf.DUMMYFUNCTION("""COMPUTED_VALUE"""),0)</f>
        <v>0</v>
      </c>
      <c r="H166" s="113">
        <f ca="1">IFERROR(__xludf.DUMMYFUNCTION("""COMPUTED_VALUE"""),0)</f>
        <v>0</v>
      </c>
      <c r="I166" s="113">
        <f ca="1">IFERROR(__xludf.DUMMYFUNCTION("""COMPUTED_VALUE"""),1582.61)</f>
        <v>1582.61</v>
      </c>
      <c r="J166" s="111">
        <f ca="1">IFERROR(__xludf.DUMMYFUNCTION("""COMPUTED_VALUE"""),1582.57)</f>
        <v>1582.57</v>
      </c>
      <c r="K166" s="113">
        <f ca="1">IFERROR(__xludf.DUMMYFUNCTION("""COMPUTED_VALUE"""),0.0399999999999636)</f>
        <v>3.9999999999963599E-2</v>
      </c>
      <c r="L166" s="114">
        <f ca="1">IFERROR(__xludf.DUMMYFUNCTION("""COMPUTED_VALUE"""),0.999974725295556)</f>
        <v>0.99997472529555598</v>
      </c>
      <c r="M166" s="111"/>
      <c r="N166" s="110" t="s">
        <v>558</v>
      </c>
      <c r="O166" s="111"/>
      <c r="P166" s="111"/>
      <c r="Q166" s="120" t="s">
        <v>551</v>
      </c>
      <c r="R166" s="103"/>
      <c r="S166" s="103"/>
      <c r="T166" s="103"/>
      <c r="U166" s="103"/>
      <c r="V166" s="103"/>
      <c r="W166" s="103"/>
      <c r="X166" s="103"/>
      <c r="Y166" s="103"/>
      <c r="Z166" s="103"/>
      <c r="AA166" s="103"/>
    </row>
    <row r="167" spans="1:27" ht="51" x14ac:dyDescent="0.2">
      <c r="A167" s="110">
        <v>164</v>
      </c>
      <c r="B167" s="110" t="s">
        <v>54</v>
      </c>
      <c r="C167" s="111" t="str">
        <f ca="1">IFERROR(__xludf.DUMMYFUNCTION("""COMPUTED_VALUE"""),"г.о. Коломенский")</f>
        <v>г.о. Коломенский</v>
      </c>
      <c r="D167" s="111" t="str">
        <f ca="1">IFERROR(__xludf.DUMMYFUNCTION("""COMPUTED_VALUE"""),"Приобретение, монтаж и ввод в эксплуатацию станции  очистки воды на ВЗУ в д. Семеновское, Коломенский г.о.")</f>
        <v>Приобретение, монтаж и ввод в эксплуатацию станции  очистки воды на ВЗУ в д. Семеновское, Коломенский г.о.</v>
      </c>
      <c r="E167" s="111">
        <f ca="1">IFERROR(__xludf.DUMMYFUNCTION("""COMPUTED_VALUE"""),2020)</f>
        <v>2020</v>
      </c>
      <c r="F167" s="113">
        <f ca="1">IFERROR(__xludf.DUMMYFUNCTION("""COMPUTED_VALUE"""),0)</f>
        <v>0</v>
      </c>
      <c r="G167" s="113">
        <f ca="1">IFERROR(__xludf.DUMMYFUNCTION("""COMPUTED_VALUE"""),0)</f>
        <v>0</v>
      </c>
      <c r="H167" s="113">
        <f ca="1">IFERROR(__xludf.DUMMYFUNCTION("""COMPUTED_VALUE"""),0)</f>
        <v>0</v>
      </c>
      <c r="I167" s="113">
        <f ca="1">IFERROR(__xludf.DUMMYFUNCTION("""COMPUTED_VALUE"""),0)</f>
        <v>0</v>
      </c>
      <c r="J167" s="111">
        <f ca="1">IFERROR(__xludf.DUMMYFUNCTION("""COMPUTED_VALUE"""),0)</f>
        <v>0</v>
      </c>
      <c r="K167" s="113">
        <f ca="1">IFERROR(__xludf.DUMMYFUNCTION("""COMPUTED_VALUE"""),0)</f>
        <v>0</v>
      </c>
      <c r="L167" s="114" t="str">
        <f ca="1">IFERROR(__xludf.DUMMYFUNCTION("""COMPUTED_VALUE"""),"#DIV/0!")</f>
        <v>#DIV/0!</v>
      </c>
      <c r="M167" s="111"/>
      <c r="N167" s="111"/>
      <c r="O167" s="111"/>
      <c r="P167" s="111"/>
      <c r="Q167" s="112"/>
      <c r="R167" s="103"/>
      <c r="S167" s="103"/>
      <c r="T167" s="103"/>
      <c r="U167" s="103"/>
      <c r="V167" s="103"/>
      <c r="W167" s="103"/>
      <c r="X167" s="103"/>
      <c r="Y167" s="103"/>
      <c r="Z167" s="103"/>
      <c r="AA167" s="103"/>
    </row>
    <row r="168" spans="1:27" ht="51" x14ac:dyDescent="0.2">
      <c r="A168" s="110">
        <v>165</v>
      </c>
      <c r="B168" s="110" t="s">
        <v>54</v>
      </c>
      <c r="C168" s="111" t="str">
        <f ca="1">IFERROR(__xludf.DUMMYFUNCTION("""COMPUTED_VALUE"""),"г.о. Коломенский")</f>
        <v>г.о. Коломенский</v>
      </c>
      <c r="D168" s="111" t="str">
        <f ca="1">IFERROR(__xludf.DUMMYFUNCTION("""COMPUTED_VALUE"""),"Приобретение, монтаж и ввод в эксплуатацию станции  очистки воды на ВЗУ в д. Семибратское, Коломенский г.о.")</f>
        <v>Приобретение, монтаж и ввод в эксплуатацию станции  очистки воды на ВЗУ в д. Семибратское, Коломенский г.о.</v>
      </c>
      <c r="E168" s="111">
        <f ca="1">IFERROR(__xludf.DUMMYFUNCTION("""COMPUTED_VALUE"""),2020)</f>
        <v>2020</v>
      </c>
      <c r="F168" s="113">
        <f ca="1">IFERROR(__xludf.DUMMYFUNCTION("""COMPUTED_VALUE"""),2579.5)</f>
        <v>2579.5</v>
      </c>
      <c r="G168" s="113">
        <f ca="1">IFERROR(__xludf.DUMMYFUNCTION("""COMPUTED_VALUE"""),0)</f>
        <v>0</v>
      </c>
      <c r="H168" s="113">
        <f ca="1">IFERROR(__xludf.DUMMYFUNCTION("""COMPUTED_VALUE"""),0)</f>
        <v>0</v>
      </c>
      <c r="I168" s="113">
        <f ca="1">IFERROR(__xludf.DUMMYFUNCTION("""COMPUTED_VALUE"""),2579.5)</f>
        <v>2579.5</v>
      </c>
      <c r="J168" s="111">
        <f ca="1">IFERROR(__xludf.DUMMYFUNCTION("""COMPUTED_VALUE"""),1723.48)</f>
        <v>1723.48</v>
      </c>
      <c r="K168" s="113">
        <f ca="1">IFERROR(__xludf.DUMMYFUNCTION("""COMPUTED_VALUE"""),856.02)</f>
        <v>856.02</v>
      </c>
      <c r="L168" s="114">
        <f ca="1">IFERROR(__xludf.DUMMYFUNCTION("""COMPUTED_VALUE"""),0.668144989339019)</f>
        <v>0.668144989339019</v>
      </c>
      <c r="M168" s="111"/>
      <c r="N168" s="110" t="s">
        <v>558</v>
      </c>
      <c r="O168" s="111"/>
      <c r="P168" s="111"/>
      <c r="Q168" s="120" t="s">
        <v>551</v>
      </c>
      <c r="R168" s="103"/>
      <c r="S168" s="103"/>
      <c r="T168" s="103"/>
      <c r="U168" s="103"/>
      <c r="V168" s="103"/>
      <c r="W168" s="103"/>
      <c r="X168" s="103"/>
      <c r="Y168" s="103"/>
      <c r="Z168" s="103"/>
      <c r="AA168" s="103"/>
    </row>
    <row r="169" spans="1:27" ht="51" x14ac:dyDescent="0.2">
      <c r="A169" s="110">
        <v>166</v>
      </c>
      <c r="B169" s="110" t="s">
        <v>54</v>
      </c>
      <c r="C169" s="111" t="str">
        <f ca="1">IFERROR(__xludf.DUMMYFUNCTION("""COMPUTED_VALUE"""),"г.о. Коломенский")</f>
        <v>г.о. Коломенский</v>
      </c>
      <c r="D169" s="111" t="str">
        <f ca="1">IFERROR(__xludf.DUMMYFUNCTION("""COMPUTED_VALUE"""),"Приобретение, монтаж и ввод в эксплуатацию станции  очистки воды на ВЗУ в п. Возрождение, Коломенский г.о.")</f>
        <v>Приобретение, монтаж и ввод в эксплуатацию станции  очистки воды на ВЗУ в п. Возрождение, Коломенский г.о.</v>
      </c>
      <c r="E169" s="111">
        <f ca="1">IFERROR(__xludf.DUMMYFUNCTION("""COMPUTED_VALUE"""),2020)</f>
        <v>2020</v>
      </c>
      <c r="F169" s="113">
        <f ca="1">IFERROR(__xludf.DUMMYFUNCTION("""COMPUTED_VALUE"""),0)</f>
        <v>0</v>
      </c>
      <c r="G169" s="113">
        <f ca="1">IFERROR(__xludf.DUMMYFUNCTION("""COMPUTED_VALUE"""),0)</f>
        <v>0</v>
      </c>
      <c r="H169" s="113">
        <f ca="1">IFERROR(__xludf.DUMMYFUNCTION("""COMPUTED_VALUE"""),0)</f>
        <v>0</v>
      </c>
      <c r="I169" s="113">
        <f ca="1">IFERROR(__xludf.DUMMYFUNCTION("""COMPUTED_VALUE"""),0)</f>
        <v>0</v>
      </c>
      <c r="J169" s="111">
        <f ca="1">IFERROR(__xludf.DUMMYFUNCTION("""COMPUTED_VALUE"""),0)</f>
        <v>0</v>
      </c>
      <c r="K169" s="113">
        <f ca="1">IFERROR(__xludf.DUMMYFUNCTION("""COMPUTED_VALUE"""),0)</f>
        <v>0</v>
      </c>
      <c r="L169" s="114" t="str">
        <f ca="1">IFERROR(__xludf.DUMMYFUNCTION("""COMPUTED_VALUE"""),"#DIV/0!")</f>
        <v>#DIV/0!</v>
      </c>
      <c r="M169" s="111"/>
      <c r="N169" s="111"/>
      <c r="O169" s="111"/>
      <c r="P169" s="111"/>
      <c r="Q169" s="112"/>
      <c r="R169" s="103"/>
      <c r="S169" s="103"/>
      <c r="T169" s="103"/>
      <c r="U169" s="103"/>
      <c r="V169" s="103"/>
      <c r="W169" s="103"/>
      <c r="X169" s="103"/>
      <c r="Y169" s="103"/>
      <c r="Z169" s="103"/>
      <c r="AA169" s="103"/>
    </row>
    <row r="170" spans="1:27" ht="51" x14ac:dyDescent="0.2">
      <c r="A170" s="110">
        <v>167</v>
      </c>
      <c r="B170" s="110" t="s">
        <v>54</v>
      </c>
      <c r="C170" s="111" t="str">
        <f ca="1">IFERROR(__xludf.DUMMYFUNCTION("""COMPUTED_VALUE"""),"г.о. Коломенский")</f>
        <v>г.о. Коломенский</v>
      </c>
      <c r="D170" s="111" t="str">
        <f ca="1">IFERROR(__xludf.DUMMYFUNCTION("""COMPUTED_VALUE"""),"Приобретение, монтаж и ввод в эксплуатацию станции  очистки воды на ВЗУ в с. Лукерьино-2, Коломенский г.о.")</f>
        <v>Приобретение, монтаж и ввод в эксплуатацию станции  очистки воды на ВЗУ в с. Лукерьино-2, Коломенский г.о.</v>
      </c>
      <c r="E170" s="111">
        <f ca="1">IFERROR(__xludf.DUMMYFUNCTION("""COMPUTED_VALUE"""),2020)</f>
        <v>2020</v>
      </c>
      <c r="F170" s="113">
        <f ca="1">IFERROR(__xludf.DUMMYFUNCTION("""COMPUTED_VALUE"""),1886.52)</f>
        <v>1886.52</v>
      </c>
      <c r="G170" s="113">
        <f ca="1">IFERROR(__xludf.DUMMYFUNCTION("""COMPUTED_VALUE"""),0)</f>
        <v>0</v>
      </c>
      <c r="H170" s="113">
        <f ca="1">IFERROR(__xludf.DUMMYFUNCTION("""COMPUTED_VALUE"""),0)</f>
        <v>0</v>
      </c>
      <c r="I170" s="113">
        <f ca="1">IFERROR(__xludf.DUMMYFUNCTION("""COMPUTED_VALUE"""),1886.52)</f>
        <v>1886.52</v>
      </c>
      <c r="J170" s="111">
        <f ca="1">IFERROR(__xludf.DUMMYFUNCTION("""COMPUTED_VALUE"""),1886.52)</f>
        <v>1886.52</v>
      </c>
      <c r="K170" s="113">
        <f ca="1">IFERROR(__xludf.DUMMYFUNCTION("""COMPUTED_VALUE"""),0)</f>
        <v>0</v>
      </c>
      <c r="L170" s="114">
        <f ca="1">IFERROR(__xludf.DUMMYFUNCTION("""COMPUTED_VALUE"""),1)</f>
        <v>1</v>
      </c>
      <c r="M170" s="111"/>
      <c r="N170" s="110" t="s">
        <v>558</v>
      </c>
      <c r="O170" s="111"/>
      <c r="P170" s="111"/>
      <c r="Q170" s="120" t="s">
        <v>551</v>
      </c>
      <c r="R170" s="103"/>
      <c r="S170" s="103"/>
      <c r="T170" s="103"/>
      <c r="U170" s="103"/>
      <c r="V170" s="103"/>
      <c r="W170" s="103"/>
      <c r="X170" s="103"/>
      <c r="Y170" s="103"/>
      <c r="Z170" s="103"/>
      <c r="AA170" s="103"/>
    </row>
    <row r="171" spans="1:27" ht="51" x14ac:dyDescent="0.2">
      <c r="A171" s="110">
        <v>168</v>
      </c>
      <c r="B171" s="110" t="s">
        <v>54</v>
      </c>
      <c r="C171" s="111" t="str">
        <f ca="1">IFERROR(__xludf.DUMMYFUNCTION("""COMPUTED_VALUE"""),"г.о. Коломенский")</f>
        <v>г.о. Коломенский</v>
      </c>
      <c r="D171" s="111" t="str">
        <f ca="1">IFERROR(__xludf.DUMMYFUNCTION("""COMPUTED_VALUE"""),"Приобретение, монтаж и ввод в эксплуатацию станции  очистки воды на ВЗУ в с. Парфентьево, Коломенский г.о.")</f>
        <v>Приобретение, монтаж и ввод в эксплуатацию станции  очистки воды на ВЗУ в с. Парфентьево, Коломенский г.о.</v>
      </c>
      <c r="E171" s="111">
        <f ca="1">IFERROR(__xludf.DUMMYFUNCTION("""COMPUTED_VALUE"""),2020)</f>
        <v>2020</v>
      </c>
      <c r="F171" s="113">
        <f ca="1">IFERROR(__xludf.DUMMYFUNCTION("""COMPUTED_VALUE"""),1479.56)</f>
        <v>1479.56</v>
      </c>
      <c r="G171" s="113">
        <f ca="1">IFERROR(__xludf.DUMMYFUNCTION("""COMPUTED_VALUE"""),0)</f>
        <v>0</v>
      </c>
      <c r="H171" s="113">
        <f ca="1">IFERROR(__xludf.DUMMYFUNCTION("""COMPUTED_VALUE"""),0)</f>
        <v>0</v>
      </c>
      <c r="I171" s="113">
        <f ca="1">IFERROR(__xludf.DUMMYFUNCTION("""COMPUTED_VALUE"""),1479.56)</f>
        <v>1479.56</v>
      </c>
      <c r="J171" s="111">
        <f ca="1">IFERROR(__xludf.DUMMYFUNCTION("""COMPUTED_VALUE"""),1479.56)</f>
        <v>1479.56</v>
      </c>
      <c r="K171" s="113">
        <f ca="1">IFERROR(__xludf.DUMMYFUNCTION("""COMPUTED_VALUE"""),0)</f>
        <v>0</v>
      </c>
      <c r="L171" s="114">
        <f ca="1">IFERROR(__xludf.DUMMYFUNCTION("""COMPUTED_VALUE"""),1)</f>
        <v>1</v>
      </c>
      <c r="M171" s="111"/>
      <c r="N171" s="110" t="s">
        <v>558</v>
      </c>
      <c r="O171" s="111"/>
      <c r="P171" s="111"/>
      <c r="Q171" s="120" t="s">
        <v>551</v>
      </c>
      <c r="R171" s="103"/>
      <c r="S171" s="103"/>
      <c r="T171" s="103"/>
      <c r="U171" s="103"/>
      <c r="V171" s="103"/>
      <c r="W171" s="103"/>
      <c r="X171" s="103"/>
      <c r="Y171" s="103"/>
      <c r="Z171" s="103"/>
      <c r="AA171" s="103"/>
    </row>
    <row r="172" spans="1:27" ht="51" x14ac:dyDescent="0.2">
      <c r="A172" s="110">
        <v>169</v>
      </c>
      <c r="B172" s="110" t="s">
        <v>54</v>
      </c>
      <c r="C172" s="111" t="str">
        <f ca="1">IFERROR(__xludf.DUMMYFUNCTION("""COMPUTED_VALUE"""),"г.о. Коломенский")</f>
        <v>г.о. Коломенский</v>
      </c>
      <c r="D172" s="111" t="str">
        <f ca="1">IFERROR(__xludf.DUMMYFUNCTION("""COMPUTED_VALUE"""),"Приобретение, монтаж и ввод в эксплуатацию станции  очистки воды на ВЗУ в д. В. Хорошово, Коломенский г.о.")</f>
        <v>Приобретение, монтаж и ввод в эксплуатацию станции  очистки воды на ВЗУ в д. В. Хорошово, Коломенский г.о.</v>
      </c>
      <c r="E172" s="111">
        <f ca="1">IFERROR(__xludf.DUMMYFUNCTION("""COMPUTED_VALUE"""),2020)</f>
        <v>2020</v>
      </c>
      <c r="F172" s="113">
        <f ca="1">IFERROR(__xludf.DUMMYFUNCTION("""COMPUTED_VALUE"""),0)</f>
        <v>0</v>
      </c>
      <c r="G172" s="113">
        <f ca="1">IFERROR(__xludf.DUMMYFUNCTION("""COMPUTED_VALUE"""),0)</f>
        <v>0</v>
      </c>
      <c r="H172" s="113">
        <f ca="1">IFERROR(__xludf.DUMMYFUNCTION("""COMPUTED_VALUE"""),0)</f>
        <v>0</v>
      </c>
      <c r="I172" s="113">
        <f ca="1">IFERROR(__xludf.DUMMYFUNCTION("""COMPUTED_VALUE"""),0)</f>
        <v>0</v>
      </c>
      <c r="J172" s="111">
        <f ca="1">IFERROR(__xludf.DUMMYFUNCTION("""COMPUTED_VALUE"""),0)</f>
        <v>0</v>
      </c>
      <c r="K172" s="113">
        <f ca="1">IFERROR(__xludf.DUMMYFUNCTION("""COMPUTED_VALUE"""),0)</f>
        <v>0</v>
      </c>
      <c r="L172" s="114" t="str">
        <f ca="1">IFERROR(__xludf.DUMMYFUNCTION("""COMPUTED_VALUE"""),"#DIV/0!")</f>
        <v>#DIV/0!</v>
      </c>
      <c r="M172" s="111"/>
      <c r="N172" s="111"/>
      <c r="O172" s="111"/>
      <c r="P172" s="111"/>
      <c r="Q172" s="112"/>
      <c r="R172" s="103"/>
      <c r="S172" s="103"/>
      <c r="T172" s="103"/>
      <c r="U172" s="103"/>
      <c r="V172" s="103"/>
      <c r="W172" s="103"/>
      <c r="X172" s="103"/>
      <c r="Y172" s="103"/>
      <c r="Z172" s="103"/>
      <c r="AA172" s="103"/>
    </row>
    <row r="173" spans="1:27" ht="51" x14ac:dyDescent="0.2">
      <c r="A173" s="110">
        <v>170</v>
      </c>
      <c r="B173" s="110" t="s">
        <v>54</v>
      </c>
      <c r="C173" s="111" t="str">
        <f ca="1">IFERROR(__xludf.DUMMYFUNCTION("""COMPUTED_VALUE"""),"г.о. Коломенский")</f>
        <v>г.о. Коломенский</v>
      </c>
      <c r="D173" s="111" t="str">
        <f ca="1">IFERROR(__xludf.DUMMYFUNCTION("""COMPUTED_VALUE"""),"Приобретение, монтаж и ввод в эксплуатацию станции  очистки воды на ВЗУ в д. Проводник-2, Коломенский г.о.")</f>
        <v>Приобретение, монтаж и ввод в эксплуатацию станции  очистки воды на ВЗУ в д. Проводник-2, Коломенский г.о.</v>
      </c>
      <c r="E173" s="111">
        <f ca="1">IFERROR(__xludf.DUMMYFUNCTION("""COMPUTED_VALUE"""),2020)</f>
        <v>2020</v>
      </c>
      <c r="F173" s="113">
        <f ca="1">IFERROR(__xludf.DUMMYFUNCTION("""COMPUTED_VALUE"""),1507.14)</f>
        <v>1507.14</v>
      </c>
      <c r="G173" s="113">
        <f ca="1">IFERROR(__xludf.DUMMYFUNCTION("""COMPUTED_VALUE"""),0)</f>
        <v>0</v>
      </c>
      <c r="H173" s="113">
        <f ca="1">IFERROR(__xludf.DUMMYFUNCTION("""COMPUTED_VALUE"""),0)</f>
        <v>0</v>
      </c>
      <c r="I173" s="113">
        <f ca="1">IFERROR(__xludf.DUMMYFUNCTION("""COMPUTED_VALUE"""),1507.14)</f>
        <v>1507.14</v>
      </c>
      <c r="J173" s="111">
        <f ca="1">IFERROR(__xludf.DUMMYFUNCTION("""COMPUTED_VALUE"""),1507.11)</f>
        <v>1507.11</v>
      </c>
      <c r="K173" s="113">
        <f ca="1">IFERROR(__xludf.DUMMYFUNCTION("""COMPUTED_VALUE"""),0.0300000000002)</f>
        <v>3.0000000000199999E-2</v>
      </c>
      <c r="L173" s="114">
        <f ca="1">IFERROR(__xludf.DUMMYFUNCTION("""COMPUTED_VALUE"""),0.999980094748994)</f>
        <v>0.99998009474899396</v>
      </c>
      <c r="M173" s="111"/>
      <c r="N173" s="110" t="s">
        <v>558</v>
      </c>
      <c r="O173" s="111"/>
      <c r="P173" s="111"/>
      <c r="Q173" s="120" t="s">
        <v>551</v>
      </c>
      <c r="R173" s="103"/>
      <c r="S173" s="103"/>
      <c r="T173" s="103"/>
      <c r="U173" s="103"/>
      <c r="V173" s="103"/>
      <c r="W173" s="103"/>
      <c r="X173" s="103"/>
      <c r="Y173" s="103"/>
      <c r="Z173" s="103"/>
      <c r="AA173" s="103"/>
    </row>
    <row r="174" spans="1:27" ht="51" x14ac:dyDescent="0.2">
      <c r="A174" s="110">
        <v>171</v>
      </c>
      <c r="B174" s="110" t="s">
        <v>54</v>
      </c>
      <c r="C174" s="111" t="str">
        <f ca="1">IFERROR(__xludf.DUMMYFUNCTION("""COMPUTED_VALUE"""),"г.о. Коломенский")</f>
        <v>г.о. Коломенский</v>
      </c>
      <c r="D174" s="111" t="str">
        <f ca="1">IFERROR(__xludf.DUMMYFUNCTION("""COMPUTED_VALUE"""),"Приобретение, монтаж и ввод в эксплуатацию станции  очистки воды на ВЗУ в п. Запрудный, Коломенский г.о.")</f>
        <v>Приобретение, монтаж и ввод в эксплуатацию станции  очистки воды на ВЗУ в п. Запрудный, Коломенский г.о.</v>
      </c>
      <c r="E174" s="111">
        <f ca="1">IFERROR(__xludf.DUMMYFUNCTION("""COMPUTED_VALUE"""),2020)</f>
        <v>2020</v>
      </c>
      <c r="F174" s="113">
        <f ca="1">IFERROR(__xludf.DUMMYFUNCTION("""COMPUTED_VALUE"""),2579.5)</f>
        <v>2579.5</v>
      </c>
      <c r="G174" s="113">
        <f ca="1">IFERROR(__xludf.DUMMYFUNCTION("""COMPUTED_VALUE"""),0)</f>
        <v>0</v>
      </c>
      <c r="H174" s="113">
        <f ca="1">IFERROR(__xludf.DUMMYFUNCTION("""COMPUTED_VALUE"""),0)</f>
        <v>0</v>
      </c>
      <c r="I174" s="113">
        <f ca="1">IFERROR(__xludf.DUMMYFUNCTION("""COMPUTED_VALUE"""),2579.5)</f>
        <v>2579.5</v>
      </c>
      <c r="J174" s="111">
        <f ca="1">IFERROR(__xludf.DUMMYFUNCTION("""COMPUTED_VALUE"""),1723.52)</f>
        <v>1723.52</v>
      </c>
      <c r="K174" s="113">
        <f ca="1">IFERROR(__xludf.DUMMYFUNCTION("""COMPUTED_VALUE"""),855.98)</f>
        <v>855.98</v>
      </c>
      <c r="L174" s="114">
        <f ca="1">IFERROR(__xludf.DUMMYFUNCTION("""COMPUTED_VALUE"""),0.668160496220197)</f>
        <v>0.66816049622019702</v>
      </c>
      <c r="M174" s="111"/>
      <c r="N174" s="110" t="s">
        <v>558</v>
      </c>
      <c r="O174" s="111"/>
      <c r="P174" s="111"/>
      <c r="Q174" s="120" t="s">
        <v>551</v>
      </c>
      <c r="R174" s="103"/>
      <c r="S174" s="103"/>
      <c r="T174" s="103"/>
      <c r="U174" s="103"/>
      <c r="V174" s="103"/>
      <c r="W174" s="103"/>
      <c r="X174" s="103"/>
      <c r="Y174" s="103"/>
      <c r="Z174" s="103"/>
      <c r="AA174" s="103"/>
    </row>
    <row r="175" spans="1:27" ht="51" x14ac:dyDescent="0.2">
      <c r="A175" s="110">
        <v>172</v>
      </c>
      <c r="B175" s="110" t="s">
        <v>54</v>
      </c>
      <c r="C175" s="111" t="str">
        <f ca="1">IFERROR(__xludf.DUMMYFUNCTION("""COMPUTED_VALUE"""),"г.о. Коломенский")</f>
        <v>г.о. Коломенский</v>
      </c>
      <c r="D175" s="111" t="str">
        <f ca="1">IFERROR(__xludf.DUMMYFUNCTION("""COMPUTED_VALUE"""),"Приобретение, монтаж и ввод в эксплуатацию станции  очистки воды на ВЗУ в с. Горки, Коломенский г.о.")</f>
        <v>Приобретение, монтаж и ввод в эксплуатацию станции  очистки воды на ВЗУ в с. Горки, Коломенский г.о.</v>
      </c>
      <c r="E175" s="111">
        <f ca="1">IFERROR(__xludf.DUMMYFUNCTION("""COMPUTED_VALUE"""),2020)</f>
        <v>2020</v>
      </c>
      <c r="F175" s="113">
        <f ca="1">IFERROR(__xludf.DUMMYFUNCTION("""COMPUTED_VALUE"""),2611.2)</f>
        <v>2611.1999999999998</v>
      </c>
      <c r="G175" s="113">
        <f ca="1">IFERROR(__xludf.DUMMYFUNCTION("""COMPUTED_VALUE"""),0)</f>
        <v>0</v>
      </c>
      <c r="H175" s="113">
        <f ca="1">IFERROR(__xludf.DUMMYFUNCTION("""COMPUTED_VALUE"""),0)</f>
        <v>0</v>
      </c>
      <c r="I175" s="113">
        <f ca="1">IFERROR(__xludf.DUMMYFUNCTION("""COMPUTED_VALUE"""),2611.2)</f>
        <v>2611.1999999999998</v>
      </c>
      <c r="J175" s="111">
        <f ca="1">IFERROR(__xludf.DUMMYFUNCTION("""COMPUTED_VALUE"""),1723.39)</f>
        <v>1723.39</v>
      </c>
      <c r="K175" s="113">
        <f ca="1">IFERROR(__xludf.DUMMYFUNCTION("""COMPUTED_VALUE"""),887.809999999999)</f>
        <v>887.80999999999904</v>
      </c>
      <c r="L175" s="114">
        <f ca="1">IFERROR(__xludf.DUMMYFUNCTION("""COMPUTED_VALUE"""),0.659999234068627)</f>
        <v>0.65999923406862704</v>
      </c>
      <c r="M175" s="111"/>
      <c r="N175" s="110" t="s">
        <v>558</v>
      </c>
      <c r="O175" s="111"/>
      <c r="P175" s="111"/>
      <c r="Q175" s="120" t="s">
        <v>551</v>
      </c>
      <c r="R175" s="103"/>
      <c r="S175" s="103"/>
      <c r="T175" s="103"/>
      <c r="U175" s="103"/>
      <c r="V175" s="103"/>
      <c r="W175" s="103"/>
      <c r="X175" s="103"/>
      <c r="Y175" s="103"/>
      <c r="Z175" s="103"/>
      <c r="AA175" s="103"/>
    </row>
    <row r="176" spans="1:27" ht="51" x14ac:dyDescent="0.2">
      <c r="A176" s="110">
        <v>173</v>
      </c>
      <c r="B176" s="110" t="s">
        <v>54</v>
      </c>
      <c r="C176" s="111" t="str">
        <f ca="1">IFERROR(__xludf.DUMMYFUNCTION("""COMPUTED_VALUE"""),"г.о. Коломенский")</f>
        <v>г.о. Коломенский</v>
      </c>
      <c r="D176" s="111" t="str">
        <f ca="1">IFERROR(__xludf.DUMMYFUNCTION("""COMPUTED_VALUE"""),"Приобретение, монтаж и ввод в эксплуатацию станции  очистки воды на ВЗУ в с. Макшеево, Коломенский г.о.")</f>
        <v>Приобретение, монтаж и ввод в эксплуатацию станции  очистки воды на ВЗУ в с. Макшеево, Коломенский г.о.</v>
      </c>
      <c r="E176" s="111">
        <f ca="1">IFERROR(__xludf.DUMMYFUNCTION("""COMPUTED_VALUE"""),2020)</f>
        <v>2020</v>
      </c>
      <c r="F176" s="113">
        <f ca="1">IFERROR(__xludf.DUMMYFUNCTION("""COMPUTED_VALUE"""),2579.54)</f>
        <v>2579.54</v>
      </c>
      <c r="G176" s="113">
        <f ca="1">IFERROR(__xludf.DUMMYFUNCTION("""COMPUTED_VALUE"""),0)</f>
        <v>0</v>
      </c>
      <c r="H176" s="113">
        <f ca="1">IFERROR(__xludf.DUMMYFUNCTION("""COMPUTED_VALUE"""),0)</f>
        <v>0</v>
      </c>
      <c r="I176" s="113">
        <f ca="1">IFERROR(__xludf.DUMMYFUNCTION("""COMPUTED_VALUE"""),2579.54)</f>
        <v>2579.54</v>
      </c>
      <c r="J176" s="111">
        <f ca="1">IFERROR(__xludf.DUMMYFUNCTION("""COMPUTED_VALUE"""),1728.28)</f>
        <v>1728.28</v>
      </c>
      <c r="K176" s="113">
        <f ca="1">IFERROR(__xludf.DUMMYFUNCTION("""COMPUTED_VALUE"""),851.26)</f>
        <v>851.26</v>
      </c>
      <c r="L176" s="114">
        <f ca="1">IFERROR(__xludf.DUMMYFUNCTION("""COMPUTED_VALUE"""),0.669995425540987)</f>
        <v>0.66999542554098701</v>
      </c>
      <c r="M176" s="111"/>
      <c r="N176" s="110" t="s">
        <v>558</v>
      </c>
      <c r="O176" s="111"/>
      <c r="P176" s="111"/>
      <c r="Q176" s="120" t="s">
        <v>551</v>
      </c>
      <c r="R176" s="103"/>
      <c r="S176" s="103"/>
      <c r="T176" s="103"/>
      <c r="U176" s="103"/>
      <c r="V176" s="103"/>
      <c r="W176" s="103"/>
      <c r="X176" s="103"/>
      <c r="Y176" s="103"/>
      <c r="Z176" s="103"/>
      <c r="AA176" s="103"/>
    </row>
    <row r="177" spans="1:27" ht="51" x14ac:dyDescent="0.2">
      <c r="A177" s="110">
        <v>174</v>
      </c>
      <c r="B177" s="110" t="s">
        <v>54</v>
      </c>
      <c r="C177" s="111" t="str">
        <f ca="1">IFERROR(__xludf.DUMMYFUNCTION("""COMPUTED_VALUE"""),"г.о. Коломенский")</f>
        <v>г.о. Коломенский</v>
      </c>
      <c r="D177" s="111" t="str">
        <f ca="1">IFERROR(__xludf.DUMMYFUNCTION("""COMPUTED_VALUE"""),"Приобретение, монтаж и ввод в эксплуатацию станции  очистки воды на ВЗУ в д. Молитвино, Коломенский г.о.")</f>
        <v>Приобретение, монтаж и ввод в эксплуатацию станции  очистки воды на ВЗУ в д. Молитвино, Коломенский г.о.</v>
      </c>
      <c r="E177" s="111">
        <f ca="1">IFERROR(__xludf.DUMMYFUNCTION("""COMPUTED_VALUE"""),2020)</f>
        <v>2020</v>
      </c>
      <c r="F177" s="113">
        <f ca="1">IFERROR(__xludf.DUMMYFUNCTION("""COMPUTED_VALUE"""),2708.83)</f>
        <v>2708.83</v>
      </c>
      <c r="G177" s="113">
        <f ca="1">IFERROR(__xludf.DUMMYFUNCTION("""COMPUTED_VALUE"""),0)</f>
        <v>0</v>
      </c>
      <c r="H177" s="113">
        <f ca="1">IFERROR(__xludf.DUMMYFUNCTION("""COMPUTED_VALUE"""),0)</f>
        <v>0</v>
      </c>
      <c r="I177" s="113">
        <f ca="1">IFERROR(__xludf.DUMMYFUNCTION("""COMPUTED_VALUE"""),2708.83)</f>
        <v>2708.83</v>
      </c>
      <c r="J177" s="111">
        <f ca="1">IFERROR(__xludf.DUMMYFUNCTION("""COMPUTED_VALUE"""),1637.04)</f>
        <v>1637.04</v>
      </c>
      <c r="K177" s="113">
        <f ca="1">IFERROR(__xludf.DUMMYFUNCTION("""COMPUTED_VALUE"""),1071.79)</f>
        <v>1071.79</v>
      </c>
      <c r="L177" s="114">
        <f ca="1">IFERROR(__xludf.DUMMYFUNCTION("""COMPUTED_VALUE"""),0.604334712772673)</f>
        <v>0.60433471277267303</v>
      </c>
      <c r="M177" s="111"/>
      <c r="N177" s="110" t="s">
        <v>558</v>
      </c>
      <c r="O177" s="111"/>
      <c r="P177" s="111"/>
      <c r="Q177" s="120" t="s">
        <v>551</v>
      </c>
      <c r="R177" s="103"/>
      <c r="S177" s="103"/>
      <c r="T177" s="103"/>
      <c r="U177" s="103"/>
      <c r="V177" s="103"/>
      <c r="W177" s="103"/>
      <c r="X177" s="103"/>
      <c r="Y177" s="103"/>
      <c r="Z177" s="103"/>
      <c r="AA177" s="103"/>
    </row>
    <row r="178" spans="1:27" ht="51" x14ac:dyDescent="0.2">
      <c r="A178" s="110">
        <v>175</v>
      </c>
      <c r="B178" s="110" t="s">
        <v>54</v>
      </c>
      <c r="C178" s="111" t="str">
        <f ca="1">IFERROR(__xludf.DUMMYFUNCTION("""COMPUTED_VALUE"""),"г.о. Коломенский")</f>
        <v>г.о. Коломенский</v>
      </c>
      <c r="D178" s="111" t="str">
        <f ca="1">IFERROR(__xludf.DUMMYFUNCTION("""COMPUTED_VALUE"""),"Приобретение, монтаж и ввод в эксплуатацию станции  очистки воды на ВЗУ в с. Андреевское, Коломенский г.о.")</f>
        <v>Приобретение, монтаж и ввод в эксплуатацию станции  очистки воды на ВЗУ в с. Андреевское, Коломенский г.о.</v>
      </c>
      <c r="E178" s="111">
        <f ca="1">IFERROR(__xludf.DUMMYFUNCTION("""COMPUTED_VALUE"""),2020)</f>
        <v>2020</v>
      </c>
      <c r="F178" s="113">
        <f ca="1">IFERROR(__xludf.DUMMYFUNCTION("""COMPUTED_VALUE"""),2642.78)</f>
        <v>2642.78</v>
      </c>
      <c r="G178" s="113">
        <f ca="1">IFERROR(__xludf.DUMMYFUNCTION("""COMPUTED_VALUE"""),0)</f>
        <v>0</v>
      </c>
      <c r="H178" s="113">
        <f ca="1">IFERROR(__xludf.DUMMYFUNCTION("""COMPUTED_VALUE"""),0)</f>
        <v>0</v>
      </c>
      <c r="I178" s="113">
        <f ca="1">IFERROR(__xludf.DUMMYFUNCTION("""COMPUTED_VALUE"""),2642.78)</f>
        <v>2642.78</v>
      </c>
      <c r="J178" s="111">
        <f ca="1">IFERROR(__xludf.DUMMYFUNCTION("""COMPUTED_VALUE"""),1757.36)</f>
        <v>1757.36</v>
      </c>
      <c r="K178" s="113">
        <f ca="1">IFERROR(__xludf.DUMMYFUNCTION("""COMPUTED_VALUE"""),885.42)</f>
        <v>885.42</v>
      </c>
      <c r="L178" s="114">
        <f ca="1">IFERROR(__xludf.DUMMYFUNCTION("""COMPUTED_VALUE"""),0.664966436858156)</f>
        <v>0.66496643685815604</v>
      </c>
      <c r="M178" s="111"/>
      <c r="N178" s="110" t="s">
        <v>558</v>
      </c>
      <c r="O178" s="111"/>
      <c r="P178" s="111"/>
      <c r="Q178" s="120" t="s">
        <v>551</v>
      </c>
      <c r="R178" s="103"/>
      <c r="S178" s="103"/>
      <c r="T178" s="103"/>
      <c r="U178" s="103"/>
      <c r="V178" s="103"/>
      <c r="W178" s="103"/>
      <c r="X178" s="103"/>
      <c r="Y178" s="103"/>
      <c r="Z178" s="103"/>
      <c r="AA178" s="103"/>
    </row>
    <row r="179" spans="1:27" ht="51" x14ac:dyDescent="0.2">
      <c r="A179" s="110">
        <v>176</v>
      </c>
      <c r="B179" s="110" t="s">
        <v>54</v>
      </c>
      <c r="C179" s="111" t="str">
        <f ca="1">IFERROR(__xludf.DUMMYFUNCTION("""COMPUTED_VALUE"""),"г.о. Коломенский")</f>
        <v>г.о. Коломенский</v>
      </c>
      <c r="D179" s="111" t="str">
        <f ca="1">IFERROR(__xludf.DUMMYFUNCTION("""COMPUTED_VALUE"""),"Приобретение, монтаж и ввод в эксплуатацию станции  очистки воды на ВЗУ в д. Новая, Коломенский г.о.")</f>
        <v>Приобретение, монтаж и ввод в эксплуатацию станции  очистки воды на ВЗУ в д. Новая, Коломенский г.о.</v>
      </c>
      <c r="E179" s="111">
        <f ca="1">IFERROR(__xludf.DUMMYFUNCTION("""COMPUTED_VALUE"""),2020)</f>
        <v>2020</v>
      </c>
      <c r="F179" s="113">
        <f ca="1">IFERROR(__xludf.DUMMYFUNCTION("""COMPUTED_VALUE"""),0)</f>
        <v>0</v>
      </c>
      <c r="G179" s="113">
        <f ca="1">IFERROR(__xludf.DUMMYFUNCTION("""COMPUTED_VALUE"""),0)</f>
        <v>0</v>
      </c>
      <c r="H179" s="113">
        <f ca="1">IFERROR(__xludf.DUMMYFUNCTION("""COMPUTED_VALUE"""),0)</f>
        <v>0</v>
      </c>
      <c r="I179" s="113">
        <f ca="1">IFERROR(__xludf.DUMMYFUNCTION("""COMPUTED_VALUE"""),0)</f>
        <v>0</v>
      </c>
      <c r="J179" s="111">
        <f ca="1">IFERROR(__xludf.DUMMYFUNCTION("""COMPUTED_VALUE"""),0)</f>
        <v>0</v>
      </c>
      <c r="K179" s="113">
        <f ca="1">IFERROR(__xludf.DUMMYFUNCTION("""COMPUTED_VALUE"""),0)</f>
        <v>0</v>
      </c>
      <c r="L179" s="114" t="str">
        <f ca="1">IFERROR(__xludf.DUMMYFUNCTION("""COMPUTED_VALUE"""),"#DIV/0!")</f>
        <v>#DIV/0!</v>
      </c>
      <c r="M179" s="111"/>
      <c r="N179" s="111"/>
      <c r="O179" s="111"/>
      <c r="P179" s="111"/>
      <c r="Q179" s="112"/>
      <c r="R179" s="103"/>
      <c r="S179" s="103"/>
      <c r="T179" s="103"/>
      <c r="U179" s="103"/>
      <c r="V179" s="103"/>
      <c r="W179" s="103"/>
      <c r="X179" s="103"/>
      <c r="Y179" s="103"/>
      <c r="Z179" s="103"/>
      <c r="AA179" s="103"/>
    </row>
    <row r="180" spans="1:27" ht="63.75" x14ac:dyDescent="0.2">
      <c r="A180" s="110">
        <v>177</v>
      </c>
      <c r="B180" s="110" t="s">
        <v>54</v>
      </c>
      <c r="C180" s="111" t="str">
        <f ca="1">IFERROR(__xludf.DUMMYFUNCTION("""COMPUTED_VALUE"""),"г.о. Коломенский")</f>
        <v>г.о. Коломенский</v>
      </c>
      <c r="D180" s="111" t="str">
        <f ca="1">IFERROR(__xludf.DUMMYFUNCTION("""COMPUTED_VALUE"""),"Приобретение, монтаж и ввод в эксплуатацию станции  очистки воды на ВЗУ в д. Молодинки (Новопокровское), Коломенский г.о.")</f>
        <v>Приобретение, монтаж и ввод в эксплуатацию станции  очистки воды на ВЗУ в д. Молодинки (Новопокровское), Коломенский г.о.</v>
      </c>
      <c r="E180" s="111">
        <f ca="1">IFERROR(__xludf.DUMMYFUNCTION("""COMPUTED_VALUE"""),2020)</f>
        <v>2020</v>
      </c>
      <c r="F180" s="113">
        <f ca="1">IFERROR(__xludf.DUMMYFUNCTION("""COMPUTED_VALUE"""),0)</f>
        <v>0</v>
      </c>
      <c r="G180" s="113">
        <f ca="1">IFERROR(__xludf.DUMMYFUNCTION("""COMPUTED_VALUE"""),0)</f>
        <v>0</v>
      </c>
      <c r="H180" s="113">
        <f ca="1">IFERROR(__xludf.DUMMYFUNCTION("""COMPUTED_VALUE"""),0)</f>
        <v>0</v>
      </c>
      <c r="I180" s="113">
        <f ca="1">IFERROR(__xludf.DUMMYFUNCTION("""COMPUTED_VALUE"""),0)</f>
        <v>0</v>
      </c>
      <c r="J180" s="111">
        <f ca="1">IFERROR(__xludf.DUMMYFUNCTION("""COMPUTED_VALUE"""),0)</f>
        <v>0</v>
      </c>
      <c r="K180" s="113">
        <f ca="1">IFERROR(__xludf.DUMMYFUNCTION("""COMPUTED_VALUE"""),0)</f>
        <v>0</v>
      </c>
      <c r="L180" s="114" t="str">
        <f ca="1">IFERROR(__xludf.DUMMYFUNCTION("""COMPUTED_VALUE"""),"#DIV/0!")</f>
        <v>#DIV/0!</v>
      </c>
      <c r="M180" s="111"/>
      <c r="N180" s="111"/>
      <c r="O180" s="111"/>
      <c r="P180" s="111"/>
      <c r="Q180" s="112"/>
      <c r="R180" s="103"/>
      <c r="S180" s="103"/>
      <c r="T180" s="103"/>
      <c r="U180" s="103"/>
      <c r="V180" s="103"/>
      <c r="W180" s="103"/>
      <c r="X180" s="103"/>
      <c r="Y180" s="103"/>
      <c r="Z180" s="103"/>
      <c r="AA180" s="103"/>
    </row>
    <row r="181" spans="1:27" ht="51" x14ac:dyDescent="0.2">
      <c r="A181" s="110">
        <v>178</v>
      </c>
      <c r="B181" s="110" t="s">
        <v>54</v>
      </c>
      <c r="C181" s="111" t="str">
        <f ca="1">IFERROR(__xludf.DUMMYFUNCTION("""COMPUTED_VALUE"""),"г.о. Коломенский")</f>
        <v>г.о. Коломенский</v>
      </c>
      <c r="D181" s="111" t="str">
        <f ca="1">IFERROR(__xludf.DUMMYFUNCTION("""COMPUTED_VALUE"""),"Приобретение, монтаж и ввод в эксплуатацию станции  очистки воды на ВЗУ в д. Колодкино, Коломенский г.о.")</f>
        <v>Приобретение, монтаж и ввод в эксплуатацию станции  очистки воды на ВЗУ в д. Колодкино, Коломенский г.о.</v>
      </c>
      <c r="E181" s="111">
        <f ca="1">IFERROR(__xludf.DUMMYFUNCTION("""COMPUTED_VALUE"""),2020)</f>
        <v>2020</v>
      </c>
      <c r="F181" s="113">
        <f ca="1">IFERROR(__xludf.DUMMYFUNCTION("""COMPUTED_VALUE"""),2579.5)</f>
        <v>2579.5</v>
      </c>
      <c r="G181" s="113">
        <f ca="1">IFERROR(__xludf.DUMMYFUNCTION("""COMPUTED_VALUE"""),0)</f>
        <v>0</v>
      </c>
      <c r="H181" s="113">
        <f ca="1">IFERROR(__xludf.DUMMYFUNCTION("""COMPUTED_VALUE"""),0)</f>
        <v>0</v>
      </c>
      <c r="I181" s="113">
        <f ca="1">IFERROR(__xludf.DUMMYFUNCTION("""COMPUTED_VALUE"""),2579.5)</f>
        <v>2579.5</v>
      </c>
      <c r="J181" s="111">
        <f ca="1">IFERROR(__xludf.DUMMYFUNCTION("""COMPUTED_VALUE"""),1715.37)</f>
        <v>1715.37</v>
      </c>
      <c r="K181" s="113">
        <f ca="1">IFERROR(__xludf.DUMMYFUNCTION("""COMPUTED_VALUE"""),864.13)</f>
        <v>864.13</v>
      </c>
      <c r="L181" s="114">
        <f ca="1">IFERROR(__xludf.DUMMYFUNCTION("""COMPUTED_VALUE"""),0.665000969180073)</f>
        <v>0.66500096918007301</v>
      </c>
      <c r="M181" s="111"/>
      <c r="N181" s="110" t="s">
        <v>558</v>
      </c>
      <c r="O181" s="111"/>
      <c r="P181" s="111"/>
      <c r="Q181" s="120" t="s">
        <v>551</v>
      </c>
      <c r="R181" s="103"/>
      <c r="S181" s="103"/>
      <c r="T181" s="103"/>
      <c r="U181" s="103"/>
      <c r="V181" s="103"/>
      <c r="W181" s="103"/>
      <c r="X181" s="103"/>
      <c r="Y181" s="103"/>
      <c r="Z181" s="103"/>
      <c r="AA181" s="103"/>
    </row>
    <row r="182" spans="1:27" ht="51" x14ac:dyDescent="0.2">
      <c r="A182" s="110">
        <v>179</v>
      </c>
      <c r="B182" s="110" t="s">
        <v>54</v>
      </c>
      <c r="C182" s="111" t="str">
        <f ca="1">IFERROR(__xludf.DUMMYFUNCTION("""COMPUTED_VALUE"""),"г.о. Коломенский")</f>
        <v>г.о. Коломенский</v>
      </c>
      <c r="D182" s="111" t="str">
        <f ca="1">IFERROR(__xludf.DUMMYFUNCTION("""COMPUTED_VALUE"""),"Приобретение, монтаж и ввод в эксплуатацию станции  очистки воды на ВЗУ в д. Туменское, Коломенский г.о.")</f>
        <v>Приобретение, монтаж и ввод в эксплуатацию станции  очистки воды на ВЗУ в д. Туменское, Коломенский г.о.</v>
      </c>
      <c r="E182" s="111">
        <f ca="1">IFERROR(__xludf.DUMMYFUNCTION("""COMPUTED_VALUE"""),2020)</f>
        <v>2020</v>
      </c>
      <c r="F182" s="113">
        <f ca="1">IFERROR(__xludf.DUMMYFUNCTION("""COMPUTED_VALUE"""),2474.67)</f>
        <v>2474.67</v>
      </c>
      <c r="G182" s="113">
        <f ca="1">IFERROR(__xludf.DUMMYFUNCTION("""COMPUTED_VALUE"""),0)</f>
        <v>0</v>
      </c>
      <c r="H182" s="113">
        <f ca="1">IFERROR(__xludf.DUMMYFUNCTION("""COMPUTED_VALUE"""),0)</f>
        <v>0</v>
      </c>
      <c r="I182" s="113">
        <f ca="1">IFERROR(__xludf.DUMMYFUNCTION("""COMPUTED_VALUE"""),2474.67)</f>
        <v>2474.67</v>
      </c>
      <c r="J182" s="111">
        <f ca="1">IFERROR(__xludf.DUMMYFUNCTION("""COMPUTED_VALUE"""),1633.28)</f>
        <v>1633.28</v>
      </c>
      <c r="K182" s="113">
        <f ca="1">IFERROR(__xludf.DUMMYFUNCTION("""COMPUTED_VALUE"""),841.39)</f>
        <v>841.39</v>
      </c>
      <c r="L182" s="114">
        <f ca="1">IFERROR(__xludf.DUMMYFUNCTION("""COMPUTED_VALUE"""),0.659999110992576)</f>
        <v>0.65999911099257602</v>
      </c>
      <c r="M182" s="111"/>
      <c r="N182" s="110" t="s">
        <v>558</v>
      </c>
      <c r="O182" s="111"/>
      <c r="P182" s="111"/>
      <c r="Q182" s="120" t="s">
        <v>551</v>
      </c>
      <c r="R182" s="103"/>
      <c r="S182" s="103"/>
      <c r="T182" s="103"/>
      <c r="U182" s="103"/>
      <c r="V182" s="103"/>
      <c r="W182" s="103"/>
      <c r="X182" s="103"/>
      <c r="Y182" s="103"/>
      <c r="Z182" s="103"/>
      <c r="AA182" s="103"/>
    </row>
    <row r="183" spans="1:27" ht="51" x14ac:dyDescent="0.2">
      <c r="A183" s="110">
        <v>180</v>
      </c>
      <c r="B183" s="110" t="s">
        <v>54</v>
      </c>
      <c r="C183" s="111" t="str">
        <f ca="1">IFERROR(__xludf.DUMMYFUNCTION("""COMPUTED_VALUE"""),"г.о. Коломенский")</f>
        <v>г.о. Коломенский</v>
      </c>
      <c r="D183" s="111" t="str">
        <f ca="1">IFERROR(__xludf.DUMMYFUNCTION("""COMPUTED_VALUE"""),"Приобретение, монтаж и ввод в эксплуатацию станции  очистки воды на ВЗУ в с. Никульское, Коломенский г.о.")</f>
        <v>Приобретение, монтаж и ввод в эксплуатацию станции  очистки воды на ВЗУ в с. Никульское, Коломенский г.о.</v>
      </c>
      <c r="E183" s="111">
        <f ca="1">IFERROR(__xludf.DUMMYFUNCTION("""COMPUTED_VALUE"""),2020)</f>
        <v>2020</v>
      </c>
      <c r="F183" s="113">
        <f ca="1">IFERROR(__xludf.DUMMYFUNCTION("""COMPUTED_VALUE"""),1493.74)</f>
        <v>1493.74</v>
      </c>
      <c r="G183" s="113">
        <f ca="1">IFERROR(__xludf.DUMMYFUNCTION("""COMPUTED_VALUE"""),0)</f>
        <v>0</v>
      </c>
      <c r="H183" s="113">
        <f ca="1">IFERROR(__xludf.DUMMYFUNCTION("""COMPUTED_VALUE"""),0)</f>
        <v>0</v>
      </c>
      <c r="I183" s="113">
        <f ca="1">IFERROR(__xludf.DUMMYFUNCTION("""COMPUTED_VALUE"""),1493.74)</f>
        <v>1493.74</v>
      </c>
      <c r="J183" s="111">
        <f ca="1">IFERROR(__xludf.DUMMYFUNCTION("""COMPUTED_VALUE"""),1493.71)</f>
        <v>1493.71</v>
      </c>
      <c r="K183" s="113">
        <f ca="1">IFERROR(__xludf.DUMMYFUNCTION("""COMPUTED_VALUE"""),0.0299999999999727)</f>
        <v>2.9999999999972701E-2</v>
      </c>
      <c r="L183" s="114">
        <f ca="1">IFERROR(__xludf.DUMMYFUNCTION("""COMPUTED_VALUE"""),0.999979916183539)</f>
        <v>0.99997991618353899</v>
      </c>
      <c r="M183" s="111"/>
      <c r="N183" s="110" t="s">
        <v>558</v>
      </c>
      <c r="O183" s="111"/>
      <c r="P183" s="111"/>
      <c r="Q183" s="120" t="s">
        <v>551</v>
      </c>
      <c r="R183" s="103"/>
      <c r="S183" s="103"/>
      <c r="T183" s="103"/>
      <c r="U183" s="103"/>
      <c r="V183" s="103"/>
      <c r="W183" s="103"/>
      <c r="X183" s="103"/>
      <c r="Y183" s="103"/>
      <c r="Z183" s="103"/>
      <c r="AA183" s="103"/>
    </row>
    <row r="184" spans="1:27" ht="51" x14ac:dyDescent="0.2">
      <c r="A184" s="110">
        <v>181</v>
      </c>
      <c r="B184" s="110" t="s">
        <v>54</v>
      </c>
      <c r="C184" s="111" t="str">
        <f ca="1">IFERROR(__xludf.DUMMYFUNCTION("""COMPUTED_VALUE"""),"г.о. Коломенский")</f>
        <v>г.о. Коломенский</v>
      </c>
      <c r="D184" s="111" t="str">
        <f ca="1">IFERROR(__xludf.DUMMYFUNCTION("""COMPUTED_VALUE"""),"Приобретение, монтаж и ввод в эксплуатацию станции  очистки воды на ВЗУ в д. Лыково, Коломенский г.о.")</f>
        <v>Приобретение, монтаж и ввод в эксплуатацию станции  очистки воды на ВЗУ в д. Лыково, Коломенский г.о.</v>
      </c>
      <c r="E184" s="111">
        <f ca="1">IFERROR(__xludf.DUMMYFUNCTION("""COMPUTED_VALUE"""),2020)</f>
        <v>2020</v>
      </c>
      <c r="F184" s="113">
        <f ca="1">IFERROR(__xludf.DUMMYFUNCTION("""COMPUTED_VALUE"""),2611.17)</f>
        <v>2611.17</v>
      </c>
      <c r="G184" s="113">
        <f ca="1">IFERROR(__xludf.DUMMYFUNCTION("""COMPUTED_VALUE"""),0)</f>
        <v>0</v>
      </c>
      <c r="H184" s="113">
        <f ca="1">IFERROR(__xludf.DUMMYFUNCTION("""COMPUTED_VALUE"""),0)</f>
        <v>0</v>
      </c>
      <c r="I184" s="113">
        <f ca="1">IFERROR(__xludf.DUMMYFUNCTION("""COMPUTED_VALUE"""),2611.17)</f>
        <v>2611.17</v>
      </c>
      <c r="J184" s="111">
        <f ca="1">IFERROR(__xludf.DUMMYFUNCTION("""COMPUTED_VALUE"""),1721.91)</f>
        <v>1721.91</v>
      </c>
      <c r="K184" s="113">
        <f ca="1">IFERROR(__xludf.DUMMYFUNCTION("""COMPUTED_VALUE"""),889.26)</f>
        <v>889.26</v>
      </c>
      <c r="L184" s="114">
        <f ca="1">IFERROR(__xludf.DUMMYFUNCTION("""COMPUTED_VALUE"""),0.659440021139948)</f>
        <v>0.65944002113994804</v>
      </c>
      <c r="M184" s="111"/>
      <c r="N184" s="110" t="s">
        <v>558</v>
      </c>
      <c r="O184" s="111"/>
      <c r="P184" s="111"/>
      <c r="Q184" s="120" t="s">
        <v>551</v>
      </c>
      <c r="R184" s="103"/>
      <c r="S184" s="103"/>
      <c r="T184" s="103"/>
      <c r="U184" s="103"/>
      <c r="V184" s="103"/>
      <c r="W184" s="103"/>
      <c r="X184" s="103"/>
      <c r="Y184" s="103"/>
      <c r="Z184" s="103"/>
      <c r="AA184" s="103"/>
    </row>
    <row r="185" spans="1:27" ht="63.75" x14ac:dyDescent="0.2">
      <c r="A185" s="110">
        <v>182</v>
      </c>
      <c r="B185" s="110" t="s">
        <v>54</v>
      </c>
      <c r="C185" s="111" t="str">
        <f ca="1">IFERROR(__xludf.DUMMYFUNCTION("""COMPUTED_VALUE"""),"г.о. Пушкинский")</f>
        <v>г.о. Пушкинский</v>
      </c>
      <c r="D185" s="111" t="str">
        <f ca="1">IFERROR(__xludf.DUMMYFUNCTION("""COMPUTED_VALUE"""),"Приобретение, монтаж и ввод в эксплуатацию станции водоочистки на ВЗУ №9, по ажресу: Московская обл., г. Пушкино, мкр. Серебрянка")</f>
        <v>Приобретение, монтаж и ввод в эксплуатацию станции водоочистки на ВЗУ №9, по ажресу: Московская обл., г. Пушкино, мкр. Серебрянка</v>
      </c>
      <c r="E185" s="111">
        <f ca="1">IFERROR(__xludf.DUMMYFUNCTION("""COMPUTED_VALUE"""),2020)</f>
        <v>2020</v>
      </c>
      <c r="F185" s="113">
        <f ca="1">IFERROR(__xludf.DUMMYFUNCTION("""COMPUTED_VALUE"""),5632.58)</f>
        <v>5632.58</v>
      </c>
      <c r="G185" s="113">
        <f ca="1">IFERROR(__xludf.DUMMYFUNCTION("""COMPUTED_VALUE"""),5632.58)</f>
        <v>5632.58</v>
      </c>
      <c r="H185" s="113">
        <f ca="1">IFERROR(__xludf.DUMMYFUNCTION("""COMPUTED_VALUE"""),0)</f>
        <v>0</v>
      </c>
      <c r="I185" s="113">
        <f ca="1">IFERROR(__xludf.DUMMYFUNCTION("""COMPUTED_VALUE"""),0)</f>
        <v>0</v>
      </c>
      <c r="J185" s="111">
        <f ca="1">IFERROR(__xludf.DUMMYFUNCTION("""COMPUTED_VALUE"""),5632.58)</f>
        <v>5632.58</v>
      </c>
      <c r="K185" s="113">
        <f ca="1">IFERROR(__xludf.DUMMYFUNCTION("""COMPUTED_VALUE"""),0)</f>
        <v>0</v>
      </c>
      <c r="L185" s="114">
        <f ca="1">IFERROR(__xludf.DUMMYFUNCTION("""COMPUTED_VALUE"""),1)</f>
        <v>1</v>
      </c>
      <c r="M185" s="111"/>
      <c r="N185" s="110" t="s">
        <v>554</v>
      </c>
      <c r="O185" s="111"/>
      <c r="P185" s="111"/>
      <c r="Q185" s="112"/>
      <c r="R185" s="103"/>
      <c r="S185" s="103"/>
      <c r="T185" s="103"/>
      <c r="U185" s="103"/>
      <c r="V185" s="103"/>
      <c r="W185" s="103"/>
      <c r="X185" s="103"/>
      <c r="Y185" s="103"/>
      <c r="Z185" s="103"/>
      <c r="AA185" s="103"/>
    </row>
    <row r="186" spans="1:27" ht="51" x14ac:dyDescent="0.2">
      <c r="A186" s="110">
        <v>183</v>
      </c>
      <c r="B186" s="110" t="s">
        <v>54</v>
      </c>
      <c r="C186" s="111" t="str">
        <f ca="1">IFERROR(__xludf.DUMMYFUNCTION("""COMPUTED_VALUE"""),"г.о. Рузский")</f>
        <v>г.о. Рузский</v>
      </c>
      <c r="D186" s="111" t="str">
        <f ca="1">IFERROR(__xludf.DUMMYFUNCTION("""COMPUTED_VALUE"""),"Приобретение, монтаж и ввод в эксплуатацию станции водоочистки на ВЗУв д. Лидино, Рузский г.о.")</f>
        <v>Приобретение, монтаж и ввод в эксплуатацию станции водоочистки на ВЗУв д. Лидино, Рузский г.о.</v>
      </c>
      <c r="E186" s="111">
        <f ca="1">IFERROR(__xludf.DUMMYFUNCTION("""COMPUTED_VALUE"""),2020)</f>
        <v>2020</v>
      </c>
      <c r="F186" s="113">
        <f ca="1">IFERROR(__xludf.DUMMYFUNCTION("""COMPUTED_VALUE"""),1874.4)</f>
        <v>1874.4</v>
      </c>
      <c r="G186" s="113">
        <f ca="1">IFERROR(__xludf.DUMMYFUNCTION("""COMPUTED_VALUE"""),1874.4)</f>
        <v>1874.4</v>
      </c>
      <c r="H186" s="113">
        <f ca="1">IFERROR(__xludf.DUMMYFUNCTION("""COMPUTED_VALUE"""),0)</f>
        <v>0</v>
      </c>
      <c r="I186" s="113">
        <f ca="1">IFERROR(__xludf.DUMMYFUNCTION("""COMPUTED_VALUE"""),0)</f>
        <v>0</v>
      </c>
      <c r="J186" s="111">
        <f ca="1">IFERROR(__xludf.DUMMYFUNCTION("""COMPUTED_VALUE"""),1874.22)</f>
        <v>1874.22</v>
      </c>
      <c r="K186" s="113">
        <f ca="1">IFERROR(__xludf.DUMMYFUNCTION("""COMPUTED_VALUE"""),0.180000000000063)</f>
        <v>0.180000000000063</v>
      </c>
      <c r="L186" s="114">
        <f ca="1">IFERROR(__xludf.DUMMYFUNCTION("""COMPUTED_VALUE"""),0.999903969270166)</f>
        <v>0.999903969270166</v>
      </c>
      <c r="M186" s="111"/>
      <c r="N186" s="110" t="s">
        <v>559</v>
      </c>
      <c r="O186" s="111"/>
      <c r="P186" s="111"/>
      <c r="Q186" s="112"/>
      <c r="R186" s="103"/>
      <c r="S186" s="103"/>
      <c r="T186" s="103"/>
      <c r="U186" s="103"/>
      <c r="V186" s="103"/>
      <c r="W186" s="103"/>
      <c r="X186" s="103"/>
      <c r="Y186" s="103"/>
      <c r="Z186" s="103"/>
      <c r="AA186" s="103"/>
    </row>
    <row r="187" spans="1:27" ht="51" x14ac:dyDescent="0.2">
      <c r="A187" s="110">
        <v>184</v>
      </c>
      <c r="B187" s="110" t="s">
        <v>54</v>
      </c>
      <c r="C187" s="111" t="str">
        <f ca="1">IFERROR(__xludf.DUMMYFUNCTION("""COMPUTED_VALUE"""),"г.о. Рузский")</f>
        <v>г.о. Рузский</v>
      </c>
      <c r="D187" s="111" t="str">
        <f ca="1">IFERROR(__xludf.DUMMYFUNCTION("""COMPUTED_VALUE"""),"Приобретение, монтаж и ввод в эксплуатацию станции водоочистки на ВЗУв с. Никольское, соор.64,, Рузский г.о.")</f>
        <v>Приобретение, монтаж и ввод в эксплуатацию станции водоочистки на ВЗУв с. Никольское, соор.64,, Рузский г.о.</v>
      </c>
      <c r="E187" s="111">
        <f ca="1">IFERROR(__xludf.DUMMYFUNCTION("""COMPUTED_VALUE"""),2020)</f>
        <v>2020</v>
      </c>
      <c r="F187" s="113">
        <f ca="1">IFERROR(__xludf.DUMMYFUNCTION("""COMPUTED_VALUE"""),1843.74)</f>
        <v>1843.74</v>
      </c>
      <c r="G187" s="113">
        <f ca="1">IFERROR(__xludf.DUMMYFUNCTION("""COMPUTED_VALUE"""),1843.74)</f>
        <v>1843.74</v>
      </c>
      <c r="H187" s="113">
        <f ca="1">IFERROR(__xludf.DUMMYFUNCTION("""COMPUTED_VALUE"""),0)</f>
        <v>0</v>
      </c>
      <c r="I187" s="113">
        <f ca="1">IFERROR(__xludf.DUMMYFUNCTION("""COMPUTED_VALUE"""),0)</f>
        <v>0</v>
      </c>
      <c r="J187" s="111">
        <f ca="1">IFERROR(__xludf.DUMMYFUNCTION("""COMPUTED_VALUE"""),1843.74)</f>
        <v>1843.74</v>
      </c>
      <c r="K187" s="113">
        <f ca="1">IFERROR(__xludf.DUMMYFUNCTION("""COMPUTED_VALUE"""),0)</f>
        <v>0</v>
      </c>
      <c r="L187" s="114">
        <f ca="1">IFERROR(__xludf.DUMMYFUNCTION("""COMPUTED_VALUE"""),1)</f>
        <v>1</v>
      </c>
      <c r="M187" s="111"/>
      <c r="N187" s="110" t="s">
        <v>559</v>
      </c>
      <c r="O187" s="111"/>
      <c r="P187" s="111"/>
      <c r="Q187" s="112"/>
      <c r="R187" s="103"/>
      <c r="S187" s="103"/>
      <c r="T187" s="103"/>
      <c r="U187" s="103"/>
      <c r="V187" s="103"/>
      <c r="W187" s="103"/>
      <c r="X187" s="103"/>
      <c r="Y187" s="103"/>
      <c r="Z187" s="103"/>
      <c r="AA187" s="103"/>
    </row>
    <row r="188" spans="1:27" ht="63.75" x14ac:dyDescent="0.2">
      <c r="A188" s="110">
        <v>185</v>
      </c>
      <c r="B188" s="110" t="s">
        <v>54</v>
      </c>
      <c r="C188" s="111" t="str">
        <f ca="1">IFERROR(__xludf.DUMMYFUNCTION("""COMPUTED_VALUE"""),"г.о. Рузский")</f>
        <v>г.о. Рузский</v>
      </c>
      <c r="D188" s="111" t="str">
        <f ca="1">IFERROR(__xludf.DUMMYFUNCTION("""COMPUTED_VALUE"""),"Приобретение, монтаж и ввод в эксплуатацию станции водоочистки на ВЗУв д. Колодкино, ул. Верейская д.176, Рузский г.о.")</f>
        <v>Приобретение, монтаж и ввод в эксплуатацию станции водоочистки на ВЗУв д. Колодкино, ул. Верейская д.176, Рузский г.о.</v>
      </c>
      <c r="E188" s="111">
        <f ca="1">IFERROR(__xludf.DUMMYFUNCTION("""COMPUTED_VALUE"""),2021)</f>
        <v>2021</v>
      </c>
      <c r="F188" s="113">
        <f ca="1">IFERROR(__xludf.DUMMYFUNCTION("""COMPUTED_VALUE"""),0)</f>
        <v>0</v>
      </c>
      <c r="G188" s="113">
        <f ca="1">IFERROR(__xludf.DUMMYFUNCTION("""COMPUTED_VALUE"""),0)</f>
        <v>0</v>
      </c>
      <c r="H188" s="113">
        <f ca="1">IFERROR(__xludf.DUMMYFUNCTION("""COMPUTED_VALUE"""),0)</f>
        <v>0</v>
      </c>
      <c r="I188" s="113">
        <f ca="1">IFERROR(__xludf.DUMMYFUNCTION("""COMPUTED_VALUE"""),0)</f>
        <v>0</v>
      </c>
      <c r="J188" s="111">
        <f ca="1">IFERROR(__xludf.DUMMYFUNCTION("""COMPUTED_VALUE"""),0)</f>
        <v>0</v>
      </c>
      <c r="K188" s="113">
        <f ca="1">IFERROR(__xludf.DUMMYFUNCTION("""COMPUTED_VALUE"""),0)</f>
        <v>0</v>
      </c>
      <c r="L188" s="114" t="str">
        <f ca="1">IFERROR(__xludf.DUMMYFUNCTION("""COMPUTED_VALUE"""),"#DIV/0!")</f>
        <v>#DIV/0!</v>
      </c>
      <c r="M188" s="111"/>
      <c r="N188" s="111"/>
      <c r="O188" s="111"/>
      <c r="P188" s="111"/>
      <c r="Q188" s="112"/>
      <c r="R188" s="103"/>
      <c r="S188" s="103"/>
      <c r="T188" s="103"/>
      <c r="U188" s="103"/>
      <c r="V188" s="103"/>
      <c r="W188" s="103"/>
      <c r="X188" s="103"/>
      <c r="Y188" s="103"/>
      <c r="Z188" s="103"/>
      <c r="AA188" s="103"/>
    </row>
    <row r="189" spans="1:27" ht="51" x14ac:dyDescent="0.2">
      <c r="A189" s="110">
        <v>186</v>
      </c>
      <c r="B189" s="110" t="s">
        <v>54</v>
      </c>
      <c r="C189" s="111" t="str">
        <f ca="1">IFERROR(__xludf.DUMMYFUNCTION("""COMPUTED_VALUE"""),"г.о. Рузский")</f>
        <v>г.о. Рузский</v>
      </c>
      <c r="D189" s="111" t="str">
        <f ca="1">IFERROR(__xludf.DUMMYFUNCTION("""COMPUTED_VALUE"""),"Приобретение, монтаж и ввод в эксплуатацию станции водоочистки на ВЗУв д. Грибцово, ул. Больничная д.138, Рузский г.о.")</f>
        <v>Приобретение, монтаж и ввод в эксплуатацию станции водоочистки на ВЗУв д. Грибцово, ул. Больничная д.138, Рузский г.о.</v>
      </c>
      <c r="E189" s="111">
        <f ca="1">IFERROR(__xludf.DUMMYFUNCTION("""COMPUTED_VALUE"""),2021)</f>
        <v>2021</v>
      </c>
      <c r="F189" s="113">
        <f ca="1">IFERROR(__xludf.DUMMYFUNCTION("""COMPUTED_VALUE"""),0)</f>
        <v>0</v>
      </c>
      <c r="G189" s="113">
        <f ca="1">IFERROR(__xludf.DUMMYFUNCTION("""COMPUTED_VALUE"""),0)</f>
        <v>0</v>
      </c>
      <c r="H189" s="113">
        <f ca="1">IFERROR(__xludf.DUMMYFUNCTION("""COMPUTED_VALUE"""),0)</f>
        <v>0</v>
      </c>
      <c r="I189" s="113">
        <f ca="1">IFERROR(__xludf.DUMMYFUNCTION("""COMPUTED_VALUE"""),0)</f>
        <v>0</v>
      </c>
      <c r="J189" s="111">
        <f ca="1">IFERROR(__xludf.DUMMYFUNCTION("""COMPUTED_VALUE"""),0)</f>
        <v>0</v>
      </c>
      <c r="K189" s="113">
        <f ca="1">IFERROR(__xludf.DUMMYFUNCTION("""COMPUTED_VALUE"""),0)</f>
        <v>0</v>
      </c>
      <c r="L189" s="114" t="str">
        <f ca="1">IFERROR(__xludf.DUMMYFUNCTION("""COMPUTED_VALUE"""),"#DIV/0!")</f>
        <v>#DIV/0!</v>
      </c>
      <c r="M189" s="111"/>
      <c r="N189" s="111"/>
      <c r="O189" s="111"/>
      <c r="P189" s="111"/>
      <c r="Q189" s="112"/>
      <c r="R189" s="103"/>
      <c r="S189" s="103"/>
      <c r="T189" s="103"/>
      <c r="U189" s="103"/>
      <c r="V189" s="103"/>
      <c r="W189" s="103"/>
      <c r="X189" s="103"/>
      <c r="Y189" s="103"/>
      <c r="Z189" s="103"/>
      <c r="AA189" s="103"/>
    </row>
    <row r="190" spans="1:27" ht="51" x14ac:dyDescent="0.2">
      <c r="A190" s="110">
        <v>187</v>
      </c>
      <c r="B190" s="110" t="s">
        <v>54</v>
      </c>
      <c r="C190" s="111" t="str">
        <f ca="1">IFERROR(__xludf.DUMMYFUNCTION("""COMPUTED_VALUE"""),"г.о. Рузский")</f>
        <v>г.о. Рузский</v>
      </c>
      <c r="D190" s="111" t="str">
        <f ca="1">IFERROR(__xludf.DUMMYFUNCTION("""COMPUTED_VALUE"""),"Приобретение, монтаж и ввод в эксплуатацию станции водоочистки на ВЗУв д. Новоивановское,  д.81, Рузский г.о.")</f>
        <v>Приобретение, монтаж и ввод в эксплуатацию станции водоочистки на ВЗУв д. Новоивановское,  д.81, Рузский г.о.</v>
      </c>
      <c r="E190" s="111">
        <f ca="1">IFERROR(__xludf.DUMMYFUNCTION("""COMPUTED_VALUE"""),2021)</f>
        <v>2021</v>
      </c>
      <c r="F190" s="113">
        <f ca="1">IFERROR(__xludf.DUMMYFUNCTION("""COMPUTED_VALUE"""),0)</f>
        <v>0</v>
      </c>
      <c r="G190" s="113">
        <f ca="1">IFERROR(__xludf.DUMMYFUNCTION("""COMPUTED_VALUE"""),0)</f>
        <v>0</v>
      </c>
      <c r="H190" s="113">
        <f ca="1">IFERROR(__xludf.DUMMYFUNCTION("""COMPUTED_VALUE"""),0)</f>
        <v>0</v>
      </c>
      <c r="I190" s="113">
        <f ca="1">IFERROR(__xludf.DUMMYFUNCTION("""COMPUTED_VALUE"""),0)</f>
        <v>0</v>
      </c>
      <c r="J190" s="111">
        <f ca="1">IFERROR(__xludf.DUMMYFUNCTION("""COMPUTED_VALUE"""),0)</f>
        <v>0</v>
      </c>
      <c r="K190" s="113">
        <f ca="1">IFERROR(__xludf.DUMMYFUNCTION("""COMPUTED_VALUE"""),0)</f>
        <v>0</v>
      </c>
      <c r="L190" s="114" t="str">
        <f ca="1">IFERROR(__xludf.DUMMYFUNCTION("""COMPUTED_VALUE"""),"#DIV/0!")</f>
        <v>#DIV/0!</v>
      </c>
      <c r="M190" s="111"/>
      <c r="N190" s="111"/>
      <c r="O190" s="111"/>
      <c r="P190" s="111"/>
      <c r="Q190" s="112"/>
      <c r="R190" s="103"/>
      <c r="S190" s="103"/>
      <c r="T190" s="103"/>
      <c r="U190" s="103"/>
      <c r="V190" s="103"/>
      <c r="W190" s="103"/>
      <c r="X190" s="103"/>
      <c r="Y190" s="103"/>
      <c r="Z190" s="103"/>
      <c r="AA190" s="103"/>
    </row>
    <row r="191" spans="1:27" ht="51" x14ac:dyDescent="0.2">
      <c r="A191" s="110">
        <v>188</v>
      </c>
      <c r="B191" s="110" t="s">
        <v>54</v>
      </c>
      <c r="C191" s="111" t="str">
        <f ca="1">IFERROR(__xludf.DUMMYFUNCTION("""COMPUTED_VALUE"""),"г.о. Рузский")</f>
        <v>г.о. Рузский</v>
      </c>
      <c r="D191" s="111" t="str">
        <f ca="1">IFERROR(__xludf.DUMMYFUNCTION("""COMPUTED_VALUE"""),"Приобретение, монтаж и ввод в эксплуатацию станции водоочистки на ВЗУв д. Филатово  д.1, стр.2, Рузский г.о.")</f>
        <v>Приобретение, монтаж и ввод в эксплуатацию станции водоочистки на ВЗУв д. Филатово  д.1, стр.2, Рузский г.о.</v>
      </c>
      <c r="E191" s="111">
        <f ca="1">IFERROR(__xludf.DUMMYFUNCTION("""COMPUTED_VALUE"""),2021)</f>
        <v>2021</v>
      </c>
      <c r="F191" s="113">
        <f ca="1">IFERROR(__xludf.DUMMYFUNCTION("""COMPUTED_VALUE"""),0)</f>
        <v>0</v>
      </c>
      <c r="G191" s="113">
        <f ca="1">IFERROR(__xludf.DUMMYFUNCTION("""COMPUTED_VALUE"""),0)</f>
        <v>0</v>
      </c>
      <c r="H191" s="113">
        <f ca="1">IFERROR(__xludf.DUMMYFUNCTION("""COMPUTED_VALUE"""),0)</f>
        <v>0</v>
      </c>
      <c r="I191" s="113">
        <f ca="1">IFERROR(__xludf.DUMMYFUNCTION("""COMPUTED_VALUE"""),0)</f>
        <v>0</v>
      </c>
      <c r="J191" s="111">
        <f ca="1">IFERROR(__xludf.DUMMYFUNCTION("""COMPUTED_VALUE"""),0)</f>
        <v>0</v>
      </c>
      <c r="K191" s="113">
        <f ca="1">IFERROR(__xludf.DUMMYFUNCTION("""COMPUTED_VALUE"""),0)</f>
        <v>0</v>
      </c>
      <c r="L191" s="114" t="str">
        <f ca="1">IFERROR(__xludf.DUMMYFUNCTION("""COMPUTED_VALUE"""),"#DIV/0!")</f>
        <v>#DIV/0!</v>
      </c>
      <c r="M191" s="111"/>
      <c r="N191" s="111"/>
      <c r="O191" s="111"/>
      <c r="P191" s="111"/>
      <c r="Q191" s="112"/>
      <c r="R191" s="103"/>
      <c r="S191" s="103"/>
      <c r="T191" s="103"/>
      <c r="U191" s="103"/>
      <c r="V191" s="103"/>
      <c r="W191" s="103"/>
      <c r="X191" s="103"/>
      <c r="Y191" s="103"/>
      <c r="Z191" s="103"/>
      <c r="AA191" s="103"/>
    </row>
    <row r="192" spans="1:27" ht="51" x14ac:dyDescent="0.2">
      <c r="A192" s="110">
        <v>189</v>
      </c>
      <c r="B192" s="110" t="s">
        <v>54</v>
      </c>
      <c r="C192" s="111" t="str">
        <f ca="1">IFERROR(__xludf.DUMMYFUNCTION("""COMPUTED_VALUE"""),"г.о. Рузский")</f>
        <v>г.о. Рузский</v>
      </c>
      <c r="D192" s="111" t="str">
        <f ca="1">IFERROR(__xludf.DUMMYFUNCTION("""COMPUTED_VALUE"""),"Приобретение, монтаж и ввод в эксплуатацию станции водоочистки на ВЗУв д. Леньково  д.2, стр.2, Рузский г.о.")</f>
        <v>Приобретение, монтаж и ввод в эксплуатацию станции водоочистки на ВЗУв д. Леньково  д.2, стр.2, Рузский г.о.</v>
      </c>
      <c r="E192" s="111">
        <f ca="1">IFERROR(__xludf.DUMMYFUNCTION("""COMPUTED_VALUE"""),2020)</f>
        <v>2020</v>
      </c>
      <c r="F192" s="113">
        <f ca="1">IFERROR(__xludf.DUMMYFUNCTION("""COMPUTED_VALUE"""),597.42)</f>
        <v>597.41999999999996</v>
      </c>
      <c r="G192" s="113">
        <f ca="1">IFERROR(__xludf.DUMMYFUNCTION("""COMPUTED_VALUE"""),597.42)</f>
        <v>597.41999999999996</v>
      </c>
      <c r="H192" s="113">
        <f ca="1">IFERROR(__xludf.DUMMYFUNCTION("""COMPUTED_VALUE"""),0)</f>
        <v>0</v>
      </c>
      <c r="I192" s="113">
        <f ca="1">IFERROR(__xludf.DUMMYFUNCTION("""COMPUTED_VALUE"""),0)</f>
        <v>0</v>
      </c>
      <c r="J192" s="111">
        <f ca="1">IFERROR(__xludf.DUMMYFUNCTION("""COMPUTED_VALUE"""),430.07)</f>
        <v>430.07</v>
      </c>
      <c r="K192" s="113">
        <f ca="1">IFERROR(__xludf.DUMMYFUNCTION("""COMPUTED_VALUE"""),167.349999999999)</f>
        <v>167.349999999999</v>
      </c>
      <c r="L192" s="114">
        <f ca="1">IFERROR(__xludf.DUMMYFUNCTION("""COMPUTED_VALUE"""),0.719878812225904)</f>
        <v>0.719878812225904</v>
      </c>
      <c r="M192" s="111"/>
      <c r="N192" s="110" t="s">
        <v>559</v>
      </c>
      <c r="O192" s="111"/>
      <c r="P192" s="111"/>
      <c r="Q192" s="112"/>
      <c r="R192" s="103"/>
      <c r="S192" s="103"/>
      <c r="T192" s="103"/>
      <c r="U192" s="103"/>
      <c r="V192" s="103"/>
      <c r="W192" s="103"/>
      <c r="X192" s="103"/>
      <c r="Y192" s="103"/>
      <c r="Z192" s="103"/>
      <c r="AA192" s="103"/>
    </row>
    <row r="193" spans="1:27" ht="51" x14ac:dyDescent="0.2">
      <c r="A193" s="110">
        <v>190</v>
      </c>
      <c r="B193" s="110" t="s">
        <v>54</v>
      </c>
      <c r="C193" s="111" t="str">
        <f ca="1">IFERROR(__xludf.DUMMYFUNCTION("""COMPUTED_VALUE"""),"г.о. Рузский")</f>
        <v>г.о. Рузский</v>
      </c>
      <c r="D193" s="111" t="str">
        <f ca="1">IFERROR(__xludf.DUMMYFUNCTION("""COMPUTED_VALUE"""),"Приобретение, монтаж и ввод в эксплуатацию станции водоочистки на ВЗУв д. Лихачево  д.108, Рузский г.о.")</f>
        <v>Приобретение, монтаж и ввод в эксплуатацию станции водоочистки на ВЗУв д. Лихачево  д.108, Рузский г.о.</v>
      </c>
      <c r="E193" s="111">
        <f ca="1">IFERROR(__xludf.DUMMYFUNCTION("""COMPUTED_VALUE"""),2020)</f>
        <v>2020</v>
      </c>
      <c r="F193" s="113">
        <f ca="1">IFERROR(__xludf.DUMMYFUNCTION("""COMPUTED_VALUE"""),1752.42)</f>
        <v>1752.42</v>
      </c>
      <c r="G193" s="113">
        <f ca="1">IFERROR(__xludf.DUMMYFUNCTION("""COMPUTED_VALUE"""),1752.42)</f>
        <v>1752.42</v>
      </c>
      <c r="H193" s="113">
        <f ca="1">IFERROR(__xludf.DUMMYFUNCTION("""COMPUTED_VALUE"""),0)</f>
        <v>0</v>
      </c>
      <c r="I193" s="113">
        <f ca="1">IFERROR(__xludf.DUMMYFUNCTION("""COMPUTED_VALUE"""),0)</f>
        <v>0</v>
      </c>
      <c r="J193" s="111">
        <f ca="1">IFERROR(__xludf.DUMMYFUNCTION("""COMPUTED_VALUE"""),1560.09)</f>
        <v>1560.09</v>
      </c>
      <c r="K193" s="113">
        <f ca="1">IFERROR(__xludf.DUMMYFUNCTION("""COMPUTED_VALUE"""),192.33)</f>
        <v>192.33</v>
      </c>
      <c r="L193" s="114">
        <f ca="1">IFERROR(__xludf.DUMMYFUNCTION("""COMPUTED_VALUE"""),0.890248912931831)</f>
        <v>0.89024891293183095</v>
      </c>
      <c r="M193" s="111"/>
      <c r="N193" s="110" t="s">
        <v>559</v>
      </c>
      <c r="O193" s="111"/>
      <c r="P193" s="111"/>
      <c r="Q193" s="112"/>
      <c r="R193" s="103"/>
      <c r="S193" s="103"/>
      <c r="T193" s="103"/>
      <c r="U193" s="103"/>
      <c r="V193" s="103"/>
      <c r="W193" s="103"/>
      <c r="X193" s="103"/>
      <c r="Y193" s="103"/>
      <c r="Z193" s="103"/>
      <c r="AA193" s="103"/>
    </row>
    <row r="194" spans="1:27" ht="51" x14ac:dyDescent="0.2">
      <c r="A194" s="110">
        <v>191</v>
      </c>
      <c r="B194" s="110" t="s">
        <v>54</v>
      </c>
      <c r="C194" s="111" t="str">
        <f ca="1">IFERROR(__xludf.DUMMYFUNCTION("""COMPUTED_VALUE"""),"г.о. Рузский")</f>
        <v>г.о. Рузский</v>
      </c>
      <c r="D194" s="111" t="str">
        <f ca="1">IFERROR(__xludf.DUMMYFUNCTION("""COMPUTED_VALUE"""),"Приобретение, монтаж и ввод в эксплуатацию станции водоочистки на ВЗУв д. Ивойлово, соор.19, Рузский г.о.")</f>
        <v>Приобретение, монтаж и ввод в эксплуатацию станции водоочистки на ВЗУв д. Ивойлово, соор.19, Рузский г.о.</v>
      </c>
      <c r="E194" s="111">
        <f ca="1">IFERROR(__xludf.DUMMYFUNCTION("""COMPUTED_VALUE"""),2020)</f>
        <v>2020</v>
      </c>
      <c r="F194" s="113">
        <f ca="1">IFERROR(__xludf.DUMMYFUNCTION("""COMPUTED_VALUE"""),1761.42)</f>
        <v>1761.42</v>
      </c>
      <c r="G194" s="113">
        <f ca="1">IFERROR(__xludf.DUMMYFUNCTION("""COMPUTED_VALUE"""),1761.42)</f>
        <v>1761.42</v>
      </c>
      <c r="H194" s="113">
        <f ca="1">IFERROR(__xludf.DUMMYFUNCTION("""COMPUTED_VALUE"""),0)</f>
        <v>0</v>
      </c>
      <c r="I194" s="113">
        <f ca="1">IFERROR(__xludf.DUMMYFUNCTION("""COMPUTED_VALUE"""),0)</f>
        <v>0</v>
      </c>
      <c r="J194" s="111">
        <f ca="1">IFERROR(__xludf.DUMMYFUNCTION("""COMPUTED_VALUE"""),1559.39)</f>
        <v>1559.39</v>
      </c>
      <c r="K194" s="113">
        <f ca="1">IFERROR(__xludf.DUMMYFUNCTION("""COMPUTED_VALUE"""),202.029999999999)</f>
        <v>202.02999999999901</v>
      </c>
      <c r="L194" s="114">
        <f ca="1">IFERROR(__xludf.DUMMYFUNCTION("""COMPUTED_VALUE"""),0.885302767085646)</f>
        <v>0.88530276708564604</v>
      </c>
      <c r="M194" s="111"/>
      <c r="N194" s="110" t="s">
        <v>559</v>
      </c>
      <c r="O194" s="111"/>
      <c r="P194" s="111"/>
      <c r="Q194" s="112"/>
      <c r="R194" s="103"/>
      <c r="S194" s="103"/>
      <c r="T194" s="103"/>
      <c r="U194" s="103"/>
      <c r="V194" s="103"/>
      <c r="W194" s="103"/>
      <c r="X194" s="103"/>
      <c r="Y194" s="103"/>
      <c r="Z194" s="103"/>
      <c r="AA194" s="103"/>
    </row>
    <row r="195" spans="1:27" ht="51" x14ac:dyDescent="0.2">
      <c r="A195" s="110">
        <v>192</v>
      </c>
      <c r="B195" s="110" t="s">
        <v>54</v>
      </c>
      <c r="C195" s="111" t="str">
        <f ca="1">IFERROR(__xludf.DUMMYFUNCTION("""COMPUTED_VALUE"""),"г.о. Рузский")</f>
        <v>г.о. Рузский</v>
      </c>
      <c r="D195" s="111" t="str">
        <f ca="1">IFERROR(__xludf.DUMMYFUNCTION("""COMPUTED_VALUE"""),"Приобретение, монтаж и ввод в эксплуатацию станции водоочистки на ВЗУв д. Комлево,  Рузский г.о.")</f>
        <v>Приобретение, монтаж и ввод в эксплуатацию станции водоочистки на ВЗУв д. Комлево,  Рузский г.о.</v>
      </c>
      <c r="E195" s="111">
        <f ca="1">IFERROR(__xludf.DUMMYFUNCTION("""COMPUTED_VALUE"""),2021)</f>
        <v>2021</v>
      </c>
      <c r="F195" s="113">
        <f ca="1">IFERROR(__xludf.DUMMYFUNCTION("""COMPUTED_VALUE"""),0)</f>
        <v>0</v>
      </c>
      <c r="G195" s="113">
        <f ca="1">IFERROR(__xludf.DUMMYFUNCTION("""COMPUTED_VALUE"""),0)</f>
        <v>0</v>
      </c>
      <c r="H195" s="113">
        <f ca="1">IFERROR(__xludf.DUMMYFUNCTION("""COMPUTED_VALUE"""),0)</f>
        <v>0</v>
      </c>
      <c r="I195" s="113">
        <f ca="1">IFERROR(__xludf.DUMMYFUNCTION("""COMPUTED_VALUE"""),0)</f>
        <v>0</v>
      </c>
      <c r="J195" s="111">
        <f ca="1">IFERROR(__xludf.DUMMYFUNCTION("""COMPUTED_VALUE"""),0)</f>
        <v>0</v>
      </c>
      <c r="K195" s="113">
        <f ca="1">IFERROR(__xludf.DUMMYFUNCTION("""COMPUTED_VALUE"""),0)</f>
        <v>0</v>
      </c>
      <c r="L195" s="114" t="str">
        <f ca="1">IFERROR(__xludf.DUMMYFUNCTION("""COMPUTED_VALUE"""),"#DIV/0!")</f>
        <v>#DIV/0!</v>
      </c>
      <c r="M195" s="111"/>
      <c r="N195" s="111"/>
      <c r="O195" s="111"/>
      <c r="P195" s="111"/>
      <c r="Q195" s="112"/>
      <c r="R195" s="103"/>
      <c r="S195" s="103"/>
      <c r="T195" s="103"/>
      <c r="U195" s="103"/>
      <c r="V195" s="103"/>
      <c r="W195" s="103"/>
      <c r="X195" s="103"/>
      <c r="Y195" s="103"/>
      <c r="Z195" s="103"/>
      <c r="AA195" s="103"/>
    </row>
    <row r="196" spans="1:27" ht="51" x14ac:dyDescent="0.2">
      <c r="A196" s="110">
        <v>193</v>
      </c>
      <c r="B196" s="110" t="s">
        <v>54</v>
      </c>
      <c r="C196" s="111" t="str">
        <f ca="1">IFERROR(__xludf.DUMMYFUNCTION("""COMPUTED_VALUE"""),"г.о. Рузский")</f>
        <v>г.о. Рузский</v>
      </c>
      <c r="D196" s="111" t="str">
        <f ca="1">IFERROR(__xludf.DUMMYFUNCTION("""COMPUTED_VALUE"""),"Приобретение, монтаж и ввод в эксплуатацию станции водоочистки на ВЗУв д. Городище, п/ст151, соор.2В,  Рузский г.о.")</f>
        <v>Приобретение, монтаж и ввод в эксплуатацию станции водоочистки на ВЗУв д. Городище, п/ст151, соор.2В,  Рузский г.о.</v>
      </c>
      <c r="E196" s="111">
        <f ca="1">IFERROR(__xludf.DUMMYFUNCTION("""COMPUTED_VALUE"""),2021)</f>
        <v>2021</v>
      </c>
      <c r="F196" s="113">
        <f ca="1">IFERROR(__xludf.DUMMYFUNCTION("""COMPUTED_VALUE"""),0)</f>
        <v>0</v>
      </c>
      <c r="G196" s="113">
        <f ca="1">IFERROR(__xludf.DUMMYFUNCTION("""COMPUTED_VALUE"""),0)</f>
        <v>0</v>
      </c>
      <c r="H196" s="113">
        <f ca="1">IFERROR(__xludf.DUMMYFUNCTION("""COMPUTED_VALUE"""),0)</f>
        <v>0</v>
      </c>
      <c r="I196" s="113">
        <f ca="1">IFERROR(__xludf.DUMMYFUNCTION("""COMPUTED_VALUE"""),0)</f>
        <v>0</v>
      </c>
      <c r="J196" s="111">
        <f ca="1">IFERROR(__xludf.DUMMYFUNCTION("""COMPUTED_VALUE"""),0)</f>
        <v>0</v>
      </c>
      <c r="K196" s="113">
        <f ca="1">IFERROR(__xludf.DUMMYFUNCTION("""COMPUTED_VALUE"""),0)</f>
        <v>0</v>
      </c>
      <c r="L196" s="114" t="str">
        <f ca="1">IFERROR(__xludf.DUMMYFUNCTION("""COMPUTED_VALUE"""),"#DIV/0!")</f>
        <v>#DIV/0!</v>
      </c>
      <c r="M196" s="111"/>
      <c r="N196" s="111"/>
      <c r="O196" s="111"/>
      <c r="P196" s="111"/>
      <c r="Q196" s="112"/>
      <c r="R196" s="103"/>
      <c r="S196" s="103"/>
      <c r="T196" s="103"/>
      <c r="U196" s="103"/>
      <c r="V196" s="103"/>
      <c r="W196" s="103"/>
      <c r="X196" s="103"/>
      <c r="Y196" s="103"/>
      <c r="Z196" s="103"/>
      <c r="AA196" s="103"/>
    </row>
    <row r="197" spans="1:27" ht="63.75" x14ac:dyDescent="0.2">
      <c r="A197" s="110">
        <v>194</v>
      </c>
      <c r="B197" s="110" t="s">
        <v>54</v>
      </c>
      <c r="C197" s="111" t="str">
        <f ca="1">IFERROR(__xludf.DUMMYFUNCTION("""COMPUTED_VALUE"""),"г.о. Рузский")</f>
        <v>г.о. Рузский</v>
      </c>
      <c r="D197" s="111" t="str">
        <f ca="1">IFERROR(__xludf.DUMMYFUNCTION("""COMPUTED_VALUE"""),"Приобретение, монтаж и ввод в эксплуатацию станции водоочистки на ВЗУв с. Покровское, ДОХБ, соор.22,  Рузский г.о.")</f>
        <v>Приобретение, монтаж и ввод в эксплуатацию станции водоочистки на ВЗУв с. Покровское, ДОХБ, соор.22,  Рузский г.о.</v>
      </c>
      <c r="E197" s="111">
        <f ca="1">IFERROR(__xludf.DUMMYFUNCTION("""COMPUTED_VALUE"""),2020)</f>
        <v>2020</v>
      </c>
      <c r="F197" s="113">
        <f ca="1">IFERROR(__xludf.DUMMYFUNCTION("""COMPUTED_VALUE"""),1874.4)</f>
        <v>1874.4</v>
      </c>
      <c r="G197" s="113">
        <f ca="1">IFERROR(__xludf.DUMMYFUNCTION("""COMPUTED_VALUE"""),1874.4)</f>
        <v>1874.4</v>
      </c>
      <c r="H197" s="113">
        <f ca="1">IFERROR(__xludf.DUMMYFUNCTION("""COMPUTED_VALUE"""),0)</f>
        <v>0</v>
      </c>
      <c r="I197" s="113">
        <f ca="1">IFERROR(__xludf.DUMMYFUNCTION("""COMPUTED_VALUE"""),0)</f>
        <v>0</v>
      </c>
      <c r="J197" s="111">
        <f ca="1">IFERROR(__xludf.DUMMYFUNCTION("""COMPUTED_VALUE"""),1874.22)</f>
        <v>1874.22</v>
      </c>
      <c r="K197" s="113">
        <f ca="1">IFERROR(__xludf.DUMMYFUNCTION("""COMPUTED_VALUE"""),0.180000000000063)</f>
        <v>0.180000000000063</v>
      </c>
      <c r="L197" s="114">
        <f ca="1">IFERROR(__xludf.DUMMYFUNCTION("""COMPUTED_VALUE"""),0.999903969270166)</f>
        <v>0.999903969270166</v>
      </c>
      <c r="M197" s="111"/>
      <c r="N197" s="110" t="s">
        <v>559</v>
      </c>
      <c r="O197" s="111"/>
      <c r="P197" s="111"/>
      <c r="Q197" s="112"/>
      <c r="R197" s="103"/>
      <c r="S197" s="103"/>
      <c r="T197" s="103"/>
      <c r="U197" s="103"/>
      <c r="V197" s="103"/>
      <c r="W197" s="103"/>
      <c r="X197" s="103"/>
      <c r="Y197" s="103"/>
      <c r="Z197" s="103"/>
      <c r="AA197" s="103"/>
    </row>
    <row r="198" spans="1:27" ht="51" x14ac:dyDescent="0.2">
      <c r="A198" s="110">
        <v>195</v>
      </c>
      <c r="B198" s="110" t="s">
        <v>54</v>
      </c>
      <c r="C198" s="111" t="str">
        <f ca="1">IFERROR(__xludf.DUMMYFUNCTION("""COMPUTED_VALUE"""),"г.о. Шатура")</f>
        <v>г.о. Шатура</v>
      </c>
      <c r="D198" s="111" t="str">
        <f ca="1">IFERROR(__xludf.DUMMYFUNCTION("""COMPUTED_VALUE"""),"Приобретение, монтаж и ввод в эксплуатацию станции водоочистки на ВЗУв д. Маврино, г.о. Шатура")</f>
        <v>Приобретение, монтаж и ввод в эксплуатацию станции водоочистки на ВЗУв д. Маврино, г.о. Шатура</v>
      </c>
      <c r="E198" s="111">
        <f ca="1">IFERROR(__xludf.DUMMYFUNCTION("""COMPUTED_VALUE"""),2021)</f>
        <v>2021</v>
      </c>
      <c r="F198" s="113">
        <f ca="1">IFERROR(__xludf.DUMMYFUNCTION("""COMPUTED_VALUE"""),0)</f>
        <v>0</v>
      </c>
      <c r="G198" s="113">
        <f ca="1">IFERROR(__xludf.DUMMYFUNCTION("""COMPUTED_VALUE"""),0)</f>
        <v>0</v>
      </c>
      <c r="H198" s="113">
        <f ca="1">IFERROR(__xludf.DUMMYFUNCTION("""COMPUTED_VALUE"""),0)</f>
        <v>0</v>
      </c>
      <c r="I198" s="113">
        <f ca="1">IFERROR(__xludf.DUMMYFUNCTION("""COMPUTED_VALUE"""),0)</f>
        <v>0</v>
      </c>
      <c r="J198" s="111">
        <f ca="1">IFERROR(__xludf.DUMMYFUNCTION("""COMPUTED_VALUE"""),0)</f>
        <v>0</v>
      </c>
      <c r="K198" s="113">
        <f ca="1">IFERROR(__xludf.DUMMYFUNCTION("""COMPUTED_VALUE"""),0)</f>
        <v>0</v>
      </c>
      <c r="L198" s="114" t="str">
        <f ca="1">IFERROR(__xludf.DUMMYFUNCTION("""COMPUTED_VALUE"""),"#DIV/0!")</f>
        <v>#DIV/0!</v>
      </c>
      <c r="M198" s="111"/>
      <c r="N198" s="111"/>
      <c r="O198" s="111"/>
      <c r="P198" s="111"/>
      <c r="Q198" s="112"/>
      <c r="R198" s="103"/>
      <c r="S198" s="103"/>
      <c r="T198" s="103"/>
      <c r="U198" s="103"/>
      <c r="V198" s="103"/>
      <c r="W198" s="103"/>
      <c r="X198" s="103"/>
      <c r="Y198" s="103"/>
      <c r="Z198" s="103"/>
      <c r="AA198" s="103"/>
    </row>
    <row r="199" spans="1:27" ht="51" x14ac:dyDescent="0.2">
      <c r="A199" s="110">
        <v>196</v>
      </c>
      <c r="B199" s="110" t="s">
        <v>54</v>
      </c>
      <c r="C199" s="111" t="str">
        <f ca="1">IFERROR(__xludf.DUMMYFUNCTION("""COMPUTED_VALUE"""),"г.о. Шатура")</f>
        <v>г.о. Шатура</v>
      </c>
      <c r="D199" s="111" t="str">
        <f ca="1">IFERROR(__xludf.DUMMYFUNCTION("""COMPUTED_VALUE"""),"Приобретение, монтаж и ввод в эксплуатацию станции водоочистки на ВЗУв д. Самойлиха, г.о. Шатура")</f>
        <v>Приобретение, монтаж и ввод в эксплуатацию станции водоочистки на ВЗУв д. Самойлиха, г.о. Шатура</v>
      </c>
      <c r="E199" s="111">
        <f ca="1">IFERROR(__xludf.DUMMYFUNCTION("""COMPUTED_VALUE"""),2021)</f>
        <v>2021</v>
      </c>
      <c r="F199" s="113">
        <f ca="1">IFERROR(__xludf.DUMMYFUNCTION("""COMPUTED_VALUE"""),0)</f>
        <v>0</v>
      </c>
      <c r="G199" s="113">
        <f ca="1">IFERROR(__xludf.DUMMYFUNCTION("""COMPUTED_VALUE"""),0)</f>
        <v>0</v>
      </c>
      <c r="H199" s="113">
        <f ca="1">IFERROR(__xludf.DUMMYFUNCTION("""COMPUTED_VALUE"""),0)</f>
        <v>0</v>
      </c>
      <c r="I199" s="113">
        <f ca="1">IFERROR(__xludf.DUMMYFUNCTION("""COMPUTED_VALUE"""),0)</f>
        <v>0</v>
      </c>
      <c r="J199" s="111">
        <f ca="1">IFERROR(__xludf.DUMMYFUNCTION("""COMPUTED_VALUE"""),0)</f>
        <v>0</v>
      </c>
      <c r="K199" s="113">
        <f ca="1">IFERROR(__xludf.DUMMYFUNCTION("""COMPUTED_VALUE"""),0)</f>
        <v>0</v>
      </c>
      <c r="L199" s="114" t="str">
        <f ca="1">IFERROR(__xludf.DUMMYFUNCTION("""COMPUTED_VALUE"""),"#DIV/0!")</f>
        <v>#DIV/0!</v>
      </c>
      <c r="M199" s="111"/>
      <c r="N199" s="111"/>
      <c r="O199" s="111"/>
      <c r="P199" s="111"/>
      <c r="Q199" s="112"/>
      <c r="R199" s="103"/>
      <c r="S199" s="103"/>
      <c r="T199" s="103"/>
      <c r="U199" s="103"/>
      <c r="V199" s="103"/>
      <c r="W199" s="103"/>
      <c r="X199" s="103"/>
      <c r="Y199" s="103"/>
      <c r="Z199" s="103"/>
      <c r="AA199" s="103"/>
    </row>
    <row r="200" spans="1:27" ht="63.75" x14ac:dyDescent="0.2">
      <c r="A200" s="110">
        <v>197</v>
      </c>
      <c r="B200" s="110" t="s">
        <v>54</v>
      </c>
      <c r="C200" s="111" t="str">
        <f ca="1">IFERROR(__xludf.DUMMYFUNCTION("""COMPUTED_VALUE"""),"г.о. Электросталь")</f>
        <v>г.о. Электросталь</v>
      </c>
      <c r="D200" s="111" t="str">
        <f ca="1">IFERROR(__xludf.DUMMYFUNCTION("""COMPUTED_VALUE"""),"Приобретение, монтаж и ввод в эксплуатацию станции водоочистки на ВЗУв с. Иванисово, ул. Центральная усадьба, д.1, г.о. Электросталь")</f>
        <v>Приобретение, монтаж и ввод в эксплуатацию станции водоочистки на ВЗУв с. Иванисово, ул. Центральная усадьба, д.1, г.о. Электросталь</v>
      </c>
      <c r="E200" s="111">
        <f ca="1">IFERROR(__xludf.DUMMYFUNCTION("""COMPUTED_VALUE"""),2021)</f>
        <v>2021</v>
      </c>
      <c r="F200" s="113">
        <f ca="1">IFERROR(__xludf.DUMMYFUNCTION("""COMPUTED_VALUE"""),0)</f>
        <v>0</v>
      </c>
      <c r="G200" s="113">
        <f ca="1">IFERROR(__xludf.DUMMYFUNCTION("""COMPUTED_VALUE"""),0)</f>
        <v>0</v>
      </c>
      <c r="H200" s="113">
        <f ca="1">IFERROR(__xludf.DUMMYFUNCTION("""COMPUTED_VALUE"""),0)</f>
        <v>0</v>
      </c>
      <c r="I200" s="113">
        <f ca="1">IFERROR(__xludf.DUMMYFUNCTION("""COMPUTED_VALUE"""),0)</f>
        <v>0</v>
      </c>
      <c r="J200" s="111">
        <f ca="1">IFERROR(__xludf.DUMMYFUNCTION("""COMPUTED_VALUE"""),0)</f>
        <v>0</v>
      </c>
      <c r="K200" s="113">
        <f ca="1">IFERROR(__xludf.DUMMYFUNCTION("""COMPUTED_VALUE"""),0)</f>
        <v>0</v>
      </c>
      <c r="L200" s="114" t="str">
        <f ca="1">IFERROR(__xludf.DUMMYFUNCTION("""COMPUTED_VALUE"""),"#DIV/0!")</f>
        <v>#DIV/0!</v>
      </c>
      <c r="M200" s="111"/>
      <c r="N200" s="111"/>
      <c r="O200" s="111"/>
      <c r="P200" s="111"/>
      <c r="Q200" s="112"/>
      <c r="R200" s="103"/>
      <c r="S200" s="103"/>
      <c r="T200" s="103"/>
      <c r="U200" s="103"/>
      <c r="V200" s="103"/>
      <c r="W200" s="103"/>
      <c r="X200" s="103"/>
      <c r="Y200" s="103"/>
      <c r="Z200" s="103"/>
      <c r="AA200" s="103"/>
    </row>
    <row r="201" spans="1:27" ht="140.25" x14ac:dyDescent="0.2">
      <c r="A201" s="110">
        <v>198</v>
      </c>
      <c r="B201" s="110" t="s">
        <v>54</v>
      </c>
      <c r="C201" s="111" t="str">
        <f ca="1">IFERROR(__xludf.DUMMYFUNCTION("""COMPUTED_VALUE"""),"г.о. Воскресенск")</f>
        <v>г.о. Воскресенск</v>
      </c>
      <c r="D201" s="111" t="str">
        <f ca="1">IFERROR(__xludf.DUMMYFUNCTION("""COMPUTED_VALUE"""),"Приобретение,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тыс.ру"&amp;"б. средства бюджета Московской области)")</f>
        <v>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тыс.руб. средства бюджета Московской области)</v>
      </c>
      <c r="E201" s="111">
        <f ca="1">IFERROR(__xludf.DUMMYFUNCTION("""COMPUTED_VALUE"""),2020)</f>
        <v>2020</v>
      </c>
      <c r="F201" s="113">
        <f ca="1">IFERROR(__xludf.DUMMYFUNCTION("""COMPUTED_VALUE"""),7943)</f>
        <v>7943</v>
      </c>
      <c r="G201" s="113">
        <f ca="1">IFERROR(__xludf.DUMMYFUNCTION("""COMPUTED_VALUE"""),7943)</f>
        <v>7943</v>
      </c>
      <c r="H201" s="113">
        <f ca="1">IFERROR(__xludf.DUMMYFUNCTION("""COMPUTED_VALUE"""),0)</f>
        <v>0</v>
      </c>
      <c r="I201" s="113">
        <f ca="1">IFERROR(__xludf.DUMMYFUNCTION("""COMPUTED_VALUE"""),0)</f>
        <v>0</v>
      </c>
      <c r="J201" s="111">
        <f ca="1">IFERROR(__xludf.DUMMYFUNCTION("""COMPUTED_VALUE"""),7943)</f>
        <v>7943</v>
      </c>
      <c r="K201" s="113">
        <f ca="1">IFERROR(__xludf.DUMMYFUNCTION("""COMPUTED_VALUE"""),0)</f>
        <v>0</v>
      </c>
      <c r="L201" s="114">
        <f ca="1">IFERROR(__xludf.DUMMYFUNCTION("""COMPUTED_VALUE"""),1)</f>
        <v>1</v>
      </c>
      <c r="M201" s="111"/>
      <c r="N201" s="110" t="s">
        <v>559</v>
      </c>
      <c r="O201" s="111"/>
      <c r="P201" s="111"/>
      <c r="Q201" s="112"/>
      <c r="R201" s="103"/>
      <c r="S201" s="103"/>
      <c r="T201" s="103"/>
      <c r="U201" s="103"/>
      <c r="V201" s="103"/>
      <c r="W201" s="103"/>
      <c r="X201" s="103"/>
      <c r="Y201" s="103"/>
      <c r="Z201" s="103"/>
      <c r="AA201" s="103"/>
    </row>
    <row r="202" spans="1:27" ht="51" x14ac:dyDescent="0.2">
      <c r="A202" s="110">
        <v>199</v>
      </c>
      <c r="B202" s="110" t="s">
        <v>54</v>
      </c>
      <c r="C202" s="111" t="str">
        <f ca="1">IFERROR(__xludf.DUMMYFUNCTION("""COMPUTED_VALUE"""),"г.о. Зарайск")</f>
        <v>г.о. Зарайск</v>
      </c>
      <c r="D202" s="111" t="str">
        <f ca="1">IFERROR(__xludf.DUMMYFUNCTION("""COMPUTED_VALUE"""),"Приобретение, монтаж и ввод в эксплуатцию станций водоочистки на ВЗУ по адресу: п. Зарайский, г.о. Зарайск")</f>
        <v>Приобретение, монтаж и ввод в эксплуатцию станций водоочистки на ВЗУ по адресу: п. Зарайский, г.о. Зарайск</v>
      </c>
      <c r="E202" s="111">
        <f ca="1">IFERROR(__xludf.DUMMYFUNCTION("""COMPUTED_VALUE"""),2021)</f>
        <v>2021</v>
      </c>
      <c r="F202" s="113">
        <f ca="1">IFERROR(__xludf.DUMMYFUNCTION("""COMPUTED_VALUE"""),0)</f>
        <v>0</v>
      </c>
      <c r="G202" s="113">
        <f ca="1">IFERROR(__xludf.DUMMYFUNCTION("""COMPUTED_VALUE"""),0)</f>
        <v>0</v>
      </c>
      <c r="H202" s="113">
        <f ca="1">IFERROR(__xludf.DUMMYFUNCTION("""COMPUTED_VALUE"""),0)</f>
        <v>0</v>
      </c>
      <c r="I202" s="113">
        <f ca="1">IFERROR(__xludf.DUMMYFUNCTION("""COMPUTED_VALUE"""),0)</f>
        <v>0</v>
      </c>
      <c r="J202" s="111">
        <f ca="1">IFERROR(__xludf.DUMMYFUNCTION("""COMPUTED_VALUE"""),0)</f>
        <v>0</v>
      </c>
      <c r="K202" s="113">
        <f ca="1">IFERROR(__xludf.DUMMYFUNCTION("""COMPUTED_VALUE"""),0)</f>
        <v>0</v>
      </c>
      <c r="L202" s="114" t="str">
        <f ca="1">IFERROR(__xludf.DUMMYFUNCTION("""COMPUTED_VALUE"""),"#DIV/0!")</f>
        <v>#DIV/0!</v>
      </c>
      <c r="M202" s="111"/>
      <c r="N202" s="111"/>
      <c r="O202" s="111"/>
      <c r="P202" s="111"/>
      <c r="Q202" s="112"/>
      <c r="R202" s="103"/>
      <c r="S202" s="103"/>
      <c r="T202" s="103"/>
      <c r="U202" s="103"/>
      <c r="V202" s="103"/>
      <c r="W202" s="103"/>
      <c r="X202" s="103"/>
      <c r="Y202" s="103"/>
      <c r="Z202" s="103"/>
      <c r="AA202" s="103"/>
    </row>
    <row r="203" spans="1:27" ht="51" x14ac:dyDescent="0.2">
      <c r="A203" s="110">
        <v>200</v>
      </c>
      <c r="B203" s="110" t="s">
        <v>54</v>
      </c>
      <c r="C203" s="111" t="str">
        <f ca="1">IFERROR(__xludf.DUMMYFUNCTION("""COMPUTED_VALUE"""),"г.о. Зарайск")</f>
        <v>г.о. Зарайск</v>
      </c>
      <c r="D203" s="111" t="str">
        <f ca="1">IFERROR(__xludf.DUMMYFUNCTION("""COMPUTED_VALUE"""),"Приобретение, монтаж и ввод в эксплуатцию станций водоочистки на ВЗУ по адресу: 2-е отделение с/з Зарайский г.о. Зарайск")</f>
        <v>Приобретение, монтаж и ввод в эксплуатцию станций водоочистки на ВЗУ по адресу: 2-е отделение с/з Зарайский г.о. Зарайск</v>
      </c>
      <c r="E203" s="111">
        <f ca="1">IFERROR(__xludf.DUMMYFUNCTION("""COMPUTED_VALUE"""),2021)</f>
        <v>2021</v>
      </c>
      <c r="F203" s="113">
        <f ca="1">IFERROR(__xludf.DUMMYFUNCTION("""COMPUTED_VALUE"""),0)</f>
        <v>0</v>
      </c>
      <c r="G203" s="113">
        <f ca="1">IFERROR(__xludf.DUMMYFUNCTION("""COMPUTED_VALUE"""),0)</f>
        <v>0</v>
      </c>
      <c r="H203" s="113">
        <f ca="1">IFERROR(__xludf.DUMMYFUNCTION("""COMPUTED_VALUE"""),0)</f>
        <v>0</v>
      </c>
      <c r="I203" s="113">
        <f ca="1">IFERROR(__xludf.DUMMYFUNCTION("""COMPUTED_VALUE"""),0)</f>
        <v>0</v>
      </c>
      <c r="J203" s="111">
        <f ca="1">IFERROR(__xludf.DUMMYFUNCTION("""COMPUTED_VALUE"""),0)</f>
        <v>0</v>
      </c>
      <c r="K203" s="113">
        <f ca="1">IFERROR(__xludf.DUMMYFUNCTION("""COMPUTED_VALUE"""),0)</f>
        <v>0</v>
      </c>
      <c r="L203" s="114" t="str">
        <f ca="1">IFERROR(__xludf.DUMMYFUNCTION("""COMPUTED_VALUE"""),"#DIV/0!")</f>
        <v>#DIV/0!</v>
      </c>
      <c r="M203" s="111"/>
      <c r="N203" s="111"/>
      <c r="O203" s="111"/>
      <c r="P203" s="111"/>
      <c r="Q203" s="112"/>
      <c r="R203" s="103"/>
      <c r="S203" s="103"/>
      <c r="T203" s="103"/>
      <c r="U203" s="103"/>
      <c r="V203" s="103"/>
      <c r="W203" s="103"/>
      <c r="X203" s="103"/>
      <c r="Y203" s="103"/>
      <c r="Z203" s="103"/>
      <c r="AA203" s="103"/>
    </row>
    <row r="204" spans="1:27" ht="38.25" x14ac:dyDescent="0.2">
      <c r="A204" s="110">
        <v>201</v>
      </c>
      <c r="B204" s="110" t="s">
        <v>54</v>
      </c>
      <c r="C204" s="111" t="str">
        <f ca="1">IFERROR(__xludf.DUMMYFUNCTION("""COMPUTED_VALUE"""),"г.о. Зарайск")</f>
        <v>г.о. Зарайск</v>
      </c>
      <c r="D204" s="111" t="str">
        <f ca="1">IFERROR(__xludf.DUMMYFUNCTION("""COMPUTED_VALUE"""),"Приобретение, монтаж и ввод в эксплуатцию станций водоочистки на ВЗУ в д. Титово г.о. Зарайск")</f>
        <v>Приобретение, монтаж и ввод в эксплуатцию станций водоочистки на ВЗУ в д. Титово г.о. Зарайск</v>
      </c>
      <c r="E204" s="111">
        <f ca="1">IFERROR(__xludf.DUMMYFUNCTION("""COMPUTED_VALUE"""),2021)</f>
        <v>2021</v>
      </c>
      <c r="F204" s="113">
        <f ca="1">IFERROR(__xludf.DUMMYFUNCTION("""COMPUTED_VALUE"""),0)</f>
        <v>0</v>
      </c>
      <c r="G204" s="113">
        <f ca="1">IFERROR(__xludf.DUMMYFUNCTION("""COMPUTED_VALUE"""),0)</f>
        <v>0</v>
      </c>
      <c r="H204" s="113">
        <f ca="1">IFERROR(__xludf.DUMMYFUNCTION("""COMPUTED_VALUE"""),0)</f>
        <v>0</v>
      </c>
      <c r="I204" s="113">
        <f ca="1">IFERROR(__xludf.DUMMYFUNCTION("""COMPUTED_VALUE"""),0)</f>
        <v>0</v>
      </c>
      <c r="J204" s="111">
        <f ca="1">IFERROR(__xludf.DUMMYFUNCTION("""COMPUTED_VALUE"""),0)</f>
        <v>0</v>
      </c>
      <c r="K204" s="113">
        <f ca="1">IFERROR(__xludf.DUMMYFUNCTION("""COMPUTED_VALUE"""),0)</f>
        <v>0</v>
      </c>
      <c r="L204" s="114" t="str">
        <f ca="1">IFERROR(__xludf.DUMMYFUNCTION("""COMPUTED_VALUE"""),"#DIV/0!")</f>
        <v>#DIV/0!</v>
      </c>
      <c r="M204" s="111"/>
      <c r="N204" s="111"/>
      <c r="O204" s="111"/>
      <c r="P204" s="111"/>
      <c r="Q204" s="112"/>
      <c r="R204" s="103"/>
      <c r="S204" s="103"/>
      <c r="T204" s="103"/>
      <c r="U204" s="103"/>
      <c r="V204" s="103"/>
      <c r="W204" s="103"/>
      <c r="X204" s="103"/>
      <c r="Y204" s="103"/>
      <c r="Z204" s="103"/>
      <c r="AA204" s="103"/>
    </row>
    <row r="205" spans="1:27" ht="51" x14ac:dyDescent="0.2">
      <c r="A205" s="110">
        <v>202</v>
      </c>
      <c r="B205" s="110" t="s">
        <v>54</v>
      </c>
      <c r="C205" s="111" t="str">
        <f ca="1">IFERROR(__xludf.DUMMYFUNCTION("""COMPUTED_VALUE"""),"г.о. Егорьевск")</f>
        <v>г.о. Егорьевск</v>
      </c>
      <c r="D205" s="111" t="str">
        <f ca="1">IFERROR(__xludf.DUMMYFUNCTION("""COMPUTED_VALUE"""),"Приобретение, монтаж и ввод в эксплуатацию станции обезжелезивания на ВЗУ, п. Павлово, г.о.  Егорьевск")</f>
        <v>Приобретение, монтаж и ввод в эксплуатацию станции обезжелезивания на ВЗУ, п. Павлово, г.о.  Егорьевск</v>
      </c>
      <c r="E205" s="111">
        <f ca="1">IFERROR(__xludf.DUMMYFUNCTION("""COMPUTED_VALUE"""),2020)</f>
        <v>2020</v>
      </c>
      <c r="F205" s="113">
        <f ca="1">IFERROR(__xludf.DUMMYFUNCTION("""COMPUTED_VALUE"""),4264)</f>
        <v>4264</v>
      </c>
      <c r="G205" s="113">
        <f ca="1">IFERROR(__xludf.DUMMYFUNCTION("""COMPUTED_VALUE"""),0)</f>
        <v>0</v>
      </c>
      <c r="H205" s="113">
        <f ca="1">IFERROR(__xludf.DUMMYFUNCTION("""COMPUTED_VALUE"""),0)</f>
        <v>0</v>
      </c>
      <c r="I205" s="113">
        <f ca="1">IFERROR(__xludf.DUMMYFUNCTION("""COMPUTED_VALUE"""),4264)</f>
        <v>4264</v>
      </c>
      <c r="J205" s="111">
        <f ca="1">IFERROR(__xludf.DUMMYFUNCTION("""COMPUTED_VALUE"""),3710.65)</f>
        <v>3710.65</v>
      </c>
      <c r="K205" s="113">
        <f ca="1">IFERROR(__xludf.DUMMYFUNCTION("""COMPUTED_VALUE"""),553.349999999999)</f>
        <v>553.349999999999</v>
      </c>
      <c r="L205" s="114">
        <f ca="1">IFERROR(__xludf.DUMMYFUNCTION("""COMPUTED_VALUE"""),0.870227485928705)</f>
        <v>0.87022748592870502</v>
      </c>
      <c r="M205" s="111"/>
      <c r="N205" s="110" t="s">
        <v>559</v>
      </c>
      <c r="O205" s="111"/>
      <c r="P205" s="111"/>
      <c r="Q205" s="112"/>
      <c r="R205" s="103"/>
      <c r="S205" s="103"/>
      <c r="T205" s="103"/>
      <c r="U205" s="103"/>
      <c r="V205" s="103"/>
      <c r="W205" s="103"/>
      <c r="X205" s="103"/>
      <c r="Y205" s="103"/>
      <c r="Z205" s="103"/>
      <c r="AA205" s="103"/>
    </row>
    <row r="206" spans="1:27" ht="51" x14ac:dyDescent="0.2">
      <c r="A206" s="110">
        <v>203</v>
      </c>
      <c r="B206" s="110" t="s">
        <v>54</v>
      </c>
      <c r="C206" s="111" t="str">
        <f ca="1">IFERROR(__xludf.DUMMYFUNCTION("""COMPUTED_VALUE"""),"г.о. Егорьевск")</f>
        <v>г.о. Егорьевск</v>
      </c>
      <c r="D206" s="111" t="str">
        <f ca="1">IFERROR(__xludf.DUMMYFUNCTION("""COMPUTED_VALUE"""),"Приобретение, монтаж и ввод в эксплуатацию станции обезжелезивания на ВЗУ, п. Шувое, г.о. Егорьевск")</f>
        <v>Приобретение, монтаж и ввод в эксплуатацию станции обезжелезивания на ВЗУ, п. Шувое, г.о. Егорьевск</v>
      </c>
      <c r="E206" s="111" t="str">
        <f ca="1">IFERROR(__xludf.DUMMYFUNCTION("""COMPUTED_VALUE"""),"Н/Л")</f>
        <v>Н/Л</v>
      </c>
      <c r="F206" s="113">
        <f ca="1">IFERROR(__xludf.DUMMYFUNCTION("""COMPUTED_VALUE"""),0)</f>
        <v>0</v>
      </c>
      <c r="G206" s="113">
        <f ca="1">IFERROR(__xludf.DUMMYFUNCTION("""COMPUTED_VALUE"""),0)</f>
        <v>0</v>
      </c>
      <c r="H206" s="113">
        <f ca="1">IFERROR(__xludf.DUMMYFUNCTION("""COMPUTED_VALUE"""),0)</f>
        <v>0</v>
      </c>
      <c r="I206" s="113">
        <f ca="1">IFERROR(__xludf.DUMMYFUNCTION("""COMPUTED_VALUE"""),0)</f>
        <v>0</v>
      </c>
      <c r="J206" s="111">
        <f ca="1">IFERROR(__xludf.DUMMYFUNCTION("""COMPUTED_VALUE"""),0)</f>
        <v>0</v>
      </c>
      <c r="K206" s="113">
        <f ca="1">IFERROR(__xludf.DUMMYFUNCTION("""COMPUTED_VALUE"""),0)</f>
        <v>0</v>
      </c>
      <c r="L206" s="114" t="str">
        <f ca="1">IFERROR(__xludf.DUMMYFUNCTION("""COMPUTED_VALUE"""),"#DIV/0!")</f>
        <v>#DIV/0!</v>
      </c>
      <c r="M206" s="111"/>
      <c r="N206" s="111"/>
      <c r="O206" s="111"/>
      <c r="P206" s="111"/>
      <c r="Q206" s="112"/>
      <c r="R206" s="103"/>
      <c r="S206" s="103"/>
      <c r="T206" s="103"/>
      <c r="U206" s="103"/>
      <c r="V206" s="103"/>
      <c r="W206" s="103"/>
      <c r="X206" s="103"/>
      <c r="Y206" s="103"/>
      <c r="Z206" s="103"/>
      <c r="AA206" s="103"/>
    </row>
    <row r="207" spans="1:27" ht="51" x14ac:dyDescent="0.2">
      <c r="A207" s="110">
        <v>204</v>
      </c>
      <c r="B207" s="110" t="s">
        <v>54</v>
      </c>
      <c r="C207" s="111" t="str">
        <f ca="1">IFERROR(__xludf.DUMMYFUNCTION("""COMPUTED_VALUE"""),"г.о. Коломенский")</f>
        <v>г.о. Коломенский</v>
      </c>
      <c r="D207" s="111" t="str">
        <f ca="1">IFERROR(__xludf.DUMMYFUNCTION("""COMPUTED_VALUE"""),"Приобретение, монтаж и ввод в эксплуатацию станции  очистки воды на ВЗУ в п. Лесной, Коломенский г.о.")</f>
        <v>Приобретение, монтаж и ввод в эксплуатацию станции  очистки воды на ВЗУ в п. Лесной, Коломенский г.о.</v>
      </c>
      <c r="E207" s="111">
        <f ca="1">IFERROR(__xludf.DUMMYFUNCTION("""COMPUTED_VALUE"""),2020)</f>
        <v>2020</v>
      </c>
      <c r="F207" s="113">
        <f ca="1">IFERROR(__xludf.DUMMYFUNCTION("""COMPUTED_VALUE"""),3495)</f>
        <v>3495</v>
      </c>
      <c r="G207" s="113">
        <f ca="1">IFERROR(__xludf.DUMMYFUNCTION("""COMPUTED_VALUE"""),0)</f>
        <v>0</v>
      </c>
      <c r="H207" s="113">
        <f ca="1">IFERROR(__xludf.DUMMYFUNCTION("""COMPUTED_VALUE"""),0)</f>
        <v>0</v>
      </c>
      <c r="I207" s="113">
        <f ca="1">IFERROR(__xludf.DUMMYFUNCTION("""COMPUTED_VALUE"""),3495)</f>
        <v>3495</v>
      </c>
      <c r="J207" s="111">
        <f ca="1">IFERROR(__xludf.DUMMYFUNCTION("""COMPUTED_VALUE"""),3110.16)</f>
        <v>3110.16</v>
      </c>
      <c r="K207" s="113">
        <f ca="1">IFERROR(__xludf.DUMMYFUNCTION("""COMPUTED_VALUE"""),384.84)</f>
        <v>384.84</v>
      </c>
      <c r="L207" s="114">
        <f ca="1">IFERROR(__xludf.DUMMYFUNCTION("""COMPUTED_VALUE"""),0.889888412017167)</f>
        <v>0.88988841201716695</v>
      </c>
      <c r="M207" s="111"/>
      <c r="N207" s="110" t="s">
        <v>558</v>
      </c>
      <c r="O207" s="111"/>
      <c r="P207" s="111"/>
      <c r="Q207" s="120" t="s">
        <v>551</v>
      </c>
      <c r="R207" s="103"/>
      <c r="S207" s="103"/>
      <c r="T207" s="103"/>
      <c r="U207" s="103"/>
      <c r="V207" s="103"/>
      <c r="W207" s="103"/>
      <c r="X207" s="103"/>
      <c r="Y207" s="103"/>
      <c r="Z207" s="103"/>
      <c r="AA207" s="103"/>
    </row>
    <row r="208" spans="1:27" ht="51" x14ac:dyDescent="0.2">
      <c r="A208" s="110">
        <v>205</v>
      </c>
      <c r="B208" s="110" t="s">
        <v>54</v>
      </c>
      <c r="C208" s="111" t="str">
        <f ca="1">IFERROR(__xludf.DUMMYFUNCTION("""COMPUTED_VALUE"""),"г.о. Истра")</f>
        <v>г.о. Истра</v>
      </c>
      <c r="D208" s="111" t="str">
        <f ca="1">IFERROR(__xludf.DUMMYFUNCTION("""COMPUTED_VALUE"""),"Приобретение, монтаж и ввод в эксплуатацию станций водоочитски ВЗУ д. Алехново  г.о. Истра")</f>
        <v>Приобретение, монтаж и ввод в эксплуатацию станций водоочитски ВЗУ д. Алехново  г.о. Истра</v>
      </c>
      <c r="E208" s="111" t="str">
        <f ca="1">IFERROR(__xludf.DUMMYFUNCTION("""COMPUTED_VALUE"""),"Н/Л")</f>
        <v>Н/Л</v>
      </c>
      <c r="F208" s="113">
        <f ca="1">IFERROR(__xludf.DUMMYFUNCTION("""COMPUTED_VALUE"""),0)</f>
        <v>0</v>
      </c>
      <c r="G208" s="113">
        <f ca="1">IFERROR(__xludf.DUMMYFUNCTION("""COMPUTED_VALUE"""),0)</f>
        <v>0</v>
      </c>
      <c r="H208" s="113">
        <f ca="1">IFERROR(__xludf.DUMMYFUNCTION("""COMPUTED_VALUE"""),0)</f>
        <v>0</v>
      </c>
      <c r="I208" s="113">
        <f ca="1">IFERROR(__xludf.DUMMYFUNCTION("""COMPUTED_VALUE"""),0)</f>
        <v>0</v>
      </c>
      <c r="J208" s="111">
        <f ca="1">IFERROR(__xludf.DUMMYFUNCTION("""COMPUTED_VALUE"""),0)</f>
        <v>0</v>
      </c>
      <c r="K208" s="113">
        <f ca="1">IFERROR(__xludf.DUMMYFUNCTION("""COMPUTED_VALUE"""),0)</f>
        <v>0</v>
      </c>
      <c r="L208" s="114" t="str">
        <f ca="1">IFERROR(__xludf.DUMMYFUNCTION("""COMPUTED_VALUE"""),"#DIV/0!")</f>
        <v>#DIV/0!</v>
      </c>
      <c r="M208" s="111"/>
      <c r="N208" s="111"/>
      <c r="O208" s="111"/>
      <c r="P208" s="111"/>
      <c r="Q208" s="112"/>
      <c r="R208" s="103"/>
      <c r="S208" s="103"/>
      <c r="T208" s="103"/>
      <c r="U208" s="103"/>
      <c r="V208" s="103"/>
      <c r="W208" s="103"/>
      <c r="X208" s="103"/>
      <c r="Y208" s="103"/>
      <c r="Z208" s="103"/>
      <c r="AA208" s="103"/>
    </row>
    <row r="209" spans="1:27" ht="51" x14ac:dyDescent="0.2">
      <c r="A209" s="110">
        <v>206</v>
      </c>
      <c r="B209" s="110" t="s">
        <v>54</v>
      </c>
      <c r="C209" s="111" t="str">
        <f ca="1">IFERROR(__xludf.DUMMYFUNCTION("""COMPUTED_VALUE"""),"г.о. Истра")</f>
        <v>г.о. Истра</v>
      </c>
      <c r="D209" s="111" t="str">
        <f ca="1">IFERROR(__xludf.DUMMYFUNCTION("""COMPUTED_VALUE"""),"Приобретение, монтаж и ввод в эксплуатацию станций водоочитски ВЗУ д. Лечищево  г.о. Истра")</f>
        <v>Приобретение, монтаж и ввод в эксплуатацию станций водоочитски ВЗУ д. Лечищево  г.о. Истра</v>
      </c>
      <c r="E209" s="111" t="str">
        <f ca="1">IFERROR(__xludf.DUMMYFUNCTION("""COMPUTED_VALUE"""),"Н/Л")</f>
        <v>Н/Л</v>
      </c>
      <c r="F209" s="113">
        <f ca="1">IFERROR(__xludf.DUMMYFUNCTION("""COMPUTED_VALUE"""),0)</f>
        <v>0</v>
      </c>
      <c r="G209" s="113">
        <f ca="1">IFERROR(__xludf.DUMMYFUNCTION("""COMPUTED_VALUE"""),0)</f>
        <v>0</v>
      </c>
      <c r="H209" s="113">
        <f ca="1">IFERROR(__xludf.DUMMYFUNCTION("""COMPUTED_VALUE"""),0)</f>
        <v>0</v>
      </c>
      <c r="I209" s="113">
        <f ca="1">IFERROR(__xludf.DUMMYFUNCTION("""COMPUTED_VALUE"""),0)</f>
        <v>0</v>
      </c>
      <c r="J209" s="111">
        <f ca="1">IFERROR(__xludf.DUMMYFUNCTION("""COMPUTED_VALUE"""),0)</f>
        <v>0</v>
      </c>
      <c r="K209" s="113">
        <f ca="1">IFERROR(__xludf.DUMMYFUNCTION("""COMPUTED_VALUE"""),0)</f>
        <v>0</v>
      </c>
      <c r="L209" s="114" t="str">
        <f ca="1">IFERROR(__xludf.DUMMYFUNCTION("""COMPUTED_VALUE"""),"#DIV/0!")</f>
        <v>#DIV/0!</v>
      </c>
      <c r="M209" s="111"/>
      <c r="N209" s="111"/>
      <c r="O209" s="111"/>
      <c r="P209" s="111"/>
      <c r="Q209" s="112"/>
      <c r="R209" s="103"/>
      <c r="S209" s="103"/>
      <c r="T209" s="103"/>
      <c r="U209" s="103"/>
      <c r="V209" s="103"/>
      <c r="W209" s="103"/>
      <c r="X209" s="103"/>
      <c r="Y209" s="103"/>
      <c r="Z209" s="103"/>
      <c r="AA209" s="103"/>
    </row>
    <row r="210" spans="1:27" ht="51" x14ac:dyDescent="0.2">
      <c r="A210" s="110">
        <v>207</v>
      </c>
      <c r="B210" s="110" t="s">
        <v>54</v>
      </c>
      <c r="C210" s="111" t="str">
        <f ca="1">IFERROR(__xludf.DUMMYFUNCTION("""COMPUTED_VALUE"""),"г.о. Истра")</f>
        <v>г.о. Истра</v>
      </c>
      <c r="D210" s="111" t="str">
        <f ca="1">IFERROR(__xludf.DUMMYFUNCTION("""COMPUTED_VALUE"""),"Приобретение, монтаж и ввод в эксплуатацию станций водоочитски ВЗУ п. Румянцево, ул. Садовая  г.о. Истра")</f>
        <v>Приобретение, монтаж и ввод в эксплуатацию станций водоочитски ВЗУ п. Румянцево, ул. Садовая  г.о. Истра</v>
      </c>
      <c r="E210" s="111" t="str">
        <f ca="1">IFERROR(__xludf.DUMMYFUNCTION("""COMPUTED_VALUE"""),"Н/Л")</f>
        <v>Н/Л</v>
      </c>
      <c r="F210" s="113">
        <f ca="1">IFERROR(__xludf.DUMMYFUNCTION("""COMPUTED_VALUE"""),0)</f>
        <v>0</v>
      </c>
      <c r="G210" s="113">
        <f ca="1">IFERROR(__xludf.DUMMYFUNCTION("""COMPUTED_VALUE"""),0)</f>
        <v>0</v>
      </c>
      <c r="H210" s="113">
        <f ca="1">IFERROR(__xludf.DUMMYFUNCTION("""COMPUTED_VALUE"""),0)</f>
        <v>0</v>
      </c>
      <c r="I210" s="113">
        <f ca="1">IFERROR(__xludf.DUMMYFUNCTION("""COMPUTED_VALUE"""),0)</f>
        <v>0</v>
      </c>
      <c r="J210" s="111">
        <f ca="1">IFERROR(__xludf.DUMMYFUNCTION("""COMPUTED_VALUE"""),0)</f>
        <v>0</v>
      </c>
      <c r="K210" s="113">
        <f ca="1">IFERROR(__xludf.DUMMYFUNCTION("""COMPUTED_VALUE"""),0)</f>
        <v>0</v>
      </c>
      <c r="L210" s="114" t="str">
        <f ca="1">IFERROR(__xludf.DUMMYFUNCTION("""COMPUTED_VALUE"""),"#DIV/0!")</f>
        <v>#DIV/0!</v>
      </c>
      <c r="M210" s="111"/>
      <c r="N210" s="111"/>
      <c r="O210" s="111"/>
      <c r="P210" s="111"/>
      <c r="Q210" s="112"/>
      <c r="R210" s="103"/>
      <c r="S210" s="103"/>
      <c r="T210" s="103"/>
      <c r="U210" s="103"/>
      <c r="V210" s="103"/>
      <c r="W210" s="103"/>
      <c r="X210" s="103"/>
      <c r="Y210" s="103"/>
      <c r="Z210" s="103"/>
      <c r="AA210" s="103"/>
    </row>
    <row r="211" spans="1:27" ht="51" x14ac:dyDescent="0.2">
      <c r="A211" s="110">
        <v>208</v>
      </c>
      <c r="B211" s="110" t="s">
        <v>54</v>
      </c>
      <c r="C211" s="111" t="str">
        <f ca="1">IFERROR(__xludf.DUMMYFUNCTION("""COMPUTED_VALUE"""),"г.о. Истра")</f>
        <v>г.о. Истра</v>
      </c>
      <c r="D211" s="111" t="str">
        <f ca="1">IFERROR(__xludf.DUMMYFUNCTION("""COMPUTED_VALUE"""),"Приобретение, монтаж и ввод в эксплуатацию станций водоочитски ВЗУ д. Дарна  г.о. Истра")</f>
        <v>Приобретение, монтаж и ввод в эксплуатацию станций водоочитски ВЗУ д. Дарна  г.о. Истра</v>
      </c>
      <c r="E211" s="111" t="str">
        <f ca="1">IFERROR(__xludf.DUMMYFUNCTION("""COMPUTED_VALUE"""),"Н/Л")</f>
        <v>Н/Л</v>
      </c>
      <c r="F211" s="113">
        <f ca="1">IFERROR(__xludf.DUMMYFUNCTION("""COMPUTED_VALUE"""),0)</f>
        <v>0</v>
      </c>
      <c r="G211" s="113">
        <f ca="1">IFERROR(__xludf.DUMMYFUNCTION("""COMPUTED_VALUE"""),0)</f>
        <v>0</v>
      </c>
      <c r="H211" s="113">
        <f ca="1">IFERROR(__xludf.DUMMYFUNCTION("""COMPUTED_VALUE"""),0)</f>
        <v>0</v>
      </c>
      <c r="I211" s="113">
        <f ca="1">IFERROR(__xludf.DUMMYFUNCTION("""COMPUTED_VALUE"""),0)</f>
        <v>0</v>
      </c>
      <c r="J211" s="111">
        <f ca="1">IFERROR(__xludf.DUMMYFUNCTION("""COMPUTED_VALUE"""),0)</f>
        <v>0</v>
      </c>
      <c r="K211" s="113">
        <f ca="1">IFERROR(__xludf.DUMMYFUNCTION("""COMPUTED_VALUE"""),0)</f>
        <v>0</v>
      </c>
      <c r="L211" s="114" t="str">
        <f ca="1">IFERROR(__xludf.DUMMYFUNCTION("""COMPUTED_VALUE"""),"#DIV/0!")</f>
        <v>#DIV/0!</v>
      </c>
      <c r="M211" s="111"/>
      <c r="N211" s="111"/>
      <c r="O211" s="111"/>
      <c r="P211" s="111"/>
      <c r="Q211" s="112"/>
      <c r="R211" s="103"/>
      <c r="S211" s="103"/>
      <c r="T211" s="103"/>
      <c r="U211" s="103"/>
      <c r="V211" s="103"/>
      <c r="W211" s="103"/>
      <c r="X211" s="103"/>
      <c r="Y211" s="103"/>
      <c r="Z211" s="103"/>
      <c r="AA211" s="103"/>
    </row>
    <row r="212" spans="1:27" ht="51" x14ac:dyDescent="0.2">
      <c r="A212" s="110">
        <v>209</v>
      </c>
      <c r="B212" s="110" t="s">
        <v>54</v>
      </c>
      <c r="C212" s="111" t="str">
        <f ca="1">IFERROR(__xludf.DUMMYFUNCTION("""COMPUTED_VALUE"""),"г.о. Истра")</f>
        <v>г.о. Истра</v>
      </c>
      <c r="D212" s="111" t="str">
        <f ca="1">IFERROR(__xludf.DUMMYFUNCTION("""COMPUTED_VALUE"""),"Приобретение, монтаж и ввод в эксплуатацию станций водоочитски на ВЗУ д. Буньково г.о. Истра")</f>
        <v>Приобретение, монтаж и ввод в эксплуатацию станций водоочитски на ВЗУ д. Буньково г.о. Истра</v>
      </c>
      <c r="E212" s="111" t="str">
        <f ca="1">IFERROR(__xludf.DUMMYFUNCTION("""COMPUTED_VALUE"""),"Н/Л")</f>
        <v>Н/Л</v>
      </c>
      <c r="F212" s="113">
        <f ca="1">IFERROR(__xludf.DUMMYFUNCTION("""COMPUTED_VALUE"""),0)</f>
        <v>0</v>
      </c>
      <c r="G212" s="113">
        <f ca="1">IFERROR(__xludf.DUMMYFUNCTION("""COMPUTED_VALUE"""),0)</f>
        <v>0</v>
      </c>
      <c r="H212" s="113">
        <f ca="1">IFERROR(__xludf.DUMMYFUNCTION("""COMPUTED_VALUE"""),0)</f>
        <v>0</v>
      </c>
      <c r="I212" s="113">
        <f ca="1">IFERROR(__xludf.DUMMYFUNCTION("""COMPUTED_VALUE"""),0)</f>
        <v>0</v>
      </c>
      <c r="J212" s="111">
        <f ca="1">IFERROR(__xludf.DUMMYFUNCTION("""COMPUTED_VALUE"""),0)</f>
        <v>0</v>
      </c>
      <c r="K212" s="113">
        <f ca="1">IFERROR(__xludf.DUMMYFUNCTION("""COMPUTED_VALUE"""),0)</f>
        <v>0</v>
      </c>
      <c r="L212" s="114" t="str">
        <f ca="1">IFERROR(__xludf.DUMMYFUNCTION("""COMPUTED_VALUE"""),"#DIV/0!")</f>
        <v>#DIV/0!</v>
      </c>
      <c r="M212" s="111"/>
      <c r="N212" s="111"/>
      <c r="O212" s="111"/>
      <c r="P212" s="111"/>
      <c r="Q212" s="112"/>
      <c r="R212" s="103"/>
      <c r="S212" s="103"/>
      <c r="T212" s="103"/>
      <c r="U212" s="103"/>
      <c r="V212" s="103"/>
      <c r="W212" s="103"/>
      <c r="X212" s="103"/>
      <c r="Y212" s="103"/>
      <c r="Z212" s="103"/>
      <c r="AA212" s="103"/>
    </row>
    <row r="213" spans="1:27" ht="76.5" x14ac:dyDescent="0.2">
      <c r="A213" s="110">
        <v>210</v>
      </c>
      <c r="B213" s="110" t="s">
        <v>54</v>
      </c>
      <c r="C213" s="111" t="str">
        <f ca="1">IFERROR(__xludf.DUMMYFUNCTION("""COMPUTED_VALUE"""),"г.о. Пушкинский")</f>
        <v>г.о. Пушкинский</v>
      </c>
      <c r="D213" s="111" t="str">
        <f ca="1">IFERROR(__xludf.DUMMYFUNCTION("""COMPUTED_VALUE"""),"Приобретение, монтаж и ввод в эксплуатацию станции водоочистки на ВЗУ №27 по адресу: Московская область, Пушкинский городской округ, р.п. Софрино, ул. Сетевая")</f>
        <v>Приобретение, монтаж и ввод в эксплуатацию станции водоочистки на ВЗУ №27 по адресу: Московская область, Пушкинский городской округ, р.п. Софрино, ул. Сетевая</v>
      </c>
      <c r="E213" s="111">
        <f ca="1">IFERROR(__xludf.DUMMYFUNCTION("""COMPUTED_VALUE"""),2020)</f>
        <v>2020</v>
      </c>
      <c r="F213" s="113">
        <f ca="1">IFERROR(__xludf.DUMMYFUNCTION("""COMPUTED_VALUE"""),3015)</f>
        <v>3015</v>
      </c>
      <c r="G213" s="113">
        <f ca="1">IFERROR(__xludf.DUMMYFUNCTION("""COMPUTED_VALUE"""),3015)</f>
        <v>3015</v>
      </c>
      <c r="H213" s="113">
        <f ca="1">IFERROR(__xludf.DUMMYFUNCTION("""COMPUTED_VALUE"""),0)</f>
        <v>0</v>
      </c>
      <c r="I213" s="113">
        <f ca="1">IFERROR(__xludf.DUMMYFUNCTION("""COMPUTED_VALUE"""),0)</f>
        <v>0</v>
      </c>
      <c r="J213" s="111">
        <f ca="1">IFERROR(__xludf.DUMMYFUNCTION("""COMPUTED_VALUE"""),3014.93)</f>
        <v>3014.93</v>
      </c>
      <c r="K213" s="113">
        <f ca="1">IFERROR(__xludf.DUMMYFUNCTION("""COMPUTED_VALUE"""),0.0700000000001637)</f>
        <v>7.0000000000163695E-2</v>
      </c>
      <c r="L213" s="114">
        <f ca="1">IFERROR(__xludf.DUMMYFUNCTION("""COMPUTED_VALUE"""),0.999976782752902)</f>
        <v>0.99997678275290203</v>
      </c>
      <c r="M213" s="111"/>
      <c r="N213" s="110" t="s">
        <v>554</v>
      </c>
      <c r="O213" s="111"/>
      <c r="P213" s="111"/>
      <c r="Q213" s="112"/>
      <c r="R213" s="103"/>
      <c r="S213" s="103"/>
      <c r="T213" s="103"/>
      <c r="U213" s="103"/>
      <c r="V213" s="103"/>
      <c r="W213" s="103"/>
      <c r="X213" s="103"/>
      <c r="Y213" s="103"/>
      <c r="Z213" s="103"/>
      <c r="AA213" s="103"/>
    </row>
    <row r="214" spans="1:27" ht="51" x14ac:dyDescent="0.2">
      <c r="A214" s="110">
        <v>211</v>
      </c>
      <c r="B214" s="110" t="s">
        <v>54</v>
      </c>
      <c r="C214" s="111" t="str">
        <f ca="1">IFERROR(__xludf.DUMMYFUNCTION("""COMPUTED_VALUE"""),"МинЖКХ г.о. Можайск")</f>
        <v>МинЖКХ г.о. Можайск</v>
      </c>
      <c r="D214" s="111" t="str">
        <f ca="1">IFERROR(__xludf.DUMMYFUNCTION("""COMPUTED_VALUE"""),"Реконструкция ВЗУ, расположенного по адресу: Московская область, Можайский район, с. Тропарево  (в т.ч. ПИР)")</f>
        <v>Реконструкция ВЗУ, расположенного по адресу: Московская область, Можайский район, с. Тропарево  (в т.ч. ПИР)</v>
      </c>
      <c r="E214" s="111" t="str">
        <f ca="1">IFERROR(__xludf.DUMMYFUNCTION("""COMPUTED_VALUE"""),"2020-2022")</f>
        <v>2020-2022</v>
      </c>
      <c r="F214" s="113">
        <f ca="1">IFERROR(__xludf.DUMMYFUNCTION("""COMPUTED_VALUE"""),4790)</f>
        <v>4790</v>
      </c>
      <c r="G214" s="113">
        <f ca="1">IFERROR(__xludf.DUMMYFUNCTION("""COMPUTED_VALUE"""),4790)</f>
        <v>4790</v>
      </c>
      <c r="H214" s="113">
        <f ca="1">IFERROR(__xludf.DUMMYFUNCTION("""COMPUTED_VALUE"""),0)</f>
        <v>0</v>
      </c>
      <c r="I214" s="113">
        <f ca="1">IFERROR(__xludf.DUMMYFUNCTION("""COMPUTED_VALUE"""),0)</f>
        <v>0</v>
      </c>
      <c r="J214" s="111">
        <f ca="1">IFERROR(__xludf.DUMMYFUNCTION("""COMPUTED_VALUE"""),4790)</f>
        <v>4790</v>
      </c>
      <c r="K214" s="113">
        <f ca="1">IFERROR(__xludf.DUMMYFUNCTION("""COMPUTED_VALUE"""),0)</f>
        <v>0</v>
      </c>
      <c r="L214" s="114">
        <f ca="1">IFERROR(__xludf.DUMMYFUNCTION("""COMPUTED_VALUE"""),1)</f>
        <v>1</v>
      </c>
      <c r="M214" s="111"/>
      <c r="N214" s="110" t="s">
        <v>553</v>
      </c>
      <c r="O214" s="111"/>
      <c r="P214" s="111"/>
      <c r="Q214" s="112"/>
      <c r="R214" s="103"/>
      <c r="S214" s="103"/>
      <c r="T214" s="103"/>
      <c r="U214" s="103"/>
      <c r="V214" s="103"/>
      <c r="W214" s="103"/>
      <c r="X214" s="103"/>
      <c r="Y214" s="103"/>
      <c r="Z214" s="103"/>
      <c r="AA214" s="103"/>
    </row>
    <row r="215" spans="1:27" ht="63.75" x14ac:dyDescent="0.2">
      <c r="A215" s="110">
        <v>212</v>
      </c>
      <c r="B215" s="110" t="s">
        <v>54</v>
      </c>
      <c r="C215" s="111" t="str">
        <f ca="1">IFERROR(__xludf.DUMMYFUNCTION("""COMPUTED_VALUE"""),"МинЖКХ г.о. Можайск")</f>
        <v>МинЖКХ г.о. Можайск</v>
      </c>
      <c r="D215" s="111" t="str">
        <f ca="1">IFERROR(__xludf.DUMMYFUNCTION("""COMPUTED_VALUE"""),"Реконструкция   ВЗУ, расположенного по адресу: Московская область, Можайский район, Красный Балтиец  (в т.ч. ПИР)")</f>
        <v>Реконструкция   ВЗУ, расположенного по адресу: Московская область, Можайский район, Красный Балтиец  (в т.ч. ПИР)</v>
      </c>
      <c r="E215" s="111">
        <f ca="1">IFERROR(__xludf.DUMMYFUNCTION("""COMPUTED_VALUE"""),2020)</f>
        <v>2020</v>
      </c>
      <c r="F215" s="113">
        <f ca="1">IFERROR(__xludf.DUMMYFUNCTION("""COMPUTED_VALUE"""),30025)</f>
        <v>30025</v>
      </c>
      <c r="G215" s="113">
        <f ca="1">IFERROR(__xludf.DUMMYFUNCTION("""COMPUTED_VALUE"""),30025)</f>
        <v>30025</v>
      </c>
      <c r="H215" s="113">
        <f ca="1">IFERROR(__xludf.DUMMYFUNCTION("""COMPUTED_VALUE"""),0)</f>
        <v>0</v>
      </c>
      <c r="I215" s="113">
        <f ca="1">IFERROR(__xludf.DUMMYFUNCTION("""COMPUTED_VALUE"""),0)</f>
        <v>0</v>
      </c>
      <c r="J215" s="111">
        <f ca="1">IFERROR(__xludf.DUMMYFUNCTION("""COMPUTED_VALUE"""),0)</f>
        <v>0</v>
      </c>
      <c r="K215" s="113">
        <f ca="1">IFERROR(__xludf.DUMMYFUNCTION("""COMPUTED_VALUE"""),30025)</f>
        <v>30025</v>
      </c>
      <c r="L215" s="114">
        <f ca="1">IFERROR(__xludf.DUMMYFUNCTION("""COMPUTED_VALUE"""),0)</f>
        <v>0</v>
      </c>
      <c r="M215" s="111"/>
      <c r="N215" s="110" t="s">
        <v>553</v>
      </c>
      <c r="O215" s="111"/>
      <c r="P215" s="111"/>
      <c r="Q215" s="112"/>
      <c r="R215" s="103"/>
      <c r="S215" s="103"/>
      <c r="T215" s="103"/>
      <c r="U215" s="103"/>
      <c r="V215" s="103"/>
      <c r="W215" s="103"/>
      <c r="X215" s="103"/>
      <c r="Y215" s="103"/>
      <c r="Z215" s="103"/>
      <c r="AA215" s="103"/>
    </row>
    <row r="216" spans="1:27" ht="51" x14ac:dyDescent="0.2">
      <c r="A216" s="110">
        <v>213</v>
      </c>
      <c r="B216" s="110" t="s">
        <v>54</v>
      </c>
      <c r="C216" s="111" t="str">
        <f ca="1">IFERROR(__xludf.DUMMYFUNCTION("""COMPUTED_VALUE"""),"МинЖКХ г.о. Можайск")</f>
        <v>МинЖКХ г.о. Можайск</v>
      </c>
      <c r="D216" s="111" t="str">
        <f ca="1">IFERROR(__xludf.DUMMYFUNCTION("""COMPUTED_VALUE"""),"Реконструкция   ВЗУ, расположенного по адресу: Московская область, Можайский район, п.Колычево  (в т.ч. ПИР)")</f>
        <v>Реконструкция   ВЗУ, расположенного по адресу: Московская область, Можайский район, п.Колычево  (в т.ч. ПИР)</v>
      </c>
      <c r="E216" s="111">
        <f ca="1">IFERROR(__xludf.DUMMYFUNCTION("""COMPUTED_VALUE"""),2020)</f>
        <v>2020</v>
      </c>
      <c r="F216" s="113">
        <f ca="1">IFERROR(__xludf.DUMMYFUNCTION("""COMPUTED_VALUE"""),53524)</f>
        <v>53524</v>
      </c>
      <c r="G216" s="113">
        <f ca="1">IFERROR(__xludf.DUMMYFUNCTION("""COMPUTED_VALUE"""),53524)</f>
        <v>53524</v>
      </c>
      <c r="H216" s="113">
        <f ca="1">IFERROR(__xludf.DUMMYFUNCTION("""COMPUTED_VALUE"""),0)</f>
        <v>0</v>
      </c>
      <c r="I216" s="113">
        <f ca="1">IFERROR(__xludf.DUMMYFUNCTION("""COMPUTED_VALUE"""),0)</f>
        <v>0</v>
      </c>
      <c r="J216" s="111">
        <f ca="1">IFERROR(__xludf.DUMMYFUNCTION("""COMPUTED_VALUE"""),42100.43)</f>
        <v>42100.43</v>
      </c>
      <c r="K216" s="113">
        <f ca="1">IFERROR(__xludf.DUMMYFUNCTION("""COMPUTED_VALUE"""),11423.57)</f>
        <v>11423.57</v>
      </c>
      <c r="L216" s="114">
        <f ca="1">IFERROR(__xludf.DUMMYFUNCTION("""COMPUTED_VALUE"""),0.786571070921455)</f>
        <v>0.78657107092145495</v>
      </c>
      <c r="M216" s="111"/>
      <c r="N216" s="110" t="s">
        <v>553</v>
      </c>
      <c r="O216" s="111"/>
      <c r="P216" s="111"/>
      <c r="Q216" s="112"/>
      <c r="R216" s="103"/>
      <c r="S216" s="103"/>
      <c r="T216" s="103"/>
      <c r="U216" s="103"/>
      <c r="V216" s="103"/>
      <c r="W216" s="103"/>
      <c r="X216" s="103"/>
      <c r="Y216" s="103"/>
      <c r="Z216" s="103"/>
      <c r="AA216" s="103"/>
    </row>
    <row r="217" spans="1:27" ht="51" x14ac:dyDescent="0.2">
      <c r="A217" s="110">
        <v>214</v>
      </c>
      <c r="B217" s="110" t="s">
        <v>54</v>
      </c>
      <c r="C217" s="111" t="str">
        <f ca="1">IFERROR(__xludf.DUMMYFUNCTION("""COMPUTED_VALUE"""),"МинЖКХ г.о. Можайск")</f>
        <v>МинЖКХ г.о. Можайск</v>
      </c>
      <c r="D217" s="111" t="str">
        <f ca="1">IFERROR(__xludf.DUMMYFUNCTION("""COMPUTED_VALUE"""),"Реконструкция  ВЗУ,  расположенного по адресу: Московская область, Можайский район, п.Поречье  (в т.ч. ПИР)")</f>
        <v>Реконструкция  ВЗУ,  расположенного по адресу: Московская область, Можайский район, п.Поречье  (в т.ч. ПИР)</v>
      </c>
      <c r="E217" s="111">
        <f ca="1">IFERROR(__xludf.DUMMYFUNCTION("""COMPUTED_VALUE"""),2020)</f>
        <v>2020</v>
      </c>
      <c r="F217" s="113">
        <f ca="1">IFERROR(__xludf.DUMMYFUNCTION("""COMPUTED_VALUE"""),21260)</f>
        <v>21260</v>
      </c>
      <c r="G217" s="113">
        <f ca="1">IFERROR(__xludf.DUMMYFUNCTION("""COMPUTED_VALUE"""),21260)</f>
        <v>21260</v>
      </c>
      <c r="H217" s="113">
        <f ca="1">IFERROR(__xludf.DUMMYFUNCTION("""COMPUTED_VALUE"""),0)</f>
        <v>0</v>
      </c>
      <c r="I217" s="113">
        <f ca="1">IFERROR(__xludf.DUMMYFUNCTION("""COMPUTED_VALUE"""),0)</f>
        <v>0</v>
      </c>
      <c r="J217" s="111">
        <f ca="1">IFERROR(__xludf.DUMMYFUNCTION("""COMPUTED_VALUE"""),20700)</f>
        <v>20700</v>
      </c>
      <c r="K217" s="113">
        <f ca="1">IFERROR(__xludf.DUMMYFUNCTION("""COMPUTED_VALUE"""),560)</f>
        <v>560</v>
      </c>
      <c r="L217" s="114">
        <f ca="1">IFERROR(__xludf.DUMMYFUNCTION("""COMPUTED_VALUE"""),0.973659454374412)</f>
        <v>0.97365945437441204</v>
      </c>
      <c r="M217" s="111"/>
      <c r="N217" s="110" t="s">
        <v>553</v>
      </c>
      <c r="O217" s="111"/>
      <c r="P217" s="111"/>
      <c r="Q217" s="112"/>
      <c r="R217" s="103"/>
      <c r="S217" s="103"/>
      <c r="T217" s="103"/>
      <c r="U217" s="103"/>
      <c r="V217" s="103"/>
      <c r="W217" s="103"/>
      <c r="X217" s="103"/>
      <c r="Y217" s="103"/>
      <c r="Z217" s="103"/>
      <c r="AA217" s="103"/>
    </row>
    <row r="218" spans="1:27" ht="51" x14ac:dyDescent="0.2">
      <c r="A218" s="110">
        <v>215</v>
      </c>
      <c r="B218" s="110" t="s">
        <v>54</v>
      </c>
      <c r="C218" s="111" t="str">
        <f ca="1">IFERROR(__xludf.DUMMYFUNCTION("""COMPUTED_VALUE"""),"г.о. Можайск")</f>
        <v>г.о. Можайск</v>
      </c>
      <c r="D218" s="111" t="str">
        <f ca="1">IFERROR(__xludf.DUMMYFUNCTION("""COMPUTED_VALUE"""),"Капитальный ремонт   ВЗУ расположенного по адресу: Московская область, Можайский г.о., п. Бородинское поле")</f>
        <v>Капитальный ремонт   ВЗУ расположенного по адресу: Московская область, Можайский г.о., п. Бородинское поле</v>
      </c>
      <c r="E218" s="111" t="str">
        <f ca="1">IFERROR(__xludf.DUMMYFUNCTION("""COMPUTED_VALUE"""),"Н/Л")</f>
        <v>Н/Л</v>
      </c>
      <c r="F218" s="113">
        <f ca="1">IFERROR(__xludf.DUMMYFUNCTION("""COMPUTED_VALUE"""),0)</f>
        <v>0</v>
      </c>
      <c r="G218" s="113">
        <f ca="1">IFERROR(__xludf.DUMMYFUNCTION("""COMPUTED_VALUE"""),0)</f>
        <v>0</v>
      </c>
      <c r="H218" s="113">
        <f ca="1">IFERROR(__xludf.DUMMYFUNCTION("""COMPUTED_VALUE"""),0)</f>
        <v>0</v>
      </c>
      <c r="I218" s="113">
        <f ca="1">IFERROR(__xludf.DUMMYFUNCTION("""COMPUTED_VALUE"""),0)</f>
        <v>0</v>
      </c>
      <c r="J218" s="111">
        <f ca="1">IFERROR(__xludf.DUMMYFUNCTION("""COMPUTED_VALUE"""),0)</f>
        <v>0</v>
      </c>
      <c r="K218" s="113">
        <f ca="1">IFERROR(__xludf.DUMMYFUNCTION("""COMPUTED_VALUE"""),0)</f>
        <v>0</v>
      </c>
      <c r="L218" s="114" t="str">
        <f ca="1">IFERROR(__xludf.DUMMYFUNCTION("""COMPUTED_VALUE"""),"#DIV/0!")</f>
        <v>#DIV/0!</v>
      </c>
      <c r="M218" s="111"/>
      <c r="N218" s="111"/>
      <c r="O218" s="111"/>
      <c r="P218" s="111"/>
      <c r="Q218" s="112"/>
      <c r="R218" s="103"/>
      <c r="S218" s="103"/>
      <c r="T218" s="103"/>
      <c r="U218" s="103"/>
      <c r="V218" s="103"/>
      <c r="W218" s="103"/>
      <c r="X218" s="103"/>
      <c r="Y218" s="103"/>
      <c r="Z218" s="103"/>
      <c r="AA218" s="103"/>
    </row>
    <row r="219" spans="1:27" ht="63.75" x14ac:dyDescent="0.2">
      <c r="A219" s="110">
        <v>216</v>
      </c>
      <c r="B219" s="110" t="s">
        <v>54</v>
      </c>
      <c r="C219" s="111" t="str">
        <f ca="1">IFERROR(__xludf.DUMMYFUNCTION("""COMPUTED_VALUE"""),"г.о. Лыткарино")</f>
        <v>г.о. Лыткарино</v>
      </c>
      <c r="D219" s="111" t="str">
        <f ca="1">IFERROR(__xludf.DUMMYFUNCTION("""COMPUTED_VALUE"""),"Строительство городских канализационных очистных сооружений в г. Лыткарино производительностью 30 000 м куб. в сутки")</f>
        <v>Строительство городских канализационных очистных сооружений в г. Лыткарино производительностью 30 000 м куб. в сутки</v>
      </c>
      <c r="E219" s="111" t="str">
        <f ca="1">IFERROR(__xludf.DUMMYFUNCTION("""COMPUTED_VALUE"""),"2020-2022")</f>
        <v>2020-2022</v>
      </c>
      <c r="F219" s="113">
        <f ca="1">IFERROR(__xludf.DUMMYFUNCTION("""COMPUTED_VALUE"""),860940.53)</f>
        <v>860940.53</v>
      </c>
      <c r="G219" s="113">
        <f ca="1">IFERROR(__xludf.DUMMYFUNCTION("""COMPUTED_VALUE"""),215235.13)</f>
        <v>215235.13</v>
      </c>
      <c r="H219" s="113">
        <f ca="1">IFERROR(__xludf.DUMMYFUNCTION("""COMPUTED_VALUE"""),645705.4)</f>
        <v>645705.4</v>
      </c>
      <c r="I219" s="113">
        <f ca="1">IFERROR(__xludf.DUMMYFUNCTION("""COMPUTED_VALUE"""),0)</f>
        <v>0</v>
      </c>
      <c r="J219" s="113">
        <f ca="1">IFERROR(__xludf.DUMMYFUNCTION("""COMPUTED_VALUE"""),860870.65)</f>
        <v>860870.65</v>
      </c>
      <c r="K219" s="113">
        <f ca="1">IFERROR(__xludf.DUMMYFUNCTION("""COMPUTED_VALUE"""),69.8800000000337)</f>
        <v>69.880000000033704</v>
      </c>
      <c r="L219" s="114">
        <f ca="1">IFERROR(__xludf.DUMMYFUNCTION("""COMPUTED_VALUE"""),0.999918832953537)</f>
        <v>0.99991883295353701</v>
      </c>
      <c r="M219" s="111" t="str">
        <f ca="1">IFERROR(__xludf.DUMMYFUNCTION("""COMPUTED_VALUE"""),"Проведён аукцион. Плановая дата заключения контракта 30.11.2020. Выплата аванса до 10.12.2020")</f>
        <v>Проведён аукцион. Плановая дата заключения контракта 30.11.2020. Выплата аванса до 10.12.2020</v>
      </c>
      <c r="N219" s="110" t="s">
        <v>556</v>
      </c>
      <c r="O219" s="111"/>
      <c r="P219" s="111"/>
      <c r="Q219" s="112"/>
      <c r="R219" s="103"/>
      <c r="S219" s="103"/>
      <c r="T219" s="103"/>
      <c r="U219" s="103"/>
      <c r="V219" s="103"/>
      <c r="W219" s="103"/>
      <c r="X219" s="103"/>
      <c r="Y219" s="103"/>
      <c r="Z219" s="103"/>
      <c r="AA219" s="103"/>
    </row>
    <row r="220" spans="1:27" ht="89.25" x14ac:dyDescent="0.2">
      <c r="A220" s="110">
        <v>217</v>
      </c>
      <c r="B220" s="110" t="s">
        <v>54</v>
      </c>
      <c r="C220" s="111" t="str">
        <f ca="1">IFERROR(__xludf.DUMMYFUNCTION("""COMPUTED_VALUE"""),"г.о. Подольск")</f>
        <v>г.о. Подольск</v>
      </c>
      <c r="D220" s="111" t="str">
        <f ca="1">IFERROR(__xludf.DUMMYFUNCTION("""COMPUTED_VALUE"""),"Реконструкция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f>
        <v>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v>
      </c>
      <c r="E220" s="111" t="str">
        <f ca="1">IFERROR(__xludf.DUMMYFUNCTION("""COMPUTED_VALUE"""),"2019-2020")</f>
        <v>2019-2020</v>
      </c>
      <c r="F220" s="113">
        <f ca="1">IFERROR(__xludf.DUMMYFUNCTION("""COMPUTED_VALUE"""),762583.05)</f>
        <v>762583.05</v>
      </c>
      <c r="G220" s="113">
        <f ca="1">IFERROR(__xludf.DUMMYFUNCTION("""COMPUTED_VALUE"""),0)</f>
        <v>0</v>
      </c>
      <c r="H220" s="113">
        <f ca="1">IFERROR(__xludf.DUMMYFUNCTION("""COMPUTED_VALUE"""),571937.29)</f>
        <v>571937.29</v>
      </c>
      <c r="I220" s="113">
        <f ca="1">IFERROR(__xludf.DUMMYFUNCTION("""COMPUTED_VALUE"""),190645.76)</f>
        <v>190645.76000000001</v>
      </c>
      <c r="J220" s="113">
        <f ca="1">IFERROR(__xludf.DUMMYFUNCTION("""COMPUTED_VALUE"""),750089.85)</f>
        <v>750089.85</v>
      </c>
      <c r="K220" s="113">
        <f ca="1">IFERROR(__xludf.DUMMYFUNCTION("""COMPUTED_VALUE"""),12493.2)</f>
        <v>12493.2</v>
      </c>
      <c r="L220" s="114">
        <f ca="1">IFERROR(__xludf.DUMMYFUNCTION("""COMPUTED_VALUE"""),0.983617259785671)</f>
        <v>0.98361725978567105</v>
      </c>
      <c r="M220" s="111"/>
      <c r="N220" s="110" t="s">
        <v>560</v>
      </c>
      <c r="O220" s="111"/>
      <c r="P220" s="111"/>
      <c r="Q220" s="112"/>
      <c r="R220" s="103"/>
      <c r="S220" s="103"/>
      <c r="T220" s="103"/>
      <c r="U220" s="103"/>
      <c r="V220" s="103"/>
      <c r="W220" s="103"/>
      <c r="X220" s="103"/>
      <c r="Y220" s="103"/>
      <c r="Z220" s="103"/>
      <c r="AA220" s="103"/>
    </row>
    <row r="221" spans="1:27" ht="102" x14ac:dyDescent="0.2">
      <c r="A221" s="110">
        <v>218</v>
      </c>
      <c r="B221" s="110" t="s">
        <v>54</v>
      </c>
      <c r="C221" s="111" t="str">
        <f ca="1">IFERROR(__xludf.DUMMYFUNCTION("""COMPUTED_VALUE"""),"г.о. Подольск")</f>
        <v>г.о. Подольск</v>
      </c>
      <c r="D221" s="111" t="str">
        <f ca="1">IFERROR(__xludf.DUMMYFUNCTION("""COMPUTED_VALUE"""),"Канализационный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f>
        <v>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v>
      </c>
      <c r="E221" s="111" t="str">
        <f ca="1">IFERROR(__xludf.DUMMYFUNCTION("""COMPUTED_VALUE"""),"2019-2020")</f>
        <v>2019-2020</v>
      </c>
      <c r="F221" s="113">
        <f ca="1">IFERROR(__xludf.DUMMYFUNCTION("""COMPUTED_VALUE"""),371650)</f>
        <v>371650</v>
      </c>
      <c r="G221" s="113">
        <f ca="1">IFERROR(__xludf.DUMMYFUNCTION("""COMPUTED_VALUE"""),0)</f>
        <v>0</v>
      </c>
      <c r="H221" s="113">
        <f ca="1">IFERROR(__xludf.DUMMYFUNCTION("""COMPUTED_VALUE"""),278737.5)</f>
        <v>278737.5</v>
      </c>
      <c r="I221" s="113">
        <f ca="1">IFERROR(__xludf.DUMMYFUNCTION("""COMPUTED_VALUE"""),92912.5)</f>
        <v>92912.5</v>
      </c>
      <c r="J221" s="113">
        <f ca="1">IFERROR(__xludf.DUMMYFUNCTION("""COMPUTED_VALUE"""),346385.04)</f>
        <v>346385.04</v>
      </c>
      <c r="K221" s="113">
        <f ca="1">IFERROR(__xludf.DUMMYFUNCTION("""COMPUTED_VALUE"""),25264.96)</f>
        <v>25264.959999999999</v>
      </c>
      <c r="L221" s="114">
        <f ca="1">IFERROR(__xludf.DUMMYFUNCTION("""COMPUTED_VALUE"""),0.932019480694201)</f>
        <v>0.93201948069420104</v>
      </c>
      <c r="M221" s="111"/>
      <c r="N221" s="110" t="s">
        <v>560</v>
      </c>
      <c r="O221" s="111"/>
      <c r="P221" s="111"/>
      <c r="Q221" s="112"/>
      <c r="R221" s="103"/>
      <c r="S221" s="103"/>
      <c r="T221" s="103"/>
      <c r="U221" s="103"/>
      <c r="V221" s="103"/>
      <c r="W221" s="103"/>
      <c r="X221" s="103"/>
      <c r="Y221" s="103"/>
      <c r="Z221" s="103"/>
      <c r="AA221" s="103"/>
    </row>
    <row r="222" spans="1:27" ht="89.25" x14ac:dyDescent="0.2">
      <c r="A222" s="110">
        <v>219</v>
      </c>
      <c r="B222" s="110" t="s">
        <v>54</v>
      </c>
      <c r="C222" s="111" t="str">
        <f ca="1">IFERROR(__xludf.DUMMYFUNCTION("""COMPUTED_VALUE"""),"г.о. Шатура")</f>
        <v>г.о. Шатура</v>
      </c>
      <c r="D222" s="111" t="str">
        <f ca="1">IFERROR(__xludf.DUMMYFUNCTION("""COMPUTED_VALUE"""),"Строительство очистных сооружений г. Шатура ул. Малькина Грива ")</f>
        <v xml:space="preserve">Строительство очистных сооружений г. Шатура ул. Малькина Грива </v>
      </c>
      <c r="E222" s="111" t="str">
        <f ca="1">IFERROR(__xludf.DUMMYFUNCTION("""COMPUTED_VALUE"""),"2020-2021")</f>
        <v>2020-2021</v>
      </c>
      <c r="F222" s="113">
        <f ca="1">IFERROR(__xludf.DUMMYFUNCTION("""COMPUTED_VALUE"""),483097.28)</f>
        <v>483097.28</v>
      </c>
      <c r="G222" s="113">
        <f ca="1">IFERROR(__xludf.DUMMYFUNCTION("""COMPUTED_VALUE"""),120774.38)</f>
        <v>120774.38</v>
      </c>
      <c r="H222" s="113">
        <f ca="1">IFERROR(__xludf.DUMMYFUNCTION("""COMPUTED_VALUE"""),362322.9)</f>
        <v>362322.9</v>
      </c>
      <c r="I222" s="113">
        <f ca="1">IFERROR(__xludf.DUMMYFUNCTION("""COMPUTED_VALUE"""),0)</f>
        <v>0</v>
      </c>
      <c r="J222" s="113">
        <f ca="1">IFERROR(__xludf.DUMMYFUNCTION("""COMPUTED_VALUE"""),482621.48)</f>
        <v>482621.48</v>
      </c>
      <c r="K222" s="113">
        <f ca="1">IFERROR(__xludf.DUMMYFUNCTION("""COMPUTED_VALUE"""),475.800000000046)</f>
        <v>475.800000000046</v>
      </c>
      <c r="L222" s="114">
        <f ca="1">IFERROR(__xludf.DUMMYFUNCTION("""COMPUTED_VALUE"""),0.999015105197859)</f>
        <v>0.99901510519785897</v>
      </c>
      <c r="M222" s="111" t="str">
        <f ca="1">IFERROR(__xludf.DUMMYFUNCTION("""COMPUTED_VALUE"""),"Перенос средств 2020 в размере 339 653,89 на ЩМОС в связи с риском неосвоения. Видео камеры не установлены. 18.11.2020 загрузили документацию в ИСОГД. 20.11.2020 получены замечания. ")</f>
        <v xml:space="preserve">Перенос средств 2020 в размере 339 653,89 на ЩМОС в связи с риском неосвоения. Видео камеры не установлены. 18.11.2020 загрузили документацию в ИСОГД. 20.11.2020 получены замечания. </v>
      </c>
      <c r="N222" s="110" t="s">
        <v>561</v>
      </c>
      <c r="O222" s="111"/>
      <c r="P222" s="111"/>
      <c r="Q222" s="112"/>
      <c r="R222" s="103"/>
      <c r="S222" s="103"/>
      <c r="T222" s="103"/>
      <c r="U222" s="103"/>
      <c r="V222" s="103"/>
      <c r="W222" s="103"/>
      <c r="X222" s="103"/>
      <c r="Y222" s="103"/>
      <c r="Z222" s="103"/>
      <c r="AA222" s="103"/>
    </row>
    <row r="223" spans="1:27" ht="38.25" x14ac:dyDescent="0.2">
      <c r="A223" s="110">
        <v>220</v>
      </c>
      <c r="B223" s="110" t="s">
        <v>54</v>
      </c>
      <c r="C223" s="111" t="str">
        <f ca="1">IFERROR(__xludf.DUMMYFUNCTION("""COMPUTED_VALUE"""),"КСМО")</f>
        <v>КСМО</v>
      </c>
      <c r="D223" s="111" t="str">
        <f ca="1">IFERROR(__xludf.DUMMYFUNCTION("""COMPUTED_VALUE"""),"Реконструкция Щелковских межрайонных очистных сооружений ")</f>
        <v xml:space="preserve">Реконструкция Щелковских межрайонных очистных сооружений </v>
      </c>
      <c r="E223" s="111" t="str">
        <f ca="1">IFERROR(__xludf.DUMMYFUNCTION("""COMPUTED_VALUE"""),"2019-2024")</f>
        <v>2019-2024</v>
      </c>
      <c r="F223" s="113">
        <f ca="1">IFERROR(__xludf.DUMMYFUNCTION("""COMPUTED_VALUE"""),3234474.67)</f>
        <v>3234474.67</v>
      </c>
      <c r="G223" s="113">
        <f ca="1">IFERROR(__xludf.DUMMYFUNCTION("""COMPUTED_VALUE"""),533862)</f>
        <v>533862</v>
      </c>
      <c r="H223" s="113">
        <f ca="1">IFERROR(__xludf.DUMMYFUNCTION("""COMPUTED_VALUE"""),2167296.5)</f>
        <v>2167296.5</v>
      </c>
      <c r="I223" s="113">
        <f ca="1">IFERROR(__xludf.DUMMYFUNCTION("""COMPUTED_VALUE"""),533316.17)</f>
        <v>533316.17000000004</v>
      </c>
      <c r="J223" s="113">
        <f ca="1">IFERROR(__xludf.DUMMYFUNCTION("""COMPUTED_VALUE"""),3234474.67)</f>
        <v>3234474.67</v>
      </c>
      <c r="K223" s="113">
        <f ca="1">IFERROR(__xludf.DUMMYFUNCTION("""COMPUTED_VALUE"""),0)</f>
        <v>0</v>
      </c>
      <c r="L223" s="114">
        <f ca="1">IFERROR(__xludf.DUMMYFUNCTION("""COMPUTED_VALUE"""),1)</f>
        <v>1</v>
      </c>
      <c r="M223" s="111"/>
      <c r="N223" s="110" t="s">
        <v>560</v>
      </c>
      <c r="O223" s="111"/>
      <c r="P223" s="111"/>
      <c r="Q223" s="112"/>
      <c r="R223" s="103"/>
      <c r="S223" s="103"/>
      <c r="T223" s="103"/>
      <c r="U223" s="103"/>
      <c r="V223" s="103"/>
      <c r="W223" s="103"/>
      <c r="X223" s="103"/>
      <c r="Y223" s="103"/>
      <c r="Z223" s="103"/>
      <c r="AA223" s="103"/>
    </row>
    <row r="224" spans="1:27" ht="76.5" x14ac:dyDescent="0.2">
      <c r="A224" s="110">
        <v>221</v>
      </c>
      <c r="B224" s="110" t="s">
        <v>54</v>
      </c>
      <c r="C224" s="111" t="str">
        <f ca="1">IFERROR(__xludf.DUMMYFUNCTION("""COMPUTED_VALUE"""),"г.о. Воскресенск")</f>
        <v>г.о. Воскресенск</v>
      </c>
      <c r="D224" s="111" t="str">
        <f ca="1">IFERROR(__xludf.DUMMYFUNCTION("""COMPUTED_VALUE"""),"Реконструкция очистных сооружений биологической очистки, мощностью 500 м. куб. в сутки. дер. Степанщино, Воскресенский м.р. (в том числе ПИР)          ")</f>
        <v xml:space="preserve">Реконструкция очистных сооружений биологической очистки, мощностью 500 м. куб. в сутки. дер. Степанщино, Воскресенский м.р. (в том числе ПИР)          </v>
      </c>
      <c r="E224" s="111" t="str">
        <f ca="1">IFERROR(__xludf.DUMMYFUNCTION("""COMPUTED_VALUE"""),"2022-2023")</f>
        <v>2022-2023</v>
      </c>
      <c r="F224" s="113">
        <f ca="1">IFERROR(__xludf.DUMMYFUNCTION("""COMPUTED_VALUE"""),0)</f>
        <v>0</v>
      </c>
      <c r="G224" s="113">
        <f ca="1">IFERROR(__xludf.DUMMYFUNCTION("""COMPUTED_VALUE"""),0)</f>
        <v>0</v>
      </c>
      <c r="H224" s="113">
        <f ca="1">IFERROR(__xludf.DUMMYFUNCTION("""COMPUTED_VALUE"""),0)</f>
        <v>0</v>
      </c>
      <c r="I224" s="113">
        <f ca="1">IFERROR(__xludf.DUMMYFUNCTION("""COMPUTED_VALUE"""),0)</f>
        <v>0</v>
      </c>
      <c r="J224" s="111">
        <f ca="1">IFERROR(__xludf.DUMMYFUNCTION("""COMPUTED_VALUE"""),0)</f>
        <v>0</v>
      </c>
      <c r="K224" s="113">
        <f ca="1">IFERROR(__xludf.DUMMYFUNCTION("""COMPUTED_VALUE"""),0)</f>
        <v>0</v>
      </c>
      <c r="L224" s="114" t="str">
        <f ca="1">IFERROR(__xludf.DUMMYFUNCTION("""COMPUTED_VALUE"""),"#DIV/0!")</f>
        <v>#DIV/0!</v>
      </c>
      <c r="M224" s="111"/>
      <c r="N224" s="111"/>
      <c r="O224" s="111"/>
      <c r="P224" s="111"/>
      <c r="Q224" s="112"/>
      <c r="R224" s="103"/>
      <c r="S224" s="103"/>
      <c r="T224" s="103"/>
      <c r="U224" s="103"/>
      <c r="V224" s="103"/>
      <c r="W224" s="103"/>
      <c r="X224" s="103"/>
      <c r="Y224" s="103"/>
      <c r="Z224" s="103"/>
      <c r="AA224" s="103"/>
    </row>
    <row r="225" spans="1:27" ht="38.25" x14ac:dyDescent="0.2">
      <c r="A225" s="110">
        <v>222</v>
      </c>
      <c r="B225" s="110" t="s">
        <v>54</v>
      </c>
      <c r="C225" s="111" t="str">
        <f ca="1">IFERROR(__xludf.DUMMYFUNCTION("""COMPUTED_VALUE"""),"г.о. Коломенский")</f>
        <v>г.о. Коломенский</v>
      </c>
      <c r="D225" s="111" t="str">
        <f ca="1">IFERROR(__xludf.DUMMYFUNCTION("""COMPUTED_VALUE"""),"Реконструкция очистных сооружений, с. Непецино (в том числе ПИР) г.о. Коломенский")</f>
        <v>Реконструкция очистных сооружений, с. Непецино (в том числе ПИР) г.о. Коломенский</v>
      </c>
      <c r="E225" s="111" t="str">
        <f ca="1">IFERROR(__xludf.DUMMYFUNCTION("""COMPUTED_VALUE"""),"2020-2022")</f>
        <v>2020-2022</v>
      </c>
      <c r="F225" s="113">
        <f ca="1">IFERROR(__xludf.DUMMYFUNCTION("""COMPUTED_VALUE"""),7365)</f>
        <v>7365</v>
      </c>
      <c r="G225" s="113">
        <f ca="1">IFERROR(__xludf.DUMMYFUNCTION("""COMPUTED_VALUE"""),7365)</f>
        <v>7365</v>
      </c>
      <c r="H225" s="113">
        <f ca="1">IFERROR(__xludf.DUMMYFUNCTION("""COMPUTED_VALUE"""),0)</f>
        <v>0</v>
      </c>
      <c r="I225" s="113">
        <f ca="1">IFERROR(__xludf.DUMMYFUNCTION("""COMPUTED_VALUE"""),0)</f>
        <v>0</v>
      </c>
      <c r="J225" s="111">
        <f ca="1">IFERROR(__xludf.DUMMYFUNCTION("""COMPUTED_VALUE"""),7365)</f>
        <v>7365</v>
      </c>
      <c r="K225" s="113">
        <f ca="1">IFERROR(__xludf.DUMMYFUNCTION("""COMPUTED_VALUE"""),0)</f>
        <v>0</v>
      </c>
      <c r="L225" s="114">
        <f ca="1">IFERROR(__xludf.DUMMYFUNCTION("""COMPUTED_VALUE"""),1)</f>
        <v>1</v>
      </c>
      <c r="M225" s="111"/>
      <c r="N225" s="110" t="s">
        <v>562</v>
      </c>
      <c r="O225" s="111"/>
      <c r="P225" s="111"/>
      <c r="Q225" s="120"/>
      <c r="R225" s="103"/>
      <c r="S225" s="103"/>
      <c r="T225" s="103"/>
      <c r="U225" s="103"/>
      <c r="V225" s="103"/>
      <c r="W225" s="103"/>
      <c r="X225" s="103"/>
      <c r="Y225" s="103"/>
      <c r="Z225" s="103"/>
      <c r="AA225" s="103"/>
    </row>
    <row r="226" spans="1:27" ht="51" x14ac:dyDescent="0.2">
      <c r="A226" s="110">
        <v>223</v>
      </c>
      <c r="B226" s="110" t="s">
        <v>54</v>
      </c>
      <c r="C226" s="111" t="str">
        <f ca="1">IFERROR(__xludf.DUMMYFUNCTION("""COMPUTED_VALUE"""),"г.о. Коломенский")</f>
        <v>г.о. Коломенский</v>
      </c>
      <c r="D226" s="111" t="str">
        <f ca="1">IFERROR(__xludf.DUMMYFUNCTION("""COMPUTED_VALUE"""),"Реконструкция очистных сооружений близ пос. Сергиевский Коломенского городского округа (ПИР) ")</f>
        <v xml:space="preserve">Реконструкция очистных сооружений близ пос. Сергиевский Коломенского городского округа (ПИР) </v>
      </c>
      <c r="E226" s="111">
        <f ca="1">IFERROR(__xludf.DUMMYFUNCTION("""COMPUTED_VALUE"""),2020)</f>
        <v>2020</v>
      </c>
      <c r="F226" s="113">
        <f ca="1">IFERROR(__xludf.DUMMYFUNCTION("""COMPUTED_VALUE"""),52778)</f>
        <v>52778</v>
      </c>
      <c r="G226" s="113">
        <f ca="1">IFERROR(__xludf.DUMMYFUNCTION("""COMPUTED_VALUE"""),0)</f>
        <v>0</v>
      </c>
      <c r="H226" s="113">
        <f ca="1">IFERROR(__xludf.DUMMYFUNCTION("""COMPUTED_VALUE"""),0)</f>
        <v>0</v>
      </c>
      <c r="I226" s="113">
        <f ca="1">IFERROR(__xludf.DUMMYFUNCTION("""COMPUTED_VALUE"""),52778)</f>
        <v>52778</v>
      </c>
      <c r="J226" s="111">
        <f ca="1">IFERROR(__xludf.DUMMYFUNCTION("""COMPUTED_VALUE"""),52778)</f>
        <v>52778</v>
      </c>
      <c r="K226" s="113">
        <f ca="1">IFERROR(__xludf.DUMMYFUNCTION("""COMPUTED_VALUE"""),0)</f>
        <v>0</v>
      </c>
      <c r="L226" s="114">
        <f ca="1">IFERROR(__xludf.DUMMYFUNCTION("""COMPUTED_VALUE"""),1)</f>
        <v>1</v>
      </c>
      <c r="M226" s="111"/>
      <c r="N226" s="110" t="s">
        <v>563</v>
      </c>
      <c r="O226" s="111"/>
      <c r="P226" s="111"/>
      <c r="Q226" s="120"/>
      <c r="R226" s="103"/>
      <c r="S226" s="103"/>
      <c r="T226" s="103"/>
      <c r="U226" s="103"/>
      <c r="V226" s="103"/>
      <c r="W226" s="103"/>
      <c r="X226" s="103"/>
      <c r="Y226" s="103"/>
      <c r="Z226" s="103"/>
      <c r="AA226" s="103"/>
    </row>
    <row r="227" spans="1:27" ht="76.5" x14ac:dyDescent="0.2">
      <c r="A227" s="110">
        <v>224</v>
      </c>
      <c r="B227" s="110" t="s">
        <v>54</v>
      </c>
      <c r="C227" s="111" t="str">
        <f ca="1">IFERROR(__xludf.DUMMYFUNCTION("""COMPUTED_VALUE"""),"г.о. Серпухов")</f>
        <v>г.о. Серпухов</v>
      </c>
      <c r="D227" s="111" t="str">
        <f ca="1">IFERROR(__xludf.DUMMYFUNCTION("""COMPUTED_VALUE"""),"Строительство блочно-модульной станции очистки хозяйственно-бытовых сточных вод, Серпуховский м.р., с. Райсеменовское ( в том числе ПИР) ")</f>
        <v xml:space="preserve">Строительство блочно-модульной станции очистки хозяйственно-бытовых сточных вод, Серпуховский м.р., с. Райсеменовское ( в том числе ПИР) </v>
      </c>
      <c r="E227" s="111" t="str">
        <f ca="1">IFERROR(__xludf.DUMMYFUNCTION("""COMPUTED_VALUE"""),"2022-2024")</f>
        <v>2022-2024</v>
      </c>
      <c r="F227" s="113">
        <f ca="1">IFERROR(__xludf.DUMMYFUNCTION("""COMPUTED_VALUE"""),0)</f>
        <v>0</v>
      </c>
      <c r="G227" s="113">
        <f ca="1">IFERROR(__xludf.DUMMYFUNCTION("""COMPUTED_VALUE"""),0)</f>
        <v>0</v>
      </c>
      <c r="H227" s="113">
        <f ca="1">IFERROR(__xludf.DUMMYFUNCTION("""COMPUTED_VALUE"""),0)</f>
        <v>0</v>
      </c>
      <c r="I227" s="113">
        <f ca="1">IFERROR(__xludf.DUMMYFUNCTION("""COMPUTED_VALUE"""),0)</f>
        <v>0</v>
      </c>
      <c r="J227" s="111">
        <f ca="1">IFERROR(__xludf.DUMMYFUNCTION("""COMPUTED_VALUE"""),0)</f>
        <v>0</v>
      </c>
      <c r="K227" s="113">
        <f ca="1">IFERROR(__xludf.DUMMYFUNCTION("""COMPUTED_VALUE"""),0)</f>
        <v>0</v>
      </c>
      <c r="L227" s="114" t="str">
        <f ca="1">IFERROR(__xludf.DUMMYFUNCTION("""COMPUTED_VALUE"""),"#DIV/0!")</f>
        <v>#DIV/0!</v>
      </c>
      <c r="M227" s="111"/>
      <c r="N227" s="111"/>
      <c r="O227" s="111"/>
      <c r="P227" s="111"/>
      <c r="Q227" s="112"/>
      <c r="R227" s="103"/>
      <c r="S227" s="103"/>
      <c r="T227" s="103"/>
      <c r="U227" s="103"/>
      <c r="V227" s="103"/>
      <c r="W227" s="103"/>
      <c r="X227" s="103"/>
      <c r="Y227" s="103"/>
      <c r="Z227" s="103"/>
      <c r="AA227" s="103"/>
    </row>
    <row r="228" spans="1:27" ht="114.75" x14ac:dyDescent="0.2">
      <c r="A228" s="110">
        <v>225</v>
      </c>
      <c r="B228" s="116" t="s">
        <v>54</v>
      </c>
      <c r="C228" s="117" t="str">
        <f ca="1">IFERROR(__xludf.DUMMYFUNCTION("""COMPUTED_VALUE"""),"г.о. Одинцово")</f>
        <v>г.о. Одинцово</v>
      </c>
      <c r="D228" s="117" t="str">
        <f ca="1">IFERROR(__xludf.DUMMYFUNCTION("""COMPUTED_VALUE"""),"Реконструкция очистных сооружений пос. Горки 10 Одинцовского г.о. ")</f>
        <v xml:space="preserve">Реконструкция очистных сооружений пос. Горки 10 Одинцовского г.о. </v>
      </c>
      <c r="E228" s="117" t="str">
        <f ca="1">IFERROR(__xludf.DUMMYFUNCTION("""COMPUTED_VALUE"""),"2020-2021")</f>
        <v>2020-2021</v>
      </c>
      <c r="F228" s="118">
        <f ca="1">IFERROR(__xludf.DUMMYFUNCTION("""COMPUTED_VALUE"""),233190.979999999)</f>
        <v>233190.97999999899</v>
      </c>
      <c r="G228" s="118">
        <f ca="1">IFERROR(__xludf.DUMMYFUNCTION("""COMPUTED_VALUE"""),94968.98)</f>
        <v>94968.98</v>
      </c>
      <c r="H228" s="118">
        <f ca="1">IFERROR(__xludf.DUMMYFUNCTION("""COMPUTED_VALUE"""),0)</f>
        <v>0</v>
      </c>
      <c r="I228" s="118">
        <f ca="1">IFERROR(__xludf.DUMMYFUNCTION("""COMPUTED_VALUE"""),138222)</f>
        <v>138222</v>
      </c>
      <c r="J228" s="117">
        <f ca="1">IFERROR(__xludf.DUMMYFUNCTION("""COMPUTED_VALUE"""),197117.289999999)</f>
        <v>197117.28999999899</v>
      </c>
      <c r="K228" s="118">
        <f ca="1">IFERROR(__xludf.DUMMYFUNCTION("""COMPUTED_VALUE"""),36073.69)</f>
        <v>36073.69</v>
      </c>
      <c r="L228" s="119">
        <f ca="1">IFERROR(__xludf.DUMMYFUNCTION("""COMPUTED_VALUE"""),0.845304093666058)</f>
        <v>0.84530409366605797</v>
      </c>
      <c r="M228" s="117" t="str">
        <f ca="1">IFERROR(__xludf.DUMMYFUNCTION("""COMPUTED_VALUE"""),"Риск неосвоения оставшейся части лимитов. Документация направлена в МОГЭ на корректировку. Увеличение стоимости мероприятия до 650 млн. руб. Админстрацией направлено письмо о переносе средств на 2021 г. в размере 140 млн. руб")</f>
        <v>Риск неосвоения оставшейся части лимитов. Документация направлена в МОГЭ на корректировку. Увеличение стоимости мероприятия до 650 млн. руб. Админстрацией направлено письмо о переносе средств на 2021 г. в размере 140 млн. руб</v>
      </c>
      <c r="N228" s="110" t="s">
        <v>564</v>
      </c>
      <c r="O228" s="111"/>
      <c r="P228" s="111"/>
      <c r="Q228" s="115">
        <v>44154</v>
      </c>
      <c r="R228" s="103"/>
      <c r="S228" s="103"/>
      <c r="T228" s="103"/>
      <c r="U228" s="103"/>
      <c r="V228" s="103"/>
      <c r="W228" s="103"/>
      <c r="X228" s="103"/>
      <c r="Y228" s="103"/>
      <c r="Z228" s="103"/>
      <c r="AA228" s="103"/>
    </row>
    <row r="229" spans="1:27" ht="89.25" x14ac:dyDescent="0.2">
      <c r="A229" s="110">
        <v>226</v>
      </c>
      <c r="B229" s="116" t="s">
        <v>54</v>
      </c>
      <c r="C229" s="117" t="str">
        <f ca="1">IFERROR(__xludf.DUMMYFUNCTION("""COMPUTED_VALUE"""),"г.о. Коломенский")</f>
        <v>г.о. Коломенский</v>
      </c>
      <c r="D229" s="117" t="str">
        <f ca="1">IFERROR(__xludf.DUMMYFUNCTION("""COMPUTED_VALUE"""),"Реконструкция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f>
        <v xml:space="preserv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v>
      </c>
      <c r="E229" s="117" t="str">
        <f ca="1">IFERROR(__xludf.DUMMYFUNCTION("""COMPUTED_VALUE"""),"2020-2021")</f>
        <v>2020-2021</v>
      </c>
      <c r="F229" s="118">
        <f ca="1">IFERROR(__xludf.DUMMYFUNCTION("""COMPUTED_VALUE"""),63059.3)</f>
        <v>63059.3</v>
      </c>
      <c r="G229" s="118">
        <f ca="1">IFERROR(__xludf.DUMMYFUNCTION("""COMPUTED_VALUE"""),63059.3)</f>
        <v>63059.3</v>
      </c>
      <c r="H229" s="118">
        <f ca="1">IFERROR(__xludf.DUMMYFUNCTION("""COMPUTED_VALUE"""),0)</f>
        <v>0</v>
      </c>
      <c r="I229" s="118">
        <f ca="1">IFERROR(__xludf.DUMMYFUNCTION("""COMPUTED_VALUE"""),0)</f>
        <v>0</v>
      </c>
      <c r="J229" s="117">
        <f ca="1">IFERROR(__xludf.DUMMYFUNCTION("""COMPUTED_VALUE"""),31644.1)</f>
        <v>31644.1</v>
      </c>
      <c r="K229" s="118">
        <f ca="1">IFERROR(__xludf.DUMMYFUNCTION("""COMPUTED_VALUE"""),31415.2)</f>
        <v>31415.200000000001</v>
      </c>
      <c r="L229" s="119">
        <f ca="1">IFERROR(__xludf.DUMMYFUNCTION("""COMPUTED_VALUE"""),0.501814958301154)</f>
        <v>0.50181495830115397</v>
      </c>
      <c r="M229" s="117" t="str">
        <f ca="1">IFERROR(__xludf.DUMMYFUNCTION("""COMPUTED_VALUE"""),"Низкий темп реализации, гарантийные письма не представлены, договора на оборудование отсутвуют. 
Низкий темп выполнения работ.
 Не представлена ДК согласованная с ДСРПИИ.")</f>
        <v>Низкий темп реализации, гарантийные письма не представлены, договора на оборудование отсутвуют. 
Низкий темп выполнения работ.
 Не представлена ДК согласованная с ДСРПИИ.</v>
      </c>
      <c r="N229" s="110" t="s">
        <v>558</v>
      </c>
      <c r="O229" s="111"/>
      <c r="P229" s="111"/>
      <c r="Q229" s="115">
        <v>44154</v>
      </c>
      <c r="R229" s="103"/>
      <c r="S229" s="103"/>
      <c r="T229" s="103"/>
      <c r="U229" s="103"/>
      <c r="V229" s="103"/>
      <c r="W229" s="103"/>
      <c r="X229" s="103"/>
      <c r="Y229" s="103"/>
      <c r="Z229" s="103"/>
      <c r="AA229" s="103"/>
    </row>
    <row r="230" spans="1:27" ht="63.75" x14ac:dyDescent="0.2">
      <c r="A230" s="110">
        <v>227</v>
      </c>
      <c r="B230" s="110" t="s">
        <v>54</v>
      </c>
      <c r="C230" s="111" t="str">
        <f ca="1">IFERROR(__xludf.DUMMYFUNCTION("""COMPUTED_VALUE"""),"г.о. Электросталь")</f>
        <v>г.о. Электросталь</v>
      </c>
      <c r="D230" s="111" t="str">
        <f ca="1">IFERROR(__xludf.DUMMYFUNCTION("""COMPUTED_VALUE"""),"Реконструкция биологических очистных сооружений канализации по адресу: городской округ Электросталь, пос. Фрязево (в том числе ПИР)")</f>
        <v>Реконструкция биологических очистных сооружений канализации по адресу: городской округ Электросталь, пос. Фрязево (в том числе ПИР)</v>
      </c>
      <c r="E230" s="111" t="str">
        <f ca="1">IFERROR(__xludf.DUMMYFUNCTION("""COMPUTED_VALUE"""),"2021-2023")</f>
        <v>2021-2023</v>
      </c>
      <c r="F230" s="113">
        <f ca="1">IFERROR(__xludf.DUMMYFUNCTION("""COMPUTED_VALUE"""),0)</f>
        <v>0</v>
      </c>
      <c r="G230" s="113">
        <f ca="1">IFERROR(__xludf.DUMMYFUNCTION("""COMPUTED_VALUE"""),0)</f>
        <v>0</v>
      </c>
      <c r="H230" s="113">
        <f ca="1">IFERROR(__xludf.DUMMYFUNCTION("""COMPUTED_VALUE"""),0)</f>
        <v>0</v>
      </c>
      <c r="I230" s="113">
        <f ca="1">IFERROR(__xludf.DUMMYFUNCTION("""COMPUTED_VALUE"""),0)</f>
        <v>0</v>
      </c>
      <c r="J230" s="111">
        <f ca="1">IFERROR(__xludf.DUMMYFUNCTION("""COMPUTED_VALUE"""),0)</f>
        <v>0</v>
      </c>
      <c r="K230" s="113">
        <f ca="1">IFERROR(__xludf.DUMMYFUNCTION("""COMPUTED_VALUE"""),0)</f>
        <v>0</v>
      </c>
      <c r="L230" s="114" t="str">
        <f ca="1">IFERROR(__xludf.DUMMYFUNCTION("""COMPUTED_VALUE"""),"#DIV/0!")</f>
        <v>#DIV/0!</v>
      </c>
      <c r="M230" s="111"/>
      <c r="N230" s="111"/>
      <c r="O230" s="111"/>
      <c r="P230" s="111"/>
      <c r="Q230" s="112"/>
      <c r="R230" s="103"/>
      <c r="S230" s="103"/>
      <c r="T230" s="103"/>
      <c r="U230" s="103"/>
      <c r="V230" s="103"/>
      <c r="W230" s="103"/>
      <c r="X230" s="103"/>
      <c r="Y230" s="103"/>
      <c r="Z230" s="103"/>
      <c r="AA230" s="103"/>
    </row>
    <row r="231" spans="1:27" ht="76.5" x14ac:dyDescent="0.2">
      <c r="A231" s="110">
        <v>228</v>
      </c>
      <c r="B231" s="110" t="s">
        <v>54</v>
      </c>
      <c r="C231" s="111" t="str">
        <f ca="1">IFERROR(__xludf.DUMMYFUNCTION("""COMPUTED_VALUE"""),"г.о. Подольск")</f>
        <v>г.о. Подольск</v>
      </c>
      <c r="D231" s="111" t="str">
        <f ca="1">IFERROR(__xludf.DUMMYFUNCTION("""COMPUTED_VALUE"""),"Строительство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f>
        <v>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v>
      </c>
      <c r="E231" s="111" t="str">
        <f ca="1">IFERROR(__xludf.DUMMYFUNCTION("""COMPUTED_VALUE"""),"2021-2022")</f>
        <v>2021-2022</v>
      </c>
      <c r="F231" s="113">
        <f ca="1">IFERROR(__xludf.DUMMYFUNCTION("""COMPUTED_VALUE"""),0)</f>
        <v>0</v>
      </c>
      <c r="G231" s="113">
        <f ca="1">IFERROR(__xludf.DUMMYFUNCTION("""COMPUTED_VALUE"""),0)</f>
        <v>0</v>
      </c>
      <c r="H231" s="113">
        <f ca="1">IFERROR(__xludf.DUMMYFUNCTION("""COMPUTED_VALUE"""),0)</f>
        <v>0</v>
      </c>
      <c r="I231" s="113">
        <f ca="1">IFERROR(__xludf.DUMMYFUNCTION("""COMPUTED_VALUE"""),0)</f>
        <v>0</v>
      </c>
      <c r="J231" s="111">
        <f ca="1">IFERROR(__xludf.DUMMYFUNCTION("""COMPUTED_VALUE"""),0)</f>
        <v>0</v>
      </c>
      <c r="K231" s="113">
        <f ca="1">IFERROR(__xludf.DUMMYFUNCTION("""COMPUTED_VALUE"""),0)</f>
        <v>0</v>
      </c>
      <c r="L231" s="114" t="str">
        <f ca="1">IFERROR(__xludf.DUMMYFUNCTION("""COMPUTED_VALUE"""),"#DIV/0!")</f>
        <v>#DIV/0!</v>
      </c>
      <c r="M231" s="111"/>
      <c r="N231" s="111"/>
      <c r="O231" s="111"/>
      <c r="P231" s="111"/>
      <c r="Q231" s="112"/>
      <c r="R231" s="103"/>
      <c r="S231" s="103"/>
      <c r="T231" s="103"/>
      <c r="U231" s="103"/>
      <c r="V231" s="103"/>
      <c r="W231" s="103"/>
      <c r="X231" s="103"/>
      <c r="Y231" s="103"/>
      <c r="Z231" s="103"/>
      <c r="AA231" s="103"/>
    </row>
    <row r="232" spans="1:27" ht="51" x14ac:dyDescent="0.2">
      <c r="A232" s="110">
        <v>229</v>
      </c>
      <c r="B232" s="110" t="s">
        <v>54</v>
      </c>
      <c r="C232" s="111" t="str">
        <f ca="1">IFERROR(__xludf.DUMMYFUNCTION("""COMPUTED_VALUE"""),"г.о. Лосино-Петровский")</f>
        <v>г.о. Лосино-Петровский</v>
      </c>
      <c r="D232" s="111" t="str">
        <f ca="1">IFERROR(__xludf.DUMMYFUNCTION("""COMPUTED_VALUE"""),"Строительство  очистных сооружений канализации д. Корпуса  (в том числе ПИР) г.о. Лосино-Петровский")</f>
        <v>Строительство  очистных сооружений канализации д. Корпуса  (в том числе ПИР) г.о. Лосино-Петровский</v>
      </c>
      <c r="E232" s="111" t="str">
        <f ca="1">IFERROR(__xludf.DUMMYFUNCTION("""COMPUTED_VALUE"""),"2022-2023")</f>
        <v>2022-2023</v>
      </c>
      <c r="F232" s="113">
        <f ca="1">IFERROR(__xludf.DUMMYFUNCTION("""COMPUTED_VALUE"""),0)</f>
        <v>0</v>
      </c>
      <c r="G232" s="113">
        <f ca="1">IFERROR(__xludf.DUMMYFUNCTION("""COMPUTED_VALUE"""),0)</f>
        <v>0</v>
      </c>
      <c r="H232" s="113">
        <f ca="1">IFERROR(__xludf.DUMMYFUNCTION("""COMPUTED_VALUE"""),0)</f>
        <v>0</v>
      </c>
      <c r="I232" s="113">
        <f ca="1">IFERROR(__xludf.DUMMYFUNCTION("""COMPUTED_VALUE"""),0)</f>
        <v>0</v>
      </c>
      <c r="J232" s="111">
        <f ca="1">IFERROR(__xludf.DUMMYFUNCTION("""COMPUTED_VALUE"""),0)</f>
        <v>0</v>
      </c>
      <c r="K232" s="113">
        <f ca="1">IFERROR(__xludf.DUMMYFUNCTION("""COMPUTED_VALUE"""),0)</f>
        <v>0</v>
      </c>
      <c r="L232" s="114" t="str">
        <f ca="1">IFERROR(__xludf.DUMMYFUNCTION("""COMPUTED_VALUE"""),"#DIV/0!")</f>
        <v>#DIV/0!</v>
      </c>
      <c r="M232" s="111"/>
      <c r="N232" s="111"/>
      <c r="O232" s="111"/>
      <c r="P232" s="111"/>
      <c r="Q232" s="112"/>
      <c r="R232" s="103"/>
      <c r="S232" s="103"/>
      <c r="T232" s="103"/>
      <c r="U232" s="103"/>
      <c r="V232" s="103"/>
      <c r="W232" s="103"/>
      <c r="X232" s="103"/>
      <c r="Y232" s="103"/>
      <c r="Z232" s="103"/>
      <c r="AA232" s="103"/>
    </row>
    <row r="233" spans="1:27" ht="63.75" x14ac:dyDescent="0.2">
      <c r="A233" s="110">
        <v>230</v>
      </c>
      <c r="B233" s="116" t="s">
        <v>54</v>
      </c>
      <c r="C233" s="117" t="str">
        <f ca="1">IFERROR(__xludf.DUMMYFUNCTION("""COMPUTED_VALUE"""),"г.о. Серпухов")</f>
        <v>г.о. Серпухов</v>
      </c>
      <c r="D233" s="117" t="str">
        <f ca="1">IFERROR(__xludf.DUMMYFUNCTION("""COMPUTED_VALUE"""),"Реконструкция очистных сооружений  г. Серпухов пер. Безымянный д.1 ( ПИР) ")</f>
        <v xml:space="preserve">Реконструкция очистных сооружений  г. Серпухов пер. Безымянный д.1 ( ПИР) </v>
      </c>
      <c r="E233" s="117">
        <f ca="1">IFERROR(__xludf.DUMMYFUNCTION("""COMPUTED_VALUE"""),2020)</f>
        <v>2020</v>
      </c>
      <c r="F233" s="118">
        <f ca="1">IFERROR(__xludf.DUMMYFUNCTION("""COMPUTED_VALUE"""),64772)</f>
        <v>64772</v>
      </c>
      <c r="G233" s="118">
        <f ca="1">IFERROR(__xludf.DUMMYFUNCTION("""COMPUTED_VALUE"""),0)</f>
        <v>0</v>
      </c>
      <c r="H233" s="118">
        <f ca="1">IFERROR(__xludf.DUMMYFUNCTION("""COMPUTED_VALUE"""),0)</f>
        <v>0</v>
      </c>
      <c r="I233" s="118">
        <f ca="1">IFERROR(__xludf.DUMMYFUNCTION("""COMPUTED_VALUE"""),64772)</f>
        <v>64772</v>
      </c>
      <c r="J233" s="117">
        <f ca="1">IFERROR(__xludf.DUMMYFUNCTION("""COMPUTED_VALUE"""),51817.18)</f>
        <v>51817.18</v>
      </c>
      <c r="K233" s="118">
        <f ca="1">IFERROR(__xludf.DUMMYFUNCTION("""COMPUTED_VALUE"""),12954.82)</f>
        <v>12954.82</v>
      </c>
      <c r="L233" s="119">
        <f ca="1">IFERROR(__xludf.DUMMYFUNCTION("""COMPUTED_VALUE"""),0.799993515716667)</f>
        <v>0.79999351571666699</v>
      </c>
      <c r="M233" s="117" t="str">
        <f ca="1">IFERROR(__xludf.DUMMYFUNCTION("""COMPUTED_VALUE"""),"Подрядчиком подготовлены и нарпавлены 10.11.2020 Акты выполненых работ по 8 из 10 этапам на общую сумму 47,5 млн.руб. ")</f>
        <v xml:space="preserve">Подрядчиком подготовлены и нарпавлены 10.11.2020 Акты выполненых работ по 8 из 10 этапам на общую сумму 47,5 млн.руб. </v>
      </c>
      <c r="N233" s="110" t="s">
        <v>563</v>
      </c>
      <c r="O233" s="111"/>
      <c r="P233" s="111"/>
      <c r="Q233" s="115">
        <v>44154</v>
      </c>
      <c r="R233" s="103"/>
      <c r="S233" s="103"/>
      <c r="T233" s="103"/>
      <c r="U233" s="103"/>
      <c r="V233" s="103"/>
      <c r="W233" s="103"/>
      <c r="X233" s="103"/>
      <c r="Y233" s="103"/>
      <c r="Z233" s="103"/>
      <c r="AA233" s="103"/>
    </row>
    <row r="234" spans="1:27" ht="51" x14ac:dyDescent="0.2">
      <c r="A234" s="110">
        <v>231</v>
      </c>
      <c r="B234" s="110" t="s">
        <v>54</v>
      </c>
      <c r="C234" s="111" t="str">
        <f ca="1">IFERROR(__xludf.DUMMYFUNCTION("""COMPUTED_VALUE"""),"г.о. Павловский Посад")</f>
        <v>г.о. Павловский Посад</v>
      </c>
      <c r="D234" s="111" t="str">
        <f ca="1">IFERROR(__xludf.DUMMYFUNCTION("""COMPUTED_VALUE"""),"Реконструкция очистных сооружений  г. Павловский Посад пер. Интернациональный д. 28 Б (ПИР)")</f>
        <v>Реконструкция очистных сооружений  г. Павловский Посад пер. Интернациональный д. 28 Б (ПИР)</v>
      </c>
      <c r="E234" s="111">
        <f ca="1">IFERROR(__xludf.DUMMYFUNCTION("""COMPUTED_VALUE"""),2020)</f>
        <v>2020</v>
      </c>
      <c r="F234" s="113">
        <f ca="1">IFERROR(__xludf.DUMMYFUNCTION("""COMPUTED_VALUE"""),50136.64)</f>
        <v>50136.639999999999</v>
      </c>
      <c r="G234" s="113">
        <f ca="1">IFERROR(__xludf.DUMMYFUNCTION("""COMPUTED_VALUE"""),0)</f>
        <v>0</v>
      </c>
      <c r="H234" s="113">
        <f ca="1">IFERROR(__xludf.DUMMYFUNCTION("""COMPUTED_VALUE"""),0)</f>
        <v>0</v>
      </c>
      <c r="I234" s="113">
        <f ca="1">IFERROR(__xludf.DUMMYFUNCTION("""COMPUTED_VALUE"""),50136.64)</f>
        <v>50136.639999999999</v>
      </c>
      <c r="J234" s="111">
        <f ca="1">IFERROR(__xludf.DUMMYFUNCTION("""COMPUTED_VALUE"""),0)</f>
        <v>0</v>
      </c>
      <c r="K234" s="113">
        <f ca="1">IFERROR(__xludf.DUMMYFUNCTION("""COMPUTED_VALUE"""),50136.64)</f>
        <v>50136.639999999999</v>
      </c>
      <c r="L234" s="114">
        <f ca="1">IFERROR(__xludf.DUMMYFUNCTION("""COMPUTED_VALUE"""),0)</f>
        <v>0</v>
      </c>
      <c r="M234" s="111"/>
      <c r="N234" s="110" t="s">
        <v>555</v>
      </c>
      <c r="O234" s="111"/>
      <c r="P234" s="111"/>
      <c r="Q234" s="112"/>
      <c r="R234" s="103"/>
      <c r="S234" s="103"/>
      <c r="T234" s="103"/>
      <c r="U234" s="103"/>
      <c r="V234" s="103"/>
      <c r="W234" s="103"/>
      <c r="X234" s="103"/>
      <c r="Y234" s="103"/>
      <c r="Z234" s="103"/>
      <c r="AA234" s="103"/>
    </row>
    <row r="235" spans="1:27" ht="38.25" x14ac:dyDescent="0.2">
      <c r="A235" s="110">
        <v>232</v>
      </c>
      <c r="B235" s="110" t="s">
        <v>54</v>
      </c>
      <c r="C235" s="111" t="str">
        <f ca="1">IFERROR(__xludf.DUMMYFUNCTION("""COMPUTED_VALUE"""),"г.о. Солнечногорск")</f>
        <v>г.о. Солнечногорск</v>
      </c>
      <c r="D235" s="111" t="str">
        <f ca="1">IFERROR(__xludf.DUMMYFUNCTION("""COMPUTED_VALUE"""),"Реконструкция очистных сооружений   г.п. Солнечногорск, д. Осипово (ПИР)")</f>
        <v>Реконструкция очистных сооружений   г.п. Солнечногорск, д. Осипово (ПИР)</v>
      </c>
      <c r="E235" s="111">
        <f ca="1">IFERROR(__xludf.DUMMYFUNCTION("""COMPUTED_VALUE"""),2020)</f>
        <v>2020</v>
      </c>
      <c r="F235" s="113">
        <f ca="1">IFERROR(__xludf.DUMMYFUNCTION("""COMPUTED_VALUE"""),17057.25)</f>
        <v>17057.25</v>
      </c>
      <c r="G235" s="113">
        <f ca="1">IFERROR(__xludf.DUMMYFUNCTION("""COMPUTED_VALUE"""),0)</f>
        <v>0</v>
      </c>
      <c r="H235" s="113">
        <f ca="1">IFERROR(__xludf.DUMMYFUNCTION("""COMPUTED_VALUE"""),0)</f>
        <v>0</v>
      </c>
      <c r="I235" s="113">
        <f ca="1">IFERROR(__xludf.DUMMYFUNCTION("""COMPUTED_VALUE"""),17057.25)</f>
        <v>17057.25</v>
      </c>
      <c r="J235" s="111">
        <f ca="1">IFERROR(__xludf.DUMMYFUNCTION("""COMPUTED_VALUE"""),17057.25)</f>
        <v>17057.25</v>
      </c>
      <c r="K235" s="113">
        <f ca="1">IFERROR(__xludf.DUMMYFUNCTION("""COMPUTED_VALUE"""),0)</f>
        <v>0</v>
      </c>
      <c r="L235" s="114">
        <f ca="1">IFERROR(__xludf.DUMMYFUNCTION("""COMPUTED_VALUE"""),1)</f>
        <v>1</v>
      </c>
      <c r="M235" s="111"/>
      <c r="N235" s="110" t="s">
        <v>555</v>
      </c>
      <c r="O235" s="111"/>
      <c r="P235" s="111"/>
      <c r="Q235" s="112"/>
      <c r="R235" s="103"/>
      <c r="S235" s="103"/>
      <c r="T235" s="103"/>
      <c r="U235" s="103"/>
      <c r="V235" s="103"/>
      <c r="W235" s="103"/>
      <c r="X235" s="103"/>
      <c r="Y235" s="103"/>
      <c r="Z235" s="103"/>
      <c r="AA235" s="103"/>
    </row>
    <row r="236" spans="1:27" ht="38.25" x14ac:dyDescent="0.2">
      <c r="A236" s="110">
        <v>233</v>
      </c>
      <c r="B236" s="110" t="s">
        <v>54</v>
      </c>
      <c r="C236" s="111" t="str">
        <f ca="1">IFERROR(__xludf.DUMMYFUNCTION("""COMPUTED_VALUE"""),"г.о. Наро-Фоминск")</f>
        <v>г.о. Наро-Фоминск</v>
      </c>
      <c r="D236" s="111" t="str">
        <f ca="1">IFERROR(__xludf.DUMMYFUNCTION("""COMPUTED_VALUE"""),"Строительство очистных сооружений г. Наро-Фоминск ул. Профсоюзная  (ПИР) ")</f>
        <v xml:space="preserve">Строительство очистных сооружений г. Наро-Фоминск ул. Профсоюзная  (ПИР) </v>
      </c>
      <c r="E236" s="111">
        <f ca="1">IFERROR(__xludf.DUMMYFUNCTION("""COMPUTED_VALUE"""),2020)</f>
        <v>2020</v>
      </c>
      <c r="F236" s="113">
        <f ca="1">IFERROR(__xludf.DUMMYFUNCTION("""COMPUTED_VALUE"""),32375)</f>
        <v>32375</v>
      </c>
      <c r="G236" s="113">
        <f ca="1">IFERROR(__xludf.DUMMYFUNCTION("""COMPUTED_VALUE"""),0)</f>
        <v>0</v>
      </c>
      <c r="H236" s="113">
        <f ca="1">IFERROR(__xludf.DUMMYFUNCTION("""COMPUTED_VALUE"""),0)</f>
        <v>0</v>
      </c>
      <c r="I236" s="113">
        <f ca="1">IFERROR(__xludf.DUMMYFUNCTION("""COMPUTED_VALUE"""),32375)</f>
        <v>32375</v>
      </c>
      <c r="J236" s="111">
        <f ca="1">IFERROR(__xludf.DUMMYFUNCTION("""COMPUTED_VALUE"""),32374.99)</f>
        <v>32374.99</v>
      </c>
      <c r="K236" s="113">
        <f ca="1">IFERROR(__xludf.DUMMYFUNCTION("""COMPUTED_VALUE"""),0.00999999999839929)</f>
        <v>9.9999999983992893E-3</v>
      </c>
      <c r="L236" s="114">
        <f ca="1">IFERROR(__xludf.DUMMYFUNCTION("""COMPUTED_VALUE"""),0.999999691119691)</f>
        <v>0.999999691119691</v>
      </c>
      <c r="M236" s="111"/>
      <c r="N236" s="110" t="s">
        <v>555</v>
      </c>
      <c r="O236" s="111"/>
      <c r="P236" s="111"/>
      <c r="Q236" s="112"/>
      <c r="R236" s="103"/>
      <c r="S236" s="103"/>
      <c r="T236" s="103"/>
      <c r="U236" s="103"/>
      <c r="V236" s="103"/>
      <c r="W236" s="103"/>
      <c r="X236" s="103"/>
      <c r="Y236" s="103"/>
      <c r="Z236" s="103"/>
      <c r="AA236" s="103"/>
    </row>
    <row r="237" spans="1:27" ht="51" x14ac:dyDescent="0.2">
      <c r="A237" s="110">
        <v>234</v>
      </c>
      <c r="B237" s="110" t="s">
        <v>54</v>
      </c>
      <c r="C237" s="111" t="str">
        <f ca="1">IFERROR(__xludf.DUMMYFUNCTION("""COMPUTED_VALUE"""),"г.о. Сергиев Посад")</f>
        <v>г.о. Сергиев Посад</v>
      </c>
      <c r="D237" s="111" t="str">
        <f ca="1">IFERROR(__xludf.DUMMYFUNCTION("""COMPUTED_VALUE"""),"Строительство очистных сооружений канализации г.п. Сергиев-Посад мощностью 40 тыс. куб.м/сут. (ПИР)")</f>
        <v>Строительство очистных сооружений канализации г.п. Сергиев-Посад мощностью 40 тыс. куб.м/сут. (ПИР)</v>
      </c>
      <c r="E237" s="111">
        <f ca="1">IFERROR(__xludf.DUMMYFUNCTION("""COMPUTED_VALUE"""),2020)</f>
        <v>2020</v>
      </c>
      <c r="F237" s="113">
        <f ca="1">IFERROR(__xludf.DUMMYFUNCTION("""COMPUTED_VALUE"""),32300)</f>
        <v>32300</v>
      </c>
      <c r="G237" s="113">
        <f ca="1">IFERROR(__xludf.DUMMYFUNCTION("""COMPUTED_VALUE"""),0)</f>
        <v>0</v>
      </c>
      <c r="H237" s="113">
        <f ca="1">IFERROR(__xludf.DUMMYFUNCTION("""COMPUTED_VALUE"""),0)</f>
        <v>0</v>
      </c>
      <c r="I237" s="113">
        <f ca="1">IFERROR(__xludf.DUMMYFUNCTION("""COMPUTED_VALUE"""),32300)</f>
        <v>32300</v>
      </c>
      <c r="J237" s="111">
        <f ca="1">IFERROR(__xludf.DUMMYFUNCTION("""COMPUTED_VALUE"""),32300)</f>
        <v>32300</v>
      </c>
      <c r="K237" s="113">
        <f ca="1">IFERROR(__xludf.DUMMYFUNCTION("""COMPUTED_VALUE"""),0)</f>
        <v>0</v>
      </c>
      <c r="L237" s="114">
        <f ca="1">IFERROR(__xludf.DUMMYFUNCTION("""COMPUTED_VALUE"""),1)</f>
        <v>1</v>
      </c>
      <c r="M237" s="111"/>
      <c r="N237" s="110" t="s">
        <v>555</v>
      </c>
      <c r="O237" s="111"/>
      <c r="P237" s="111"/>
      <c r="Q237" s="112"/>
      <c r="R237" s="103"/>
      <c r="S237" s="103"/>
      <c r="T237" s="103"/>
      <c r="U237" s="103"/>
      <c r="V237" s="103"/>
      <c r="W237" s="103"/>
      <c r="X237" s="103"/>
      <c r="Y237" s="103"/>
      <c r="Z237" s="103"/>
      <c r="AA237" s="103"/>
    </row>
    <row r="238" spans="1:27" ht="114.75" x14ac:dyDescent="0.2">
      <c r="A238" s="110">
        <v>235</v>
      </c>
      <c r="B238" s="110" t="s">
        <v>54</v>
      </c>
      <c r="C238" s="111" t="str">
        <f ca="1">IFERROR(__xludf.DUMMYFUNCTION("""COMPUTED_VALUE"""),"г.о. Дмитровский")</f>
        <v>г.о. Дмитровский</v>
      </c>
      <c r="D238" s="111" t="str">
        <f ca="1">IFERROR(__xludf.DUMMYFUNCTION("""COMPUTED_VALUE"""),"Строительство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f>
        <v>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v>
      </c>
      <c r="E238" s="111">
        <f ca="1">IFERROR(__xludf.DUMMYFUNCTION("""COMPUTED_VALUE"""),2020)</f>
        <v>2020</v>
      </c>
      <c r="F238" s="113">
        <f ca="1">IFERROR(__xludf.DUMMYFUNCTION("""COMPUTED_VALUE"""),7970.03)</f>
        <v>7970.03</v>
      </c>
      <c r="G238" s="113">
        <f ca="1">IFERROR(__xludf.DUMMYFUNCTION("""COMPUTED_VALUE"""),0)</f>
        <v>0</v>
      </c>
      <c r="H238" s="113">
        <f ca="1">IFERROR(__xludf.DUMMYFUNCTION("""COMPUTED_VALUE"""),0)</f>
        <v>0</v>
      </c>
      <c r="I238" s="113">
        <f ca="1">IFERROR(__xludf.DUMMYFUNCTION("""COMPUTED_VALUE"""),7970.03)</f>
        <v>7970.03</v>
      </c>
      <c r="J238" s="111">
        <f ca="1">IFERROR(__xludf.DUMMYFUNCTION("""COMPUTED_VALUE"""),7970.03)</f>
        <v>7970.03</v>
      </c>
      <c r="K238" s="113">
        <f ca="1">IFERROR(__xludf.DUMMYFUNCTION("""COMPUTED_VALUE"""),0)</f>
        <v>0</v>
      </c>
      <c r="L238" s="114">
        <f ca="1">IFERROR(__xludf.DUMMYFUNCTION("""COMPUTED_VALUE"""),1)</f>
        <v>1</v>
      </c>
      <c r="M238" s="111"/>
      <c r="N238" s="110" t="s">
        <v>563</v>
      </c>
      <c r="O238" s="111"/>
      <c r="P238" s="111"/>
      <c r="Q238" s="112"/>
      <c r="R238" s="103"/>
      <c r="S238" s="103"/>
      <c r="T238" s="103"/>
      <c r="U238" s="103"/>
      <c r="V238" s="103"/>
      <c r="W238" s="103"/>
      <c r="X238" s="103"/>
      <c r="Y238" s="103"/>
      <c r="Z238" s="103"/>
      <c r="AA238" s="103"/>
    </row>
    <row r="239" spans="1:27" ht="38.25" x14ac:dyDescent="0.2">
      <c r="A239" s="110">
        <v>236</v>
      </c>
      <c r="B239" s="110" t="s">
        <v>54</v>
      </c>
      <c r="C239" s="111" t="str">
        <f ca="1">IFERROR(__xludf.DUMMYFUNCTION("""COMPUTED_VALUE"""),"г.о. Кашира")</f>
        <v>г.о. Кашира</v>
      </c>
      <c r="D239" s="111" t="str">
        <f ca="1">IFERROR(__xludf.DUMMYFUNCTION("""COMPUTED_VALUE"""),"Строительство очисных сооружений г. Кашира д. Терново-1 (ПИР)")</f>
        <v>Строительство очисных сооружений г. Кашира д. Терново-1 (ПИР)</v>
      </c>
      <c r="E239" s="111">
        <f ca="1">IFERROR(__xludf.DUMMYFUNCTION("""COMPUTED_VALUE"""),2020)</f>
        <v>2020</v>
      </c>
      <c r="F239" s="113">
        <f ca="1">IFERROR(__xludf.DUMMYFUNCTION("""COMPUTED_VALUE"""),6555)</f>
        <v>6555</v>
      </c>
      <c r="G239" s="113">
        <f ca="1">IFERROR(__xludf.DUMMYFUNCTION("""COMPUTED_VALUE"""),0)</f>
        <v>0</v>
      </c>
      <c r="H239" s="113">
        <f ca="1">IFERROR(__xludf.DUMMYFUNCTION("""COMPUTED_VALUE"""),0)</f>
        <v>0</v>
      </c>
      <c r="I239" s="113">
        <f ca="1">IFERROR(__xludf.DUMMYFUNCTION("""COMPUTED_VALUE"""),6555)</f>
        <v>6555</v>
      </c>
      <c r="J239" s="111">
        <f ca="1">IFERROR(__xludf.DUMMYFUNCTION("""COMPUTED_VALUE"""),6555)</f>
        <v>6555</v>
      </c>
      <c r="K239" s="113">
        <f ca="1">IFERROR(__xludf.DUMMYFUNCTION("""COMPUTED_VALUE"""),0)</f>
        <v>0</v>
      </c>
      <c r="L239" s="114">
        <f ca="1">IFERROR(__xludf.DUMMYFUNCTION("""COMPUTED_VALUE"""),1)</f>
        <v>1</v>
      </c>
      <c r="M239" s="111"/>
      <c r="N239" s="110" t="s">
        <v>563</v>
      </c>
      <c r="O239" s="111"/>
      <c r="P239" s="111"/>
      <c r="Q239" s="112"/>
      <c r="R239" s="103"/>
      <c r="S239" s="103"/>
      <c r="T239" s="103"/>
      <c r="U239" s="103"/>
      <c r="V239" s="103"/>
      <c r="W239" s="103"/>
      <c r="X239" s="103"/>
      <c r="Y239" s="103"/>
      <c r="Z239" s="103"/>
      <c r="AA239" s="103"/>
    </row>
    <row r="240" spans="1:27" ht="38.25" x14ac:dyDescent="0.2">
      <c r="A240" s="110">
        <v>237</v>
      </c>
      <c r="B240" s="110" t="s">
        <v>54</v>
      </c>
      <c r="C240" s="111" t="str">
        <f ca="1">IFERROR(__xludf.DUMMYFUNCTION("""COMPUTED_VALUE"""),"г.о. Шатура")</f>
        <v>г.о. Шатура</v>
      </c>
      <c r="D240" s="111" t="str">
        <f ca="1">IFERROR(__xludf.DUMMYFUNCTION("""COMPUTED_VALUE"""),"Строительство очистных сооружений,  г. Шатура, ул. Малькина Грива  (ПИР)")</f>
        <v>Строительство очистных сооружений,  г. Шатура, ул. Малькина Грива  (ПИР)</v>
      </c>
      <c r="E240" s="111">
        <f ca="1">IFERROR(__xludf.DUMMYFUNCTION("""COMPUTED_VALUE"""),2020)</f>
        <v>2020</v>
      </c>
      <c r="F240" s="113">
        <f ca="1">IFERROR(__xludf.DUMMYFUNCTION("""COMPUTED_VALUE"""),23950.49)</f>
        <v>23950.49</v>
      </c>
      <c r="G240" s="113">
        <f ca="1">IFERROR(__xludf.DUMMYFUNCTION("""COMPUTED_VALUE"""),0)</f>
        <v>0</v>
      </c>
      <c r="H240" s="113">
        <f ca="1">IFERROR(__xludf.DUMMYFUNCTION("""COMPUTED_VALUE"""),0)</f>
        <v>0</v>
      </c>
      <c r="I240" s="113">
        <f ca="1">IFERROR(__xludf.DUMMYFUNCTION("""COMPUTED_VALUE"""),23950.49)</f>
        <v>23950.49</v>
      </c>
      <c r="J240" s="111">
        <f ca="1">IFERROR(__xludf.DUMMYFUNCTION("""COMPUTED_VALUE"""),23950.49)</f>
        <v>23950.49</v>
      </c>
      <c r="K240" s="113">
        <f ca="1">IFERROR(__xludf.DUMMYFUNCTION("""COMPUTED_VALUE"""),0)</f>
        <v>0</v>
      </c>
      <c r="L240" s="114">
        <f ca="1">IFERROR(__xludf.DUMMYFUNCTION("""COMPUTED_VALUE"""),1)</f>
        <v>1</v>
      </c>
      <c r="M240" s="111"/>
      <c r="N240" s="110" t="s">
        <v>563</v>
      </c>
      <c r="O240" s="111"/>
      <c r="P240" s="111"/>
      <c r="Q240" s="112"/>
      <c r="R240" s="103"/>
      <c r="S240" s="103"/>
      <c r="T240" s="103"/>
      <c r="U240" s="103"/>
      <c r="V240" s="103"/>
      <c r="W240" s="103"/>
      <c r="X240" s="103"/>
      <c r="Y240" s="103"/>
      <c r="Z240" s="103"/>
      <c r="AA240" s="103"/>
    </row>
    <row r="241" spans="1:27" ht="89.25" x14ac:dyDescent="0.2">
      <c r="A241" s="110">
        <v>238</v>
      </c>
      <c r="B241" s="116" t="s">
        <v>54</v>
      </c>
      <c r="C241" s="117" t="str">
        <f ca="1">IFERROR(__xludf.DUMMYFUNCTION("""COMPUTED_VALUE"""),"г.о. Истра")</f>
        <v>г.о. Истра</v>
      </c>
      <c r="D241" s="117" t="str">
        <f ca="1">IFERROR(__xludf.DUMMYFUNCTION("""COMPUTED_VALUE"""),"Комплексные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f>
        <v>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v>
      </c>
      <c r="E241" s="117" t="str">
        <f ca="1">IFERROR(__xludf.DUMMYFUNCTION("""COMPUTED_VALUE"""),"2020-2021")</f>
        <v>2020-2021</v>
      </c>
      <c r="F241" s="118">
        <f ca="1">IFERROR(__xludf.DUMMYFUNCTION("""COMPUTED_VALUE"""),41833.54)</f>
        <v>41833.54</v>
      </c>
      <c r="G241" s="118">
        <f ca="1">IFERROR(__xludf.DUMMYFUNCTION("""COMPUTED_VALUE"""),41833.54)</f>
        <v>41833.54</v>
      </c>
      <c r="H241" s="118">
        <f ca="1">IFERROR(__xludf.DUMMYFUNCTION("""COMPUTED_VALUE"""),0)</f>
        <v>0</v>
      </c>
      <c r="I241" s="118">
        <f ca="1">IFERROR(__xludf.DUMMYFUNCTION("""COMPUTED_VALUE"""),0)</f>
        <v>0</v>
      </c>
      <c r="J241" s="117">
        <f ca="1">IFERROR(__xludf.DUMMYFUNCTION("""COMPUTED_VALUE"""),30827.66)</f>
        <v>30827.66</v>
      </c>
      <c r="K241" s="118">
        <f ca="1">IFERROR(__xludf.DUMMYFUNCTION("""COMPUTED_VALUE"""),11005.88)</f>
        <v>11005.88</v>
      </c>
      <c r="L241" s="119">
        <f ca="1">IFERROR(__xludf.DUMMYFUNCTION("""COMPUTED_VALUE"""),0.736912534774728)</f>
        <v>0.73691253477472796</v>
      </c>
      <c r="M241" s="117" t="str">
        <f ca="1">IFERROR(__xludf.DUMMYFUNCTION("""COMPUTED_VALUE"""),"Направлена заявка на опалту 11.11.2020. Акт от УТНКР с замечаниями.  ")</f>
        <v xml:space="preserve">Направлена заявка на опалту 11.11.2020. Акт от УТНКР с замечаниями.  </v>
      </c>
      <c r="N241" s="110" t="s">
        <v>562</v>
      </c>
      <c r="O241" s="111"/>
      <c r="P241" s="111"/>
      <c r="Q241" s="115">
        <v>44154</v>
      </c>
      <c r="R241" s="103"/>
      <c r="S241" s="103"/>
      <c r="T241" s="103"/>
      <c r="U241" s="103"/>
      <c r="V241" s="103"/>
      <c r="W241" s="103"/>
      <c r="X241" s="103"/>
      <c r="Y241" s="103"/>
      <c r="Z241" s="103"/>
      <c r="AA241" s="103"/>
    </row>
    <row r="242" spans="1:27" ht="114.75" x14ac:dyDescent="0.2">
      <c r="A242" s="110">
        <v>239</v>
      </c>
      <c r="B242" s="110" t="s">
        <v>54</v>
      </c>
      <c r="C242" s="111" t="str">
        <f ca="1">IFERROR(__xludf.DUMMYFUNCTION("""COMPUTED_VALUE"""),"г.о. Мытищи")</f>
        <v>г.о. Мытищи</v>
      </c>
      <c r="D242" s="111" t="str">
        <f ca="1">IFERROR(__xludf.DUMMYFUNCTION("""COMPUTED_VALUE"""),"Реконструкция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f>
        <v>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v>
      </c>
      <c r="E242" s="111" t="str">
        <f ca="1">IFERROR(__xludf.DUMMYFUNCTION("""COMPUTED_VALUE"""),"2020-2021")</f>
        <v>2020-2021</v>
      </c>
      <c r="F242" s="113">
        <f ca="1">IFERROR(__xludf.DUMMYFUNCTION("""COMPUTED_VALUE"""),61790.72)</f>
        <v>61790.720000000001</v>
      </c>
      <c r="G242" s="113">
        <f ca="1">IFERROR(__xludf.DUMMYFUNCTION("""COMPUTED_VALUE"""),61790.72)</f>
        <v>61790.720000000001</v>
      </c>
      <c r="H242" s="113">
        <f ca="1">IFERROR(__xludf.DUMMYFUNCTION("""COMPUTED_VALUE"""),0)</f>
        <v>0</v>
      </c>
      <c r="I242" s="113">
        <f ca="1">IFERROR(__xludf.DUMMYFUNCTION("""COMPUTED_VALUE"""),0)</f>
        <v>0</v>
      </c>
      <c r="J242" s="111">
        <f ca="1">IFERROR(__xludf.DUMMYFUNCTION("""COMPUTED_VALUE"""),61556.48)</f>
        <v>61556.480000000003</v>
      </c>
      <c r="K242" s="113">
        <f ca="1">IFERROR(__xludf.DUMMYFUNCTION("""COMPUTED_VALUE"""),234.239999999997)</f>
        <v>234.239999999997</v>
      </c>
      <c r="L242" s="114">
        <f ca="1">IFERROR(__xludf.DUMMYFUNCTION("""COMPUTED_VALUE"""),0.99620913949538)</f>
        <v>0.99620913949538004</v>
      </c>
      <c r="M242" s="111" t="str">
        <f ca="1">IFERROR(__xludf.DUMMYFUNCTION("""COMPUTED_VALUE"""),"Необходимы изменения софинансиования , заключения допсолгашениий")</f>
        <v>Необходимы изменения софинансиования , заключения допсолгашениий</v>
      </c>
      <c r="N242" s="110" t="s">
        <v>557</v>
      </c>
      <c r="O242" s="111"/>
      <c r="P242" s="111"/>
      <c r="Q242" s="112"/>
      <c r="R242" s="103"/>
      <c r="S242" s="103"/>
      <c r="T242" s="103"/>
      <c r="U242" s="103"/>
      <c r="V242" s="103"/>
      <c r="W242" s="103"/>
      <c r="X242" s="103"/>
      <c r="Y242" s="103"/>
      <c r="Z242" s="103"/>
      <c r="AA242" s="103"/>
    </row>
    <row r="243" spans="1:27" ht="89.25" x14ac:dyDescent="0.2">
      <c r="A243" s="110">
        <v>240</v>
      </c>
      <c r="B243" s="110" t="s">
        <v>54</v>
      </c>
      <c r="C243" s="111" t="str">
        <f ca="1">IFERROR(__xludf.DUMMYFUNCTION("""COMPUTED_VALUE"""),"г.о. Зарайск")</f>
        <v>г.о. Зарайск</v>
      </c>
      <c r="D243" s="111" t="str">
        <f ca="1">IFERROR(__xludf.DUMMYFUNCTION("""COMPUTED_VALUE"""),"Аварийно-восстановительные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f>
        <v>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v>
      </c>
      <c r="E243" s="111">
        <f ca="1">IFERROR(__xludf.DUMMYFUNCTION("""COMPUTED_VALUE"""),2020)</f>
        <v>2020</v>
      </c>
      <c r="F243" s="113">
        <f ca="1">IFERROR(__xludf.DUMMYFUNCTION("""COMPUTED_VALUE"""),37431)</f>
        <v>37431</v>
      </c>
      <c r="G243" s="113">
        <f ca="1">IFERROR(__xludf.DUMMYFUNCTION("""COMPUTED_VALUE"""),37431)</f>
        <v>37431</v>
      </c>
      <c r="H243" s="113">
        <f ca="1">IFERROR(__xludf.DUMMYFUNCTION("""COMPUTED_VALUE"""),0)</f>
        <v>0</v>
      </c>
      <c r="I243" s="113">
        <f ca="1">IFERROR(__xludf.DUMMYFUNCTION("""COMPUTED_VALUE"""),0)</f>
        <v>0</v>
      </c>
      <c r="J243" s="111">
        <f ca="1">IFERROR(__xludf.DUMMYFUNCTION("""COMPUTED_VALUE"""),35860.76)</f>
        <v>35860.76</v>
      </c>
      <c r="K243" s="113">
        <f ca="1">IFERROR(__xludf.DUMMYFUNCTION("""COMPUTED_VALUE"""),1570.23999999999)</f>
        <v>1570.23999999999</v>
      </c>
      <c r="L243" s="114">
        <f ca="1">IFERROR(__xludf.DUMMYFUNCTION("""COMPUTED_VALUE"""),0.958049744863883)</f>
        <v>0.95804974486388295</v>
      </c>
      <c r="M243" s="111"/>
      <c r="N243" s="110" t="s">
        <v>557</v>
      </c>
      <c r="O243" s="111"/>
      <c r="P243" s="111"/>
      <c r="Q243" s="112"/>
      <c r="R243" s="103"/>
      <c r="S243" s="103"/>
      <c r="T243" s="103"/>
      <c r="U243" s="103"/>
      <c r="V243" s="103"/>
      <c r="W243" s="103"/>
      <c r="X243" s="103"/>
      <c r="Y243" s="103"/>
      <c r="Z243" s="103"/>
      <c r="AA243" s="103"/>
    </row>
    <row r="244" spans="1:27" ht="63.75" x14ac:dyDescent="0.2">
      <c r="A244" s="110">
        <v>241</v>
      </c>
      <c r="B244" s="110" t="s">
        <v>54</v>
      </c>
      <c r="C244" s="111" t="str">
        <f ca="1">IFERROR(__xludf.DUMMYFUNCTION("""COMPUTED_VALUE"""),"г.о. Фряново")</f>
        <v>г.о. Фряново</v>
      </c>
      <c r="D244" s="111" t="str">
        <f ca="1">IFERROR(__xludf.DUMMYFUNCTION("""COMPUTED_VALUE"""),"Капитальный ремонт очистных сооружений канализации пос. Фряново, г.о. Щелково производительностью 3000 тыс. м3/сут. (в т.ч. ПИР)")</f>
        <v>Капитальный ремонт очистных сооружений канализации пос. Фряново, г.о. Щелково производительностью 3000 тыс. м3/сут. (в т.ч. ПИР)</v>
      </c>
      <c r="E244" s="111" t="str">
        <f ca="1">IFERROR(__xludf.DUMMYFUNCTION("""COMPUTED_VALUE"""),"2021-2023")</f>
        <v>2021-2023</v>
      </c>
      <c r="F244" s="113">
        <f ca="1">IFERROR(__xludf.DUMMYFUNCTION("""COMPUTED_VALUE"""),0)</f>
        <v>0</v>
      </c>
      <c r="G244" s="113">
        <f ca="1">IFERROR(__xludf.DUMMYFUNCTION("""COMPUTED_VALUE"""),0)</f>
        <v>0</v>
      </c>
      <c r="H244" s="113">
        <f ca="1">IFERROR(__xludf.DUMMYFUNCTION("""COMPUTED_VALUE"""),0)</f>
        <v>0</v>
      </c>
      <c r="I244" s="113">
        <f ca="1">IFERROR(__xludf.DUMMYFUNCTION("""COMPUTED_VALUE"""),0)</f>
        <v>0</v>
      </c>
      <c r="J244" s="111">
        <f ca="1">IFERROR(__xludf.DUMMYFUNCTION("""COMPUTED_VALUE"""),0)</f>
        <v>0</v>
      </c>
      <c r="K244" s="113">
        <f ca="1">IFERROR(__xludf.DUMMYFUNCTION("""COMPUTED_VALUE"""),0)</f>
        <v>0</v>
      </c>
      <c r="L244" s="114" t="str">
        <f ca="1">IFERROR(__xludf.DUMMYFUNCTION("""COMPUTED_VALUE"""),"#DIV/0!")</f>
        <v>#DIV/0!</v>
      </c>
      <c r="M244" s="111"/>
      <c r="N244" s="111"/>
      <c r="O244" s="111"/>
      <c r="P244" s="111"/>
      <c r="Q244" s="112"/>
      <c r="R244" s="103"/>
      <c r="S244" s="103"/>
      <c r="T244" s="103"/>
      <c r="U244" s="103"/>
      <c r="V244" s="103"/>
      <c r="W244" s="103"/>
      <c r="X244" s="103"/>
      <c r="Y244" s="103"/>
      <c r="Z244" s="103"/>
      <c r="AA244" s="103"/>
    </row>
    <row r="245" spans="1:27" ht="89.25" x14ac:dyDescent="0.2">
      <c r="A245" s="110">
        <v>242</v>
      </c>
      <c r="B245" s="116" t="s">
        <v>54</v>
      </c>
      <c r="C245" s="117" t="str">
        <f ca="1">IFERROR(__xludf.DUMMYFUNCTION("""COMPUTED_VALUE"""),"г.о. Рошаль")</f>
        <v>г.о. Рошаль</v>
      </c>
      <c r="D245" s="117" t="str">
        <f ca="1">IFERROR(__xludf.DUMMYFUNCTION("""COMPUTED_VALUE"""),"Приобретение, монтаж и ввод в эксплуатацию 2-х воздуходувок на очистных сооружениях в г. Рошаль г.о. Шатура")</f>
        <v>Приобретение, монтаж и ввод в эксплуатацию 2-х воздуходувок на очистных сооружениях в г. Рошаль г.о. Шатура</v>
      </c>
      <c r="E245" s="117">
        <f ca="1">IFERROR(__xludf.DUMMYFUNCTION("""COMPUTED_VALUE"""),2020)</f>
        <v>2020</v>
      </c>
      <c r="F245" s="118">
        <f ca="1">IFERROR(__xludf.DUMMYFUNCTION("""COMPUTED_VALUE"""),2820)</f>
        <v>2820</v>
      </c>
      <c r="G245" s="118">
        <f ca="1">IFERROR(__xludf.DUMMYFUNCTION("""COMPUTED_VALUE"""),0)</f>
        <v>0</v>
      </c>
      <c r="H245" s="118">
        <f ca="1">IFERROR(__xludf.DUMMYFUNCTION("""COMPUTED_VALUE"""),0)</f>
        <v>0</v>
      </c>
      <c r="I245" s="118">
        <f ca="1">IFERROR(__xludf.DUMMYFUNCTION("""COMPUTED_VALUE"""),2820)</f>
        <v>2820</v>
      </c>
      <c r="J245" s="117">
        <f ca="1">IFERROR(__xludf.DUMMYFUNCTION("""COMPUTED_VALUE"""),0)</f>
        <v>0</v>
      </c>
      <c r="K245" s="118">
        <f ca="1">IFERROR(__xludf.DUMMYFUNCTION("""COMPUTED_VALUE"""),2820)</f>
        <v>2820</v>
      </c>
      <c r="L245" s="119">
        <f ca="1">IFERROR(__xludf.DUMMYFUNCTION("""COMPUTED_VALUE"""),0)</f>
        <v>0</v>
      </c>
      <c r="M245" s="117" t="str">
        <f ca="1">IFERROR(__xludf.DUMMYFUNCTION("""COMPUTED_VALUE"""),"Направлены замечания по конкурсной документации. Исправленный комплект документов повторно не направлен. В законе о бюджете и ГП указаны разные получатели субсидий (Шатура и Рошаль). ")</f>
        <v xml:space="preserve">Направлены замечания по конкурсной документации. Исправленный комплект документов повторно не направлен. В законе о бюджете и ГП указаны разные получатели субсидий (Шатура и Рошаль). </v>
      </c>
      <c r="N245" s="110" t="s">
        <v>564</v>
      </c>
      <c r="O245" s="111"/>
      <c r="P245" s="111"/>
      <c r="Q245" s="115">
        <v>44154</v>
      </c>
      <c r="R245" s="103"/>
      <c r="S245" s="103"/>
      <c r="T245" s="103"/>
      <c r="U245" s="103"/>
      <c r="V245" s="103"/>
      <c r="W245" s="103"/>
      <c r="X245" s="103"/>
      <c r="Y245" s="103"/>
      <c r="Z245" s="103"/>
      <c r="AA245" s="103"/>
    </row>
    <row r="246" spans="1:27" ht="51" x14ac:dyDescent="0.2">
      <c r="A246" s="110">
        <v>243</v>
      </c>
      <c r="B246" s="110" t="s">
        <v>54</v>
      </c>
      <c r="C246" s="111" t="str">
        <f ca="1">IFERROR(__xludf.DUMMYFUNCTION("""COMPUTED_VALUE"""),"МинЖКХ г.о. Можайск")</f>
        <v>МинЖКХ г.о. Можайск</v>
      </c>
      <c r="D246" s="111" t="str">
        <f ca="1">IFERROR(__xludf.DUMMYFUNCTION("""COMPUTED_VALUE"""),"Реконструкция очистных сооружений г. Можайск (в том числе ПИР), кадастровый номер 50:180030307:1016 от 20.11.2018")</f>
        <v>Реконструкция очистных сооружений г. Можайск (в том числе ПИР), кадастровый номер 50:180030307:1016 от 20.11.2018</v>
      </c>
      <c r="E246" s="111">
        <f ca="1">IFERROR(__xludf.DUMMYFUNCTION("""COMPUTED_VALUE"""),2020)</f>
        <v>2020</v>
      </c>
      <c r="F246" s="113">
        <f ca="1">IFERROR(__xludf.DUMMYFUNCTION("""COMPUTED_VALUE"""),34403)</f>
        <v>34403</v>
      </c>
      <c r="G246" s="113">
        <f ca="1">IFERROR(__xludf.DUMMYFUNCTION("""COMPUTED_VALUE"""),0)</f>
        <v>0</v>
      </c>
      <c r="H246" s="113">
        <f ca="1">IFERROR(__xludf.DUMMYFUNCTION("""COMPUTED_VALUE"""),0)</f>
        <v>0</v>
      </c>
      <c r="I246" s="113">
        <f ca="1">IFERROR(__xludf.DUMMYFUNCTION("""COMPUTED_VALUE"""),34403)</f>
        <v>34403</v>
      </c>
      <c r="J246" s="111">
        <f ca="1">IFERROR(__xludf.DUMMYFUNCTION("""COMPUTED_VALUE"""),0)</f>
        <v>0</v>
      </c>
      <c r="K246" s="113">
        <f ca="1">IFERROR(__xludf.DUMMYFUNCTION("""COMPUTED_VALUE"""),34403)</f>
        <v>34403</v>
      </c>
      <c r="L246" s="114">
        <f ca="1">IFERROR(__xludf.DUMMYFUNCTION("""COMPUTED_VALUE"""),0)</f>
        <v>0</v>
      </c>
      <c r="M246" s="111"/>
      <c r="N246" s="110" t="s">
        <v>565</v>
      </c>
      <c r="O246" s="111"/>
      <c r="P246" s="111"/>
      <c r="Q246" s="112"/>
      <c r="R246" s="103"/>
      <c r="S246" s="103"/>
      <c r="T246" s="103"/>
      <c r="U246" s="103"/>
      <c r="V246" s="103"/>
      <c r="W246" s="103"/>
      <c r="X246" s="103"/>
      <c r="Y246" s="103"/>
      <c r="Z246" s="103"/>
      <c r="AA246" s="103"/>
    </row>
    <row r="247" spans="1:27" ht="63.75" x14ac:dyDescent="0.2">
      <c r="A247" s="110">
        <v>244</v>
      </c>
      <c r="B247" s="110" t="s">
        <v>54</v>
      </c>
      <c r="C247" s="111" t="str">
        <f ca="1">IFERROR(__xludf.DUMMYFUNCTION("""COMPUTED_VALUE"""),"г.о. Воскресенск")</f>
        <v>г.о. Воскресенск</v>
      </c>
      <c r="D247" s="111" t="str">
        <f ca="1">IFERROR(__xludf.DUMMYFUNCTION("""COMPUTED_VALUE"""),"Реконструкция самотечного канализационного коллектора по адресу: г. Воскресенск, от жилого дома № 23 по ул. Мичурина до КНС, ул. Коломенская, д.10")</f>
        <v>Реконструкция самотечного канализационного коллектора по адресу: г. Воскресенск, от жилого дома № 23 по ул. Мичурина до КНС, ул. Коломенская, д.10</v>
      </c>
      <c r="E247" s="111" t="str">
        <f ca="1">IFERROR(__xludf.DUMMYFUNCTION("""COMPUTED_VALUE"""),"2020-2021")</f>
        <v>2020-2021</v>
      </c>
      <c r="F247" s="113">
        <f ca="1">IFERROR(__xludf.DUMMYFUNCTION("""COMPUTED_VALUE"""),0)</f>
        <v>0</v>
      </c>
      <c r="G247" s="113">
        <f ca="1">IFERROR(__xludf.DUMMYFUNCTION("""COMPUTED_VALUE"""),0)</f>
        <v>0</v>
      </c>
      <c r="H247" s="113">
        <f ca="1">IFERROR(__xludf.DUMMYFUNCTION("""COMPUTED_VALUE"""),0)</f>
        <v>0</v>
      </c>
      <c r="I247" s="113">
        <f ca="1">IFERROR(__xludf.DUMMYFUNCTION("""COMPUTED_VALUE"""),0)</f>
        <v>0</v>
      </c>
      <c r="J247" s="111">
        <f ca="1">IFERROR(__xludf.DUMMYFUNCTION("""COMPUTED_VALUE"""),0)</f>
        <v>0</v>
      </c>
      <c r="K247" s="113">
        <f ca="1">IFERROR(__xludf.DUMMYFUNCTION("""COMPUTED_VALUE"""),0)</f>
        <v>0</v>
      </c>
      <c r="L247" s="114" t="str">
        <f ca="1">IFERROR(__xludf.DUMMYFUNCTION("""COMPUTED_VALUE"""),"#DIV/0!")</f>
        <v>#DIV/0!</v>
      </c>
      <c r="M247" s="111"/>
      <c r="N247" s="111"/>
      <c r="O247" s="111"/>
      <c r="P247" s="111"/>
      <c r="Q247" s="112"/>
      <c r="R247" s="103"/>
      <c r="S247" s="103"/>
      <c r="T247" s="103"/>
      <c r="U247" s="103"/>
      <c r="V247" s="103"/>
      <c r="W247" s="103"/>
      <c r="X247" s="103"/>
      <c r="Y247" s="103"/>
      <c r="Z247" s="103"/>
      <c r="AA247" s="103"/>
    </row>
    <row r="248" spans="1:27" ht="63.75" x14ac:dyDescent="0.2">
      <c r="A248" s="110">
        <v>245</v>
      </c>
      <c r="B248" s="110" t="s">
        <v>54</v>
      </c>
      <c r="C248" s="111" t="str">
        <f ca="1">IFERROR(__xludf.DUMMYFUNCTION("""COMPUTED_VALUE"""),"г.о. Воскресенск")</f>
        <v>г.о. Воскресенск</v>
      </c>
      <c r="D248" s="111" t="str">
        <f ca="1">IFERROR(__xludf.DUMMYFUNCTION("""COMPUTED_VALUE"""),"Реконструкция самотечного канализационного коллектора по адресу: г. Воскресенск, от жилого дома № 28 ул. Маркина  до КНС, ул. Центральная, д. 32а ")</f>
        <v xml:space="preserve">Реконструкция самотечного канализационного коллектора по адресу: г. Воскресенск, от жилого дома № 28 ул. Маркина  до КНС, ул. Центральная, д. 32а </v>
      </c>
      <c r="E248" s="111" t="str">
        <f ca="1">IFERROR(__xludf.DUMMYFUNCTION("""COMPUTED_VALUE"""),"2020-2021")</f>
        <v>2020-2021</v>
      </c>
      <c r="F248" s="113">
        <f ca="1">IFERROR(__xludf.DUMMYFUNCTION("""COMPUTED_VALUE"""),20442.06)</f>
        <v>20442.060000000001</v>
      </c>
      <c r="G248" s="113">
        <f ca="1">IFERROR(__xludf.DUMMYFUNCTION("""COMPUTED_VALUE"""),20442.06)</f>
        <v>20442.060000000001</v>
      </c>
      <c r="H248" s="113">
        <f ca="1">IFERROR(__xludf.DUMMYFUNCTION("""COMPUTED_VALUE"""),0)</f>
        <v>0</v>
      </c>
      <c r="I248" s="113">
        <f ca="1">IFERROR(__xludf.DUMMYFUNCTION("""COMPUTED_VALUE"""),0)</f>
        <v>0</v>
      </c>
      <c r="J248" s="111">
        <f ca="1">IFERROR(__xludf.DUMMYFUNCTION("""COMPUTED_VALUE"""),17287.54)</f>
        <v>17287.54</v>
      </c>
      <c r="K248" s="113">
        <f ca="1">IFERROR(__xludf.DUMMYFUNCTION("""COMPUTED_VALUE"""),3154.52)</f>
        <v>3154.52</v>
      </c>
      <c r="L248" s="114">
        <f ca="1">IFERROR(__xludf.DUMMYFUNCTION("""COMPUTED_VALUE"""),0.84568482824138)</f>
        <v>0.84568482824138003</v>
      </c>
      <c r="M248" s="111"/>
      <c r="N248" s="110" t="s">
        <v>566</v>
      </c>
      <c r="O248" s="111"/>
      <c r="P248" s="111"/>
      <c r="Q248" s="112"/>
      <c r="R248" s="103"/>
      <c r="S248" s="103"/>
      <c r="T248" s="103"/>
      <c r="U248" s="103"/>
      <c r="V248" s="103"/>
      <c r="W248" s="103"/>
      <c r="X248" s="103"/>
      <c r="Y248" s="103"/>
      <c r="Z248" s="103"/>
      <c r="AA248" s="103"/>
    </row>
    <row r="249" spans="1:27" ht="76.5" x14ac:dyDescent="0.2">
      <c r="A249" s="110">
        <v>246</v>
      </c>
      <c r="B249" s="110" t="s">
        <v>54</v>
      </c>
      <c r="C249" s="111" t="str">
        <f ca="1">IFERROR(__xludf.DUMMYFUNCTION("""COMPUTED_VALUE"""),"г.о. Воскресенск")</f>
        <v>г.о. Воскресенск</v>
      </c>
      <c r="D249" s="111" t="str">
        <f ca="1">IFERROR(__xludf.DUMMYFUNCTION("""COMPUTED_VALUE"""),"Реконструкция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f>
        <v xml:space="preserv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v>
      </c>
      <c r="E249" s="111">
        <f ca="1">IFERROR(__xludf.DUMMYFUNCTION("""COMPUTED_VALUE"""),2022)</f>
        <v>2022</v>
      </c>
      <c r="F249" s="113">
        <f ca="1">IFERROR(__xludf.DUMMYFUNCTION("""COMPUTED_VALUE"""),0)</f>
        <v>0</v>
      </c>
      <c r="G249" s="113">
        <f ca="1">IFERROR(__xludf.DUMMYFUNCTION("""COMPUTED_VALUE"""),0)</f>
        <v>0</v>
      </c>
      <c r="H249" s="113">
        <f ca="1">IFERROR(__xludf.DUMMYFUNCTION("""COMPUTED_VALUE"""),0)</f>
        <v>0</v>
      </c>
      <c r="I249" s="113">
        <f ca="1">IFERROR(__xludf.DUMMYFUNCTION("""COMPUTED_VALUE"""),0)</f>
        <v>0</v>
      </c>
      <c r="J249" s="111">
        <f ca="1">IFERROR(__xludf.DUMMYFUNCTION("""COMPUTED_VALUE"""),0)</f>
        <v>0</v>
      </c>
      <c r="K249" s="113">
        <f ca="1">IFERROR(__xludf.DUMMYFUNCTION("""COMPUTED_VALUE"""),0)</f>
        <v>0</v>
      </c>
      <c r="L249" s="114" t="str">
        <f ca="1">IFERROR(__xludf.DUMMYFUNCTION("""COMPUTED_VALUE"""),"#DIV/0!")</f>
        <v>#DIV/0!</v>
      </c>
      <c r="M249" s="111"/>
      <c r="N249" s="111"/>
      <c r="O249" s="111"/>
      <c r="P249" s="111"/>
      <c r="Q249" s="112"/>
      <c r="R249" s="103"/>
      <c r="S249" s="103"/>
      <c r="T249" s="103"/>
      <c r="U249" s="103"/>
      <c r="V249" s="103"/>
      <c r="W249" s="103"/>
      <c r="X249" s="103"/>
      <c r="Y249" s="103"/>
      <c r="Z249" s="103"/>
      <c r="AA249" s="103"/>
    </row>
    <row r="250" spans="1:27" ht="25.5" x14ac:dyDescent="0.2">
      <c r="A250" s="110">
        <v>247</v>
      </c>
      <c r="B250" s="110" t="s">
        <v>54</v>
      </c>
      <c r="C250" s="111" t="str">
        <f ca="1">IFERROR(__xludf.DUMMYFUNCTION("""COMPUTED_VALUE"""),"г.о. Воскресенск")</f>
        <v>г.о. Воскресенск</v>
      </c>
      <c r="D250" s="111" t="str">
        <f ca="1">IFERROR(__xludf.DUMMYFUNCTION("""COMPUTED_VALUE"""),"Реконструкция КНС по адресу: г. Воскресенск, ул. Лермонтова, д.7а ")</f>
        <v xml:space="preserve">Реконструкция КНС по адресу: г. Воскресенск, ул. Лермонтова, д.7а </v>
      </c>
      <c r="E250" s="111">
        <f ca="1">IFERROR(__xludf.DUMMYFUNCTION("""COMPUTED_VALUE"""),2023)</f>
        <v>2023</v>
      </c>
      <c r="F250" s="113">
        <f ca="1">IFERROR(__xludf.DUMMYFUNCTION("""COMPUTED_VALUE"""),0)</f>
        <v>0</v>
      </c>
      <c r="G250" s="113">
        <f ca="1">IFERROR(__xludf.DUMMYFUNCTION("""COMPUTED_VALUE"""),0)</f>
        <v>0</v>
      </c>
      <c r="H250" s="113">
        <f ca="1">IFERROR(__xludf.DUMMYFUNCTION("""COMPUTED_VALUE"""),0)</f>
        <v>0</v>
      </c>
      <c r="I250" s="113">
        <f ca="1">IFERROR(__xludf.DUMMYFUNCTION("""COMPUTED_VALUE"""),0)</f>
        <v>0</v>
      </c>
      <c r="J250" s="111">
        <f ca="1">IFERROR(__xludf.DUMMYFUNCTION("""COMPUTED_VALUE"""),0)</f>
        <v>0</v>
      </c>
      <c r="K250" s="113">
        <f ca="1">IFERROR(__xludf.DUMMYFUNCTION("""COMPUTED_VALUE"""),0)</f>
        <v>0</v>
      </c>
      <c r="L250" s="114" t="str">
        <f ca="1">IFERROR(__xludf.DUMMYFUNCTION("""COMPUTED_VALUE"""),"#DIV/0!")</f>
        <v>#DIV/0!</v>
      </c>
      <c r="M250" s="111"/>
      <c r="N250" s="111"/>
      <c r="O250" s="111"/>
      <c r="P250" s="111"/>
      <c r="Q250" s="112"/>
      <c r="R250" s="103"/>
      <c r="S250" s="103"/>
      <c r="T250" s="103"/>
      <c r="U250" s="103"/>
      <c r="V250" s="103"/>
      <c r="W250" s="103"/>
      <c r="X250" s="103"/>
      <c r="Y250" s="103"/>
      <c r="Z250" s="103"/>
      <c r="AA250" s="103"/>
    </row>
    <row r="251" spans="1:27" ht="89.25" x14ac:dyDescent="0.2">
      <c r="A251" s="110">
        <v>248</v>
      </c>
      <c r="B251" s="110" t="s">
        <v>54</v>
      </c>
      <c r="C251" s="111" t="str">
        <f ca="1">IFERROR(__xludf.DUMMYFUNCTION("""COMPUTED_VALUE"""),"г.о. Богородский")</f>
        <v>г.о. Богородский</v>
      </c>
      <c r="D251" s="111" t="str">
        <f ca="1">IFERROR(__xludf.DUMMYFUNCTION("""COMPUTED_VALUE"""),"Строительство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f>
        <v>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v>
      </c>
      <c r="E251" s="111" t="str">
        <f ca="1">IFERROR(__xludf.DUMMYFUNCTION("""COMPUTED_VALUE"""),"2021-2023")</f>
        <v>2021-2023</v>
      </c>
      <c r="F251" s="113">
        <f ca="1">IFERROR(__xludf.DUMMYFUNCTION("""COMPUTED_VALUE"""),0)</f>
        <v>0</v>
      </c>
      <c r="G251" s="113">
        <f ca="1">IFERROR(__xludf.DUMMYFUNCTION("""COMPUTED_VALUE"""),0)</f>
        <v>0</v>
      </c>
      <c r="H251" s="113">
        <f ca="1">IFERROR(__xludf.DUMMYFUNCTION("""COMPUTED_VALUE"""),0)</f>
        <v>0</v>
      </c>
      <c r="I251" s="113">
        <f ca="1">IFERROR(__xludf.DUMMYFUNCTION("""COMPUTED_VALUE"""),0)</f>
        <v>0</v>
      </c>
      <c r="J251" s="111">
        <f ca="1">IFERROR(__xludf.DUMMYFUNCTION("""COMPUTED_VALUE"""),0)</f>
        <v>0</v>
      </c>
      <c r="K251" s="113">
        <f ca="1">IFERROR(__xludf.DUMMYFUNCTION("""COMPUTED_VALUE"""),0)</f>
        <v>0</v>
      </c>
      <c r="L251" s="114" t="str">
        <f ca="1">IFERROR(__xludf.DUMMYFUNCTION("""COMPUTED_VALUE"""),"#DIV/0!")</f>
        <v>#DIV/0!</v>
      </c>
      <c r="M251" s="111"/>
      <c r="N251" s="111"/>
      <c r="O251" s="111"/>
      <c r="P251" s="111"/>
      <c r="Q251" s="112"/>
      <c r="R251" s="103"/>
      <c r="S251" s="103"/>
      <c r="T251" s="103"/>
      <c r="U251" s="103"/>
      <c r="V251" s="103"/>
      <c r="W251" s="103"/>
      <c r="X251" s="103"/>
      <c r="Y251" s="103"/>
      <c r="Z251" s="103"/>
      <c r="AA251" s="103"/>
    </row>
    <row r="252" spans="1:27" ht="178.5" x14ac:dyDescent="0.2">
      <c r="A252" s="110">
        <v>249</v>
      </c>
      <c r="B252" s="110" t="s">
        <v>54</v>
      </c>
      <c r="C252" s="111" t="str">
        <f ca="1">IFERROR(__xludf.DUMMYFUNCTION("""COMPUTED_VALUE"""),"г.о. Щелково")</f>
        <v>г.о. Щелково</v>
      </c>
      <c r="D252" s="111" t="str">
        <f ca="1">IFERROR(__xludf.DUMMYFUNCTION("""COMPUTED_VALUE"""),"Модернизация КНС ""Соколовская"" г.Щелково, в том числе:")</f>
        <v>Модернизация КНС "Соколовская" г.Щелково, в том числе:</v>
      </c>
      <c r="E252" s="111" t="str">
        <f ca="1">IFERROR(__xludf.DUMMYFUNCTION("""COMPUTED_VALUE"""),"2020-2021")</f>
        <v>2020-2021</v>
      </c>
      <c r="F252" s="113">
        <f ca="1">IFERROR(__xludf.DUMMYFUNCTION("""COMPUTED_VALUE"""),324742)</f>
        <v>324742</v>
      </c>
      <c r="G252" s="113">
        <f ca="1">IFERROR(__xludf.DUMMYFUNCTION("""COMPUTED_VALUE"""),71394)</f>
        <v>71394</v>
      </c>
      <c r="H252" s="113">
        <f ca="1">IFERROR(__xludf.DUMMYFUNCTION("""COMPUTED_VALUE"""),0)</f>
        <v>0</v>
      </c>
      <c r="I252" s="113">
        <f ca="1">IFERROR(__xludf.DUMMYFUNCTION("""COMPUTED_VALUE"""),253348)</f>
        <v>253348</v>
      </c>
      <c r="J252" s="111">
        <f ca="1">IFERROR(__xludf.DUMMYFUNCTION("""COMPUTED_VALUE"""),322965.35)</f>
        <v>322965.34999999998</v>
      </c>
      <c r="K252" s="113">
        <f ca="1">IFERROR(__xludf.DUMMYFUNCTION("""COMPUTED_VALUE"""),1776.64999999999)</f>
        <v>1776.6499999999901</v>
      </c>
      <c r="L252" s="114">
        <f ca="1">IFERROR(__xludf.DUMMYFUNCTION("""COMPUTED_VALUE"""),0.994529041516034)</f>
        <v>0.99452904151603405</v>
      </c>
      <c r="M252" s="111" t="str">
        <f ca="1">IFERROR(__xludf.DUMMYFUNCTION("""COMPUTED_VALUE"""),"Подготовленная рабочая документация не учитывает всего объема выполненых работ, в связи с чем сумму к оплате не может быт ьсформирована в полном объеме. В целях увелечения объемов финансирования рассматривается вопрос включения в КС закупки оборудования. "&amp;" 
Подписано доп. соглашение 
на увеличение аванса на сумму 82 млн. руб. не утверждена мун. программа округа.")</f>
        <v>Подготовленная рабочая документация не учитывает всего объема выполненых работ, в связи с чем сумму к оплате не может быт ьсформирована в полном объеме. В целях увелечения объемов финансирования рассматривается вопрос включения в КС закупки оборудования.  
Подписано доп. соглашение 
на увеличение аванса на сумму 82 млн. руб. не утверждена мун. программа округа.</v>
      </c>
      <c r="N252" s="110" t="s">
        <v>566</v>
      </c>
      <c r="O252" s="111"/>
      <c r="P252" s="111"/>
      <c r="Q252" s="115">
        <v>44154</v>
      </c>
      <c r="R252" s="103"/>
      <c r="S252" s="103"/>
      <c r="T252" s="103"/>
      <c r="U252" s="103"/>
      <c r="V252" s="103"/>
      <c r="W252" s="103"/>
      <c r="X252" s="103"/>
      <c r="Y252" s="103"/>
      <c r="Z252" s="103"/>
      <c r="AA252" s="103"/>
    </row>
    <row r="253" spans="1:27" ht="76.5" x14ac:dyDescent="0.2">
      <c r="A253" s="110">
        <v>250</v>
      </c>
      <c r="B253" s="110" t="s">
        <v>54</v>
      </c>
      <c r="C253" s="111" t="str">
        <f ca="1">IFERROR(__xludf.DUMMYFUNCTION("""COMPUTED_VALUE"""),"г.о. Щелково")</f>
        <v>г.о. Щелково</v>
      </c>
      <c r="D253" s="111" t="str">
        <f ca="1">IFERROR(__xludf.DUMMYFUNCTION("""COMPUTED_VALUE"""),"В том числе проектно-изыскательские работы
 (к объекту Модернизация КНС ""Соколовская"" г.Щелково - включено в общую стоимость работ))")</f>
        <v>В том числе проектно-изыскательские работы
 (к объекту Модернизация КНС "Соколовская" г.Щелково - включено в общую стоимость работ))</v>
      </c>
      <c r="E253" s="111" t="str">
        <f ca="1">IFERROR(__xludf.DUMMYFUNCTION("""COMPUTED_VALUE"""),"Н/Л")</f>
        <v>Н/Л</v>
      </c>
      <c r="F253" s="113">
        <f ca="1">IFERROR(__xludf.DUMMYFUNCTION("""COMPUTED_VALUE"""),0)</f>
        <v>0</v>
      </c>
      <c r="G253" s="113">
        <f ca="1">IFERROR(__xludf.DUMMYFUNCTION("""COMPUTED_VALUE"""),0)</f>
        <v>0</v>
      </c>
      <c r="H253" s="113">
        <f ca="1">IFERROR(__xludf.DUMMYFUNCTION("""COMPUTED_VALUE"""),0)</f>
        <v>0</v>
      </c>
      <c r="I253" s="113">
        <f ca="1">IFERROR(__xludf.DUMMYFUNCTION("""COMPUTED_VALUE"""),0)</f>
        <v>0</v>
      </c>
      <c r="J253" s="111">
        <f ca="1">IFERROR(__xludf.DUMMYFUNCTION("""COMPUTED_VALUE"""),0)</f>
        <v>0</v>
      </c>
      <c r="K253" s="113">
        <f ca="1">IFERROR(__xludf.DUMMYFUNCTION("""COMPUTED_VALUE"""),0)</f>
        <v>0</v>
      </c>
      <c r="L253" s="114" t="str">
        <f ca="1">IFERROR(__xludf.DUMMYFUNCTION("""COMPUTED_VALUE"""),"#DIV/0!")</f>
        <v>#DIV/0!</v>
      </c>
      <c r="M253" s="111"/>
      <c r="N253" s="110" t="s">
        <v>566</v>
      </c>
      <c r="O253" s="111"/>
      <c r="P253" s="111"/>
      <c r="Q253" s="112"/>
      <c r="R253" s="103"/>
      <c r="S253" s="103"/>
      <c r="T253" s="103"/>
      <c r="U253" s="103"/>
      <c r="V253" s="103"/>
      <c r="W253" s="103"/>
      <c r="X253" s="103"/>
      <c r="Y253" s="103"/>
      <c r="Z253" s="103"/>
      <c r="AA253" s="103"/>
    </row>
    <row r="254" spans="1:27" ht="140.25" x14ac:dyDescent="0.2">
      <c r="A254" s="110">
        <v>251</v>
      </c>
      <c r="B254" s="110" t="s">
        <v>54</v>
      </c>
      <c r="C254" s="111" t="str">
        <f ca="1">IFERROR(__xludf.DUMMYFUNCTION("""COMPUTED_VALUE"""),"г.о. Красногорск")</f>
        <v>г.о. Красногорск</v>
      </c>
      <c r="D254" s="111" t="str">
        <f ca="1">IFERROR(__xludf.DUMMYFUNCTION("""COMPUTED_VALUE"""),"Реконструкция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пр"&amp;"авом берегу с дюкерным переходом через реку Москву")</f>
        <v>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правом берегу с дюкерным переходом через реку Москву</v>
      </c>
      <c r="E254" s="111" t="str">
        <f ca="1">IFERROR(__xludf.DUMMYFUNCTION("""COMPUTED_VALUE"""),"2019-2020")</f>
        <v>2019-2020</v>
      </c>
      <c r="F254" s="113">
        <f ca="1">IFERROR(__xludf.DUMMYFUNCTION("""COMPUTED_VALUE"""),82782)</f>
        <v>82782</v>
      </c>
      <c r="G254" s="113">
        <f ca="1">IFERROR(__xludf.DUMMYFUNCTION("""COMPUTED_VALUE"""),0)</f>
        <v>0</v>
      </c>
      <c r="H254" s="113">
        <f ca="1">IFERROR(__xludf.DUMMYFUNCTION("""COMPUTED_VALUE"""),0)</f>
        <v>0</v>
      </c>
      <c r="I254" s="113">
        <f ca="1">IFERROR(__xludf.DUMMYFUNCTION("""COMPUTED_VALUE"""),82782)</f>
        <v>82782</v>
      </c>
      <c r="J254" s="111">
        <f ca="1">IFERROR(__xludf.DUMMYFUNCTION("""COMPUTED_VALUE"""),75061.19)</f>
        <v>75061.19</v>
      </c>
      <c r="K254" s="113">
        <f ca="1">IFERROR(__xludf.DUMMYFUNCTION("""COMPUTED_VALUE"""),7720.80999999999)</f>
        <v>7720.8099999999904</v>
      </c>
      <c r="L254" s="114">
        <f ca="1">IFERROR(__xludf.DUMMYFUNCTION("""COMPUTED_VALUE"""),0.90673322703003)</f>
        <v>0.90673322703003001</v>
      </c>
      <c r="M254" s="111" t="str">
        <f ca="1">IFERROR(__xludf.DUMMYFUNCTION("""COMPUTED_VALUE"""),"
экономия по СМР 9 млн. руб")</f>
        <v xml:space="preserve">
экономия по СМР 9 млн. руб</v>
      </c>
      <c r="N254" s="110" t="s">
        <v>564</v>
      </c>
      <c r="O254" s="111"/>
      <c r="P254" s="111"/>
      <c r="Q254" s="112"/>
      <c r="R254" s="103"/>
      <c r="S254" s="103"/>
      <c r="T254" s="103"/>
      <c r="U254" s="103"/>
      <c r="V254" s="103"/>
      <c r="W254" s="103"/>
      <c r="X254" s="103"/>
      <c r="Y254" s="103"/>
      <c r="Z254" s="103"/>
      <c r="AA254" s="103"/>
    </row>
    <row r="255" spans="1:27" ht="153" x14ac:dyDescent="0.2">
      <c r="A255" s="110">
        <v>252</v>
      </c>
      <c r="B255" s="110" t="s">
        <v>54</v>
      </c>
      <c r="C255" s="111" t="str">
        <f ca="1">IFERROR(__xludf.DUMMYFUNCTION("""COMPUTED_VALUE"""),"г.о. Подольск")</f>
        <v>г.о. Подольск</v>
      </c>
      <c r="D255" s="111" t="str">
        <f ca="1">IFERROR(__xludf.DUMMYFUNCTION("""COMPUTED_VALUE"""),"Строительство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р"&amp;"аботы, выполненные в предшествующие годы: 2015 г. – 14258,99 тыс. руб.), в том числе: корректировка проекта")</f>
        <v>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работы, выполненные в предшествующие годы: 2015 г. – 14258,99 тыс. руб.), в том числе: корректировка проекта</v>
      </c>
      <c r="E255" s="111" t="str">
        <f ca="1">IFERROR(__xludf.DUMMYFUNCTION("""COMPUTED_VALUE"""),"2021-2022")</f>
        <v>2021-2022</v>
      </c>
      <c r="F255" s="113">
        <f ca="1">IFERROR(__xludf.DUMMYFUNCTION("""COMPUTED_VALUE"""),0)</f>
        <v>0</v>
      </c>
      <c r="G255" s="113">
        <f ca="1">IFERROR(__xludf.DUMMYFUNCTION("""COMPUTED_VALUE"""),0)</f>
        <v>0</v>
      </c>
      <c r="H255" s="113">
        <f ca="1">IFERROR(__xludf.DUMMYFUNCTION("""COMPUTED_VALUE"""),0)</f>
        <v>0</v>
      </c>
      <c r="I255" s="113">
        <f ca="1">IFERROR(__xludf.DUMMYFUNCTION("""COMPUTED_VALUE"""),0)</f>
        <v>0</v>
      </c>
      <c r="J255" s="111">
        <f ca="1">IFERROR(__xludf.DUMMYFUNCTION("""COMPUTED_VALUE"""),0)</f>
        <v>0</v>
      </c>
      <c r="K255" s="113">
        <f ca="1">IFERROR(__xludf.DUMMYFUNCTION("""COMPUTED_VALUE"""),0)</f>
        <v>0</v>
      </c>
      <c r="L255" s="114" t="str">
        <f ca="1">IFERROR(__xludf.DUMMYFUNCTION("""COMPUTED_VALUE"""),"#DIV/0!")</f>
        <v>#DIV/0!</v>
      </c>
      <c r="M255" s="111"/>
      <c r="N255" s="111"/>
      <c r="O255" s="111"/>
      <c r="P255" s="111"/>
      <c r="Q255" s="112"/>
      <c r="R255" s="103"/>
      <c r="S255" s="103"/>
      <c r="T255" s="103"/>
      <c r="U255" s="103"/>
      <c r="V255" s="103"/>
      <c r="W255" s="103"/>
      <c r="X255" s="103"/>
      <c r="Y255" s="103"/>
      <c r="Z255" s="103"/>
      <c r="AA255" s="103"/>
    </row>
    <row r="256" spans="1:27" ht="89.25" x14ac:dyDescent="0.2">
      <c r="A256" s="110">
        <v>253</v>
      </c>
      <c r="B256" s="116" t="s">
        <v>54</v>
      </c>
      <c r="C256" s="117" t="str">
        <f ca="1">IFERROR(__xludf.DUMMYFUNCTION("""COMPUTED_VALUE"""),"г.о. Одинцово")</f>
        <v>г.о. Одинцово</v>
      </c>
      <c r="D256" s="117" t="str">
        <f ca="1">IFERROR(__xludf.DUMMYFUNCTION("""COMPUTED_VALUE"""),"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f>
        <v xml:space="preserv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v>
      </c>
      <c r="E256" s="117">
        <f ca="1">IFERROR(__xludf.DUMMYFUNCTION("""COMPUTED_VALUE"""),2021)</f>
        <v>2021</v>
      </c>
      <c r="F256" s="118">
        <f ca="1">IFERROR(__xludf.DUMMYFUNCTION("""COMPUTED_VALUE"""),0)</f>
        <v>0</v>
      </c>
      <c r="G256" s="118">
        <f ca="1">IFERROR(__xludf.DUMMYFUNCTION("""COMPUTED_VALUE"""),0)</f>
        <v>0</v>
      </c>
      <c r="H256" s="118">
        <f ca="1">IFERROR(__xludf.DUMMYFUNCTION("""COMPUTED_VALUE"""),0)</f>
        <v>0</v>
      </c>
      <c r="I256" s="118">
        <f ca="1">IFERROR(__xludf.DUMMYFUNCTION("""COMPUTED_VALUE"""),0)</f>
        <v>0</v>
      </c>
      <c r="J256" s="117">
        <f ca="1">IFERROR(__xludf.DUMMYFUNCTION("""COMPUTED_VALUE"""),0)</f>
        <v>0</v>
      </c>
      <c r="K256" s="118">
        <f ca="1">IFERROR(__xludf.DUMMYFUNCTION("""COMPUTED_VALUE"""),0)</f>
        <v>0</v>
      </c>
      <c r="L256" s="119" t="str">
        <f ca="1">IFERROR(__xludf.DUMMYFUNCTION("""COMPUTED_VALUE"""),"#DIV/0!")</f>
        <v>#DIV/0!</v>
      </c>
      <c r="M256" s="117" t="str">
        <f ca="1">IFERROR(__xludf.DUMMYFUNCTION("""COMPUTED_VALUE"""),"ПСД в МОГЭ. В связи с поздней контрактацией мероприятия освоения средства 2020 года не будут освоены. Письмо от ОМСУ о переносе средств на 2021 г.")</f>
        <v>ПСД в МОГЭ. В связи с поздней контрактацией мероприятия освоения средства 2020 года не будут освоены. Письмо от ОМСУ о переносе средств на 2021 г.</v>
      </c>
      <c r="N256" s="111"/>
      <c r="O256" s="111"/>
      <c r="P256" s="111"/>
      <c r="Q256" s="115">
        <v>44154</v>
      </c>
      <c r="R256" s="103"/>
      <c r="S256" s="103"/>
      <c r="T256" s="103"/>
      <c r="U256" s="103"/>
      <c r="V256" s="103"/>
      <c r="W256" s="103"/>
      <c r="X256" s="103"/>
      <c r="Y256" s="103"/>
      <c r="Z256" s="103"/>
      <c r="AA256" s="103"/>
    </row>
    <row r="257" spans="1:27" ht="51" x14ac:dyDescent="0.2">
      <c r="A257" s="110">
        <v>254</v>
      </c>
      <c r="B257" s="110" t="s">
        <v>54</v>
      </c>
      <c r="C257" s="111" t="str">
        <f ca="1">IFERROR(__xludf.DUMMYFUNCTION("""COMPUTED_VALUE"""),"г.о. Солнечногорск")</f>
        <v>г.о. Солнечногорск</v>
      </c>
      <c r="D257" s="111" t="str">
        <f ca="1">IFERROR(__xludf.DUMMYFUNCTION("""COMPUTED_VALUE"""),"Реконструкция канализационного коллектора с Д-400 на Д-800 мм, г.п. Солнечногорск (в том числе ПИР)")</f>
        <v>Реконструкция канализационного коллектора с Д-400 на Д-800 мм, г.п. Солнечногорск (в том числе ПИР)</v>
      </c>
      <c r="E257" s="111">
        <f ca="1">IFERROR(__xludf.DUMMYFUNCTION("""COMPUTED_VALUE"""),2022)</f>
        <v>2022</v>
      </c>
      <c r="F257" s="113">
        <f ca="1">IFERROR(__xludf.DUMMYFUNCTION("""COMPUTED_VALUE"""),0)</f>
        <v>0</v>
      </c>
      <c r="G257" s="113">
        <f ca="1">IFERROR(__xludf.DUMMYFUNCTION("""COMPUTED_VALUE"""),0)</f>
        <v>0</v>
      </c>
      <c r="H257" s="113">
        <f ca="1">IFERROR(__xludf.DUMMYFUNCTION("""COMPUTED_VALUE"""),0)</f>
        <v>0</v>
      </c>
      <c r="I257" s="113">
        <f ca="1">IFERROR(__xludf.DUMMYFUNCTION("""COMPUTED_VALUE"""),0)</f>
        <v>0</v>
      </c>
      <c r="J257" s="111">
        <f ca="1">IFERROR(__xludf.DUMMYFUNCTION("""COMPUTED_VALUE"""),0)</f>
        <v>0</v>
      </c>
      <c r="K257" s="113">
        <f ca="1">IFERROR(__xludf.DUMMYFUNCTION("""COMPUTED_VALUE"""),0)</f>
        <v>0</v>
      </c>
      <c r="L257" s="114" t="str">
        <f ca="1">IFERROR(__xludf.DUMMYFUNCTION("""COMPUTED_VALUE"""),"#DIV/0!")</f>
        <v>#DIV/0!</v>
      </c>
      <c r="M257" s="111"/>
      <c r="N257" s="111"/>
      <c r="O257" s="111"/>
      <c r="P257" s="111"/>
      <c r="Q257" s="112"/>
      <c r="R257" s="103"/>
      <c r="S257" s="103"/>
      <c r="T257" s="103"/>
      <c r="U257" s="103"/>
      <c r="V257" s="103"/>
      <c r="W257" s="103"/>
      <c r="X257" s="103"/>
      <c r="Y257" s="103"/>
      <c r="Z257" s="103"/>
      <c r="AA257" s="103"/>
    </row>
    <row r="258" spans="1:27" ht="102" x14ac:dyDescent="0.2">
      <c r="A258" s="110">
        <v>255</v>
      </c>
      <c r="B258" s="110" t="s">
        <v>54</v>
      </c>
      <c r="C258" s="111" t="str">
        <f ca="1">IFERROR(__xludf.DUMMYFUNCTION("""COMPUTED_VALUE"""),"г.о. Сергиев Посад")</f>
        <v>г.о. Сергиев Посад</v>
      </c>
      <c r="D258" s="112" t="str">
        <f ca="1">IFERROR(__xludf.DUMMYFUNCTION("""COMPUTED_VALUE"""),"Реконструкция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f>
        <v>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v>
      </c>
      <c r="E258" s="111" t="str">
        <f ca="1">IFERROR(__xludf.DUMMYFUNCTION("""COMPUTED_VALUE"""),"2020-2021")</f>
        <v>2020-2021</v>
      </c>
      <c r="F258" s="113">
        <f ca="1">IFERROR(__xludf.DUMMYFUNCTION("""COMPUTED_VALUE"""),95035)</f>
        <v>95035</v>
      </c>
      <c r="G258" s="113">
        <f ca="1">IFERROR(__xludf.DUMMYFUNCTION("""COMPUTED_VALUE"""),0)</f>
        <v>0</v>
      </c>
      <c r="H258" s="113">
        <f ca="1">IFERROR(__xludf.DUMMYFUNCTION("""COMPUTED_VALUE"""),0)</f>
        <v>0</v>
      </c>
      <c r="I258" s="113">
        <f ca="1">IFERROR(__xludf.DUMMYFUNCTION("""COMPUTED_VALUE"""),95035)</f>
        <v>95035</v>
      </c>
      <c r="J258" s="111">
        <f ca="1">IFERROR(__xludf.DUMMYFUNCTION("""COMPUTED_VALUE"""),77388.97)</f>
        <v>77388.97</v>
      </c>
      <c r="K258" s="113">
        <f ca="1">IFERROR(__xludf.DUMMYFUNCTION("""COMPUTED_VALUE"""),17646.03)</f>
        <v>17646.03</v>
      </c>
      <c r="L258" s="114">
        <f ca="1">IFERROR(__xludf.DUMMYFUNCTION("""COMPUTED_VALUE"""),0.81432072394381)</f>
        <v>0.81432072394381005</v>
      </c>
      <c r="M258" s="111" t="str">
        <f ca="1">IFERROR(__xludf.DUMMYFUNCTION("""COMPUTED_VALUE"""),"Лимиты 2020 не будут Освоены 
Заключение получено, не присвоен номер. В связи с поздним выходом из МОГЭ риск неосвоения лимитов 2020 года. Направлено письмо от ОМСУ о переносе лимитов на 2021.")</f>
        <v>Лимиты 2020 не будут Освоены 
Заключение получено, не присвоен номер. В связи с поздним выходом из МОГЭ риск неосвоения лимитов 2020 года. Направлено письмо от ОМСУ о переносе лимитов на 2021.</v>
      </c>
      <c r="N258" s="110" t="s">
        <v>560</v>
      </c>
      <c r="O258" s="111"/>
      <c r="P258" s="111"/>
      <c r="Q258" s="115">
        <v>44154</v>
      </c>
      <c r="R258" s="103"/>
      <c r="S258" s="103"/>
      <c r="T258" s="103"/>
      <c r="U258" s="103"/>
      <c r="V258" s="103"/>
      <c r="W258" s="103"/>
      <c r="X258" s="103"/>
      <c r="Y258" s="103"/>
      <c r="Z258" s="103"/>
      <c r="AA258" s="103"/>
    </row>
    <row r="259" spans="1:27" ht="89.25" x14ac:dyDescent="0.2">
      <c r="A259" s="110">
        <v>256</v>
      </c>
      <c r="B259" s="110" t="s">
        <v>54</v>
      </c>
      <c r="C259" s="111" t="str">
        <f ca="1">IFERROR(__xludf.DUMMYFUNCTION("""COMPUTED_VALUE"""),"г.о. Ленинский")</f>
        <v>г.о. Ленинский</v>
      </c>
      <c r="D259" s="111" t="str">
        <f ca="1">IFERROR(__xludf.DUMMYFUNCTION("""COMPUTED_VALUE"""),"Строительство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f>
        <v>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v>
      </c>
      <c r="E259" s="111" t="str">
        <f ca="1">IFERROR(__xludf.DUMMYFUNCTION("""COMPUTED_VALUE"""),"2022-2023")</f>
        <v>2022-2023</v>
      </c>
      <c r="F259" s="113">
        <f ca="1">IFERROR(__xludf.DUMMYFUNCTION("""COMPUTED_VALUE"""),0)</f>
        <v>0</v>
      </c>
      <c r="G259" s="113">
        <f ca="1">IFERROR(__xludf.DUMMYFUNCTION("""COMPUTED_VALUE"""),0)</f>
        <v>0</v>
      </c>
      <c r="H259" s="113">
        <f ca="1">IFERROR(__xludf.DUMMYFUNCTION("""COMPUTED_VALUE"""),0)</f>
        <v>0</v>
      </c>
      <c r="I259" s="113">
        <f ca="1">IFERROR(__xludf.DUMMYFUNCTION("""COMPUTED_VALUE"""),0)</f>
        <v>0</v>
      </c>
      <c r="J259" s="111">
        <f ca="1">IFERROR(__xludf.DUMMYFUNCTION("""COMPUTED_VALUE"""),0)</f>
        <v>0</v>
      </c>
      <c r="K259" s="113">
        <f ca="1">IFERROR(__xludf.DUMMYFUNCTION("""COMPUTED_VALUE"""),0)</f>
        <v>0</v>
      </c>
      <c r="L259" s="114" t="str">
        <f ca="1">IFERROR(__xludf.DUMMYFUNCTION("""COMPUTED_VALUE"""),"#DIV/0!")</f>
        <v>#DIV/0!</v>
      </c>
      <c r="M259" s="111"/>
      <c r="N259" s="111"/>
      <c r="O259" s="111"/>
      <c r="P259" s="111"/>
      <c r="Q259" s="112"/>
      <c r="R259" s="103"/>
      <c r="S259" s="103"/>
      <c r="T259" s="103"/>
      <c r="U259" s="103"/>
      <c r="V259" s="103"/>
      <c r="W259" s="103"/>
      <c r="X259" s="103"/>
      <c r="Y259" s="103"/>
      <c r="Z259" s="103"/>
      <c r="AA259" s="103"/>
    </row>
    <row r="260" spans="1:27" ht="38.25" x14ac:dyDescent="0.2">
      <c r="A260" s="110">
        <v>257</v>
      </c>
      <c r="B260" s="110" t="s">
        <v>54</v>
      </c>
      <c r="C260" s="111" t="str">
        <f ca="1">IFERROR(__xludf.DUMMYFUNCTION("""COMPUTED_VALUE"""),"г.о. Коломенский")</f>
        <v>г.о. Коломенский</v>
      </c>
      <c r="D260" s="111" t="str">
        <f ca="1">IFERROR(__xludf.DUMMYFUNCTION("""COMPUTED_VALUE"""),"Капитальный ремонт КНС в с. Непецино, Коломенский г.о. (в т.ч. ПИР) ")</f>
        <v xml:space="preserve">Капитальный ремонт КНС в с. Непецино, Коломенский г.о. (в т.ч. ПИР) </v>
      </c>
      <c r="E260" s="111">
        <f ca="1">IFERROR(__xludf.DUMMYFUNCTION("""COMPUTED_VALUE"""),2022)</f>
        <v>2022</v>
      </c>
      <c r="F260" s="113">
        <f ca="1">IFERROR(__xludf.DUMMYFUNCTION("""COMPUTED_VALUE"""),0)</f>
        <v>0</v>
      </c>
      <c r="G260" s="113">
        <f ca="1">IFERROR(__xludf.DUMMYFUNCTION("""COMPUTED_VALUE"""),0)</f>
        <v>0</v>
      </c>
      <c r="H260" s="113">
        <f ca="1">IFERROR(__xludf.DUMMYFUNCTION("""COMPUTED_VALUE"""),0)</f>
        <v>0</v>
      </c>
      <c r="I260" s="113">
        <f ca="1">IFERROR(__xludf.DUMMYFUNCTION("""COMPUTED_VALUE"""),0)</f>
        <v>0</v>
      </c>
      <c r="J260" s="111">
        <f ca="1">IFERROR(__xludf.DUMMYFUNCTION("""COMPUTED_VALUE"""),0)</f>
        <v>0</v>
      </c>
      <c r="K260" s="113">
        <f ca="1">IFERROR(__xludf.DUMMYFUNCTION("""COMPUTED_VALUE"""),0)</f>
        <v>0</v>
      </c>
      <c r="L260" s="114" t="str">
        <f ca="1">IFERROR(__xludf.DUMMYFUNCTION("""COMPUTED_VALUE"""),"#DIV/0!")</f>
        <v>#DIV/0!</v>
      </c>
      <c r="M260" s="111"/>
      <c r="N260" s="111"/>
      <c r="O260" s="111"/>
      <c r="P260" s="111"/>
      <c r="Q260" s="112"/>
      <c r="R260" s="103"/>
      <c r="S260" s="103"/>
      <c r="T260" s="103"/>
      <c r="U260" s="103"/>
      <c r="V260" s="103"/>
      <c r="W260" s="103"/>
      <c r="X260" s="103"/>
      <c r="Y260" s="103"/>
      <c r="Z260" s="103"/>
      <c r="AA260" s="103"/>
    </row>
    <row r="261" spans="1:27" ht="51" x14ac:dyDescent="0.2">
      <c r="A261" s="110">
        <v>258</v>
      </c>
      <c r="B261" s="110" t="s">
        <v>54</v>
      </c>
      <c r="C261" s="111" t="str">
        <f ca="1">IFERROR(__xludf.DUMMYFUNCTION("""COMPUTED_VALUE"""),"г.о. Коломенский")</f>
        <v>г.о. Коломенский</v>
      </c>
      <c r="D261" s="111" t="str">
        <f ca="1">IFERROR(__xludf.DUMMYFUNCTION("""COMPUTED_VALUE"""),"Капитальный ремонт КНС в с. Непецино ул. Тимохина, Коломенский г.о. (в том числе ПИР) ")</f>
        <v xml:space="preserve">Капитальный ремонт КНС в с. Непецино ул. Тимохина, Коломенский г.о. (в том числе ПИР) </v>
      </c>
      <c r="E261" s="111">
        <f ca="1">IFERROR(__xludf.DUMMYFUNCTION("""COMPUTED_VALUE"""),2022)</f>
        <v>2022</v>
      </c>
      <c r="F261" s="113">
        <f ca="1">IFERROR(__xludf.DUMMYFUNCTION("""COMPUTED_VALUE"""),0)</f>
        <v>0</v>
      </c>
      <c r="G261" s="113">
        <f ca="1">IFERROR(__xludf.DUMMYFUNCTION("""COMPUTED_VALUE"""),0)</f>
        <v>0</v>
      </c>
      <c r="H261" s="113">
        <f ca="1">IFERROR(__xludf.DUMMYFUNCTION("""COMPUTED_VALUE"""),0)</f>
        <v>0</v>
      </c>
      <c r="I261" s="113">
        <f ca="1">IFERROR(__xludf.DUMMYFUNCTION("""COMPUTED_VALUE"""),0)</f>
        <v>0</v>
      </c>
      <c r="J261" s="111">
        <f ca="1">IFERROR(__xludf.DUMMYFUNCTION("""COMPUTED_VALUE"""),0)</f>
        <v>0</v>
      </c>
      <c r="K261" s="113">
        <f ca="1">IFERROR(__xludf.DUMMYFUNCTION("""COMPUTED_VALUE"""),0)</f>
        <v>0</v>
      </c>
      <c r="L261" s="114" t="str">
        <f ca="1">IFERROR(__xludf.DUMMYFUNCTION("""COMPUTED_VALUE"""),"#DIV/0!")</f>
        <v>#DIV/0!</v>
      </c>
      <c r="M261" s="111"/>
      <c r="N261" s="111"/>
      <c r="O261" s="111"/>
      <c r="P261" s="111"/>
      <c r="Q261" s="112"/>
      <c r="R261" s="103"/>
      <c r="S261" s="103"/>
      <c r="T261" s="103"/>
      <c r="U261" s="103"/>
      <c r="V261" s="103"/>
      <c r="W261" s="103"/>
      <c r="X261" s="103"/>
      <c r="Y261" s="103"/>
      <c r="Z261" s="103"/>
      <c r="AA261" s="103"/>
    </row>
    <row r="262" spans="1:27" ht="51" x14ac:dyDescent="0.2">
      <c r="A262" s="110">
        <v>259</v>
      </c>
      <c r="B262" s="110" t="s">
        <v>54</v>
      </c>
      <c r="C262" s="111" t="str">
        <f ca="1">IFERROR(__xludf.DUMMYFUNCTION("""COMPUTED_VALUE"""),"г.о. Серпухов")</f>
        <v>г.о. Серпухов</v>
      </c>
      <c r="D262" s="111" t="str">
        <f ca="1">IFERROR(__xludf.DUMMYFUNCTION("""COMPUTED_VALUE"""),"Капитальный ремонт самотечного каналиационного коллектора Д=500мм в п. Оболенск, Серпуховский м.р.")</f>
        <v>Капитальный ремонт самотечного каналиационного коллектора Д=500мм в п. Оболенск, Серпуховский м.р.</v>
      </c>
      <c r="E262" s="111">
        <f ca="1">IFERROR(__xludf.DUMMYFUNCTION("""COMPUTED_VALUE"""),2020)</f>
        <v>2020</v>
      </c>
      <c r="F262" s="113">
        <f ca="1">IFERROR(__xludf.DUMMYFUNCTION("""COMPUTED_VALUE"""),1472)</f>
        <v>1472</v>
      </c>
      <c r="G262" s="113">
        <f ca="1">IFERROR(__xludf.DUMMYFUNCTION("""COMPUTED_VALUE"""),1472)</f>
        <v>1472</v>
      </c>
      <c r="H262" s="113">
        <f ca="1">IFERROR(__xludf.DUMMYFUNCTION("""COMPUTED_VALUE"""),0)</f>
        <v>0</v>
      </c>
      <c r="I262" s="113">
        <f ca="1">IFERROR(__xludf.DUMMYFUNCTION("""COMPUTED_VALUE"""),0)</f>
        <v>0</v>
      </c>
      <c r="J262" s="111">
        <f ca="1">IFERROR(__xludf.DUMMYFUNCTION("""COMPUTED_VALUE"""),1405.76)</f>
        <v>1405.76</v>
      </c>
      <c r="K262" s="113">
        <f ca="1">IFERROR(__xludf.DUMMYFUNCTION("""COMPUTED_VALUE"""),66.24)</f>
        <v>66.239999999999995</v>
      </c>
      <c r="L262" s="114">
        <f ca="1">IFERROR(__xludf.DUMMYFUNCTION("""COMPUTED_VALUE"""),0.955)</f>
        <v>0.95499999999999996</v>
      </c>
      <c r="M262" s="111"/>
      <c r="N262" s="110" t="s">
        <v>564</v>
      </c>
      <c r="O262" s="111"/>
      <c r="P262" s="111"/>
      <c r="Q262" s="112"/>
      <c r="R262" s="103"/>
      <c r="S262" s="103"/>
      <c r="T262" s="103"/>
      <c r="U262" s="103"/>
      <c r="V262" s="103"/>
      <c r="W262" s="103"/>
      <c r="X262" s="103"/>
      <c r="Y262" s="103"/>
      <c r="Z262" s="103"/>
      <c r="AA262" s="103"/>
    </row>
    <row r="263" spans="1:27" ht="76.5" x14ac:dyDescent="0.2">
      <c r="A263" s="110">
        <v>260</v>
      </c>
      <c r="B263" s="110" t="s">
        <v>54</v>
      </c>
      <c r="C263" s="111" t="str">
        <f ca="1">IFERROR(__xludf.DUMMYFUNCTION("""COMPUTED_VALUE"""),"г.о. Щелково")</f>
        <v>г.о. Щелково</v>
      </c>
      <c r="D263" s="111" t="str">
        <f ca="1">IFERROR(__xludf.DUMMYFUNCTION("""COMPUTED_VALUE"""),"Капитальный ремонт коллектора 2Д=1200мм (две нитки), проходящего в железобетонном дюкере по дну реки Клязьма и в прилегающей береговой зоне,  Щелковский м.р. ")</f>
        <v xml:space="preserve">Капитальный ремонт коллектора 2Д=1200мм (две нитки), проходящего в железобетонном дюкере по дну реки Клязьма и в прилегающей береговой зоне,  Щелковский м.р. </v>
      </c>
      <c r="E263" s="111" t="str">
        <f ca="1">IFERROR(__xludf.DUMMYFUNCTION("""COMPUTED_VALUE"""),"2020-2021")</f>
        <v>2020-2021</v>
      </c>
      <c r="F263" s="113">
        <f ca="1">IFERROR(__xludf.DUMMYFUNCTION("""COMPUTED_VALUE"""),166468)</f>
        <v>166468</v>
      </c>
      <c r="G263" s="113">
        <f ca="1">IFERROR(__xludf.DUMMYFUNCTION("""COMPUTED_VALUE"""),85219)</f>
        <v>85219</v>
      </c>
      <c r="H263" s="113">
        <f ca="1">IFERROR(__xludf.DUMMYFUNCTION("""COMPUTED_VALUE"""),0)</f>
        <v>0</v>
      </c>
      <c r="I263" s="113">
        <f ca="1">IFERROR(__xludf.DUMMYFUNCTION("""COMPUTED_VALUE"""),81249)</f>
        <v>81249</v>
      </c>
      <c r="J263" s="111">
        <f ca="1">IFERROR(__xludf.DUMMYFUNCTION("""COMPUTED_VALUE"""),166273)</f>
        <v>166273</v>
      </c>
      <c r="K263" s="113">
        <f ca="1">IFERROR(__xludf.DUMMYFUNCTION("""COMPUTED_VALUE"""),195)</f>
        <v>195</v>
      </c>
      <c r="L263" s="114">
        <f ca="1">IFERROR(__xludf.DUMMYFUNCTION("""COMPUTED_VALUE"""),0.998828603695605)</f>
        <v>0.998828603695605</v>
      </c>
      <c r="M263" s="111"/>
      <c r="N263" s="110" t="s">
        <v>566</v>
      </c>
      <c r="O263" s="111"/>
      <c r="P263" s="111"/>
      <c r="Q263" s="112"/>
      <c r="R263" s="103"/>
      <c r="S263" s="103"/>
      <c r="T263" s="103"/>
      <c r="U263" s="103"/>
      <c r="V263" s="103"/>
      <c r="W263" s="103"/>
      <c r="X263" s="103"/>
      <c r="Y263" s="103"/>
      <c r="Z263" s="103"/>
      <c r="AA263" s="103"/>
    </row>
    <row r="264" spans="1:27" ht="140.25" x14ac:dyDescent="0.2">
      <c r="A264" s="110">
        <v>261</v>
      </c>
      <c r="B264" s="116" t="s">
        <v>54</v>
      </c>
      <c r="C264" s="117" t="str">
        <f ca="1">IFERROR(__xludf.DUMMYFUNCTION("""COMPUTED_VALUE"""),"г.о. Балашиха")</f>
        <v>г.о. Балашиха</v>
      </c>
      <c r="D264" s="117" t="str">
        <f ca="1">IFERROR(__xludf.DUMMYFUNCTION("""COMPUTED_VALUE"""),"Капитальный ремонт Фенинской районной канализационной насосной станции, г.о. Балашиха ")</f>
        <v xml:space="preserve">Капитальный ремонт Фенинской районной канализационной насосной станции, г.о. Балашиха </v>
      </c>
      <c r="E264" s="117">
        <f ca="1">IFERROR(__xludf.DUMMYFUNCTION("""COMPUTED_VALUE"""),2020)</f>
        <v>2020</v>
      </c>
      <c r="F264" s="118">
        <f ca="1">IFERROR(__xludf.DUMMYFUNCTION("""COMPUTED_VALUE"""),76025)</f>
        <v>76025</v>
      </c>
      <c r="G264" s="118">
        <f ca="1">IFERROR(__xludf.DUMMYFUNCTION("""COMPUTED_VALUE"""),76025)</f>
        <v>76025</v>
      </c>
      <c r="H264" s="118">
        <f ca="1">IFERROR(__xludf.DUMMYFUNCTION("""COMPUTED_VALUE"""),0)</f>
        <v>0</v>
      </c>
      <c r="I264" s="118">
        <f ca="1">IFERROR(__xludf.DUMMYFUNCTION("""COMPUTED_VALUE"""),0)</f>
        <v>0</v>
      </c>
      <c r="J264" s="117">
        <f ca="1">IFERROR(__xludf.DUMMYFUNCTION("""COMPUTED_VALUE"""),36409.39)</f>
        <v>36409.39</v>
      </c>
      <c r="K264" s="118">
        <f ca="1">IFERROR(__xludf.DUMMYFUNCTION("""COMPUTED_VALUE"""),39615.61)</f>
        <v>39615.61</v>
      </c>
      <c r="L264" s="119">
        <f ca="1">IFERROR(__xludf.DUMMYFUNCTION("""COMPUTED_VALUE"""),0.478913383755343)</f>
        <v>0.47891338375534298</v>
      </c>
      <c r="M264" s="117" t="str">
        <f ca="1">IFERROR(__xludf.DUMMYFUNCTION("""COMPUTED_VALUE"""),"Низкий темп выполнения работ. Задержки в поставке оборудования. Средства 2020 года в полном объёме освоены не будут. Поставка 4 насосов в фервале-марте 2021.Заказчиком подписаны КС на сумму 8,3 млн. руб. направление заявки на оплату в размере 6,9 млн. до "&amp;"26.11.2020. Риск не освония 30 млн. руб.")</f>
        <v>Низкий темп выполнения работ. Задержки в поставке оборудования. Средства 2020 года в полном объёме освоены не будут. Поставка 4 насосов в фервале-марте 2021.Заказчиком подписаны КС на сумму 8,3 млн. руб. направление заявки на оплату в размере 6,9 млн. до 26.11.2020. Риск не освония 30 млн. руб.</v>
      </c>
      <c r="N264" s="110" t="s">
        <v>564</v>
      </c>
      <c r="O264" s="111"/>
      <c r="P264" s="111"/>
      <c r="Q264" s="115">
        <v>44154</v>
      </c>
      <c r="R264" s="103"/>
      <c r="S264" s="103"/>
      <c r="T264" s="103"/>
      <c r="U264" s="103"/>
      <c r="V264" s="103"/>
      <c r="W264" s="103"/>
      <c r="X264" s="103"/>
      <c r="Y264" s="103"/>
      <c r="Z264" s="103"/>
      <c r="AA264" s="103"/>
    </row>
    <row r="265" spans="1:27" ht="89.25" x14ac:dyDescent="0.2">
      <c r="A265" s="110">
        <v>262</v>
      </c>
      <c r="B265" s="110" t="s">
        <v>54</v>
      </c>
      <c r="C265" s="111" t="str">
        <f ca="1">IFERROR(__xludf.DUMMYFUNCTION("""COMPUTED_VALUE"""),"г.о. Щелково")</f>
        <v>г.о. Щелково</v>
      </c>
      <c r="D265" s="111" t="str">
        <f ca="1">IFERROR(__xludf.DUMMYFUNCTION("""COMPUTED_VALUE"""),"Капитальный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f>
        <v>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v>
      </c>
      <c r="E265" s="111">
        <f ca="1">IFERROR(__xludf.DUMMYFUNCTION("""COMPUTED_VALUE"""),2020)</f>
        <v>2020</v>
      </c>
      <c r="F265" s="113">
        <f ca="1">IFERROR(__xludf.DUMMYFUNCTION("""COMPUTED_VALUE"""),80414)</f>
        <v>80414</v>
      </c>
      <c r="G265" s="113">
        <f ca="1">IFERROR(__xludf.DUMMYFUNCTION("""COMPUTED_VALUE"""),80414)</f>
        <v>80414</v>
      </c>
      <c r="H265" s="113">
        <f ca="1">IFERROR(__xludf.DUMMYFUNCTION("""COMPUTED_VALUE"""),0)</f>
        <v>0</v>
      </c>
      <c r="I265" s="113">
        <f ca="1">IFERROR(__xludf.DUMMYFUNCTION("""COMPUTED_VALUE"""),0)</f>
        <v>0</v>
      </c>
      <c r="J265" s="111">
        <f ca="1">IFERROR(__xludf.DUMMYFUNCTION("""COMPUTED_VALUE"""),79752.27)</f>
        <v>79752.27</v>
      </c>
      <c r="K265" s="113">
        <f ca="1">IFERROR(__xludf.DUMMYFUNCTION("""COMPUTED_VALUE"""),661.729999999995)</f>
        <v>661.72999999999502</v>
      </c>
      <c r="L265" s="114">
        <f ca="1">IFERROR(__xludf.DUMMYFUNCTION("""COMPUTED_VALUE"""),0.991770960280548)</f>
        <v>0.99177096028054801</v>
      </c>
      <c r="M265" s="111"/>
      <c r="N265" s="110" t="s">
        <v>566</v>
      </c>
      <c r="O265" s="111"/>
      <c r="P265" s="111"/>
      <c r="Q265" s="112"/>
      <c r="R265" s="103"/>
      <c r="S265" s="103"/>
      <c r="T265" s="103"/>
      <c r="U265" s="103"/>
      <c r="V265" s="103"/>
      <c r="W265" s="103"/>
      <c r="X265" s="103"/>
      <c r="Y265" s="103"/>
      <c r="Z265" s="103"/>
      <c r="AA265" s="103"/>
    </row>
    <row r="266" spans="1:27" ht="63.75" x14ac:dyDescent="0.2">
      <c r="A266" s="110">
        <v>263</v>
      </c>
      <c r="B266" s="110" t="s">
        <v>54</v>
      </c>
      <c r="C266" s="111" t="str">
        <f ca="1">IFERROR(__xludf.DUMMYFUNCTION("""COMPUTED_VALUE"""),"г.о. Ликино-Дулево")</f>
        <v>г.о. Ликино-Дулево</v>
      </c>
      <c r="D266" s="111" t="str">
        <f ca="1">IFERROR(__xludf.DUMMYFUNCTION("""COMPUTED_VALUE"""),"Капитальный ремонт напорного канализационного коллектора от КНС д. Новое до ОАО ""Куровские очистные сооружения"" (в т.ч. ПИР), Орехово-Зуевский г.о.")</f>
        <v>Капитальный ремонт напорного канализационного коллектора от КНС д. Новое до ОАО "Куровские очистные сооружения" (в т.ч. ПИР), Орехово-Зуевский г.о.</v>
      </c>
      <c r="E266" s="111" t="str">
        <f ca="1">IFERROR(__xludf.DUMMYFUNCTION("""COMPUTED_VALUE"""),"2021-2022")</f>
        <v>2021-2022</v>
      </c>
      <c r="F266" s="113">
        <f ca="1">IFERROR(__xludf.DUMMYFUNCTION("""COMPUTED_VALUE"""),0)</f>
        <v>0</v>
      </c>
      <c r="G266" s="113">
        <f ca="1">IFERROR(__xludf.DUMMYFUNCTION("""COMPUTED_VALUE"""),0)</f>
        <v>0</v>
      </c>
      <c r="H266" s="113">
        <f ca="1">IFERROR(__xludf.DUMMYFUNCTION("""COMPUTED_VALUE"""),0)</f>
        <v>0</v>
      </c>
      <c r="I266" s="113">
        <f ca="1">IFERROR(__xludf.DUMMYFUNCTION("""COMPUTED_VALUE"""),0)</f>
        <v>0</v>
      </c>
      <c r="J266" s="111">
        <f ca="1">IFERROR(__xludf.DUMMYFUNCTION("""COMPUTED_VALUE"""),0)</f>
        <v>0</v>
      </c>
      <c r="K266" s="113">
        <f ca="1">IFERROR(__xludf.DUMMYFUNCTION("""COMPUTED_VALUE"""),0)</f>
        <v>0</v>
      </c>
      <c r="L266" s="114" t="str">
        <f ca="1">IFERROR(__xludf.DUMMYFUNCTION("""COMPUTED_VALUE"""),"#DIV/0!")</f>
        <v>#DIV/0!</v>
      </c>
      <c r="M266" s="111"/>
      <c r="N266" s="111"/>
      <c r="O266" s="111"/>
      <c r="P266" s="111"/>
      <c r="Q266" s="112"/>
      <c r="R266" s="103"/>
      <c r="S266" s="103"/>
      <c r="T266" s="103"/>
      <c r="U266" s="103"/>
      <c r="V266" s="103"/>
      <c r="W266" s="103"/>
      <c r="X266" s="103"/>
      <c r="Y266" s="103"/>
      <c r="Z266" s="103"/>
      <c r="AA266" s="103"/>
    </row>
    <row r="267" spans="1:27" ht="165.75" x14ac:dyDescent="0.2">
      <c r="A267" s="110">
        <v>264</v>
      </c>
      <c r="B267" s="110" t="s">
        <v>54</v>
      </c>
      <c r="C267" s="111" t="str">
        <f ca="1">IFERROR(__xludf.DUMMYFUNCTION("""COMPUTED_VALUE"""),"г.о. Балашиха")</f>
        <v>г.о. Балашиха</v>
      </c>
      <c r="D267" s="111" t="str">
        <f ca="1">IFERROR(__xludf.DUMMYFUNCTION("""COMPUTED_VALUE"""),"Капитальный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н"&amp;"их средства бюджета Московской области – 5 500,02 тыс.руб., средства бюджета муниципального образования -2 203,09 тыс.руб.)")</f>
        <v>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них средства бюджета Московской области – 5 500,02 тыс.руб., средства бюджета муниципального образования -2 203,09 тыс.руб.)</v>
      </c>
      <c r="E267" s="111">
        <f ca="1">IFERROR(__xludf.DUMMYFUNCTION("""COMPUTED_VALUE"""),2020)</f>
        <v>2020</v>
      </c>
      <c r="F267" s="113">
        <f ca="1">IFERROR(__xludf.DUMMYFUNCTION("""COMPUTED_VALUE"""),34613)</f>
        <v>34613</v>
      </c>
      <c r="G267" s="113">
        <f ca="1">IFERROR(__xludf.DUMMYFUNCTION("""COMPUTED_VALUE"""),34613)</f>
        <v>34613</v>
      </c>
      <c r="H267" s="113">
        <f ca="1">IFERROR(__xludf.DUMMYFUNCTION("""COMPUTED_VALUE"""),0)</f>
        <v>0</v>
      </c>
      <c r="I267" s="113">
        <f ca="1">IFERROR(__xludf.DUMMYFUNCTION("""COMPUTED_VALUE"""),0)</f>
        <v>0</v>
      </c>
      <c r="J267" s="111">
        <f ca="1">IFERROR(__xludf.DUMMYFUNCTION("""COMPUTED_VALUE"""),34612.74)</f>
        <v>34612.74</v>
      </c>
      <c r="K267" s="113">
        <f ca="1">IFERROR(__xludf.DUMMYFUNCTION("""COMPUTED_VALUE"""),0.259999999994761)</f>
        <v>0.25999999999476098</v>
      </c>
      <c r="L267" s="114">
        <f ca="1">IFERROR(__xludf.DUMMYFUNCTION("""COMPUTED_VALUE"""),0.999992488371421)</f>
        <v>0.99999248837142096</v>
      </c>
      <c r="M267" s="111"/>
      <c r="N267" s="110" t="s">
        <v>562</v>
      </c>
      <c r="O267" s="111"/>
      <c r="P267" s="111"/>
      <c r="Q267" s="112"/>
      <c r="R267" s="103"/>
      <c r="S267" s="103"/>
      <c r="T267" s="103"/>
      <c r="U267" s="103"/>
      <c r="V267" s="103"/>
      <c r="W267" s="103"/>
      <c r="X267" s="103"/>
      <c r="Y267" s="103"/>
      <c r="Z267" s="103"/>
      <c r="AA267" s="103"/>
    </row>
    <row r="268" spans="1:27" ht="153" x14ac:dyDescent="0.2">
      <c r="A268" s="110">
        <v>265</v>
      </c>
      <c r="B268" s="110" t="s">
        <v>54</v>
      </c>
      <c r="C268" s="111" t="str">
        <f ca="1">IFERROR(__xludf.DUMMYFUNCTION("""COMPUTED_VALUE"""),"г.о. Раменский")</f>
        <v>г.о. Раменский</v>
      </c>
      <c r="D268" s="111" t="str">
        <f ca="1">IFERROR(__xludf.DUMMYFUNCTION("""COMPUTED_VALUE"""),"Капитальный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3"&amp;" 962,00 тыс.руб. средства бюджета Московской области)  ")</f>
        <v xml:space="preserv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3 962,00 тыс.руб. средства бюджета Московской области)  </v>
      </c>
      <c r="E268" s="111">
        <f ca="1">IFERROR(__xludf.DUMMYFUNCTION("""COMPUTED_VALUE"""),2020)</f>
        <v>2020</v>
      </c>
      <c r="F268" s="113">
        <f ca="1">IFERROR(__xludf.DUMMYFUNCTION("""COMPUTED_VALUE"""),3962)</f>
        <v>3962</v>
      </c>
      <c r="G268" s="113">
        <f ca="1">IFERROR(__xludf.DUMMYFUNCTION("""COMPUTED_VALUE"""),3962)</f>
        <v>3962</v>
      </c>
      <c r="H268" s="113">
        <f ca="1">IFERROR(__xludf.DUMMYFUNCTION("""COMPUTED_VALUE"""),0)</f>
        <v>0</v>
      </c>
      <c r="I268" s="113">
        <f ca="1">IFERROR(__xludf.DUMMYFUNCTION("""COMPUTED_VALUE"""),0)</f>
        <v>0</v>
      </c>
      <c r="J268" s="111">
        <f ca="1">IFERROR(__xludf.DUMMYFUNCTION("""COMPUTED_VALUE"""),3962)</f>
        <v>3962</v>
      </c>
      <c r="K268" s="113">
        <f ca="1">IFERROR(__xludf.DUMMYFUNCTION("""COMPUTED_VALUE"""),0)</f>
        <v>0</v>
      </c>
      <c r="L268" s="114">
        <f ca="1">IFERROR(__xludf.DUMMYFUNCTION("""COMPUTED_VALUE"""),1)</f>
        <v>1</v>
      </c>
      <c r="M268" s="111"/>
      <c r="N268" s="110" t="s">
        <v>564</v>
      </c>
      <c r="O268" s="111"/>
      <c r="P268" s="111"/>
      <c r="Q268" s="112"/>
      <c r="R268" s="103"/>
      <c r="S268" s="103"/>
      <c r="T268" s="103"/>
      <c r="U268" s="103"/>
      <c r="V268" s="103"/>
      <c r="W268" s="103"/>
      <c r="X268" s="103"/>
      <c r="Y268" s="103"/>
      <c r="Z268" s="103"/>
      <c r="AA268" s="103"/>
    </row>
    <row r="269" spans="1:27" ht="114.75" x14ac:dyDescent="0.2">
      <c r="A269" s="110">
        <v>266</v>
      </c>
      <c r="B269" s="110" t="s">
        <v>54</v>
      </c>
      <c r="C269" s="111" t="str">
        <f ca="1">IFERROR(__xludf.DUMMYFUNCTION("""COMPUTED_VALUE"""),"г.о. Орехово-Зуево")</f>
        <v>г.о. Орехово-Зуево</v>
      </c>
      <c r="D269" s="111" t="str">
        <f ca="1">IFERROR(__xludf.DUMMYFUNCTION("""COMPUTED_VALUE"""),"Капитальный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f>
        <v>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v>
      </c>
      <c r="E269" s="111" t="str">
        <f ca="1">IFERROR(__xludf.DUMMYFUNCTION("""COMPUTED_VALUE"""),"2020-2021")</f>
        <v>2020-2021</v>
      </c>
      <c r="F269" s="113">
        <f ca="1">IFERROR(__xludf.DUMMYFUNCTION("""COMPUTED_VALUE"""),123235)</f>
        <v>123235</v>
      </c>
      <c r="G269" s="113">
        <f ca="1">IFERROR(__xludf.DUMMYFUNCTION("""COMPUTED_VALUE"""),0)</f>
        <v>0</v>
      </c>
      <c r="H269" s="113">
        <f ca="1">IFERROR(__xludf.DUMMYFUNCTION("""COMPUTED_VALUE"""),0)</f>
        <v>0</v>
      </c>
      <c r="I269" s="113">
        <f ca="1">IFERROR(__xludf.DUMMYFUNCTION("""COMPUTED_VALUE"""),123235)</f>
        <v>123235</v>
      </c>
      <c r="J269" s="111">
        <f ca="1">IFERROR(__xludf.DUMMYFUNCTION("""COMPUTED_VALUE"""),119537.64)</f>
        <v>119537.64</v>
      </c>
      <c r="K269" s="113">
        <f ca="1">IFERROR(__xludf.DUMMYFUNCTION("""COMPUTED_VALUE"""),3697.36)</f>
        <v>3697.36</v>
      </c>
      <c r="L269" s="114">
        <f ca="1">IFERROR(__xludf.DUMMYFUNCTION("""COMPUTED_VALUE"""),0.969997484480869)</f>
        <v>0.96999748448086898</v>
      </c>
      <c r="M269" s="111"/>
      <c r="N269" s="110" t="s">
        <v>558</v>
      </c>
      <c r="O269" s="111"/>
      <c r="P269" s="111"/>
      <c r="Q269" s="112"/>
      <c r="R269" s="103"/>
      <c r="S269" s="103"/>
      <c r="T269" s="103"/>
      <c r="U269" s="103"/>
      <c r="V269" s="103"/>
      <c r="W269" s="103"/>
      <c r="X269" s="103"/>
      <c r="Y269" s="103"/>
      <c r="Z269" s="103"/>
      <c r="AA269" s="103"/>
    </row>
    <row r="270" spans="1:27" ht="63.75" x14ac:dyDescent="0.2">
      <c r="A270" s="110">
        <v>267</v>
      </c>
      <c r="B270" s="110" t="s">
        <v>54</v>
      </c>
      <c r="C270" s="111" t="str">
        <f ca="1">IFERROR(__xludf.DUMMYFUNCTION("""COMPUTED_VALUE"""),"г.о. Ликино-Дулево")</f>
        <v>г.о. Ликино-Дулево</v>
      </c>
      <c r="D270" s="111" t="str">
        <f ca="1">IFERROR(__xludf.DUMMYFUNCTION("""COMPUTED_VALUE"""),"Капитальный ремонт самотечного  канализационного коллектора в районе д. Малиновые луга, Орехово-Зувский городской округ (в том числе ПИР)")</f>
        <v>Капитальный ремонт самотечного  канализационного коллектора в районе д. Малиновые луга, Орехово-Зувский городской округ (в том числе ПИР)</v>
      </c>
      <c r="E270" s="111" t="str">
        <f ca="1">IFERROR(__xludf.DUMMYFUNCTION("""COMPUTED_VALUE"""),"2021-2022")</f>
        <v>2021-2022</v>
      </c>
      <c r="F270" s="113">
        <f ca="1">IFERROR(__xludf.DUMMYFUNCTION("""COMPUTED_VALUE"""),0)</f>
        <v>0</v>
      </c>
      <c r="G270" s="113">
        <f ca="1">IFERROR(__xludf.DUMMYFUNCTION("""COMPUTED_VALUE"""),0)</f>
        <v>0</v>
      </c>
      <c r="H270" s="113">
        <f ca="1">IFERROR(__xludf.DUMMYFUNCTION("""COMPUTED_VALUE"""),0)</f>
        <v>0</v>
      </c>
      <c r="I270" s="113">
        <f ca="1">IFERROR(__xludf.DUMMYFUNCTION("""COMPUTED_VALUE"""),0)</f>
        <v>0</v>
      </c>
      <c r="J270" s="111">
        <f ca="1">IFERROR(__xludf.DUMMYFUNCTION("""COMPUTED_VALUE"""),0)</f>
        <v>0</v>
      </c>
      <c r="K270" s="113">
        <f ca="1">IFERROR(__xludf.DUMMYFUNCTION("""COMPUTED_VALUE"""),0)</f>
        <v>0</v>
      </c>
      <c r="L270" s="114" t="str">
        <f ca="1">IFERROR(__xludf.DUMMYFUNCTION("""COMPUTED_VALUE"""),"#DIV/0!")</f>
        <v>#DIV/0!</v>
      </c>
      <c r="M270" s="111"/>
      <c r="N270" s="111"/>
      <c r="O270" s="111"/>
      <c r="P270" s="111"/>
      <c r="Q270" s="112"/>
      <c r="R270" s="103"/>
      <c r="S270" s="103"/>
      <c r="T270" s="103"/>
      <c r="U270" s="103"/>
      <c r="V270" s="103"/>
      <c r="W270" s="103"/>
      <c r="X270" s="103"/>
      <c r="Y270" s="103"/>
      <c r="Z270" s="103"/>
      <c r="AA270" s="103"/>
    </row>
    <row r="271" spans="1:27" ht="51" x14ac:dyDescent="0.2">
      <c r="A271" s="110">
        <v>268</v>
      </c>
      <c r="B271" s="110" t="s">
        <v>54</v>
      </c>
      <c r="C271" s="111" t="str">
        <f ca="1">IFERROR(__xludf.DUMMYFUNCTION("""COMPUTED_VALUE"""),"г.о. Солнечногорск")</f>
        <v>г.о. Солнечногорск</v>
      </c>
      <c r="D271" s="111" t="str">
        <f ca="1">IFERROR(__xludf.DUMMYFUNCTION("""COMPUTED_VALUE"""),"Капитальный ремонт канализационного коллектора мкрн. Березки, д.Жуково, г.о. Солнечногорск")</f>
        <v>Капитальный ремонт канализационного коллектора мкрн. Березки, д.Жуково, г.о. Солнечногорск</v>
      </c>
      <c r="E271" s="111">
        <f ca="1">IFERROR(__xludf.DUMMYFUNCTION("""COMPUTED_VALUE"""),2020)</f>
        <v>2020</v>
      </c>
      <c r="F271" s="113">
        <f ca="1">IFERROR(__xludf.DUMMYFUNCTION("""COMPUTED_VALUE"""),0)</f>
        <v>0</v>
      </c>
      <c r="G271" s="113">
        <f ca="1">IFERROR(__xludf.DUMMYFUNCTION("""COMPUTED_VALUE"""),0)</f>
        <v>0</v>
      </c>
      <c r="H271" s="113">
        <f ca="1">IFERROR(__xludf.DUMMYFUNCTION("""COMPUTED_VALUE"""),0)</f>
        <v>0</v>
      </c>
      <c r="I271" s="113">
        <f ca="1">IFERROR(__xludf.DUMMYFUNCTION("""COMPUTED_VALUE"""),0)</f>
        <v>0</v>
      </c>
      <c r="J271" s="111">
        <f ca="1">IFERROR(__xludf.DUMMYFUNCTION("""COMPUTED_VALUE"""),0)</f>
        <v>0</v>
      </c>
      <c r="K271" s="113">
        <f ca="1">IFERROR(__xludf.DUMMYFUNCTION("""COMPUTED_VALUE"""),0)</f>
        <v>0</v>
      </c>
      <c r="L271" s="114" t="str">
        <f ca="1">IFERROR(__xludf.DUMMYFUNCTION("""COMPUTED_VALUE"""),"#DIV/0!")</f>
        <v>#DIV/0!</v>
      </c>
      <c r="M271" s="111" t="str">
        <f ca="1">IFERROR(__xludf.DUMMYFUNCTION("""COMPUTED_VALUE"""),"Блокировка МЭФ перенос средств на 2022")</f>
        <v>Блокировка МЭФ перенос средств на 2022</v>
      </c>
      <c r="N271" s="111"/>
      <c r="O271" s="111"/>
      <c r="P271" s="111"/>
      <c r="Q271" s="112"/>
      <c r="R271" s="103"/>
      <c r="S271" s="103"/>
      <c r="T271" s="103"/>
      <c r="U271" s="103"/>
      <c r="V271" s="103"/>
      <c r="W271" s="103"/>
      <c r="X271" s="103"/>
      <c r="Y271" s="103"/>
      <c r="Z271" s="103"/>
      <c r="AA271" s="103"/>
    </row>
    <row r="272" spans="1:27" ht="102" x14ac:dyDescent="0.2">
      <c r="A272" s="110">
        <v>269</v>
      </c>
      <c r="B272" s="110" t="s">
        <v>54</v>
      </c>
      <c r="C272" s="111" t="str">
        <f ca="1">IFERROR(__xludf.DUMMYFUNCTION("""COMPUTED_VALUE"""),"КСМО")</f>
        <v>КСМО</v>
      </c>
      <c r="D272" s="111" t="str">
        <f ca="1">IFERROR(__xludf.DUMMYFUNCTION("""COMPUTED_VALUE"""),"Реконструкция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f>
        <v xml:space="preserv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v>
      </c>
      <c r="E272" s="111" t="str">
        <f ca="1">IFERROR(__xludf.DUMMYFUNCTION("""COMPUTED_VALUE"""),"2020-2024")</f>
        <v>2020-2024</v>
      </c>
      <c r="F272" s="113">
        <f ca="1">IFERROR(__xludf.DUMMYFUNCTION("""COMPUTED_VALUE"""),480)</f>
        <v>480</v>
      </c>
      <c r="G272" s="113">
        <f ca="1">IFERROR(__xludf.DUMMYFUNCTION("""COMPUTED_VALUE"""),480)</f>
        <v>480</v>
      </c>
      <c r="H272" s="113">
        <f ca="1">IFERROR(__xludf.DUMMYFUNCTION("""COMPUTED_VALUE"""),0)</f>
        <v>0</v>
      </c>
      <c r="I272" s="113">
        <f ca="1">IFERROR(__xludf.DUMMYFUNCTION("""COMPUTED_VALUE"""),0)</f>
        <v>0</v>
      </c>
      <c r="J272" s="111">
        <f ca="1">IFERROR(__xludf.DUMMYFUNCTION("""COMPUTED_VALUE"""),480)</f>
        <v>480</v>
      </c>
      <c r="K272" s="113">
        <f ca="1">IFERROR(__xludf.DUMMYFUNCTION("""COMPUTED_VALUE"""),0)</f>
        <v>0</v>
      </c>
      <c r="L272" s="114">
        <f ca="1">IFERROR(__xludf.DUMMYFUNCTION("""COMPUTED_VALUE"""),1)</f>
        <v>1</v>
      </c>
      <c r="M272" s="111"/>
      <c r="N272" s="110" t="s">
        <v>564</v>
      </c>
      <c r="O272" s="111"/>
      <c r="P272" s="111"/>
      <c r="Q272" s="112"/>
      <c r="R272" s="103"/>
      <c r="S272" s="103"/>
      <c r="T272" s="103"/>
      <c r="U272" s="103"/>
      <c r="V272" s="103"/>
      <c r="W272" s="103"/>
      <c r="X272" s="103"/>
      <c r="Y272" s="103"/>
      <c r="Z272" s="103"/>
      <c r="AA272" s="103"/>
    </row>
    <row r="273" spans="1:27" ht="38.25" x14ac:dyDescent="0.2">
      <c r="A273" s="110">
        <v>270</v>
      </c>
      <c r="B273" s="110" t="s">
        <v>54</v>
      </c>
      <c r="C273" s="111" t="str">
        <f ca="1">IFERROR(__xludf.DUMMYFUNCTION("""COMPUTED_VALUE"""),"г.о. Балашиха")</f>
        <v>г.о. Балашиха</v>
      </c>
      <c r="D273" s="111" t="str">
        <f ca="1">IFERROR(__xludf.DUMMYFUNCTION("""COMPUTED_VALUE"""),"Строительство газовой котельной 20 Мвт в мкр. Ольгино г. Балашиха (в том числе ПИР) ")</f>
        <v xml:space="preserve">Строительство газовой котельной 20 Мвт в мкр. Ольгино г. Балашиха (в том числе ПИР) </v>
      </c>
      <c r="E273" s="111" t="str">
        <f ca="1">IFERROR(__xludf.DUMMYFUNCTION("""COMPUTED_VALUE"""),"2021-2022")</f>
        <v>2021-2022</v>
      </c>
      <c r="F273" s="113">
        <f ca="1">IFERROR(__xludf.DUMMYFUNCTION("""COMPUTED_VALUE"""),0)</f>
        <v>0</v>
      </c>
      <c r="G273" s="113">
        <f ca="1">IFERROR(__xludf.DUMMYFUNCTION("""COMPUTED_VALUE"""),0)</f>
        <v>0</v>
      </c>
      <c r="H273" s="113">
        <f ca="1">IFERROR(__xludf.DUMMYFUNCTION("""COMPUTED_VALUE"""),0)</f>
        <v>0</v>
      </c>
      <c r="I273" s="113">
        <f ca="1">IFERROR(__xludf.DUMMYFUNCTION("""COMPUTED_VALUE"""),0)</f>
        <v>0</v>
      </c>
      <c r="J273" s="111">
        <f ca="1">IFERROR(__xludf.DUMMYFUNCTION("""COMPUTED_VALUE"""),0)</f>
        <v>0</v>
      </c>
      <c r="K273" s="113">
        <f ca="1">IFERROR(__xludf.DUMMYFUNCTION("""COMPUTED_VALUE"""),0)</f>
        <v>0</v>
      </c>
      <c r="L273" s="114" t="str">
        <f ca="1">IFERROR(__xludf.DUMMYFUNCTION("""COMPUTED_VALUE"""),"#DIV/0!")</f>
        <v>#DIV/0!</v>
      </c>
      <c r="M273" s="111"/>
      <c r="N273" s="111"/>
      <c r="O273" s="111"/>
      <c r="P273" s="111"/>
      <c r="Q273" s="112"/>
      <c r="R273" s="103"/>
      <c r="S273" s="103"/>
      <c r="T273" s="103"/>
      <c r="U273" s="103"/>
      <c r="V273" s="103"/>
      <c r="W273" s="103"/>
      <c r="X273" s="103"/>
      <c r="Y273" s="103"/>
      <c r="Z273" s="103"/>
      <c r="AA273" s="103"/>
    </row>
    <row r="274" spans="1:27" ht="51" x14ac:dyDescent="0.2">
      <c r="A274" s="110">
        <v>271</v>
      </c>
      <c r="B274" s="110" t="s">
        <v>54</v>
      </c>
      <c r="C274" s="111" t="str">
        <f ca="1">IFERROR(__xludf.DUMMYFUNCTION("""COMPUTED_VALUE"""),"г.о. Дзержинский")</f>
        <v>г.о. Дзержинский</v>
      </c>
      <c r="D274" s="111" t="str">
        <f ca="1">IFERROR(__xludf.DUMMYFUNCTION("""COMPUTED_VALUE"""),"Строительство сетей водоснабжения по адресу: Московская обл., г. Дзержинский (ПИР)")</f>
        <v>Строительство сетей водоснабжения по адресу: Московская обл., г. Дзержинский (ПИР)</v>
      </c>
      <c r="E274" s="111">
        <f ca="1">IFERROR(__xludf.DUMMYFUNCTION("""COMPUTED_VALUE"""),2021)</f>
        <v>2021</v>
      </c>
      <c r="F274" s="113">
        <f ca="1">IFERROR(__xludf.DUMMYFUNCTION("""COMPUTED_VALUE"""),0)</f>
        <v>0</v>
      </c>
      <c r="G274" s="113">
        <f ca="1">IFERROR(__xludf.DUMMYFUNCTION("""COMPUTED_VALUE"""),0)</f>
        <v>0</v>
      </c>
      <c r="H274" s="113">
        <f ca="1">IFERROR(__xludf.DUMMYFUNCTION("""COMPUTED_VALUE"""),0)</f>
        <v>0</v>
      </c>
      <c r="I274" s="113">
        <f ca="1">IFERROR(__xludf.DUMMYFUNCTION("""COMPUTED_VALUE"""),0)</f>
        <v>0</v>
      </c>
      <c r="J274" s="111">
        <f ca="1">IFERROR(__xludf.DUMMYFUNCTION("""COMPUTED_VALUE"""),0)</f>
        <v>0</v>
      </c>
      <c r="K274" s="113">
        <f ca="1">IFERROR(__xludf.DUMMYFUNCTION("""COMPUTED_VALUE"""),0)</f>
        <v>0</v>
      </c>
      <c r="L274" s="114" t="str">
        <f ca="1">IFERROR(__xludf.DUMMYFUNCTION("""COMPUTED_VALUE"""),"#DIV/0!")</f>
        <v>#DIV/0!</v>
      </c>
      <c r="M274" s="111"/>
      <c r="N274" s="111"/>
      <c r="O274" s="111"/>
      <c r="P274" s="111"/>
      <c r="Q274" s="112"/>
      <c r="R274" s="103"/>
      <c r="S274" s="103"/>
      <c r="T274" s="103"/>
      <c r="U274" s="103"/>
      <c r="V274" s="103"/>
      <c r="W274" s="103"/>
      <c r="X274" s="103"/>
      <c r="Y274" s="103"/>
      <c r="Z274" s="103"/>
      <c r="AA274" s="103"/>
    </row>
    <row r="275" spans="1:27" ht="38.25" x14ac:dyDescent="0.2">
      <c r="A275" s="110">
        <v>272</v>
      </c>
      <c r="B275" s="110" t="s">
        <v>54</v>
      </c>
      <c r="C275" s="111" t="str">
        <f ca="1">IFERROR(__xludf.DUMMYFUNCTION("""COMPUTED_VALUE"""),"г.о. Серпухов")</f>
        <v>г.о. Серпухов</v>
      </c>
      <c r="D275" s="111" t="str">
        <f ca="1">IFERROR(__xludf.DUMMYFUNCTION("""COMPUTED_VALUE"""),"Строительство сетей водоснабжения, в д. Глазово, Серпуховский м.р. (в т.ч. ПИР)")</f>
        <v>Строительство сетей водоснабжения, в д. Глазово, Серпуховский м.р. (в т.ч. ПИР)</v>
      </c>
      <c r="E275" s="111">
        <f ca="1">IFERROR(__xludf.DUMMYFUNCTION("""COMPUTED_VALUE"""),2023)</f>
        <v>2023</v>
      </c>
      <c r="F275" s="113">
        <f ca="1">IFERROR(__xludf.DUMMYFUNCTION("""COMPUTED_VALUE"""),0)</f>
        <v>0</v>
      </c>
      <c r="G275" s="113">
        <f ca="1">IFERROR(__xludf.DUMMYFUNCTION("""COMPUTED_VALUE"""),0)</f>
        <v>0</v>
      </c>
      <c r="H275" s="113">
        <f ca="1">IFERROR(__xludf.DUMMYFUNCTION("""COMPUTED_VALUE"""),0)</f>
        <v>0</v>
      </c>
      <c r="I275" s="113">
        <f ca="1">IFERROR(__xludf.DUMMYFUNCTION("""COMPUTED_VALUE"""),0)</f>
        <v>0</v>
      </c>
      <c r="J275" s="111">
        <f ca="1">IFERROR(__xludf.DUMMYFUNCTION("""COMPUTED_VALUE"""),0)</f>
        <v>0</v>
      </c>
      <c r="K275" s="113">
        <f ca="1">IFERROR(__xludf.DUMMYFUNCTION("""COMPUTED_VALUE"""),0)</f>
        <v>0</v>
      </c>
      <c r="L275" s="114" t="str">
        <f ca="1">IFERROR(__xludf.DUMMYFUNCTION("""COMPUTED_VALUE"""),"#DIV/0!")</f>
        <v>#DIV/0!</v>
      </c>
      <c r="M275" s="111"/>
      <c r="N275" s="111"/>
      <c r="O275" s="111"/>
      <c r="P275" s="111"/>
      <c r="Q275" s="112"/>
      <c r="R275" s="103"/>
      <c r="S275" s="103"/>
      <c r="T275" s="103"/>
      <c r="U275" s="103"/>
      <c r="V275" s="103"/>
      <c r="W275" s="103"/>
      <c r="X275" s="103"/>
      <c r="Y275" s="103"/>
      <c r="Z275" s="103"/>
      <c r="AA275" s="103"/>
    </row>
    <row r="276" spans="1:27" ht="51" x14ac:dyDescent="0.2">
      <c r="A276" s="110">
        <v>273</v>
      </c>
      <c r="B276" s="110" t="s">
        <v>54</v>
      </c>
      <c r="C276" s="111" t="str">
        <f ca="1">IFERROR(__xludf.DUMMYFUNCTION("""COMPUTED_VALUE"""),"г.о. Серпухов")</f>
        <v>г.о. Серпухов</v>
      </c>
      <c r="D276" s="111" t="str">
        <f ca="1">IFERROR(__xludf.DUMMYFUNCTION("""COMPUTED_VALUE"""),"Строительство  сетей водоснабжения в д. Селино, д. Вечери, Серпуховский м.р. (в т.ч. ПИР)")</f>
        <v>Строительство  сетей водоснабжения в д. Селино, д. Вечери, Серпуховский м.р. (в т.ч. ПИР)</v>
      </c>
      <c r="E276" s="111">
        <f ca="1">IFERROR(__xludf.DUMMYFUNCTION("""COMPUTED_VALUE"""),2023)</f>
        <v>2023</v>
      </c>
      <c r="F276" s="113">
        <f ca="1">IFERROR(__xludf.DUMMYFUNCTION("""COMPUTED_VALUE"""),0)</f>
        <v>0</v>
      </c>
      <c r="G276" s="113">
        <f ca="1">IFERROR(__xludf.DUMMYFUNCTION("""COMPUTED_VALUE"""),0)</f>
        <v>0</v>
      </c>
      <c r="H276" s="113">
        <f ca="1">IFERROR(__xludf.DUMMYFUNCTION("""COMPUTED_VALUE"""),0)</f>
        <v>0</v>
      </c>
      <c r="I276" s="113">
        <f ca="1">IFERROR(__xludf.DUMMYFUNCTION("""COMPUTED_VALUE"""),0)</f>
        <v>0</v>
      </c>
      <c r="J276" s="111">
        <f ca="1">IFERROR(__xludf.DUMMYFUNCTION("""COMPUTED_VALUE"""),0)</f>
        <v>0</v>
      </c>
      <c r="K276" s="113">
        <f ca="1">IFERROR(__xludf.DUMMYFUNCTION("""COMPUTED_VALUE"""),0)</f>
        <v>0</v>
      </c>
      <c r="L276" s="114" t="str">
        <f ca="1">IFERROR(__xludf.DUMMYFUNCTION("""COMPUTED_VALUE"""),"#DIV/0!")</f>
        <v>#DIV/0!</v>
      </c>
      <c r="M276" s="111"/>
      <c r="N276" s="111"/>
      <c r="O276" s="111"/>
      <c r="P276" s="111"/>
      <c r="Q276" s="112"/>
      <c r="R276" s="103"/>
      <c r="S276" s="103"/>
      <c r="T276" s="103"/>
      <c r="U276" s="103"/>
      <c r="V276" s="103"/>
      <c r="W276" s="103"/>
      <c r="X276" s="103"/>
      <c r="Y276" s="103"/>
      <c r="Z276" s="103"/>
      <c r="AA276" s="103"/>
    </row>
    <row r="277" spans="1:27" ht="38.25" x14ac:dyDescent="0.2">
      <c r="A277" s="110">
        <v>274</v>
      </c>
      <c r="B277" s="110" t="s">
        <v>54</v>
      </c>
      <c r="C277" s="111" t="str">
        <f ca="1">IFERROR(__xludf.DUMMYFUNCTION("""COMPUTED_VALUE"""),"г.о. Серпухов")</f>
        <v>г.о. Серпухов</v>
      </c>
      <c r="D277" s="111" t="str">
        <f ca="1">IFERROR(__xludf.DUMMYFUNCTION("""COMPUTED_VALUE"""),"Строительство сетей водоснабжения в д. Б. Грызлово, Серпуховский м.р. (в т.ч. ПИР)")</f>
        <v>Строительство сетей водоснабжения в д. Б. Грызлово, Серпуховский м.р. (в т.ч. ПИР)</v>
      </c>
      <c r="E277" s="111">
        <f ca="1">IFERROR(__xludf.DUMMYFUNCTION("""COMPUTED_VALUE"""),2023)</f>
        <v>2023</v>
      </c>
      <c r="F277" s="113">
        <f ca="1">IFERROR(__xludf.DUMMYFUNCTION("""COMPUTED_VALUE"""),0)</f>
        <v>0</v>
      </c>
      <c r="G277" s="113">
        <f ca="1">IFERROR(__xludf.DUMMYFUNCTION("""COMPUTED_VALUE"""),0)</f>
        <v>0</v>
      </c>
      <c r="H277" s="113">
        <f ca="1">IFERROR(__xludf.DUMMYFUNCTION("""COMPUTED_VALUE"""),0)</f>
        <v>0</v>
      </c>
      <c r="I277" s="113">
        <f ca="1">IFERROR(__xludf.DUMMYFUNCTION("""COMPUTED_VALUE"""),0)</f>
        <v>0</v>
      </c>
      <c r="J277" s="111">
        <f ca="1">IFERROR(__xludf.DUMMYFUNCTION("""COMPUTED_VALUE"""),0)</f>
        <v>0</v>
      </c>
      <c r="K277" s="113">
        <f ca="1">IFERROR(__xludf.DUMMYFUNCTION("""COMPUTED_VALUE"""),0)</f>
        <v>0</v>
      </c>
      <c r="L277" s="114" t="str">
        <f ca="1">IFERROR(__xludf.DUMMYFUNCTION("""COMPUTED_VALUE"""),"#DIV/0!")</f>
        <v>#DIV/0!</v>
      </c>
      <c r="M277" s="111"/>
      <c r="N277" s="111"/>
      <c r="O277" s="111"/>
      <c r="P277" s="111"/>
      <c r="Q277" s="112"/>
      <c r="R277" s="103"/>
      <c r="S277" s="103"/>
      <c r="T277" s="103"/>
      <c r="U277" s="103"/>
      <c r="V277" s="103"/>
      <c r="W277" s="103"/>
      <c r="X277" s="103"/>
      <c r="Y277" s="103"/>
      <c r="Z277" s="103"/>
      <c r="AA277" s="103"/>
    </row>
    <row r="278" spans="1:27" ht="38.25" x14ac:dyDescent="0.2">
      <c r="A278" s="110">
        <v>275</v>
      </c>
      <c r="B278" s="110" t="s">
        <v>54</v>
      </c>
      <c r="C278" s="111" t="str">
        <f ca="1">IFERROR(__xludf.DUMMYFUNCTION("""COMPUTED_VALUE"""),"г.о. Серпухов")</f>
        <v>г.о. Серпухов</v>
      </c>
      <c r="D278" s="111" t="str">
        <f ca="1">IFERROR(__xludf.DUMMYFUNCTION("""COMPUTED_VALUE"""),"Строительство сетей водоснабжения в д. Калугино, Серпуховский м.р. (в т.ч. ПИР)")</f>
        <v>Строительство сетей водоснабжения в д. Калугино, Серпуховский м.р. (в т.ч. ПИР)</v>
      </c>
      <c r="E278" s="111">
        <f ca="1">IFERROR(__xludf.DUMMYFUNCTION("""COMPUTED_VALUE"""),2023)</f>
        <v>2023</v>
      </c>
      <c r="F278" s="113">
        <f ca="1">IFERROR(__xludf.DUMMYFUNCTION("""COMPUTED_VALUE"""),0)</f>
        <v>0</v>
      </c>
      <c r="G278" s="113">
        <f ca="1">IFERROR(__xludf.DUMMYFUNCTION("""COMPUTED_VALUE"""),0)</f>
        <v>0</v>
      </c>
      <c r="H278" s="113">
        <f ca="1">IFERROR(__xludf.DUMMYFUNCTION("""COMPUTED_VALUE"""),0)</f>
        <v>0</v>
      </c>
      <c r="I278" s="113">
        <f ca="1">IFERROR(__xludf.DUMMYFUNCTION("""COMPUTED_VALUE"""),0)</f>
        <v>0</v>
      </c>
      <c r="J278" s="111">
        <f ca="1">IFERROR(__xludf.DUMMYFUNCTION("""COMPUTED_VALUE"""),0)</f>
        <v>0</v>
      </c>
      <c r="K278" s="113">
        <f ca="1">IFERROR(__xludf.DUMMYFUNCTION("""COMPUTED_VALUE"""),0)</f>
        <v>0</v>
      </c>
      <c r="L278" s="114" t="str">
        <f ca="1">IFERROR(__xludf.DUMMYFUNCTION("""COMPUTED_VALUE"""),"#DIV/0!")</f>
        <v>#DIV/0!</v>
      </c>
      <c r="M278" s="111"/>
      <c r="N278" s="111"/>
      <c r="O278" s="111"/>
      <c r="P278" s="111"/>
      <c r="Q278" s="112"/>
      <c r="R278" s="103"/>
      <c r="S278" s="103"/>
      <c r="T278" s="103"/>
      <c r="U278" s="103"/>
      <c r="V278" s="103"/>
      <c r="W278" s="103"/>
      <c r="X278" s="103"/>
      <c r="Y278" s="103"/>
      <c r="Z278" s="103"/>
      <c r="AA278" s="103"/>
    </row>
    <row r="279" spans="1:27" ht="38.25" x14ac:dyDescent="0.2">
      <c r="A279" s="110">
        <v>276</v>
      </c>
      <c r="B279" s="110" t="s">
        <v>54</v>
      </c>
      <c r="C279" s="111" t="str">
        <f ca="1">IFERROR(__xludf.DUMMYFUNCTION("""COMPUTED_VALUE"""),"г.о. Богородский")</f>
        <v>г.о. Богородский</v>
      </c>
      <c r="D279" s="111" t="str">
        <f ca="1">IFERROR(__xludf.DUMMYFUNCTION("""COMPUTED_VALUE"""),"Строительство БМК мощностью 1,2 МВт , д. Щемилово, г.о. Богородский")</f>
        <v>Строительство БМК мощностью 1,2 МВт , д. Щемилово, г.о. Богородский</v>
      </c>
      <c r="E279" s="111">
        <f ca="1">IFERROR(__xludf.DUMMYFUNCTION("""COMPUTED_VALUE"""),2022)</f>
        <v>2022</v>
      </c>
      <c r="F279" s="113">
        <f ca="1">IFERROR(__xludf.DUMMYFUNCTION("""COMPUTED_VALUE"""),0)</f>
        <v>0</v>
      </c>
      <c r="G279" s="113">
        <f ca="1">IFERROR(__xludf.DUMMYFUNCTION("""COMPUTED_VALUE"""),0)</f>
        <v>0</v>
      </c>
      <c r="H279" s="113">
        <f ca="1">IFERROR(__xludf.DUMMYFUNCTION("""COMPUTED_VALUE"""),0)</f>
        <v>0</v>
      </c>
      <c r="I279" s="113">
        <f ca="1">IFERROR(__xludf.DUMMYFUNCTION("""COMPUTED_VALUE"""),0)</f>
        <v>0</v>
      </c>
      <c r="J279" s="111">
        <f ca="1">IFERROR(__xludf.DUMMYFUNCTION("""COMPUTED_VALUE"""),0)</f>
        <v>0</v>
      </c>
      <c r="K279" s="113">
        <f ca="1">IFERROR(__xludf.DUMMYFUNCTION("""COMPUTED_VALUE"""),0)</f>
        <v>0</v>
      </c>
      <c r="L279" s="114" t="str">
        <f ca="1">IFERROR(__xludf.DUMMYFUNCTION("""COMPUTED_VALUE"""),"#DIV/0!")</f>
        <v>#DIV/0!</v>
      </c>
      <c r="M279" s="111"/>
      <c r="N279" s="111"/>
      <c r="O279" s="111"/>
      <c r="P279" s="111"/>
      <c r="Q279" s="112"/>
      <c r="R279" s="103"/>
      <c r="S279" s="103"/>
      <c r="T279" s="103"/>
      <c r="U279" s="103"/>
      <c r="V279" s="103"/>
      <c r="W279" s="103"/>
      <c r="X279" s="103"/>
      <c r="Y279" s="103"/>
      <c r="Z279" s="103"/>
      <c r="AA279" s="103"/>
    </row>
    <row r="280" spans="1:27" ht="38.25" x14ac:dyDescent="0.2">
      <c r="A280" s="110">
        <v>277</v>
      </c>
      <c r="B280" s="110" t="s">
        <v>54</v>
      </c>
      <c r="C280" s="111" t="str">
        <f ca="1">IFERROR(__xludf.DUMMYFUNCTION("""COMPUTED_VALUE"""),"г.о. Богородский")</f>
        <v>г.о. Богородский</v>
      </c>
      <c r="D280" s="111" t="str">
        <f ca="1">IFERROR(__xludf.DUMMYFUNCTION("""COMPUTED_VALUE"""),"Строительство БМК мощностью 1 МВт , д. Щемилово, г.о. Богородский")</f>
        <v>Строительство БМК мощностью 1 МВт , д. Щемилово, г.о. Богородский</v>
      </c>
      <c r="E280" s="111">
        <f ca="1">IFERROR(__xludf.DUMMYFUNCTION("""COMPUTED_VALUE"""),2022)</f>
        <v>2022</v>
      </c>
      <c r="F280" s="113">
        <f ca="1">IFERROR(__xludf.DUMMYFUNCTION("""COMPUTED_VALUE"""),0)</f>
        <v>0</v>
      </c>
      <c r="G280" s="113">
        <f ca="1">IFERROR(__xludf.DUMMYFUNCTION("""COMPUTED_VALUE"""),0)</f>
        <v>0</v>
      </c>
      <c r="H280" s="113">
        <f ca="1">IFERROR(__xludf.DUMMYFUNCTION("""COMPUTED_VALUE"""),0)</f>
        <v>0</v>
      </c>
      <c r="I280" s="113">
        <f ca="1">IFERROR(__xludf.DUMMYFUNCTION("""COMPUTED_VALUE"""),0)</f>
        <v>0</v>
      </c>
      <c r="J280" s="111">
        <f ca="1">IFERROR(__xludf.DUMMYFUNCTION("""COMPUTED_VALUE"""),0)</f>
        <v>0</v>
      </c>
      <c r="K280" s="113">
        <f ca="1">IFERROR(__xludf.DUMMYFUNCTION("""COMPUTED_VALUE"""),0)</f>
        <v>0</v>
      </c>
      <c r="L280" s="114" t="str">
        <f ca="1">IFERROR(__xludf.DUMMYFUNCTION("""COMPUTED_VALUE"""),"#DIV/0!")</f>
        <v>#DIV/0!</v>
      </c>
      <c r="M280" s="111"/>
      <c r="N280" s="111"/>
      <c r="O280" s="111"/>
      <c r="P280" s="111"/>
      <c r="Q280" s="112"/>
      <c r="R280" s="103"/>
      <c r="S280" s="103"/>
      <c r="T280" s="103"/>
      <c r="U280" s="103"/>
      <c r="V280" s="103"/>
      <c r="W280" s="103"/>
      <c r="X280" s="103"/>
      <c r="Y280" s="103"/>
      <c r="Z280" s="103"/>
      <c r="AA280" s="103"/>
    </row>
    <row r="281" spans="1:27" ht="114.75" x14ac:dyDescent="0.2">
      <c r="A281" s="110">
        <v>278</v>
      </c>
      <c r="B281" s="110" t="s">
        <v>54</v>
      </c>
      <c r="C281" s="111" t="str">
        <f ca="1">IFERROR(__xludf.DUMMYFUNCTION("""COMPUTED_VALUE"""),"г.о. Балашиха")</f>
        <v>г.о. Балашиха</v>
      </c>
      <c r="D281" s="111" t="str">
        <f ca="1">IFERROR(__xludf.DUMMYFUNCTION("""COMPUTED_VALUE"""),"Капитальный ремонт сетей водоснабжения мкр. Железнодорожный, г.о. Балашиха (1 и 2 этапы) ")</f>
        <v xml:space="preserve">Капитальный ремонт сетей водоснабжения мкр. Железнодорожный, г.о. Балашиха (1 и 2 этапы) </v>
      </c>
      <c r="E281" s="111" t="str">
        <f ca="1">IFERROR(__xludf.DUMMYFUNCTION("""COMPUTED_VALUE"""),"2020-2021")</f>
        <v>2020-2021</v>
      </c>
      <c r="F281" s="113">
        <f ca="1">IFERROR(__xludf.DUMMYFUNCTION("""COMPUTED_VALUE"""),117296)</f>
        <v>117296</v>
      </c>
      <c r="G281" s="113">
        <f ca="1">IFERROR(__xludf.DUMMYFUNCTION("""COMPUTED_VALUE"""),0)</f>
        <v>0</v>
      </c>
      <c r="H281" s="113">
        <f ca="1">IFERROR(__xludf.DUMMYFUNCTION("""COMPUTED_VALUE"""),0)</f>
        <v>0</v>
      </c>
      <c r="I281" s="113">
        <f ca="1">IFERROR(__xludf.DUMMYFUNCTION("""COMPUTED_VALUE"""),117296)</f>
        <v>117296</v>
      </c>
      <c r="J281" s="111">
        <f ca="1">IFERROR(__xludf.DUMMYFUNCTION("""COMPUTED_VALUE"""),57248.62)</f>
        <v>57248.62</v>
      </c>
      <c r="K281" s="113">
        <f ca="1">IFERROR(__xludf.DUMMYFUNCTION("""COMPUTED_VALUE"""),60047.38)</f>
        <v>60047.38</v>
      </c>
      <c r="L281" s="114">
        <f ca="1">IFERROR(__xludf.DUMMYFUNCTION("""COMPUTED_VALUE"""),0.488069669894966)</f>
        <v>0.48806966989496597</v>
      </c>
      <c r="M281" s="111" t="str">
        <f ca="1">IFERROR(__xludf.DUMMYFUNCTION("""COMPUTED_VALUE"""),"Заключение МОГЭ не получено. ДК в соответствии с запросом № 12Исх/З-1458 не представлена.
В связи с отсутсвием положительного заключения государственной экспертизы реализации второго этапа, присутствует риск не освоения лимитов 2020 года.")</f>
        <v>Заключение МОГЭ не получено. ДК в соответствии с запросом № 12Исх/З-1458 не представлена.
В связи с отсутсвием положительного заключения государственной экспертизы реализации второго этапа, присутствует риск не освоения лимитов 2020 года.</v>
      </c>
      <c r="N281" s="110" t="s">
        <v>554</v>
      </c>
      <c r="O281" s="111"/>
      <c r="P281" s="111"/>
      <c r="Q281" s="112"/>
      <c r="R281" s="103"/>
      <c r="S281" s="103"/>
      <c r="T281" s="103"/>
      <c r="U281" s="103"/>
      <c r="V281" s="103"/>
      <c r="W281" s="103"/>
      <c r="X281" s="103"/>
      <c r="Y281" s="103"/>
      <c r="Z281" s="103"/>
      <c r="AA281" s="103"/>
    </row>
    <row r="282" spans="1:27" ht="51" x14ac:dyDescent="0.2">
      <c r="A282" s="110">
        <v>279</v>
      </c>
      <c r="B282" s="110" t="s">
        <v>54</v>
      </c>
      <c r="C282" s="111" t="str">
        <f ca="1">IFERROR(__xludf.DUMMYFUNCTION("""COMPUTED_VALUE"""),"г.о. Долгопрудный")</f>
        <v>г.о. Долгопрудный</v>
      </c>
      <c r="D282" s="111" t="str">
        <f ca="1">IFERROR(__xludf.DUMMYFUNCTION("""COMPUTED_VALUE"""),"Реконструкция котельной, расположенной по адресу: г. Долгопрудный, ул. Спортивная, д. 3а  (в т.ч. ПИР) ")</f>
        <v xml:space="preserve">Реконструкция котельной, расположенной по адресу: г. Долгопрудный, ул. Спортивная, д. 3а  (в т.ч. ПИР) </v>
      </c>
      <c r="E282" s="111" t="str">
        <f ca="1">IFERROR(__xludf.DUMMYFUNCTION("""COMPUTED_VALUE"""),"2021-2022")</f>
        <v>2021-2022</v>
      </c>
      <c r="F282" s="113">
        <f ca="1">IFERROR(__xludf.DUMMYFUNCTION("""COMPUTED_VALUE"""),0)</f>
        <v>0</v>
      </c>
      <c r="G282" s="113">
        <f ca="1">IFERROR(__xludf.DUMMYFUNCTION("""COMPUTED_VALUE"""),0)</f>
        <v>0</v>
      </c>
      <c r="H282" s="113">
        <f ca="1">IFERROR(__xludf.DUMMYFUNCTION("""COMPUTED_VALUE"""),0)</f>
        <v>0</v>
      </c>
      <c r="I282" s="113">
        <f ca="1">IFERROR(__xludf.DUMMYFUNCTION("""COMPUTED_VALUE"""),0)</f>
        <v>0</v>
      </c>
      <c r="J282" s="111">
        <f ca="1">IFERROR(__xludf.DUMMYFUNCTION("""COMPUTED_VALUE"""),0)</f>
        <v>0</v>
      </c>
      <c r="K282" s="113">
        <f ca="1">IFERROR(__xludf.DUMMYFUNCTION("""COMPUTED_VALUE"""),0)</f>
        <v>0</v>
      </c>
      <c r="L282" s="114" t="str">
        <f ca="1">IFERROR(__xludf.DUMMYFUNCTION("""COMPUTED_VALUE"""),"#DIV/0!")</f>
        <v>#DIV/0!</v>
      </c>
      <c r="M282" s="111"/>
      <c r="N282" s="111"/>
      <c r="O282" s="111"/>
      <c r="P282" s="111"/>
      <c r="Q282" s="112"/>
      <c r="R282" s="103"/>
      <c r="S282" s="103"/>
      <c r="T282" s="103"/>
      <c r="U282" s="103"/>
      <c r="V282" s="103"/>
      <c r="W282" s="103"/>
      <c r="X282" s="103"/>
      <c r="Y282" s="103"/>
      <c r="Z282" s="103"/>
      <c r="AA282" s="103"/>
    </row>
    <row r="283" spans="1:27" ht="51" x14ac:dyDescent="0.2">
      <c r="A283" s="110">
        <v>280</v>
      </c>
      <c r="B283" s="110" t="s">
        <v>54</v>
      </c>
      <c r="C283" s="111" t="str">
        <f ca="1">IFERROR(__xludf.DUMMYFUNCTION("""COMPUTED_VALUE"""),"г.о. Волоколамский")</f>
        <v>г.о. Волоколамский</v>
      </c>
      <c r="D283" s="111" t="str">
        <f ca="1">IFERROR(__xludf.DUMMYFUNCTION("""COMPUTED_VALUE"""),"Строительство котельной по адресу: д. Судниково сельского поселения Спасское (в том числе ПИР) ")</f>
        <v xml:space="preserve">Строительство котельной по адресу: д. Судниково сельского поселения Спасское (в том числе ПИР) </v>
      </c>
      <c r="E283" s="111" t="str">
        <f ca="1">IFERROR(__xludf.DUMMYFUNCTION("""COMPUTED_VALUE"""),"2020-2021")</f>
        <v>2020-2021</v>
      </c>
      <c r="F283" s="113">
        <f ca="1">IFERROR(__xludf.DUMMYFUNCTION("""COMPUTED_VALUE"""),0)</f>
        <v>0</v>
      </c>
      <c r="G283" s="113">
        <f ca="1">IFERROR(__xludf.DUMMYFUNCTION("""COMPUTED_VALUE"""),0)</f>
        <v>0</v>
      </c>
      <c r="H283" s="113">
        <f ca="1">IFERROR(__xludf.DUMMYFUNCTION("""COMPUTED_VALUE"""),0)</f>
        <v>0</v>
      </c>
      <c r="I283" s="113">
        <f ca="1">IFERROR(__xludf.DUMMYFUNCTION("""COMPUTED_VALUE"""),0)</f>
        <v>0</v>
      </c>
      <c r="J283" s="111">
        <f ca="1">IFERROR(__xludf.DUMMYFUNCTION("""COMPUTED_VALUE"""),0)</f>
        <v>0</v>
      </c>
      <c r="K283" s="113">
        <f ca="1">IFERROR(__xludf.DUMMYFUNCTION("""COMPUTED_VALUE"""),0)</f>
        <v>0</v>
      </c>
      <c r="L283" s="114" t="str">
        <f ca="1">IFERROR(__xludf.DUMMYFUNCTION("""COMPUTED_VALUE"""),"#DIV/0!")</f>
        <v>#DIV/0!</v>
      </c>
      <c r="M283" s="111"/>
      <c r="N283" s="111"/>
      <c r="O283" s="111"/>
      <c r="P283" s="111"/>
      <c r="Q283" s="112"/>
      <c r="R283" s="103"/>
      <c r="S283" s="103"/>
      <c r="T283" s="103"/>
      <c r="U283" s="103"/>
      <c r="V283" s="103"/>
      <c r="W283" s="103"/>
      <c r="X283" s="103"/>
      <c r="Y283" s="103"/>
      <c r="Z283" s="103"/>
      <c r="AA283" s="103"/>
    </row>
    <row r="284" spans="1:27" ht="51" x14ac:dyDescent="0.2">
      <c r="A284" s="110">
        <v>281</v>
      </c>
      <c r="B284" s="110" t="s">
        <v>54</v>
      </c>
      <c r="C284" s="111" t="str">
        <f ca="1">IFERROR(__xludf.DUMMYFUNCTION("""COMPUTED_VALUE"""),"г.о. Волоколамский")</f>
        <v>г.о. Волоколамский</v>
      </c>
      <c r="D284" s="111" t="str">
        <f ca="1">IFERROR(__xludf.DUMMYFUNCTION("""COMPUTED_VALUE"""),"Строительство сетей теплоснабжения от котельной до потребителей в д. Судниково (ПИР)")</f>
        <v>Строительство сетей теплоснабжения от котельной до потребителей в д. Судниково (ПИР)</v>
      </c>
      <c r="E284" s="111">
        <f ca="1">IFERROR(__xludf.DUMMYFUNCTION("""COMPUTED_VALUE"""),2020)</f>
        <v>2020</v>
      </c>
      <c r="F284" s="113">
        <f ca="1">IFERROR(__xludf.DUMMYFUNCTION("""COMPUTED_VALUE"""),0)</f>
        <v>0</v>
      </c>
      <c r="G284" s="113">
        <f ca="1">IFERROR(__xludf.DUMMYFUNCTION("""COMPUTED_VALUE"""),0)</f>
        <v>0</v>
      </c>
      <c r="H284" s="113">
        <f ca="1">IFERROR(__xludf.DUMMYFUNCTION("""COMPUTED_VALUE"""),0)</f>
        <v>0</v>
      </c>
      <c r="I284" s="113">
        <f ca="1">IFERROR(__xludf.DUMMYFUNCTION("""COMPUTED_VALUE"""),0)</f>
        <v>0</v>
      </c>
      <c r="J284" s="111">
        <f ca="1">IFERROR(__xludf.DUMMYFUNCTION("""COMPUTED_VALUE"""),0)</f>
        <v>0</v>
      </c>
      <c r="K284" s="113">
        <f ca="1">IFERROR(__xludf.DUMMYFUNCTION("""COMPUTED_VALUE"""),0)</f>
        <v>0</v>
      </c>
      <c r="L284" s="114" t="str">
        <f ca="1">IFERROR(__xludf.DUMMYFUNCTION("""COMPUTED_VALUE"""),"#DIV/0!")</f>
        <v>#DIV/0!</v>
      </c>
      <c r="M284" s="111"/>
      <c r="N284" s="111"/>
      <c r="O284" s="111"/>
      <c r="P284" s="111"/>
      <c r="Q284" s="112"/>
      <c r="R284" s="103"/>
      <c r="S284" s="103"/>
      <c r="T284" s="103"/>
      <c r="U284" s="103"/>
      <c r="V284" s="103"/>
      <c r="W284" s="103"/>
      <c r="X284" s="103"/>
      <c r="Y284" s="103"/>
      <c r="Z284" s="103"/>
      <c r="AA284" s="103"/>
    </row>
    <row r="285" spans="1:27" ht="76.5" x14ac:dyDescent="0.2">
      <c r="A285" s="110">
        <v>282</v>
      </c>
      <c r="B285" s="110" t="s">
        <v>54</v>
      </c>
      <c r="C285" s="111" t="str">
        <f ca="1">IFERROR(__xludf.DUMMYFUNCTION("""COMPUTED_VALUE"""),"г.о. Талдомский")</f>
        <v>г.о. Талдомский</v>
      </c>
      <c r="D285" s="111" t="str">
        <f ca="1">IFERROR(__xludf.DUMMYFUNCTION("""COMPUTED_VALUE"""),"Строительство автоматизированной блочно-модульной котельной производительностью 11,0 МВт по адресу: Талдомский район, р.п. Северный, ул. Садовая,  д. 12 ")</f>
        <v xml:space="preserve">Строительство автоматизированной блочно-модульной котельной производительностью 11,0 МВт по адресу: Талдомский район, р.п. Северный, ул. Садовая,  д. 12 </v>
      </c>
      <c r="E285" s="111">
        <f ca="1">IFERROR(__xludf.DUMMYFUNCTION("""COMPUTED_VALUE"""),2022)</f>
        <v>2022</v>
      </c>
      <c r="F285" s="113">
        <f ca="1">IFERROR(__xludf.DUMMYFUNCTION("""COMPUTED_VALUE"""),0)</f>
        <v>0</v>
      </c>
      <c r="G285" s="113">
        <f ca="1">IFERROR(__xludf.DUMMYFUNCTION("""COMPUTED_VALUE"""),0)</f>
        <v>0</v>
      </c>
      <c r="H285" s="113">
        <f ca="1">IFERROR(__xludf.DUMMYFUNCTION("""COMPUTED_VALUE"""),0)</f>
        <v>0</v>
      </c>
      <c r="I285" s="113">
        <f ca="1">IFERROR(__xludf.DUMMYFUNCTION("""COMPUTED_VALUE"""),0)</f>
        <v>0</v>
      </c>
      <c r="J285" s="111">
        <f ca="1">IFERROR(__xludf.DUMMYFUNCTION("""COMPUTED_VALUE"""),0)</f>
        <v>0</v>
      </c>
      <c r="K285" s="113">
        <f ca="1">IFERROR(__xludf.DUMMYFUNCTION("""COMPUTED_VALUE"""),0)</f>
        <v>0</v>
      </c>
      <c r="L285" s="114" t="str">
        <f ca="1">IFERROR(__xludf.DUMMYFUNCTION("""COMPUTED_VALUE"""),"#DIV/0!")</f>
        <v>#DIV/0!</v>
      </c>
      <c r="M285" s="111"/>
      <c r="N285" s="111"/>
      <c r="O285" s="111"/>
      <c r="P285" s="111"/>
      <c r="Q285" s="112"/>
      <c r="R285" s="103"/>
      <c r="S285" s="103"/>
      <c r="T285" s="103"/>
      <c r="U285" s="103"/>
      <c r="V285" s="103"/>
      <c r="W285" s="103"/>
      <c r="X285" s="103"/>
      <c r="Y285" s="103"/>
      <c r="Z285" s="103"/>
      <c r="AA285" s="103"/>
    </row>
    <row r="286" spans="1:27" ht="51" x14ac:dyDescent="0.2">
      <c r="A286" s="110">
        <v>283</v>
      </c>
      <c r="B286" s="110" t="s">
        <v>54</v>
      </c>
      <c r="C286" s="111" t="str">
        <f ca="1">IFERROR(__xludf.DUMMYFUNCTION("""COMPUTED_VALUE"""),"г.о. Егорьевск")</f>
        <v>г.о. Егорьевск</v>
      </c>
      <c r="D286" s="111" t="str">
        <f ca="1">IFERROR(__xludf.DUMMYFUNCTION("""COMPUTED_VALUE"""),"Строительство сетей водоснабжения от д. Поповская к д. Круги, д. Соломаево и д. Поцелуево г.о. Егорьевск (ПИР)")</f>
        <v>Строительство сетей водоснабжения от д. Поповская к д. Круги, д. Соломаево и д. Поцелуево г.о. Егорьевск (ПИР)</v>
      </c>
      <c r="E286" s="111">
        <f ca="1">IFERROR(__xludf.DUMMYFUNCTION("""COMPUTED_VALUE"""),2020)</f>
        <v>2020</v>
      </c>
      <c r="F286" s="113">
        <f ca="1">IFERROR(__xludf.DUMMYFUNCTION("""COMPUTED_VALUE"""),4702.4)</f>
        <v>4702.3999999999996</v>
      </c>
      <c r="G286" s="113">
        <f ca="1">IFERROR(__xludf.DUMMYFUNCTION("""COMPUTED_VALUE"""),4702.4)</f>
        <v>4702.3999999999996</v>
      </c>
      <c r="H286" s="113">
        <f ca="1">IFERROR(__xludf.DUMMYFUNCTION("""COMPUTED_VALUE"""),0)</f>
        <v>0</v>
      </c>
      <c r="I286" s="113">
        <f ca="1">IFERROR(__xludf.DUMMYFUNCTION("""COMPUTED_VALUE"""),0)</f>
        <v>0</v>
      </c>
      <c r="J286" s="111">
        <f ca="1">IFERROR(__xludf.DUMMYFUNCTION("""COMPUTED_VALUE"""),0)</f>
        <v>0</v>
      </c>
      <c r="K286" s="113">
        <f ca="1">IFERROR(__xludf.DUMMYFUNCTION("""COMPUTED_VALUE"""),4702.4)</f>
        <v>4702.3999999999996</v>
      </c>
      <c r="L286" s="114">
        <f ca="1">IFERROR(__xludf.DUMMYFUNCTION("""COMPUTED_VALUE"""),0)</f>
        <v>0</v>
      </c>
      <c r="M286" s="111" t="str">
        <f ca="1">IFERROR(__xludf.DUMMYFUNCTION("""COMPUTED_VALUE"""),"Нарушен срок получения положительного заключения государственной экспертизы.")</f>
        <v>Нарушен срок получения положительного заключения государственной экспертизы.</v>
      </c>
      <c r="N286" s="110" t="s">
        <v>555</v>
      </c>
      <c r="O286" s="111"/>
      <c r="P286" s="111"/>
      <c r="Q286" s="115">
        <v>44154</v>
      </c>
      <c r="R286" s="103"/>
      <c r="S286" s="103"/>
      <c r="T286" s="103"/>
      <c r="U286" s="103"/>
      <c r="V286" s="103"/>
      <c r="W286" s="103"/>
      <c r="X286" s="103"/>
      <c r="Y286" s="103"/>
      <c r="Z286" s="103"/>
      <c r="AA286" s="103"/>
    </row>
    <row r="287" spans="1:27" ht="38.25" x14ac:dyDescent="0.2">
      <c r="A287" s="110">
        <v>284</v>
      </c>
      <c r="B287" s="110" t="s">
        <v>54</v>
      </c>
      <c r="C287" s="111" t="str">
        <f ca="1">IFERROR(__xludf.DUMMYFUNCTION("""COMPUTED_VALUE"""),"г.о. Зарайск")</f>
        <v>г.о. Зарайск</v>
      </c>
      <c r="D287" s="111" t="str">
        <f ca="1">IFERROR(__xludf.DUMMYFUNCTION("""COMPUTED_VALUE"""),"Приобретение , монтаж и ввод в эксплуатацию  котельной в д. Козловка г.о. Зарайск")</f>
        <v>Приобретение , монтаж и ввод в эксплуатацию  котельной в д. Козловка г.о. Зарайск</v>
      </c>
      <c r="E287" s="111">
        <f ca="1">IFERROR(__xludf.DUMMYFUNCTION("""COMPUTED_VALUE"""),2020)</f>
        <v>2020</v>
      </c>
      <c r="F287" s="113">
        <f ca="1">IFERROR(__xludf.DUMMYFUNCTION("""COMPUTED_VALUE"""),1598)</f>
        <v>1598</v>
      </c>
      <c r="G287" s="113">
        <f ca="1">IFERROR(__xludf.DUMMYFUNCTION("""COMPUTED_VALUE"""),0)</f>
        <v>0</v>
      </c>
      <c r="H287" s="113">
        <f ca="1">IFERROR(__xludf.DUMMYFUNCTION("""COMPUTED_VALUE"""),0)</f>
        <v>0</v>
      </c>
      <c r="I287" s="113">
        <f ca="1">IFERROR(__xludf.DUMMYFUNCTION("""COMPUTED_VALUE"""),1598)</f>
        <v>1598</v>
      </c>
      <c r="J287" s="111">
        <f ca="1">IFERROR(__xludf.DUMMYFUNCTION("""COMPUTED_VALUE"""),1582.02)</f>
        <v>1582.02</v>
      </c>
      <c r="K287" s="113">
        <f ca="1">IFERROR(__xludf.DUMMYFUNCTION("""COMPUTED_VALUE"""),15.98)</f>
        <v>15.98</v>
      </c>
      <c r="L287" s="114">
        <f ca="1">IFERROR(__xludf.DUMMYFUNCTION("""COMPUTED_VALUE"""),0.99)</f>
        <v>0.99</v>
      </c>
      <c r="M287" s="111"/>
      <c r="N287" s="110" t="s">
        <v>567</v>
      </c>
      <c r="O287" s="111"/>
      <c r="P287" s="111"/>
      <c r="Q287" s="112"/>
      <c r="R287" s="103"/>
      <c r="S287" s="103"/>
      <c r="T287" s="103"/>
      <c r="U287" s="103"/>
      <c r="V287" s="103"/>
      <c r="W287" s="103"/>
      <c r="X287" s="103"/>
      <c r="Y287" s="103"/>
      <c r="Z287" s="103"/>
      <c r="AA287" s="103"/>
    </row>
    <row r="288" spans="1:27" ht="38.25" x14ac:dyDescent="0.2">
      <c r="A288" s="110">
        <v>285</v>
      </c>
      <c r="B288" s="110" t="s">
        <v>54</v>
      </c>
      <c r="C288" s="111" t="str">
        <f ca="1">IFERROR(__xludf.DUMMYFUNCTION("""COMPUTED_VALUE"""),"г.о. Зарайск")</f>
        <v>г.о. Зарайск</v>
      </c>
      <c r="D288" s="111" t="str">
        <f ca="1">IFERROR(__xludf.DUMMYFUNCTION("""COMPUTED_VALUE"""),"Приобретение , монтаж и ввод в эксплуатацию котельной д. Новоселки г.о. Зарайск")</f>
        <v>Приобретение , монтаж и ввод в эксплуатацию котельной д. Новоселки г.о. Зарайск</v>
      </c>
      <c r="E288" s="111">
        <f ca="1">IFERROR(__xludf.DUMMYFUNCTION("""COMPUTED_VALUE"""),2020)</f>
        <v>2020</v>
      </c>
      <c r="F288" s="113">
        <f ca="1">IFERROR(__xludf.DUMMYFUNCTION("""COMPUTED_VALUE"""),1598)</f>
        <v>1598</v>
      </c>
      <c r="G288" s="113">
        <f ca="1">IFERROR(__xludf.DUMMYFUNCTION("""COMPUTED_VALUE"""),0)</f>
        <v>0</v>
      </c>
      <c r="H288" s="113">
        <f ca="1">IFERROR(__xludf.DUMMYFUNCTION("""COMPUTED_VALUE"""),0)</f>
        <v>0</v>
      </c>
      <c r="I288" s="113">
        <f ca="1">IFERROR(__xludf.DUMMYFUNCTION("""COMPUTED_VALUE"""),1598)</f>
        <v>1598</v>
      </c>
      <c r="J288" s="111">
        <f ca="1">IFERROR(__xludf.DUMMYFUNCTION("""COMPUTED_VALUE"""),1582.02)</f>
        <v>1582.02</v>
      </c>
      <c r="K288" s="113">
        <f ca="1">IFERROR(__xludf.DUMMYFUNCTION("""COMPUTED_VALUE"""),15.98)</f>
        <v>15.98</v>
      </c>
      <c r="L288" s="114">
        <f ca="1">IFERROR(__xludf.DUMMYFUNCTION("""COMPUTED_VALUE"""),0.99)</f>
        <v>0.99</v>
      </c>
      <c r="M288" s="111"/>
      <c r="N288" s="110" t="s">
        <v>567</v>
      </c>
      <c r="O288" s="111"/>
      <c r="P288" s="111"/>
      <c r="Q288" s="112"/>
      <c r="R288" s="103"/>
      <c r="S288" s="103"/>
      <c r="T288" s="103"/>
      <c r="U288" s="103"/>
      <c r="V288" s="103"/>
      <c r="W288" s="103"/>
      <c r="X288" s="103"/>
      <c r="Y288" s="103"/>
      <c r="Z288" s="103"/>
      <c r="AA288" s="103"/>
    </row>
    <row r="289" spans="1:27" ht="51" x14ac:dyDescent="0.2">
      <c r="A289" s="110">
        <v>286</v>
      </c>
      <c r="B289" s="110" t="s">
        <v>66</v>
      </c>
      <c r="C289" s="111" t="str">
        <f ca="1">IFERROR(__xludf.DUMMYFUNCTION("""COMPUTED_VALUE"""),"г.о. Зарайск")</f>
        <v>г.о. Зарайск</v>
      </c>
      <c r="D289" s="111" t="str">
        <f ca="1">IFERROR(__xludf.DUMMYFUNCTION("""COMPUTED_VALUE"""),"Строительство блочно-модульной котельной ""ГПТУ"" со снижением мощности в г. Зарайск, г.о. Зарайск (в т.ч. ПИР) ")</f>
        <v xml:space="preserve">Строительство блочно-модульной котельной "ГПТУ" со снижением мощности в г. Зарайск, г.о. Зарайск (в т.ч. ПИР) </v>
      </c>
      <c r="E289" s="111">
        <f ca="1">IFERROR(__xludf.DUMMYFUNCTION("""COMPUTED_VALUE"""),2020)</f>
        <v>2020</v>
      </c>
      <c r="F289" s="113">
        <f ca="1">IFERROR(__xludf.DUMMYFUNCTION("""COMPUTED_VALUE"""),29244.82)</f>
        <v>29244.82</v>
      </c>
      <c r="G289" s="113">
        <f ca="1">IFERROR(__xludf.DUMMYFUNCTION("""COMPUTED_VALUE"""),0)</f>
        <v>0</v>
      </c>
      <c r="H289" s="113">
        <f ca="1">IFERROR(__xludf.DUMMYFUNCTION("""COMPUTED_VALUE"""),0)</f>
        <v>0</v>
      </c>
      <c r="I289" s="113">
        <f ca="1">IFERROR(__xludf.DUMMYFUNCTION("""COMPUTED_VALUE"""),29244.82)</f>
        <v>29244.82</v>
      </c>
      <c r="J289" s="111">
        <f ca="1">IFERROR(__xludf.DUMMYFUNCTION("""COMPUTED_VALUE"""),28034.31)</f>
        <v>28034.31</v>
      </c>
      <c r="K289" s="113">
        <f ca="1">IFERROR(__xludf.DUMMYFUNCTION("""COMPUTED_VALUE"""),1210.50999999999)</f>
        <v>1210.50999999999</v>
      </c>
      <c r="L289" s="114">
        <f ca="1">IFERROR(__xludf.DUMMYFUNCTION("""COMPUTED_VALUE"""),0.958607712408556)</f>
        <v>0.95860771240855602</v>
      </c>
      <c r="M289" s="111"/>
      <c r="N289" s="110" t="s">
        <v>567</v>
      </c>
      <c r="O289" s="111"/>
      <c r="P289" s="111"/>
      <c r="Q289" s="112"/>
      <c r="R289" s="103"/>
      <c r="S289" s="103"/>
      <c r="T289" s="103"/>
      <c r="U289" s="103"/>
      <c r="V289" s="103"/>
      <c r="W289" s="103"/>
      <c r="X289" s="103"/>
      <c r="Y289" s="103"/>
      <c r="Z289" s="103"/>
      <c r="AA289" s="103"/>
    </row>
    <row r="290" spans="1:27" ht="51" x14ac:dyDescent="0.2">
      <c r="A290" s="110">
        <v>287</v>
      </c>
      <c r="B290" s="110" t="s">
        <v>66</v>
      </c>
      <c r="C290" s="111" t="str">
        <f ca="1">IFERROR(__xludf.DUMMYFUNCTION("""COMPUTED_VALUE"""),"г.о. Зарайск")</f>
        <v>г.о. Зарайск</v>
      </c>
      <c r="D290" s="111" t="str">
        <f ca="1">IFERROR(__xludf.DUMMYFUNCTION("""COMPUTED_VALUE"""),"Строительство блочно-модульной котельной ""Струпна"" со снижением мощности в с. Чулки-Соколово, г.о. Зарайск (в т.ч. ПИР) ")</f>
        <v xml:space="preserve">Строительство блочно-модульной котельной "Струпна" со снижением мощности в с. Чулки-Соколово, г.о. Зарайск (в т.ч. ПИР) </v>
      </c>
      <c r="E290" s="111" t="str">
        <f ca="1">IFERROR(__xludf.DUMMYFUNCTION("""COMPUTED_VALUE"""),"2020-2021")</f>
        <v>2020-2021</v>
      </c>
      <c r="F290" s="113">
        <f ca="1">IFERROR(__xludf.DUMMYFUNCTION("""COMPUTED_VALUE"""),1759.4)</f>
        <v>1759.4</v>
      </c>
      <c r="G290" s="113">
        <f ca="1">IFERROR(__xludf.DUMMYFUNCTION("""COMPUTED_VALUE"""),0)</f>
        <v>0</v>
      </c>
      <c r="H290" s="113">
        <f ca="1">IFERROR(__xludf.DUMMYFUNCTION("""COMPUTED_VALUE"""),0)</f>
        <v>0</v>
      </c>
      <c r="I290" s="113">
        <f ca="1">IFERROR(__xludf.DUMMYFUNCTION("""COMPUTED_VALUE"""),1759.4)</f>
        <v>1759.4</v>
      </c>
      <c r="J290" s="111">
        <f ca="1">IFERROR(__xludf.DUMMYFUNCTION("""COMPUTED_VALUE"""),0)</f>
        <v>0</v>
      </c>
      <c r="K290" s="113">
        <f ca="1">IFERROR(__xludf.DUMMYFUNCTION("""COMPUTED_VALUE"""),1759.4)</f>
        <v>1759.4</v>
      </c>
      <c r="L290" s="114">
        <f ca="1">IFERROR(__xludf.DUMMYFUNCTION("""COMPUTED_VALUE"""),0)</f>
        <v>0</v>
      </c>
      <c r="M290" s="111"/>
      <c r="N290" s="110" t="s">
        <v>567</v>
      </c>
      <c r="O290" s="111"/>
      <c r="P290" s="111"/>
      <c r="Q290" s="112"/>
      <c r="R290" s="103"/>
      <c r="S290" s="103"/>
      <c r="T290" s="103"/>
      <c r="U290" s="103"/>
      <c r="V290" s="103"/>
      <c r="W290" s="103"/>
      <c r="X290" s="103"/>
      <c r="Y290" s="103"/>
      <c r="Z290" s="103"/>
      <c r="AA290" s="103"/>
    </row>
    <row r="291" spans="1:27" ht="51" x14ac:dyDescent="0.2">
      <c r="A291" s="110">
        <v>288</v>
      </c>
      <c r="B291" s="110" t="s">
        <v>66</v>
      </c>
      <c r="C291" s="111" t="str">
        <f ca="1">IFERROR(__xludf.DUMMYFUNCTION("""COMPUTED_VALUE"""),"г.о. Зарайск")</f>
        <v>г.о. Зарайск</v>
      </c>
      <c r="D291" s="111" t="str">
        <f ca="1">IFERROR(__xludf.DUMMYFUNCTION("""COMPUTED_VALUE"""),"Строительство блочно-модульной котельной со снижением мощности в г. Зарайск, пос. ПМК-6  г.о. Зарайск (в т.ч. ПИР)")</f>
        <v>Строительство блочно-модульной котельной со снижением мощности в г. Зарайск, пос. ПМК-6  г.о. Зарайск (в т.ч. ПИР)</v>
      </c>
      <c r="E291" s="111" t="str">
        <f ca="1">IFERROR(__xludf.DUMMYFUNCTION("""COMPUTED_VALUE"""),"2020-2021")</f>
        <v>2020-2021</v>
      </c>
      <c r="F291" s="113">
        <f ca="1">IFERROR(__xludf.DUMMYFUNCTION("""COMPUTED_VALUE"""),1759.4)</f>
        <v>1759.4</v>
      </c>
      <c r="G291" s="113">
        <f ca="1">IFERROR(__xludf.DUMMYFUNCTION("""COMPUTED_VALUE"""),0)</f>
        <v>0</v>
      </c>
      <c r="H291" s="113">
        <f ca="1">IFERROR(__xludf.DUMMYFUNCTION("""COMPUTED_VALUE"""),0)</f>
        <v>0</v>
      </c>
      <c r="I291" s="113">
        <f ca="1">IFERROR(__xludf.DUMMYFUNCTION("""COMPUTED_VALUE"""),1759.4)</f>
        <v>1759.4</v>
      </c>
      <c r="J291" s="111">
        <f ca="1">IFERROR(__xludf.DUMMYFUNCTION("""COMPUTED_VALUE"""),0)</f>
        <v>0</v>
      </c>
      <c r="K291" s="113">
        <f ca="1">IFERROR(__xludf.DUMMYFUNCTION("""COMPUTED_VALUE"""),1759.4)</f>
        <v>1759.4</v>
      </c>
      <c r="L291" s="114">
        <f ca="1">IFERROR(__xludf.DUMMYFUNCTION("""COMPUTED_VALUE"""),0)</f>
        <v>0</v>
      </c>
      <c r="M291" s="111"/>
      <c r="N291" s="110" t="s">
        <v>567</v>
      </c>
      <c r="O291" s="111"/>
      <c r="P291" s="111"/>
      <c r="Q291" s="112"/>
      <c r="R291" s="103"/>
      <c r="S291" s="103"/>
      <c r="T291" s="103"/>
      <c r="U291" s="103"/>
      <c r="V291" s="103"/>
      <c r="W291" s="103"/>
      <c r="X291" s="103"/>
      <c r="Y291" s="103"/>
      <c r="Z291" s="103"/>
      <c r="AA291" s="103"/>
    </row>
    <row r="292" spans="1:27" ht="127.5" x14ac:dyDescent="0.2">
      <c r="A292" s="110">
        <v>289</v>
      </c>
      <c r="B292" s="110" t="s">
        <v>54</v>
      </c>
      <c r="C292" s="111" t="str">
        <f ca="1">IFERROR(__xludf.DUMMYFUNCTION("""COMPUTED_VALUE"""),"г.о. Раменский")</f>
        <v>г.о. Раменский</v>
      </c>
      <c r="D292" s="111" t="str">
        <f ca="1">IFERROR(__xludf.DUMMYFUNCTION("""COMPUTED_VALUE"""),"Строительство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"&amp;"и электроснабжения) ")</f>
        <v xml:space="preserv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и электроснабжения) </v>
      </c>
      <c r="E292" s="111" t="str">
        <f ca="1">IFERROR(__xludf.DUMMYFUNCTION("""COMPUTED_VALUE"""),"2021-2022")</f>
        <v>2021-2022</v>
      </c>
      <c r="F292" s="113">
        <f ca="1">IFERROR(__xludf.DUMMYFUNCTION("""COMPUTED_VALUE"""),0)</f>
        <v>0</v>
      </c>
      <c r="G292" s="113">
        <f ca="1">IFERROR(__xludf.DUMMYFUNCTION("""COMPUTED_VALUE"""),0)</f>
        <v>0</v>
      </c>
      <c r="H292" s="113">
        <f ca="1">IFERROR(__xludf.DUMMYFUNCTION("""COMPUTED_VALUE"""),0)</f>
        <v>0</v>
      </c>
      <c r="I292" s="113">
        <f ca="1">IFERROR(__xludf.DUMMYFUNCTION("""COMPUTED_VALUE"""),0)</f>
        <v>0</v>
      </c>
      <c r="J292" s="111">
        <f ca="1">IFERROR(__xludf.DUMMYFUNCTION("""COMPUTED_VALUE"""),0)</f>
        <v>0</v>
      </c>
      <c r="K292" s="113">
        <f ca="1">IFERROR(__xludf.DUMMYFUNCTION("""COMPUTED_VALUE"""),0)</f>
        <v>0</v>
      </c>
      <c r="L292" s="114" t="str">
        <f ca="1">IFERROR(__xludf.DUMMYFUNCTION("""COMPUTED_VALUE"""),"#DIV/0!")</f>
        <v>#DIV/0!</v>
      </c>
      <c r="M292" s="111"/>
      <c r="N292" s="111"/>
      <c r="O292" s="111"/>
      <c r="P292" s="111"/>
      <c r="Q292" s="112"/>
      <c r="R292" s="103"/>
      <c r="S292" s="103"/>
      <c r="T292" s="103"/>
      <c r="U292" s="103"/>
      <c r="V292" s="103"/>
      <c r="W292" s="103"/>
      <c r="X292" s="103"/>
      <c r="Y292" s="103"/>
      <c r="Z292" s="103"/>
      <c r="AA292" s="103"/>
    </row>
    <row r="293" spans="1:27" ht="51" x14ac:dyDescent="0.2">
      <c r="A293" s="110">
        <v>290</v>
      </c>
      <c r="B293" s="110" t="s">
        <v>66</v>
      </c>
      <c r="C293" s="111" t="str">
        <f ca="1">IFERROR(__xludf.DUMMYFUNCTION("""COMPUTED_VALUE"""),"г.о. Зарайск")</f>
        <v>г.о. Зарайск</v>
      </c>
      <c r="D293" s="111" t="str">
        <f ca="1">IFERROR(__xludf.DUMMYFUNCTION("""COMPUTED_VALUE"""),"Строительство блочно-модульной котельной со снижением мощности в д. Авдеево, г.о. Зарайск (в т.ч. ПИР) ")</f>
        <v xml:space="preserve">Строительство блочно-модульной котельной со снижением мощности в д. Авдеево, г.о. Зарайск (в т.ч. ПИР) </v>
      </c>
      <c r="E293" s="111" t="str">
        <f ca="1">IFERROR(__xludf.DUMMYFUNCTION("""COMPUTED_VALUE"""),"2020-2021")</f>
        <v>2020-2021</v>
      </c>
      <c r="F293" s="113">
        <f ca="1">IFERROR(__xludf.DUMMYFUNCTION("""COMPUTED_VALUE"""),1759.4)</f>
        <v>1759.4</v>
      </c>
      <c r="G293" s="113">
        <f ca="1">IFERROR(__xludf.DUMMYFUNCTION("""COMPUTED_VALUE"""),0)</f>
        <v>0</v>
      </c>
      <c r="H293" s="113">
        <f ca="1">IFERROR(__xludf.DUMMYFUNCTION("""COMPUTED_VALUE"""),0)</f>
        <v>0</v>
      </c>
      <c r="I293" s="113">
        <f ca="1">IFERROR(__xludf.DUMMYFUNCTION("""COMPUTED_VALUE"""),1759.4)</f>
        <v>1759.4</v>
      </c>
      <c r="J293" s="111">
        <f ca="1">IFERROR(__xludf.DUMMYFUNCTION("""COMPUTED_VALUE"""),0)</f>
        <v>0</v>
      </c>
      <c r="K293" s="113">
        <f ca="1">IFERROR(__xludf.DUMMYFUNCTION("""COMPUTED_VALUE"""),1759.4)</f>
        <v>1759.4</v>
      </c>
      <c r="L293" s="114">
        <f ca="1">IFERROR(__xludf.DUMMYFUNCTION("""COMPUTED_VALUE"""),0)</f>
        <v>0</v>
      </c>
      <c r="M293" s="111"/>
      <c r="N293" s="110" t="s">
        <v>567</v>
      </c>
      <c r="O293" s="111"/>
      <c r="P293" s="111"/>
      <c r="Q293" s="112"/>
      <c r="R293" s="103"/>
      <c r="S293" s="103"/>
      <c r="T293" s="103"/>
      <c r="U293" s="103"/>
      <c r="V293" s="103"/>
      <c r="W293" s="103"/>
      <c r="X293" s="103"/>
      <c r="Y293" s="103"/>
      <c r="Z293" s="103"/>
      <c r="AA293" s="103"/>
    </row>
    <row r="294" spans="1:27" ht="89.25" x14ac:dyDescent="0.2">
      <c r="A294" s="110">
        <v>291</v>
      </c>
      <c r="B294" s="110" t="s">
        <v>54</v>
      </c>
      <c r="C294" s="111" t="str">
        <f ca="1">IFERROR(__xludf.DUMMYFUNCTION("""COMPUTED_VALUE"""),"г.о. Красногорск")</f>
        <v>г.о. Красногорск</v>
      </c>
      <c r="D294" s="111" t="str">
        <f ca="1">IFERROR(__xludf.DUMMYFUNCTION("""COMPUTED_VALUE"""),"Строительство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f>
        <v>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v>
      </c>
      <c r="E294" s="111" t="str">
        <f ca="1">IFERROR(__xludf.DUMMYFUNCTION("""COMPUTED_VALUE"""),"2022-2023")</f>
        <v>2022-2023</v>
      </c>
      <c r="F294" s="113">
        <f ca="1">IFERROR(__xludf.DUMMYFUNCTION("""COMPUTED_VALUE"""),0)</f>
        <v>0</v>
      </c>
      <c r="G294" s="113">
        <f ca="1">IFERROR(__xludf.DUMMYFUNCTION("""COMPUTED_VALUE"""),0)</f>
        <v>0</v>
      </c>
      <c r="H294" s="113">
        <f ca="1">IFERROR(__xludf.DUMMYFUNCTION("""COMPUTED_VALUE"""),0)</f>
        <v>0</v>
      </c>
      <c r="I294" s="113">
        <f ca="1">IFERROR(__xludf.DUMMYFUNCTION("""COMPUTED_VALUE"""),0)</f>
        <v>0</v>
      </c>
      <c r="J294" s="111">
        <f ca="1">IFERROR(__xludf.DUMMYFUNCTION("""COMPUTED_VALUE"""),0)</f>
        <v>0</v>
      </c>
      <c r="K294" s="113">
        <f ca="1">IFERROR(__xludf.DUMMYFUNCTION("""COMPUTED_VALUE"""),0)</f>
        <v>0</v>
      </c>
      <c r="L294" s="114" t="str">
        <f ca="1">IFERROR(__xludf.DUMMYFUNCTION("""COMPUTED_VALUE"""),"#DIV/0!")</f>
        <v>#DIV/0!</v>
      </c>
      <c r="M294" s="111"/>
      <c r="N294" s="111"/>
      <c r="O294" s="111"/>
      <c r="P294" s="111"/>
      <c r="Q294" s="112"/>
      <c r="R294" s="103"/>
      <c r="S294" s="103"/>
      <c r="T294" s="103"/>
      <c r="U294" s="103"/>
      <c r="V294" s="103"/>
      <c r="W294" s="103"/>
      <c r="X294" s="103"/>
      <c r="Y294" s="103"/>
      <c r="Z294" s="103"/>
      <c r="AA294" s="103"/>
    </row>
    <row r="295" spans="1:27" ht="51" x14ac:dyDescent="0.2">
      <c r="A295" s="110">
        <v>292</v>
      </c>
      <c r="B295" s="110" t="s">
        <v>66</v>
      </c>
      <c r="C295" s="111" t="str">
        <f ca="1">IFERROR(__xludf.DUMMYFUNCTION("""COMPUTED_VALUE"""),"г.о. Зарайск")</f>
        <v>г.о. Зарайск</v>
      </c>
      <c r="D295" s="111" t="str">
        <f ca="1">IFERROR(__xludf.DUMMYFUNCTION("""COMPUTED_VALUE"""),"Строительство блочно-модульной котельной со снижением мощности в д. Алферьево, г.о. Зарайск (в т.ч. ПИР) ")</f>
        <v xml:space="preserve">Строительство блочно-модульной котельной со снижением мощности в д. Алферьево, г.о. Зарайск (в т.ч. ПИР) </v>
      </c>
      <c r="E295" s="111" t="str">
        <f ca="1">IFERROR(__xludf.DUMMYFUNCTION("""COMPUTED_VALUE"""),"2020-2021")</f>
        <v>2020-2021</v>
      </c>
      <c r="F295" s="113">
        <f ca="1">IFERROR(__xludf.DUMMYFUNCTION("""COMPUTED_VALUE"""),1759.4)</f>
        <v>1759.4</v>
      </c>
      <c r="G295" s="113">
        <f ca="1">IFERROR(__xludf.DUMMYFUNCTION("""COMPUTED_VALUE"""),0)</f>
        <v>0</v>
      </c>
      <c r="H295" s="113">
        <f ca="1">IFERROR(__xludf.DUMMYFUNCTION("""COMPUTED_VALUE"""),0)</f>
        <v>0</v>
      </c>
      <c r="I295" s="113">
        <f ca="1">IFERROR(__xludf.DUMMYFUNCTION("""COMPUTED_VALUE"""),1759.4)</f>
        <v>1759.4</v>
      </c>
      <c r="J295" s="111">
        <f ca="1">IFERROR(__xludf.DUMMYFUNCTION("""COMPUTED_VALUE"""),0)</f>
        <v>0</v>
      </c>
      <c r="K295" s="113">
        <f ca="1">IFERROR(__xludf.DUMMYFUNCTION("""COMPUTED_VALUE"""),1759.4)</f>
        <v>1759.4</v>
      </c>
      <c r="L295" s="114">
        <f ca="1">IFERROR(__xludf.DUMMYFUNCTION("""COMPUTED_VALUE"""),0)</f>
        <v>0</v>
      </c>
      <c r="M295" s="111"/>
      <c r="N295" s="110" t="s">
        <v>567</v>
      </c>
      <c r="O295" s="111"/>
      <c r="P295" s="111"/>
      <c r="Q295" s="112"/>
      <c r="R295" s="103"/>
      <c r="S295" s="103"/>
      <c r="T295" s="103"/>
      <c r="U295" s="103"/>
      <c r="V295" s="103"/>
      <c r="W295" s="103"/>
      <c r="X295" s="103"/>
      <c r="Y295" s="103"/>
      <c r="Z295" s="103"/>
      <c r="AA295" s="103"/>
    </row>
    <row r="296" spans="1:27" ht="63.75" x14ac:dyDescent="0.2">
      <c r="A296" s="110">
        <v>293</v>
      </c>
      <c r="B296" s="110" t="s">
        <v>54</v>
      </c>
      <c r="C296" s="111" t="str">
        <f ca="1">IFERROR(__xludf.DUMMYFUNCTION("""COMPUTED_VALUE"""),"г.о. Красногорск")</f>
        <v>г.о. Красногорск</v>
      </c>
      <c r="D296" s="111" t="str">
        <f ca="1">IFERROR(__xludf.DUMMYFUNCTION("""COMPUTED_VALUE"""),"Реконструкция   тепловых сетей отопления и горячего водоснабжения   (в том числе ПИР) по адресу: городской округ Красногорск, пос. Архангельское")</f>
        <v>Реконструкция   тепловых сетей отопления и горячего водоснабжения   (в том числе ПИР) по адресу: городской округ Красногорск, пос. Архангельское</v>
      </c>
      <c r="E296" s="111" t="str">
        <f ca="1">IFERROR(__xludf.DUMMYFUNCTION("""COMPUTED_VALUE"""),"2021-2022")</f>
        <v>2021-2022</v>
      </c>
      <c r="F296" s="113">
        <f ca="1">IFERROR(__xludf.DUMMYFUNCTION("""COMPUTED_VALUE"""),0)</f>
        <v>0</v>
      </c>
      <c r="G296" s="113">
        <f ca="1">IFERROR(__xludf.DUMMYFUNCTION("""COMPUTED_VALUE"""),0)</f>
        <v>0</v>
      </c>
      <c r="H296" s="113">
        <f ca="1">IFERROR(__xludf.DUMMYFUNCTION("""COMPUTED_VALUE"""),0)</f>
        <v>0</v>
      </c>
      <c r="I296" s="113">
        <f ca="1">IFERROR(__xludf.DUMMYFUNCTION("""COMPUTED_VALUE"""),0)</f>
        <v>0</v>
      </c>
      <c r="J296" s="111">
        <f ca="1">IFERROR(__xludf.DUMMYFUNCTION("""COMPUTED_VALUE"""),0)</f>
        <v>0</v>
      </c>
      <c r="K296" s="113">
        <f ca="1">IFERROR(__xludf.DUMMYFUNCTION("""COMPUTED_VALUE"""),0)</f>
        <v>0</v>
      </c>
      <c r="L296" s="114" t="str">
        <f ca="1">IFERROR(__xludf.DUMMYFUNCTION("""COMPUTED_VALUE"""),"#DIV/0!")</f>
        <v>#DIV/0!</v>
      </c>
      <c r="M296" s="111"/>
      <c r="N296" s="111"/>
      <c r="O296" s="111"/>
      <c r="P296" s="111"/>
      <c r="Q296" s="112"/>
      <c r="R296" s="103"/>
      <c r="S296" s="103"/>
      <c r="T296" s="103"/>
      <c r="U296" s="103"/>
      <c r="V296" s="103"/>
      <c r="W296" s="103"/>
      <c r="X296" s="103"/>
      <c r="Y296" s="103"/>
      <c r="Z296" s="103"/>
      <c r="AA296" s="103"/>
    </row>
    <row r="297" spans="1:27" ht="51" x14ac:dyDescent="0.2">
      <c r="A297" s="110">
        <v>294</v>
      </c>
      <c r="B297" s="110" t="s">
        <v>66</v>
      </c>
      <c r="C297" s="111" t="str">
        <f ca="1">IFERROR(__xludf.DUMMYFUNCTION("""COMPUTED_VALUE"""),"г.о. Зарайск")</f>
        <v>г.о. Зарайск</v>
      </c>
      <c r="D297" s="111" t="str">
        <f ca="1">IFERROR(__xludf.DUMMYFUNCTION("""COMPUTED_VALUE"""),"Строительство блочно-модульной котельной со снижением мощности в д. Гололобово г.о. Зарайск")</f>
        <v>Строительство блочно-модульной котельной со снижением мощности в д. Гололобово г.о. Зарайск</v>
      </c>
      <c r="E297" s="111">
        <f ca="1">IFERROR(__xludf.DUMMYFUNCTION("""COMPUTED_VALUE"""),2020)</f>
        <v>2020</v>
      </c>
      <c r="F297" s="113">
        <f ca="1">IFERROR(__xludf.DUMMYFUNCTION("""COMPUTED_VALUE"""),10903.94)</f>
        <v>10903.94</v>
      </c>
      <c r="G297" s="113">
        <f ca="1">IFERROR(__xludf.DUMMYFUNCTION("""COMPUTED_VALUE"""),0)</f>
        <v>0</v>
      </c>
      <c r="H297" s="113">
        <f ca="1">IFERROR(__xludf.DUMMYFUNCTION("""COMPUTED_VALUE"""),0)</f>
        <v>0</v>
      </c>
      <c r="I297" s="113">
        <f ca="1">IFERROR(__xludf.DUMMYFUNCTION("""COMPUTED_VALUE"""),10903.94)</f>
        <v>10903.94</v>
      </c>
      <c r="J297" s="111">
        <f ca="1">IFERROR(__xludf.DUMMYFUNCTION("""COMPUTED_VALUE"""),10903.94)</f>
        <v>10903.94</v>
      </c>
      <c r="K297" s="113">
        <f ca="1">IFERROR(__xludf.DUMMYFUNCTION("""COMPUTED_VALUE"""),0)</f>
        <v>0</v>
      </c>
      <c r="L297" s="114">
        <f ca="1">IFERROR(__xludf.DUMMYFUNCTION("""COMPUTED_VALUE"""),1)</f>
        <v>1</v>
      </c>
      <c r="M297" s="111"/>
      <c r="N297" s="110" t="s">
        <v>567</v>
      </c>
      <c r="O297" s="111"/>
      <c r="P297" s="111"/>
      <c r="Q297" s="112"/>
      <c r="R297" s="103"/>
      <c r="S297" s="103"/>
      <c r="T297" s="103"/>
      <c r="U297" s="103"/>
      <c r="V297" s="103"/>
      <c r="W297" s="103"/>
      <c r="X297" s="103"/>
      <c r="Y297" s="103"/>
      <c r="Z297" s="103"/>
      <c r="AA297" s="103"/>
    </row>
    <row r="298" spans="1:27" ht="89.25" x14ac:dyDescent="0.2">
      <c r="A298" s="110">
        <v>295</v>
      </c>
      <c r="B298" s="110" t="s">
        <v>54</v>
      </c>
      <c r="C298" s="111" t="str">
        <f ca="1">IFERROR(__xludf.DUMMYFUNCTION("""COMPUTED_VALUE"""),"г.о. Орехово-Зуево")</f>
        <v>г.о. Орехово-Зуево</v>
      </c>
      <c r="D298" s="111" t="str">
        <f ca="1">IFERROR(__xludf.DUMMYFUNCTION("""COMPUTED_VALUE"""),"Строительство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f>
        <v>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v>
      </c>
      <c r="E298" s="111">
        <f ca="1">IFERROR(__xludf.DUMMYFUNCTION("""COMPUTED_VALUE"""),2021)</f>
        <v>2021</v>
      </c>
      <c r="F298" s="113">
        <f ca="1">IFERROR(__xludf.DUMMYFUNCTION("""COMPUTED_VALUE"""),0)</f>
        <v>0</v>
      </c>
      <c r="G298" s="113">
        <f ca="1">IFERROR(__xludf.DUMMYFUNCTION("""COMPUTED_VALUE"""),0)</f>
        <v>0</v>
      </c>
      <c r="H298" s="113">
        <f ca="1">IFERROR(__xludf.DUMMYFUNCTION("""COMPUTED_VALUE"""),0)</f>
        <v>0</v>
      </c>
      <c r="I298" s="113">
        <f ca="1">IFERROR(__xludf.DUMMYFUNCTION("""COMPUTED_VALUE"""),0)</f>
        <v>0</v>
      </c>
      <c r="J298" s="111">
        <f ca="1">IFERROR(__xludf.DUMMYFUNCTION("""COMPUTED_VALUE"""),0)</f>
        <v>0</v>
      </c>
      <c r="K298" s="113">
        <f ca="1">IFERROR(__xludf.DUMMYFUNCTION("""COMPUTED_VALUE"""),0)</f>
        <v>0</v>
      </c>
      <c r="L298" s="114" t="str">
        <f ca="1">IFERROR(__xludf.DUMMYFUNCTION("""COMPUTED_VALUE"""),"#DIV/0!")</f>
        <v>#DIV/0!</v>
      </c>
      <c r="M298" s="111"/>
      <c r="N298" s="111"/>
      <c r="O298" s="111"/>
      <c r="P298" s="111"/>
      <c r="Q298" s="112"/>
      <c r="R298" s="103"/>
      <c r="S298" s="103"/>
      <c r="T298" s="103"/>
      <c r="U298" s="103"/>
      <c r="V298" s="103"/>
      <c r="W298" s="103"/>
      <c r="X298" s="103"/>
      <c r="Y298" s="103"/>
      <c r="Z298" s="103"/>
      <c r="AA298" s="103"/>
    </row>
    <row r="299" spans="1:27" ht="25.5" x14ac:dyDescent="0.2">
      <c r="A299" s="110">
        <v>296</v>
      </c>
      <c r="B299" s="110" t="s">
        <v>54</v>
      </c>
      <c r="C299" s="111" t="str">
        <f ca="1">IFERROR(__xludf.DUMMYFUNCTION("""COMPUTED_VALUE"""),"г.о. Рузский")</f>
        <v>г.о. Рузский</v>
      </c>
      <c r="D299" s="111" t="str">
        <f ca="1">IFERROR(__xludf.DUMMYFUNCTION("""COMPUTED_VALUE"""),"Строительство БМК г. Руза, ул. Говорова, д.1А")</f>
        <v>Строительство БМК г. Руза, ул. Говорова, д.1А</v>
      </c>
      <c r="E299" s="111">
        <f ca="1">IFERROR(__xludf.DUMMYFUNCTION("""COMPUTED_VALUE"""),2021)</f>
        <v>2021</v>
      </c>
      <c r="F299" s="113">
        <f ca="1">IFERROR(__xludf.DUMMYFUNCTION("""COMPUTED_VALUE"""),0)</f>
        <v>0</v>
      </c>
      <c r="G299" s="113">
        <f ca="1">IFERROR(__xludf.DUMMYFUNCTION("""COMPUTED_VALUE"""),0)</f>
        <v>0</v>
      </c>
      <c r="H299" s="113">
        <f ca="1">IFERROR(__xludf.DUMMYFUNCTION("""COMPUTED_VALUE"""),0)</f>
        <v>0</v>
      </c>
      <c r="I299" s="113">
        <f ca="1">IFERROR(__xludf.DUMMYFUNCTION("""COMPUTED_VALUE"""),0)</f>
        <v>0</v>
      </c>
      <c r="J299" s="111">
        <f ca="1">IFERROR(__xludf.DUMMYFUNCTION("""COMPUTED_VALUE"""),0)</f>
        <v>0</v>
      </c>
      <c r="K299" s="113">
        <f ca="1">IFERROR(__xludf.DUMMYFUNCTION("""COMPUTED_VALUE"""),0)</f>
        <v>0</v>
      </c>
      <c r="L299" s="114" t="str">
        <f ca="1">IFERROR(__xludf.DUMMYFUNCTION("""COMPUTED_VALUE"""),"#DIV/0!")</f>
        <v>#DIV/0!</v>
      </c>
      <c r="M299" s="111"/>
      <c r="N299" s="111"/>
      <c r="O299" s="111"/>
      <c r="P299" s="111"/>
      <c r="Q299" s="112"/>
      <c r="R299" s="103"/>
      <c r="S299" s="103"/>
      <c r="T299" s="103"/>
      <c r="U299" s="103"/>
      <c r="V299" s="103"/>
      <c r="W299" s="103"/>
      <c r="X299" s="103"/>
      <c r="Y299" s="103"/>
      <c r="Z299" s="103"/>
      <c r="AA299" s="103"/>
    </row>
    <row r="300" spans="1:27" ht="25.5" x14ac:dyDescent="0.2">
      <c r="A300" s="110">
        <v>297</v>
      </c>
      <c r="B300" s="110" t="s">
        <v>54</v>
      </c>
      <c r="C300" s="111" t="str">
        <f ca="1">IFERROR(__xludf.DUMMYFUNCTION("""COMPUTED_VALUE"""),"г.о. Рузский")</f>
        <v>г.о. Рузский</v>
      </c>
      <c r="D300" s="111" t="str">
        <f ca="1">IFERROR(__xludf.DUMMYFUNCTION("""COMPUTED_VALUE"""),"Строительсвто БМК г. Руза, Волоколамское шоссе")</f>
        <v>Строительсвто БМК г. Руза, Волоколамское шоссе</v>
      </c>
      <c r="E300" s="111">
        <f ca="1">IFERROR(__xludf.DUMMYFUNCTION("""COMPUTED_VALUE"""),2021)</f>
        <v>2021</v>
      </c>
      <c r="F300" s="113">
        <f ca="1">IFERROR(__xludf.DUMMYFUNCTION("""COMPUTED_VALUE"""),0)</f>
        <v>0</v>
      </c>
      <c r="G300" s="113">
        <f ca="1">IFERROR(__xludf.DUMMYFUNCTION("""COMPUTED_VALUE"""),0)</f>
        <v>0</v>
      </c>
      <c r="H300" s="113">
        <f ca="1">IFERROR(__xludf.DUMMYFUNCTION("""COMPUTED_VALUE"""),0)</f>
        <v>0</v>
      </c>
      <c r="I300" s="113">
        <f ca="1">IFERROR(__xludf.DUMMYFUNCTION("""COMPUTED_VALUE"""),0)</f>
        <v>0</v>
      </c>
      <c r="J300" s="111">
        <f ca="1">IFERROR(__xludf.DUMMYFUNCTION("""COMPUTED_VALUE"""),0)</f>
        <v>0</v>
      </c>
      <c r="K300" s="113">
        <f ca="1">IFERROR(__xludf.DUMMYFUNCTION("""COMPUTED_VALUE"""),0)</f>
        <v>0</v>
      </c>
      <c r="L300" s="114" t="str">
        <f ca="1">IFERROR(__xludf.DUMMYFUNCTION("""COMPUTED_VALUE"""),"#DIV/0!")</f>
        <v>#DIV/0!</v>
      </c>
      <c r="M300" s="111"/>
      <c r="N300" s="111"/>
      <c r="O300" s="111"/>
      <c r="P300" s="111"/>
      <c r="Q300" s="112"/>
      <c r="R300" s="103"/>
      <c r="S300" s="103"/>
      <c r="T300" s="103"/>
      <c r="U300" s="103"/>
      <c r="V300" s="103"/>
      <c r="W300" s="103"/>
      <c r="X300" s="103"/>
      <c r="Y300" s="103"/>
      <c r="Z300" s="103"/>
      <c r="AA300" s="103"/>
    </row>
    <row r="301" spans="1:27" ht="51" x14ac:dyDescent="0.2">
      <c r="A301" s="110">
        <v>298</v>
      </c>
      <c r="B301" s="110" t="s">
        <v>66</v>
      </c>
      <c r="C301" s="111" t="str">
        <f ca="1">IFERROR(__xludf.DUMMYFUNCTION("""COMPUTED_VALUE"""),"г.о. Зарайск")</f>
        <v>г.о. Зарайск</v>
      </c>
      <c r="D301" s="111" t="str">
        <f ca="1">IFERROR(__xludf.DUMMYFUNCTION("""COMPUTED_VALUE"""),"Строительство блочно-модульной котельной со снижением мощности в д. Ерново г.о. Зарайск (в т.ч. ПИР)")</f>
        <v>Строительство блочно-модульной котельной со снижением мощности в д. Ерново г.о. Зарайск (в т.ч. ПИР)</v>
      </c>
      <c r="E301" s="111">
        <f ca="1">IFERROR(__xludf.DUMMYFUNCTION("""COMPUTED_VALUE"""),2020)</f>
        <v>2020</v>
      </c>
      <c r="F301" s="113">
        <f ca="1">IFERROR(__xludf.DUMMYFUNCTION("""COMPUTED_VALUE"""),10903.94)</f>
        <v>10903.94</v>
      </c>
      <c r="G301" s="113">
        <f ca="1">IFERROR(__xludf.DUMMYFUNCTION("""COMPUTED_VALUE"""),0)</f>
        <v>0</v>
      </c>
      <c r="H301" s="113">
        <f ca="1">IFERROR(__xludf.DUMMYFUNCTION("""COMPUTED_VALUE"""),0)</f>
        <v>0</v>
      </c>
      <c r="I301" s="113">
        <f ca="1">IFERROR(__xludf.DUMMYFUNCTION("""COMPUTED_VALUE"""),10903.94)</f>
        <v>10903.94</v>
      </c>
      <c r="J301" s="111">
        <f ca="1">IFERROR(__xludf.DUMMYFUNCTION("""COMPUTED_VALUE"""),10454.95)</f>
        <v>10454.950000000001</v>
      </c>
      <c r="K301" s="113">
        <f ca="1">IFERROR(__xludf.DUMMYFUNCTION("""COMPUTED_VALUE"""),448.989999999999)</f>
        <v>448.98999999999899</v>
      </c>
      <c r="L301" s="114">
        <f ca="1">IFERROR(__xludf.DUMMYFUNCTION("""COMPUTED_VALUE"""),0.958823140993072)</f>
        <v>0.95882314099307198</v>
      </c>
      <c r="M301" s="111"/>
      <c r="N301" s="110" t="s">
        <v>567</v>
      </c>
      <c r="O301" s="111"/>
      <c r="P301" s="111"/>
      <c r="Q301" s="112"/>
      <c r="R301" s="103"/>
      <c r="S301" s="103"/>
      <c r="T301" s="103"/>
      <c r="U301" s="103"/>
      <c r="V301" s="103"/>
      <c r="W301" s="103"/>
      <c r="X301" s="103"/>
      <c r="Y301" s="103"/>
      <c r="Z301" s="103"/>
      <c r="AA301" s="103"/>
    </row>
    <row r="302" spans="1:27" ht="51" x14ac:dyDescent="0.2">
      <c r="A302" s="110">
        <v>299</v>
      </c>
      <c r="B302" s="110" t="s">
        <v>66</v>
      </c>
      <c r="C302" s="111" t="str">
        <f ca="1">IFERROR(__xludf.DUMMYFUNCTION("""COMPUTED_VALUE"""),"г.о. Зарайск")</f>
        <v>г.о. Зарайск</v>
      </c>
      <c r="D302" s="111" t="str">
        <f ca="1">IFERROR(__xludf.DUMMYFUNCTION("""COMPUTED_VALUE"""),"Строительство блочно-модульной котельной со снижением мощности в д. Летуново  г.о. Зарайск (в т.ч. ПИР)")</f>
        <v>Строительство блочно-модульной котельной со снижением мощности в д. Летуново  г.о. Зарайск (в т.ч. ПИР)</v>
      </c>
      <c r="E302" s="111" t="str">
        <f ca="1">IFERROR(__xludf.DUMMYFUNCTION("""COMPUTED_VALUE"""),"2020-2021")</f>
        <v>2020-2021</v>
      </c>
      <c r="F302" s="113">
        <f ca="1">IFERROR(__xludf.DUMMYFUNCTION("""COMPUTED_VALUE"""),2315)</f>
        <v>2315</v>
      </c>
      <c r="G302" s="113">
        <f ca="1">IFERROR(__xludf.DUMMYFUNCTION("""COMPUTED_VALUE"""),0)</f>
        <v>0</v>
      </c>
      <c r="H302" s="113">
        <f ca="1">IFERROR(__xludf.DUMMYFUNCTION("""COMPUTED_VALUE"""),0)</f>
        <v>0</v>
      </c>
      <c r="I302" s="113">
        <f ca="1">IFERROR(__xludf.DUMMYFUNCTION("""COMPUTED_VALUE"""),2315)</f>
        <v>2315</v>
      </c>
      <c r="J302" s="111">
        <f ca="1">IFERROR(__xludf.DUMMYFUNCTION("""COMPUTED_VALUE"""),0)</f>
        <v>0</v>
      </c>
      <c r="K302" s="113">
        <f ca="1">IFERROR(__xludf.DUMMYFUNCTION("""COMPUTED_VALUE"""),2315)</f>
        <v>2315</v>
      </c>
      <c r="L302" s="114">
        <f ca="1">IFERROR(__xludf.DUMMYFUNCTION("""COMPUTED_VALUE"""),0)</f>
        <v>0</v>
      </c>
      <c r="M302" s="111"/>
      <c r="N302" s="110" t="s">
        <v>567</v>
      </c>
      <c r="O302" s="111"/>
      <c r="P302" s="111"/>
      <c r="Q302" s="112"/>
      <c r="R302" s="103"/>
      <c r="S302" s="103"/>
      <c r="T302" s="103"/>
      <c r="U302" s="103"/>
      <c r="V302" s="103"/>
      <c r="W302" s="103"/>
      <c r="X302" s="103"/>
      <c r="Y302" s="103"/>
      <c r="Z302" s="103"/>
      <c r="AA302" s="103"/>
    </row>
    <row r="303" spans="1:27" ht="51" x14ac:dyDescent="0.2">
      <c r="A303" s="110">
        <v>300</v>
      </c>
      <c r="B303" s="110" t="s">
        <v>66</v>
      </c>
      <c r="C303" s="111" t="str">
        <f ca="1">IFERROR(__xludf.DUMMYFUNCTION("""COMPUTED_VALUE"""),"г.о. Зарайск")</f>
        <v>г.о. Зарайск</v>
      </c>
      <c r="D303" s="111" t="str">
        <f ca="1">IFERROR(__xludf.DUMMYFUNCTION("""COMPUTED_VALUE"""),"Строительство блочно-модульной котельной со снижением мощности в д. Мендюкино, г.о. Зарайск (в т.ч. ПИР) ")</f>
        <v xml:space="preserve">Строительство блочно-модульной котельной со снижением мощности в д. Мендюкино, г.о. Зарайск (в т.ч. ПИР) </v>
      </c>
      <c r="E303" s="111" t="str">
        <f ca="1">IFERROR(__xludf.DUMMYFUNCTION("""COMPUTED_VALUE"""),"2020-2021")</f>
        <v>2020-2021</v>
      </c>
      <c r="F303" s="113">
        <f ca="1">IFERROR(__xludf.DUMMYFUNCTION("""COMPUTED_VALUE"""),1759.4)</f>
        <v>1759.4</v>
      </c>
      <c r="G303" s="113">
        <f ca="1">IFERROR(__xludf.DUMMYFUNCTION("""COMPUTED_VALUE"""),0)</f>
        <v>0</v>
      </c>
      <c r="H303" s="113">
        <f ca="1">IFERROR(__xludf.DUMMYFUNCTION("""COMPUTED_VALUE"""),0)</f>
        <v>0</v>
      </c>
      <c r="I303" s="113">
        <f ca="1">IFERROR(__xludf.DUMMYFUNCTION("""COMPUTED_VALUE"""),1759.4)</f>
        <v>1759.4</v>
      </c>
      <c r="J303" s="111">
        <f ca="1">IFERROR(__xludf.DUMMYFUNCTION("""COMPUTED_VALUE"""),0)</f>
        <v>0</v>
      </c>
      <c r="K303" s="113">
        <f ca="1">IFERROR(__xludf.DUMMYFUNCTION("""COMPUTED_VALUE"""),1759.4)</f>
        <v>1759.4</v>
      </c>
      <c r="L303" s="114">
        <f ca="1">IFERROR(__xludf.DUMMYFUNCTION("""COMPUTED_VALUE"""),0)</f>
        <v>0</v>
      </c>
      <c r="M303" s="111"/>
      <c r="N303" s="110" t="s">
        <v>567</v>
      </c>
      <c r="O303" s="111"/>
      <c r="P303" s="111"/>
      <c r="Q303" s="112"/>
      <c r="R303" s="103"/>
      <c r="S303" s="103"/>
      <c r="T303" s="103"/>
      <c r="U303" s="103"/>
      <c r="V303" s="103"/>
      <c r="W303" s="103"/>
      <c r="X303" s="103"/>
      <c r="Y303" s="103"/>
      <c r="Z303" s="103"/>
      <c r="AA303" s="103"/>
    </row>
    <row r="304" spans="1:27" ht="51" x14ac:dyDescent="0.2">
      <c r="A304" s="110">
        <v>301</v>
      </c>
      <c r="B304" s="110" t="s">
        <v>66</v>
      </c>
      <c r="C304" s="111" t="str">
        <f ca="1">IFERROR(__xludf.DUMMYFUNCTION("""COMPUTED_VALUE"""),"г.о. Зарайск")</f>
        <v>г.о. Зарайск</v>
      </c>
      <c r="D304" s="111" t="str">
        <f ca="1">IFERROR(__xludf.DUMMYFUNCTION("""COMPUTED_VALUE"""),"Строительство блочно-модульной котельной со снижением мощности в д. Протекино, г.о. Зарайск (в т.ч. ПИР) ")</f>
        <v xml:space="preserve">Строительство блочно-модульной котельной со снижением мощности в д. Протекино, г.о. Зарайск (в т.ч. ПИР) </v>
      </c>
      <c r="E304" s="111" t="str">
        <f ca="1">IFERROR(__xludf.DUMMYFUNCTION("""COMPUTED_VALUE"""),"2020-2021")</f>
        <v>2020-2021</v>
      </c>
      <c r="F304" s="113">
        <f ca="1">IFERROR(__xludf.DUMMYFUNCTION("""COMPUTED_VALUE"""),1759.4)</f>
        <v>1759.4</v>
      </c>
      <c r="G304" s="113">
        <f ca="1">IFERROR(__xludf.DUMMYFUNCTION("""COMPUTED_VALUE"""),0)</f>
        <v>0</v>
      </c>
      <c r="H304" s="113">
        <f ca="1">IFERROR(__xludf.DUMMYFUNCTION("""COMPUTED_VALUE"""),0)</f>
        <v>0</v>
      </c>
      <c r="I304" s="113">
        <f ca="1">IFERROR(__xludf.DUMMYFUNCTION("""COMPUTED_VALUE"""),1759.4)</f>
        <v>1759.4</v>
      </c>
      <c r="J304" s="111">
        <f ca="1">IFERROR(__xludf.DUMMYFUNCTION("""COMPUTED_VALUE"""),0)</f>
        <v>0</v>
      </c>
      <c r="K304" s="113">
        <f ca="1">IFERROR(__xludf.DUMMYFUNCTION("""COMPUTED_VALUE"""),1759.4)</f>
        <v>1759.4</v>
      </c>
      <c r="L304" s="114">
        <f ca="1">IFERROR(__xludf.DUMMYFUNCTION("""COMPUTED_VALUE"""),0)</f>
        <v>0</v>
      </c>
      <c r="M304" s="111"/>
      <c r="N304" s="110" t="s">
        <v>567</v>
      </c>
      <c r="O304" s="111"/>
      <c r="P304" s="111"/>
      <c r="Q304" s="112"/>
      <c r="R304" s="103"/>
      <c r="S304" s="103"/>
      <c r="T304" s="103"/>
      <c r="U304" s="103"/>
      <c r="V304" s="103"/>
      <c r="W304" s="103"/>
      <c r="X304" s="103"/>
      <c r="Y304" s="103"/>
      <c r="Z304" s="103"/>
      <c r="AA304" s="103"/>
    </row>
    <row r="305" spans="1:27" ht="51" x14ac:dyDescent="0.2">
      <c r="A305" s="110">
        <v>302</v>
      </c>
      <c r="B305" s="110" t="s">
        <v>66</v>
      </c>
      <c r="C305" s="111" t="str">
        <f ca="1">IFERROR(__xludf.DUMMYFUNCTION("""COMPUTED_VALUE"""),"г.о. Зарайск")</f>
        <v>г.о. Зарайск</v>
      </c>
      <c r="D305" s="111" t="str">
        <f ca="1">IFERROR(__xludf.DUMMYFUNCTION("""COMPUTED_VALUE"""),"Строительство блочно-модульной котельной со снижением мощности в п. Масловский, г.о. Зарайск (в т.ч. ПИР) ")</f>
        <v xml:space="preserve">Строительство блочно-модульной котельной со снижением мощности в п. Масловский, г.о. Зарайск (в т.ч. ПИР) </v>
      </c>
      <c r="E305" s="111" t="str">
        <f ca="1">IFERROR(__xludf.DUMMYFUNCTION("""COMPUTED_VALUE"""),"2020-2021")</f>
        <v>2020-2021</v>
      </c>
      <c r="F305" s="113">
        <f ca="1">IFERROR(__xludf.DUMMYFUNCTION("""COMPUTED_VALUE"""),1759.4)</f>
        <v>1759.4</v>
      </c>
      <c r="G305" s="113">
        <f ca="1">IFERROR(__xludf.DUMMYFUNCTION("""COMPUTED_VALUE"""),0)</f>
        <v>0</v>
      </c>
      <c r="H305" s="113">
        <f ca="1">IFERROR(__xludf.DUMMYFUNCTION("""COMPUTED_VALUE"""),0)</f>
        <v>0</v>
      </c>
      <c r="I305" s="113">
        <f ca="1">IFERROR(__xludf.DUMMYFUNCTION("""COMPUTED_VALUE"""),1759.4)</f>
        <v>1759.4</v>
      </c>
      <c r="J305" s="111">
        <f ca="1">IFERROR(__xludf.DUMMYFUNCTION("""COMPUTED_VALUE"""),0)</f>
        <v>0</v>
      </c>
      <c r="K305" s="113">
        <f ca="1">IFERROR(__xludf.DUMMYFUNCTION("""COMPUTED_VALUE"""),1759.4)</f>
        <v>1759.4</v>
      </c>
      <c r="L305" s="114">
        <f ca="1">IFERROR(__xludf.DUMMYFUNCTION("""COMPUTED_VALUE"""),0)</f>
        <v>0</v>
      </c>
      <c r="M305" s="111"/>
      <c r="N305" s="110" t="s">
        <v>567</v>
      </c>
      <c r="O305" s="111"/>
      <c r="P305" s="111"/>
      <c r="Q305" s="112"/>
      <c r="R305" s="103"/>
      <c r="S305" s="103"/>
      <c r="T305" s="103"/>
      <c r="U305" s="103"/>
      <c r="V305" s="103"/>
      <c r="W305" s="103"/>
      <c r="X305" s="103"/>
      <c r="Y305" s="103"/>
      <c r="Z305" s="103"/>
      <c r="AA305" s="103"/>
    </row>
    <row r="306" spans="1:27" ht="25.5" x14ac:dyDescent="0.2">
      <c r="A306" s="110">
        <v>303</v>
      </c>
      <c r="B306" s="110" t="s">
        <v>54</v>
      </c>
      <c r="C306" s="111" t="str">
        <f ca="1">IFERROR(__xludf.DUMMYFUNCTION("""COMPUTED_VALUE"""),"г.о. Рузский")</f>
        <v>г.о. Рузский</v>
      </c>
      <c r="D306" s="111" t="str">
        <f ca="1">IFERROR(__xludf.DUMMYFUNCTION("""COMPUTED_VALUE"""),"Строительство БМК д. Сумароково, д.34  г.о. Рузский")</f>
        <v>Строительство БМК д. Сумароково, д.34  г.о. Рузский</v>
      </c>
      <c r="E306" s="111">
        <f ca="1">IFERROR(__xludf.DUMMYFUNCTION("""COMPUTED_VALUE"""),2021)</f>
        <v>2021</v>
      </c>
      <c r="F306" s="113">
        <f ca="1">IFERROR(__xludf.DUMMYFUNCTION("""COMPUTED_VALUE"""),0)</f>
        <v>0</v>
      </c>
      <c r="G306" s="113">
        <f ca="1">IFERROR(__xludf.DUMMYFUNCTION("""COMPUTED_VALUE"""),0)</f>
        <v>0</v>
      </c>
      <c r="H306" s="113">
        <f ca="1">IFERROR(__xludf.DUMMYFUNCTION("""COMPUTED_VALUE"""),0)</f>
        <v>0</v>
      </c>
      <c r="I306" s="113">
        <f ca="1">IFERROR(__xludf.DUMMYFUNCTION("""COMPUTED_VALUE"""),0)</f>
        <v>0</v>
      </c>
      <c r="J306" s="111">
        <f ca="1">IFERROR(__xludf.DUMMYFUNCTION("""COMPUTED_VALUE"""),0)</f>
        <v>0</v>
      </c>
      <c r="K306" s="113">
        <f ca="1">IFERROR(__xludf.DUMMYFUNCTION("""COMPUTED_VALUE"""),0)</f>
        <v>0</v>
      </c>
      <c r="L306" s="114" t="str">
        <f ca="1">IFERROR(__xludf.DUMMYFUNCTION("""COMPUTED_VALUE"""),"#DIV/0!")</f>
        <v>#DIV/0!</v>
      </c>
      <c r="M306" s="111"/>
      <c r="N306" s="111"/>
      <c r="O306" s="111"/>
      <c r="P306" s="111"/>
      <c r="Q306" s="112"/>
      <c r="R306" s="103"/>
      <c r="S306" s="103"/>
      <c r="T306" s="103"/>
      <c r="U306" s="103"/>
      <c r="V306" s="103"/>
      <c r="W306" s="103"/>
      <c r="X306" s="103"/>
      <c r="Y306" s="103"/>
      <c r="Z306" s="103"/>
      <c r="AA306" s="103"/>
    </row>
    <row r="307" spans="1:27" ht="38.25" x14ac:dyDescent="0.2">
      <c r="A307" s="110">
        <v>304</v>
      </c>
      <c r="B307" s="110" t="s">
        <v>54</v>
      </c>
      <c r="C307" s="111" t="str">
        <f ca="1">IFERROR(__xludf.DUMMYFUNCTION("""COMPUTED_VALUE"""),"г.о. Рузский")</f>
        <v>г.о. Рузский</v>
      </c>
      <c r="D307" s="111" t="str">
        <f ca="1">IFERROR(__xludf.DUMMYFUNCTION("""COMPUTED_VALUE"""),"Строительсвто БМК д. Старониколаево, д. 195  г.о. Рузский")</f>
        <v>Строительсвто БМК д. Старониколаево, д. 195  г.о. Рузский</v>
      </c>
      <c r="E307" s="111">
        <f ca="1">IFERROR(__xludf.DUMMYFUNCTION("""COMPUTED_VALUE"""),2021)</f>
        <v>2021</v>
      </c>
      <c r="F307" s="113">
        <f ca="1">IFERROR(__xludf.DUMMYFUNCTION("""COMPUTED_VALUE"""),0)</f>
        <v>0</v>
      </c>
      <c r="G307" s="113">
        <f ca="1">IFERROR(__xludf.DUMMYFUNCTION("""COMPUTED_VALUE"""),0)</f>
        <v>0</v>
      </c>
      <c r="H307" s="113">
        <f ca="1">IFERROR(__xludf.DUMMYFUNCTION("""COMPUTED_VALUE"""),0)</f>
        <v>0</v>
      </c>
      <c r="I307" s="113">
        <f ca="1">IFERROR(__xludf.DUMMYFUNCTION("""COMPUTED_VALUE"""),0)</f>
        <v>0</v>
      </c>
      <c r="J307" s="111">
        <f ca="1">IFERROR(__xludf.DUMMYFUNCTION("""COMPUTED_VALUE"""),0)</f>
        <v>0</v>
      </c>
      <c r="K307" s="113">
        <f ca="1">IFERROR(__xludf.DUMMYFUNCTION("""COMPUTED_VALUE"""),0)</f>
        <v>0</v>
      </c>
      <c r="L307" s="114" t="str">
        <f ca="1">IFERROR(__xludf.DUMMYFUNCTION("""COMPUTED_VALUE"""),"#DIV/0!")</f>
        <v>#DIV/0!</v>
      </c>
      <c r="M307" s="111"/>
      <c r="N307" s="111"/>
      <c r="O307" s="111"/>
      <c r="P307" s="111"/>
      <c r="Q307" s="112"/>
      <c r="R307" s="103"/>
      <c r="S307" s="103"/>
      <c r="T307" s="103"/>
      <c r="U307" s="103"/>
      <c r="V307" s="103"/>
      <c r="W307" s="103"/>
      <c r="X307" s="103"/>
      <c r="Y307" s="103"/>
      <c r="Z307" s="103"/>
      <c r="AA307" s="103"/>
    </row>
    <row r="308" spans="1:27" ht="63.75" x14ac:dyDescent="0.2">
      <c r="A308" s="110">
        <v>305</v>
      </c>
      <c r="B308" s="110" t="s">
        <v>66</v>
      </c>
      <c r="C308" s="111" t="str">
        <f ca="1">IFERROR(__xludf.DUMMYFUNCTION("""COMPUTED_VALUE"""),"г.о. Зарайск")</f>
        <v>г.о. Зарайск</v>
      </c>
      <c r="D308" s="111" t="str">
        <f ca="1">IFERROR(__xludf.DUMMYFUNCTION("""COMPUTED_VALUE"""),"Строительство блочно-модульной котельной со снижением мощности в г.о. Зарайск, пос. Зарайский, котельная «Карино» (в т.ч. ПИР)")</f>
        <v>Строительство блочно-модульной котельной со снижением мощности в г.о. Зарайск, пос. Зарайский, котельная «Карино» (в т.ч. ПИР)</v>
      </c>
      <c r="E308" s="111">
        <f ca="1">IFERROR(__xludf.DUMMYFUNCTION("""COMPUTED_VALUE"""),2020)</f>
        <v>2020</v>
      </c>
      <c r="F308" s="113">
        <f ca="1">IFERROR(__xludf.DUMMYFUNCTION("""COMPUTED_VALUE"""),13115.22)</f>
        <v>13115.22</v>
      </c>
      <c r="G308" s="113">
        <f ca="1">IFERROR(__xludf.DUMMYFUNCTION("""COMPUTED_VALUE"""),0)</f>
        <v>0</v>
      </c>
      <c r="H308" s="113">
        <f ca="1">IFERROR(__xludf.DUMMYFUNCTION("""COMPUTED_VALUE"""),0)</f>
        <v>0</v>
      </c>
      <c r="I308" s="113">
        <f ca="1">IFERROR(__xludf.DUMMYFUNCTION("""COMPUTED_VALUE"""),13115.22)</f>
        <v>13115.22</v>
      </c>
      <c r="J308" s="111">
        <f ca="1">IFERROR(__xludf.DUMMYFUNCTION("""COMPUTED_VALUE"""),12592.35)</f>
        <v>12592.35</v>
      </c>
      <c r="K308" s="113">
        <f ca="1">IFERROR(__xludf.DUMMYFUNCTION("""COMPUTED_VALUE"""),522.869999999999)</f>
        <v>522.86999999999898</v>
      </c>
      <c r="L308" s="114">
        <f ca="1">IFERROR(__xludf.DUMMYFUNCTION("""COMPUTED_VALUE"""),0.960132578790138)</f>
        <v>0.96013257879013802</v>
      </c>
      <c r="M308" s="111"/>
      <c r="N308" s="110" t="s">
        <v>567</v>
      </c>
      <c r="O308" s="111"/>
      <c r="P308" s="111"/>
      <c r="Q308" s="112"/>
      <c r="R308" s="103"/>
      <c r="S308" s="103"/>
      <c r="T308" s="103"/>
      <c r="U308" s="103"/>
      <c r="V308" s="103"/>
      <c r="W308" s="103"/>
      <c r="X308" s="103"/>
      <c r="Y308" s="103"/>
      <c r="Z308" s="103"/>
      <c r="AA308" s="103"/>
    </row>
    <row r="309" spans="1:27" ht="51" x14ac:dyDescent="0.2">
      <c r="A309" s="110">
        <v>306</v>
      </c>
      <c r="B309" s="110" t="s">
        <v>66</v>
      </c>
      <c r="C309" s="111" t="str">
        <f ca="1">IFERROR(__xludf.DUMMYFUNCTION("""COMPUTED_VALUE"""),"г.о. Зарайск")</f>
        <v>г.о. Зарайск</v>
      </c>
      <c r="D309" s="111" t="str">
        <f ca="1">IFERROR(__xludf.DUMMYFUNCTION("""COMPUTED_VALUE"""),"Строительство блочно-модульной котельной со снижением мощности в пос. ц.у. с/х ""40 лет Октября, г.о. Зарайск (в т.ч. ПИР) ")</f>
        <v xml:space="preserve">Строительство блочно-модульной котельной со снижением мощности в пос. ц.у. с/х "40 лет Октября, г.о. Зарайск (в т.ч. ПИР) </v>
      </c>
      <c r="E309" s="111">
        <f ca="1">IFERROR(__xludf.DUMMYFUNCTION("""COMPUTED_VALUE"""),2020)</f>
        <v>2020</v>
      </c>
      <c r="F309" s="113">
        <f ca="1">IFERROR(__xludf.DUMMYFUNCTION("""COMPUTED_VALUE"""),14874.62)</f>
        <v>14874.62</v>
      </c>
      <c r="G309" s="113">
        <f ca="1">IFERROR(__xludf.DUMMYFUNCTION("""COMPUTED_VALUE"""),0)</f>
        <v>0</v>
      </c>
      <c r="H309" s="113">
        <f ca="1">IFERROR(__xludf.DUMMYFUNCTION("""COMPUTED_VALUE"""),0)</f>
        <v>0</v>
      </c>
      <c r="I309" s="113">
        <f ca="1">IFERROR(__xludf.DUMMYFUNCTION("""COMPUTED_VALUE"""),14874.62)</f>
        <v>14874.62</v>
      </c>
      <c r="J309" s="111">
        <f ca="1">IFERROR(__xludf.DUMMYFUNCTION("""COMPUTED_VALUE"""),14224.31)</f>
        <v>14224.31</v>
      </c>
      <c r="K309" s="113">
        <f ca="1">IFERROR(__xludf.DUMMYFUNCTION("""COMPUTED_VALUE"""),650.310000000001)</f>
        <v>650.31000000000097</v>
      </c>
      <c r="L309" s="114">
        <f ca="1">IFERROR(__xludf.DUMMYFUNCTION("""COMPUTED_VALUE"""),0.956280563805999)</f>
        <v>0.95628056380599902</v>
      </c>
      <c r="M309" s="111"/>
      <c r="N309" s="110" t="s">
        <v>567</v>
      </c>
      <c r="O309" s="111"/>
      <c r="P309" s="111"/>
      <c r="Q309" s="112"/>
      <c r="R309" s="103"/>
      <c r="S309" s="103"/>
      <c r="T309" s="103"/>
      <c r="U309" s="103"/>
      <c r="V309" s="103"/>
      <c r="W309" s="103"/>
      <c r="X309" s="103"/>
      <c r="Y309" s="103"/>
      <c r="Z309" s="103"/>
      <c r="AA309" s="103"/>
    </row>
    <row r="310" spans="1:27" ht="51" x14ac:dyDescent="0.2">
      <c r="A310" s="110">
        <v>307</v>
      </c>
      <c r="B310" s="110" t="s">
        <v>66</v>
      </c>
      <c r="C310" s="111" t="str">
        <f ca="1">IFERROR(__xludf.DUMMYFUNCTION("""COMPUTED_VALUE"""),"г.о. Зарайск")</f>
        <v>г.о. Зарайск</v>
      </c>
      <c r="D310" s="111" t="str">
        <f ca="1">IFERROR(__xludf.DUMMYFUNCTION("""COMPUTED_VALUE"""),"Строительство блочно-модульной котельной со снижением мощности в с. Макеево, г.о. Зарайск (в т.ч. ПИР) ")</f>
        <v xml:space="preserve">Строительство блочно-модульной котельной со снижением мощности в с. Макеево, г.о. Зарайск (в т.ч. ПИР) </v>
      </c>
      <c r="E310" s="111" t="str">
        <f ca="1">IFERROR(__xludf.DUMMYFUNCTION("""COMPUTED_VALUE"""),"2020-2021")</f>
        <v>2020-2021</v>
      </c>
      <c r="F310" s="113">
        <f ca="1">IFERROR(__xludf.DUMMYFUNCTION("""COMPUTED_VALUE"""),2315)</f>
        <v>2315</v>
      </c>
      <c r="G310" s="113">
        <f ca="1">IFERROR(__xludf.DUMMYFUNCTION("""COMPUTED_VALUE"""),0)</f>
        <v>0</v>
      </c>
      <c r="H310" s="113">
        <f ca="1">IFERROR(__xludf.DUMMYFUNCTION("""COMPUTED_VALUE"""),0)</f>
        <v>0</v>
      </c>
      <c r="I310" s="113">
        <f ca="1">IFERROR(__xludf.DUMMYFUNCTION("""COMPUTED_VALUE"""),2315)</f>
        <v>2315</v>
      </c>
      <c r="J310" s="111">
        <f ca="1">IFERROR(__xludf.DUMMYFUNCTION("""COMPUTED_VALUE"""),0)</f>
        <v>0</v>
      </c>
      <c r="K310" s="113">
        <f ca="1">IFERROR(__xludf.DUMMYFUNCTION("""COMPUTED_VALUE"""),2315)</f>
        <v>2315</v>
      </c>
      <c r="L310" s="114">
        <f ca="1">IFERROR(__xludf.DUMMYFUNCTION("""COMPUTED_VALUE"""),0)</f>
        <v>0</v>
      </c>
      <c r="M310" s="111"/>
      <c r="N310" s="110" t="s">
        <v>567</v>
      </c>
      <c r="O310" s="111"/>
      <c r="P310" s="111"/>
      <c r="Q310" s="112"/>
      <c r="R310" s="103"/>
      <c r="S310" s="103"/>
      <c r="T310" s="103"/>
      <c r="U310" s="103"/>
      <c r="V310" s="103"/>
      <c r="W310" s="103"/>
      <c r="X310" s="103"/>
      <c r="Y310" s="103"/>
      <c r="Z310" s="103"/>
      <c r="AA310" s="103"/>
    </row>
    <row r="311" spans="1:27" ht="63.75" x14ac:dyDescent="0.2">
      <c r="A311" s="110">
        <v>308</v>
      </c>
      <c r="B311" s="110" t="s">
        <v>54</v>
      </c>
      <c r="C311" s="111" t="str">
        <f ca="1">IFERROR(__xludf.DUMMYFUNCTION("""COMPUTED_VALUE"""),"г.о. Кашира")</f>
        <v>г.о. Кашира</v>
      </c>
      <c r="D311" s="111" t="str">
        <f ca="1">IFERROR(__xludf.DUMMYFUNCTION("""COMPUTED_VALUE"""),"Создание и модернизация объектов централизованного теплоснабжения и горячего водоснабжения на территории г.о.  Кашира")</f>
        <v>Создание и модернизация объектов централизованного теплоснабжения и горячего водоснабжения на территории г.о.  Кашира</v>
      </c>
      <c r="E311" s="111">
        <f ca="1">IFERROR(__xludf.DUMMYFUNCTION("""COMPUTED_VALUE"""),2020)</f>
        <v>2020</v>
      </c>
      <c r="F311" s="113">
        <f ca="1">IFERROR(__xludf.DUMMYFUNCTION("""COMPUTED_VALUE"""),230000)</f>
        <v>230000</v>
      </c>
      <c r="G311" s="113">
        <f ca="1">IFERROR(__xludf.DUMMYFUNCTION("""COMPUTED_VALUE"""),230000)</f>
        <v>230000</v>
      </c>
      <c r="H311" s="113">
        <f ca="1">IFERROR(__xludf.DUMMYFUNCTION("""COMPUTED_VALUE"""),0)</f>
        <v>0</v>
      </c>
      <c r="I311" s="113">
        <f ca="1">IFERROR(__xludf.DUMMYFUNCTION("""COMPUTED_VALUE"""),0)</f>
        <v>0</v>
      </c>
      <c r="J311" s="111">
        <f ca="1">IFERROR(__xludf.DUMMYFUNCTION("""COMPUTED_VALUE"""),230000)</f>
        <v>230000</v>
      </c>
      <c r="K311" s="113">
        <f ca="1">IFERROR(__xludf.DUMMYFUNCTION("""COMPUTED_VALUE"""),0)</f>
        <v>0</v>
      </c>
      <c r="L311" s="114">
        <f ca="1">IFERROR(__xludf.DUMMYFUNCTION("""COMPUTED_VALUE"""),1)</f>
        <v>1</v>
      </c>
      <c r="M311" s="111"/>
      <c r="N311" s="110" t="s">
        <v>568</v>
      </c>
      <c r="O311" s="111"/>
      <c r="P311" s="111"/>
      <c r="Q311" s="112"/>
      <c r="R311" s="103"/>
      <c r="S311" s="103"/>
      <c r="T311" s="103"/>
      <c r="U311" s="103"/>
      <c r="V311" s="103"/>
      <c r="W311" s="103"/>
      <c r="X311" s="103"/>
      <c r="Y311" s="103"/>
      <c r="Z311" s="103"/>
      <c r="AA311" s="103"/>
    </row>
    <row r="312" spans="1:27" ht="51" x14ac:dyDescent="0.2">
      <c r="A312" s="110">
        <v>309</v>
      </c>
      <c r="B312" s="110" t="s">
        <v>54</v>
      </c>
      <c r="C312" s="111" t="str">
        <f ca="1">IFERROR(__xludf.DUMMYFUNCTION("""COMPUTED_VALUE"""),"г.о. Кашира")</f>
        <v>г.о. Кашира</v>
      </c>
      <c r="D312" s="111" t="str">
        <f ca="1">IFERROR(__xludf.DUMMYFUNCTION("""COMPUTED_VALUE"""),"Субсидия на приобретение тепловых сетей филиала  ""Каширская ГРЭС"" АО ""Интер РАО -Электрогенерация"".")</f>
        <v>Субсидия на приобретение тепловых сетей филиала  "Каширская ГРЭС" АО "Интер РАО -Электрогенерация".</v>
      </c>
      <c r="E312" s="111">
        <f ca="1">IFERROR(__xludf.DUMMYFUNCTION("""COMPUTED_VALUE"""),2020)</f>
        <v>2020</v>
      </c>
      <c r="F312" s="113">
        <f ca="1">IFERROR(__xludf.DUMMYFUNCTION("""COMPUTED_VALUE"""),52158)</f>
        <v>52158</v>
      </c>
      <c r="G312" s="113">
        <f ca="1">IFERROR(__xludf.DUMMYFUNCTION("""COMPUTED_VALUE"""),52158)</f>
        <v>52158</v>
      </c>
      <c r="H312" s="113">
        <f ca="1">IFERROR(__xludf.DUMMYFUNCTION("""COMPUTED_VALUE"""),0)</f>
        <v>0</v>
      </c>
      <c r="I312" s="113">
        <f ca="1">IFERROR(__xludf.DUMMYFUNCTION("""COMPUTED_VALUE"""),0)</f>
        <v>0</v>
      </c>
      <c r="J312" s="111">
        <f ca="1">IFERROR(__xludf.DUMMYFUNCTION("""COMPUTED_VALUE"""),52158)</f>
        <v>52158</v>
      </c>
      <c r="K312" s="113">
        <f ca="1">IFERROR(__xludf.DUMMYFUNCTION("""COMPUTED_VALUE"""),0)</f>
        <v>0</v>
      </c>
      <c r="L312" s="114">
        <f ca="1">IFERROR(__xludf.DUMMYFUNCTION("""COMPUTED_VALUE"""),1)</f>
        <v>1</v>
      </c>
      <c r="M312" s="111"/>
      <c r="N312" s="110" t="s">
        <v>568</v>
      </c>
      <c r="O312" s="111"/>
      <c r="P312" s="111"/>
      <c r="Q312" s="112"/>
      <c r="R312" s="103"/>
      <c r="S312" s="103"/>
      <c r="T312" s="103"/>
      <c r="U312" s="103"/>
      <c r="V312" s="103"/>
      <c r="W312" s="103"/>
      <c r="X312" s="103"/>
      <c r="Y312" s="103"/>
      <c r="Z312" s="103"/>
      <c r="AA312" s="103"/>
    </row>
    <row r="313" spans="1:27" ht="204" x14ac:dyDescent="0.2">
      <c r="A313" s="110">
        <v>310</v>
      </c>
      <c r="B313" s="110" t="s">
        <v>54</v>
      </c>
      <c r="C313" s="111" t="str">
        <f ca="1">IFERROR(__xludf.DUMMYFUNCTION("""COMPUTED_VALUE"""),"г.о. Красногорск")</f>
        <v>г.о. Красногорск</v>
      </c>
      <c r="D313" s="111" t="str">
        <f ca="1">IFERROR(__xludf.DUMMYFUNCTION("""COMPUTED_VALUE"""),"Реконструкция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"&amp;"выполненные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f>
        <v xml:space="preserv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v>
      </c>
      <c r="E313" s="111">
        <f ca="1">IFERROR(__xludf.DUMMYFUNCTION("""COMPUTED_VALUE"""),2020)</f>
        <v>2020</v>
      </c>
      <c r="F313" s="113">
        <f ca="1">IFERROR(__xludf.DUMMYFUNCTION("""COMPUTED_VALUE"""),4607.3)</f>
        <v>4607.3</v>
      </c>
      <c r="G313" s="113">
        <f ca="1">IFERROR(__xludf.DUMMYFUNCTION("""COMPUTED_VALUE"""),4607.3)</f>
        <v>4607.3</v>
      </c>
      <c r="H313" s="113">
        <f ca="1">IFERROR(__xludf.DUMMYFUNCTION("""COMPUTED_VALUE"""),0)</f>
        <v>0</v>
      </c>
      <c r="I313" s="113">
        <f ca="1">IFERROR(__xludf.DUMMYFUNCTION("""COMPUTED_VALUE"""),0)</f>
        <v>0</v>
      </c>
      <c r="J313" s="111">
        <f ca="1">IFERROR(__xludf.DUMMYFUNCTION("""COMPUTED_VALUE"""),4607.3)</f>
        <v>4607.3</v>
      </c>
      <c r="K313" s="113">
        <f ca="1">IFERROR(__xludf.DUMMYFUNCTION("""COMPUTED_VALUE"""),0)</f>
        <v>0</v>
      </c>
      <c r="L313" s="114">
        <f ca="1">IFERROR(__xludf.DUMMYFUNCTION("""COMPUTED_VALUE"""),1)</f>
        <v>1</v>
      </c>
      <c r="M313" s="111" t="str">
        <f ca="1">IFERROR(__xludf.DUMMYFUNCTION("""COMPUTED_VALUE"""),"Оплачено")</f>
        <v>Оплачено</v>
      </c>
      <c r="N313" s="110" t="s">
        <v>563</v>
      </c>
      <c r="O313" s="111"/>
      <c r="P313" s="111"/>
      <c r="Q313" s="112"/>
      <c r="R313" s="103"/>
      <c r="S313" s="103"/>
      <c r="T313" s="103"/>
      <c r="U313" s="103"/>
      <c r="V313" s="103"/>
      <c r="W313" s="103"/>
      <c r="X313" s="103"/>
      <c r="Y313" s="103"/>
      <c r="Z313" s="103"/>
      <c r="AA313" s="103"/>
    </row>
    <row r="314" spans="1:27" ht="114.75" x14ac:dyDescent="0.2">
      <c r="A314" s="110">
        <v>311</v>
      </c>
      <c r="B314" s="110" t="s">
        <v>54</v>
      </c>
      <c r="C314" s="111" t="str">
        <f ca="1">IFERROR(__xludf.DUMMYFUNCTION("""COMPUTED_VALUE"""),"г.о. Краснознаменск")</f>
        <v>г.о. Краснознаменск</v>
      </c>
      <c r="D314" s="111" t="str">
        <f ca="1">IFERROR(__xludf.DUMMYFUNCTION("""COMPUTED_VALUE"""),"Строительство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f>
        <v>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v>
      </c>
      <c r="E314" s="111" t="str">
        <f ca="1">IFERROR(__xludf.DUMMYFUNCTION("""COMPUTED_VALUE"""),"2020-2022")</f>
        <v>2020-2022</v>
      </c>
      <c r="F314" s="113">
        <f ca="1">IFERROR(__xludf.DUMMYFUNCTION("""COMPUTED_VALUE"""),63304.82)</f>
        <v>63304.82</v>
      </c>
      <c r="G314" s="113">
        <f ca="1">IFERROR(__xludf.DUMMYFUNCTION("""COMPUTED_VALUE"""),63304.82)</f>
        <v>63304.82</v>
      </c>
      <c r="H314" s="113">
        <f ca="1">IFERROR(__xludf.DUMMYFUNCTION("""COMPUTED_VALUE"""),0)</f>
        <v>0</v>
      </c>
      <c r="I314" s="113">
        <f ca="1">IFERROR(__xludf.DUMMYFUNCTION("""COMPUTED_VALUE"""),0)</f>
        <v>0</v>
      </c>
      <c r="J314" s="111">
        <f ca="1">IFERROR(__xludf.DUMMYFUNCTION("""COMPUTED_VALUE"""),63300.87)</f>
        <v>63300.87</v>
      </c>
      <c r="K314" s="113">
        <f ca="1">IFERROR(__xludf.DUMMYFUNCTION("""COMPUTED_VALUE"""),3.94999999999708)</f>
        <v>3.9499999999970798</v>
      </c>
      <c r="L314" s="114">
        <f ca="1">IFERROR(__xludf.DUMMYFUNCTION("""COMPUTED_VALUE"""),0.99993760348738)</f>
        <v>0.99993760348738003</v>
      </c>
      <c r="M314" s="111"/>
      <c r="N314" s="110" t="s">
        <v>568</v>
      </c>
      <c r="O314" s="111"/>
      <c r="P314" s="111"/>
      <c r="Q314" s="112"/>
      <c r="R314" s="103"/>
      <c r="S314" s="103"/>
      <c r="T314" s="103"/>
      <c r="U314" s="103"/>
      <c r="V314" s="103"/>
      <c r="W314" s="103"/>
      <c r="X314" s="103"/>
      <c r="Y314" s="103"/>
      <c r="Z314" s="103"/>
      <c r="AA314" s="103"/>
    </row>
    <row r="315" spans="1:27" ht="51" x14ac:dyDescent="0.2">
      <c r="A315" s="110">
        <v>312</v>
      </c>
      <c r="B315" s="110" t="s">
        <v>66</v>
      </c>
      <c r="C315" s="111" t="str">
        <f ca="1">IFERROR(__xludf.DUMMYFUNCTION("""COMPUTED_VALUE"""),"г.о. Луховицы")</f>
        <v>г.о. Луховицы</v>
      </c>
      <c r="D315" s="111" t="str">
        <f ca="1">IFERROR(__xludf.DUMMYFUNCTION("""COMPUTED_VALUE"""),"Реконструкция котельной ""Школа-интернат"" р.п. Белоомут, ул. Центральная, д.57 (в т.ч. ПИР), г.о. Луховицы")</f>
        <v>Реконструкция котельной "Школа-интернат" р.п. Белоомут, ул. Центральная, д.57 (в т.ч. ПИР), г.о. Луховицы</v>
      </c>
      <c r="E315" s="111" t="str">
        <f ca="1">IFERROR(__xludf.DUMMYFUNCTION("""COMPUTED_VALUE"""),"2020-2021")</f>
        <v>2020-2021</v>
      </c>
      <c r="F315" s="113">
        <f ca="1">IFERROR(__xludf.DUMMYFUNCTION("""COMPUTED_VALUE"""),1904.2)</f>
        <v>1904.2</v>
      </c>
      <c r="G315" s="113">
        <f ca="1">IFERROR(__xludf.DUMMYFUNCTION("""COMPUTED_VALUE"""),0)</f>
        <v>0</v>
      </c>
      <c r="H315" s="113">
        <f ca="1">IFERROR(__xludf.DUMMYFUNCTION("""COMPUTED_VALUE"""),0)</f>
        <v>0</v>
      </c>
      <c r="I315" s="113">
        <f ca="1">IFERROR(__xludf.DUMMYFUNCTION("""COMPUTED_VALUE"""),1904.2)</f>
        <v>1904.2</v>
      </c>
      <c r="J315" s="111">
        <f ca="1">IFERROR(__xludf.DUMMYFUNCTION("""COMPUTED_VALUE"""),1431.99)</f>
        <v>1431.99</v>
      </c>
      <c r="K315" s="113">
        <f ca="1">IFERROR(__xludf.DUMMYFUNCTION("""COMPUTED_VALUE"""),472.21)</f>
        <v>472.21</v>
      </c>
      <c r="L315" s="114">
        <f ca="1">IFERROR(__xludf.DUMMYFUNCTION("""COMPUTED_VALUE"""),0.752016594895494)</f>
        <v>0.75201659489549399</v>
      </c>
      <c r="M315" s="111" t="str">
        <f ca="1">IFERROR(__xludf.DUMMYFUNCTION("""COMPUTED_VALUE"""),"СМР 2021 год")</f>
        <v>СМР 2021 год</v>
      </c>
      <c r="N315" s="110" t="s">
        <v>567</v>
      </c>
      <c r="O315" s="111"/>
      <c r="P315" s="111"/>
      <c r="Q315" s="112"/>
      <c r="R315" s="103"/>
      <c r="S315" s="103"/>
      <c r="T315" s="103"/>
      <c r="U315" s="103"/>
      <c r="V315" s="103"/>
      <c r="W315" s="103"/>
      <c r="X315" s="103"/>
      <c r="Y315" s="103"/>
      <c r="Z315" s="103"/>
      <c r="AA315" s="103"/>
    </row>
    <row r="316" spans="1:27" ht="76.5" x14ac:dyDescent="0.2">
      <c r="A316" s="110">
        <v>313</v>
      </c>
      <c r="B316" s="110" t="s">
        <v>54</v>
      </c>
      <c r="C316" s="111" t="str">
        <f ca="1">IFERROR(__xludf.DUMMYFUNCTION("""COMPUTED_VALUE"""),"ФПЛК г.о. Можайск")</f>
        <v>ФПЛК г.о. Можайск</v>
      </c>
      <c r="D316" s="111" t="str">
        <f ca="1">IFERROR(__xludf.DUMMYFUNCTION("""COMPUTED_VALUE"""),"Капитальный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f>
        <v>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v>
      </c>
      <c r="E316" s="111" t="str">
        <f ca="1">IFERROR(__xludf.DUMMYFUNCTION("""COMPUTED_VALUE"""),"2020-2021")</f>
        <v>2020-2021</v>
      </c>
      <c r="F316" s="113">
        <f ca="1">IFERROR(__xludf.DUMMYFUNCTION("""COMPUTED_VALUE"""),140263)</f>
        <v>140263</v>
      </c>
      <c r="G316" s="113">
        <f ca="1">IFERROR(__xludf.DUMMYFUNCTION("""COMPUTED_VALUE"""),0)</f>
        <v>0</v>
      </c>
      <c r="H316" s="113">
        <f ca="1">IFERROR(__xludf.DUMMYFUNCTION("""COMPUTED_VALUE"""),0)</f>
        <v>0</v>
      </c>
      <c r="I316" s="113">
        <f ca="1">IFERROR(__xludf.DUMMYFUNCTION("""COMPUTED_VALUE"""),140263)</f>
        <v>140263</v>
      </c>
      <c r="J316" s="111">
        <f ca="1">IFERROR(__xludf.DUMMYFUNCTION("""COMPUTED_VALUE"""),140263)</f>
        <v>140263</v>
      </c>
      <c r="K316" s="113">
        <f ca="1">IFERROR(__xludf.DUMMYFUNCTION("""COMPUTED_VALUE"""),0)</f>
        <v>0</v>
      </c>
      <c r="L316" s="114">
        <f ca="1">IFERROR(__xludf.DUMMYFUNCTION("""COMPUTED_VALUE"""),1)</f>
        <v>1</v>
      </c>
      <c r="M316" s="111"/>
      <c r="N316" s="110" t="s">
        <v>569</v>
      </c>
      <c r="O316" s="111"/>
      <c r="P316" s="111"/>
      <c r="Q316" s="112"/>
      <c r="R316" s="103"/>
      <c r="S316" s="103"/>
      <c r="T316" s="103"/>
      <c r="U316" s="103"/>
      <c r="V316" s="103"/>
      <c r="W316" s="103"/>
      <c r="X316" s="103"/>
      <c r="Y316" s="103"/>
      <c r="Z316" s="103"/>
      <c r="AA316" s="103"/>
    </row>
    <row r="317" spans="1:27" ht="38.25" x14ac:dyDescent="0.2">
      <c r="A317" s="110">
        <v>314</v>
      </c>
      <c r="B317" s="110" t="s">
        <v>54</v>
      </c>
      <c r="C317" s="111" t="str">
        <f ca="1">IFERROR(__xludf.DUMMYFUNCTION("""COMPUTED_VALUE"""),"ФПЛК г.о. Можайск")</f>
        <v>ФПЛК г.о. Можайск</v>
      </c>
      <c r="D317" s="111" t="str">
        <f ca="1">IFERROR(__xludf.DUMMYFUNCTION("""COMPUTED_VALUE"""),"Капитальный ремонт котельной № 40 по адресу: Московская область, г. Можайск, ул. Российская, д. 4а")</f>
        <v>Капитальный ремонт котельной № 40 по адресу: Московская область, г. Можайск, ул. Российская, д. 4а</v>
      </c>
      <c r="E317" s="111">
        <f ca="1">IFERROR(__xludf.DUMMYFUNCTION("""COMPUTED_VALUE"""),2020)</f>
        <v>2020</v>
      </c>
      <c r="F317" s="113">
        <f ca="1">IFERROR(__xludf.DUMMYFUNCTION("""COMPUTED_VALUE"""),160854)</f>
        <v>160854</v>
      </c>
      <c r="G317" s="113">
        <f ca="1">IFERROR(__xludf.DUMMYFUNCTION("""COMPUTED_VALUE"""),0)</f>
        <v>0</v>
      </c>
      <c r="H317" s="113">
        <f ca="1">IFERROR(__xludf.DUMMYFUNCTION("""COMPUTED_VALUE"""),0)</f>
        <v>0</v>
      </c>
      <c r="I317" s="113">
        <f ca="1">IFERROR(__xludf.DUMMYFUNCTION("""COMPUTED_VALUE"""),160854)</f>
        <v>160854</v>
      </c>
      <c r="J317" s="111">
        <f ca="1">IFERROR(__xludf.DUMMYFUNCTION("""COMPUTED_VALUE"""),158072)</f>
        <v>158072</v>
      </c>
      <c r="K317" s="113">
        <f ca="1">IFERROR(__xludf.DUMMYFUNCTION("""COMPUTED_VALUE"""),2782)</f>
        <v>2782</v>
      </c>
      <c r="L317" s="114">
        <f ca="1">IFERROR(__xludf.DUMMYFUNCTION("""COMPUTED_VALUE"""),0.98270481306029)</f>
        <v>0.98270481306029001</v>
      </c>
      <c r="M317" s="111"/>
      <c r="N317" s="110" t="s">
        <v>565</v>
      </c>
      <c r="O317" s="111"/>
      <c r="P317" s="111"/>
      <c r="Q317" s="112"/>
      <c r="R317" s="103"/>
      <c r="S317" s="103"/>
      <c r="T317" s="103"/>
      <c r="U317" s="103"/>
      <c r="V317" s="103"/>
      <c r="W317" s="103"/>
      <c r="X317" s="103"/>
      <c r="Y317" s="103"/>
      <c r="Z317" s="103"/>
      <c r="AA317" s="103"/>
    </row>
    <row r="318" spans="1:27" ht="63.75" x14ac:dyDescent="0.2">
      <c r="A318" s="110">
        <v>315</v>
      </c>
      <c r="B318" s="116" t="s">
        <v>54</v>
      </c>
      <c r="C318" s="117" t="str">
        <f ca="1">IFERROR(__xludf.DUMMYFUNCTION("""COMPUTED_VALUE"""),"г.о. Одинцово")</f>
        <v>г.о. Одинцово</v>
      </c>
      <c r="D318" s="117" t="str">
        <f ca="1">IFERROR(__xludf.DUMMYFUNCTION("""COMPUTED_VALUE"""),"Строительство хозяйственно-бытовой канализации в дер. Раздоры Одинцовского городского округа Московской области»  (в .т.ч. Тех.присоединение )")</f>
        <v>Строительство хозяйственно-бытовой канализации в дер. Раздоры Одинцовского городского округа Московской области»  (в .т.ч. Тех.присоединение )</v>
      </c>
      <c r="E318" s="117" t="str">
        <f ca="1">IFERROR(__xludf.DUMMYFUNCTION("""COMPUTED_VALUE"""),"2020-2021")</f>
        <v>2020-2021</v>
      </c>
      <c r="F318" s="118">
        <f ca="1">IFERROR(__xludf.DUMMYFUNCTION("""COMPUTED_VALUE"""),80753)</f>
        <v>80753</v>
      </c>
      <c r="G318" s="118">
        <f ca="1">IFERROR(__xludf.DUMMYFUNCTION("""COMPUTED_VALUE"""),80753)</f>
        <v>80753</v>
      </c>
      <c r="H318" s="118">
        <f ca="1">IFERROR(__xludf.DUMMYFUNCTION("""COMPUTED_VALUE"""),0)</f>
        <v>0</v>
      </c>
      <c r="I318" s="118">
        <f ca="1">IFERROR(__xludf.DUMMYFUNCTION("""COMPUTED_VALUE"""),0)</f>
        <v>0</v>
      </c>
      <c r="J318" s="117">
        <f ca="1">IFERROR(__xludf.DUMMYFUNCTION("""COMPUTED_VALUE"""),74666.24)</f>
        <v>74666.240000000005</v>
      </c>
      <c r="K318" s="118">
        <f ca="1">IFERROR(__xludf.DUMMYFUNCTION("""COMPUTED_VALUE"""),6086.75999999999)</f>
        <v>6086.7599999999902</v>
      </c>
      <c r="L318" s="119">
        <f ca="1">IFERROR(__xludf.DUMMYFUNCTION("""COMPUTED_VALUE"""),0.924624967493467)</f>
        <v>0.92462496749346701</v>
      </c>
      <c r="M318" s="117" t="str">
        <f ca="1">IFERROR(__xludf.DUMMYFUNCTION("""COMPUTED_VALUE"""),"Техприз оплачен, не направлена заявка на опалту  аванса ")</f>
        <v xml:space="preserve">Техприз оплачен, не направлена заявка на опалту  аванса </v>
      </c>
      <c r="N318" s="110" t="s">
        <v>564</v>
      </c>
      <c r="O318" s="111"/>
      <c r="P318" s="111"/>
      <c r="Q318" s="115">
        <v>44154</v>
      </c>
      <c r="R318" s="103"/>
      <c r="S318" s="103"/>
      <c r="T318" s="103"/>
      <c r="U318" s="103"/>
      <c r="V318" s="103"/>
      <c r="W318" s="103"/>
      <c r="X318" s="103"/>
      <c r="Y318" s="103"/>
      <c r="Z318" s="103"/>
      <c r="AA318" s="103"/>
    </row>
    <row r="319" spans="1:27" ht="51" x14ac:dyDescent="0.2">
      <c r="A319" s="110">
        <v>316</v>
      </c>
      <c r="B319" s="110" t="s">
        <v>54</v>
      </c>
      <c r="C319" s="111" t="str">
        <f ca="1">IFERROR(__xludf.DUMMYFUNCTION("""COMPUTED_VALUE"""),"г.о. Озеры")</f>
        <v>г.о. Озеры</v>
      </c>
      <c r="D319" s="111" t="str">
        <f ca="1">IFERROR(__xludf.DUMMYFUNCTION("""COMPUTED_VALUE"""),"Реконструкция газовой котельной №5 в поселке центральной усадьбы совхоза ""Озёры"", г.о. Озёры")</f>
        <v>Реконструкция газовой котельной №5 в поселке центральной усадьбы совхоза "Озёры", г.о. Озёры</v>
      </c>
      <c r="E319" s="111">
        <f ca="1">IFERROR(__xludf.DUMMYFUNCTION("""COMPUTED_VALUE"""),2020)</f>
        <v>2020</v>
      </c>
      <c r="F319" s="113">
        <f ca="1">IFERROR(__xludf.DUMMYFUNCTION("""COMPUTED_VALUE"""),38076.79)</f>
        <v>38076.79</v>
      </c>
      <c r="G319" s="113">
        <f ca="1">IFERROR(__xludf.DUMMYFUNCTION("""COMPUTED_VALUE"""),38076.79)</f>
        <v>38076.79</v>
      </c>
      <c r="H319" s="113">
        <f ca="1">IFERROR(__xludf.DUMMYFUNCTION("""COMPUTED_VALUE"""),0)</f>
        <v>0</v>
      </c>
      <c r="I319" s="113">
        <f ca="1">IFERROR(__xludf.DUMMYFUNCTION("""COMPUTED_VALUE"""),0)</f>
        <v>0</v>
      </c>
      <c r="J319" s="111">
        <f ca="1">IFERROR(__xludf.DUMMYFUNCTION("""COMPUTED_VALUE"""),35955.06)</f>
        <v>35955.06</v>
      </c>
      <c r="K319" s="113">
        <f ca="1">IFERROR(__xludf.DUMMYFUNCTION("""COMPUTED_VALUE"""),2121.73)</f>
        <v>2121.73</v>
      </c>
      <c r="L319" s="114">
        <f ca="1">IFERROR(__xludf.DUMMYFUNCTION("""COMPUTED_VALUE"""),0.944277603232835)</f>
        <v>0.94427760323283505</v>
      </c>
      <c r="M319" s="111"/>
      <c r="N319" s="110" t="s">
        <v>566</v>
      </c>
      <c r="O319" s="111"/>
      <c r="P319" s="111"/>
      <c r="Q319" s="112"/>
      <c r="R319" s="103"/>
      <c r="S319" s="103"/>
      <c r="T319" s="103"/>
      <c r="U319" s="103"/>
      <c r="V319" s="103"/>
      <c r="W319" s="103"/>
      <c r="X319" s="103"/>
      <c r="Y319" s="103"/>
      <c r="Z319" s="103"/>
      <c r="AA319" s="103"/>
    </row>
    <row r="320" spans="1:27" ht="89.25" x14ac:dyDescent="0.2">
      <c r="A320" s="110">
        <v>317</v>
      </c>
      <c r="B320" s="110" t="s">
        <v>54</v>
      </c>
      <c r="C320" s="111" t="str">
        <f ca="1">IFERROR(__xludf.DUMMYFUNCTION("""COMPUTED_VALUE"""),"г.о. Пущино")</f>
        <v>г.о. Пущино</v>
      </c>
      <c r="D320" s="111" t="str">
        <f ca="1">IFERROR(__xludf.DUMMYFUNCTION("""COMPUTED_VALUE"""),"Капитальный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f>
        <v xml:space="preserv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v>
      </c>
      <c r="E320" s="111">
        <f ca="1">IFERROR(__xludf.DUMMYFUNCTION("""COMPUTED_VALUE"""),2020)</f>
        <v>2020</v>
      </c>
      <c r="F320" s="113">
        <f ca="1">IFERROR(__xludf.DUMMYFUNCTION("""COMPUTED_VALUE"""),15280)</f>
        <v>15280</v>
      </c>
      <c r="G320" s="113">
        <f ca="1">IFERROR(__xludf.DUMMYFUNCTION("""COMPUTED_VALUE"""),15280)</f>
        <v>15280</v>
      </c>
      <c r="H320" s="113">
        <f ca="1">IFERROR(__xludf.DUMMYFUNCTION("""COMPUTED_VALUE"""),0)</f>
        <v>0</v>
      </c>
      <c r="I320" s="113">
        <f ca="1">IFERROR(__xludf.DUMMYFUNCTION("""COMPUTED_VALUE"""),0)</f>
        <v>0</v>
      </c>
      <c r="J320" s="111">
        <f ca="1">IFERROR(__xludf.DUMMYFUNCTION("""COMPUTED_VALUE"""),14703.53)</f>
        <v>14703.53</v>
      </c>
      <c r="K320" s="113">
        <f ca="1">IFERROR(__xludf.DUMMYFUNCTION("""COMPUTED_VALUE"""),576.469999999999)</f>
        <v>576.469999999999</v>
      </c>
      <c r="L320" s="114">
        <f ca="1">IFERROR(__xludf.DUMMYFUNCTION("""COMPUTED_VALUE"""),0.962272905759162)</f>
        <v>0.96227290575916202</v>
      </c>
      <c r="M320" s="111" t="str">
        <f ca="1">IFERROR(__xludf.DUMMYFUNCTION("""COMPUTED_VALUE"""),"Оплаят по окончание работ ")</f>
        <v xml:space="preserve">Оплаят по окончание работ </v>
      </c>
      <c r="N320" s="110" t="s">
        <v>570</v>
      </c>
      <c r="O320" s="111"/>
      <c r="P320" s="111"/>
      <c r="Q320" s="112"/>
      <c r="R320" s="103"/>
      <c r="S320" s="103"/>
      <c r="T320" s="103"/>
      <c r="U320" s="103"/>
      <c r="V320" s="103"/>
      <c r="W320" s="103"/>
      <c r="X320" s="103"/>
      <c r="Y320" s="103"/>
      <c r="Z320" s="103"/>
      <c r="AA320" s="103"/>
    </row>
    <row r="321" spans="1:27" ht="191.25" x14ac:dyDescent="0.2">
      <c r="A321" s="110">
        <v>318</v>
      </c>
      <c r="B321" s="110" t="s">
        <v>54</v>
      </c>
      <c r="C321" s="111" t="str">
        <f ca="1">IFERROR(__xludf.DUMMYFUNCTION("""COMPUTED_VALUE"""),"г.о. Раменский")</f>
        <v>г.о. Раменский</v>
      </c>
      <c r="D321" s="111" t="str">
        <f ca="1">IFERROR(__xludf.DUMMYFUNCTION("""COMPUTED_VALUE"""),"Строительство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разме"&amp;"ре 2 047,50 тыс.руб. из них средства бюджета Московской области - 2 047,19 тыс.руб., средства бюджета муниципального образования - 0,31 тыс.руб.  ")</f>
        <v xml:space="preserv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2 047,50 тыс.руб. из них средства бюджета Московской области - 2 047,19 тыс.руб., средства бюджета муниципального образования - 0,31 тыс.руб.  </v>
      </c>
      <c r="E321" s="111">
        <f ca="1">IFERROR(__xludf.DUMMYFUNCTION("""COMPUTED_VALUE"""),2020)</f>
        <v>2020</v>
      </c>
      <c r="F321" s="113">
        <f ca="1">IFERROR(__xludf.DUMMYFUNCTION("""COMPUTED_VALUE"""),2047.19)</f>
        <v>2047.19</v>
      </c>
      <c r="G321" s="113">
        <f ca="1">IFERROR(__xludf.DUMMYFUNCTION("""COMPUTED_VALUE"""),2047.19)</f>
        <v>2047.19</v>
      </c>
      <c r="H321" s="113">
        <f ca="1">IFERROR(__xludf.DUMMYFUNCTION("""COMPUTED_VALUE"""),0)</f>
        <v>0</v>
      </c>
      <c r="I321" s="113">
        <f ca="1">IFERROR(__xludf.DUMMYFUNCTION("""COMPUTED_VALUE"""),0)</f>
        <v>0</v>
      </c>
      <c r="J321" s="111">
        <f ca="1">IFERROR(__xludf.DUMMYFUNCTION("""COMPUTED_VALUE"""),2047.19)</f>
        <v>2047.19</v>
      </c>
      <c r="K321" s="113">
        <f ca="1">IFERROR(__xludf.DUMMYFUNCTION("""COMPUTED_VALUE"""),0)</f>
        <v>0</v>
      </c>
      <c r="L321" s="114">
        <f ca="1">IFERROR(__xludf.DUMMYFUNCTION("""COMPUTED_VALUE"""),1)</f>
        <v>1</v>
      </c>
      <c r="M321" s="111"/>
      <c r="N321" s="110" t="s">
        <v>554</v>
      </c>
      <c r="O321" s="111"/>
      <c r="P321" s="111"/>
      <c r="Q321" s="112"/>
      <c r="R321" s="103"/>
      <c r="S321" s="103"/>
      <c r="T321" s="103"/>
      <c r="U321" s="103"/>
      <c r="V321" s="103"/>
      <c r="W321" s="103"/>
      <c r="X321" s="103"/>
      <c r="Y321" s="103"/>
      <c r="Z321" s="103"/>
      <c r="AA321" s="103"/>
    </row>
    <row r="322" spans="1:27" ht="89.25" x14ac:dyDescent="0.2">
      <c r="A322" s="110">
        <v>319</v>
      </c>
      <c r="B322" s="110" t="s">
        <v>54</v>
      </c>
      <c r="C322" s="111" t="str">
        <f ca="1">IFERROR(__xludf.DUMMYFUNCTION("""COMPUTED_VALUE"""),"г.о. Раменский")</f>
        <v>г.о. Раменский</v>
      </c>
      <c r="D322" s="111" t="str">
        <f ca="1">IFERROR(__xludf.DUMMYFUNCTION("""COMPUTED_VALUE"""),"Строительство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f>
        <v>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v>
      </c>
      <c r="E322" s="111">
        <f ca="1">IFERROR(__xludf.DUMMYFUNCTION("""COMPUTED_VALUE"""),2020)</f>
        <v>2020</v>
      </c>
      <c r="F322" s="113">
        <f ca="1">IFERROR(__xludf.DUMMYFUNCTION("""COMPUTED_VALUE"""),665)</f>
        <v>665</v>
      </c>
      <c r="G322" s="113">
        <f ca="1">IFERROR(__xludf.DUMMYFUNCTION("""COMPUTED_VALUE"""),665)</f>
        <v>665</v>
      </c>
      <c r="H322" s="113">
        <f ca="1">IFERROR(__xludf.DUMMYFUNCTION("""COMPUTED_VALUE"""),0)</f>
        <v>0</v>
      </c>
      <c r="I322" s="113">
        <f ca="1">IFERROR(__xludf.DUMMYFUNCTION("""COMPUTED_VALUE"""),0)</f>
        <v>0</v>
      </c>
      <c r="J322" s="111">
        <f ca="1">IFERROR(__xludf.DUMMYFUNCTION("""COMPUTED_VALUE"""),665)</f>
        <v>665</v>
      </c>
      <c r="K322" s="113">
        <f ca="1">IFERROR(__xludf.DUMMYFUNCTION("""COMPUTED_VALUE"""),0)</f>
        <v>0</v>
      </c>
      <c r="L322" s="114">
        <f ca="1">IFERROR(__xludf.DUMMYFUNCTION("""COMPUTED_VALUE"""),1)</f>
        <v>1</v>
      </c>
      <c r="M322" s="111"/>
      <c r="N322" s="110" t="s">
        <v>564</v>
      </c>
      <c r="O322" s="111"/>
      <c r="P322" s="111"/>
      <c r="Q322" s="112"/>
      <c r="R322" s="103"/>
      <c r="S322" s="103"/>
      <c r="T322" s="103"/>
      <c r="U322" s="103"/>
      <c r="V322" s="103"/>
      <c r="W322" s="103"/>
      <c r="X322" s="103"/>
      <c r="Y322" s="103"/>
      <c r="Z322" s="103"/>
      <c r="AA322" s="103"/>
    </row>
    <row r="323" spans="1:27" ht="25.5" x14ac:dyDescent="0.2">
      <c r="A323" s="110">
        <v>320</v>
      </c>
      <c r="B323" s="110" t="s">
        <v>54</v>
      </c>
      <c r="C323" s="111" t="str">
        <f ca="1">IFERROR(__xludf.DUMMYFUNCTION("""COMPUTED_VALUE"""),"г.о. Рузский")</f>
        <v>г.о. Рузский</v>
      </c>
      <c r="D323" s="111" t="str">
        <f ca="1">IFERROR(__xludf.DUMMYFUNCTION("""COMPUTED_VALUE"""),"Строительство БМК  д. Колодкино, д.10  г.о. Рузский")</f>
        <v>Строительство БМК  д. Колодкино, д.10  г.о. Рузский</v>
      </c>
      <c r="E323" s="111">
        <f ca="1">IFERROR(__xludf.DUMMYFUNCTION("""COMPUTED_VALUE"""),2020)</f>
        <v>2020</v>
      </c>
      <c r="F323" s="113">
        <f ca="1">IFERROR(__xludf.DUMMYFUNCTION("""COMPUTED_VALUE"""),6258.83)</f>
        <v>6258.83</v>
      </c>
      <c r="G323" s="113">
        <f ca="1">IFERROR(__xludf.DUMMYFUNCTION("""COMPUTED_VALUE"""),6258.83)</f>
        <v>6258.83</v>
      </c>
      <c r="H323" s="113">
        <f ca="1">IFERROR(__xludf.DUMMYFUNCTION("""COMPUTED_VALUE"""),0)</f>
        <v>0</v>
      </c>
      <c r="I323" s="113">
        <f ca="1">IFERROR(__xludf.DUMMYFUNCTION("""COMPUTED_VALUE"""),0)</f>
        <v>0</v>
      </c>
      <c r="J323" s="111">
        <f ca="1">IFERROR(__xludf.DUMMYFUNCTION("""COMPUTED_VALUE"""),5804.12)</f>
        <v>5804.12</v>
      </c>
      <c r="K323" s="113">
        <f ca="1">IFERROR(__xludf.DUMMYFUNCTION("""COMPUTED_VALUE"""),454.71)</f>
        <v>454.71</v>
      </c>
      <c r="L323" s="114">
        <f ca="1">IFERROR(__xludf.DUMMYFUNCTION("""COMPUTED_VALUE"""),0.927349041274487)</f>
        <v>0.92734904127448703</v>
      </c>
      <c r="M323" s="111" t="str">
        <f ca="1">IFERROR(__xludf.DUMMYFUNCTION("""COMPUTED_VALUE"""),"Оплата после завершение контракта ")</f>
        <v xml:space="preserve">Оплата после завершение контракта </v>
      </c>
      <c r="N323" s="110" t="s">
        <v>568</v>
      </c>
      <c r="O323" s="111"/>
      <c r="P323" s="111"/>
      <c r="Q323" s="112"/>
      <c r="R323" s="103"/>
      <c r="S323" s="103"/>
      <c r="T323" s="103"/>
      <c r="U323" s="103"/>
      <c r="V323" s="103"/>
      <c r="W323" s="103"/>
      <c r="X323" s="103"/>
      <c r="Y323" s="103"/>
      <c r="Z323" s="103"/>
      <c r="AA323" s="103"/>
    </row>
    <row r="324" spans="1:27" ht="25.5" x14ac:dyDescent="0.2">
      <c r="A324" s="110">
        <v>321</v>
      </c>
      <c r="B324" s="110" t="s">
        <v>54</v>
      </c>
      <c r="C324" s="111" t="str">
        <f ca="1">IFERROR(__xludf.DUMMYFUNCTION("""COMPUTED_VALUE"""),"г.о. Рузский")</f>
        <v>г.о. Рузский</v>
      </c>
      <c r="D324" s="111" t="str">
        <f ca="1">IFERROR(__xludf.DUMMYFUNCTION("""COMPUTED_VALUE"""),"Строительство БМК д. Грибцово, ул. Больничная, д.13  г.о. Рузский")</f>
        <v>Строительство БМК д. Грибцово, ул. Больничная, д.13  г.о. Рузский</v>
      </c>
      <c r="E324" s="111">
        <f ca="1">IFERROR(__xludf.DUMMYFUNCTION("""COMPUTED_VALUE"""),2020)</f>
        <v>2020</v>
      </c>
      <c r="F324" s="113">
        <f ca="1">IFERROR(__xludf.DUMMYFUNCTION("""COMPUTED_VALUE"""),6600.25)</f>
        <v>6600.25</v>
      </c>
      <c r="G324" s="113">
        <f ca="1">IFERROR(__xludf.DUMMYFUNCTION("""COMPUTED_VALUE"""),6600.25)</f>
        <v>6600.25</v>
      </c>
      <c r="H324" s="113">
        <f ca="1">IFERROR(__xludf.DUMMYFUNCTION("""COMPUTED_VALUE"""),0)</f>
        <v>0</v>
      </c>
      <c r="I324" s="113">
        <f ca="1">IFERROR(__xludf.DUMMYFUNCTION("""COMPUTED_VALUE"""),0)</f>
        <v>0</v>
      </c>
      <c r="J324" s="111">
        <f ca="1">IFERROR(__xludf.DUMMYFUNCTION("""COMPUTED_VALUE"""),6120.53)</f>
        <v>6120.53</v>
      </c>
      <c r="K324" s="113">
        <f ca="1">IFERROR(__xludf.DUMMYFUNCTION("""COMPUTED_VALUE"""),479.72)</f>
        <v>479.72</v>
      </c>
      <c r="L324" s="114">
        <f ca="1">IFERROR(__xludf.DUMMYFUNCTION("""COMPUTED_VALUE"""),0.927317904624824)</f>
        <v>0.927317904624824</v>
      </c>
      <c r="M324" s="111" t="str">
        <f ca="1">IFERROR(__xludf.DUMMYFUNCTION("""COMPUTED_VALUE"""),"Оплата после завершение контракта ")</f>
        <v xml:space="preserve">Оплата после завершение контракта </v>
      </c>
      <c r="N324" s="110" t="s">
        <v>568</v>
      </c>
      <c r="O324" s="111"/>
      <c r="P324" s="111"/>
      <c r="Q324" s="112"/>
      <c r="R324" s="103"/>
      <c r="S324" s="103"/>
      <c r="T324" s="103"/>
      <c r="U324" s="103"/>
      <c r="V324" s="103"/>
      <c r="W324" s="103"/>
      <c r="X324" s="103"/>
      <c r="Y324" s="103"/>
      <c r="Z324" s="103"/>
      <c r="AA324" s="103"/>
    </row>
    <row r="325" spans="1:27" ht="25.5" x14ac:dyDescent="0.2">
      <c r="A325" s="110">
        <v>322</v>
      </c>
      <c r="B325" s="110" t="s">
        <v>54</v>
      </c>
      <c r="C325" s="111" t="str">
        <f ca="1">IFERROR(__xludf.DUMMYFUNCTION("""COMPUTED_VALUE"""),"г.о. Рузский")</f>
        <v>г.о. Рузский</v>
      </c>
      <c r="D325" s="111" t="str">
        <f ca="1">IFERROR(__xludf.DUMMYFUNCTION("""COMPUTED_VALUE"""),"Строительство БМК д. Ивойлово, д.18  г.о. Рузский")</f>
        <v>Строительство БМК д. Ивойлово, д.18  г.о. Рузский</v>
      </c>
      <c r="E325" s="111">
        <f ca="1">IFERROR(__xludf.DUMMYFUNCTION("""COMPUTED_VALUE"""),2020)</f>
        <v>2020</v>
      </c>
      <c r="F325" s="113">
        <f ca="1">IFERROR(__xludf.DUMMYFUNCTION("""COMPUTED_VALUE"""),6958.36)</f>
        <v>6958.36</v>
      </c>
      <c r="G325" s="113">
        <f ca="1">IFERROR(__xludf.DUMMYFUNCTION("""COMPUTED_VALUE"""),6958.36)</f>
        <v>6958.36</v>
      </c>
      <c r="H325" s="113">
        <f ca="1">IFERROR(__xludf.DUMMYFUNCTION("""COMPUTED_VALUE"""),0)</f>
        <v>0</v>
      </c>
      <c r="I325" s="113">
        <f ca="1">IFERROR(__xludf.DUMMYFUNCTION("""COMPUTED_VALUE"""),0)</f>
        <v>0</v>
      </c>
      <c r="J325" s="111">
        <f ca="1">IFERROR(__xludf.DUMMYFUNCTION("""COMPUTED_VALUE"""),6452.61)</f>
        <v>6452.61</v>
      </c>
      <c r="K325" s="113">
        <f ca="1">IFERROR(__xludf.DUMMYFUNCTION("""COMPUTED_VALUE"""),505.75)</f>
        <v>505.75</v>
      </c>
      <c r="L325" s="114">
        <f ca="1">IFERROR(__xludf.DUMMYFUNCTION("""COMPUTED_VALUE"""),0.927317643812622)</f>
        <v>0.92731764381262205</v>
      </c>
      <c r="M325" s="111" t="str">
        <f ca="1">IFERROR(__xludf.DUMMYFUNCTION("""COMPUTED_VALUE"""),"Оплата после завершение контракта ")</f>
        <v xml:space="preserve">Оплата после завершение контракта </v>
      </c>
      <c r="N325" s="110" t="s">
        <v>568</v>
      </c>
      <c r="O325" s="111"/>
      <c r="P325" s="111"/>
      <c r="Q325" s="112"/>
      <c r="R325" s="103"/>
      <c r="S325" s="103"/>
      <c r="T325" s="103"/>
      <c r="U325" s="103"/>
      <c r="V325" s="103"/>
      <c r="W325" s="103"/>
      <c r="X325" s="103"/>
      <c r="Y325" s="103"/>
      <c r="Z325" s="103"/>
      <c r="AA325" s="103"/>
    </row>
    <row r="326" spans="1:27" ht="25.5" x14ac:dyDescent="0.2">
      <c r="A326" s="110">
        <v>323</v>
      </c>
      <c r="B326" s="110" t="s">
        <v>54</v>
      </c>
      <c r="C326" s="111" t="str">
        <f ca="1">IFERROR(__xludf.DUMMYFUNCTION("""COMPUTED_VALUE"""),"г.о. Рузский")</f>
        <v>г.о. Рузский</v>
      </c>
      <c r="D326" s="111" t="str">
        <f ca="1">IFERROR(__xludf.DUMMYFUNCTION("""COMPUTED_VALUE"""),"Строительство БМК д. Лихачево, д.78  г.о. Рузский")</f>
        <v>Строительство БМК д. Лихачево, д.78  г.о. Рузский</v>
      </c>
      <c r="E326" s="111">
        <f ca="1">IFERROR(__xludf.DUMMYFUNCTION("""COMPUTED_VALUE"""),2020)</f>
        <v>2020</v>
      </c>
      <c r="F326" s="113">
        <f ca="1">IFERROR(__xludf.DUMMYFUNCTION("""COMPUTED_VALUE"""),8881.97)</f>
        <v>8881.9699999999993</v>
      </c>
      <c r="G326" s="113">
        <f ca="1">IFERROR(__xludf.DUMMYFUNCTION("""COMPUTED_VALUE"""),8881.97)</f>
        <v>8881.9699999999993</v>
      </c>
      <c r="H326" s="113">
        <f ca="1">IFERROR(__xludf.DUMMYFUNCTION("""COMPUTED_VALUE"""),0)</f>
        <v>0</v>
      </c>
      <c r="I326" s="113">
        <f ca="1">IFERROR(__xludf.DUMMYFUNCTION("""COMPUTED_VALUE"""),0)</f>
        <v>0</v>
      </c>
      <c r="J326" s="111">
        <f ca="1">IFERROR(__xludf.DUMMYFUNCTION("""COMPUTED_VALUE"""),8551.76)</f>
        <v>8551.76</v>
      </c>
      <c r="K326" s="113">
        <f ca="1">IFERROR(__xludf.DUMMYFUNCTION("""COMPUTED_VALUE"""),330.209999999999)</f>
        <v>330.20999999999901</v>
      </c>
      <c r="L326" s="114">
        <f ca="1">IFERROR(__xludf.DUMMYFUNCTION("""COMPUTED_VALUE"""),0.962822436914333)</f>
        <v>0.962822436914333</v>
      </c>
      <c r="M326" s="111" t="str">
        <f ca="1">IFERROR(__xludf.DUMMYFUNCTION("""COMPUTED_VALUE"""),"Оплата после завершение контракта ")</f>
        <v xml:space="preserve">Оплата после завершение контракта </v>
      </c>
      <c r="N326" s="110" t="s">
        <v>568</v>
      </c>
      <c r="O326" s="111"/>
      <c r="P326" s="111"/>
      <c r="Q326" s="112"/>
      <c r="R326" s="103"/>
      <c r="S326" s="103"/>
      <c r="T326" s="103"/>
      <c r="U326" s="103"/>
      <c r="V326" s="103"/>
      <c r="W326" s="103"/>
      <c r="X326" s="103"/>
      <c r="Y326" s="103"/>
      <c r="Z326" s="103"/>
      <c r="AA326" s="103"/>
    </row>
    <row r="327" spans="1:27" ht="25.5" x14ac:dyDescent="0.2">
      <c r="A327" s="110">
        <v>324</v>
      </c>
      <c r="B327" s="110" t="s">
        <v>54</v>
      </c>
      <c r="C327" s="111" t="str">
        <f ca="1">IFERROR(__xludf.DUMMYFUNCTION("""COMPUTED_VALUE"""),"г.о. Рузский")</f>
        <v>г.о. Рузский</v>
      </c>
      <c r="D327" s="111" t="str">
        <f ca="1">IFERROR(__xludf.DUMMYFUNCTION("""COMPUTED_VALUE"""),"Строительство БМК д. Лужки, д.1а, стр.1  г.о. Рузский")</f>
        <v>Строительство БМК д. Лужки, д.1а, стр.1  г.о. Рузский</v>
      </c>
      <c r="E327" s="111">
        <f ca="1">IFERROR(__xludf.DUMMYFUNCTION("""COMPUTED_VALUE"""),2020)</f>
        <v>2020</v>
      </c>
      <c r="F327" s="113">
        <f ca="1">IFERROR(__xludf.DUMMYFUNCTION("""COMPUTED_VALUE"""),8037.89)</f>
        <v>8037.89</v>
      </c>
      <c r="G327" s="113">
        <f ca="1">IFERROR(__xludf.DUMMYFUNCTION("""COMPUTED_VALUE"""),8037.89)</f>
        <v>8037.89</v>
      </c>
      <c r="H327" s="113">
        <f ca="1">IFERROR(__xludf.DUMMYFUNCTION("""COMPUTED_VALUE"""),0)</f>
        <v>0</v>
      </c>
      <c r="I327" s="113">
        <f ca="1">IFERROR(__xludf.DUMMYFUNCTION("""COMPUTED_VALUE"""),0)</f>
        <v>0</v>
      </c>
      <c r="J327" s="111">
        <f ca="1">IFERROR(__xludf.DUMMYFUNCTION("""COMPUTED_VALUE"""),7739.06)</f>
        <v>7739.06</v>
      </c>
      <c r="K327" s="113">
        <f ca="1">IFERROR(__xludf.DUMMYFUNCTION("""COMPUTED_VALUE"""),298.829999999999)</f>
        <v>298.82999999999902</v>
      </c>
      <c r="L327" s="114">
        <f ca="1">IFERROR(__xludf.DUMMYFUNCTION("""COMPUTED_VALUE"""),0.962822332726623)</f>
        <v>0.96282233272662299</v>
      </c>
      <c r="M327" s="111" t="str">
        <f ca="1">IFERROR(__xludf.DUMMYFUNCTION("""COMPUTED_VALUE"""),"Оплата после завершение контракта ")</f>
        <v xml:space="preserve">Оплата после завершение контракта </v>
      </c>
      <c r="N327" s="110" t="s">
        <v>568</v>
      </c>
      <c r="O327" s="111"/>
      <c r="P327" s="111"/>
      <c r="Q327" s="112"/>
      <c r="R327" s="103"/>
      <c r="S327" s="103"/>
      <c r="T327" s="103"/>
      <c r="U327" s="103"/>
      <c r="V327" s="103"/>
      <c r="W327" s="103"/>
      <c r="X327" s="103"/>
      <c r="Y327" s="103"/>
      <c r="Z327" s="103"/>
      <c r="AA327" s="103"/>
    </row>
    <row r="328" spans="1:27" ht="25.5" x14ac:dyDescent="0.2">
      <c r="A328" s="110">
        <v>325</v>
      </c>
      <c r="B328" s="110" t="s">
        <v>54</v>
      </c>
      <c r="C328" s="111" t="str">
        <f ca="1">IFERROR(__xludf.DUMMYFUNCTION("""COMPUTED_VALUE"""),"г.о. Рузский")</f>
        <v>г.о. Рузский</v>
      </c>
      <c r="D328" s="111" t="str">
        <f ca="1">IFERROR(__xludf.DUMMYFUNCTION("""COMPUTED_VALUE"""),"Строительство БМК д. Старая Руза, ул. ДТК  г.о. Рузский")</f>
        <v>Строительство БМК д. Старая Руза, ул. ДТК  г.о. Рузский</v>
      </c>
      <c r="E328" s="111">
        <f ca="1">IFERROR(__xludf.DUMMYFUNCTION("""COMPUTED_VALUE"""),2020)</f>
        <v>2020</v>
      </c>
      <c r="F328" s="113">
        <f ca="1">IFERROR(__xludf.DUMMYFUNCTION("""COMPUTED_VALUE"""),25676.53)</f>
        <v>25676.53</v>
      </c>
      <c r="G328" s="113">
        <f ca="1">IFERROR(__xludf.DUMMYFUNCTION("""COMPUTED_VALUE"""),25676.53)</f>
        <v>25676.53</v>
      </c>
      <c r="H328" s="113">
        <f ca="1">IFERROR(__xludf.DUMMYFUNCTION("""COMPUTED_VALUE"""),0)</f>
        <v>0</v>
      </c>
      <c r="I328" s="113">
        <f ca="1">IFERROR(__xludf.DUMMYFUNCTION("""COMPUTED_VALUE"""),0)</f>
        <v>0</v>
      </c>
      <c r="J328" s="111">
        <f ca="1">IFERROR(__xludf.DUMMYFUNCTION("""COMPUTED_VALUE"""),25487.41)</f>
        <v>25487.41</v>
      </c>
      <c r="K328" s="113">
        <f ca="1">IFERROR(__xludf.DUMMYFUNCTION("""COMPUTED_VALUE"""),189.119999999998)</f>
        <v>189.11999999999799</v>
      </c>
      <c r="L328" s="114">
        <f ca="1">IFERROR(__xludf.DUMMYFUNCTION("""COMPUTED_VALUE"""),0.992634518760907)</f>
        <v>0.99263451876090703</v>
      </c>
      <c r="M328" s="111" t="str">
        <f ca="1">IFERROR(__xludf.DUMMYFUNCTION("""COMPUTED_VALUE"""),"Оплата после завершение контракта ")</f>
        <v xml:space="preserve">Оплата после завершение контракта </v>
      </c>
      <c r="N328" s="110" t="s">
        <v>568</v>
      </c>
      <c r="O328" s="111"/>
      <c r="P328" s="111"/>
      <c r="Q328" s="112"/>
      <c r="R328" s="103"/>
      <c r="S328" s="103"/>
      <c r="T328" s="103"/>
      <c r="U328" s="103"/>
      <c r="V328" s="103"/>
      <c r="W328" s="103"/>
      <c r="X328" s="103"/>
      <c r="Y328" s="103"/>
      <c r="Z328" s="103"/>
      <c r="AA328" s="103"/>
    </row>
    <row r="329" spans="1:27" ht="25.5" x14ac:dyDescent="0.2">
      <c r="A329" s="110">
        <v>326</v>
      </c>
      <c r="B329" s="110" t="s">
        <v>54</v>
      </c>
      <c r="C329" s="111" t="str">
        <f ca="1">IFERROR(__xludf.DUMMYFUNCTION("""COMPUTED_VALUE"""),"г.о. Рузский")</f>
        <v>г.о. Рузский</v>
      </c>
      <c r="D329" s="111" t="str">
        <f ca="1">IFERROR(__xludf.DUMMYFUNCTION("""COMPUTED_VALUE"""),"Строительство БМК п. Тучково, ул. Луговая  г.о. Рузский")</f>
        <v>Строительство БМК п. Тучково, ул. Луговая  г.о. Рузский</v>
      </c>
      <c r="E329" s="111" t="str">
        <f ca="1">IFERROR(__xludf.DUMMYFUNCTION("""COMPUTED_VALUE"""),"2020-2021")</f>
        <v>2020-2021</v>
      </c>
      <c r="F329" s="113">
        <f ca="1">IFERROR(__xludf.DUMMYFUNCTION("""COMPUTED_VALUE"""),13280.75)</f>
        <v>13280.75</v>
      </c>
      <c r="G329" s="113">
        <f ca="1">IFERROR(__xludf.DUMMYFUNCTION("""COMPUTED_VALUE"""),13280.75)</f>
        <v>13280.75</v>
      </c>
      <c r="H329" s="113">
        <f ca="1">IFERROR(__xludf.DUMMYFUNCTION("""COMPUTED_VALUE"""),0)</f>
        <v>0</v>
      </c>
      <c r="I329" s="113">
        <f ca="1">IFERROR(__xludf.DUMMYFUNCTION("""COMPUTED_VALUE"""),0)</f>
        <v>0</v>
      </c>
      <c r="J329" s="111">
        <f ca="1">IFERROR(__xludf.DUMMYFUNCTION("""COMPUTED_VALUE"""),13152.63)</f>
        <v>13152.63</v>
      </c>
      <c r="K329" s="113">
        <f ca="1">IFERROR(__xludf.DUMMYFUNCTION("""COMPUTED_VALUE"""),128.12)</f>
        <v>128.12</v>
      </c>
      <c r="L329" s="114">
        <f ca="1">IFERROR(__xludf.DUMMYFUNCTION("""COMPUTED_VALUE"""),0.990352954464168)</f>
        <v>0.99035295446416804</v>
      </c>
      <c r="M329" s="111" t="str">
        <f ca="1">IFERROR(__xludf.DUMMYFUNCTION("""COMPUTED_VALUE"""),"Оплата после заключение контракта. Оплата аванса 30 %. ")</f>
        <v xml:space="preserve">Оплата после заключение контракта. Оплата аванса 30 %. </v>
      </c>
      <c r="N329" s="110" t="s">
        <v>568</v>
      </c>
      <c r="O329" s="111"/>
      <c r="P329" s="111"/>
      <c r="Q329" s="112"/>
      <c r="R329" s="103"/>
      <c r="S329" s="103"/>
      <c r="T329" s="103"/>
      <c r="U329" s="103"/>
      <c r="V329" s="103"/>
      <c r="W329" s="103"/>
      <c r="X329" s="103"/>
      <c r="Y329" s="103"/>
      <c r="Z329" s="103"/>
      <c r="AA329" s="103"/>
    </row>
    <row r="330" spans="1:27" ht="25.5" x14ac:dyDescent="0.2">
      <c r="A330" s="110">
        <v>327</v>
      </c>
      <c r="B330" s="110" t="s">
        <v>54</v>
      </c>
      <c r="C330" s="111" t="str">
        <f ca="1">IFERROR(__xludf.DUMMYFUNCTION("""COMPUTED_VALUE"""),"г.о. Рузский")</f>
        <v>г.о. Рузский</v>
      </c>
      <c r="D330" s="111" t="str">
        <f ca="1">IFERROR(__xludf.DUMMYFUNCTION("""COMPUTED_VALUE"""),"Строительство БМК с. Богородское, д.30  г.о. Рузский")</f>
        <v>Строительство БМК с. Богородское, д.30  г.о. Рузский</v>
      </c>
      <c r="E330" s="111">
        <f ca="1">IFERROR(__xludf.DUMMYFUNCTION("""COMPUTED_VALUE"""),2020)</f>
        <v>2020</v>
      </c>
      <c r="F330" s="113">
        <f ca="1">IFERROR(__xludf.DUMMYFUNCTION("""COMPUTED_VALUE"""),8782.79)</f>
        <v>8782.7900000000009</v>
      </c>
      <c r="G330" s="113">
        <f ca="1">IFERROR(__xludf.DUMMYFUNCTION("""COMPUTED_VALUE"""),8782.79)</f>
        <v>8782.7900000000009</v>
      </c>
      <c r="H330" s="113">
        <f ca="1">IFERROR(__xludf.DUMMYFUNCTION("""COMPUTED_VALUE"""),0)</f>
        <v>0</v>
      </c>
      <c r="I330" s="113">
        <f ca="1">IFERROR(__xludf.DUMMYFUNCTION("""COMPUTED_VALUE"""),0)</f>
        <v>0</v>
      </c>
      <c r="J330" s="111">
        <f ca="1">IFERROR(__xludf.DUMMYFUNCTION("""COMPUTED_VALUE"""),8144.71)</f>
        <v>8144.71</v>
      </c>
      <c r="K330" s="113">
        <f ca="1">IFERROR(__xludf.DUMMYFUNCTION("""COMPUTED_VALUE"""),638.08)</f>
        <v>638.08000000000004</v>
      </c>
      <c r="L330" s="114">
        <f ca="1">IFERROR(__xludf.DUMMYFUNCTION("""COMPUTED_VALUE"""),0.927348826511848)</f>
        <v>0.92734882651184802</v>
      </c>
      <c r="M330" s="111" t="str">
        <f ca="1">IFERROR(__xludf.DUMMYFUNCTION("""COMPUTED_VALUE"""),"Оплата после завершение контракта ")</f>
        <v xml:space="preserve">Оплата после завершение контракта </v>
      </c>
      <c r="N330" s="110" t="s">
        <v>568</v>
      </c>
      <c r="O330" s="111"/>
      <c r="P330" s="111"/>
      <c r="Q330" s="112"/>
      <c r="R330" s="103"/>
      <c r="S330" s="103"/>
      <c r="T330" s="103"/>
      <c r="U330" s="103"/>
      <c r="V330" s="103"/>
      <c r="W330" s="103"/>
      <c r="X330" s="103"/>
      <c r="Y330" s="103"/>
      <c r="Z330" s="103"/>
      <c r="AA330" s="103"/>
    </row>
    <row r="331" spans="1:27" ht="38.25" x14ac:dyDescent="0.2">
      <c r="A331" s="110">
        <v>328</v>
      </c>
      <c r="B331" s="110" t="s">
        <v>67</v>
      </c>
      <c r="C331" s="111" t="str">
        <f ca="1">IFERROR(__xludf.DUMMYFUNCTION("""COMPUTED_VALUE"""),"г.о. Рузский")</f>
        <v>г.о. Рузский</v>
      </c>
      <c r="D331" s="111" t="str">
        <f ca="1">IFERROR(__xludf.DUMMYFUNCTION("""COMPUTED_VALUE"""),"Строительство котельной по адресу: Рузский г.о., п.Тучково, ул. Лебеденко д.36")</f>
        <v>Строительство котельной по адресу: Рузский г.о., п.Тучково, ул. Лебеденко д.36</v>
      </c>
      <c r="E331" s="111" t="str">
        <f ca="1">IFERROR(__xludf.DUMMYFUNCTION("""COMPUTED_VALUE"""),"2020-2021")</f>
        <v>2020-2021</v>
      </c>
      <c r="F331" s="113">
        <f ca="1">IFERROR(__xludf.DUMMYFUNCTION("""COMPUTED_VALUE"""),24558.72)</f>
        <v>24558.720000000001</v>
      </c>
      <c r="G331" s="113">
        <f ca="1">IFERROR(__xludf.DUMMYFUNCTION("""COMPUTED_VALUE"""),24558.72)</f>
        <v>24558.720000000001</v>
      </c>
      <c r="H331" s="113">
        <f ca="1">IFERROR(__xludf.DUMMYFUNCTION("""COMPUTED_VALUE"""),0)</f>
        <v>0</v>
      </c>
      <c r="I331" s="113">
        <f ca="1">IFERROR(__xludf.DUMMYFUNCTION("""COMPUTED_VALUE"""),0)</f>
        <v>0</v>
      </c>
      <c r="J331" s="111">
        <f ca="1">IFERROR(__xludf.DUMMYFUNCTION("""COMPUTED_VALUE"""),0)</f>
        <v>0</v>
      </c>
      <c r="K331" s="113">
        <f ca="1">IFERROR(__xludf.DUMMYFUNCTION("""COMPUTED_VALUE"""),24558.72)</f>
        <v>24558.720000000001</v>
      </c>
      <c r="L331" s="114">
        <f ca="1">IFERROR(__xludf.DUMMYFUNCTION("""COMPUTED_VALUE"""),0)</f>
        <v>0</v>
      </c>
      <c r="M331" s="111"/>
      <c r="N331" s="110" t="s">
        <v>568</v>
      </c>
      <c r="O331" s="111"/>
      <c r="P331" s="111"/>
      <c r="Q331" s="112"/>
      <c r="R331" s="103"/>
      <c r="S331" s="103"/>
      <c r="T331" s="103"/>
      <c r="U331" s="103"/>
      <c r="V331" s="103"/>
      <c r="W331" s="103"/>
      <c r="X331" s="103"/>
      <c r="Y331" s="103"/>
      <c r="Z331" s="103"/>
      <c r="AA331" s="103"/>
    </row>
    <row r="332" spans="1:27" ht="38.25" x14ac:dyDescent="0.2">
      <c r="A332" s="110">
        <v>329</v>
      </c>
      <c r="B332" s="110" t="s">
        <v>54</v>
      </c>
      <c r="C332" s="111" t="str">
        <f ca="1">IFERROR(__xludf.DUMMYFUNCTION("""COMPUTED_VALUE"""),"г.о. Сергиев Посад")</f>
        <v>г.о. Сергиев Посад</v>
      </c>
      <c r="D332" s="111" t="str">
        <f ca="1">IFERROR(__xludf.DUMMYFUNCTION("""COMPUTED_VALUE"""),"Реконструкция объектов инженерной инфраструктуры по ул.Кооперативная, г.Хотьково")</f>
        <v>Реконструкция объектов инженерной инфраструктуры по ул.Кооперативная, г.Хотьково</v>
      </c>
      <c r="E332" s="111" t="str">
        <f ca="1">IFERROR(__xludf.DUMMYFUNCTION("""COMPUTED_VALUE"""),"2020-2021")</f>
        <v>2020-2021</v>
      </c>
      <c r="F332" s="113">
        <f ca="1">IFERROR(__xludf.DUMMYFUNCTION("""COMPUTED_VALUE"""),59893.56)</f>
        <v>59893.56</v>
      </c>
      <c r="G332" s="113">
        <f ca="1">IFERROR(__xludf.DUMMYFUNCTION("""COMPUTED_VALUE"""),59893.56)</f>
        <v>59893.56</v>
      </c>
      <c r="H332" s="113">
        <f ca="1">IFERROR(__xludf.DUMMYFUNCTION("""COMPUTED_VALUE"""),0)</f>
        <v>0</v>
      </c>
      <c r="I332" s="113">
        <f ca="1">IFERROR(__xludf.DUMMYFUNCTION("""COMPUTED_VALUE"""),0)</f>
        <v>0</v>
      </c>
      <c r="J332" s="111">
        <f ca="1">IFERROR(__xludf.DUMMYFUNCTION("""COMPUTED_VALUE"""),58638.69)</f>
        <v>58638.69</v>
      </c>
      <c r="K332" s="113">
        <f ca="1">IFERROR(__xludf.DUMMYFUNCTION("""COMPUTED_VALUE"""),1254.86999999999)</f>
        <v>1254.8699999999899</v>
      </c>
      <c r="L332" s="114">
        <f ca="1">IFERROR(__xludf.DUMMYFUNCTION("""COMPUTED_VALUE"""),0.979048331740507)</f>
        <v>0.97904833174050698</v>
      </c>
      <c r="M332" s="111"/>
      <c r="N332" s="110" t="s">
        <v>564</v>
      </c>
      <c r="O332" s="111"/>
      <c r="P332" s="111"/>
      <c r="Q332" s="112"/>
      <c r="R332" s="103"/>
      <c r="S332" s="103"/>
      <c r="T332" s="103"/>
      <c r="U332" s="103"/>
      <c r="V332" s="103"/>
      <c r="W332" s="103"/>
      <c r="X332" s="103"/>
      <c r="Y332" s="103"/>
      <c r="Z332" s="103"/>
      <c r="AA332" s="103"/>
    </row>
    <row r="333" spans="1:27" ht="153" x14ac:dyDescent="0.2">
      <c r="A333" s="110">
        <v>330</v>
      </c>
      <c r="B333" s="110" t="s">
        <v>54</v>
      </c>
      <c r="C333" s="111" t="str">
        <f ca="1">IFERROR(__xludf.DUMMYFUNCTION("""COMPUTED_VALUE"""),"г.о. Сергиев Посад")</f>
        <v>г.о. Сергиев Посад</v>
      </c>
      <c r="D333" s="111" t="str">
        <f ca="1">IFERROR(__xludf.DUMMYFUNCTION("""COMPUTED_VALUE"""),"Строительство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в"&amp;" 2019 году в размере 699,6 тыс.руб. средства бюджета Московской области)")</f>
        <v>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 2019 году в размере 699,6 тыс.руб. средства бюджета Московской области)</v>
      </c>
      <c r="E333" s="111">
        <f ca="1">IFERROR(__xludf.DUMMYFUNCTION("""COMPUTED_VALUE"""),2020)</f>
        <v>2020</v>
      </c>
      <c r="F333" s="113">
        <f ca="1">IFERROR(__xludf.DUMMYFUNCTION("""COMPUTED_VALUE"""),21653.86)</f>
        <v>21653.86</v>
      </c>
      <c r="G333" s="113">
        <f ca="1">IFERROR(__xludf.DUMMYFUNCTION("""COMPUTED_VALUE"""),21653.86)</f>
        <v>21653.86</v>
      </c>
      <c r="H333" s="113">
        <f ca="1">IFERROR(__xludf.DUMMYFUNCTION("""COMPUTED_VALUE"""),0)</f>
        <v>0</v>
      </c>
      <c r="I333" s="113">
        <f ca="1">IFERROR(__xludf.DUMMYFUNCTION("""COMPUTED_VALUE"""),0)</f>
        <v>0</v>
      </c>
      <c r="J333" s="111">
        <f ca="1">IFERROR(__xludf.DUMMYFUNCTION("""COMPUTED_VALUE"""),21574.47)</f>
        <v>21574.47</v>
      </c>
      <c r="K333" s="113">
        <f ca="1">IFERROR(__xludf.DUMMYFUNCTION("""COMPUTED_VALUE"""),79.3899999999994)</f>
        <v>79.389999999999404</v>
      </c>
      <c r="L333" s="114">
        <f ca="1">IFERROR(__xludf.DUMMYFUNCTION("""COMPUTED_VALUE"""),0.996333679076155)</f>
        <v>0.996333679076155</v>
      </c>
      <c r="M333" s="111" t="str">
        <f ca="1">IFERROR(__xludf.DUMMYFUNCTION("""COMPUTED_VALUE"""),"ОМСУ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f>
        <v>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v>
      </c>
      <c r="N333" s="110" t="s">
        <v>568</v>
      </c>
      <c r="O333" s="111"/>
      <c r="P333" s="111"/>
      <c r="Q333" s="115">
        <v>44154</v>
      </c>
      <c r="R333" s="103"/>
      <c r="S333" s="103"/>
      <c r="T333" s="103"/>
      <c r="U333" s="103"/>
      <c r="V333" s="103"/>
      <c r="W333" s="103"/>
      <c r="X333" s="103"/>
      <c r="Y333" s="103"/>
      <c r="Z333" s="103"/>
      <c r="AA333" s="103"/>
    </row>
    <row r="334" spans="1:27" ht="140.25" x14ac:dyDescent="0.2">
      <c r="A334" s="110">
        <v>331</v>
      </c>
      <c r="B334" s="110" t="s">
        <v>54</v>
      </c>
      <c r="C334" s="111" t="str">
        <f ca="1">IFERROR(__xludf.DUMMYFUNCTION("""COMPUTED_VALUE"""),"г.о. Сергиев Посад")</f>
        <v>г.о. Сергиев Посад</v>
      </c>
      <c r="D334" s="111" t="str">
        <f ca="1">IFERROR(__xludf.DUMMYFUNCTION("""COMPUTED_VALUE"""),"Строительство газовой блочно-модульной котельной с. Константиново, сельское поселение Шеметовское Сергиево-Посадского м.р. Московской области")</f>
        <v>Строительство газовой блочно-модульной котельной с. Константиново, сельское поселение Шеметовское Сергиево-Посадского м.р. Московской области</v>
      </c>
      <c r="E334" s="111">
        <f ca="1">IFERROR(__xludf.DUMMYFUNCTION("""COMPUTED_VALUE"""),2020)</f>
        <v>2020</v>
      </c>
      <c r="F334" s="113">
        <f ca="1">IFERROR(__xludf.DUMMYFUNCTION("""COMPUTED_VALUE"""),16397.9)</f>
        <v>16397.900000000001</v>
      </c>
      <c r="G334" s="113">
        <f ca="1">IFERROR(__xludf.DUMMYFUNCTION("""COMPUTED_VALUE"""),16397.9)</f>
        <v>16397.900000000001</v>
      </c>
      <c r="H334" s="113">
        <f ca="1">IFERROR(__xludf.DUMMYFUNCTION("""COMPUTED_VALUE"""),0)</f>
        <v>0</v>
      </c>
      <c r="I334" s="113">
        <f ca="1">IFERROR(__xludf.DUMMYFUNCTION("""COMPUTED_VALUE"""),0)</f>
        <v>0</v>
      </c>
      <c r="J334" s="111">
        <f ca="1">IFERROR(__xludf.DUMMYFUNCTION("""COMPUTED_VALUE"""),16224.96)</f>
        <v>16224.96</v>
      </c>
      <c r="K334" s="113">
        <f ca="1">IFERROR(__xludf.DUMMYFUNCTION("""COMPUTED_VALUE"""),172.940000000002)</f>
        <v>172.94000000000199</v>
      </c>
      <c r="L334" s="114">
        <f ca="1">IFERROR(__xludf.DUMMYFUNCTION("""COMPUTED_VALUE"""),0.989453527585849)</f>
        <v>0.98945352758584904</v>
      </c>
      <c r="M334" s="111" t="str">
        <f ca="1">IFERROR(__xludf.DUMMYFUNCTION("""COMPUTED_VALUE"""),"Будет перенос на 2021 год 
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лим"&amp;"итов в 2020 году.")</f>
        <v>Будет перенос на 2021 год 
ОМСУ направила гарантийное письмо о корректировки ПСД  от 01.10.2020 в адрес МинЖКХ в срок до 15.11.2020.  На данный момет документы находятся в МОГЭ. Сроки выхода из МОГЭ администрация не называет. Большой риск не освоение лимитов в 2020 году.</v>
      </c>
      <c r="N334" s="110" t="s">
        <v>560</v>
      </c>
      <c r="O334" s="111"/>
      <c r="P334" s="111"/>
      <c r="Q334" s="115">
        <v>44154</v>
      </c>
      <c r="R334" s="103"/>
      <c r="S334" s="103"/>
      <c r="T334" s="103"/>
      <c r="U334" s="103"/>
      <c r="V334" s="103"/>
      <c r="W334" s="103"/>
      <c r="X334" s="103"/>
      <c r="Y334" s="103"/>
      <c r="Z334" s="103"/>
      <c r="AA334" s="103"/>
    </row>
    <row r="335" spans="1:27" ht="38.25" x14ac:dyDescent="0.2">
      <c r="A335" s="110">
        <v>332</v>
      </c>
      <c r="B335" s="110" t="s">
        <v>54</v>
      </c>
      <c r="C335" s="111" t="str">
        <f ca="1">IFERROR(__xludf.DUMMYFUNCTION("""COMPUTED_VALUE"""),"г.о. Серебряные Пруды")</f>
        <v>г.о. Серебряные Пруды</v>
      </c>
      <c r="D335" s="111" t="str">
        <f ca="1">IFERROR(__xludf.DUMMYFUNCTION("""COMPUTED_VALUE"""),"Капитальный ремонт котельной №14 с. Петрово мощностью 4,0 МВт г.о. Серебрянные Пруды")</f>
        <v>Капитальный ремонт котельной №14 с. Петрово мощностью 4,0 МВт г.о. Серебрянные Пруды</v>
      </c>
      <c r="E335" s="111">
        <f ca="1">IFERROR(__xludf.DUMMYFUNCTION("""COMPUTED_VALUE"""),2020)</f>
        <v>2020</v>
      </c>
      <c r="F335" s="113">
        <f ca="1">IFERROR(__xludf.DUMMYFUNCTION("""COMPUTED_VALUE"""),3986.5)</f>
        <v>3986.5</v>
      </c>
      <c r="G335" s="113">
        <f ca="1">IFERROR(__xludf.DUMMYFUNCTION("""COMPUTED_VALUE"""),0)</f>
        <v>0</v>
      </c>
      <c r="H335" s="113">
        <f ca="1">IFERROR(__xludf.DUMMYFUNCTION("""COMPUTED_VALUE"""),0)</f>
        <v>0</v>
      </c>
      <c r="I335" s="113">
        <f ca="1">IFERROR(__xludf.DUMMYFUNCTION("""COMPUTED_VALUE"""),3986.5)</f>
        <v>3986.5</v>
      </c>
      <c r="J335" s="111">
        <f ca="1">IFERROR(__xludf.DUMMYFUNCTION("""COMPUTED_VALUE"""),3839.85)</f>
        <v>3839.85</v>
      </c>
      <c r="K335" s="113">
        <f ca="1">IFERROR(__xludf.DUMMYFUNCTION("""COMPUTED_VALUE"""),146.65)</f>
        <v>146.65</v>
      </c>
      <c r="L335" s="114">
        <f ca="1">IFERROR(__xludf.DUMMYFUNCTION("""COMPUTED_VALUE"""),0.963213345039508)</f>
        <v>0.96321334503950795</v>
      </c>
      <c r="M335" s="111"/>
      <c r="N335" s="110" t="s">
        <v>568</v>
      </c>
      <c r="O335" s="111"/>
      <c r="P335" s="111"/>
      <c r="Q335" s="112"/>
      <c r="R335" s="103"/>
      <c r="S335" s="103"/>
      <c r="T335" s="103"/>
      <c r="U335" s="103"/>
      <c r="V335" s="103"/>
      <c r="W335" s="103"/>
      <c r="X335" s="103"/>
      <c r="Y335" s="103"/>
      <c r="Z335" s="103"/>
      <c r="AA335" s="103"/>
    </row>
    <row r="336" spans="1:27" ht="63.75" x14ac:dyDescent="0.2">
      <c r="A336" s="110">
        <v>333</v>
      </c>
      <c r="B336" s="110" t="s">
        <v>66</v>
      </c>
      <c r="C336" s="111" t="str">
        <f ca="1">IFERROR(__xludf.DUMMYFUNCTION("""COMPUTED_VALUE"""),"г.о. Серебряные Пруды")</f>
        <v>г.о. Серебряные Пруды</v>
      </c>
      <c r="D336" s="111" t="str">
        <f ca="1">IFERROR(__xludf.DUMMYFUNCTION("""COMPUTED_VALUE"""),"Строительство блочно-модульной котельной (БМК) в п. Дмитриевский мощностью 2,1 МВт, г.о. Серебряные Пруды (в т.ч. ПИР) ")</f>
        <v xml:space="preserve">Строительство блочно-модульной котельной (БМК) в п. Дмитриевский мощностью 2,1 МВт, г.о. Серебряные Пруды (в т.ч. ПИР) </v>
      </c>
      <c r="E336" s="111">
        <f ca="1">IFERROR(__xludf.DUMMYFUNCTION("""COMPUTED_VALUE"""),2020)</f>
        <v>2020</v>
      </c>
      <c r="F336" s="113">
        <f ca="1">IFERROR(__xludf.DUMMYFUNCTION("""COMPUTED_VALUE"""),26407.94)</f>
        <v>26407.94</v>
      </c>
      <c r="G336" s="113">
        <f ca="1">IFERROR(__xludf.DUMMYFUNCTION("""COMPUTED_VALUE"""),0)</f>
        <v>0</v>
      </c>
      <c r="H336" s="113">
        <f ca="1">IFERROR(__xludf.DUMMYFUNCTION("""COMPUTED_VALUE"""),0)</f>
        <v>0</v>
      </c>
      <c r="I336" s="113">
        <f ca="1">IFERROR(__xludf.DUMMYFUNCTION("""COMPUTED_VALUE"""),26407.94)</f>
        <v>26407.94</v>
      </c>
      <c r="J336" s="111">
        <f ca="1">IFERROR(__xludf.DUMMYFUNCTION("""COMPUTED_VALUE"""),0)</f>
        <v>0</v>
      </c>
      <c r="K336" s="113">
        <f ca="1">IFERROR(__xludf.DUMMYFUNCTION("""COMPUTED_VALUE"""),26407.94)</f>
        <v>26407.94</v>
      </c>
      <c r="L336" s="114">
        <f ca="1">IFERROR(__xludf.DUMMYFUNCTION("""COMPUTED_VALUE"""),0)</f>
        <v>0</v>
      </c>
      <c r="M336" s="111" t="str">
        <f ca="1">IFERROR(__xludf.DUMMYFUNCTION("""COMPUTED_VALUE"""),"ОМСУ направило письмо от 17.11.2020 в адрес МинЖКХ на перенос 50% лимитов на 2021 год. Предпологаемая дата из МОГЭ 23.11.2020.  СМР выполнен 15 %. ")</f>
        <v xml:space="preserve">ОМСУ направило письмо от 17.11.2020 в адрес МинЖКХ на перенос 50% лимитов на 2021 год. Предпологаемая дата из МОГЭ 23.11.2020.  СМР выполнен 15 %. </v>
      </c>
      <c r="N336" s="110" t="s">
        <v>568</v>
      </c>
      <c r="O336" s="111"/>
      <c r="P336" s="111"/>
      <c r="Q336" s="115">
        <v>44154</v>
      </c>
      <c r="R336" s="103"/>
      <c r="S336" s="103"/>
      <c r="T336" s="103"/>
      <c r="U336" s="103"/>
      <c r="V336" s="103"/>
      <c r="W336" s="103"/>
      <c r="X336" s="103"/>
      <c r="Y336" s="103"/>
      <c r="Z336" s="103"/>
      <c r="AA336" s="103"/>
    </row>
    <row r="337" spans="1:27" ht="51" x14ac:dyDescent="0.2">
      <c r="A337" s="110">
        <v>334</v>
      </c>
      <c r="B337" s="110" t="s">
        <v>66</v>
      </c>
      <c r="C337" s="111" t="str">
        <f ca="1">IFERROR(__xludf.DUMMYFUNCTION("""COMPUTED_VALUE"""),"г.о. Серебряные Пруды")</f>
        <v>г.о. Серебряные Пруды</v>
      </c>
      <c r="D337" s="111" t="str">
        <f ca="1">IFERROR(__xludf.DUMMYFUNCTION("""COMPUTED_VALUE"""),"Строительство блочно-модульной котельной в с. Глубокое мощностью 2,2 МВт, г.о. Серебряные Пруды (в т.ч. ПИР) ")</f>
        <v xml:space="preserve">Строительство блочно-модульной котельной в с. Глубокое мощностью 2,2 МВт, г.о. Серебряные Пруды (в т.ч. ПИР) </v>
      </c>
      <c r="E337" s="111" t="str">
        <f ca="1">IFERROR(__xludf.DUMMYFUNCTION("""COMPUTED_VALUE"""),"2020-2021")</f>
        <v>2020-2021</v>
      </c>
      <c r="F337" s="113">
        <f ca="1">IFERROR(__xludf.DUMMYFUNCTION("""COMPUTED_VALUE"""),3182.88)</f>
        <v>3182.88</v>
      </c>
      <c r="G337" s="113">
        <f ca="1">IFERROR(__xludf.DUMMYFUNCTION("""COMPUTED_VALUE"""),0)</f>
        <v>0</v>
      </c>
      <c r="H337" s="113">
        <f ca="1">IFERROR(__xludf.DUMMYFUNCTION("""COMPUTED_VALUE"""),0)</f>
        <v>0</v>
      </c>
      <c r="I337" s="113">
        <f ca="1">IFERROR(__xludf.DUMMYFUNCTION("""COMPUTED_VALUE"""),3182.88)</f>
        <v>3182.88</v>
      </c>
      <c r="J337" s="111">
        <f ca="1">IFERROR(__xludf.DUMMYFUNCTION("""COMPUTED_VALUE"""),0)</f>
        <v>0</v>
      </c>
      <c r="K337" s="113">
        <f ca="1">IFERROR(__xludf.DUMMYFUNCTION("""COMPUTED_VALUE"""),3182.88)</f>
        <v>3182.88</v>
      </c>
      <c r="L337" s="114">
        <f ca="1">IFERROR(__xludf.DUMMYFUNCTION("""COMPUTED_VALUE"""),0)</f>
        <v>0</v>
      </c>
      <c r="M337" s="111"/>
      <c r="N337" s="110" t="s">
        <v>568</v>
      </c>
      <c r="O337" s="111"/>
      <c r="P337" s="111"/>
      <c r="Q337" s="112"/>
      <c r="R337" s="103"/>
      <c r="S337" s="103"/>
      <c r="T337" s="103"/>
      <c r="U337" s="103"/>
      <c r="V337" s="103"/>
      <c r="W337" s="103"/>
      <c r="X337" s="103"/>
      <c r="Y337" s="103"/>
      <c r="Z337" s="103"/>
      <c r="AA337" s="103"/>
    </row>
    <row r="338" spans="1:27" ht="51" x14ac:dyDescent="0.2">
      <c r="A338" s="110">
        <v>335</v>
      </c>
      <c r="B338" s="110" t="s">
        <v>66</v>
      </c>
      <c r="C338" s="111" t="str">
        <f ca="1">IFERROR(__xludf.DUMMYFUNCTION("""COMPUTED_VALUE"""),"г.о. Серебряные Пруды")</f>
        <v>г.о. Серебряные Пруды</v>
      </c>
      <c r="D338" s="111" t="str">
        <f ca="1">IFERROR(__xludf.DUMMYFUNCTION("""COMPUTED_VALUE"""),"Строительство блочно-модульной котельной р.п. Серебряные Пруды, ул. ПТУ, мощностью 2,1 МВт , г.о. Серебряные Пруды (в т.ч. ПИР) ")</f>
        <v xml:space="preserve">Строительство блочно-модульной котельной р.п. Серебряные Пруды, ул. ПТУ, мощностью 2,1 МВт , г.о. Серебряные Пруды (в т.ч. ПИР) </v>
      </c>
      <c r="E338" s="111" t="str">
        <f ca="1">IFERROR(__xludf.DUMMYFUNCTION("""COMPUTED_VALUE"""),"2020-2021")</f>
        <v>2020-2021</v>
      </c>
      <c r="F338" s="113">
        <f ca="1">IFERROR(__xludf.DUMMYFUNCTION("""COMPUTED_VALUE"""),13848.3)</f>
        <v>13848.3</v>
      </c>
      <c r="G338" s="113">
        <f ca="1">IFERROR(__xludf.DUMMYFUNCTION("""COMPUTED_VALUE"""),0)</f>
        <v>0</v>
      </c>
      <c r="H338" s="113">
        <f ca="1">IFERROR(__xludf.DUMMYFUNCTION("""COMPUTED_VALUE"""),0)</f>
        <v>0</v>
      </c>
      <c r="I338" s="113">
        <f ca="1">IFERROR(__xludf.DUMMYFUNCTION("""COMPUTED_VALUE"""),13848.3)</f>
        <v>13848.3</v>
      </c>
      <c r="J338" s="111">
        <f ca="1">IFERROR(__xludf.DUMMYFUNCTION("""COMPUTED_VALUE"""),0)</f>
        <v>0</v>
      </c>
      <c r="K338" s="113">
        <f ca="1">IFERROR(__xludf.DUMMYFUNCTION("""COMPUTED_VALUE"""),13848.3)</f>
        <v>13848.3</v>
      </c>
      <c r="L338" s="114">
        <f ca="1">IFERROR(__xludf.DUMMYFUNCTION("""COMPUTED_VALUE"""),0)</f>
        <v>0</v>
      </c>
      <c r="M338" s="111" t="str">
        <f ca="1">IFERROR(__xludf.DUMMYFUNCTION("""COMPUTED_VALUE"""),"Выход из МОГЭ 04.12.2020 с увелечением лимтов на 9 691,06 тыс. руб. СМР выполнен на 10 %. ")</f>
        <v xml:space="preserve">Выход из МОГЭ 04.12.2020 с увелечением лимтов на 9 691,06 тыс. руб. СМР выполнен на 10 %. </v>
      </c>
      <c r="N338" s="110" t="s">
        <v>568</v>
      </c>
      <c r="O338" s="111"/>
      <c r="P338" s="111"/>
      <c r="Q338" s="115">
        <v>44154</v>
      </c>
      <c r="R338" s="103"/>
      <c r="S338" s="103"/>
      <c r="T338" s="103"/>
      <c r="U338" s="103"/>
      <c r="V338" s="103"/>
      <c r="W338" s="103"/>
      <c r="X338" s="103"/>
      <c r="Y338" s="103"/>
      <c r="Z338" s="103"/>
      <c r="AA338" s="103"/>
    </row>
    <row r="339" spans="1:27" ht="51" x14ac:dyDescent="0.2">
      <c r="A339" s="110">
        <v>336</v>
      </c>
      <c r="B339" s="110" t="s">
        <v>66</v>
      </c>
      <c r="C339" s="111" t="str">
        <f ca="1">IFERROR(__xludf.DUMMYFUNCTION("""COMPUTED_VALUE"""),"г.о. Серебряные Пруды")</f>
        <v>г.о. Серебряные Пруды</v>
      </c>
      <c r="D339" s="111" t="str">
        <f ca="1">IFERROR(__xludf.DUMMYFUNCTION("""COMPUTED_VALUE"""),"Строительство блочно-модульной котельной №2 р.п. Серебряные Пруды, ул.Комсомольская, г.о. Серебряные Пруды (в т.ч. ПИР) ")</f>
        <v xml:space="preserve">Строительство блочно-модульной котельной №2 р.п. Серебряные Пруды, ул.Комсомольская, г.о. Серебряные Пруды (в т.ч. ПИР) </v>
      </c>
      <c r="E339" s="111" t="str">
        <f ca="1">IFERROR(__xludf.DUMMYFUNCTION("""COMPUTED_VALUE"""),"2020-2021")</f>
        <v>2020-2021</v>
      </c>
      <c r="F339" s="113">
        <f ca="1">IFERROR(__xludf.DUMMYFUNCTION("""COMPUTED_VALUE"""),15809)</f>
        <v>15809</v>
      </c>
      <c r="G339" s="113">
        <f ca="1">IFERROR(__xludf.DUMMYFUNCTION("""COMPUTED_VALUE"""),0)</f>
        <v>0</v>
      </c>
      <c r="H339" s="113">
        <f ca="1">IFERROR(__xludf.DUMMYFUNCTION("""COMPUTED_VALUE"""),0)</f>
        <v>0</v>
      </c>
      <c r="I339" s="113">
        <f ca="1">IFERROR(__xludf.DUMMYFUNCTION("""COMPUTED_VALUE"""),15809)</f>
        <v>15809</v>
      </c>
      <c r="J339" s="111">
        <f ca="1">IFERROR(__xludf.DUMMYFUNCTION("""COMPUTED_VALUE"""),0)</f>
        <v>0</v>
      </c>
      <c r="K339" s="113">
        <f ca="1">IFERROR(__xludf.DUMMYFUNCTION("""COMPUTED_VALUE"""),15809)</f>
        <v>15809</v>
      </c>
      <c r="L339" s="114">
        <f ca="1">IFERROR(__xludf.DUMMYFUNCTION("""COMPUTED_VALUE"""),0)</f>
        <v>0</v>
      </c>
      <c r="M339" s="111" t="str">
        <f ca="1">IFERROR(__xludf.DUMMYFUNCTION("""COMPUTED_VALUE"""),"Выход из МОГЭ 09.12.2020 с увелечением лимтов на 22 774,35 тыс. руб. СМР выполнен на 10 %. ")</f>
        <v xml:space="preserve">Выход из МОГЭ 09.12.2020 с увелечением лимтов на 22 774,35 тыс. руб. СМР выполнен на 10 %. </v>
      </c>
      <c r="N339" s="110" t="s">
        <v>568</v>
      </c>
      <c r="O339" s="111"/>
      <c r="P339" s="111"/>
      <c r="Q339" s="115">
        <v>44154</v>
      </c>
      <c r="R339" s="103"/>
      <c r="S339" s="103"/>
      <c r="T339" s="103"/>
      <c r="U339" s="103"/>
      <c r="V339" s="103"/>
      <c r="W339" s="103"/>
      <c r="X339" s="103"/>
      <c r="Y339" s="103"/>
      <c r="Z339" s="103"/>
      <c r="AA339" s="103"/>
    </row>
    <row r="340" spans="1:27" ht="38.25" x14ac:dyDescent="0.2">
      <c r="A340" s="110">
        <v>337</v>
      </c>
      <c r="B340" s="110" t="s">
        <v>66</v>
      </c>
      <c r="C340" s="111" t="str">
        <f ca="1">IFERROR(__xludf.DUMMYFUNCTION("""COMPUTED_VALUE"""),"г.о. Серебряные Пруды")</f>
        <v>г.о. Серебряные Пруды</v>
      </c>
      <c r="D340" s="111" t="str">
        <f ca="1">IFERROR(__xludf.DUMMYFUNCTION("""COMPUTED_VALUE"""),"Строительство блочно-модульной котельной №4 с. Подхожее, г.о. Серебряные Пруды (в т.ч. ПИР) ")</f>
        <v xml:space="preserve">Строительство блочно-модульной котельной №4 с. Подхожее, г.о. Серебряные Пруды (в т.ч. ПИР) </v>
      </c>
      <c r="E340" s="111" t="str">
        <f ca="1">IFERROR(__xludf.DUMMYFUNCTION("""COMPUTED_VALUE"""),"2020-2021")</f>
        <v>2020-2021</v>
      </c>
      <c r="F340" s="113">
        <f ca="1">IFERROR(__xludf.DUMMYFUNCTION("""COMPUTED_VALUE"""),3476.73)</f>
        <v>3476.73</v>
      </c>
      <c r="G340" s="113">
        <f ca="1">IFERROR(__xludf.DUMMYFUNCTION("""COMPUTED_VALUE"""),0)</f>
        <v>0</v>
      </c>
      <c r="H340" s="113">
        <f ca="1">IFERROR(__xludf.DUMMYFUNCTION("""COMPUTED_VALUE"""),0)</f>
        <v>0</v>
      </c>
      <c r="I340" s="113">
        <f ca="1">IFERROR(__xludf.DUMMYFUNCTION("""COMPUTED_VALUE"""),3476.73)</f>
        <v>3476.73</v>
      </c>
      <c r="J340" s="111">
        <f ca="1">IFERROR(__xludf.DUMMYFUNCTION("""COMPUTED_VALUE"""),0)</f>
        <v>0</v>
      </c>
      <c r="K340" s="113">
        <f ca="1">IFERROR(__xludf.DUMMYFUNCTION("""COMPUTED_VALUE"""),3476.73)</f>
        <v>3476.73</v>
      </c>
      <c r="L340" s="114">
        <f ca="1">IFERROR(__xludf.DUMMYFUNCTION("""COMPUTED_VALUE"""),0)</f>
        <v>0</v>
      </c>
      <c r="M340" s="111"/>
      <c r="N340" s="110" t="s">
        <v>568</v>
      </c>
      <c r="O340" s="111"/>
      <c r="P340" s="111"/>
      <c r="Q340" s="112"/>
      <c r="R340" s="103"/>
      <c r="S340" s="103"/>
      <c r="T340" s="103"/>
      <c r="U340" s="103"/>
      <c r="V340" s="103"/>
      <c r="W340" s="103"/>
      <c r="X340" s="103"/>
      <c r="Y340" s="103"/>
      <c r="Z340" s="103"/>
      <c r="AA340" s="103"/>
    </row>
    <row r="341" spans="1:27" ht="38.25" x14ac:dyDescent="0.2">
      <c r="A341" s="110">
        <v>338</v>
      </c>
      <c r="B341" s="110" t="s">
        <v>66</v>
      </c>
      <c r="C341" s="111" t="str">
        <f ca="1">IFERROR(__xludf.DUMMYFUNCTION("""COMPUTED_VALUE"""),"г.о. Серебряные Пруды")</f>
        <v>г.о. Серебряные Пруды</v>
      </c>
      <c r="D341" s="111" t="str">
        <f ca="1">IFERROR(__xludf.DUMMYFUNCTION("""COMPUTED_VALUE"""),"Строительство блочно-модульной котельной №5 с. Мочилы, г.о. Серебряные Пруды (в т.ч. ПИР) ")</f>
        <v xml:space="preserve">Строительство блочно-модульной котельной №5 с. Мочилы, г.о. Серебряные Пруды (в т.ч. ПИР) </v>
      </c>
      <c r="E341" s="111" t="str">
        <f ca="1">IFERROR(__xludf.DUMMYFUNCTION("""COMPUTED_VALUE"""),"2020-2021")</f>
        <v>2020-2021</v>
      </c>
      <c r="F341" s="113">
        <f ca="1">IFERROR(__xludf.DUMMYFUNCTION("""COMPUTED_VALUE"""),3243.71)</f>
        <v>3243.71</v>
      </c>
      <c r="G341" s="113">
        <f ca="1">IFERROR(__xludf.DUMMYFUNCTION("""COMPUTED_VALUE"""),0)</f>
        <v>0</v>
      </c>
      <c r="H341" s="113">
        <f ca="1">IFERROR(__xludf.DUMMYFUNCTION("""COMPUTED_VALUE"""),0)</f>
        <v>0</v>
      </c>
      <c r="I341" s="113">
        <f ca="1">IFERROR(__xludf.DUMMYFUNCTION("""COMPUTED_VALUE"""),3243.71)</f>
        <v>3243.71</v>
      </c>
      <c r="J341" s="111">
        <f ca="1">IFERROR(__xludf.DUMMYFUNCTION("""COMPUTED_VALUE"""),0)</f>
        <v>0</v>
      </c>
      <c r="K341" s="113">
        <f ca="1">IFERROR(__xludf.DUMMYFUNCTION("""COMPUTED_VALUE"""),3243.71)</f>
        <v>3243.71</v>
      </c>
      <c r="L341" s="114">
        <f ca="1">IFERROR(__xludf.DUMMYFUNCTION("""COMPUTED_VALUE"""),0)</f>
        <v>0</v>
      </c>
      <c r="M341" s="111"/>
      <c r="N341" s="110" t="s">
        <v>568</v>
      </c>
      <c r="O341" s="111"/>
      <c r="P341" s="111"/>
      <c r="Q341" s="112"/>
      <c r="R341" s="103"/>
      <c r="S341" s="103"/>
      <c r="T341" s="103"/>
      <c r="U341" s="103"/>
      <c r="V341" s="103"/>
      <c r="W341" s="103"/>
      <c r="X341" s="103"/>
      <c r="Y341" s="103"/>
      <c r="Z341" s="103"/>
      <c r="AA341" s="103"/>
    </row>
    <row r="342" spans="1:27" ht="38.25" x14ac:dyDescent="0.2">
      <c r="A342" s="110">
        <v>339</v>
      </c>
      <c r="B342" s="110" t="s">
        <v>66</v>
      </c>
      <c r="C342" s="111" t="str">
        <f ca="1">IFERROR(__xludf.DUMMYFUNCTION("""COMPUTED_VALUE"""),"г.о. Серебряные Пруды")</f>
        <v>г.о. Серебряные Пруды</v>
      </c>
      <c r="D342" s="111" t="str">
        <f ca="1">IFERROR(__xludf.DUMMYFUNCTION("""COMPUTED_VALUE"""),"Строительство блочно-модульной котельной №8 д. Шеметово, г.о. Серебряные Пруды (в т.ч. ПИР) ")</f>
        <v xml:space="preserve">Строительство блочно-модульной котельной №8 д. Шеметово, г.о. Серебряные Пруды (в т.ч. ПИР) </v>
      </c>
      <c r="E342" s="111" t="str">
        <f ca="1">IFERROR(__xludf.DUMMYFUNCTION("""COMPUTED_VALUE"""),"2020-2021")</f>
        <v>2020-2021</v>
      </c>
      <c r="F342" s="113">
        <f ca="1">IFERROR(__xludf.DUMMYFUNCTION("""COMPUTED_VALUE"""),4019.45)</f>
        <v>4019.45</v>
      </c>
      <c r="G342" s="113">
        <f ca="1">IFERROR(__xludf.DUMMYFUNCTION("""COMPUTED_VALUE"""),0)</f>
        <v>0</v>
      </c>
      <c r="H342" s="113">
        <f ca="1">IFERROR(__xludf.DUMMYFUNCTION("""COMPUTED_VALUE"""),0)</f>
        <v>0</v>
      </c>
      <c r="I342" s="113">
        <f ca="1">IFERROR(__xludf.DUMMYFUNCTION("""COMPUTED_VALUE"""),4019.45)</f>
        <v>4019.45</v>
      </c>
      <c r="J342" s="111">
        <f ca="1">IFERROR(__xludf.DUMMYFUNCTION("""COMPUTED_VALUE"""),0)</f>
        <v>0</v>
      </c>
      <c r="K342" s="113">
        <f ca="1">IFERROR(__xludf.DUMMYFUNCTION("""COMPUTED_VALUE"""),4019.45)</f>
        <v>4019.45</v>
      </c>
      <c r="L342" s="114">
        <f ca="1">IFERROR(__xludf.DUMMYFUNCTION("""COMPUTED_VALUE"""),0)</f>
        <v>0</v>
      </c>
      <c r="M342" s="111"/>
      <c r="N342" s="110" t="s">
        <v>568</v>
      </c>
      <c r="O342" s="111"/>
      <c r="P342" s="111"/>
      <c r="Q342" s="112"/>
      <c r="R342" s="103"/>
      <c r="S342" s="103"/>
      <c r="T342" s="103"/>
      <c r="U342" s="103"/>
      <c r="V342" s="103"/>
      <c r="W342" s="103"/>
      <c r="X342" s="103"/>
      <c r="Y342" s="103"/>
      <c r="Z342" s="103"/>
      <c r="AA342" s="103"/>
    </row>
    <row r="343" spans="1:27" ht="38.25" x14ac:dyDescent="0.2">
      <c r="A343" s="110">
        <v>340</v>
      </c>
      <c r="B343" s="110" t="s">
        <v>54</v>
      </c>
      <c r="C343" s="111" t="str">
        <f ca="1">IFERROR(__xludf.DUMMYFUNCTION("""COMPUTED_VALUE"""),"г.о. Солнечногорск")</f>
        <v>г.о. Солнечногорск</v>
      </c>
      <c r="D343" s="111" t="str">
        <f ca="1">IFERROR(__xludf.DUMMYFUNCTION("""COMPUTED_VALUE"""),"Капитальный ремонт  здания котельной, д. Новая Солнечногорский м.р. ")</f>
        <v xml:space="preserve">Капитальный ремонт  здания котельной, д. Новая Солнечногорский м.р. </v>
      </c>
      <c r="E343" s="111">
        <f ca="1">IFERROR(__xludf.DUMMYFUNCTION("""COMPUTED_VALUE"""),2020)</f>
        <v>2020</v>
      </c>
      <c r="F343" s="113">
        <f ca="1">IFERROR(__xludf.DUMMYFUNCTION("""COMPUTED_VALUE"""),7226)</f>
        <v>7226</v>
      </c>
      <c r="G343" s="113">
        <f ca="1">IFERROR(__xludf.DUMMYFUNCTION("""COMPUTED_VALUE"""),7226)</f>
        <v>7226</v>
      </c>
      <c r="H343" s="113">
        <f ca="1">IFERROR(__xludf.DUMMYFUNCTION("""COMPUTED_VALUE"""),0)</f>
        <v>0</v>
      </c>
      <c r="I343" s="113">
        <f ca="1">IFERROR(__xludf.DUMMYFUNCTION("""COMPUTED_VALUE"""),0)</f>
        <v>0</v>
      </c>
      <c r="J343" s="111">
        <f ca="1">IFERROR(__xludf.DUMMYFUNCTION("""COMPUTED_VALUE"""),1405.9)</f>
        <v>1405.9</v>
      </c>
      <c r="K343" s="113">
        <f ca="1">IFERROR(__xludf.DUMMYFUNCTION("""COMPUTED_VALUE"""),5820.1)</f>
        <v>5820.1</v>
      </c>
      <c r="L343" s="114">
        <f ca="1">IFERROR(__xludf.DUMMYFUNCTION("""COMPUTED_VALUE"""),0.194561306393578)</f>
        <v>0.19456130639357799</v>
      </c>
      <c r="M343" s="111" t="str">
        <f ca="1">IFERROR(__xludf.DUMMYFUNCTION("""COMPUTED_VALUE"""),"Подача заявки будет до 11.12.2020")</f>
        <v>Подача заявки будет до 11.12.2020</v>
      </c>
      <c r="N343" s="110" t="s">
        <v>568</v>
      </c>
      <c r="O343" s="111"/>
      <c r="P343" s="111"/>
      <c r="Q343" s="112"/>
      <c r="R343" s="103"/>
      <c r="S343" s="103"/>
      <c r="T343" s="103"/>
      <c r="U343" s="103"/>
      <c r="V343" s="103"/>
      <c r="W343" s="103"/>
      <c r="X343" s="103"/>
      <c r="Y343" s="103"/>
      <c r="Z343" s="103"/>
      <c r="AA343" s="103"/>
    </row>
    <row r="344" spans="1:27" ht="38.25" x14ac:dyDescent="0.2">
      <c r="A344" s="110">
        <v>341</v>
      </c>
      <c r="B344" s="110" t="s">
        <v>54</v>
      </c>
      <c r="C344" s="111" t="str">
        <f ca="1">IFERROR(__xludf.DUMMYFUNCTION("""COMPUTED_VALUE"""),"г.о. Солнечногорск")</f>
        <v>г.о. Солнечногорск</v>
      </c>
      <c r="D344" s="111" t="str">
        <f ca="1">IFERROR(__xludf.DUMMYFUNCTION("""COMPUTED_VALUE"""),"Капитальный ремонт  тепловых сетей,  д. Новая, Солнечногорский м.р.")</f>
        <v>Капитальный ремонт  тепловых сетей,  д. Новая, Солнечногорский м.р.</v>
      </c>
      <c r="E344" s="111">
        <f ca="1">IFERROR(__xludf.DUMMYFUNCTION("""COMPUTED_VALUE"""),2020)</f>
        <v>2020</v>
      </c>
      <c r="F344" s="113">
        <f ca="1">IFERROR(__xludf.DUMMYFUNCTION("""COMPUTED_VALUE"""),19816)</f>
        <v>19816</v>
      </c>
      <c r="G344" s="113">
        <f ca="1">IFERROR(__xludf.DUMMYFUNCTION("""COMPUTED_VALUE"""),19816)</f>
        <v>19816</v>
      </c>
      <c r="H344" s="113">
        <f ca="1">IFERROR(__xludf.DUMMYFUNCTION("""COMPUTED_VALUE"""),0)</f>
        <v>0</v>
      </c>
      <c r="I344" s="113">
        <f ca="1">IFERROR(__xludf.DUMMYFUNCTION("""COMPUTED_VALUE"""),0)</f>
        <v>0</v>
      </c>
      <c r="J344" s="111">
        <f ca="1">IFERROR(__xludf.DUMMYFUNCTION("""COMPUTED_VALUE"""),19816)</f>
        <v>19816</v>
      </c>
      <c r="K344" s="113">
        <f ca="1">IFERROR(__xludf.DUMMYFUNCTION("""COMPUTED_VALUE"""),0)</f>
        <v>0</v>
      </c>
      <c r="L344" s="114">
        <f ca="1">IFERROR(__xludf.DUMMYFUNCTION("""COMPUTED_VALUE"""),1)</f>
        <v>1</v>
      </c>
      <c r="M344" s="111" t="str">
        <f ca="1">IFERROR(__xludf.DUMMYFUNCTION("""COMPUTED_VALUE"""),"Оплачено полностью")</f>
        <v>Оплачено полностью</v>
      </c>
      <c r="N344" s="110" t="s">
        <v>568</v>
      </c>
      <c r="O344" s="111"/>
      <c r="P344" s="111"/>
      <c r="Q344" s="112"/>
      <c r="R344" s="103"/>
      <c r="S344" s="103"/>
      <c r="T344" s="103"/>
      <c r="U344" s="103"/>
      <c r="V344" s="103"/>
      <c r="W344" s="103"/>
      <c r="X344" s="103"/>
      <c r="Y344" s="103"/>
      <c r="Z344" s="103"/>
      <c r="AA344" s="103"/>
    </row>
    <row r="345" spans="1:27" ht="51" x14ac:dyDescent="0.2">
      <c r="A345" s="110">
        <v>342</v>
      </c>
      <c r="B345" s="110" t="s">
        <v>67</v>
      </c>
      <c r="C345" s="111" t="str">
        <f ca="1">IFERROR(__xludf.DUMMYFUNCTION("""COMPUTED_VALUE"""),"г.о. Наро-Фоминск")</f>
        <v>г.о. Наро-Фоминск</v>
      </c>
      <c r="D345" s="111" t="str">
        <f ca="1">IFERROR(__xludf.DUMMYFUNCTION("""COMPUTED_VALUE"""),"Строительство котельной по адресу г. Наро-Фоминск, ул. Маршала Куркоткина, Наро-Фоминский г.о")</f>
        <v>Строительство котельной по адресу г. Наро-Фоминск, ул. Маршала Куркоткина, Наро-Фоминский г.о</v>
      </c>
      <c r="E345" s="111" t="str">
        <f ca="1">IFERROR(__xludf.DUMMYFUNCTION("""COMPUTED_VALUE"""),"2021-2022")</f>
        <v>2021-2022</v>
      </c>
      <c r="F345" s="113">
        <f ca="1">IFERROR(__xludf.DUMMYFUNCTION("""COMPUTED_VALUE"""),0)</f>
        <v>0</v>
      </c>
      <c r="G345" s="113">
        <f ca="1">IFERROR(__xludf.DUMMYFUNCTION("""COMPUTED_VALUE"""),0)</f>
        <v>0</v>
      </c>
      <c r="H345" s="113">
        <f ca="1">IFERROR(__xludf.DUMMYFUNCTION("""COMPUTED_VALUE"""),0)</f>
        <v>0</v>
      </c>
      <c r="I345" s="113">
        <f ca="1">IFERROR(__xludf.DUMMYFUNCTION("""COMPUTED_VALUE"""),0)</f>
        <v>0</v>
      </c>
      <c r="J345" s="111">
        <f ca="1">IFERROR(__xludf.DUMMYFUNCTION("""COMPUTED_VALUE"""),0)</f>
        <v>0</v>
      </c>
      <c r="K345" s="113">
        <f ca="1">IFERROR(__xludf.DUMMYFUNCTION("""COMPUTED_VALUE"""),0)</f>
        <v>0</v>
      </c>
      <c r="L345" s="114" t="str">
        <f ca="1">IFERROR(__xludf.DUMMYFUNCTION("""COMPUTED_VALUE"""),"#DIV/0!")</f>
        <v>#DIV/0!</v>
      </c>
      <c r="M345" s="111"/>
      <c r="N345" s="111"/>
      <c r="O345" s="111"/>
      <c r="P345" s="111"/>
      <c r="Q345" s="112"/>
      <c r="R345" s="103"/>
      <c r="S345" s="103"/>
      <c r="T345" s="103"/>
      <c r="U345" s="103"/>
      <c r="V345" s="103"/>
      <c r="W345" s="103"/>
      <c r="X345" s="103"/>
      <c r="Y345" s="103"/>
      <c r="Z345" s="103"/>
      <c r="AA345" s="103"/>
    </row>
    <row r="346" spans="1:27" ht="38.25" x14ac:dyDescent="0.2">
      <c r="A346" s="110">
        <v>343</v>
      </c>
      <c r="B346" s="110" t="s">
        <v>67</v>
      </c>
      <c r="C346" s="111" t="str">
        <f ca="1">IFERROR(__xludf.DUMMYFUNCTION("""COMPUTED_VALUE"""),"г.о. Наро-Фоминск")</f>
        <v>г.о. Наро-Фоминск</v>
      </c>
      <c r="D346" s="111" t="str">
        <f ca="1">IFERROR(__xludf.DUMMYFUNCTION("""COMPUTED_VALUE"""),"Реконструкция котельной № 74, д. Назарьево, Наро-Фоминский г.о. (в т.ч. ТП)")</f>
        <v>Реконструкция котельной № 74, д. Назарьево, Наро-Фоминский г.о. (в т.ч. ТП)</v>
      </c>
      <c r="E346" s="111">
        <f ca="1">IFERROR(__xludf.DUMMYFUNCTION("""COMPUTED_VALUE"""),2021)</f>
        <v>2021</v>
      </c>
      <c r="F346" s="113">
        <f ca="1">IFERROR(__xludf.DUMMYFUNCTION("""COMPUTED_VALUE"""),0)</f>
        <v>0</v>
      </c>
      <c r="G346" s="113">
        <f ca="1">IFERROR(__xludf.DUMMYFUNCTION("""COMPUTED_VALUE"""),0)</f>
        <v>0</v>
      </c>
      <c r="H346" s="113">
        <f ca="1">IFERROR(__xludf.DUMMYFUNCTION("""COMPUTED_VALUE"""),0)</f>
        <v>0</v>
      </c>
      <c r="I346" s="113">
        <f ca="1">IFERROR(__xludf.DUMMYFUNCTION("""COMPUTED_VALUE"""),0)</f>
        <v>0</v>
      </c>
      <c r="J346" s="111">
        <f ca="1">IFERROR(__xludf.DUMMYFUNCTION("""COMPUTED_VALUE"""),0)</f>
        <v>0</v>
      </c>
      <c r="K346" s="113">
        <f ca="1">IFERROR(__xludf.DUMMYFUNCTION("""COMPUTED_VALUE"""),0)</f>
        <v>0</v>
      </c>
      <c r="L346" s="114" t="str">
        <f ca="1">IFERROR(__xludf.DUMMYFUNCTION("""COMPUTED_VALUE"""),"#DIV/0!")</f>
        <v>#DIV/0!</v>
      </c>
      <c r="M346" s="111"/>
      <c r="N346" s="111"/>
      <c r="O346" s="111"/>
      <c r="P346" s="111"/>
      <c r="Q346" s="112"/>
      <c r="R346" s="103"/>
      <c r="S346" s="103"/>
      <c r="T346" s="103"/>
      <c r="U346" s="103"/>
      <c r="V346" s="103"/>
      <c r="W346" s="103"/>
      <c r="X346" s="103"/>
      <c r="Y346" s="103"/>
      <c r="Z346" s="103"/>
      <c r="AA346" s="103"/>
    </row>
    <row r="347" spans="1:27" ht="38.25" x14ac:dyDescent="0.2">
      <c r="A347" s="110">
        <v>344</v>
      </c>
      <c r="B347" s="110" t="s">
        <v>67</v>
      </c>
      <c r="C347" s="111" t="str">
        <f ca="1">IFERROR(__xludf.DUMMYFUNCTION("""COMPUTED_VALUE"""),"г.о. Наро-Фоминск")</f>
        <v>г.о. Наро-Фоминск</v>
      </c>
      <c r="D347" s="111" t="str">
        <f ca="1">IFERROR(__xludf.DUMMYFUNCTION("""COMPUTED_VALUE"""),"Реконструкция котельной № 79, г. Верея, ул. Боровская, Наро-Фоминский г.о. (в т.ч. ТП)")</f>
        <v>Реконструкция котельной № 79, г. Верея, ул. Боровская, Наро-Фоминский г.о. (в т.ч. ТП)</v>
      </c>
      <c r="E347" s="111">
        <f ca="1">IFERROR(__xludf.DUMMYFUNCTION("""COMPUTED_VALUE"""),2021)</f>
        <v>2021</v>
      </c>
      <c r="F347" s="113">
        <f ca="1">IFERROR(__xludf.DUMMYFUNCTION("""COMPUTED_VALUE"""),0)</f>
        <v>0</v>
      </c>
      <c r="G347" s="113">
        <f ca="1">IFERROR(__xludf.DUMMYFUNCTION("""COMPUTED_VALUE"""),0)</f>
        <v>0</v>
      </c>
      <c r="H347" s="113">
        <f ca="1">IFERROR(__xludf.DUMMYFUNCTION("""COMPUTED_VALUE"""),0)</f>
        <v>0</v>
      </c>
      <c r="I347" s="113">
        <f ca="1">IFERROR(__xludf.DUMMYFUNCTION("""COMPUTED_VALUE"""),0)</f>
        <v>0</v>
      </c>
      <c r="J347" s="111">
        <f ca="1">IFERROR(__xludf.DUMMYFUNCTION("""COMPUTED_VALUE"""),0)</f>
        <v>0</v>
      </c>
      <c r="K347" s="113">
        <f ca="1">IFERROR(__xludf.DUMMYFUNCTION("""COMPUTED_VALUE"""),0)</f>
        <v>0</v>
      </c>
      <c r="L347" s="114" t="str">
        <f ca="1">IFERROR(__xludf.DUMMYFUNCTION("""COMPUTED_VALUE"""),"#DIV/0!")</f>
        <v>#DIV/0!</v>
      </c>
      <c r="M347" s="111"/>
      <c r="N347" s="111"/>
      <c r="O347" s="111"/>
      <c r="P347" s="111"/>
      <c r="Q347" s="112"/>
      <c r="R347" s="103"/>
      <c r="S347" s="103"/>
      <c r="T347" s="103"/>
      <c r="U347" s="103"/>
      <c r="V347" s="103"/>
      <c r="W347" s="103"/>
      <c r="X347" s="103"/>
      <c r="Y347" s="103"/>
      <c r="Z347" s="103"/>
      <c r="AA347" s="103"/>
    </row>
    <row r="348" spans="1:27" ht="51" x14ac:dyDescent="0.2">
      <c r="A348" s="110">
        <v>345</v>
      </c>
      <c r="B348" s="110" t="s">
        <v>67</v>
      </c>
      <c r="C348" s="111" t="str">
        <f ca="1">IFERROR(__xludf.DUMMYFUNCTION("""COMPUTED_VALUE"""),"г.о. Шаховская")</f>
        <v>г.о. Шаховская</v>
      </c>
      <c r="D348" s="111" t="str">
        <f ca="1">IFERROR(__xludf.DUMMYFUNCTION("""COMPUTED_VALUE"""),"Реконструкция котельной №7 по адресу р.п.Шаховская, ул.Солнечная д.8, г.о. Шаховская (в т.ч. ПИР, ТП)")</f>
        <v>Реконструкция котельной №7 по адресу р.п.Шаховская, ул.Солнечная д.8, г.о. Шаховская (в т.ч. ПИР, ТП)</v>
      </c>
      <c r="E348" s="111" t="str">
        <f ca="1">IFERROR(__xludf.DUMMYFUNCTION("""COMPUTED_VALUE"""),"2021-2022")</f>
        <v>2021-2022</v>
      </c>
      <c r="F348" s="113">
        <f ca="1">IFERROR(__xludf.DUMMYFUNCTION("""COMPUTED_VALUE"""),0)</f>
        <v>0</v>
      </c>
      <c r="G348" s="113">
        <f ca="1">IFERROR(__xludf.DUMMYFUNCTION("""COMPUTED_VALUE"""),0)</f>
        <v>0</v>
      </c>
      <c r="H348" s="113">
        <f ca="1">IFERROR(__xludf.DUMMYFUNCTION("""COMPUTED_VALUE"""),0)</f>
        <v>0</v>
      </c>
      <c r="I348" s="113">
        <f ca="1">IFERROR(__xludf.DUMMYFUNCTION("""COMPUTED_VALUE"""),0)</f>
        <v>0</v>
      </c>
      <c r="J348" s="111">
        <f ca="1">IFERROR(__xludf.DUMMYFUNCTION("""COMPUTED_VALUE"""),0)</f>
        <v>0</v>
      </c>
      <c r="K348" s="113">
        <f ca="1">IFERROR(__xludf.DUMMYFUNCTION("""COMPUTED_VALUE"""),0)</f>
        <v>0</v>
      </c>
      <c r="L348" s="114" t="str">
        <f ca="1">IFERROR(__xludf.DUMMYFUNCTION("""COMPUTED_VALUE"""),"#DIV/0!")</f>
        <v>#DIV/0!</v>
      </c>
      <c r="M348" s="111"/>
      <c r="N348" s="111"/>
      <c r="O348" s="111"/>
      <c r="P348" s="111"/>
      <c r="Q348" s="112"/>
      <c r="R348" s="103"/>
      <c r="S348" s="103"/>
      <c r="T348" s="103"/>
      <c r="U348" s="103"/>
      <c r="V348" s="103"/>
      <c r="W348" s="103"/>
      <c r="X348" s="103"/>
      <c r="Y348" s="103"/>
      <c r="Z348" s="103"/>
      <c r="AA348" s="103"/>
    </row>
    <row r="349" spans="1:27" ht="51" x14ac:dyDescent="0.2">
      <c r="A349" s="110">
        <v>346</v>
      </c>
      <c r="B349" s="110" t="s">
        <v>67</v>
      </c>
      <c r="C349" s="111" t="str">
        <f ca="1">IFERROR(__xludf.DUMMYFUNCTION("""COMPUTED_VALUE"""),"г.о. Талдомский")</f>
        <v>г.о. Талдомский</v>
      </c>
      <c r="D349" s="111" t="str">
        <f ca="1">IFERROR(__xludf.DUMMYFUNCTION("""COMPUTED_VALUE"""),"Реконструкция котельной ""Григорово"", д. Григорово,  и тепловых сетей, г.о. Талдомский (в т.ч. ПИР, ТП) ")</f>
        <v xml:space="preserve">Реконструкция котельной "Григорово", д. Григорово,  и тепловых сетей, г.о. Талдомский (в т.ч. ПИР, ТП) </v>
      </c>
      <c r="E349" s="111" t="str">
        <f ca="1">IFERROR(__xludf.DUMMYFUNCTION("""COMPUTED_VALUE"""),"2023-2024")</f>
        <v>2023-2024</v>
      </c>
      <c r="F349" s="113">
        <f ca="1">IFERROR(__xludf.DUMMYFUNCTION("""COMPUTED_VALUE"""),0)</f>
        <v>0</v>
      </c>
      <c r="G349" s="113">
        <f ca="1">IFERROR(__xludf.DUMMYFUNCTION("""COMPUTED_VALUE"""),0)</f>
        <v>0</v>
      </c>
      <c r="H349" s="113">
        <f ca="1">IFERROR(__xludf.DUMMYFUNCTION("""COMPUTED_VALUE"""),0)</f>
        <v>0</v>
      </c>
      <c r="I349" s="113">
        <f ca="1">IFERROR(__xludf.DUMMYFUNCTION("""COMPUTED_VALUE"""),0)</f>
        <v>0</v>
      </c>
      <c r="J349" s="111">
        <f ca="1">IFERROR(__xludf.DUMMYFUNCTION("""COMPUTED_VALUE"""),0)</f>
        <v>0</v>
      </c>
      <c r="K349" s="113">
        <f ca="1">IFERROR(__xludf.DUMMYFUNCTION("""COMPUTED_VALUE"""),0)</f>
        <v>0</v>
      </c>
      <c r="L349" s="114" t="str">
        <f ca="1">IFERROR(__xludf.DUMMYFUNCTION("""COMPUTED_VALUE"""),"#DIV/0!")</f>
        <v>#DIV/0!</v>
      </c>
      <c r="M349" s="111"/>
      <c r="N349" s="111"/>
      <c r="O349" s="111"/>
      <c r="P349" s="111"/>
      <c r="Q349" s="112"/>
      <c r="R349" s="103"/>
      <c r="S349" s="103"/>
      <c r="T349" s="103"/>
      <c r="U349" s="103"/>
      <c r="V349" s="103"/>
      <c r="W349" s="103"/>
      <c r="X349" s="103"/>
      <c r="Y349" s="103"/>
      <c r="Z349" s="103"/>
      <c r="AA349" s="103"/>
    </row>
    <row r="350" spans="1:27" ht="51" x14ac:dyDescent="0.2">
      <c r="A350" s="110">
        <v>347</v>
      </c>
      <c r="B350" s="110" t="s">
        <v>67</v>
      </c>
      <c r="C350" s="111" t="str">
        <f ca="1">IFERROR(__xludf.DUMMYFUNCTION("""COMPUTED_VALUE"""),"г.о. Талдомский")</f>
        <v>г.о. Талдомский</v>
      </c>
      <c r="D350" s="111" t="str">
        <f ca="1">IFERROR(__xludf.DUMMYFUNCTION("""COMPUTED_VALUE"""),"Реконструкция котельной ""Пановка"", д. Пановка, д.47, и тепловых сетей, г.о. Талдомский (в т.ч. ПИР, ТП) ")</f>
        <v xml:space="preserve">Реконструкция котельной "Пановка", д. Пановка, д.47, и тепловых сетей, г.о. Талдомский (в т.ч. ПИР, ТП) </v>
      </c>
      <c r="E350" s="111" t="str">
        <f ca="1">IFERROR(__xludf.DUMMYFUNCTION("""COMPUTED_VALUE"""),"2023-2024")</f>
        <v>2023-2024</v>
      </c>
      <c r="F350" s="113">
        <f ca="1">IFERROR(__xludf.DUMMYFUNCTION("""COMPUTED_VALUE"""),0)</f>
        <v>0</v>
      </c>
      <c r="G350" s="113">
        <f ca="1">IFERROR(__xludf.DUMMYFUNCTION("""COMPUTED_VALUE"""),0)</f>
        <v>0</v>
      </c>
      <c r="H350" s="113">
        <f ca="1">IFERROR(__xludf.DUMMYFUNCTION("""COMPUTED_VALUE"""),0)</f>
        <v>0</v>
      </c>
      <c r="I350" s="113">
        <f ca="1">IFERROR(__xludf.DUMMYFUNCTION("""COMPUTED_VALUE"""),0)</f>
        <v>0</v>
      </c>
      <c r="J350" s="111">
        <f ca="1">IFERROR(__xludf.DUMMYFUNCTION("""COMPUTED_VALUE"""),0)</f>
        <v>0</v>
      </c>
      <c r="K350" s="113">
        <f ca="1">IFERROR(__xludf.DUMMYFUNCTION("""COMPUTED_VALUE"""),0)</f>
        <v>0</v>
      </c>
      <c r="L350" s="114" t="str">
        <f ca="1">IFERROR(__xludf.DUMMYFUNCTION("""COMPUTED_VALUE"""),"#DIV/0!")</f>
        <v>#DIV/0!</v>
      </c>
      <c r="M350" s="111"/>
      <c r="N350" s="111"/>
      <c r="O350" s="111"/>
      <c r="P350" s="111"/>
      <c r="Q350" s="112"/>
      <c r="R350" s="103"/>
      <c r="S350" s="103"/>
      <c r="T350" s="103"/>
      <c r="U350" s="103"/>
      <c r="V350" s="103"/>
      <c r="W350" s="103"/>
      <c r="X350" s="103"/>
      <c r="Y350" s="103"/>
      <c r="Z350" s="103"/>
      <c r="AA350" s="103"/>
    </row>
    <row r="351" spans="1:27" ht="51" x14ac:dyDescent="0.2">
      <c r="A351" s="110">
        <v>348</v>
      </c>
      <c r="B351" s="110" t="s">
        <v>67</v>
      </c>
      <c r="C351" s="111" t="str">
        <f ca="1">IFERROR(__xludf.DUMMYFUNCTION("""COMPUTED_VALUE"""),"г.о. Волоколамский")</f>
        <v>г.о. Волоколамский</v>
      </c>
      <c r="D351" s="111" t="str">
        <f ca="1">IFERROR(__xludf.DUMMYFUNCTION("""COMPUTED_VALUE"""),"Строительство котельной №37, п. Сычево, Школьный пр., д.4, г.о. Волоколамский (в т.ч. ПИР, ТП)")</f>
        <v>Строительство котельной №37, п. Сычево, Школьный пр., д.4, г.о. Волоколамский (в т.ч. ПИР, ТП)</v>
      </c>
      <c r="E351" s="111" t="str">
        <f ca="1">IFERROR(__xludf.DUMMYFUNCTION("""COMPUTED_VALUE"""),"2022-2023")</f>
        <v>2022-2023</v>
      </c>
      <c r="F351" s="113">
        <f ca="1">IFERROR(__xludf.DUMMYFUNCTION("""COMPUTED_VALUE"""),0)</f>
        <v>0</v>
      </c>
      <c r="G351" s="113">
        <f ca="1">IFERROR(__xludf.DUMMYFUNCTION("""COMPUTED_VALUE"""),0)</f>
        <v>0</v>
      </c>
      <c r="H351" s="113">
        <f ca="1">IFERROR(__xludf.DUMMYFUNCTION("""COMPUTED_VALUE"""),0)</f>
        <v>0</v>
      </c>
      <c r="I351" s="113">
        <f ca="1">IFERROR(__xludf.DUMMYFUNCTION("""COMPUTED_VALUE"""),0)</f>
        <v>0</v>
      </c>
      <c r="J351" s="111">
        <f ca="1">IFERROR(__xludf.DUMMYFUNCTION("""COMPUTED_VALUE"""),0)</f>
        <v>0</v>
      </c>
      <c r="K351" s="113">
        <f ca="1">IFERROR(__xludf.DUMMYFUNCTION("""COMPUTED_VALUE"""),0)</f>
        <v>0</v>
      </c>
      <c r="L351" s="114" t="str">
        <f ca="1">IFERROR(__xludf.DUMMYFUNCTION("""COMPUTED_VALUE"""),"#DIV/0!")</f>
        <v>#DIV/0!</v>
      </c>
      <c r="M351" s="111"/>
      <c r="N351" s="111"/>
      <c r="O351" s="111"/>
      <c r="P351" s="111"/>
      <c r="Q351" s="112"/>
      <c r="R351" s="103"/>
      <c r="S351" s="103"/>
      <c r="T351" s="103"/>
      <c r="U351" s="103"/>
      <c r="V351" s="103"/>
      <c r="W351" s="103"/>
      <c r="X351" s="103"/>
      <c r="Y351" s="103"/>
      <c r="Z351" s="103"/>
      <c r="AA351" s="103"/>
    </row>
    <row r="352" spans="1:27" ht="63.75" x14ac:dyDescent="0.2">
      <c r="A352" s="110">
        <v>349</v>
      </c>
      <c r="B352" s="110" t="s">
        <v>67</v>
      </c>
      <c r="C352" s="111" t="str">
        <f ca="1">IFERROR(__xludf.DUMMYFUNCTION("""COMPUTED_VALUE"""),"г.о. Лотошино")</f>
        <v>г.о. Лотошино</v>
      </c>
      <c r="D352" s="111" t="str">
        <f ca="1">IFERROR(__xludf.DUMMYFUNCTION("""COMPUTED_VALUE"""),"Реконструкция котельной №4 по адресу п. Лотошино, ул. Спортивная, д. 9 и тепловых сетей, г.о. Лотошино (в т.ч. ПИР)")</f>
        <v>Реконструкция котельной №4 по адресу п. Лотошино, ул. Спортивная, д. 9 и тепловых сетей, г.о. Лотошино (в т.ч. ПИР)</v>
      </c>
      <c r="E352" s="111" t="str">
        <f ca="1">IFERROR(__xludf.DUMMYFUNCTION("""COMPUTED_VALUE"""),"2022-2023")</f>
        <v>2022-2023</v>
      </c>
      <c r="F352" s="113">
        <f ca="1">IFERROR(__xludf.DUMMYFUNCTION("""COMPUTED_VALUE"""),0)</f>
        <v>0</v>
      </c>
      <c r="G352" s="113">
        <f ca="1">IFERROR(__xludf.DUMMYFUNCTION("""COMPUTED_VALUE"""),0)</f>
        <v>0</v>
      </c>
      <c r="H352" s="113">
        <f ca="1">IFERROR(__xludf.DUMMYFUNCTION("""COMPUTED_VALUE"""),0)</f>
        <v>0</v>
      </c>
      <c r="I352" s="113">
        <f ca="1">IFERROR(__xludf.DUMMYFUNCTION("""COMPUTED_VALUE"""),0)</f>
        <v>0</v>
      </c>
      <c r="J352" s="111">
        <f ca="1">IFERROR(__xludf.DUMMYFUNCTION("""COMPUTED_VALUE"""),0)</f>
        <v>0</v>
      </c>
      <c r="K352" s="113">
        <f ca="1">IFERROR(__xludf.DUMMYFUNCTION("""COMPUTED_VALUE"""),0)</f>
        <v>0</v>
      </c>
      <c r="L352" s="114" t="str">
        <f ca="1">IFERROR(__xludf.DUMMYFUNCTION("""COMPUTED_VALUE"""),"#DIV/0!")</f>
        <v>#DIV/0!</v>
      </c>
      <c r="M352" s="111"/>
      <c r="N352" s="111"/>
      <c r="O352" s="111"/>
      <c r="P352" s="111"/>
      <c r="Q352" s="112"/>
      <c r="R352" s="103"/>
      <c r="S352" s="103"/>
      <c r="T352" s="103"/>
      <c r="U352" s="103"/>
      <c r="V352" s="103"/>
      <c r="W352" s="103"/>
      <c r="X352" s="103"/>
      <c r="Y352" s="103"/>
      <c r="Z352" s="103"/>
      <c r="AA352" s="103"/>
    </row>
    <row r="353" spans="1:27" ht="63.75" x14ac:dyDescent="0.2">
      <c r="A353" s="110">
        <v>350</v>
      </c>
      <c r="B353" s="110" t="s">
        <v>67</v>
      </c>
      <c r="C353" s="111" t="str">
        <f ca="1">IFERROR(__xludf.DUMMYFUNCTION("""COMPUTED_VALUE"""),"г.о. Лотошино")</f>
        <v>г.о. Лотошино</v>
      </c>
      <c r="D353" s="111" t="str">
        <f ca="1">IFERROR(__xludf.DUMMYFUNCTION("""COMPUTED_VALUE"""),"Реконструкция котельной №5 по адресу с. Микулино, ул. Школьная д.18 и тепловых сетей, г.о. Лотошино (в т.ч. ПИР)")</f>
        <v>Реконструкция котельной №5 по адресу с. Микулино, ул. Школьная д.18 и тепловых сетей, г.о. Лотошино (в т.ч. ПИР)</v>
      </c>
      <c r="E353" s="111" t="str">
        <f ca="1">IFERROR(__xludf.DUMMYFUNCTION("""COMPUTED_VALUE"""),"2022-2023")</f>
        <v>2022-2023</v>
      </c>
      <c r="F353" s="113">
        <f ca="1">IFERROR(__xludf.DUMMYFUNCTION("""COMPUTED_VALUE"""),0)</f>
        <v>0</v>
      </c>
      <c r="G353" s="113">
        <f ca="1">IFERROR(__xludf.DUMMYFUNCTION("""COMPUTED_VALUE"""),0)</f>
        <v>0</v>
      </c>
      <c r="H353" s="113">
        <f ca="1">IFERROR(__xludf.DUMMYFUNCTION("""COMPUTED_VALUE"""),0)</f>
        <v>0</v>
      </c>
      <c r="I353" s="113">
        <f ca="1">IFERROR(__xludf.DUMMYFUNCTION("""COMPUTED_VALUE"""),0)</f>
        <v>0</v>
      </c>
      <c r="J353" s="111">
        <f ca="1">IFERROR(__xludf.DUMMYFUNCTION("""COMPUTED_VALUE"""),0)</f>
        <v>0</v>
      </c>
      <c r="K353" s="113">
        <f ca="1">IFERROR(__xludf.DUMMYFUNCTION("""COMPUTED_VALUE"""),0)</f>
        <v>0</v>
      </c>
      <c r="L353" s="114" t="str">
        <f ca="1">IFERROR(__xludf.DUMMYFUNCTION("""COMPUTED_VALUE"""),"#DIV/0!")</f>
        <v>#DIV/0!</v>
      </c>
      <c r="M353" s="111"/>
      <c r="N353" s="111"/>
      <c r="O353" s="111"/>
      <c r="P353" s="111"/>
      <c r="Q353" s="112"/>
      <c r="R353" s="103"/>
      <c r="S353" s="103"/>
      <c r="T353" s="103"/>
      <c r="U353" s="103"/>
      <c r="V353" s="103"/>
      <c r="W353" s="103"/>
      <c r="X353" s="103"/>
      <c r="Y353" s="103"/>
      <c r="Z353" s="103"/>
      <c r="AA353" s="103"/>
    </row>
    <row r="354" spans="1:27" ht="63.75" x14ac:dyDescent="0.2">
      <c r="A354" s="110">
        <v>351</v>
      </c>
      <c r="B354" s="110" t="s">
        <v>67</v>
      </c>
      <c r="C354" s="111" t="str">
        <f ca="1">IFERROR(__xludf.DUMMYFUNCTION("""COMPUTED_VALUE"""),"г.о. Лотошино")</f>
        <v>г.о. Лотошино</v>
      </c>
      <c r="D354" s="111" t="str">
        <f ca="1">IFERROR(__xludf.DUMMYFUNCTION("""COMPUTED_VALUE"""),"Реконструкция котельной №6 по адресу п.Лотошино, ул 2-я Ветеринарная, д.23 и тепловых сетей, г.о. Лотошино (в т.ч. ПИР)")</f>
        <v>Реконструкция котельной №6 по адресу п.Лотошино, ул 2-я Ветеринарная, д.23 и тепловых сетей, г.о. Лотошино (в т.ч. ПИР)</v>
      </c>
      <c r="E354" s="111" t="str">
        <f ca="1">IFERROR(__xludf.DUMMYFUNCTION("""COMPUTED_VALUE"""),"2022-2023")</f>
        <v>2022-2023</v>
      </c>
      <c r="F354" s="113">
        <f ca="1">IFERROR(__xludf.DUMMYFUNCTION("""COMPUTED_VALUE"""),0)</f>
        <v>0</v>
      </c>
      <c r="G354" s="113">
        <f ca="1">IFERROR(__xludf.DUMMYFUNCTION("""COMPUTED_VALUE"""),0)</f>
        <v>0</v>
      </c>
      <c r="H354" s="113">
        <f ca="1">IFERROR(__xludf.DUMMYFUNCTION("""COMPUTED_VALUE"""),0)</f>
        <v>0</v>
      </c>
      <c r="I354" s="113">
        <f ca="1">IFERROR(__xludf.DUMMYFUNCTION("""COMPUTED_VALUE"""),0)</f>
        <v>0</v>
      </c>
      <c r="J354" s="111">
        <f ca="1">IFERROR(__xludf.DUMMYFUNCTION("""COMPUTED_VALUE"""),0)</f>
        <v>0</v>
      </c>
      <c r="K354" s="113">
        <f ca="1">IFERROR(__xludf.DUMMYFUNCTION("""COMPUTED_VALUE"""),0)</f>
        <v>0</v>
      </c>
      <c r="L354" s="114" t="str">
        <f ca="1">IFERROR(__xludf.DUMMYFUNCTION("""COMPUTED_VALUE"""),"#DIV/0!")</f>
        <v>#DIV/0!</v>
      </c>
      <c r="M354" s="111"/>
      <c r="N354" s="111"/>
      <c r="O354" s="111"/>
      <c r="P354" s="111"/>
      <c r="Q354" s="112"/>
      <c r="R354" s="103"/>
      <c r="S354" s="103"/>
      <c r="T354" s="103"/>
      <c r="U354" s="103"/>
      <c r="V354" s="103"/>
      <c r="W354" s="103"/>
      <c r="X354" s="103"/>
      <c r="Y354" s="103"/>
      <c r="Z354" s="103"/>
      <c r="AA354" s="103"/>
    </row>
    <row r="355" spans="1:27" ht="38.25" x14ac:dyDescent="0.2">
      <c r="A355" s="110">
        <v>352</v>
      </c>
      <c r="B355" s="110" t="s">
        <v>67</v>
      </c>
      <c r="C355" s="111" t="str">
        <f ca="1">IFERROR(__xludf.DUMMYFUNCTION("""COMPUTED_VALUE"""),"г.о. Шаховская")</f>
        <v>г.о. Шаховская</v>
      </c>
      <c r="D355" s="111" t="str">
        <f ca="1">IFERROR(__xludf.DUMMYFUNCTION("""COMPUTED_VALUE"""),"Реконструкция тепловых сетей котельной д. Степаньково, г.о. Шаховская (в т.ч. ПИР)")</f>
        <v>Реконструкция тепловых сетей котельной д. Степаньково, г.о. Шаховская (в т.ч. ПИР)</v>
      </c>
      <c r="E355" s="111" t="str">
        <f ca="1">IFERROR(__xludf.DUMMYFUNCTION("""COMPUTED_VALUE"""),"2022-2023")</f>
        <v>2022-2023</v>
      </c>
      <c r="F355" s="113">
        <f ca="1">IFERROR(__xludf.DUMMYFUNCTION("""COMPUTED_VALUE"""),0)</f>
        <v>0</v>
      </c>
      <c r="G355" s="113">
        <f ca="1">IFERROR(__xludf.DUMMYFUNCTION("""COMPUTED_VALUE"""),0)</f>
        <v>0</v>
      </c>
      <c r="H355" s="113">
        <f ca="1">IFERROR(__xludf.DUMMYFUNCTION("""COMPUTED_VALUE"""),0)</f>
        <v>0</v>
      </c>
      <c r="I355" s="113">
        <f ca="1">IFERROR(__xludf.DUMMYFUNCTION("""COMPUTED_VALUE"""),0)</f>
        <v>0</v>
      </c>
      <c r="J355" s="111">
        <f ca="1">IFERROR(__xludf.DUMMYFUNCTION("""COMPUTED_VALUE"""),0)</f>
        <v>0</v>
      </c>
      <c r="K355" s="113">
        <f ca="1">IFERROR(__xludf.DUMMYFUNCTION("""COMPUTED_VALUE"""),0)</f>
        <v>0</v>
      </c>
      <c r="L355" s="114" t="str">
        <f ca="1">IFERROR(__xludf.DUMMYFUNCTION("""COMPUTED_VALUE"""),"#DIV/0!")</f>
        <v>#DIV/0!</v>
      </c>
      <c r="M355" s="111"/>
      <c r="N355" s="111"/>
      <c r="O355" s="111"/>
      <c r="P355" s="111"/>
      <c r="Q355" s="112"/>
      <c r="R355" s="103"/>
      <c r="S355" s="103"/>
      <c r="T355" s="103"/>
      <c r="U355" s="103"/>
      <c r="V355" s="103"/>
      <c r="W355" s="103"/>
      <c r="X355" s="103"/>
      <c r="Y355" s="103"/>
      <c r="Z355" s="103"/>
      <c r="AA355" s="103"/>
    </row>
    <row r="356" spans="1:27" ht="38.25" x14ac:dyDescent="0.2">
      <c r="A356" s="110">
        <v>353</v>
      </c>
      <c r="B356" s="110" t="s">
        <v>67</v>
      </c>
      <c r="C356" s="111" t="str">
        <f ca="1">IFERROR(__xludf.DUMMYFUNCTION("""COMPUTED_VALUE"""),"г.о. Шаховская")</f>
        <v>г.о. Шаховская</v>
      </c>
      <c r="D356" s="111" t="str">
        <f ca="1">IFERROR(__xludf.DUMMYFUNCTION("""COMPUTED_VALUE"""),"Реконструкция тепловых сетей котельной с. Б-Колпь, д.63, г.о. Шаховская (в т.ч. ПИР)")</f>
        <v>Реконструкция тепловых сетей котельной с. Б-Колпь, д.63, г.о. Шаховская (в т.ч. ПИР)</v>
      </c>
      <c r="E356" s="111" t="str">
        <f ca="1">IFERROR(__xludf.DUMMYFUNCTION("""COMPUTED_VALUE"""),"2022-2023")</f>
        <v>2022-2023</v>
      </c>
      <c r="F356" s="113">
        <f ca="1">IFERROR(__xludf.DUMMYFUNCTION("""COMPUTED_VALUE"""),0)</f>
        <v>0</v>
      </c>
      <c r="G356" s="113">
        <f ca="1">IFERROR(__xludf.DUMMYFUNCTION("""COMPUTED_VALUE"""),0)</f>
        <v>0</v>
      </c>
      <c r="H356" s="113">
        <f ca="1">IFERROR(__xludf.DUMMYFUNCTION("""COMPUTED_VALUE"""),0)</f>
        <v>0</v>
      </c>
      <c r="I356" s="113">
        <f ca="1">IFERROR(__xludf.DUMMYFUNCTION("""COMPUTED_VALUE"""),0)</f>
        <v>0</v>
      </c>
      <c r="J356" s="111">
        <f ca="1">IFERROR(__xludf.DUMMYFUNCTION("""COMPUTED_VALUE"""),0)</f>
        <v>0</v>
      </c>
      <c r="K356" s="113">
        <f ca="1">IFERROR(__xludf.DUMMYFUNCTION("""COMPUTED_VALUE"""),0)</f>
        <v>0</v>
      </c>
      <c r="L356" s="114" t="str">
        <f ca="1">IFERROR(__xludf.DUMMYFUNCTION("""COMPUTED_VALUE"""),"#DIV/0!")</f>
        <v>#DIV/0!</v>
      </c>
      <c r="M356" s="111"/>
      <c r="N356" s="111"/>
      <c r="O356" s="111"/>
      <c r="P356" s="111"/>
      <c r="Q356" s="112"/>
      <c r="R356" s="103"/>
      <c r="S356" s="103"/>
      <c r="T356" s="103"/>
      <c r="U356" s="103"/>
      <c r="V356" s="103"/>
      <c r="W356" s="103"/>
      <c r="X356" s="103"/>
      <c r="Y356" s="103"/>
      <c r="Z356" s="103"/>
      <c r="AA356" s="103"/>
    </row>
    <row r="357" spans="1:27" ht="38.25" x14ac:dyDescent="0.2">
      <c r="A357" s="110">
        <v>354</v>
      </c>
      <c r="B357" s="110" t="s">
        <v>67</v>
      </c>
      <c r="C357" s="111" t="str">
        <f ca="1">IFERROR(__xludf.DUMMYFUNCTION("""COMPUTED_VALUE"""),"г.о. Шаховская")</f>
        <v>г.о. Шаховская</v>
      </c>
      <c r="D357" s="111" t="str">
        <f ca="1">IFERROR(__xludf.DUMMYFUNCTION("""COMPUTED_VALUE"""),"Реконструкция тепловых сетей котельной д. Муриково, г.о. Шаховская (в т.ч. ПИР)")</f>
        <v>Реконструкция тепловых сетей котельной д. Муриково, г.о. Шаховская (в т.ч. ПИР)</v>
      </c>
      <c r="E357" s="111" t="str">
        <f ca="1">IFERROR(__xludf.DUMMYFUNCTION("""COMPUTED_VALUE"""),"2022-2023")</f>
        <v>2022-2023</v>
      </c>
      <c r="F357" s="113">
        <f ca="1">IFERROR(__xludf.DUMMYFUNCTION("""COMPUTED_VALUE"""),0)</f>
        <v>0</v>
      </c>
      <c r="G357" s="113">
        <f ca="1">IFERROR(__xludf.DUMMYFUNCTION("""COMPUTED_VALUE"""),0)</f>
        <v>0</v>
      </c>
      <c r="H357" s="113">
        <f ca="1">IFERROR(__xludf.DUMMYFUNCTION("""COMPUTED_VALUE"""),0)</f>
        <v>0</v>
      </c>
      <c r="I357" s="113">
        <f ca="1">IFERROR(__xludf.DUMMYFUNCTION("""COMPUTED_VALUE"""),0)</f>
        <v>0</v>
      </c>
      <c r="J357" s="111">
        <f ca="1">IFERROR(__xludf.DUMMYFUNCTION("""COMPUTED_VALUE"""),0)</f>
        <v>0</v>
      </c>
      <c r="K357" s="113">
        <f ca="1">IFERROR(__xludf.DUMMYFUNCTION("""COMPUTED_VALUE"""),0)</f>
        <v>0</v>
      </c>
      <c r="L357" s="114" t="str">
        <f ca="1">IFERROR(__xludf.DUMMYFUNCTION("""COMPUTED_VALUE"""),"#DIV/0!")</f>
        <v>#DIV/0!</v>
      </c>
      <c r="M357" s="111"/>
      <c r="N357" s="111"/>
      <c r="O357" s="111"/>
      <c r="P357" s="111"/>
      <c r="Q357" s="112"/>
      <c r="R357" s="103"/>
      <c r="S357" s="103"/>
      <c r="T357" s="103"/>
      <c r="U357" s="103"/>
      <c r="V357" s="103"/>
      <c r="W357" s="103"/>
      <c r="X357" s="103"/>
      <c r="Y357" s="103"/>
      <c r="Z357" s="103"/>
      <c r="AA357" s="103"/>
    </row>
    <row r="358" spans="1:27" ht="38.25" x14ac:dyDescent="0.2">
      <c r="A358" s="110">
        <v>355</v>
      </c>
      <c r="B358" s="110" t="s">
        <v>67</v>
      </c>
      <c r="C358" s="111" t="str">
        <f ca="1">IFERROR(__xludf.DUMMYFUNCTION("""COMPUTED_VALUE"""),"г.о. Шаховская")</f>
        <v>г.о. Шаховская</v>
      </c>
      <c r="D358" s="111" t="str">
        <f ca="1">IFERROR(__xludf.DUMMYFUNCTION("""COMPUTED_VALUE"""),"Реконструкция тепловых сетей котельной с. Ивашково, г.о. Шаховская (в т.ч. ПИР)")</f>
        <v>Реконструкция тепловых сетей котельной с. Ивашково, г.о. Шаховская (в т.ч. ПИР)</v>
      </c>
      <c r="E358" s="111" t="str">
        <f ca="1">IFERROR(__xludf.DUMMYFUNCTION("""COMPUTED_VALUE"""),"2022-2023")</f>
        <v>2022-2023</v>
      </c>
      <c r="F358" s="113">
        <f ca="1">IFERROR(__xludf.DUMMYFUNCTION("""COMPUTED_VALUE"""),0)</f>
        <v>0</v>
      </c>
      <c r="G358" s="113">
        <f ca="1">IFERROR(__xludf.DUMMYFUNCTION("""COMPUTED_VALUE"""),0)</f>
        <v>0</v>
      </c>
      <c r="H358" s="113">
        <f ca="1">IFERROR(__xludf.DUMMYFUNCTION("""COMPUTED_VALUE"""),0)</f>
        <v>0</v>
      </c>
      <c r="I358" s="113">
        <f ca="1">IFERROR(__xludf.DUMMYFUNCTION("""COMPUTED_VALUE"""),0)</f>
        <v>0</v>
      </c>
      <c r="J358" s="111">
        <f ca="1">IFERROR(__xludf.DUMMYFUNCTION("""COMPUTED_VALUE"""),0)</f>
        <v>0</v>
      </c>
      <c r="K358" s="113">
        <f ca="1">IFERROR(__xludf.DUMMYFUNCTION("""COMPUTED_VALUE"""),0)</f>
        <v>0</v>
      </c>
      <c r="L358" s="114" t="str">
        <f ca="1">IFERROR(__xludf.DUMMYFUNCTION("""COMPUTED_VALUE"""),"#DIV/0!")</f>
        <v>#DIV/0!</v>
      </c>
      <c r="M358" s="111"/>
      <c r="N358" s="111"/>
      <c r="O358" s="111"/>
      <c r="P358" s="111"/>
      <c r="Q358" s="112"/>
      <c r="R358" s="103"/>
      <c r="S358" s="103"/>
      <c r="T358" s="103"/>
      <c r="U358" s="103"/>
      <c r="V358" s="103"/>
      <c r="W358" s="103"/>
      <c r="X358" s="103"/>
      <c r="Y358" s="103"/>
      <c r="Z358" s="103"/>
      <c r="AA358" s="103"/>
    </row>
    <row r="359" spans="1:27" ht="51" x14ac:dyDescent="0.2">
      <c r="A359" s="110">
        <v>356</v>
      </c>
      <c r="B359" s="110" t="s">
        <v>67</v>
      </c>
      <c r="C359" s="111" t="str">
        <f ca="1">IFERROR(__xludf.DUMMYFUNCTION("""COMPUTED_VALUE"""),"г.о. Шаховская")</f>
        <v>г.о. Шаховская</v>
      </c>
      <c r="D359" s="111" t="str">
        <f ca="1">IFERROR(__xludf.DUMMYFUNCTION("""COMPUTED_VALUE"""),"Реконструкция тепловых сетей котельной д. Дубранивка, ул. Совхозная, д. 7, г.о. Шаховская (в т.ч. ПИР)")</f>
        <v>Реконструкция тепловых сетей котельной д. Дубранивка, ул. Совхозная, д. 7, г.о. Шаховская (в т.ч. ПИР)</v>
      </c>
      <c r="E359" s="111" t="str">
        <f ca="1">IFERROR(__xludf.DUMMYFUNCTION("""COMPUTED_VALUE"""),"2022-2023")</f>
        <v>2022-2023</v>
      </c>
      <c r="F359" s="113">
        <f ca="1">IFERROR(__xludf.DUMMYFUNCTION("""COMPUTED_VALUE"""),0)</f>
        <v>0</v>
      </c>
      <c r="G359" s="113">
        <f ca="1">IFERROR(__xludf.DUMMYFUNCTION("""COMPUTED_VALUE"""),0)</f>
        <v>0</v>
      </c>
      <c r="H359" s="113">
        <f ca="1">IFERROR(__xludf.DUMMYFUNCTION("""COMPUTED_VALUE"""),0)</f>
        <v>0</v>
      </c>
      <c r="I359" s="113">
        <f ca="1">IFERROR(__xludf.DUMMYFUNCTION("""COMPUTED_VALUE"""),0)</f>
        <v>0</v>
      </c>
      <c r="J359" s="111">
        <f ca="1">IFERROR(__xludf.DUMMYFUNCTION("""COMPUTED_VALUE"""),0)</f>
        <v>0</v>
      </c>
      <c r="K359" s="113">
        <f ca="1">IFERROR(__xludf.DUMMYFUNCTION("""COMPUTED_VALUE"""),0)</f>
        <v>0</v>
      </c>
      <c r="L359" s="114" t="str">
        <f ca="1">IFERROR(__xludf.DUMMYFUNCTION("""COMPUTED_VALUE"""),"#DIV/0!")</f>
        <v>#DIV/0!</v>
      </c>
      <c r="M359" s="111"/>
      <c r="N359" s="111"/>
      <c r="O359" s="111"/>
      <c r="P359" s="111"/>
      <c r="Q359" s="112"/>
      <c r="R359" s="103"/>
      <c r="S359" s="103"/>
      <c r="T359" s="103"/>
      <c r="U359" s="103"/>
      <c r="V359" s="103"/>
      <c r="W359" s="103"/>
      <c r="X359" s="103"/>
      <c r="Y359" s="103"/>
      <c r="Z359" s="103"/>
      <c r="AA359" s="103"/>
    </row>
    <row r="360" spans="1:27" ht="51" x14ac:dyDescent="0.2">
      <c r="A360" s="110">
        <v>357</v>
      </c>
      <c r="B360" s="110" t="s">
        <v>67</v>
      </c>
      <c r="C360" s="111" t="str">
        <f ca="1">IFERROR(__xludf.DUMMYFUNCTION("""COMPUTED_VALUE"""),"г.о. Наро-Фоминск")</f>
        <v>г.о. Наро-Фоминск</v>
      </c>
      <c r="D360" s="111" t="str">
        <f ca="1">IFERROR(__xludf.DUMMYFUNCTION("""COMPUTED_VALUE"""),"Реконструкция котельной №3 (перевод котельной в режим ЦТП) по адресу г. Наро-Фоминск, ул. Калинина, Наро-Фоминский г.о.")</f>
        <v>Реконструкция котельной №3 (перевод котельной в режим ЦТП) по адресу г. Наро-Фоминск, ул. Калинина, Наро-Фоминский г.о.</v>
      </c>
      <c r="E360" s="111">
        <f ca="1">IFERROR(__xludf.DUMMYFUNCTION("""COMPUTED_VALUE"""),2022)</f>
        <v>2022</v>
      </c>
      <c r="F360" s="113">
        <f ca="1">IFERROR(__xludf.DUMMYFUNCTION("""COMPUTED_VALUE"""),0)</f>
        <v>0</v>
      </c>
      <c r="G360" s="113">
        <f ca="1">IFERROR(__xludf.DUMMYFUNCTION("""COMPUTED_VALUE"""),0)</f>
        <v>0</v>
      </c>
      <c r="H360" s="113">
        <f ca="1">IFERROR(__xludf.DUMMYFUNCTION("""COMPUTED_VALUE"""),0)</f>
        <v>0</v>
      </c>
      <c r="I360" s="113">
        <f ca="1">IFERROR(__xludf.DUMMYFUNCTION("""COMPUTED_VALUE"""),0)</f>
        <v>0</v>
      </c>
      <c r="J360" s="111">
        <f ca="1">IFERROR(__xludf.DUMMYFUNCTION("""COMPUTED_VALUE"""),0)</f>
        <v>0</v>
      </c>
      <c r="K360" s="113">
        <f ca="1">IFERROR(__xludf.DUMMYFUNCTION("""COMPUTED_VALUE"""),0)</f>
        <v>0</v>
      </c>
      <c r="L360" s="114" t="str">
        <f ca="1">IFERROR(__xludf.DUMMYFUNCTION("""COMPUTED_VALUE"""),"#DIV/0!")</f>
        <v>#DIV/0!</v>
      </c>
      <c r="M360" s="111"/>
      <c r="N360" s="111"/>
      <c r="O360" s="111"/>
      <c r="P360" s="111"/>
      <c r="Q360" s="112"/>
      <c r="R360" s="103"/>
      <c r="S360" s="103"/>
      <c r="T360" s="103"/>
      <c r="U360" s="103"/>
      <c r="V360" s="103"/>
      <c r="W360" s="103"/>
      <c r="X360" s="103"/>
      <c r="Y360" s="103"/>
      <c r="Z360" s="103"/>
      <c r="AA360" s="103"/>
    </row>
    <row r="361" spans="1:27" ht="51" x14ac:dyDescent="0.2">
      <c r="A361" s="110">
        <v>358</v>
      </c>
      <c r="B361" s="110" t="s">
        <v>67</v>
      </c>
      <c r="C361" s="111" t="str">
        <f ca="1">IFERROR(__xludf.DUMMYFUNCTION("""COMPUTED_VALUE"""),"г.о. Наро-Фоминск")</f>
        <v>г.о. Наро-Фоминск</v>
      </c>
      <c r="D361" s="111" t="str">
        <f ca="1">IFERROR(__xludf.DUMMYFUNCTION("""COMPUTED_VALUE"""),"Строительство тепловых сетей к котельной № 5 по адресу г. Наро-Фоминск, ул. Новикова, Наро-Фоминский г.о.")</f>
        <v>Строительство тепловых сетей к котельной № 5 по адресу г. Наро-Фоминск, ул. Новикова, Наро-Фоминский г.о.</v>
      </c>
      <c r="E361" s="111">
        <f ca="1">IFERROR(__xludf.DUMMYFUNCTION("""COMPUTED_VALUE"""),2022)</f>
        <v>2022</v>
      </c>
      <c r="F361" s="113">
        <f ca="1">IFERROR(__xludf.DUMMYFUNCTION("""COMPUTED_VALUE"""),0)</f>
        <v>0</v>
      </c>
      <c r="G361" s="113">
        <f ca="1">IFERROR(__xludf.DUMMYFUNCTION("""COMPUTED_VALUE"""),0)</f>
        <v>0</v>
      </c>
      <c r="H361" s="113">
        <f ca="1">IFERROR(__xludf.DUMMYFUNCTION("""COMPUTED_VALUE"""),0)</f>
        <v>0</v>
      </c>
      <c r="I361" s="113">
        <f ca="1">IFERROR(__xludf.DUMMYFUNCTION("""COMPUTED_VALUE"""),0)</f>
        <v>0</v>
      </c>
      <c r="J361" s="111">
        <f ca="1">IFERROR(__xludf.DUMMYFUNCTION("""COMPUTED_VALUE"""),0)</f>
        <v>0</v>
      </c>
      <c r="K361" s="113">
        <f ca="1">IFERROR(__xludf.DUMMYFUNCTION("""COMPUTED_VALUE"""),0)</f>
        <v>0</v>
      </c>
      <c r="L361" s="114" t="str">
        <f ca="1">IFERROR(__xludf.DUMMYFUNCTION("""COMPUTED_VALUE"""),"#DIV/0!")</f>
        <v>#DIV/0!</v>
      </c>
      <c r="M361" s="111"/>
      <c r="N361" s="111"/>
      <c r="O361" s="111"/>
      <c r="P361" s="111"/>
      <c r="Q361" s="112"/>
      <c r="R361" s="103"/>
      <c r="S361" s="103"/>
      <c r="T361" s="103"/>
      <c r="U361" s="103"/>
      <c r="V361" s="103"/>
      <c r="W361" s="103"/>
      <c r="X361" s="103"/>
      <c r="Y361" s="103"/>
      <c r="Z361" s="103"/>
      <c r="AA361" s="103"/>
    </row>
    <row r="362" spans="1:27" ht="63.75" x14ac:dyDescent="0.2">
      <c r="A362" s="110">
        <v>359</v>
      </c>
      <c r="B362" s="110" t="s">
        <v>67</v>
      </c>
      <c r="C362" s="111" t="str">
        <f ca="1">IFERROR(__xludf.DUMMYFUNCTION("""COMPUTED_VALUE"""),"г.о. Талдомский")</f>
        <v>г.о. Талдомский</v>
      </c>
      <c r="D362" s="111" t="str">
        <f ca="1">IFERROR(__xludf.DUMMYFUNCTION("""COMPUTED_VALUE"""),"Реконструкция котельной №1 по адресу г. Талдом, мкр. р-н ""Юбилейный"", д.24а, г.о. Талдомский
 (в т.ч. ПИР, ТП)")</f>
        <v>Реконструкция котельной №1 по адресу г. Талдом, мкр. р-н "Юбилейный", д.24а, г.о. Талдомский
 (в т.ч. ПИР, ТП)</v>
      </c>
      <c r="E362" s="111" t="str">
        <f ca="1">IFERROR(__xludf.DUMMYFUNCTION("""COMPUTED_VALUE"""),"2022-2024")</f>
        <v>2022-2024</v>
      </c>
      <c r="F362" s="113">
        <f ca="1">IFERROR(__xludf.DUMMYFUNCTION("""COMPUTED_VALUE"""),0)</f>
        <v>0</v>
      </c>
      <c r="G362" s="113">
        <f ca="1">IFERROR(__xludf.DUMMYFUNCTION("""COMPUTED_VALUE"""),0)</f>
        <v>0</v>
      </c>
      <c r="H362" s="113">
        <f ca="1">IFERROR(__xludf.DUMMYFUNCTION("""COMPUTED_VALUE"""),0)</f>
        <v>0</v>
      </c>
      <c r="I362" s="113">
        <f ca="1">IFERROR(__xludf.DUMMYFUNCTION("""COMPUTED_VALUE"""),0)</f>
        <v>0</v>
      </c>
      <c r="J362" s="111">
        <f ca="1">IFERROR(__xludf.DUMMYFUNCTION("""COMPUTED_VALUE"""),0)</f>
        <v>0</v>
      </c>
      <c r="K362" s="113">
        <f ca="1">IFERROR(__xludf.DUMMYFUNCTION("""COMPUTED_VALUE"""),0)</f>
        <v>0</v>
      </c>
      <c r="L362" s="114" t="str">
        <f ca="1">IFERROR(__xludf.DUMMYFUNCTION("""COMPUTED_VALUE"""),"#DIV/0!")</f>
        <v>#DIV/0!</v>
      </c>
      <c r="M362" s="111"/>
      <c r="N362" s="111"/>
      <c r="O362" s="111"/>
      <c r="P362" s="111"/>
      <c r="Q362" s="112"/>
      <c r="R362" s="103"/>
      <c r="S362" s="103"/>
      <c r="T362" s="103"/>
      <c r="U362" s="103"/>
      <c r="V362" s="103"/>
      <c r="W362" s="103"/>
      <c r="X362" s="103"/>
      <c r="Y362" s="103"/>
      <c r="Z362" s="103"/>
      <c r="AA362" s="103"/>
    </row>
    <row r="363" spans="1:27" ht="51" x14ac:dyDescent="0.2">
      <c r="A363" s="110">
        <v>360</v>
      </c>
      <c r="B363" s="110" t="s">
        <v>67</v>
      </c>
      <c r="C363" s="111" t="str">
        <f ca="1">IFERROR(__xludf.DUMMYFUNCTION("""COMPUTED_VALUE"""),"г.о. Талдомский")</f>
        <v>г.о. Талдомский</v>
      </c>
      <c r="D363" s="111" t="str">
        <f ca="1">IFERROR(__xludf.DUMMYFUNCTION("""COMPUTED_VALUE"""),"Реконструкция котельной №3 по адресу г. Талдом, ул. Мичурина, д.3а, г.о. Талдомский (в т.ч. ПИР, ТП)")</f>
        <v>Реконструкция котельной №3 по адресу г. Талдом, ул. Мичурина, д.3а, г.о. Талдомский (в т.ч. ПИР, ТП)</v>
      </c>
      <c r="E363" s="111" t="str">
        <f ca="1">IFERROR(__xludf.DUMMYFUNCTION("""COMPUTED_VALUE"""),"2022-2024")</f>
        <v>2022-2024</v>
      </c>
      <c r="F363" s="113">
        <f ca="1">IFERROR(__xludf.DUMMYFUNCTION("""COMPUTED_VALUE"""),0)</f>
        <v>0</v>
      </c>
      <c r="G363" s="113">
        <f ca="1">IFERROR(__xludf.DUMMYFUNCTION("""COMPUTED_VALUE"""),0)</f>
        <v>0</v>
      </c>
      <c r="H363" s="113">
        <f ca="1">IFERROR(__xludf.DUMMYFUNCTION("""COMPUTED_VALUE"""),0)</f>
        <v>0</v>
      </c>
      <c r="I363" s="113">
        <f ca="1">IFERROR(__xludf.DUMMYFUNCTION("""COMPUTED_VALUE"""),0)</f>
        <v>0</v>
      </c>
      <c r="J363" s="111">
        <f ca="1">IFERROR(__xludf.DUMMYFUNCTION("""COMPUTED_VALUE"""),0)</f>
        <v>0</v>
      </c>
      <c r="K363" s="113">
        <f ca="1">IFERROR(__xludf.DUMMYFUNCTION("""COMPUTED_VALUE"""),0)</f>
        <v>0</v>
      </c>
      <c r="L363" s="114" t="str">
        <f ca="1">IFERROR(__xludf.DUMMYFUNCTION("""COMPUTED_VALUE"""),"#DIV/0!")</f>
        <v>#DIV/0!</v>
      </c>
      <c r="M363" s="111"/>
      <c r="N363" s="111"/>
      <c r="O363" s="111"/>
      <c r="P363" s="111"/>
      <c r="Q363" s="112"/>
      <c r="R363" s="103"/>
      <c r="S363" s="103"/>
      <c r="T363" s="103"/>
      <c r="U363" s="103"/>
      <c r="V363" s="103"/>
      <c r="W363" s="103"/>
      <c r="X363" s="103"/>
      <c r="Y363" s="103"/>
      <c r="Z363" s="103"/>
      <c r="AA363" s="103"/>
    </row>
    <row r="364" spans="1:27" ht="51" x14ac:dyDescent="0.2">
      <c r="A364" s="110">
        <v>361</v>
      </c>
      <c r="B364" s="110" t="s">
        <v>67</v>
      </c>
      <c r="C364" s="111" t="str">
        <f ca="1">IFERROR(__xludf.DUMMYFUNCTION("""COMPUTED_VALUE"""),"г.о. Талдомский")</f>
        <v>г.о. Талдомский</v>
      </c>
      <c r="D364" s="111" t="str">
        <f ca="1">IFERROR(__xludf.DUMMYFUNCTION("""COMPUTED_VALUE"""),"Реконструкция котельной ""Вербилки"", п. Вербилки, ул. Якотская, д.6, г.о. Талдомский (в т.ч. ПИР)")</f>
        <v>Реконструкция котельной "Вербилки", п. Вербилки, ул. Якотская, д.6, г.о. Талдомский (в т.ч. ПИР)</v>
      </c>
      <c r="E364" s="111" t="str">
        <f ca="1">IFERROR(__xludf.DUMMYFUNCTION("""COMPUTED_VALUE"""),"2022-2024")</f>
        <v>2022-2024</v>
      </c>
      <c r="F364" s="113">
        <f ca="1">IFERROR(__xludf.DUMMYFUNCTION("""COMPUTED_VALUE"""),0)</f>
        <v>0</v>
      </c>
      <c r="G364" s="113">
        <f ca="1">IFERROR(__xludf.DUMMYFUNCTION("""COMPUTED_VALUE"""),0)</f>
        <v>0</v>
      </c>
      <c r="H364" s="113">
        <f ca="1">IFERROR(__xludf.DUMMYFUNCTION("""COMPUTED_VALUE"""),0)</f>
        <v>0</v>
      </c>
      <c r="I364" s="113">
        <f ca="1">IFERROR(__xludf.DUMMYFUNCTION("""COMPUTED_VALUE"""),0)</f>
        <v>0</v>
      </c>
      <c r="J364" s="111">
        <f ca="1">IFERROR(__xludf.DUMMYFUNCTION("""COMPUTED_VALUE"""),0)</f>
        <v>0</v>
      </c>
      <c r="K364" s="113">
        <f ca="1">IFERROR(__xludf.DUMMYFUNCTION("""COMPUTED_VALUE"""),0)</f>
        <v>0</v>
      </c>
      <c r="L364" s="114" t="str">
        <f ca="1">IFERROR(__xludf.DUMMYFUNCTION("""COMPUTED_VALUE"""),"#DIV/0!")</f>
        <v>#DIV/0!</v>
      </c>
      <c r="M364" s="111"/>
      <c r="N364" s="111"/>
      <c r="O364" s="111"/>
      <c r="P364" s="111"/>
      <c r="Q364" s="112"/>
      <c r="R364" s="103"/>
      <c r="S364" s="103"/>
      <c r="T364" s="103"/>
      <c r="U364" s="103"/>
      <c r="V364" s="103"/>
      <c r="W364" s="103"/>
      <c r="X364" s="103"/>
      <c r="Y364" s="103"/>
      <c r="Z364" s="103"/>
      <c r="AA364" s="103"/>
    </row>
    <row r="365" spans="1:27" ht="38.25" x14ac:dyDescent="0.2">
      <c r="A365" s="110">
        <v>362</v>
      </c>
      <c r="B365" s="110" t="s">
        <v>67</v>
      </c>
      <c r="C365" s="111" t="str">
        <f ca="1">IFERROR(__xludf.DUMMYFUNCTION("""COMPUTED_VALUE"""),"г.о. Талдомский")</f>
        <v>г.о. Талдомский</v>
      </c>
      <c r="D365" s="111" t="str">
        <f ca="1">IFERROR(__xludf.DUMMYFUNCTION("""COMPUTED_VALUE"""),"Реконструкция котельной ""РУС"", г. Талдом, ул. Собцова, д.1а, г.о. Талдомский (в т.ч. ПИР, ТП)")</f>
        <v>Реконструкция котельной "РУС", г. Талдом, ул. Собцова, д.1а, г.о. Талдомский (в т.ч. ПИР, ТП)</v>
      </c>
      <c r="E365" s="111" t="str">
        <f ca="1">IFERROR(__xludf.DUMMYFUNCTION("""COMPUTED_VALUE"""),"2023-2024")</f>
        <v>2023-2024</v>
      </c>
      <c r="F365" s="113">
        <f ca="1">IFERROR(__xludf.DUMMYFUNCTION("""COMPUTED_VALUE"""),0)</f>
        <v>0</v>
      </c>
      <c r="G365" s="113">
        <f ca="1">IFERROR(__xludf.DUMMYFUNCTION("""COMPUTED_VALUE"""),0)</f>
        <v>0</v>
      </c>
      <c r="H365" s="113">
        <f ca="1">IFERROR(__xludf.DUMMYFUNCTION("""COMPUTED_VALUE"""),0)</f>
        <v>0</v>
      </c>
      <c r="I365" s="113">
        <f ca="1">IFERROR(__xludf.DUMMYFUNCTION("""COMPUTED_VALUE"""),0)</f>
        <v>0</v>
      </c>
      <c r="J365" s="111">
        <f ca="1">IFERROR(__xludf.DUMMYFUNCTION("""COMPUTED_VALUE"""),0)</f>
        <v>0</v>
      </c>
      <c r="K365" s="113">
        <f ca="1">IFERROR(__xludf.DUMMYFUNCTION("""COMPUTED_VALUE"""),0)</f>
        <v>0</v>
      </c>
      <c r="L365" s="114" t="str">
        <f ca="1">IFERROR(__xludf.DUMMYFUNCTION("""COMPUTED_VALUE"""),"#DIV/0!")</f>
        <v>#DIV/0!</v>
      </c>
      <c r="M365" s="111"/>
      <c r="N365" s="111"/>
      <c r="O365" s="111"/>
      <c r="P365" s="111"/>
      <c r="Q365" s="112"/>
      <c r="R365" s="103"/>
      <c r="S365" s="103"/>
      <c r="T365" s="103"/>
      <c r="U365" s="103"/>
      <c r="V365" s="103"/>
      <c r="W365" s="103"/>
      <c r="X365" s="103"/>
      <c r="Y365" s="103"/>
      <c r="Z365" s="103"/>
      <c r="AA365" s="103"/>
    </row>
    <row r="366" spans="1:27" ht="38.25" x14ac:dyDescent="0.2">
      <c r="A366" s="110">
        <v>363</v>
      </c>
      <c r="B366" s="110" t="s">
        <v>67</v>
      </c>
      <c r="C366" s="111" t="str">
        <f ca="1">IFERROR(__xludf.DUMMYFUNCTION("""COMPUTED_VALUE"""),"г.о. Наро-Фоминск")</f>
        <v>г.о. Наро-Фоминск</v>
      </c>
      <c r="D366" s="111" t="str">
        <f ca="1">IFERROR(__xludf.DUMMYFUNCTION("""COMPUTED_VALUE"""),"Реконструкция котельной № 15 по адресу г. Апрелевка, ул. Ленина, Наро-Фоминский г.о. (в т.ч. ПИР)")</f>
        <v>Реконструкция котельной № 15 по адресу г. Апрелевка, ул. Ленина, Наро-Фоминский г.о. (в т.ч. ПИР)</v>
      </c>
      <c r="E366" s="111" t="str">
        <f ca="1">IFERROR(__xludf.DUMMYFUNCTION("""COMPUTED_VALUE"""),"2022-2023")</f>
        <v>2022-2023</v>
      </c>
      <c r="F366" s="113">
        <f ca="1">IFERROR(__xludf.DUMMYFUNCTION("""COMPUTED_VALUE"""),0)</f>
        <v>0</v>
      </c>
      <c r="G366" s="113">
        <f ca="1">IFERROR(__xludf.DUMMYFUNCTION("""COMPUTED_VALUE"""),0)</f>
        <v>0</v>
      </c>
      <c r="H366" s="113">
        <f ca="1">IFERROR(__xludf.DUMMYFUNCTION("""COMPUTED_VALUE"""),0)</f>
        <v>0</v>
      </c>
      <c r="I366" s="113">
        <f ca="1">IFERROR(__xludf.DUMMYFUNCTION("""COMPUTED_VALUE"""),0)</f>
        <v>0</v>
      </c>
      <c r="J366" s="111">
        <f ca="1">IFERROR(__xludf.DUMMYFUNCTION("""COMPUTED_VALUE"""),0)</f>
        <v>0</v>
      </c>
      <c r="K366" s="113">
        <f ca="1">IFERROR(__xludf.DUMMYFUNCTION("""COMPUTED_VALUE"""),0)</f>
        <v>0</v>
      </c>
      <c r="L366" s="114" t="str">
        <f ca="1">IFERROR(__xludf.DUMMYFUNCTION("""COMPUTED_VALUE"""),"#DIV/0!")</f>
        <v>#DIV/0!</v>
      </c>
      <c r="M366" s="111"/>
      <c r="N366" s="111"/>
      <c r="O366" s="111"/>
      <c r="P366" s="111"/>
      <c r="Q366" s="112"/>
      <c r="R366" s="103"/>
      <c r="S366" s="103"/>
      <c r="T366" s="103"/>
      <c r="U366" s="103"/>
      <c r="V366" s="103"/>
      <c r="W366" s="103"/>
      <c r="X366" s="103"/>
      <c r="Y366" s="103"/>
      <c r="Z366" s="103"/>
      <c r="AA366" s="103"/>
    </row>
    <row r="367" spans="1:27" ht="51" x14ac:dyDescent="0.2">
      <c r="A367" s="110">
        <v>364</v>
      </c>
      <c r="B367" s="110" t="s">
        <v>67</v>
      </c>
      <c r="C367" s="111" t="str">
        <f ca="1">IFERROR(__xludf.DUMMYFUNCTION("""COMPUTED_VALUE"""),"г.о. Лотошино")</f>
        <v>г.о. Лотошино</v>
      </c>
      <c r="D367" s="111" t="str">
        <f ca="1">IFERROR(__xludf.DUMMYFUNCTION("""COMPUTED_VALUE"""),"Реконструкция котельной №14 по адресу д. Михалёво, Микрорайон, д.28, г.о. Лотошино (в т.ч. ПИР)")</f>
        <v>Реконструкция котельной №14 по адресу д. Михалёво, Микрорайон, д.28, г.о. Лотошино (в т.ч. ПИР)</v>
      </c>
      <c r="E367" s="111" t="str">
        <f ca="1">IFERROR(__xludf.DUMMYFUNCTION("""COMPUTED_VALUE"""),"2022-2023")</f>
        <v>2022-2023</v>
      </c>
      <c r="F367" s="113">
        <f ca="1">IFERROR(__xludf.DUMMYFUNCTION("""COMPUTED_VALUE"""),0)</f>
        <v>0</v>
      </c>
      <c r="G367" s="113">
        <f ca="1">IFERROR(__xludf.DUMMYFUNCTION("""COMPUTED_VALUE"""),0)</f>
        <v>0</v>
      </c>
      <c r="H367" s="113">
        <f ca="1">IFERROR(__xludf.DUMMYFUNCTION("""COMPUTED_VALUE"""),0)</f>
        <v>0</v>
      </c>
      <c r="I367" s="113">
        <f ca="1">IFERROR(__xludf.DUMMYFUNCTION("""COMPUTED_VALUE"""),0)</f>
        <v>0</v>
      </c>
      <c r="J367" s="111">
        <f ca="1">IFERROR(__xludf.DUMMYFUNCTION("""COMPUTED_VALUE"""),0)</f>
        <v>0</v>
      </c>
      <c r="K367" s="113">
        <f ca="1">IFERROR(__xludf.DUMMYFUNCTION("""COMPUTED_VALUE"""),0)</f>
        <v>0</v>
      </c>
      <c r="L367" s="114" t="str">
        <f ca="1">IFERROR(__xludf.DUMMYFUNCTION("""COMPUTED_VALUE"""),"#DIV/0!")</f>
        <v>#DIV/0!</v>
      </c>
      <c r="M367" s="111"/>
      <c r="N367" s="111"/>
      <c r="O367" s="111"/>
      <c r="P367" s="111"/>
      <c r="Q367" s="112"/>
      <c r="R367" s="103"/>
      <c r="S367" s="103"/>
      <c r="T367" s="103"/>
      <c r="U367" s="103"/>
      <c r="V367" s="103"/>
      <c r="W367" s="103"/>
      <c r="X367" s="103"/>
      <c r="Y367" s="103"/>
      <c r="Z367" s="103"/>
      <c r="AA367" s="103"/>
    </row>
    <row r="368" spans="1:27" ht="38.25" x14ac:dyDescent="0.2">
      <c r="A368" s="110">
        <v>365</v>
      </c>
      <c r="B368" s="110" t="s">
        <v>67</v>
      </c>
      <c r="C368" s="111" t="str">
        <f ca="1">IFERROR(__xludf.DUMMYFUNCTION("""COMPUTED_VALUE"""),"г.о. Лотошино")</f>
        <v>г.о. Лотошино</v>
      </c>
      <c r="D368" s="111" t="str">
        <f ca="1">IFERROR(__xludf.DUMMYFUNCTION("""COMPUTED_VALUE"""),"Реконструкция котельной №16 по адресу с. Микулино, Микрорайон, д.19, г.о. Лотошино (в т.ч. ПИР)")</f>
        <v>Реконструкция котельной №16 по адресу с. Микулино, Микрорайон, д.19, г.о. Лотошино (в т.ч. ПИР)</v>
      </c>
      <c r="E368" s="111" t="str">
        <f ca="1">IFERROR(__xludf.DUMMYFUNCTION("""COMPUTED_VALUE"""),"2022-2023")</f>
        <v>2022-2023</v>
      </c>
      <c r="F368" s="113">
        <f ca="1">IFERROR(__xludf.DUMMYFUNCTION("""COMPUTED_VALUE"""),0)</f>
        <v>0</v>
      </c>
      <c r="G368" s="113">
        <f ca="1">IFERROR(__xludf.DUMMYFUNCTION("""COMPUTED_VALUE"""),0)</f>
        <v>0</v>
      </c>
      <c r="H368" s="113">
        <f ca="1">IFERROR(__xludf.DUMMYFUNCTION("""COMPUTED_VALUE"""),0)</f>
        <v>0</v>
      </c>
      <c r="I368" s="113">
        <f ca="1">IFERROR(__xludf.DUMMYFUNCTION("""COMPUTED_VALUE"""),0)</f>
        <v>0</v>
      </c>
      <c r="J368" s="111">
        <f ca="1">IFERROR(__xludf.DUMMYFUNCTION("""COMPUTED_VALUE"""),0)</f>
        <v>0</v>
      </c>
      <c r="K368" s="113">
        <f ca="1">IFERROR(__xludf.DUMMYFUNCTION("""COMPUTED_VALUE"""),0)</f>
        <v>0</v>
      </c>
      <c r="L368" s="114" t="str">
        <f ca="1">IFERROR(__xludf.DUMMYFUNCTION("""COMPUTED_VALUE"""),"#DIV/0!")</f>
        <v>#DIV/0!</v>
      </c>
      <c r="M368" s="111"/>
      <c r="N368" s="111"/>
      <c r="O368" s="111"/>
      <c r="P368" s="111"/>
      <c r="Q368" s="112"/>
      <c r="R368" s="103"/>
      <c r="S368" s="103"/>
      <c r="T368" s="103"/>
      <c r="U368" s="103"/>
      <c r="V368" s="103"/>
      <c r="W368" s="103"/>
      <c r="X368" s="103"/>
      <c r="Y368" s="103"/>
      <c r="Z368" s="103"/>
      <c r="AA368" s="103"/>
    </row>
    <row r="369" spans="1:27" ht="51" x14ac:dyDescent="0.2">
      <c r="A369" s="110">
        <v>366</v>
      </c>
      <c r="B369" s="110" t="s">
        <v>67</v>
      </c>
      <c r="C369" s="111" t="str">
        <f ca="1">IFERROR(__xludf.DUMMYFUNCTION("""COMPUTED_VALUE"""),"г.о. Талдомский")</f>
        <v>г.о. Талдомский</v>
      </c>
      <c r="D369" s="111" t="str">
        <f ca="1">IFERROR(__xludf.DUMMYFUNCTION("""COMPUTED_VALUE"""),"Реконструкция котельной №2 по адресу г. Талдом, Промышленный проезд, д.12, г.о. Талдомский (в т.ч. ПИР, ТП)")</f>
        <v>Реконструкция котельной №2 по адресу г. Талдом, Промышленный проезд, д.12, г.о. Талдомский (в т.ч. ПИР, ТП)</v>
      </c>
      <c r="E369" s="111" t="str">
        <f ca="1">IFERROR(__xludf.DUMMYFUNCTION("""COMPUTED_VALUE"""),"2022-2023")</f>
        <v>2022-2023</v>
      </c>
      <c r="F369" s="113">
        <f ca="1">IFERROR(__xludf.DUMMYFUNCTION("""COMPUTED_VALUE"""),0)</f>
        <v>0</v>
      </c>
      <c r="G369" s="113">
        <f ca="1">IFERROR(__xludf.DUMMYFUNCTION("""COMPUTED_VALUE"""),0)</f>
        <v>0</v>
      </c>
      <c r="H369" s="113">
        <f ca="1">IFERROR(__xludf.DUMMYFUNCTION("""COMPUTED_VALUE"""),0)</f>
        <v>0</v>
      </c>
      <c r="I369" s="113">
        <f ca="1">IFERROR(__xludf.DUMMYFUNCTION("""COMPUTED_VALUE"""),0)</f>
        <v>0</v>
      </c>
      <c r="J369" s="111">
        <f ca="1">IFERROR(__xludf.DUMMYFUNCTION("""COMPUTED_VALUE"""),0)</f>
        <v>0</v>
      </c>
      <c r="K369" s="113">
        <f ca="1">IFERROR(__xludf.DUMMYFUNCTION("""COMPUTED_VALUE"""),0)</f>
        <v>0</v>
      </c>
      <c r="L369" s="114" t="str">
        <f ca="1">IFERROR(__xludf.DUMMYFUNCTION("""COMPUTED_VALUE"""),"#DIV/0!")</f>
        <v>#DIV/0!</v>
      </c>
      <c r="M369" s="111"/>
      <c r="N369" s="111"/>
      <c r="O369" s="111"/>
      <c r="P369" s="111"/>
      <c r="Q369" s="112"/>
      <c r="R369" s="103"/>
      <c r="S369" s="103"/>
      <c r="T369" s="103"/>
      <c r="U369" s="103"/>
      <c r="V369" s="103"/>
      <c r="W369" s="103"/>
      <c r="X369" s="103"/>
      <c r="Y369" s="103"/>
      <c r="Z369" s="103"/>
      <c r="AA369" s="103"/>
    </row>
    <row r="370" spans="1:27" ht="38.25" x14ac:dyDescent="0.2">
      <c r="A370" s="110">
        <v>367</v>
      </c>
      <c r="B370" s="110" t="s">
        <v>67</v>
      </c>
      <c r="C370" s="111" t="str">
        <f ca="1">IFERROR(__xludf.DUMMYFUNCTION("""COMPUTED_VALUE"""),"г.о. Талдомский")</f>
        <v>г.о. Талдомский</v>
      </c>
      <c r="D370" s="111" t="str">
        <f ca="1">IFERROR(__xludf.DUMMYFUNCTION("""COMPUTED_VALUE"""),"Реконструкция котельной ""Баня"", г. Талдом, ул. Садовая, д.17, г.о. Талдомский (в т.ч. ПИР, ТП)")</f>
        <v>Реконструкция котельной "Баня", г. Талдом, ул. Садовая, д.17, г.о. Талдомский (в т.ч. ПИР, ТП)</v>
      </c>
      <c r="E370" s="111" t="str">
        <f ca="1">IFERROR(__xludf.DUMMYFUNCTION("""COMPUTED_VALUE"""),"2023-2024")</f>
        <v>2023-2024</v>
      </c>
      <c r="F370" s="113">
        <f ca="1">IFERROR(__xludf.DUMMYFUNCTION("""COMPUTED_VALUE"""),0)</f>
        <v>0</v>
      </c>
      <c r="G370" s="113">
        <f ca="1">IFERROR(__xludf.DUMMYFUNCTION("""COMPUTED_VALUE"""),0)</f>
        <v>0</v>
      </c>
      <c r="H370" s="113">
        <f ca="1">IFERROR(__xludf.DUMMYFUNCTION("""COMPUTED_VALUE"""),0)</f>
        <v>0</v>
      </c>
      <c r="I370" s="113">
        <f ca="1">IFERROR(__xludf.DUMMYFUNCTION("""COMPUTED_VALUE"""),0)</f>
        <v>0</v>
      </c>
      <c r="J370" s="111">
        <f ca="1">IFERROR(__xludf.DUMMYFUNCTION("""COMPUTED_VALUE"""),0)</f>
        <v>0</v>
      </c>
      <c r="K370" s="113">
        <f ca="1">IFERROR(__xludf.DUMMYFUNCTION("""COMPUTED_VALUE"""),0)</f>
        <v>0</v>
      </c>
      <c r="L370" s="114" t="str">
        <f ca="1">IFERROR(__xludf.DUMMYFUNCTION("""COMPUTED_VALUE"""),"#DIV/0!")</f>
        <v>#DIV/0!</v>
      </c>
      <c r="M370" s="111"/>
      <c r="N370" s="111"/>
      <c r="O370" s="111"/>
      <c r="P370" s="111"/>
      <c r="Q370" s="112"/>
      <c r="R370" s="103"/>
      <c r="S370" s="103"/>
      <c r="T370" s="103"/>
      <c r="U370" s="103"/>
      <c r="V370" s="103"/>
      <c r="W370" s="103"/>
      <c r="X370" s="103"/>
      <c r="Y370" s="103"/>
      <c r="Z370" s="103"/>
      <c r="AA370" s="103"/>
    </row>
    <row r="371" spans="1:27" ht="38.25" x14ac:dyDescent="0.2">
      <c r="A371" s="110">
        <v>368</v>
      </c>
      <c r="B371" s="110" t="s">
        <v>67</v>
      </c>
      <c r="C371" s="111" t="str">
        <f ca="1">IFERROR(__xludf.DUMMYFUNCTION("""COMPUTED_VALUE"""),"г.о. Талдомский")</f>
        <v>г.о. Талдомский</v>
      </c>
      <c r="D371" s="111" t="str">
        <f ca="1">IFERROR(__xludf.DUMMYFUNCTION("""COMPUTED_VALUE"""),"Реконструкция котельной ""Юркино"", д. Юркино, г.о. Талдомский (в т.ч. ПИР, ТП)")</f>
        <v>Реконструкция котельной "Юркино", д. Юркино, г.о. Талдомский (в т.ч. ПИР, ТП)</v>
      </c>
      <c r="E371" s="111" t="str">
        <f ca="1">IFERROR(__xludf.DUMMYFUNCTION("""COMPUTED_VALUE"""),"2023-2024")</f>
        <v>2023-2024</v>
      </c>
      <c r="F371" s="113">
        <f ca="1">IFERROR(__xludf.DUMMYFUNCTION("""COMPUTED_VALUE"""),0)</f>
        <v>0</v>
      </c>
      <c r="G371" s="113">
        <f ca="1">IFERROR(__xludf.DUMMYFUNCTION("""COMPUTED_VALUE"""),0)</f>
        <v>0</v>
      </c>
      <c r="H371" s="113">
        <f ca="1">IFERROR(__xludf.DUMMYFUNCTION("""COMPUTED_VALUE"""),0)</f>
        <v>0</v>
      </c>
      <c r="I371" s="113">
        <f ca="1">IFERROR(__xludf.DUMMYFUNCTION("""COMPUTED_VALUE"""),0)</f>
        <v>0</v>
      </c>
      <c r="J371" s="111">
        <f ca="1">IFERROR(__xludf.DUMMYFUNCTION("""COMPUTED_VALUE"""),0)</f>
        <v>0</v>
      </c>
      <c r="K371" s="113">
        <f ca="1">IFERROR(__xludf.DUMMYFUNCTION("""COMPUTED_VALUE"""),0)</f>
        <v>0</v>
      </c>
      <c r="L371" s="114" t="str">
        <f ca="1">IFERROR(__xludf.DUMMYFUNCTION("""COMPUTED_VALUE"""),"#DIV/0!")</f>
        <v>#DIV/0!</v>
      </c>
      <c r="M371" s="111"/>
      <c r="N371" s="111"/>
      <c r="O371" s="111"/>
      <c r="P371" s="111"/>
      <c r="Q371" s="112"/>
      <c r="R371" s="103"/>
      <c r="S371" s="103"/>
      <c r="T371" s="103"/>
      <c r="U371" s="103"/>
      <c r="V371" s="103"/>
      <c r="W371" s="103"/>
      <c r="X371" s="103"/>
      <c r="Y371" s="103"/>
      <c r="Z371" s="103"/>
      <c r="AA371" s="103"/>
    </row>
    <row r="372" spans="1:27" ht="51" x14ac:dyDescent="0.2">
      <c r="A372" s="110">
        <v>369</v>
      </c>
      <c r="B372" s="110" t="s">
        <v>67</v>
      </c>
      <c r="C372" s="111" t="str">
        <f ca="1">IFERROR(__xludf.DUMMYFUNCTION("""COMPUTED_VALUE"""),"г.о. Талдомский")</f>
        <v>г.о. Талдомский</v>
      </c>
      <c r="D372" s="111" t="str">
        <f ca="1">IFERROR(__xludf.DUMMYFUNCTION("""COMPUTED_VALUE"""),"Реконструкция котельной ""Очистные сооружения"", г. Талдом, ул. Загородная, д.24а, г.о. Талдомский (в т.ч. ПИР, ТП)")</f>
        <v>Реконструкция котельной "Очистные сооружения", г. Талдом, ул. Загородная, д.24а, г.о. Талдомский (в т.ч. ПИР, ТП)</v>
      </c>
      <c r="E372" s="111" t="str">
        <f ca="1">IFERROR(__xludf.DUMMYFUNCTION("""COMPUTED_VALUE"""),"2023-2024")</f>
        <v>2023-2024</v>
      </c>
      <c r="F372" s="113">
        <f ca="1">IFERROR(__xludf.DUMMYFUNCTION("""COMPUTED_VALUE"""),0)</f>
        <v>0</v>
      </c>
      <c r="G372" s="113">
        <f ca="1">IFERROR(__xludf.DUMMYFUNCTION("""COMPUTED_VALUE"""),0)</f>
        <v>0</v>
      </c>
      <c r="H372" s="113">
        <f ca="1">IFERROR(__xludf.DUMMYFUNCTION("""COMPUTED_VALUE"""),0)</f>
        <v>0</v>
      </c>
      <c r="I372" s="113">
        <f ca="1">IFERROR(__xludf.DUMMYFUNCTION("""COMPUTED_VALUE"""),0)</f>
        <v>0</v>
      </c>
      <c r="J372" s="111">
        <f ca="1">IFERROR(__xludf.DUMMYFUNCTION("""COMPUTED_VALUE"""),0)</f>
        <v>0</v>
      </c>
      <c r="K372" s="113">
        <f ca="1">IFERROR(__xludf.DUMMYFUNCTION("""COMPUTED_VALUE"""),0)</f>
        <v>0</v>
      </c>
      <c r="L372" s="114" t="str">
        <f ca="1">IFERROR(__xludf.DUMMYFUNCTION("""COMPUTED_VALUE"""),"#DIV/0!")</f>
        <v>#DIV/0!</v>
      </c>
      <c r="M372" s="111"/>
      <c r="N372" s="111"/>
      <c r="O372" s="111"/>
      <c r="P372" s="111"/>
      <c r="Q372" s="112"/>
      <c r="R372" s="103"/>
      <c r="S372" s="103"/>
      <c r="T372" s="103"/>
      <c r="U372" s="103"/>
      <c r="V372" s="103"/>
      <c r="W372" s="103"/>
      <c r="X372" s="103"/>
      <c r="Y372" s="103"/>
      <c r="Z372" s="103"/>
      <c r="AA372" s="103"/>
    </row>
    <row r="373" spans="1:27" ht="51" x14ac:dyDescent="0.2">
      <c r="A373" s="110">
        <v>370</v>
      </c>
      <c r="B373" s="110" t="s">
        <v>67</v>
      </c>
      <c r="C373" s="111" t="str">
        <f ca="1">IFERROR(__xludf.DUMMYFUNCTION("""COMPUTED_VALUE"""),"г.о. Талдомский")</f>
        <v>г.о. Талдомский</v>
      </c>
      <c r="D373" s="111" t="str">
        <f ca="1">IFERROR(__xludf.DUMMYFUNCTION("""COMPUTED_VALUE"""),"Реконструкция котельной ""Темпы"", п. Темпы. ул. Шоссейная, д.9Б, г.о. Талдомский (в т.ч. ПИР, ТП) ")</f>
        <v xml:space="preserve">Реконструкция котельной "Темпы", п. Темпы. ул. Шоссейная, д.9Б, г.о. Талдомский (в т.ч. ПИР, ТП) </v>
      </c>
      <c r="E373" s="111" t="str">
        <f ca="1">IFERROR(__xludf.DUMMYFUNCTION("""COMPUTED_VALUE"""),"2023-2024")</f>
        <v>2023-2024</v>
      </c>
      <c r="F373" s="113">
        <f ca="1">IFERROR(__xludf.DUMMYFUNCTION("""COMPUTED_VALUE"""),0)</f>
        <v>0</v>
      </c>
      <c r="G373" s="113">
        <f ca="1">IFERROR(__xludf.DUMMYFUNCTION("""COMPUTED_VALUE"""),0)</f>
        <v>0</v>
      </c>
      <c r="H373" s="113">
        <f ca="1">IFERROR(__xludf.DUMMYFUNCTION("""COMPUTED_VALUE"""),0)</f>
        <v>0</v>
      </c>
      <c r="I373" s="113">
        <f ca="1">IFERROR(__xludf.DUMMYFUNCTION("""COMPUTED_VALUE"""),0)</f>
        <v>0</v>
      </c>
      <c r="J373" s="111">
        <f ca="1">IFERROR(__xludf.DUMMYFUNCTION("""COMPUTED_VALUE"""),0)</f>
        <v>0</v>
      </c>
      <c r="K373" s="113">
        <f ca="1">IFERROR(__xludf.DUMMYFUNCTION("""COMPUTED_VALUE"""),0)</f>
        <v>0</v>
      </c>
      <c r="L373" s="114" t="str">
        <f ca="1">IFERROR(__xludf.DUMMYFUNCTION("""COMPUTED_VALUE"""),"#DIV/0!")</f>
        <v>#DIV/0!</v>
      </c>
      <c r="M373" s="111"/>
      <c r="N373" s="111"/>
      <c r="O373" s="111"/>
      <c r="P373" s="111"/>
      <c r="Q373" s="112"/>
      <c r="R373" s="103"/>
      <c r="S373" s="103"/>
      <c r="T373" s="103"/>
      <c r="U373" s="103"/>
      <c r="V373" s="103"/>
      <c r="W373" s="103"/>
      <c r="X373" s="103"/>
      <c r="Y373" s="103"/>
      <c r="Z373" s="103"/>
      <c r="AA373" s="103"/>
    </row>
    <row r="374" spans="1:27" ht="51" x14ac:dyDescent="0.2">
      <c r="A374" s="110">
        <v>371</v>
      </c>
      <c r="B374" s="110" t="s">
        <v>67</v>
      </c>
      <c r="C374" s="111" t="str">
        <f ca="1">IFERROR(__xludf.DUMMYFUNCTION("""COMPUTED_VALUE"""),"г.о. Талдомский")</f>
        <v>г.о. Талдомский</v>
      </c>
      <c r="D374" s="111" t="str">
        <f ca="1">IFERROR(__xludf.DUMMYFUNCTION("""COMPUTED_VALUE"""),"Реконструкция котельной ""Топочная"", г. Талдом, ул. Первомайская, д.43а, г.о. Талдомский (в т.ч. ПИР, ТП)  ")</f>
        <v xml:space="preserve">Реконструкция котельной "Топочная", г. Талдом, ул. Первомайская, д.43а, г.о. Талдомский (в т.ч. ПИР, ТП)  </v>
      </c>
      <c r="E374" s="111" t="str">
        <f ca="1">IFERROR(__xludf.DUMMYFUNCTION("""COMPUTED_VALUE"""),"2023-2024")</f>
        <v>2023-2024</v>
      </c>
      <c r="F374" s="113">
        <f ca="1">IFERROR(__xludf.DUMMYFUNCTION("""COMPUTED_VALUE"""),0)</f>
        <v>0</v>
      </c>
      <c r="G374" s="113">
        <f ca="1">IFERROR(__xludf.DUMMYFUNCTION("""COMPUTED_VALUE"""),0)</f>
        <v>0</v>
      </c>
      <c r="H374" s="113">
        <f ca="1">IFERROR(__xludf.DUMMYFUNCTION("""COMPUTED_VALUE"""),0)</f>
        <v>0</v>
      </c>
      <c r="I374" s="113">
        <f ca="1">IFERROR(__xludf.DUMMYFUNCTION("""COMPUTED_VALUE"""),0)</f>
        <v>0</v>
      </c>
      <c r="J374" s="111">
        <f ca="1">IFERROR(__xludf.DUMMYFUNCTION("""COMPUTED_VALUE"""),0)</f>
        <v>0</v>
      </c>
      <c r="K374" s="113">
        <f ca="1">IFERROR(__xludf.DUMMYFUNCTION("""COMPUTED_VALUE"""),0)</f>
        <v>0</v>
      </c>
      <c r="L374" s="114" t="str">
        <f ca="1">IFERROR(__xludf.DUMMYFUNCTION("""COMPUTED_VALUE"""),"#DIV/0!")</f>
        <v>#DIV/0!</v>
      </c>
      <c r="M374" s="111"/>
      <c r="N374" s="111"/>
      <c r="O374" s="111"/>
      <c r="P374" s="111"/>
      <c r="Q374" s="112"/>
      <c r="R374" s="103"/>
      <c r="S374" s="103"/>
      <c r="T374" s="103"/>
      <c r="U374" s="103"/>
      <c r="V374" s="103"/>
      <c r="W374" s="103"/>
      <c r="X374" s="103"/>
      <c r="Y374" s="103"/>
      <c r="Z374" s="103"/>
      <c r="AA374" s="103"/>
    </row>
    <row r="375" spans="1:27" ht="51" x14ac:dyDescent="0.2">
      <c r="A375" s="110">
        <v>372</v>
      </c>
      <c r="B375" s="110" t="s">
        <v>67</v>
      </c>
      <c r="C375" s="111" t="str">
        <f ca="1">IFERROR(__xludf.DUMMYFUNCTION("""COMPUTED_VALUE"""),"г.о. Егорьевск")</f>
        <v>г.о. Егорьевск</v>
      </c>
      <c r="D375" s="111" t="str">
        <f ca="1">IFERROR(__xludf.DUMMYFUNCTION("""COMPUTED_VALUE"""),"Реконструкция котельной и ЦТП по адресу г.Егорьевск, ул. Меланжистов д.3б, г.о. Егорьевск (в т.ч. ПИР)")</f>
        <v>Реконструкция котельной и ЦТП по адресу г.Егорьевск, ул. Меланжистов д.3б, г.о. Егорьевск (в т.ч. ПИР)</v>
      </c>
      <c r="E375" s="111" t="str">
        <f ca="1">IFERROR(__xludf.DUMMYFUNCTION("""COMPUTED_VALUE"""),"2022-2024")</f>
        <v>2022-2024</v>
      </c>
      <c r="F375" s="113">
        <f ca="1">IFERROR(__xludf.DUMMYFUNCTION("""COMPUTED_VALUE"""),0)</f>
        <v>0</v>
      </c>
      <c r="G375" s="113">
        <f ca="1">IFERROR(__xludf.DUMMYFUNCTION("""COMPUTED_VALUE"""),0)</f>
        <v>0</v>
      </c>
      <c r="H375" s="113">
        <f ca="1">IFERROR(__xludf.DUMMYFUNCTION("""COMPUTED_VALUE"""),0)</f>
        <v>0</v>
      </c>
      <c r="I375" s="113">
        <f ca="1">IFERROR(__xludf.DUMMYFUNCTION("""COMPUTED_VALUE"""),0)</f>
        <v>0</v>
      </c>
      <c r="J375" s="111">
        <f ca="1">IFERROR(__xludf.DUMMYFUNCTION("""COMPUTED_VALUE"""),0)</f>
        <v>0</v>
      </c>
      <c r="K375" s="113">
        <f ca="1">IFERROR(__xludf.DUMMYFUNCTION("""COMPUTED_VALUE"""),0)</f>
        <v>0</v>
      </c>
      <c r="L375" s="114" t="str">
        <f ca="1">IFERROR(__xludf.DUMMYFUNCTION("""COMPUTED_VALUE"""),"#DIV/0!")</f>
        <v>#DIV/0!</v>
      </c>
      <c r="M375" s="111"/>
      <c r="N375" s="111"/>
      <c r="O375" s="111"/>
      <c r="P375" s="111"/>
      <c r="Q375" s="112"/>
      <c r="R375" s="103"/>
      <c r="S375" s="103"/>
      <c r="T375" s="103"/>
      <c r="U375" s="103"/>
      <c r="V375" s="103"/>
      <c r="W375" s="103"/>
      <c r="X375" s="103"/>
      <c r="Y375" s="103"/>
      <c r="Z375" s="103"/>
      <c r="AA375" s="103"/>
    </row>
    <row r="376" spans="1:27" ht="51" x14ac:dyDescent="0.2">
      <c r="A376" s="110">
        <v>373</v>
      </c>
      <c r="B376" s="110" t="s">
        <v>67</v>
      </c>
      <c r="C376" s="111" t="str">
        <f ca="1">IFERROR(__xludf.DUMMYFUNCTION("""COMPUTED_VALUE"""),"г.о. Егорьевск")</f>
        <v>г.о. Егорьевск</v>
      </c>
      <c r="D376" s="111" t="str">
        <f ca="1">IFERROR(__xludf.DUMMYFUNCTION("""COMPUTED_VALUE"""),"Реконструкция  котельной и ЦТП по адресу г.Егорьевск, ул. Жукова гора, д. 19б, г.о. Егорьевск (в т.ч. ПИР)")</f>
        <v>Реконструкция  котельной и ЦТП по адресу г.Егорьевск, ул. Жукова гора, д. 19б, г.о. Егорьевск (в т.ч. ПИР)</v>
      </c>
      <c r="E376" s="111" t="str">
        <f ca="1">IFERROR(__xludf.DUMMYFUNCTION("""COMPUTED_VALUE"""),"2022-2024")</f>
        <v>2022-2024</v>
      </c>
      <c r="F376" s="113">
        <f ca="1">IFERROR(__xludf.DUMMYFUNCTION("""COMPUTED_VALUE"""),0)</f>
        <v>0</v>
      </c>
      <c r="G376" s="113">
        <f ca="1">IFERROR(__xludf.DUMMYFUNCTION("""COMPUTED_VALUE"""),0)</f>
        <v>0</v>
      </c>
      <c r="H376" s="113">
        <f ca="1">IFERROR(__xludf.DUMMYFUNCTION("""COMPUTED_VALUE"""),0)</f>
        <v>0</v>
      </c>
      <c r="I376" s="113">
        <f ca="1">IFERROR(__xludf.DUMMYFUNCTION("""COMPUTED_VALUE"""),0)</f>
        <v>0</v>
      </c>
      <c r="J376" s="111">
        <f ca="1">IFERROR(__xludf.DUMMYFUNCTION("""COMPUTED_VALUE"""),0)</f>
        <v>0</v>
      </c>
      <c r="K376" s="113">
        <f ca="1">IFERROR(__xludf.DUMMYFUNCTION("""COMPUTED_VALUE"""),0)</f>
        <v>0</v>
      </c>
      <c r="L376" s="114" t="str">
        <f ca="1">IFERROR(__xludf.DUMMYFUNCTION("""COMPUTED_VALUE"""),"#DIV/0!")</f>
        <v>#DIV/0!</v>
      </c>
      <c r="M376" s="111"/>
      <c r="N376" s="111"/>
      <c r="O376" s="111"/>
      <c r="P376" s="111"/>
      <c r="Q376" s="112"/>
      <c r="R376" s="103"/>
      <c r="S376" s="103"/>
      <c r="T376" s="103"/>
      <c r="U376" s="103"/>
      <c r="V376" s="103"/>
      <c r="W376" s="103"/>
      <c r="X376" s="103"/>
      <c r="Y376" s="103"/>
      <c r="Z376" s="103"/>
      <c r="AA376" s="103"/>
    </row>
    <row r="377" spans="1:27" ht="51" x14ac:dyDescent="0.2">
      <c r="A377" s="110">
        <v>374</v>
      </c>
      <c r="B377" s="110" t="s">
        <v>67</v>
      </c>
      <c r="C377" s="111" t="str">
        <f ca="1">IFERROR(__xludf.DUMMYFUNCTION("""COMPUTED_VALUE"""),"г.о. Егорьевск")</f>
        <v>г.о. Егорьевск</v>
      </c>
      <c r="D377" s="111" t="str">
        <f ca="1">IFERROR(__xludf.DUMMYFUNCTION("""COMPUTED_VALUE"""),"Реконструкция котельной и ЦТП по адресу г.Егорьевск, ул. Парижской коммуны, д. 1б, г.о. Егорьевск (в т.ч. ПИР)")</f>
        <v>Реконструкция котельной и ЦТП по адресу г.Егорьевск, ул. Парижской коммуны, д. 1б, г.о. Егорьевск (в т.ч. ПИР)</v>
      </c>
      <c r="E377" s="111" t="str">
        <f ca="1">IFERROR(__xludf.DUMMYFUNCTION("""COMPUTED_VALUE"""),"2022-2024")</f>
        <v>2022-2024</v>
      </c>
      <c r="F377" s="113">
        <f ca="1">IFERROR(__xludf.DUMMYFUNCTION("""COMPUTED_VALUE"""),0)</f>
        <v>0</v>
      </c>
      <c r="G377" s="113">
        <f ca="1">IFERROR(__xludf.DUMMYFUNCTION("""COMPUTED_VALUE"""),0)</f>
        <v>0</v>
      </c>
      <c r="H377" s="113">
        <f ca="1">IFERROR(__xludf.DUMMYFUNCTION("""COMPUTED_VALUE"""),0)</f>
        <v>0</v>
      </c>
      <c r="I377" s="113">
        <f ca="1">IFERROR(__xludf.DUMMYFUNCTION("""COMPUTED_VALUE"""),0)</f>
        <v>0</v>
      </c>
      <c r="J377" s="111">
        <f ca="1">IFERROR(__xludf.DUMMYFUNCTION("""COMPUTED_VALUE"""),0)</f>
        <v>0</v>
      </c>
      <c r="K377" s="113">
        <f ca="1">IFERROR(__xludf.DUMMYFUNCTION("""COMPUTED_VALUE"""),0)</f>
        <v>0</v>
      </c>
      <c r="L377" s="114" t="str">
        <f ca="1">IFERROR(__xludf.DUMMYFUNCTION("""COMPUTED_VALUE"""),"#DIV/0!")</f>
        <v>#DIV/0!</v>
      </c>
      <c r="M377" s="111"/>
      <c r="N377" s="111"/>
      <c r="O377" s="111"/>
      <c r="P377" s="111"/>
      <c r="Q377" s="112"/>
      <c r="R377" s="103"/>
      <c r="S377" s="103"/>
      <c r="T377" s="103"/>
      <c r="U377" s="103"/>
      <c r="V377" s="103"/>
      <c r="W377" s="103"/>
      <c r="X377" s="103"/>
      <c r="Y377" s="103"/>
      <c r="Z377" s="103"/>
      <c r="AA377" s="103"/>
    </row>
    <row r="378" spans="1:27" ht="51" x14ac:dyDescent="0.2">
      <c r="A378" s="110">
        <v>375</v>
      </c>
      <c r="B378" s="110" t="s">
        <v>67</v>
      </c>
      <c r="C378" s="111" t="str">
        <f ca="1">IFERROR(__xludf.DUMMYFUNCTION("""COMPUTED_VALUE"""),"г.о. Волоколамский")</f>
        <v>г.о. Волоколамский</v>
      </c>
      <c r="D378" s="111" t="str">
        <f ca="1">IFERROR(__xludf.DUMMYFUNCTION("""COMPUTED_VALUE"""),"Строительство котельной №34, с. Ярополец, ул. Пушкинская, г.о. Волоколамский (в т.ч. ПИР, ТП)")</f>
        <v>Строительство котельной №34, с. Ярополец, ул. Пушкинская, г.о. Волоколамский (в т.ч. ПИР, ТП)</v>
      </c>
      <c r="E378" s="111" t="str">
        <f ca="1">IFERROR(__xludf.DUMMYFUNCTION("""COMPUTED_VALUE"""),"2022-2023")</f>
        <v>2022-2023</v>
      </c>
      <c r="F378" s="113">
        <f ca="1">IFERROR(__xludf.DUMMYFUNCTION("""COMPUTED_VALUE"""),0)</f>
        <v>0</v>
      </c>
      <c r="G378" s="113">
        <f ca="1">IFERROR(__xludf.DUMMYFUNCTION("""COMPUTED_VALUE"""),0)</f>
        <v>0</v>
      </c>
      <c r="H378" s="113">
        <f ca="1">IFERROR(__xludf.DUMMYFUNCTION("""COMPUTED_VALUE"""),0)</f>
        <v>0</v>
      </c>
      <c r="I378" s="113">
        <f ca="1">IFERROR(__xludf.DUMMYFUNCTION("""COMPUTED_VALUE"""),0)</f>
        <v>0</v>
      </c>
      <c r="J378" s="111">
        <f ca="1">IFERROR(__xludf.DUMMYFUNCTION("""COMPUTED_VALUE"""),0)</f>
        <v>0</v>
      </c>
      <c r="K378" s="113">
        <f ca="1">IFERROR(__xludf.DUMMYFUNCTION("""COMPUTED_VALUE"""),0)</f>
        <v>0</v>
      </c>
      <c r="L378" s="114" t="str">
        <f ca="1">IFERROR(__xludf.DUMMYFUNCTION("""COMPUTED_VALUE"""),"#DIV/0!")</f>
        <v>#DIV/0!</v>
      </c>
      <c r="M378" s="111"/>
      <c r="N378" s="111"/>
      <c r="O378" s="111"/>
      <c r="P378" s="111"/>
      <c r="Q378" s="112"/>
      <c r="R378" s="103"/>
      <c r="S378" s="103"/>
      <c r="T378" s="103"/>
      <c r="U378" s="103"/>
      <c r="V378" s="103"/>
      <c r="W378" s="103"/>
      <c r="X378" s="103"/>
      <c r="Y378" s="103"/>
      <c r="Z378" s="103"/>
      <c r="AA378" s="103"/>
    </row>
    <row r="379" spans="1:27" ht="51" x14ac:dyDescent="0.2">
      <c r="A379" s="110">
        <v>376</v>
      </c>
      <c r="B379" s="110" t="s">
        <v>67</v>
      </c>
      <c r="C379" s="111" t="str">
        <f ca="1">IFERROR(__xludf.DUMMYFUNCTION("""COMPUTED_VALUE"""),"г.о. Богородский")</f>
        <v>г.о. Богородский</v>
      </c>
      <c r="D379" s="111" t="str">
        <f ca="1">IFERROR(__xludf.DUMMYFUNCTION("""COMPUTED_VALUE"""),"Строительство котельной по адресу г. Электроугли,  ул. Маяковского, д. 25,  Богородский г.о. (в т.ч. ПИР)")</f>
        <v>Строительство котельной по адресу г. Электроугли,  ул. Маяковского, д. 25,  Богородский г.о. (в т.ч. ПИР)</v>
      </c>
      <c r="E379" s="111" t="str">
        <f ca="1">IFERROR(__xludf.DUMMYFUNCTION("""COMPUTED_VALUE"""),"2022-2024")</f>
        <v>2022-2024</v>
      </c>
      <c r="F379" s="113">
        <f ca="1">IFERROR(__xludf.DUMMYFUNCTION("""COMPUTED_VALUE"""),0)</f>
        <v>0</v>
      </c>
      <c r="G379" s="113">
        <f ca="1">IFERROR(__xludf.DUMMYFUNCTION("""COMPUTED_VALUE"""),0)</f>
        <v>0</v>
      </c>
      <c r="H379" s="113">
        <f ca="1">IFERROR(__xludf.DUMMYFUNCTION("""COMPUTED_VALUE"""),0)</f>
        <v>0</v>
      </c>
      <c r="I379" s="113">
        <f ca="1">IFERROR(__xludf.DUMMYFUNCTION("""COMPUTED_VALUE"""),0)</f>
        <v>0</v>
      </c>
      <c r="J379" s="111">
        <f ca="1">IFERROR(__xludf.DUMMYFUNCTION("""COMPUTED_VALUE"""),0)</f>
        <v>0</v>
      </c>
      <c r="K379" s="113">
        <f ca="1">IFERROR(__xludf.DUMMYFUNCTION("""COMPUTED_VALUE"""),0)</f>
        <v>0</v>
      </c>
      <c r="L379" s="114" t="str">
        <f ca="1">IFERROR(__xludf.DUMMYFUNCTION("""COMPUTED_VALUE"""),"#DIV/0!")</f>
        <v>#DIV/0!</v>
      </c>
      <c r="M379" s="111"/>
      <c r="N379" s="111"/>
      <c r="O379" s="111"/>
      <c r="P379" s="111"/>
      <c r="Q379" s="112"/>
      <c r="R379" s="103"/>
      <c r="S379" s="103"/>
      <c r="T379" s="103"/>
      <c r="U379" s="103"/>
      <c r="V379" s="103"/>
      <c r="W379" s="103"/>
      <c r="X379" s="103"/>
      <c r="Y379" s="103"/>
      <c r="Z379" s="103"/>
      <c r="AA379" s="103"/>
    </row>
    <row r="380" spans="1:27" ht="51" x14ac:dyDescent="0.2">
      <c r="A380" s="110">
        <v>377</v>
      </c>
      <c r="B380" s="110" t="s">
        <v>67</v>
      </c>
      <c r="C380" s="111" t="str">
        <f ca="1">IFERROR(__xludf.DUMMYFUNCTION("""COMPUTED_VALUE"""),"г.о. Богородский")</f>
        <v>г.о. Богородский</v>
      </c>
      <c r="D380" s="111" t="str">
        <f ca="1">IFERROR(__xludf.DUMMYFUNCTION("""COMPUTED_VALUE"""),"Реконструкция котельной ""Заречье"", г.Ногинск, ул. Соединительная, д. 5,  Богородский г.о. (в т.ч. ПИР, ТП)")</f>
        <v>Реконструкция котельной "Заречье", г.Ногинск, ул. Соединительная, д. 5,  Богородский г.о. (в т.ч. ПИР, ТП)</v>
      </c>
      <c r="E380" s="111" t="str">
        <f ca="1">IFERROR(__xludf.DUMMYFUNCTION("""COMPUTED_VALUE"""),"2022-2024")</f>
        <v>2022-2024</v>
      </c>
      <c r="F380" s="113">
        <f ca="1">IFERROR(__xludf.DUMMYFUNCTION("""COMPUTED_VALUE"""),0)</f>
        <v>0</v>
      </c>
      <c r="G380" s="113">
        <f ca="1">IFERROR(__xludf.DUMMYFUNCTION("""COMPUTED_VALUE"""),0)</f>
        <v>0</v>
      </c>
      <c r="H380" s="113">
        <f ca="1">IFERROR(__xludf.DUMMYFUNCTION("""COMPUTED_VALUE"""),0)</f>
        <v>0</v>
      </c>
      <c r="I380" s="113">
        <f ca="1">IFERROR(__xludf.DUMMYFUNCTION("""COMPUTED_VALUE"""),0)</f>
        <v>0</v>
      </c>
      <c r="J380" s="111">
        <f ca="1">IFERROR(__xludf.DUMMYFUNCTION("""COMPUTED_VALUE"""),0)</f>
        <v>0</v>
      </c>
      <c r="K380" s="113">
        <f ca="1">IFERROR(__xludf.DUMMYFUNCTION("""COMPUTED_VALUE"""),0)</f>
        <v>0</v>
      </c>
      <c r="L380" s="114" t="str">
        <f ca="1">IFERROR(__xludf.DUMMYFUNCTION("""COMPUTED_VALUE"""),"#DIV/0!")</f>
        <v>#DIV/0!</v>
      </c>
      <c r="M380" s="111"/>
      <c r="N380" s="111"/>
      <c r="O380" s="111"/>
      <c r="P380" s="111"/>
      <c r="Q380" s="112"/>
      <c r="R380" s="103"/>
      <c r="S380" s="103"/>
      <c r="T380" s="103"/>
      <c r="U380" s="103"/>
      <c r="V380" s="103"/>
      <c r="W380" s="103"/>
      <c r="X380" s="103"/>
      <c r="Y380" s="103"/>
      <c r="Z380" s="103"/>
      <c r="AA380" s="103"/>
    </row>
    <row r="381" spans="1:27" ht="216.75" x14ac:dyDescent="0.2">
      <c r="A381" s="110">
        <v>378</v>
      </c>
      <c r="B381" s="110" t="s">
        <v>54</v>
      </c>
      <c r="C381" s="111" t="str">
        <f ca="1">IFERROR(__xludf.DUMMYFUNCTION("""COMPUTED_VALUE"""),"г.о. Солнечногорск")</f>
        <v>г.о. Солнечногорск</v>
      </c>
      <c r="D381" s="111" t="str">
        <f ca="1">IFERROR(__xludf.DUMMYFUNCTION("""COMPUTED_VALUE"""),"""Строительство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11"&amp;" 508,00 тыс.руб. из них средства бюджета Московской области - 11 507,63 тыс.руб., средства бюджета муниципального образования - 0,37 тыс.руб. ""
")</f>
        <v xml:space="preserv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11 508,00 тыс.руб. из них средства бюджета Московской области - 11 507,63 тыс.руб., средства бюджета муниципального образования - 0,37 тыс.руб. "
</v>
      </c>
      <c r="E381" s="111">
        <f ca="1">IFERROR(__xludf.DUMMYFUNCTION("""COMPUTED_VALUE"""),2020)</f>
        <v>2020</v>
      </c>
      <c r="F381" s="113">
        <f ca="1">IFERROR(__xludf.DUMMYFUNCTION("""COMPUTED_VALUE"""),11507.63)</f>
        <v>11507.63</v>
      </c>
      <c r="G381" s="113">
        <f ca="1">IFERROR(__xludf.DUMMYFUNCTION("""COMPUTED_VALUE"""),11507.63)</f>
        <v>11507.63</v>
      </c>
      <c r="H381" s="113">
        <f ca="1">IFERROR(__xludf.DUMMYFUNCTION("""COMPUTED_VALUE"""),0)</f>
        <v>0</v>
      </c>
      <c r="I381" s="113">
        <f ca="1">IFERROR(__xludf.DUMMYFUNCTION("""COMPUTED_VALUE"""),0)</f>
        <v>0</v>
      </c>
      <c r="J381" s="111">
        <f ca="1">IFERROR(__xludf.DUMMYFUNCTION("""COMPUTED_VALUE"""),11507.63)</f>
        <v>11507.63</v>
      </c>
      <c r="K381" s="113">
        <f ca="1">IFERROR(__xludf.DUMMYFUNCTION("""COMPUTED_VALUE"""),0)</f>
        <v>0</v>
      </c>
      <c r="L381" s="114">
        <f ca="1">IFERROR(__xludf.DUMMYFUNCTION("""COMPUTED_VALUE"""),1)</f>
        <v>1</v>
      </c>
      <c r="M381" s="111"/>
      <c r="N381" s="110" t="s">
        <v>567</v>
      </c>
      <c r="O381" s="111"/>
      <c r="P381" s="111"/>
      <c r="Q381" s="112"/>
      <c r="R381" s="103"/>
      <c r="S381" s="103"/>
      <c r="T381" s="103"/>
      <c r="U381" s="103"/>
      <c r="V381" s="103"/>
      <c r="W381" s="103"/>
      <c r="X381" s="103"/>
      <c r="Y381" s="103"/>
      <c r="Z381" s="103"/>
      <c r="AA381" s="103"/>
    </row>
    <row r="382" spans="1:27" ht="76.5" x14ac:dyDescent="0.2">
      <c r="A382" s="110">
        <v>379</v>
      </c>
      <c r="B382" s="110" t="s">
        <v>54</v>
      </c>
      <c r="C382" s="111" t="str">
        <f ca="1">IFERROR(__xludf.DUMMYFUNCTION("""COMPUTED_VALUE"""),"г.о. Черноголовка")</f>
        <v>г.о. Черноголовка</v>
      </c>
      <c r="D382" s="111" t="str">
        <f ca="1">IFERROR(__xludf.DUMMYFUNCTION("""COMPUTED_VALUE"""),"Строительство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f>
        <v>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v>
      </c>
      <c r="E382" s="111" t="str">
        <f ca="1">IFERROR(__xludf.DUMMYFUNCTION("""COMPUTED_VALUE"""),"2022-2023")</f>
        <v>2022-2023</v>
      </c>
      <c r="F382" s="113">
        <f ca="1">IFERROR(__xludf.DUMMYFUNCTION("""COMPUTED_VALUE"""),0)</f>
        <v>0</v>
      </c>
      <c r="G382" s="113">
        <f ca="1">IFERROR(__xludf.DUMMYFUNCTION("""COMPUTED_VALUE"""),0)</f>
        <v>0</v>
      </c>
      <c r="H382" s="113">
        <f ca="1">IFERROR(__xludf.DUMMYFUNCTION("""COMPUTED_VALUE"""),0)</f>
        <v>0</v>
      </c>
      <c r="I382" s="113">
        <f ca="1">IFERROR(__xludf.DUMMYFUNCTION("""COMPUTED_VALUE"""),0)</f>
        <v>0</v>
      </c>
      <c r="J382" s="111">
        <f ca="1">IFERROR(__xludf.DUMMYFUNCTION("""COMPUTED_VALUE"""),0)</f>
        <v>0</v>
      </c>
      <c r="K382" s="113">
        <f ca="1">IFERROR(__xludf.DUMMYFUNCTION("""COMPUTED_VALUE"""),0)</f>
        <v>0</v>
      </c>
      <c r="L382" s="114" t="str">
        <f ca="1">IFERROR(__xludf.DUMMYFUNCTION("""COMPUTED_VALUE"""),"#DIV/0!")</f>
        <v>#DIV/0!</v>
      </c>
      <c r="M382" s="111"/>
      <c r="N382" s="111"/>
      <c r="O382" s="111"/>
      <c r="P382" s="111"/>
      <c r="Q382" s="112"/>
      <c r="R382" s="103"/>
      <c r="S382" s="103"/>
      <c r="T382" s="103"/>
      <c r="U382" s="103"/>
      <c r="V382" s="103"/>
      <c r="W382" s="103"/>
      <c r="X382" s="103"/>
      <c r="Y382" s="103"/>
      <c r="Z382" s="103"/>
      <c r="AA382" s="103"/>
    </row>
    <row r="383" spans="1:27" ht="38.25" x14ac:dyDescent="0.2">
      <c r="A383" s="110">
        <v>380</v>
      </c>
      <c r="B383" s="110" t="s">
        <v>54</v>
      </c>
      <c r="C383" s="111" t="str">
        <f ca="1">IFERROR(__xludf.DUMMYFUNCTION("""COMPUTED_VALUE"""),"г.о. Солнечногорск")</f>
        <v>г.о. Солнечногорск</v>
      </c>
      <c r="D383" s="111" t="str">
        <f ca="1">IFERROR(__xludf.DUMMYFUNCTION("""COMPUTED_VALUE"""),"Строительство сетей водоснбжения р.п. Андреевка, г.о. Солнечногорск")</f>
        <v>Строительство сетей водоснбжения р.п. Андреевка, г.о. Солнечногорск</v>
      </c>
      <c r="E383" s="111">
        <f ca="1">IFERROR(__xludf.DUMMYFUNCTION("""COMPUTED_VALUE"""),2022)</f>
        <v>2022</v>
      </c>
      <c r="F383" s="113">
        <f ca="1">IFERROR(__xludf.DUMMYFUNCTION("""COMPUTED_VALUE"""),0)</f>
        <v>0</v>
      </c>
      <c r="G383" s="113">
        <f ca="1">IFERROR(__xludf.DUMMYFUNCTION("""COMPUTED_VALUE"""),0)</f>
        <v>0</v>
      </c>
      <c r="H383" s="113">
        <f ca="1">IFERROR(__xludf.DUMMYFUNCTION("""COMPUTED_VALUE"""),0)</f>
        <v>0</v>
      </c>
      <c r="I383" s="113">
        <f ca="1">IFERROR(__xludf.DUMMYFUNCTION("""COMPUTED_VALUE"""),0)</f>
        <v>0</v>
      </c>
      <c r="J383" s="111">
        <f ca="1">IFERROR(__xludf.DUMMYFUNCTION("""COMPUTED_VALUE"""),0)</f>
        <v>0</v>
      </c>
      <c r="K383" s="113">
        <f ca="1">IFERROR(__xludf.DUMMYFUNCTION("""COMPUTED_VALUE"""),0)</f>
        <v>0</v>
      </c>
      <c r="L383" s="114" t="str">
        <f ca="1">IFERROR(__xludf.DUMMYFUNCTION("""COMPUTED_VALUE"""),"#DIV/0!")</f>
        <v>#DIV/0!</v>
      </c>
      <c r="M383" s="111"/>
      <c r="N383" s="111"/>
      <c r="O383" s="111"/>
      <c r="P383" s="111"/>
      <c r="Q383" s="112"/>
      <c r="R383" s="103"/>
      <c r="S383" s="103"/>
      <c r="T383" s="103"/>
      <c r="U383" s="103"/>
      <c r="V383" s="103"/>
      <c r="W383" s="103"/>
      <c r="X383" s="103"/>
      <c r="Y383" s="103"/>
      <c r="Z383" s="103"/>
      <c r="AA383" s="103"/>
    </row>
    <row r="384" spans="1:27" ht="38.25" x14ac:dyDescent="0.2">
      <c r="A384" s="110">
        <v>381</v>
      </c>
      <c r="B384" s="110" t="s">
        <v>54</v>
      </c>
      <c r="C384" s="111" t="str">
        <f ca="1">IFERROR(__xludf.DUMMYFUNCTION("""COMPUTED_VALUE"""),"г.о. Талдомский")</f>
        <v>г.о. Талдомский</v>
      </c>
      <c r="D384" s="111" t="str">
        <f ca="1">IFERROR(__xludf.DUMMYFUNCTION("""COMPUTED_VALUE"""),"Строительство дренажной системы (в т.ч. ПИР)  в рп. Запрудня, Талдомский г.о.")</f>
        <v>Строительство дренажной системы (в т.ч. ПИР)  в рп. Запрудня, Талдомский г.о.</v>
      </c>
      <c r="E384" s="111" t="str">
        <f ca="1">IFERROR(__xludf.DUMMYFUNCTION("""COMPUTED_VALUE"""),"2020-2022")</f>
        <v>2020-2022</v>
      </c>
      <c r="F384" s="113">
        <f ca="1">IFERROR(__xludf.DUMMYFUNCTION("""COMPUTED_VALUE"""),3928)</f>
        <v>3928</v>
      </c>
      <c r="G384" s="113">
        <f ca="1">IFERROR(__xludf.DUMMYFUNCTION("""COMPUTED_VALUE"""),3928)</f>
        <v>3928</v>
      </c>
      <c r="H384" s="113">
        <f ca="1">IFERROR(__xludf.DUMMYFUNCTION("""COMPUTED_VALUE"""),0)</f>
        <v>0</v>
      </c>
      <c r="I384" s="113">
        <f ca="1">IFERROR(__xludf.DUMMYFUNCTION("""COMPUTED_VALUE"""),0)</f>
        <v>0</v>
      </c>
      <c r="J384" s="111">
        <f ca="1">IFERROR(__xludf.DUMMYFUNCTION("""COMPUTED_VALUE"""),3928)</f>
        <v>3928</v>
      </c>
      <c r="K384" s="113">
        <f ca="1">IFERROR(__xludf.DUMMYFUNCTION("""COMPUTED_VALUE"""),0)</f>
        <v>0</v>
      </c>
      <c r="L384" s="114">
        <f ca="1">IFERROR(__xludf.DUMMYFUNCTION("""COMPUTED_VALUE"""),1)</f>
        <v>1</v>
      </c>
      <c r="M384" s="111"/>
      <c r="N384" s="110" t="s">
        <v>564</v>
      </c>
      <c r="O384" s="111"/>
      <c r="P384" s="111"/>
      <c r="Q384" s="112"/>
      <c r="R384" s="103"/>
      <c r="S384" s="103"/>
      <c r="T384" s="103"/>
      <c r="U384" s="103"/>
      <c r="V384" s="103"/>
      <c r="W384" s="103"/>
      <c r="X384" s="103"/>
      <c r="Y384" s="103"/>
      <c r="Z384" s="103"/>
      <c r="AA384" s="103"/>
    </row>
    <row r="385" spans="1:27" ht="63.75" x14ac:dyDescent="0.2">
      <c r="A385" s="110">
        <v>382</v>
      </c>
      <c r="B385" s="110" t="s">
        <v>54</v>
      </c>
      <c r="C385" s="111" t="str">
        <f ca="1">IFERROR(__xludf.DUMMYFUNCTION("""COMPUTED_VALUE"""),"г.о. Кашира")</f>
        <v>г.о. Кашира</v>
      </c>
      <c r="D385" s="111" t="str">
        <f ca="1">IFERROR(__xludf.DUMMYFUNCTION("""COMPUTED_VALUE"""),"Внеплощадочные сети для очистных сооружений по адресу: Московская обл., городской округ Кашира, г.Кашира, д. Терново-1 (ПИР)")</f>
        <v>Внеплощадочные сети для очистных сооружений по адресу: Московская обл., городской округ Кашира, г.Кашира, д. Терново-1 (ПИР)</v>
      </c>
      <c r="E385" s="111">
        <f ca="1">IFERROR(__xludf.DUMMYFUNCTION("""COMPUTED_VALUE"""),2022)</f>
        <v>2022</v>
      </c>
      <c r="F385" s="113">
        <f ca="1">IFERROR(__xludf.DUMMYFUNCTION("""COMPUTED_VALUE"""),0)</f>
        <v>0</v>
      </c>
      <c r="G385" s="113">
        <f ca="1">IFERROR(__xludf.DUMMYFUNCTION("""COMPUTED_VALUE"""),0)</f>
        <v>0</v>
      </c>
      <c r="H385" s="113">
        <f ca="1">IFERROR(__xludf.DUMMYFUNCTION("""COMPUTED_VALUE"""),0)</f>
        <v>0</v>
      </c>
      <c r="I385" s="113">
        <f ca="1">IFERROR(__xludf.DUMMYFUNCTION("""COMPUTED_VALUE"""),0)</f>
        <v>0</v>
      </c>
      <c r="J385" s="111">
        <f ca="1">IFERROR(__xludf.DUMMYFUNCTION("""COMPUTED_VALUE"""),0)</f>
        <v>0</v>
      </c>
      <c r="K385" s="113">
        <f ca="1">IFERROR(__xludf.DUMMYFUNCTION("""COMPUTED_VALUE"""),0)</f>
        <v>0</v>
      </c>
      <c r="L385" s="114" t="str">
        <f ca="1">IFERROR(__xludf.DUMMYFUNCTION("""COMPUTED_VALUE"""),"#DIV/0!")</f>
        <v>#DIV/0!</v>
      </c>
      <c r="M385" s="111" t="str">
        <f ca="1">IFERROR(__xludf.DUMMYFUNCTION("""COMPUTED_VALUE"""),"6555,0 расход в 2020 году????? прошла")</f>
        <v>6555,0 расход в 2020 году????? прошла</v>
      </c>
      <c r="N385" s="111"/>
      <c r="O385" s="111"/>
      <c r="P385" s="111"/>
      <c r="Q385" s="112"/>
      <c r="R385" s="103"/>
      <c r="S385" s="103"/>
      <c r="T385" s="103"/>
      <c r="U385" s="103"/>
      <c r="V385" s="103"/>
      <c r="W385" s="103"/>
      <c r="X385" s="103"/>
      <c r="Y385" s="103"/>
      <c r="Z385" s="103"/>
      <c r="AA385" s="103"/>
    </row>
    <row r="386" spans="1:27" ht="63.75" x14ac:dyDescent="0.2">
      <c r="A386" s="110">
        <v>383</v>
      </c>
      <c r="B386" s="110" t="s">
        <v>54</v>
      </c>
      <c r="C386" s="111" t="str">
        <f ca="1">IFERROR(__xludf.DUMMYFUNCTION("""COMPUTED_VALUE"""),"г.о. Шатура")</f>
        <v>г.о. Шатура</v>
      </c>
      <c r="D386" s="111" t="str">
        <f ca="1">IFERROR(__xludf.DUMMYFUNCTION("""COMPUTED_VALUE"""),"Строительство наружный сетей водоснабжения, водоотведеиня и теплоснабжения  г.о. Шатура (бывшая территория г.о. Рошаль) ПИР")</f>
        <v>Строительство наружный сетей водоснабжения, водоотведеиня и теплоснабжения  г.о. Шатура (бывшая территория г.о. Рошаль) ПИР</v>
      </c>
      <c r="E386" s="111" t="str">
        <f ca="1">IFERROR(__xludf.DUMMYFUNCTION("""COMPUTED_VALUE"""),"2023-2024")</f>
        <v>2023-2024</v>
      </c>
      <c r="F386" s="113">
        <f ca="1">IFERROR(__xludf.DUMMYFUNCTION("""COMPUTED_VALUE"""),0)</f>
        <v>0</v>
      </c>
      <c r="G386" s="113">
        <f ca="1">IFERROR(__xludf.DUMMYFUNCTION("""COMPUTED_VALUE"""),0)</f>
        <v>0</v>
      </c>
      <c r="H386" s="113">
        <f ca="1">IFERROR(__xludf.DUMMYFUNCTION("""COMPUTED_VALUE"""),0)</f>
        <v>0</v>
      </c>
      <c r="I386" s="113">
        <f ca="1">IFERROR(__xludf.DUMMYFUNCTION("""COMPUTED_VALUE"""),0)</f>
        <v>0</v>
      </c>
      <c r="J386" s="111">
        <f ca="1">IFERROR(__xludf.DUMMYFUNCTION("""COMPUTED_VALUE"""),0)</f>
        <v>0</v>
      </c>
      <c r="K386" s="113">
        <f ca="1">IFERROR(__xludf.DUMMYFUNCTION("""COMPUTED_VALUE"""),0)</f>
        <v>0</v>
      </c>
      <c r="L386" s="114" t="str">
        <f ca="1">IFERROR(__xludf.DUMMYFUNCTION("""COMPUTED_VALUE"""),"#DIV/0!")</f>
        <v>#DIV/0!</v>
      </c>
      <c r="M386" s="111"/>
      <c r="N386" s="111"/>
      <c r="O386" s="111"/>
      <c r="P386" s="111"/>
      <c r="Q386" s="112"/>
      <c r="R386" s="103"/>
      <c r="S386" s="103"/>
      <c r="T386" s="103"/>
      <c r="U386" s="103"/>
      <c r="V386" s="103"/>
      <c r="W386" s="103"/>
      <c r="X386" s="103"/>
      <c r="Y386" s="103"/>
      <c r="Z386" s="103"/>
      <c r="AA386" s="103"/>
    </row>
    <row r="387" spans="1:27" ht="38.25" x14ac:dyDescent="0.2">
      <c r="A387" s="110">
        <v>384</v>
      </c>
      <c r="B387" s="110" t="s">
        <v>54</v>
      </c>
      <c r="C387" s="111" t="str">
        <f ca="1">IFERROR(__xludf.DUMMYFUNCTION("""COMPUTED_VALUE"""),"г.о. Одинцово")</f>
        <v>г.о. Одинцово</v>
      </c>
      <c r="D387" s="111" t="str">
        <f ca="1">IFERROR(__xludf.DUMMYFUNCTION("""COMPUTED_VALUE"""),"Строительство сетей водоснабжения и водоотведения в д. Подушкино, Одинцово г.о.")</f>
        <v>Строительство сетей водоснабжения и водоотведения в д. Подушкино, Одинцово г.о.</v>
      </c>
      <c r="E387" s="111">
        <f ca="1">IFERROR(__xludf.DUMMYFUNCTION("""COMPUTED_VALUE"""),2022)</f>
        <v>2022</v>
      </c>
      <c r="F387" s="113">
        <f ca="1">IFERROR(__xludf.DUMMYFUNCTION("""COMPUTED_VALUE"""),0)</f>
        <v>0</v>
      </c>
      <c r="G387" s="113">
        <f ca="1">IFERROR(__xludf.DUMMYFUNCTION("""COMPUTED_VALUE"""),0)</f>
        <v>0</v>
      </c>
      <c r="H387" s="113">
        <f ca="1">IFERROR(__xludf.DUMMYFUNCTION("""COMPUTED_VALUE"""),0)</f>
        <v>0</v>
      </c>
      <c r="I387" s="113">
        <f ca="1">IFERROR(__xludf.DUMMYFUNCTION("""COMPUTED_VALUE"""),0)</f>
        <v>0</v>
      </c>
      <c r="J387" s="111">
        <f ca="1">IFERROR(__xludf.DUMMYFUNCTION("""COMPUTED_VALUE"""),0)</f>
        <v>0</v>
      </c>
      <c r="K387" s="113">
        <f ca="1">IFERROR(__xludf.DUMMYFUNCTION("""COMPUTED_VALUE"""),0)</f>
        <v>0</v>
      </c>
      <c r="L387" s="114" t="str">
        <f ca="1">IFERROR(__xludf.DUMMYFUNCTION("""COMPUTED_VALUE"""),"#DIV/0!")</f>
        <v>#DIV/0!</v>
      </c>
      <c r="M387" s="111"/>
      <c r="N387" s="111"/>
      <c r="O387" s="111"/>
      <c r="P387" s="111"/>
      <c r="Q387" s="112"/>
      <c r="R387" s="103"/>
      <c r="S387" s="103"/>
      <c r="T387" s="103"/>
      <c r="U387" s="103"/>
      <c r="V387" s="103"/>
      <c r="W387" s="103"/>
      <c r="X387" s="103"/>
      <c r="Y387" s="103"/>
      <c r="Z387" s="103"/>
      <c r="AA387" s="103"/>
    </row>
    <row r="388" spans="1:27" ht="76.5" x14ac:dyDescent="0.2">
      <c r="A388" s="110">
        <v>385</v>
      </c>
      <c r="B388" s="110" t="s">
        <v>54</v>
      </c>
      <c r="C388" s="111" t="str">
        <f ca="1">IFERROR(__xludf.DUMMYFUNCTION("""COMPUTED_VALUE"""),"г.о. Черноголовка")</f>
        <v>г.о. Черноголовка</v>
      </c>
      <c r="D388" s="111" t="str">
        <f ca="1">IFERROR(__xludf.DUMMYFUNCTION("""COMPUTED_VALUE"""),"Реконструкция участка магистральной тепловой сети Ду 700 от центральной котельной до тепловой камеры ТК-3 по адресу: Московская область, г. Черноголовка")</f>
        <v>Реконструкция участка магистральной тепловой сети Ду 700 от центральной котельной до тепловой камеры ТК-3 по адресу: Московская область, г. Черноголовка</v>
      </c>
      <c r="E388" s="111">
        <f ca="1">IFERROR(__xludf.DUMMYFUNCTION("""COMPUTED_VALUE"""),2020)</f>
        <v>2020</v>
      </c>
      <c r="F388" s="113">
        <f ca="1">IFERROR(__xludf.DUMMYFUNCTION("""COMPUTED_VALUE"""),0)</f>
        <v>0</v>
      </c>
      <c r="G388" s="113">
        <f ca="1">IFERROR(__xludf.DUMMYFUNCTION("""COMPUTED_VALUE"""),0)</f>
        <v>0</v>
      </c>
      <c r="H388" s="113">
        <f ca="1">IFERROR(__xludf.DUMMYFUNCTION("""COMPUTED_VALUE"""),0)</f>
        <v>0</v>
      </c>
      <c r="I388" s="113">
        <f ca="1">IFERROR(__xludf.DUMMYFUNCTION("""COMPUTED_VALUE"""),0)</f>
        <v>0</v>
      </c>
      <c r="J388" s="111">
        <f ca="1">IFERROR(__xludf.DUMMYFUNCTION("""COMPUTED_VALUE"""),0)</f>
        <v>0</v>
      </c>
      <c r="K388" s="113">
        <f ca="1">IFERROR(__xludf.DUMMYFUNCTION("""COMPUTED_VALUE"""),0)</f>
        <v>0</v>
      </c>
      <c r="L388" s="114" t="str">
        <f ca="1">IFERROR(__xludf.DUMMYFUNCTION("""COMPUTED_VALUE"""),"#DIV/0!")</f>
        <v>#DIV/0!</v>
      </c>
      <c r="M388" s="111"/>
      <c r="N388" s="111"/>
      <c r="O388" s="111"/>
      <c r="P388" s="111"/>
      <c r="Q388" s="112"/>
      <c r="R388" s="103"/>
      <c r="S388" s="103"/>
      <c r="T388" s="103"/>
      <c r="U388" s="103"/>
      <c r="V388" s="103"/>
      <c r="W388" s="103"/>
      <c r="X388" s="103"/>
      <c r="Y388" s="103"/>
      <c r="Z388" s="103"/>
      <c r="AA388" s="103"/>
    </row>
    <row r="389" spans="1:27" ht="51" x14ac:dyDescent="0.2">
      <c r="A389" s="110">
        <v>386</v>
      </c>
      <c r="B389" s="110" t="s">
        <v>66</v>
      </c>
      <c r="C389" s="111" t="str">
        <f ca="1">IFERROR(__xludf.DUMMYFUNCTION("""COMPUTED_VALUE"""),"г.о. Шатура")</f>
        <v>г.о. Шатура</v>
      </c>
      <c r="D389" s="111" t="str">
        <f ca="1">IFERROR(__xludf.DUMMYFUNCTION("""COMPUTED_VALUE""")," Модернизация (реконструкция) котельной на электрокотлах (перевод на газ) д. Бордуки (в т.ч. ПИР, ТП) г.о. Шатура")</f>
        <v xml:space="preserve"> Модернизация (реконструкция) котельной на электрокотлах (перевод на газ) д. Бордуки (в т.ч. ПИР, ТП) г.о. Шатура</v>
      </c>
      <c r="E389" s="111" t="str">
        <f ca="1">IFERROR(__xludf.DUMMYFUNCTION("""COMPUTED_VALUE"""),"2020-2021")</f>
        <v>2020-2021</v>
      </c>
      <c r="F389" s="113">
        <f ca="1">IFERROR(__xludf.DUMMYFUNCTION("""COMPUTED_VALUE"""),458)</f>
        <v>458</v>
      </c>
      <c r="G389" s="113">
        <f ca="1">IFERROR(__xludf.DUMMYFUNCTION("""COMPUTED_VALUE"""),0)</f>
        <v>0</v>
      </c>
      <c r="H389" s="113">
        <f ca="1">IFERROR(__xludf.DUMMYFUNCTION("""COMPUTED_VALUE"""),0)</f>
        <v>0</v>
      </c>
      <c r="I389" s="113">
        <f ca="1">IFERROR(__xludf.DUMMYFUNCTION("""COMPUTED_VALUE"""),458)</f>
        <v>458</v>
      </c>
      <c r="J389" s="111">
        <f ca="1">IFERROR(__xludf.DUMMYFUNCTION("""COMPUTED_VALUE"""),150.59)</f>
        <v>150.59</v>
      </c>
      <c r="K389" s="113">
        <f ca="1">IFERROR(__xludf.DUMMYFUNCTION("""COMPUTED_VALUE"""),307.409999999999)</f>
        <v>307.409999999999</v>
      </c>
      <c r="L389" s="114">
        <f ca="1">IFERROR(__xludf.DUMMYFUNCTION("""COMPUTED_VALUE"""),0.328799126637554)</f>
        <v>0.32879912663755401</v>
      </c>
      <c r="M389" s="111"/>
      <c r="N389" s="110" t="s">
        <v>568</v>
      </c>
      <c r="O389" s="111"/>
      <c r="P389" s="111"/>
      <c r="Q389" s="112"/>
      <c r="R389" s="103"/>
      <c r="S389" s="103"/>
      <c r="T389" s="103"/>
      <c r="U389" s="103"/>
      <c r="V389" s="103"/>
      <c r="W389" s="103"/>
      <c r="X389" s="103"/>
      <c r="Y389" s="103"/>
      <c r="Z389" s="103"/>
      <c r="AA389" s="103"/>
    </row>
    <row r="390" spans="1:27" ht="114.75" x14ac:dyDescent="0.2">
      <c r="A390" s="110">
        <v>387</v>
      </c>
      <c r="B390" s="110" t="s">
        <v>66</v>
      </c>
      <c r="C390" s="111" t="str">
        <f ca="1">IFERROR(__xludf.DUMMYFUNCTION("""COMPUTED_VALUE"""),"г.о. Шатура")</f>
        <v>г.о. Шатура</v>
      </c>
      <c r="D390" s="111" t="str">
        <f ca="1">IFERROR(__xludf.DUMMYFUNCTION("""COMPUTED_VALUE"""),"Модернизация (реконструкция) дизельной котельной (перевод на газ) п. Мещерский Бор (в т.ч. ПИР, ТП) г.о. Шатура")</f>
        <v>Модернизация (реконструкция) дизельной котельной (перевод на газ) п. Мещерский Бор (в т.ч. ПИР, ТП) г.о. Шатура</v>
      </c>
      <c r="E390" s="111" t="str">
        <f ca="1">IFERROR(__xludf.DUMMYFUNCTION("""COMPUTED_VALUE"""),"2020-2021")</f>
        <v>2020-2021</v>
      </c>
      <c r="F390" s="113">
        <f ca="1">IFERROR(__xludf.DUMMYFUNCTION("""COMPUTED_VALUE"""),4213.6)</f>
        <v>4213.6000000000004</v>
      </c>
      <c r="G390" s="113">
        <f ca="1">IFERROR(__xludf.DUMMYFUNCTION("""COMPUTED_VALUE"""),0)</f>
        <v>0</v>
      </c>
      <c r="H390" s="113">
        <f ca="1">IFERROR(__xludf.DUMMYFUNCTION("""COMPUTED_VALUE"""),0)</f>
        <v>0</v>
      </c>
      <c r="I390" s="113">
        <f ca="1">IFERROR(__xludf.DUMMYFUNCTION("""COMPUTED_VALUE"""),4213.6)</f>
        <v>4213.6000000000004</v>
      </c>
      <c r="J390" s="111">
        <f ca="1">IFERROR(__xludf.DUMMYFUNCTION("""COMPUTED_VALUE"""),621.81)</f>
        <v>621.80999999999995</v>
      </c>
      <c r="K390" s="113">
        <f ca="1">IFERROR(__xludf.DUMMYFUNCTION("""COMPUTED_VALUE"""),3591.79)</f>
        <v>3591.79</v>
      </c>
      <c r="L390" s="114">
        <f ca="1">IFERROR(__xludf.DUMMYFUNCTION("""COMPUTED_VALUE"""),0.147572147332447)</f>
        <v>0.147572147332447</v>
      </c>
      <c r="M390" s="111" t="str">
        <f ca="1">IFERROR(__xludf.DUMMYFUNCTION("""COMPUTED_VALUE"""),"""Выход из МОГЭ 03.12.2020 с увелечением лимитов на 5 891,49 тыс. руб. Сделан монтаж фундамента под котлы. Котлы закуплены и находятся на территории  районной эксплуатационной службе филиала МОСОБЛГАЗ.
""")</f>
        <v>"Выход из МОГЭ 03.12.2020 с увелечением лимитов на 5 891,49 тыс. руб. Сделан монтаж фундамента под котлы. Котлы закуплены и находятся на территории  районной эксплуатационной службе филиала МОСОБЛГАЗ.
"</v>
      </c>
      <c r="N390" s="110" t="s">
        <v>568</v>
      </c>
      <c r="O390" s="111"/>
      <c r="P390" s="111"/>
      <c r="Q390" s="115">
        <v>44154</v>
      </c>
      <c r="R390" s="103"/>
      <c r="S390" s="103"/>
      <c r="T390" s="103"/>
      <c r="U390" s="103"/>
      <c r="V390" s="103"/>
      <c r="W390" s="103"/>
      <c r="X390" s="103"/>
      <c r="Y390" s="103"/>
      <c r="Z390" s="103"/>
      <c r="AA390" s="103"/>
    </row>
    <row r="391" spans="1:27" ht="114.75" x14ac:dyDescent="0.2">
      <c r="A391" s="110">
        <v>388</v>
      </c>
      <c r="B391" s="110" t="s">
        <v>66</v>
      </c>
      <c r="C391" s="111" t="str">
        <f ca="1">IFERROR(__xludf.DUMMYFUNCTION("""COMPUTED_VALUE"""),"г.о. Шатура")</f>
        <v>г.о. Шатура</v>
      </c>
      <c r="D391" s="111" t="str">
        <f ca="1">IFERROR(__xludf.DUMMYFUNCTION("""COMPUTED_VALUE"""),"Модернизация (реконструкция) котельной на электрокотлах (перевод на газ) д. Новосидориха (в т.ч. ПИР, ТП) г.о. Шатура")</f>
        <v>Модернизация (реконструкция) котельной на электрокотлах (перевод на газ) д. Новосидориха (в т.ч. ПИР, ТП) г.о. Шатура</v>
      </c>
      <c r="E391" s="111" t="str">
        <f ca="1">IFERROR(__xludf.DUMMYFUNCTION("""COMPUTED_VALUE"""),"2020-2021")</f>
        <v>2020-2021</v>
      </c>
      <c r="F391" s="113">
        <f ca="1">IFERROR(__xludf.DUMMYFUNCTION("""COMPUTED_VALUE"""),1694.6)</f>
        <v>1694.6</v>
      </c>
      <c r="G391" s="113">
        <f ca="1">IFERROR(__xludf.DUMMYFUNCTION("""COMPUTED_VALUE"""),0)</f>
        <v>0</v>
      </c>
      <c r="H391" s="113">
        <f ca="1">IFERROR(__xludf.DUMMYFUNCTION("""COMPUTED_VALUE"""),0)</f>
        <v>0</v>
      </c>
      <c r="I391" s="113">
        <f ca="1">IFERROR(__xludf.DUMMYFUNCTION("""COMPUTED_VALUE"""),1694.6)</f>
        <v>1694.6</v>
      </c>
      <c r="J391" s="111">
        <f ca="1">IFERROR(__xludf.DUMMYFUNCTION("""COMPUTED_VALUE"""),609.78)</f>
        <v>609.78</v>
      </c>
      <c r="K391" s="113">
        <f ca="1">IFERROR(__xludf.DUMMYFUNCTION("""COMPUTED_VALUE"""),1084.82)</f>
        <v>1084.82</v>
      </c>
      <c r="L391" s="114">
        <f ca="1">IFERROR(__xludf.DUMMYFUNCTION("""COMPUTED_VALUE"""),0.359837129706125)</f>
        <v>0.35983712970612503</v>
      </c>
      <c r="M391" s="111" t="str">
        <f ca="1">IFERROR(__xludf.DUMMYFUNCTION("""COMPUTED_VALUE"""),"""Выход из МОГЭ 03.12.2020 с увелечением лимитов на 3 555,99 тыс. руб. Сделан монтаж фундамента под котлы. Котлы закуплены и находятся на территории  районной эксплуатационной службе филиала МОСОБЛГАЗ.
""")</f>
        <v>"Выход из МОГЭ 03.12.2020 с увелечением лимитов на 3 555,99 тыс. руб. Сделан монтаж фундамента под котлы. Котлы закуплены и находятся на территории  районной эксплуатационной службе филиала МОСОБЛГАЗ.
"</v>
      </c>
      <c r="N391" s="110" t="s">
        <v>568</v>
      </c>
      <c r="O391" s="111"/>
      <c r="P391" s="111"/>
      <c r="Q391" s="115">
        <v>44154</v>
      </c>
      <c r="R391" s="103"/>
      <c r="S391" s="103"/>
      <c r="T391" s="103"/>
      <c r="U391" s="103"/>
      <c r="V391" s="103"/>
      <c r="W391" s="103"/>
      <c r="X391" s="103"/>
      <c r="Y391" s="103"/>
      <c r="Z391" s="103"/>
      <c r="AA391" s="103"/>
    </row>
    <row r="392" spans="1:27" ht="51" x14ac:dyDescent="0.2">
      <c r="A392" s="110">
        <v>389</v>
      </c>
      <c r="B392" s="110" t="s">
        <v>66</v>
      </c>
      <c r="C392" s="111" t="str">
        <f ca="1">IFERROR(__xludf.DUMMYFUNCTION("""COMPUTED_VALUE"""),"г.о. Шатура")</f>
        <v>г.о. Шатура</v>
      </c>
      <c r="D392" s="111" t="str">
        <f ca="1">IFERROR(__xludf.DUMMYFUNCTION("""COMPUTED_VALUE"""),"Строительство газовой блочно-модульной котельной (БМК) пос. Санатория Озеро Белое (в т.ч. ПИР, ТП) г.о. Шатура")</f>
        <v>Строительство газовой блочно-модульной котельной (БМК) пос. Санатория Озеро Белое (в т.ч. ПИР, ТП) г.о. Шатура</v>
      </c>
      <c r="E392" s="111" t="str">
        <f ca="1">IFERROR(__xludf.DUMMYFUNCTION("""COMPUTED_VALUE"""),"2020-2021")</f>
        <v>2020-2021</v>
      </c>
      <c r="F392" s="113">
        <f ca="1">IFERROR(__xludf.DUMMYFUNCTION("""COMPUTED_VALUE"""),2290)</f>
        <v>2290</v>
      </c>
      <c r="G392" s="113">
        <f ca="1">IFERROR(__xludf.DUMMYFUNCTION("""COMPUTED_VALUE"""),0)</f>
        <v>0</v>
      </c>
      <c r="H392" s="113">
        <f ca="1">IFERROR(__xludf.DUMMYFUNCTION("""COMPUTED_VALUE"""),0)</f>
        <v>0</v>
      </c>
      <c r="I392" s="113">
        <f ca="1">IFERROR(__xludf.DUMMYFUNCTION("""COMPUTED_VALUE"""),2290)</f>
        <v>2290</v>
      </c>
      <c r="J392" s="111">
        <f ca="1">IFERROR(__xludf.DUMMYFUNCTION("""COMPUTED_VALUE"""),2235.13)</f>
        <v>2235.13</v>
      </c>
      <c r="K392" s="113">
        <f ca="1">IFERROR(__xludf.DUMMYFUNCTION("""COMPUTED_VALUE"""),54.8699999999998)</f>
        <v>54.869999999999798</v>
      </c>
      <c r="L392" s="114">
        <f ca="1">IFERROR(__xludf.DUMMYFUNCTION("""COMPUTED_VALUE"""),0.976039301310043)</f>
        <v>0.97603930131004302</v>
      </c>
      <c r="M392" s="111"/>
      <c r="N392" s="110" t="s">
        <v>568</v>
      </c>
      <c r="O392" s="111"/>
      <c r="P392" s="111"/>
      <c r="Q392" s="112"/>
      <c r="R392" s="103"/>
      <c r="S392" s="103"/>
      <c r="T392" s="103"/>
      <c r="U392" s="103"/>
      <c r="V392" s="103"/>
      <c r="W392" s="103"/>
      <c r="X392" s="103"/>
      <c r="Y392" s="103"/>
      <c r="Z392" s="103"/>
      <c r="AA392" s="103"/>
    </row>
    <row r="393" spans="1:27" ht="63.75" x14ac:dyDescent="0.2">
      <c r="A393" s="110">
        <v>390</v>
      </c>
      <c r="B393" s="110" t="s">
        <v>66</v>
      </c>
      <c r="C393" s="111" t="str">
        <f ca="1">IFERROR(__xludf.DUMMYFUNCTION("""COMPUTED_VALUE"""),"г.о. Шатура")</f>
        <v>г.о. Шатура</v>
      </c>
      <c r="D393" s="111" t="str">
        <f ca="1">IFERROR(__xludf.DUMMYFUNCTION("""COMPUTED_VALUE"""),"Строительство сдвоенного газового котла наружного размещения (КНР)  с. Кривандино, ул. Центральная, д. 36 (в т.ч. ПИР, ТП) г.о. Шатура")</f>
        <v>Строительство сдвоенного газового котла наружного размещения (КНР)  с. Кривандино, ул. Центральная, д. 36 (в т.ч. ПИР, ТП) г.о. Шатура</v>
      </c>
      <c r="E393" s="111" t="str">
        <f ca="1">IFERROR(__xludf.DUMMYFUNCTION("""COMPUTED_VALUE"""),"2020-2021")</f>
        <v>2020-2021</v>
      </c>
      <c r="F393" s="113">
        <f ca="1">IFERROR(__xludf.DUMMYFUNCTION("""COMPUTED_VALUE"""),458)</f>
        <v>458</v>
      </c>
      <c r="G393" s="113">
        <f ca="1">IFERROR(__xludf.DUMMYFUNCTION("""COMPUTED_VALUE"""),0)</f>
        <v>0</v>
      </c>
      <c r="H393" s="113">
        <f ca="1">IFERROR(__xludf.DUMMYFUNCTION("""COMPUTED_VALUE"""),0)</f>
        <v>0</v>
      </c>
      <c r="I393" s="113">
        <f ca="1">IFERROR(__xludf.DUMMYFUNCTION("""COMPUTED_VALUE"""),458)</f>
        <v>458</v>
      </c>
      <c r="J393" s="111">
        <f ca="1">IFERROR(__xludf.DUMMYFUNCTION("""COMPUTED_VALUE"""),458)</f>
        <v>458</v>
      </c>
      <c r="K393" s="113">
        <f ca="1">IFERROR(__xludf.DUMMYFUNCTION("""COMPUTED_VALUE"""),0)</f>
        <v>0</v>
      </c>
      <c r="L393" s="114">
        <f ca="1">IFERROR(__xludf.DUMMYFUNCTION("""COMPUTED_VALUE"""),1)</f>
        <v>1</v>
      </c>
      <c r="M393" s="111"/>
      <c r="N393" s="110" t="s">
        <v>568</v>
      </c>
      <c r="O393" s="111"/>
      <c r="P393" s="111"/>
      <c r="Q393" s="112"/>
      <c r="R393" s="103"/>
      <c r="S393" s="103"/>
      <c r="T393" s="103"/>
      <c r="U393" s="103"/>
      <c r="V393" s="103"/>
      <c r="W393" s="103"/>
      <c r="X393" s="103"/>
      <c r="Y393" s="103"/>
      <c r="Z393" s="103"/>
      <c r="AA393" s="103"/>
    </row>
    <row r="394" spans="1:27" ht="51" x14ac:dyDescent="0.2">
      <c r="A394" s="110">
        <v>391</v>
      </c>
      <c r="B394" s="110" t="s">
        <v>66</v>
      </c>
      <c r="C394" s="111" t="str">
        <f ca="1">IFERROR(__xludf.DUMMYFUNCTION("""COMPUTED_VALUE"""),"г.о. Шатура")</f>
        <v>г.о. Шатура</v>
      </c>
      <c r="D394" s="111" t="str">
        <f ca="1">IFERROR(__xludf.DUMMYFUNCTION("""COMPUTED_VALUE"""),"Строительство сдвоенного газового котла наружного размещения (КНР) д. Голыгино (в т.ч. ПИР, ТП) г.о. Шатура")</f>
        <v>Строительство сдвоенного газового котла наружного размещения (КНР) д. Голыгино (в т.ч. ПИР, ТП) г.о. Шатура</v>
      </c>
      <c r="E394" s="111" t="str">
        <f ca="1">IFERROR(__xludf.DUMMYFUNCTION("""COMPUTED_VALUE"""),"2020-2021")</f>
        <v>2020-2021</v>
      </c>
      <c r="F394" s="113">
        <f ca="1">IFERROR(__xludf.DUMMYFUNCTION("""COMPUTED_VALUE"""),1465.6)</f>
        <v>1465.6</v>
      </c>
      <c r="G394" s="113">
        <f ca="1">IFERROR(__xludf.DUMMYFUNCTION("""COMPUTED_VALUE"""),0)</f>
        <v>0</v>
      </c>
      <c r="H394" s="113">
        <f ca="1">IFERROR(__xludf.DUMMYFUNCTION("""COMPUTED_VALUE"""),0)</f>
        <v>0</v>
      </c>
      <c r="I394" s="113">
        <f ca="1">IFERROR(__xludf.DUMMYFUNCTION("""COMPUTED_VALUE"""),1465.6)</f>
        <v>1465.6</v>
      </c>
      <c r="J394" s="111">
        <f ca="1">IFERROR(__xludf.DUMMYFUNCTION("""COMPUTED_VALUE"""),1154.83)</f>
        <v>1154.83</v>
      </c>
      <c r="K394" s="113">
        <f ca="1">IFERROR(__xludf.DUMMYFUNCTION("""COMPUTED_VALUE"""),310.77)</f>
        <v>310.77</v>
      </c>
      <c r="L394" s="114">
        <f ca="1">IFERROR(__xludf.DUMMYFUNCTION("""COMPUTED_VALUE"""),0.787957150655021)</f>
        <v>0.78795715065502103</v>
      </c>
      <c r="M394" s="111"/>
      <c r="N394" s="110" t="s">
        <v>568</v>
      </c>
      <c r="O394" s="111"/>
      <c r="P394" s="111"/>
      <c r="Q394" s="112"/>
      <c r="R394" s="103"/>
      <c r="S394" s="103"/>
      <c r="T394" s="103"/>
      <c r="U394" s="103"/>
      <c r="V394" s="103"/>
      <c r="W394" s="103"/>
      <c r="X394" s="103"/>
      <c r="Y394" s="103"/>
      <c r="Z394" s="103"/>
      <c r="AA394" s="103"/>
    </row>
    <row r="395" spans="1:27" ht="63.75" x14ac:dyDescent="0.2">
      <c r="A395" s="110">
        <v>392</v>
      </c>
      <c r="B395" s="110" t="s">
        <v>66</v>
      </c>
      <c r="C395" s="111" t="str">
        <f ca="1">IFERROR(__xludf.DUMMYFUNCTION("""COMPUTED_VALUE"""),"г.о. Шатура")</f>
        <v>г.о. Шатура</v>
      </c>
      <c r="D395" s="111" t="str">
        <f ca="1">IFERROR(__xludf.DUMMYFUNCTION("""COMPUTED_VALUE"""),"Строительство сдвоенного газового котла наружного размещения (КНР) рп. Черусти, Пионерский пр. (в т.ч. ПИР, ТП г.о. Шатура")</f>
        <v>Строительство сдвоенного газового котла наружного размещения (КНР) рп. Черусти, Пионерский пр. (в т.ч. ПИР, ТП г.о. Шатура</v>
      </c>
      <c r="E395" s="111" t="str">
        <f ca="1">IFERROR(__xludf.DUMMYFUNCTION("""COMPUTED_VALUE"""),"2020-2021")</f>
        <v>2020-2021</v>
      </c>
      <c r="F395" s="113">
        <f ca="1">IFERROR(__xludf.DUMMYFUNCTION("""COMPUTED_VALUE"""),1374)</f>
        <v>1374</v>
      </c>
      <c r="G395" s="113">
        <f ca="1">IFERROR(__xludf.DUMMYFUNCTION("""COMPUTED_VALUE"""),0)</f>
        <v>0</v>
      </c>
      <c r="H395" s="113">
        <f ca="1">IFERROR(__xludf.DUMMYFUNCTION("""COMPUTED_VALUE"""),0)</f>
        <v>0</v>
      </c>
      <c r="I395" s="113">
        <f ca="1">IFERROR(__xludf.DUMMYFUNCTION("""COMPUTED_VALUE"""),1374)</f>
        <v>1374</v>
      </c>
      <c r="J395" s="111">
        <f ca="1">IFERROR(__xludf.DUMMYFUNCTION("""COMPUTED_VALUE"""),823.76)</f>
        <v>823.76</v>
      </c>
      <c r="K395" s="113">
        <f ca="1">IFERROR(__xludf.DUMMYFUNCTION("""COMPUTED_VALUE"""),550.24)</f>
        <v>550.24</v>
      </c>
      <c r="L395" s="114">
        <f ca="1">IFERROR(__xludf.DUMMYFUNCTION("""COMPUTED_VALUE"""),0.599534206695778)</f>
        <v>0.59953420669577795</v>
      </c>
      <c r="M395" s="111"/>
      <c r="N395" s="110" t="s">
        <v>568</v>
      </c>
      <c r="O395" s="111"/>
      <c r="P395" s="111"/>
      <c r="Q395" s="115"/>
      <c r="R395" s="103"/>
      <c r="S395" s="103"/>
      <c r="T395" s="103"/>
      <c r="U395" s="103"/>
      <c r="V395" s="103"/>
      <c r="W395" s="103"/>
      <c r="X395" s="103"/>
      <c r="Y395" s="103"/>
      <c r="Z395" s="103"/>
      <c r="AA395" s="103"/>
    </row>
    <row r="396" spans="1:27" ht="76.5" x14ac:dyDescent="0.2">
      <c r="A396" s="110">
        <v>393</v>
      </c>
      <c r="B396" s="110" t="s">
        <v>66</v>
      </c>
      <c r="C396" s="111" t="str">
        <f ca="1">IFERROR(__xludf.DUMMYFUNCTION("""COMPUTED_VALUE"""),"г.о. Шатура")</f>
        <v>г.о. Шатура</v>
      </c>
      <c r="D396" s="111" t="str">
        <f ca="1">IFERROR(__xludf.DUMMYFUNCTION("""COMPUTED_VALUE"""),"Строительство сдвоенного газового котла наружного размещения (КНР) рп. Черусти, ул. Вокзальная, д.12 (в т.ч. ПИР, ТП) г.о. Шатура")</f>
        <v>Строительство сдвоенного газового котла наружного размещения (КНР) рп. Черусти, ул. Вокзальная, д.12 (в т.ч. ПИР, ТП) г.о. Шатура</v>
      </c>
      <c r="E396" s="111" t="str">
        <f ca="1">IFERROR(__xludf.DUMMYFUNCTION("""COMPUTED_VALUE"""),"2020-2021")</f>
        <v>2020-2021</v>
      </c>
      <c r="F396" s="113">
        <f ca="1">IFERROR(__xludf.DUMMYFUNCTION("""COMPUTED_VALUE"""),1511.4)</f>
        <v>1511.4</v>
      </c>
      <c r="G396" s="113">
        <f ca="1">IFERROR(__xludf.DUMMYFUNCTION("""COMPUTED_VALUE"""),0)</f>
        <v>0</v>
      </c>
      <c r="H396" s="113">
        <f ca="1">IFERROR(__xludf.DUMMYFUNCTION("""COMPUTED_VALUE"""),0)</f>
        <v>0</v>
      </c>
      <c r="I396" s="113">
        <f ca="1">IFERROR(__xludf.DUMMYFUNCTION("""COMPUTED_VALUE"""),1511.4)</f>
        <v>1511.4</v>
      </c>
      <c r="J396" s="111">
        <f ca="1">IFERROR(__xludf.DUMMYFUNCTION("""COMPUTED_VALUE"""),633.89)</f>
        <v>633.89</v>
      </c>
      <c r="K396" s="113">
        <f ca="1">IFERROR(__xludf.DUMMYFUNCTION("""COMPUTED_VALUE"""),877.51)</f>
        <v>877.51</v>
      </c>
      <c r="L396" s="114">
        <f ca="1">IFERROR(__xludf.DUMMYFUNCTION("""COMPUTED_VALUE"""),0.419405848881831)</f>
        <v>0.41940584888183102</v>
      </c>
      <c r="M396" s="111" t="str">
        <f ca="1">IFERROR(__xludf.DUMMYFUNCTION("""COMPUTED_VALUE"""),"Выход из МОГЭ 03.12.2020 с увелечением лимитов на 3 825,14 тыс. руб. Котлы закуплены и находятся на территории районной эксплуатационной службе филиала МОСОБЛГАЗ.")</f>
        <v>Выход из МОГЭ 03.12.2020 с увелечением лимитов на 3 825,14 тыс. руб. Котлы закуплены и находятся на территории районной эксплуатационной службе филиала МОСОБЛГАЗ.</v>
      </c>
      <c r="N396" s="110" t="s">
        <v>568</v>
      </c>
      <c r="O396" s="111"/>
      <c r="P396" s="111"/>
      <c r="Q396" s="115">
        <v>44154</v>
      </c>
      <c r="R396" s="103"/>
      <c r="S396" s="103"/>
      <c r="T396" s="103"/>
      <c r="U396" s="103"/>
      <c r="V396" s="103"/>
      <c r="W396" s="103"/>
      <c r="X396" s="103"/>
      <c r="Y396" s="103"/>
      <c r="Z396" s="103"/>
      <c r="AA396" s="103"/>
    </row>
    <row r="397" spans="1:27" ht="76.5" x14ac:dyDescent="0.2">
      <c r="A397" s="110">
        <v>394</v>
      </c>
      <c r="B397" s="110" t="s">
        <v>66</v>
      </c>
      <c r="C397" s="111" t="str">
        <f ca="1">IFERROR(__xludf.DUMMYFUNCTION("""COMPUTED_VALUE"""),"г.о. Шатура")</f>
        <v>г.о. Шатура</v>
      </c>
      <c r="D397" s="111" t="str">
        <f ca="1">IFERROR(__xludf.DUMMYFUNCTION("""COMPUTED_VALUE"""),"Строительство сдвоенного газового котла наружного размещения (КНР) рп. Черусти, ул. М.Горького 3 (в т.ч. ПИР, ТП)  г.о. Шатура")</f>
        <v>Строительство сдвоенного газового котла наружного размещения (КНР) рп. Черусти, ул. М.Горького 3 (в т.ч. ПИР, ТП)  г.о. Шатура</v>
      </c>
      <c r="E397" s="111" t="str">
        <f ca="1">IFERROR(__xludf.DUMMYFUNCTION("""COMPUTED_VALUE"""),"2020-2021")</f>
        <v>2020-2021</v>
      </c>
      <c r="F397" s="113">
        <f ca="1">IFERROR(__xludf.DUMMYFUNCTION("""COMPUTED_VALUE"""),1511.4)</f>
        <v>1511.4</v>
      </c>
      <c r="G397" s="113">
        <f ca="1">IFERROR(__xludf.DUMMYFUNCTION("""COMPUTED_VALUE"""),0)</f>
        <v>0</v>
      </c>
      <c r="H397" s="113">
        <f ca="1">IFERROR(__xludf.DUMMYFUNCTION("""COMPUTED_VALUE"""),0)</f>
        <v>0</v>
      </c>
      <c r="I397" s="113">
        <f ca="1">IFERROR(__xludf.DUMMYFUNCTION("""COMPUTED_VALUE"""),1511.4)</f>
        <v>1511.4</v>
      </c>
      <c r="J397" s="111">
        <f ca="1">IFERROR(__xludf.DUMMYFUNCTION("""COMPUTED_VALUE"""),591.88)</f>
        <v>591.88</v>
      </c>
      <c r="K397" s="113">
        <f ca="1">IFERROR(__xludf.DUMMYFUNCTION("""COMPUTED_VALUE"""),919.52)</f>
        <v>919.52</v>
      </c>
      <c r="L397" s="114">
        <f ca="1">IFERROR(__xludf.DUMMYFUNCTION("""COMPUTED_VALUE"""),0.391610427418287)</f>
        <v>0.391610427418287</v>
      </c>
      <c r="M397" s="111" t="str">
        <f ca="1">IFERROR(__xludf.DUMMYFUNCTION("""COMPUTED_VALUE"""),"Выход из МОГЭ 03.12.2020 с увелечением лимитов на 8 693,98 тыс. руб. Котлы закуплены и находятся на территории районной эксплуатационной службе филиала МОСОБЛГАЗ.")</f>
        <v>Выход из МОГЭ 03.12.2020 с увелечением лимитов на 8 693,98 тыс. руб. Котлы закуплены и находятся на территории районной эксплуатационной службе филиала МОСОБЛГАЗ.</v>
      </c>
      <c r="N397" s="110" t="s">
        <v>568</v>
      </c>
      <c r="O397" s="111"/>
      <c r="P397" s="111"/>
      <c r="Q397" s="115">
        <v>44154</v>
      </c>
      <c r="R397" s="103"/>
      <c r="S397" s="103"/>
      <c r="T397" s="103"/>
      <c r="U397" s="103"/>
      <c r="V397" s="103"/>
      <c r="W397" s="103"/>
      <c r="X397" s="103"/>
      <c r="Y397" s="103"/>
      <c r="Z397" s="103"/>
      <c r="AA397" s="103"/>
    </row>
    <row r="398" spans="1:27" ht="51" x14ac:dyDescent="0.2">
      <c r="A398" s="110">
        <v>395</v>
      </c>
      <c r="B398" s="110" t="s">
        <v>66</v>
      </c>
      <c r="C398" s="111" t="str">
        <f ca="1">IFERROR(__xludf.DUMMYFUNCTION("""COMPUTED_VALUE"""),"г.о. Шатура")</f>
        <v>г.о. Шатура</v>
      </c>
      <c r="D398" s="111" t="str">
        <f ca="1">IFERROR(__xludf.DUMMYFUNCTION("""COMPUTED_VALUE"""),"Строительство сдвоенного газового котла наружного размещения (КНР) с. Власово (в т.ч. ПИР, ТП) г.о. Шатура")</f>
        <v>Строительство сдвоенного газового котла наружного размещения (КНР) с. Власово (в т.ч. ПИР, ТП) г.о. Шатура</v>
      </c>
      <c r="E398" s="111" t="str">
        <f ca="1">IFERROR(__xludf.DUMMYFUNCTION("""COMPUTED_VALUE"""),"2020-2021")</f>
        <v>2020-2021</v>
      </c>
      <c r="F398" s="113">
        <f ca="1">IFERROR(__xludf.DUMMYFUNCTION("""COMPUTED_VALUE"""),1374)</f>
        <v>1374</v>
      </c>
      <c r="G398" s="113">
        <f ca="1">IFERROR(__xludf.DUMMYFUNCTION("""COMPUTED_VALUE"""),0)</f>
        <v>0</v>
      </c>
      <c r="H398" s="113">
        <f ca="1">IFERROR(__xludf.DUMMYFUNCTION("""COMPUTED_VALUE"""),0)</f>
        <v>0</v>
      </c>
      <c r="I398" s="113">
        <f ca="1">IFERROR(__xludf.DUMMYFUNCTION("""COMPUTED_VALUE"""),1374)</f>
        <v>1374</v>
      </c>
      <c r="J398" s="111">
        <f ca="1">IFERROR(__xludf.DUMMYFUNCTION("""COMPUTED_VALUE"""),1274.84)</f>
        <v>1274.8399999999999</v>
      </c>
      <c r="K398" s="113">
        <f ca="1">IFERROR(__xludf.DUMMYFUNCTION("""COMPUTED_VALUE"""),99.16)</f>
        <v>99.16</v>
      </c>
      <c r="L398" s="114">
        <f ca="1">IFERROR(__xludf.DUMMYFUNCTION("""COMPUTED_VALUE"""),0.927831149927219)</f>
        <v>0.92783114992721905</v>
      </c>
      <c r="M398" s="111"/>
      <c r="N398" s="110" t="s">
        <v>568</v>
      </c>
      <c r="O398" s="111"/>
      <c r="P398" s="111"/>
      <c r="Q398" s="112"/>
      <c r="R398" s="103"/>
      <c r="S398" s="103"/>
      <c r="T398" s="103"/>
      <c r="U398" s="103"/>
      <c r="V398" s="103"/>
      <c r="W398" s="103"/>
      <c r="X398" s="103"/>
      <c r="Y398" s="103"/>
      <c r="Z398" s="103"/>
      <c r="AA398" s="103"/>
    </row>
    <row r="399" spans="1:27" ht="89.25" x14ac:dyDescent="0.2">
      <c r="A399" s="110">
        <v>396</v>
      </c>
      <c r="B399" s="110" t="s">
        <v>54</v>
      </c>
      <c r="C399" s="111" t="str">
        <f ca="1">IFERROR(__xludf.DUMMYFUNCTION("""COMPUTED_VALUE"""),"г.о. Орехово-Зуево")</f>
        <v>г.о. Орехово-Зуево</v>
      </c>
      <c r="D399" s="111" t="str">
        <f ca="1">IFERROR(__xludf.DUMMYFUNCTION("""COMPUTED_VALUE"""),"Капитальный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f>
        <v xml:space="preserv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v>
      </c>
      <c r="E399" s="111">
        <f ca="1">IFERROR(__xludf.DUMMYFUNCTION("""COMPUTED_VALUE"""),2020)</f>
        <v>2020</v>
      </c>
      <c r="F399" s="113">
        <f ca="1">IFERROR(__xludf.DUMMYFUNCTION("""COMPUTED_VALUE"""),290743)</f>
        <v>290743</v>
      </c>
      <c r="G399" s="113">
        <f ca="1">IFERROR(__xludf.DUMMYFUNCTION("""COMPUTED_VALUE"""),0)</f>
        <v>0</v>
      </c>
      <c r="H399" s="113">
        <f ca="1">IFERROR(__xludf.DUMMYFUNCTION("""COMPUTED_VALUE"""),0)</f>
        <v>0</v>
      </c>
      <c r="I399" s="113">
        <f ca="1">IFERROR(__xludf.DUMMYFUNCTION("""COMPUTED_VALUE"""),290743)</f>
        <v>290743</v>
      </c>
      <c r="J399" s="111">
        <f ca="1">IFERROR(__xludf.DUMMYFUNCTION("""COMPUTED_VALUE"""),265835.15)</f>
        <v>265835.15000000002</v>
      </c>
      <c r="K399" s="113">
        <f ca="1">IFERROR(__xludf.DUMMYFUNCTION("""COMPUTED_VALUE"""),24907.8499999999)</f>
        <v>24907.8499999999</v>
      </c>
      <c r="L399" s="114">
        <f ca="1">IFERROR(__xludf.DUMMYFUNCTION("""COMPUTED_VALUE"""),0.914330353611265)</f>
        <v>0.91433035361126502</v>
      </c>
      <c r="M399" s="111"/>
      <c r="N399" s="110" t="s">
        <v>558</v>
      </c>
      <c r="O399" s="111"/>
      <c r="P399" s="111"/>
      <c r="Q399" s="112"/>
      <c r="R399" s="103"/>
      <c r="S399" s="103"/>
      <c r="T399" s="103"/>
      <c r="U399" s="103"/>
      <c r="V399" s="103"/>
      <c r="W399" s="103"/>
      <c r="X399" s="103"/>
      <c r="Y399" s="103"/>
      <c r="Z399" s="103"/>
      <c r="AA399" s="103"/>
    </row>
    <row r="400" spans="1:27" ht="89.25" x14ac:dyDescent="0.2">
      <c r="A400" s="110">
        <v>397</v>
      </c>
      <c r="B400" s="110" t="s">
        <v>54</v>
      </c>
      <c r="C400" s="111" t="str">
        <f ca="1">IFERROR(__xludf.DUMMYFUNCTION("""COMPUTED_VALUE"""),"МОС АВС")</f>
        <v>МОС АВС</v>
      </c>
      <c r="D400" s="111" t="str">
        <f ca="1">IFERROR(__xludf.DUMMYFUNCTION("""COMPUTED_VALUE"""),"Строительство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f>
        <v>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v>
      </c>
      <c r="E400" s="111" t="str">
        <f ca="1">IFERROR(__xludf.DUMMYFUNCTION("""COMPUTED_VALUE"""),"2020-2021")</f>
        <v>2020-2021</v>
      </c>
      <c r="F400" s="113">
        <f ca="1">IFERROR(__xludf.DUMMYFUNCTION("""COMPUTED_VALUE"""),742.19)</f>
        <v>742.19</v>
      </c>
      <c r="G400" s="113">
        <f ca="1">IFERROR(__xludf.DUMMYFUNCTION("""COMPUTED_VALUE"""),742.19)</f>
        <v>742.19</v>
      </c>
      <c r="H400" s="113">
        <f ca="1">IFERROR(__xludf.DUMMYFUNCTION("""COMPUTED_VALUE"""),0)</f>
        <v>0</v>
      </c>
      <c r="I400" s="113">
        <f ca="1">IFERROR(__xludf.DUMMYFUNCTION("""COMPUTED_VALUE"""),0)</f>
        <v>0</v>
      </c>
      <c r="J400" s="111">
        <f ca="1">IFERROR(__xludf.DUMMYFUNCTION("""COMPUTED_VALUE"""),0)</f>
        <v>0</v>
      </c>
      <c r="K400" s="113">
        <f ca="1">IFERROR(__xludf.DUMMYFUNCTION("""COMPUTED_VALUE"""),742.19)</f>
        <v>742.19</v>
      </c>
      <c r="L400" s="114">
        <f ca="1">IFERROR(__xludf.DUMMYFUNCTION("""COMPUTED_VALUE"""),0)</f>
        <v>0</v>
      </c>
      <c r="M400" s="111"/>
      <c r="N400" s="110" t="s">
        <v>556</v>
      </c>
      <c r="O400" s="111"/>
      <c r="P400" s="111"/>
      <c r="Q400" s="112"/>
      <c r="R400" s="103"/>
      <c r="S400" s="103"/>
      <c r="T400" s="103"/>
      <c r="U400" s="103"/>
      <c r="V400" s="103"/>
      <c r="W400" s="103"/>
      <c r="X400" s="103"/>
      <c r="Y400" s="103"/>
      <c r="Z400" s="103"/>
      <c r="AA400" s="103"/>
    </row>
    <row r="401" spans="1:27" ht="140.25" x14ac:dyDescent="0.2">
      <c r="A401" s="110">
        <v>398</v>
      </c>
      <c r="B401" s="110" t="s">
        <v>54</v>
      </c>
      <c r="C401" s="111" t="str">
        <f ca="1">IFERROR(__xludf.DUMMYFUNCTION("""COMPUTED_VALUE"""),"МОС АВС")</f>
        <v>МОС АВС</v>
      </c>
      <c r="D401" s="111" t="str">
        <f ca="1">IFERROR(__xludf.DUMMYFUNCTION("""COMPUTED_VALUE"""),"Строительство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(городско"&amp;"й округ Егорьевск)  (в том числе ПИР)")</f>
        <v>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(городской округ Егорьевск)  (в том числе ПИР)</v>
      </c>
      <c r="E401" s="111" t="str">
        <f ca="1">IFERROR(__xludf.DUMMYFUNCTION("""COMPUTED_VALUE"""),"2020-2021")</f>
        <v>2020-2021</v>
      </c>
      <c r="F401" s="113">
        <f ca="1">IFERROR(__xludf.DUMMYFUNCTION("""COMPUTED_VALUE"""),56534.59)</f>
        <v>56534.59</v>
      </c>
      <c r="G401" s="113">
        <f ca="1">IFERROR(__xludf.DUMMYFUNCTION("""COMPUTED_VALUE"""),56534.59)</f>
        <v>56534.59</v>
      </c>
      <c r="H401" s="113">
        <f ca="1">IFERROR(__xludf.DUMMYFUNCTION("""COMPUTED_VALUE"""),0)</f>
        <v>0</v>
      </c>
      <c r="I401" s="113">
        <f ca="1">IFERROR(__xludf.DUMMYFUNCTION("""COMPUTED_VALUE"""),0)</f>
        <v>0</v>
      </c>
      <c r="J401" s="111">
        <f ca="1">IFERROR(__xludf.DUMMYFUNCTION("""COMPUTED_VALUE"""),36215.89)</f>
        <v>36215.89</v>
      </c>
      <c r="K401" s="113">
        <f ca="1">IFERROR(__xludf.DUMMYFUNCTION("""COMPUTED_VALUE"""),20318.6999999999)</f>
        <v>20318.699999999899</v>
      </c>
      <c r="L401" s="114">
        <f ca="1">IFERROR(__xludf.DUMMYFUNCTION("""COMPUTED_VALUE"""),0.640597022106289)</f>
        <v>0.64059702210628899</v>
      </c>
      <c r="M401" s="111"/>
      <c r="N401" s="110" t="s">
        <v>556</v>
      </c>
      <c r="O401" s="111"/>
      <c r="P401" s="111"/>
      <c r="Q401" s="112"/>
      <c r="R401" s="103"/>
      <c r="S401" s="103"/>
      <c r="T401" s="103"/>
      <c r="U401" s="103"/>
      <c r="V401" s="103"/>
      <c r="W401" s="103"/>
      <c r="X401" s="103"/>
      <c r="Y401" s="103"/>
      <c r="Z401" s="103"/>
      <c r="AA401" s="103"/>
    </row>
    <row r="402" spans="1:27" ht="114.75" x14ac:dyDescent="0.2">
      <c r="A402" s="110">
        <v>399</v>
      </c>
      <c r="B402" s="110" t="s">
        <v>54</v>
      </c>
      <c r="C402" s="111" t="str">
        <f ca="1">IFERROR(__xludf.DUMMYFUNCTION("""COMPUTED_VALUE"""),"МОС АВС")</f>
        <v>МОС АВС</v>
      </c>
      <c r="D402" s="111" t="str">
        <f ca="1">IFERROR(__xludf.DUMMYFUNCTION("""COMPUTED_VALUE"""),"Строительство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f>
        <v>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v>
      </c>
      <c r="E402" s="111" t="str">
        <f ca="1">IFERROR(__xludf.DUMMYFUNCTION("""COMPUTED_VALUE"""),"2020-2022")</f>
        <v>2020-2022</v>
      </c>
      <c r="F402" s="113">
        <f ca="1">IFERROR(__xludf.DUMMYFUNCTION("""COMPUTED_VALUE"""),158.05)</f>
        <v>158.05000000000001</v>
      </c>
      <c r="G402" s="113">
        <f ca="1">IFERROR(__xludf.DUMMYFUNCTION("""COMPUTED_VALUE"""),158.05)</f>
        <v>158.05000000000001</v>
      </c>
      <c r="H402" s="113">
        <f ca="1">IFERROR(__xludf.DUMMYFUNCTION("""COMPUTED_VALUE"""),0)</f>
        <v>0</v>
      </c>
      <c r="I402" s="113">
        <f ca="1">IFERROR(__xludf.DUMMYFUNCTION("""COMPUTED_VALUE"""),0)</f>
        <v>0</v>
      </c>
      <c r="J402" s="111">
        <f ca="1">IFERROR(__xludf.DUMMYFUNCTION("""COMPUTED_VALUE"""),66.23)</f>
        <v>66.23</v>
      </c>
      <c r="K402" s="113">
        <f ca="1">IFERROR(__xludf.DUMMYFUNCTION("""COMPUTED_VALUE"""),91.82)</f>
        <v>91.82</v>
      </c>
      <c r="L402" s="114">
        <f ca="1">IFERROR(__xludf.DUMMYFUNCTION("""COMPUTED_VALUE"""),0.419044606137298)</f>
        <v>0.41904460613729799</v>
      </c>
      <c r="M402" s="111" t="str">
        <f ca="1">IFERROR(__xludf.DUMMYFUNCTION("""COMPUTED_VALUE"""),"ПИР до 25.12.2020")</f>
        <v>ПИР до 25.12.2020</v>
      </c>
      <c r="N402" s="110" t="s">
        <v>556</v>
      </c>
      <c r="O402" s="111"/>
      <c r="P402" s="111"/>
      <c r="Q402" s="112"/>
      <c r="R402" s="103"/>
      <c r="S402" s="103"/>
      <c r="T402" s="103"/>
      <c r="U402" s="103"/>
      <c r="V402" s="103"/>
      <c r="W402" s="103"/>
      <c r="X402" s="103"/>
      <c r="Y402" s="103"/>
      <c r="Z402" s="103"/>
      <c r="AA402" s="103"/>
    </row>
    <row r="403" spans="1:27" ht="89.25" x14ac:dyDescent="0.2">
      <c r="A403" s="110">
        <v>400</v>
      </c>
      <c r="B403" s="110" t="s">
        <v>54</v>
      </c>
      <c r="C403" s="111" t="str">
        <f ca="1">IFERROR(__xludf.DUMMYFUNCTION("""COMPUTED_VALUE"""),"МОС АВС")</f>
        <v>МОС АВС</v>
      </c>
      <c r="D403" s="111" t="str">
        <f ca="1">IFERROR(__xludf.DUMMYFUNCTION("""COMPUTED_VALUE"""),"Строительство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f>
        <v>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v>
      </c>
      <c r="E403" s="111" t="str">
        <f ca="1">IFERROR(__xludf.DUMMYFUNCTION("""COMPUTED_VALUE"""),"2020-2021")</f>
        <v>2020-2021</v>
      </c>
      <c r="F403" s="113">
        <f ca="1">IFERROR(__xludf.DUMMYFUNCTION("""COMPUTED_VALUE"""),214.65)</f>
        <v>214.65</v>
      </c>
      <c r="G403" s="113">
        <f ca="1">IFERROR(__xludf.DUMMYFUNCTION("""COMPUTED_VALUE"""),214.65)</f>
        <v>214.65</v>
      </c>
      <c r="H403" s="113">
        <f ca="1">IFERROR(__xludf.DUMMYFUNCTION("""COMPUTED_VALUE"""),0)</f>
        <v>0</v>
      </c>
      <c r="I403" s="113">
        <f ca="1">IFERROR(__xludf.DUMMYFUNCTION("""COMPUTED_VALUE"""),0)</f>
        <v>0</v>
      </c>
      <c r="J403" s="111">
        <f ca="1">IFERROR(__xludf.DUMMYFUNCTION("""COMPUTED_VALUE"""),99.88)</f>
        <v>99.88</v>
      </c>
      <c r="K403" s="113">
        <f ca="1">IFERROR(__xludf.DUMMYFUNCTION("""COMPUTED_VALUE"""),114.77)</f>
        <v>114.77</v>
      </c>
      <c r="L403" s="114">
        <f ca="1">IFERROR(__xludf.DUMMYFUNCTION("""COMPUTED_VALUE"""),0.465315630095504)</f>
        <v>0.46531563009550397</v>
      </c>
      <c r="M403" s="111"/>
      <c r="N403" s="110" t="s">
        <v>556</v>
      </c>
      <c r="O403" s="111"/>
      <c r="P403" s="111"/>
      <c r="Q403" s="112"/>
      <c r="R403" s="103"/>
      <c r="S403" s="103"/>
      <c r="T403" s="103"/>
      <c r="U403" s="103"/>
      <c r="V403" s="103"/>
      <c r="W403" s="103"/>
      <c r="X403" s="103"/>
      <c r="Y403" s="103"/>
      <c r="Z403" s="103"/>
      <c r="AA403" s="103"/>
    </row>
    <row r="404" spans="1:27" ht="89.25" x14ac:dyDescent="0.2">
      <c r="A404" s="110">
        <v>401</v>
      </c>
      <c r="B404" s="110" t="s">
        <v>54</v>
      </c>
      <c r="C404" s="111" t="str">
        <f ca="1">IFERROR(__xludf.DUMMYFUNCTION("""COMPUTED_VALUE"""),"МОС АВС")</f>
        <v>МОС АВС</v>
      </c>
      <c r="D404" s="111" t="str">
        <f ca="1">IFERROR(__xludf.DUMMYFUNCTION("""COMPUTED_VALUE"""),"Строительство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f>
        <v>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v>
      </c>
      <c r="E404" s="111" t="str">
        <f ca="1">IFERROR(__xludf.DUMMYFUNCTION("""COMPUTED_VALUE"""),"2020-2021")</f>
        <v>2020-2021</v>
      </c>
      <c r="F404" s="113">
        <f ca="1">IFERROR(__xludf.DUMMYFUNCTION("""COMPUTED_VALUE"""),50.1)</f>
        <v>50.1</v>
      </c>
      <c r="G404" s="113">
        <f ca="1">IFERROR(__xludf.DUMMYFUNCTION("""COMPUTED_VALUE"""),50.1)</f>
        <v>50.1</v>
      </c>
      <c r="H404" s="113">
        <f ca="1">IFERROR(__xludf.DUMMYFUNCTION("""COMPUTED_VALUE"""),0)</f>
        <v>0</v>
      </c>
      <c r="I404" s="113">
        <f ca="1">IFERROR(__xludf.DUMMYFUNCTION("""COMPUTED_VALUE"""),0)</f>
        <v>0</v>
      </c>
      <c r="J404" s="111">
        <f ca="1">IFERROR(__xludf.DUMMYFUNCTION("""COMPUTED_VALUE"""),0)</f>
        <v>0</v>
      </c>
      <c r="K404" s="113">
        <f ca="1">IFERROR(__xludf.DUMMYFUNCTION("""COMPUTED_VALUE"""),50.1)</f>
        <v>50.1</v>
      </c>
      <c r="L404" s="114">
        <f ca="1">IFERROR(__xludf.DUMMYFUNCTION("""COMPUTED_VALUE"""),0)</f>
        <v>0</v>
      </c>
      <c r="M404" s="111"/>
      <c r="N404" s="110" t="s">
        <v>556</v>
      </c>
      <c r="O404" s="111"/>
      <c r="P404" s="111"/>
      <c r="Q404" s="112"/>
      <c r="R404" s="103"/>
      <c r="S404" s="103"/>
      <c r="T404" s="103"/>
      <c r="U404" s="103"/>
      <c r="V404" s="103"/>
      <c r="W404" s="103"/>
      <c r="X404" s="103"/>
      <c r="Y404" s="103"/>
      <c r="Z404" s="103"/>
      <c r="AA404" s="103"/>
    </row>
    <row r="405" spans="1:27" ht="127.5" x14ac:dyDescent="0.2">
      <c r="A405" s="110">
        <v>402</v>
      </c>
      <c r="B405" s="110" t="s">
        <v>54</v>
      </c>
      <c r="C405" s="111" t="str">
        <f ca="1">IFERROR(__xludf.DUMMYFUNCTION("""COMPUTED_VALUE"""),"МОС АВС")</f>
        <v>МОС АВС</v>
      </c>
      <c r="D405" s="111" t="str">
        <f ca="1">IFERROR(__xludf.DUMMYFUNCTION("""COMPUTED_VALUE"""),"Строительство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f>
        <v>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v>
      </c>
      <c r="E405" s="111" t="str">
        <f ca="1">IFERROR(__xludf.DUMMYFUNCTION("""COMPUTED_VALUE"""),"2020-2022")</f>
        <v>2020-2022</v>
      </c>
      <c r="F405" s="113">
        <f ca="1">IFERROR(__xludf.DUMMYFUNCTION("""COMPUTED_VALUE"""),658.32)</f>
        <v>658.32</v>
      </c>
      <c r="G405" s="113">
        <f ca="1">IFERROR(__xludf.DUMMYFUNCTION("""COMPUTED_VALUE"""),658.32)</f>
        <v>658.32</v>
      </c>
      <c r="H405" s="113">
        <f ca="1">IFERROR(__xludf.DUMMYFUNCTION("""COMPUTED_VALUE"""),0)</f>
        <v>0</v>
      </c>
      <c r="I405" s="113">
        <f ca="1">IFERROR(__xludf.DUMMYFUNCTION("""COMPUTED_VALUE"""),0)</f>
        <v>0</v>
      </c>
      <c r="J405" s="111">
        <f ca="1">IFERROR(__xludf.DUMMYFUNCTION("""COMPUTED_VALUE"""),0)</f>
        <v>0</v>
      </c>
      <c r="K405" s="113">
        <f ca="1">IFERROR(__xludf.DUMMYFUNCTION("""COMPUTED_VALUE"""),658.32)</f>
        <v>658.32</v>
      </c>
      <c r="L405" s="114">
        <f ca="1">IFERROR(__xludf.DUMMYFUNCTION("""COMPUTED_VALUE"""),0)</f>
        <v>0</v>
      </c>
      <c r="M405" s="111" t="str">
        <f ca="1">IFERROR(__xludf.DUMMYFUNCTION("""COMPUTED_VALUE"""),"ПИР до 25.12.2020")</f>
        <v>ПИР до 25.12.2020</v>
      </c>
      <c r="N405" s="110" t="s">
        <v>556</v>
      </c>
      <c r="O405" s="111"/>
      <c r="P405" s="111"/>
      <c r="Q405" s="112"/>
      <c r="R405" s="103"/>
      <c r="S405" s="103"/>
      <c r="T405" s="103"/>
      <c r="U405" s="103"/>
      <c r="V405" s="103"/>
      <c r="W405" s="103"/>
      <c r="X405" s="103"/>
      <c r="Y405" s="103"/>
      <c r="Z405" s="103"/>
      <c r="AA405" s="103"/>
    </row>
    <row r="406" spans="1:27" ht="51" x14ac:dyDescent="0.2">
      <c r="A406" s="110">
        <v>403</v>
      </c>
      <c r="B406" s="110" t="s">
        <v>54</v>
      </c>
      <c r="C406" s="111" t="str">
        <f ca="1">IFERROR(__xludf.DUMMYFUNCTION("""COMPUTED_VALUE"""),"г.о. Коломенский")</f>
        <v>г.о. Коломенский</v>
      </c>
      <c r="D406" s="111" t="str">
        <f ca="1">IFERROR(__xludf.DUMMYFUNCTION("""COMPUTED_VALUE"""),"Капитальный ремонт канализационных сетей в посёлке Станция Непецино, Коломенский г.о. (в т.ч. ПИР) ")</f>
        <v xml:space="preserve">Капитальный ремонт канализационных сетей в посёлке Станция Непецино, Коломенский г.о. (в т.ч. ПИР) </v>
      </c>
      <c r="E406" s="111">
        <f ca="1">IFERROR(__xludf.DUMMYFUNCTION("""COMPUTED_VALUE"""),2021)</f>
        <v>2021</v>
      </c>
      <c r="F406" s="113">
        <f ca="1">IFERROR(__xludf.DUMMYFUNCTION("""COMPUTED_VALUE"""),0)</f>
        <v>0</v>
      </c>
      <c r="G406" s="113">
        <f ca="1">IFERROR(__xludf.DUMMYFUNCTION("""COMPUTED_VALUE"""),0)</f>
        <v>0</v>
      </c>
      <c r="H406" s="113">
        <f ca="1">IFERROR(__xludf.DUMMYFUNCTION("""COMPUTED_VALUE"""),0)</f>
        <v>0</v>
      </c>
      <c r="I406" s="113">
        <f ca="1">IFERROR(__xludf.DUMMYFUNCTION("""COMPUTED_VALUE"""),0)</f>
        <v>0</v>
      </c>
      <c r="J406" s="111">
        <f ca="1">IFERROR(__xludf.DUMMYFUNCTION("""COMPUTED_VALUE"""),0)</f>
        <v>0</v>
      </c>
      <c r="K406" s="113">
        <f ca="1">IFERROR(__xludf.DUMMYFUNCTION("""COMPUTED_VALUE"""),0)</f>
        <v>0</v>
      </c>
      <c r="L406" s="114" t="str">
        <f ca="1">IFERROR(__xludf.DUMMYFUNCTION("""COMPUTED_VALUE"""),"#DIV/0!")</f>
        <v>#DIV/0!</v>
      </c>
      <c r="M406" s="111"/>
      <c r="N406" s="111"/>
      <c r="O406" s="111"/>
      <c r="P406" s="111"/>
      <c r="Q406" s="112"/>
      <c r="R406" s="103"/>
      <c r="S406" s="103"/>
      <c r="T406" s="103"/>
      <c r="U406" s="103"/>
      <c r="V406" s="103"/>
      <c r="W406" s="103"/>
      <c r="X406" s="103"/>
      <c r="Y406" s="103"/>
      <c r="Z406" s="103"/>
      <c r="AA406" s="103"/>
    </row>
    <row r="407" spans="1:27" ht="102" x14ac:dyDescent="0.2">
      <c r="A407" s="110">
        <v>404</v>
      </c>
      <c r="B407" s="110" t="s">
        <v>54</v>
      </c>
      <c r="C407" s="111" t="str">
        <f ca="1">IFERROR(__xludf.DUMMYFUNCTION("""COMPUTED_VALUE"""),"МОС АВС")</f>
        <v>МОС АВС</v>
      </c>
      <c r="D407" s="111" t="str">
        <f ca="1">IFERROR(__xludf.DUMMYFUNCTION("""COMPUTED_VALUE"""),"Строительство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f>
        <v>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v>
      </c>
      <c r="E407" s="111" t="str">
        <f ca="1">IFERROR(__xludf.DUMMYFUNCTION("""COMPUTED_VALUE"""),"2020-2021")</f>
        <v>2020-2021</v>
      </c>
      <c r="F407" s="113">
        <f ca="1">IFERROR(__xludf.DUMMYFUNCTION("""COMPUTED_VALUE"""),12228.3)</f>
        <v>12228.3</v>
      </c>
      <c r="G407" s="113">
        <f ca="1">IFERROR(__xludf.DUMMYFUNCTION("""COMPUTED_VALUE"""),12228.3)</f>
        <v>12228.3</v>
      </c>
      <c r="H407" s="113">
        <f ca="1">IFERROR(__xludf.DUMMYFUNCTION("""COMPUTED_VALUE"""),0)</f>
        <v>0</v>
      </c>
      <c r="I407" s="113">
        <f ca="1">IFERROR(__xludf.DUMMYFUNCTION("""COMPUTED_VALUE"""),0)</f>
        <v>0</v>
      </c>
      <c r="J407" s="111">
        <f ca="1">IFERROR(__xludf.DUMMYFUNCTION("""COMPUTED_VALUE"""),7861.6)</f>
        <v>7861.6</v>
      </c>
      <c r="K407" s="113">
        <f ca="1">IFERROR(__xludf.DUMMYFUNCTION("""COMPUTED_VALUE"""),4366.69999999999)</f>
        <v>4366.6999999999898</v>
      </c>
      <c r="L407" s="114">
        <f ca="1">IFERROR(__xludf.DUMMYFUNCTION("""COMPUTED_VALUE"""),0.642902120490992)</f>
        <v>0.64290212049099205</v>
      </c>
      <c r="M407" s="111"/>
      <c r="N407" s="110" t="s">
        <v>556</v>
      </c>
      <c r="O407" s="111"/>
      <c r="P407" s="111"/>
      <c r="Q407" s="112"/>
      <c r="R407" s="103"/>
      <c r="S407" s="103"/>
      <c r="T407" s="103"/>
      <c r="U407" s="103"/>
      <c r="V407" s="103"/>
      <c r="W407" s="103"/>
      <c r="X407" s="103"/>
      <c r="Y407" s="103"/>
      <c r="Z407" s="103"/>
      <c r="AA407" s="103"/>
    </row>
    <row r="408" spans="1:27" ht="89.25" x14ac:dyDescent="0.2">
      <c r="A408" s="110">
        <v>405</v>
      </c>
      <c r="B408" s="110" t="s">
        <v>54</v>
      </c>
      <c r="C408" s="111" t="str">
        <f ca="1">IFERROR(__xludf.DUMMYFUNCTION("""COMPUTED_VALUE"""),"МОС АВС")</f>
        <v>МОС АВС</v>
      </c>
      <c r="D408" s="111" t="str">
        <f ca="1">IFERROR(__xludf.DUMMYFUNCTION("""COMPUTED_VALUE"""),"Строительство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f>
        <v>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v>
      </c>
      <c r="E408" s="111" t="str">
        <f ca="1">IFERROR(__xludf.DUMMYFUNCTION("""COMPUTED_VALUE"""),"2020-2022")</f>
        <v>2020-2022</v>
      </c>
      <c r="F408" s="113">
        <f ca="1">IFERROR(__xludf.DUMMYFUNCTION("""COMPUTED_VALUE"""),4918.85)</f>
        <v>4918.8500000000004</v>
      </c>
      <c r="G408" s="113">
        <f ca="1">IFERROR(__xludf.DUMMYFUNCTION("""COMPUTED_VALUE"""),4918.85)</f>
        <v>4918.8500000000004</v>
      </c>
      <c r="H408" s="113">
        <f ca="1">IFERROR(__xludf.DUMMYFUNCTION("""COMPUTED_VALUE"""),0)</f>
        <v>0</v>
      </c>
      <c r="I408" s="113">
        <f ca="1">IFERROR(__xludf.DUMMYFUNCTION("""COMPUTED_VALUE"""),0)</f>
        <v>0</v>
      </c>
      <c r="J408" s="111">
        <f ca="1">IFERROR(__xludf.DUMMYFUNCTION("""COMPUTED_VALUE"""),0)</f>
        <v>0</v>
      </c>
      <c r="K408" s="113">
        <f ca="1">IFERROR(__xludf.DUMMYFUNCTION("""COMPUTED_VALUE"""),4918.85)</f>
        <v>4918.8500000000004</v>
      </c>
      <c r="L408" s="114">
        <f ca="1">IFERROR(__xludf.DUMMYFUNCTION("""COMPUTED_VALUE"""),0)</f>
        <v>0</v>
      </c>
      <c r="M408" s="111"/>
      <c r="N408" s="110" t="s">
        <v>556</v>
      </c>
      <c r="O408" s="111"/>
      <c r="P408" s="111"/>
      <c r="Q408" s="112"/>
      <c r="R408" s="103"/>
      <c r="S408" s="103"/>
      <c r="T408" s="103"/>
      <c r="U408" s="103"/>
      <c r="V408" s="103"/>
      <c r="W408" s="103"/>
      <c r="X408" s="103"/>
      <c r="Y408" s="103"/>
      <c r="Z408" s="103"/>
      <c r="AA408" s="103"/>
    </row>
    <row r="409" spans="1:27" ht="38.25" x14ac:dyDescent="0.2">
      <c r="A409" s="110">
        <v>406</v>
      </c>
      <c r="B409" s="110" t="s">
        <v>54</v>
      </c>
      <c r="C409" s="111" t="str">
        <f ca="1">IFERROR(__xludf.DUMMYFUNCTION("""COMPUTED_VALUE"""),"г.о. Солнечногорск")</f>
        <v>г.о. Солнечногорск</v>
      </c>
      <c r="D409" s="111" t="str">
        <f ca="1">IFERROR(__xludf.DUMMYFUNCTION("""COMPUTED_VALUE"""),"Капитальный ремонт  водопроводных сетей,  д. Новая, Солнечногорский м.р. ")</f>
        <v xml:space="preserve">Капитальный ремонт  водопроводных сетей,  д. Новая, Солнечногорский м.р. </v>
      </c>
      <c r="E409" s="111">
        <f ca="1">IFERROR(__xludf.DUMMYFUNCTION("""COMPUTED_VALUE"""),2022)</f>
        <v>2022</v>
      </c>
      <c r="F409" s="113">
        <f ca="1">IFERROR(__xludf.DUMMYFUNCTION("""COMPUTED_VALUE"""),0)</f>
        <v>0</v>
      </c>
      <c r="G409" s="113">
        <f ca="1">IFERROR(__xludf.DUMMYFUNCTION("""COMPUTED_VALUE"""),0)</f>
        <v>0</v>
      </c>
      <c r="H409" s="113">
        <f ca="1">IFERROR(__xludf.DUMMYFUNCTION("""COMPUTED_VALUE"""),0)</f>
        <v>0</v>
      </c>
      <c r="I409" s="113">
        <f ca="1">IFERROR(__xludf.DUMMYFUNCTION("""COMPUTED_VALUE"""),0)</f>
        <v>0</v>
      </c>
      <c r="J409" s="111">
        <f ca="1">IFERROR(__xludf.DUMMYFUNCTION("""COMPUTED_VALUE"""),0)</f>
        <v>0</v>
      </c>
      <c r="K409" s="113">
        <f ca="1">IFERROR(__xludf.DUMMYFUNCTION("""COMPUTED_VALUE"""),0)</f>
        <v>0</v>
      </c>
      <c r="L409" s="114" t="str">
        <f ca="1">IFERROR(__xludf.DUMMYFUNCTION("""COMPUTED_VALUE"""),"#DIV/0!")</f>
        <v>#DIV/0!</v>
      </c>
      <c r="M409" s="111"/>
      <c r="N409" s="111"/>
      <c r="O409" s="111"/>
      <c r="P409" s="111"/>
      <c r="Q409" s="112"/>
      <c r="R409" s="103"/>
      <c r="S409" s="103"/>
      <c r="T409" s="103"/>
      <c r="U409" s="103"/>
      <c r="V409" s="103"/>
      <c r="W409" s="103"/>
      <c r="X409" s="103"/>
      <c r="Y409" s="103"/>
      <c r="Z409" s="103"/>
      <c r="AA409" s="103"/>
    </row>
    <row r="410" spans="1:27" ht="76.5" x14ac:dyDescent="0.2">
      <c r="A410" s="110">
        <v>407</v>
      </c>
      <c r="B410" s="110" t="s">
        <v>54</v>
      </c>
      <c r="C410" s="111" t="str">
        <f ca="1">IFERROR(__xludf.DUMMYFUNCTION("""COMPUTED_VALUE"""),"МОС АВС")</f>
        <v>МОС АВС</v>
      </c>
      <c r="D410" s="111" t="str">
        <f ca="1">IFERROR(__xludf.DUMMYFUNCTION("""COMPUTED_VALUE"""),"Строительство блочно-модульной котельной для ГБУЗ МО ""Пушкинская поликлиника микрорайона Клязьма"" по адресу: ул. Лермонтовская, д. 25  (в том числе ПИР)")</f>
        <v>Строительство блочно-модульной котельной для ГБУЗ МО "Пушкинская поликлиника микрорайона Клязьма" по адресу: ул. Лермонтовская, д. 25  (в том числе ПИР)</v>
      </c>
      <c r="E410" s="111" t="str">
        <f ca="1">IFERROR(__xludf.DUMMYFUNCTION("""COMPUTED_VALUE"""),"2020-2021")</f>
        <v>2020-2021</v>
      </c>
      <c r="F410" s="113">
        <f ca="1">IFERROR(__xludf.DUMMYFUNCTION("""COMPUTED_VALUE"""),2697.78)</f>
        <v>2697.78</v>
      </c>
      <c r="G410" s="113">
        <f ca="1">IFERROR(__xludf.DUMMYFUNCTION("""COMPUTED_VALUE"""),2697.78)</f>
        <v>2697.78</v>
      </c>
      <c r="H410" s="113">
        <f ca="1">IFERROR(__xludf.DUMMYFUNCTION("""COMPUTED_VALUE"""),0)</f>
        <v>0</v>
      </c>
      <c r="I410" s="113">
        <f ca="1">IFERROR(__xludf.DUMMYFUNCTION("""COMPUTED_VALUE"""),0)</f>
        <v>0</v>
      </c>
      <c r="J410" s="111">
        <f ca="1">IFERROR(__xludf.DUMMYFUNCTION("""COMPUTED_VALUE"""),889.7)</f>
        <v>889.7</v>
      </c>
      <c r="K410" s="113">
        <f ca="1">IFERROR(__xludf.DUMMYFUNCTION("""COMPUTED_VALUE"""),1808.08)</f>
        <v>1808.08</v>
      </c>
      <c r="L410" s="114">
        <f ca="1">IFERROR(__xludf.DUMMYFUNCTION("""COMPUTED_VALUE"""),0.329789678921187)</f>
        <v>0.32978967892118699</v>
      </c>
      <c r="M410" s="111"/>
      <c r="N410" s="110" t="s">
        <v>556</v>
      </c>
      <c r="O410" s="111"/>
      <c r="P410" s="111"/>
      <c r="Q410" s="112"/>
      <c r="R410" s="103"/>
      <c r="S410" s="103"/>
      <c r="T410" s="103"/>
      <c r="U410" s="103"/>
      <c r="V410" s="103"/>
      <c r="W410" s="103"/>
      <c r="X410" s="103"/>
      <c r="Y410" s="103"/>
      <c r="Z410" s="103"/>
      <c r="AA410" s="103"/>
    </row>
    <row r="411" spans="1:27" ht="89.25" x14ac:dyDescent="0.2">
      <c r="A411" s="110">
        <v>408</v>
      </c>
      <c r="B411" s="110" t="s">
        <v>54</v>
      </c>
      <c r="C411" s="111" t="str">
        <f ca="1">IFERROR(__xludf.DUMMYFUNCTION("""COMPUTED_VALUE"""),"МОС АВС")</f>
        <v>МОС АВС</v>
      </c>
      <c r="D411" s="111"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f>
        <v>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v>
      </c>
      <c r="E411" s="111">
        <f ca="1">IFERROR(__xludf.DUMMYFUNCTION("""COMPUTED_VALUE"""),2020)</f>
        <v>2020</v>
      </c>
      <c r="F411" s="113">
        <f ca="1">IFERROR(__xludf.DUMMYFUNCTION("""COMPUTED_VALUE"""),5800)</f>
        <v>5800</v>
      </c>
      <c r="G411" s="113">
        <f ca="1">IFERROR(__xludf.DUMMYFUNCTION("""COMPUTED_VALUE"""),5800)</f>
        <v>5800</v>
      </c>
      <c r="H411" s="113">
        <f ca="1">IFERROR(__xludf.DUMMYFUNCTION("""COMPUTED_VALUE"""),0)</f>
        <v>0</v>
      </c>
      <c r="I411" s="113">
        <f ca="1">IFERROR(__xludf.DUMMYFUNCTION("""COMPUTED_VALUE"""),0)</f>
        <v>0</v>
      </c>
      <c r="J411" s="111">
        <f ca="1">IFERROR(__xludf.DUMMYFUNCTION("""COMPUTED_VALUE"""),0)</f>
        <v>0</v>
      </c>
      <c r="K411" s="113">
        <f ca="1">IFERROR(__xludf.DUMMYFUNCTION("""COMPUTED_VALUE"""),5800)</f>
        <v>5800</v>
      </c>
      <c r="L411" s="114">
        <f ca="1">IFERROR(__xludf.DUMMYFUNCTION("""COMPUTED_VALUE"""),0)</f>
        <v>0</v>
      </c>
      <c r="M411" s="111"/>
      <c r="N411" s="110" t="s">
        <v>556</v>
      </c>
      <c r="O411" s="111"/>
      <c r="P411" s="111"/>
      <c r="Q411" s="112"/>
      <c r="R411" s="103"/>
      <c r="S411" s="103"/>
      <c r="T411" s="103"/>
      <c r="U411" s="103"/>
      <c r="V411" s="103"/>
      <c r="W411" s="103"/>
      <c r="X411" s="103"/>
      <c r="Y411" s="103"/>
      <c r="Z411" s="103"/>
      <c r="AA411" s="103"/>
    </row>
    <row r="412" spans="1:27" ht="114.75" x14ac:dyDescent="0.2">
      <c r="A412" s="110">
        <v>409</v>
      </c>
      <c r="B412" s="110" t="s">
        <v>54</v>
      </c>
      <c r="C412" s="111" t="str">
        <f ca="1">IFERROR(__xludf.DUMMYFUNCTION("""COMPUTED_VALUE"""),"МОС АВС")</f>
        <v>МОС АВС</v>
      </c>
      <c r="D412" s="111"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f>
        <v xml:space="preserv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v>
      </c>
      <c r="E412" s="111">
        <f ca="1">IFERROR(__xludf.DUMMYFUNCTION("""COMPUTED_VALUE"""),2020)</f>
        <v>2020</v>
      </c>
      <c r="F412" s="113">
        <f ca="1">IFERROR(__xludf.DUMMYFUNCTION("""COMPUTED_VALUE"""),7211.71)</f>
        <v>7211.71</v>
      </c>
      <c r="G412" s="113">
        <f ca="1">IFERROR(__xludf.DUMMYFUNCTION("""COMPUTED_VALUE"""),7211.71)</f>
        <v>7211.71</v>
      </c>
      <c r="H412" s="113">
        <f ca="1">IFERROR(__xludf.DUMMYFUNCTION("""COMPUTED_VALUE"""),0)</f>
        <v>0</v>
      </c>
      <c r="I412" s="113">
        <f ca="1">IFERROR(__xludf.DUMMYFUNCTION("""COMPUTED_VALUE"""),0)</f>
        <v>0</v>
      </c>
      <c r="J412" s="111">
        <f ca="1">IFERROR(__xludf.DUMMYFUNCTION("""COMPUTED_VALUE"""),0)</f>
        <v>0</v>
      </c>
      <c r="K412" s="113">
        <f ca="1">IFERROR(__xludf.DUMMYFUNCTION("""COMPUTED_VALUE"""),7211.71)</f>
        <v>7211.71</v>
      </c>
      <c r="L412" s="114">
        <f ca="1">IFERROR(__xludf.DUMMYFUNCTION("""COMPUTED_VALUE"""),0)</f>
        <v>0</v>
      </c>
      <c r="M412" s="111"/>
      <c r="N412" s="110" t="s">
        <v>556</v>
      </c>
      <c r="O412" s="111"/>
      <c r="P412" s="111"/>
      <c r="Q412" s="112"/>
      <c r="R412" s="103"/>
      <c r="S412" s="103"/>
      <c r="T412" s="103"/>
      <c r="U412" s="103"/>
      <c r="V412" s="103"/>
      <c r="W412" s="103"/>
      <c r="X412" s="103"/>
      <c r="Y412" s="103"/>
      <c r="Z412" s="103"/>
      <c r="AA412" s="103"/>
    </row>
    <row r="413" spans="1:27" ht="76.5" x14ac:dyDescent="0.2">
      <c r="A413" s="110">
        <v>410</v>
      </c>
      <c r="B413" s="110" t="s">
        <v>54</v>
      </c>
      <c r="C413" s="111" t="str">
        <f ca="1">IFERROR(__xludf.DUMMYFUNCTION("""COMPUTED_VALUE"""),"МОС АВС")</f>
        <v>МОС АВС</v>
      </c>
      <c r="D413" s="111" t="str">
        <f ca="1">IFERROR(__xludf.DUMMYFUNCTION("""COMPUTED_VALUE"""),"Строительство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f>
        <v>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v>
      </c>
      <c r="E413" s="111" t="str">
        <f ca="1">IFERROR(__xludf.DUMMYFUNCTION("""COMPUTED_VALUE"""),"2020-2021")</f>
        <v>2020-2021</v>
      </c>
      <c r="F413" s="113">
        <f ca="1">IFERROR(__xludf.DUMMYFUNCTION("""COMPUTED_VALUE"""),23141.28)</f>
        <v>23141.279999999999</v>
      </c>
      <c r="G413" s="113">
        <f ca="1">IFERROR(__xludf.DUMMYFUNCTION("""COMPUTED_VALUE"""),23141.28)</f>
        <v>23141.279999999999</v>
      </c>
      <c r="H413" s="113">
        <f ca="1">IFERROR(__xludf.DUMMYFUNCTION("""COMPUTED_VALUE"""),0)</f>
        <v>0</v>
      </c>
      <c r="I413" s="113">
        <f ca="1">IFERROR(__xludf.DUMMYFUNCTION("""COMPUTED_VALUE"""),0)</f>
        <v>0</v>
      </c>
      <c r="J413" s="111">
        <f ca="1">IFERROR(__xludf.DUMMYFUNCTION("""COMPUTED_VALUE"""),15341.62)</f>
        <v>15341.62</v>
      </c>
      <c r="K413" s="113">
        <f ca="1">IFERROR(__xludf.DUMMYFUNCTION("""COMPUTED_VALUE"""),7799.65999999999)</f>
        <v>7799.6599999999899</v>
      </c>
      <c r="L413" s="114">
        <f ca="1">IFERROR(__xludf.DUMMYFUNCTION("""COMPUTED_VALUE"""),0.662954685306949)</f>
        <v>0.66295468530694901</v>
      </c>
      <c r="M413" s="111"/>
      <c r="N413" s="110" t="s">
        <v>556</v>
      </c>
      <c r="O413" s="111"/>
      <c r="P413" s="111"/>
      <c r="Q413" s="112"/>
      <c r="R413" s="103"/>
      <c r="S413" s="103"/>
      <c r="T413" s="103"/>
      <c r="U413" s="103"/>
      <c r="V413" s="103"/>
      <c r="W413" s="103"/>
      <c r="X413" s="103"/>
      <c r="Y413" s="103"/>
      <c r="Z413" s="103"/>
      <c r="AA413" s="103"/>
    </row>
    <row r="414" spans="1:27" ht="114.75" x14ac:dyDescent="0.2">
      <c r="A414" s="110">
        <v>411</v>
      </c>
      <c r="B414" s="110" t="s">
        <v>54</v>
      </c>
      <c r="C414" s="111" t="str">
        <f ca="1">IFERROR(__xludf.DUMMYFUNCTION("""COMPUTED_VALUE"""),"МОС АВС")</f>
        <v>МОС АВС</v>
      </c>
      <c r="D414" s="111" t="str">
        <f ca="1">IFERROR(__xludf.DUMMYFUNCTION("""COMPUTED_VALUE"""),"Строительство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f>
        <v>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v>
      </c>
      <c r="E414" s="111" t="str">
        <f ca="1">IFERROR(__xludf.DUMMYFUNCTION("""COMPUTED_VALUE"""),"2020-2021")</f>
        <v>2020-2021</v>
      </c>
      <c r="F414" s="113">
        <f ca="1">IFERROR(__xludf.DUMMYFUNCTION("""COMPUTED_VALUE"""),61.36)</f>
        <v>61.36</v>
      </c>
      <c r="G414" s="113">
        <f ca="1">IFERROR(__xludf.DUMMYFUNCTION("""COMPUTED_VALUE"""),61.36)</f>
        <v>61.36</v>
      </c>
      <c r="H414" s="113">
        <f ca="1">IFERROR(__xludf.DUMMYFUNCTION("""COMPUTED_VALUE"""),0)</f>
        <v>0</v>
      </c>
      <c r="I414" s="113">
        <f ca="1">IFERROR(__xludf.DUMMYFUNCTION("""COMPUTED_VALUE"""),0)</f>
        <v>0</v>
      </c>
      <c r="J414" s="111">
        <f ca="1">IFERROR(__xludf.DUMMYFUNCTION("""COMPUTED_VALUE"""),0)</f>
        <v>0</v>
      </c>
      <c r="K414" s="113">
        <f ca="1">IFERROR(__xludf.DUMMYFUNCTION("""COMPUTED_VALUE"""),61.36)</f>
        <v>61.36</v>
      </c>
      <c r="L414" s="114">
        <f ca="1">IFERROR(__xludf.DUMMYFUNCTION("""COMPUTED_VALUE"""),0)</f>
        <v>0</v>
      </c>
      <c r="M414" s="111"/>
      <c r="N414" s="110" t="s">
        <v>556</v>
      </c>
      <c r="O414" s="111"/>
      <c r="P414" s="111"/>
      <c r="Q414" s="112"/>
      <c r="R414" s="103"/>
      <c r="S414" s="103"/>
      <c r="T414" s="103"/>
      <c r="U414" s="103"/>
      <c r="V414" s="103"/>
      <c r="W414" s="103"/>
      <c r="X414" s="103"/>
      <c r="Y414" s="103"/>
      <c r="Z414" s="103"/>
      <c r="AA414" s="103"/>
    </row>
    <row r="415" spans="1:27" ht="76.5" x14ac:dyDescent="0.2">
      <c r="A415" s="110">
        <v>412</v>
      </c>
      <c r="B415" s="110" t="s">
        <v>54</v>
      </c>
      <c r="C415" s="111" t="str">
        <f ca="1">IFERROR(__xludf.DUMMYFUNCTION("""COMPUTED_VALUE"""),"МОС АВС")</f>
        <v>МОС АВС</v>
      </c>
      <c r="D415" s="111"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f>
        <v>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v>
      </c>
      <c r="E415" s="111" t="str">
        <f ca="1">IFERROR(__xludf.DUMMYFUNCTION("""COMPUTED_VALUE"""),"2020-2022")</f>
        <v>2020-2022</v>
      </c>
      <c r="F415" s="113">
        <f ca="1">IFERROR(__xludf.DUMMYFUNCTION("""COMPUTED_VALUE"""),2269.47)</f>
        <v>2269.4699999999998</v>
      </c>
      <c r="G415" s="113">
        <f ca="1">IFERROR(__xludf.DUMMYFUNCTION("""COMPUTED_VALUE"""),2269.47)</f>
        <v>2269.4699999999998</v>
      </c>
      <c r="H415" s="113">
        <f ca="1">IFERROR(__xludf.DUMMYFUNCTION("""COMPUTED_VALUE"""),0)</f>
        <v>0</v>
      </c>
      <c r="I415" s="113">
        <f ca="1">IFERROR(__xludf.DUMMYFUNCTION("""COMPUTED_VALUE"""),0)</f>
        <v>0</v>
      </c>
      <c r="J415" s="111">
        <f ca="1">IFERROR(__xludf.DUMMYFUNCTION("""COMPUTED_VALUE"""),0)</f>
        <v>0</v>
      </c>
      <c r="K415" s="113">
        <f ca="1">IFERROR(__xludf.DUMMYFUNCTION("""COMPUTED_VALUE"""),2269.47)</f>
        <v>2269.4699999999998</v>
      </c>
      <c r="L415" s="114">
        <f ca="1">IFERROR(__xludf.DUMMYFUNCTION("""COMPUTED_VALUE"""),0)</f>
        <v>0</v>
      </c>
      <c r="M415" s="111"/>
      <c r="N415" s="110" t="s">
        <v>556</v>
      </c>
      <c r="O415" s="111"/>
      <c r="P415" s="111"/>
      <c r="Q415" s="112"/>
      <c r="R415" s="103"/>
      <c r="S415" s="103"/>
      <c r="T415" s="103"/>
      <c r="U415" s="103"/>
      <c r="V415" s="103"/>
      <c r="W415" s="103"/>
      <c r="X415" s="103"/>
      <c r="Y415" s="103"/>
      <c r="Z415" s="103"/>
      <c r="AA415" s="103"/>
    </row>
    <row r="416" spans="1:27" ht="51" x14ac:dyDescent="0.2">
      <c r="A416" s="110">
        <v>413</v>
      </c>
      <c r="B416" s="110" t="s">
        <v>54</v>
      </c>
      <c r="C416" s="111" t="str">
        <f ca="1">IFERROR(__xludf.DUMMYFUNCTION("""COMPUTED_VALUE"""),"г.о. Дмитровский")</f>
        <v>г.о. Дмитровский</v>
      </c>
      <c r="D416" s="111" t="str">
        <f ca="1">IFERROR(__xludf.DUMMYFUNCTION("""COMPUTED_VALUE"""),"Приобретение  объектов теплоснабжения на территории  г.п. Деденево, Дмитровский муниципальный район ")</f>
        <v xml:space="preserve">Приобретение  объектов теплоснабжения на территории  г.п. Деденево, Дмитровский муниципальный район </v>
      </c>
      <c r="E416" s="111">
        <f ca="1">IFERROR(__xludf.DUMMYFUNCTION("""COMPUTED_VALUE"""),2021)</f>
        <v>2021</v>
      </c>
      <c r="F416" s="113">
        <f ca="1">IFERROR(__xludf.DUMMYFUNCTION("""COMPUTED_VALUE"""),0)</f>
        <v>0</v>
      </c>
      <c r="G416" s="113">
        <f ca="1">IFERROR(__xludf.DUMMYFUNCTION("""COMPUTED_VALUE"""),0)</f>
        <v>0</v>
      </c>
      <c r="H416" s="113">
        <f ca="1">IFERROR(__xludf.DUMMYFUNCTION("""COMPUTED_VALUE"""),0)</f>
        <v>0</v>
      </c>
      <c r="I416" s="113">
        <f ca="1">IFERROR(__xludf.DUMMYFUNCTION("""COMPUTED_VALUE"""),0)</f>
        <v>0</v>
      </c>
      <c r="J416" s="111">
        <f ca="1">IFERROR(__xludf.DUMMYFUNCTION("""COMPUTED_VALUE"""),0)</f>
        <v>0</v>
      </c>
      <c r="K416" s="113">
        <f ca="1">IFERROR(__xludf.DUMMYFUNCTION("""COMPUTED_VALUE"""),0)</f>
        <v>0</v>
      </c>
      <c r="L416" s="114" t="str">
        <f ca="1">IFERROR(__xludf.DUMMYFUNCTION("""COMPUTED_VALUE"""),"#DIV/0!")</f>
        <v>#DIV/0!</v>
      </c>
      <c r="M416" s="111"/>
      <c r="N416" s="111"/>
      <c r="O416" s="111"/>
      <c r="P416" s="111"/>
      <c r="Q416" s="112"/>
      <c r="R416" s="103"/>
      <c r="S416" s="103"/>
      <c r="T416" s="103"/>
      <c r="U416" s="103"/>
      <c r="V416" s="103"/>
      <c r="W416" s="103"/>
      <c r="X416" s="103"/>
      <c r="Y416" s="103"/>
      <c r="Z416" s="103"/>
      <c r="AA416" s="103"/>
    </row>
    <row r="417" spans="1:27" ht="76.5" x14ac:dyDescent="0.2">
      <c r="A417" s="110">
        <v>414</v>
      </c>
      <c r="B417" s="110" t="s">
        <v>54</v>
      </c>
      <c r="C417" s="111" t="str">
        <f ca="1">IFERROR(__xludf.DUMMYFUNCTION("""COMPUTED_VALUE"""),"МОС АВС")</f>
        <v>МОС АВС</v>
      </c>
      <c r="D417" s="111"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f>
        <v>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v>
      </c>
      <c r="E417" s="111" t="str">
        <f ca="1">IFERROR(__xludf.DUMMYFUNCTION("""COMPUTED_VALUE"""),"2020-2022")</f>
        <v>2020-2022</v>
      </c>
      <c r="F417" s="113">
        <f ca="1">IFERROR(__xludf.DUMMYFUNCTION("""COMPUTED_VALUE"""),182.5)</f>
        <v>182.5</v>
      </c>
      <c r="G417" s="113">
        <f ca="1">IFERROR(__xludf.DUMMYFUNCTION("""COMPUTED_VALUE"""),182.5)</f>
        <v>182.5</v>
      </c>
      <c r="H417" s="113">
        <f ca="1">IFERROR(__xludf.DUMMYFUNCTION("""COMPUTED_VALUE"""),0)</f>
        <v>0</v>
      </c>
      <c r="I417" s="113">
        <f ca="1">IFERROR(__xludf.DUMMYFUNCTION("""COMPUTED_VALUE"""),0)</f>
        <v>0</v>
      </c>
      <c r="J417" s="111">
        <f ca="1">IFERROR(__xludf.DUMMYFUNCTION("""COMPUTED_VALUE"""),0)</f>
        <v>0</v>
      </c>
      <c r="K417" s="113">
        <f ca="1">IFERROR(__xludf.DUMMYFUNCTION("""COMPUTED_VALUE"""),182.5)</f>
        <v>182.5</v>
      </c>
      <c r="L417" s="114">
        <f ca="1">IFERROR(__xludf.DUMMYFUNCTION("""COMPUTED_VALUE"""),0)</f>
        <v>0</v>
      </c>
      <c r="M417" s="111"/>
      <c r="N417" s="110" t="s">
        <v>556</v>
      </c>
      <c r="O417" s="111"/>
      <c r="P417" s="111"/>
      <c r="Q417" s="112"/>
      <c r="R417" s="103"/>
      <c r="S417" s="103"/>
      <c r="T417" s="103"/>
      <c r="U417" s="103"/>
      <c r="V417" s="103"/>
      <c r="W417" s="103"/>
      <c r="X417" s="103"/>
      <c r="Y417" s="103"/>
      <c r="Z417" s="103"/>
      <c r="AA417" s="103"/>
    </row>
    <row r="418" spans="1:27" ht="63.75" x14ac:dyDescent="0.2">
      <c r="A418" s="110">
        <v>415</v>
      </c>
      <c r="B418" s="110" t="s">
        <v>54</v>
      </c>
      <c r="C418" s="111" t="str">
        <f ca="1">IFERROR(__xludf.DUMMYFUNCTION("""COMPUTED_VALUE"""),"МОС АВС")</f>
        <v>МОС АВС</v>
      </c>
      <c r="D418" s="111" t="str">
        <f ca="1">IFERROR(__xludf.DUMMYFUNCTION("""COMPUTED_VALUE"""),"Строительство блочно-модульной котельной для Клеменовская участковая больница ГБУЗ МО ""Егорьевская ЦРБ"" по адресу: д. Овчагино  (в том числе ПИР)")</f>
        <v>Строительство блочно-модульной котельной для Клеменовская участковая больница ГБУЗ МО "Егорьевская ЦРБ" по адресу: д. Овчагино  (в том числе ПИР)</v>
      </c>
      <c r="E418" s="111" t="str">
        <f ca="1">IFERROR(__xludf.DUMMYFUNCTION("""COMPUTED_VALUE"""),"2020-2021")</f>
        <v>2020-2021</v>
      </c>
      <c r="F418" s="113">
        <f ca="1">IFERROR(__xludf.DUMMYFUNCTION("""COMPUTED_VALUE"""),2578.68)</f>
        <v>2578.6799999999998</v>
      </c>
      <c r="G418" s="113">
        <f ca="1">IFERROR(__xludf.DUMMYFUNCTION("""COMPUTED_VALUE"""),2578.68)</f>
        <v>2578.6799999999998</v>
      </c>
      <c r="H418" s="113">
        <f ca="1">IFERROR(__xludf.DUMMYFUNCTION("""COMPUTED_VALUE"""),0)</f>
        <v>0</v>
      </c>
      <c r="I418" s="113">
        <f ca="1">IFERROR(__xludf.DUMMYFUNCTION("""COMPUTED_VALUE"""),0)</f>
        <v>0</v>
      </c>
      <c r="J418" s="111">
        <f ca="1">IFERROR(__xludf.DUMMYFUNCTION("""COMPUTED_VALUE"""),1566.29)</f>
        <v>1566.29</v>
      </c>
      <c r="K418" s="113">
        <f ca="1">IFERROR(__xludf.DUMMYFUNCTION("""COMPUTED_VALUE"""),1012.38999999999)</f>
        <v>1012.38999999999</v>
      </c>
      <c r="L418" s="114">
        <f ca="1">IFERROR(__xludf.DUMMYFUNCTION("""COMPUTED_VALUE"""),0.607399910031489)</f>
        <v>0.60739991003148897</v>
      </c>
      <c r="M418" s="111"/>
      <c r="N418" s="110" t="s">
        <v>556</v>
      </c>
      <c r="O418" s="111"/>
      <c r="P418" s="111"/>
      <c r="Q418" s="112"/>
      <c r="R418" s="103"/>
      <c r="S418" s="103"/>
      <c r="T418" s="103"/>
      <c r="U418" s="103"/>
      <c r="V418" s="103"/>
      <c r="W418" s="103"/>
      <c r="X418" s="103"/>
      <c r="Y418" s="103"/>
      <c r="Z418" s="103"/>
      <c r="AA418" s="103"/>
    </row>
    <row r="419" spans="1:27" ht="114.75" x14ac:dyDescent="0.2">
      <c r="A419" s="110">
        <v>416</v>
      </c>
      <c r="B419" s="110" t="s">
        <v>54</v>
      </c>
      <c r="C419" s="111" t="str">
        <f ca="1">IFERROR(__xludf.DUMMYFUNCTION("""COMPUTED_VALUE"""),"МОС АВС")</f>
        <v>МОС АВС</v>
      </c>
      <c r="D419" s="111" t="str">
        <f ca="1">IFERROR(__xludf.DUMMYFUNCTION("""COMPUTED_VALUE"""),"Строительство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f>
        <v>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v>
      </c>
      <c r="E419" s="111" t="str">
        <f ca="1">IFERROR(__xludf.DUMMYFUNCTION("""COMPUTED_VALUE"""),"2020-2022")</f>
        <v>2020-2022</v>
      </c>
      <c r="F419" s="113">
        <f ca="1">IFERROR(__xludf.DUMMYFUNCTION("""COMPUTED_VALUE"""),804.6)</f>
        <v>804.6</v>
      </c>
      <c r="G419" s="113">
        <f ca="1">IFERROR(__xludf.DUMMYFUNCTION("""COMPUTED_VALUE"""),804.6)</f>
        <v>804.6</v>
      </c>
      <c r="H419" s="113">
        <f ca="1">IFERROR(__xludf.DUMMYFUNCTION("""COMPUTED_VALUE"""),0)</f>
        <v>0</v>
      </c>
      <c r="I419" s="113">
        <f ca="1">IFERROR(__xludf.DUMMYFUNCTION("""COMPUTED_VALUE"""),0)</f>
        <v>0</v>
      </c>
      <c r="J419" s="111">
        <f ca="1">IFERROR(__xludf.DUMMYFUNCTION("""COMPUTED_VALUE"""),0)</f>
        <v>0</v>
      </c>
      <c r="K419" s="113">
        <f ca="1">IFERROR(__xludf.DUMMYFUNCTION("""COMPUTED_VALUE"""),804.6)</f>
        <v>804.6</v>
      </c>
      <c r="L419" s="114">
        <f ca="1">IFERROR(__xludf.DUMMYFUNCTION("""COMPUTED_VALUE"""),0)</f>
        <v>0</v>
      </c>
      <c r="M419" s="111" t="str">
        <f ca="1">IFERROR(__xludf.DUMMYFUNCTION("""COMPUTED_VALUE"""),"ПИР до 25.12.2020")</f>
        <v>ПИР до 25.12.2020</v>
      </c>
      <c r="N419" s="110" t="s">
        <v>556</v>
      </c>
      <c r="O419" s="111"/>
      <c r="P419" s="111"/>
      <c r="Q419" s="112"/>
      <c r="R419" s="103"/>
      <c r="S419" s="103"/>
      <c r="T419" s="103"/>
      <c r="U419" s="103"/>
      <c r="V419" s="103"/>
      <c r="W419" s="103"/>
      <c r="X419" s="103"/>
      <c r="Y419" s="103"/>
      <c r="Z419" s="103"/>
      <c r="AA419" s="103"/>
    </row>
    <row r="420" spans="1:27" ht="51" x14ac:dyDescent="0.2">
      <c r="A420" s="110">
        <v>417</v>
      </c>
      <c r="B420" s="123" t="s">
        <v>69</v>
      </c>
      <c r="C420" s="111" t="str">
        <f ca="1">IFERROR(__xludf.DUMMYFUNCTION("""COMPUTED_VALUE"""),"г.о. Ступино")</f>
        <v>г.о. Ступино</v>
      </c>
      <c r="D420" s="111" t="str">
        <f ca="1">IFERROR(__xludf.DUMMYFUNCTION("""COMPUTED_VALUE"""),"Капитальный ремонт МБОУ «Мещеринская СОШ № 1», пос. Мещерино-1, г.о. Ступино,  военный городок № 1, в/ч 03770")</f>
        <v>Капитальный ремонт МБОУ «Мещеринская СОШ № 1», пос. Мещерино-1, г.о. Ступино,  военный городок № 1, в/ч 03770</v>
      </c>
      <c r="E420" s="111">
        <f ca="1">IFERROR(__xludf.DUMMYFUNCTION("""COMPUTED_VALUE"""),2020)</f>
        <v>2020</v>
      </c>
      <c r="F420" s="113">
        <f ca="1">IFERROR(__xludf.DUMMYFUNCTION("""COMPUTED_VALUE"""),48708)</f>
        <v>48708</v>
      </c>
      <c r="G420" s="113">
        <f ca="1">IFERROR(__xludf.DUMMYFUNCTION("""COMPUTED_VALUE"""),48708)</f>
        <v>48708</v>
      </c>
      <c r="H420" s="111"/>
      <c r="I420" s="113">
        <f ca="1">IFERROR(__xludf.DUMMYFUNCTION("""COMPUTED_VALUE"""),0)</f>
        <v>0</v>
      </c>
      <c r="J420" s="111">
        <f ca="1">IFERROR(__xludf.DUMMYFUNCTION("""COMPUTED_VALUE"""),33193.68)</f>
        <v>33193.68</v>
      </c>
      <c r="K420" s="113">
        <f ca="1">IFERROR(__xludf.DUMMYFUNCTION("""COMPUTED_VALUE"""),15514.32)</f>
        <v>15514.32</v>
      </c>
      <c r="L420" s="114">
        <f ca="1">IFERROR(__xludf.DUMMYFUNCTION("""COMPUTED_VALUE"""),0.681483123922148)</f>
        <v>0.68148312392214805</v>
      </c>
      <c r="M420" s="111"/>
      <c r="N420" s="111"/>
      <c r="O420" s="111"/>
      <c r="P420" s="111"/>
      <c r="Q420" s="112"/>
      <c r="R420" s="103"/>
      <c r="S420" s="103"/>
      <c r="T420" s="103"/>
      <c r="U420" s="103"/>
      <c r="V420" s="103"/>
      <c r="W420" s="103"/>
      <c r="X420" s="103"/>
      <c r="Y420" s="103"/>
      <c r="Z420" s="103"/>
      <c r="AA420" s="103"/>
    </row>
    <row r="421" spans="1:27" ht="127.5" x14ac:dyDescent="0.2">
      <c r="A421" s="110">
        <v>418</v>
      </c>
      <c r="B421" s="124" t="s">
        <v>54</v>
      </c>
      <c r="C421" s="117" t="str">
        <f ca="1">IFERROR(__xludf.DUMMYFUNCTION("""COMPUTED_VALUE"""),"г.о. Балашиха")</f>
        <v>г.о. Балашиха</v>
      </c>
      <c r="D421" s="117" t="str">
        <f ca="1">IFERROR(__xludf.DUMMYFUNCTION("""COMPUTED_VALUE"""),"Капитальный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облас"&amp;"ти – 3 662,00 тыс.руб.)")</f>
        <v>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области – 3 662,00 тыс.руб.)</v>
      </c>
      <c r="E421" s="117" t="str">
        <f ca="1">IFERROR(__xludf.DUMMYFUNCTION("""COMPUTED_VALUE"""),"2019-2020")</f>
        <v>2019-2020</v>
      </c>
      <c r="F421" s="118">
        <f ca="1">IFERROR(__xludf.DUMMYFUNCTION("""COMPUTED_VALUE"""),82579.31)</f>
        <v>82579.31</v>
      </c>
      <c r="G421" s="118">
        <f ca="1">IFERROR(__xludf.DUMMYFUNCTION("""COMPUTED_VALUE"""),82579.31)</f>
        <v>82579.31</v>
      </c>
      <c r="H421" s="117"/>
      <c r="I421" s="118">
        <f ca="1">IFERROR(__xludf.DUMMYFUNCTION("""COMPUTED_VALUE"""),0)</f>
        <v>0</v>
      </c>
      <c r="J421" s="117">
        <f ca="1">IFERROR(__xludf.DUMMYFUNCTION("""COMPUTED_VALUE"""),82579.25)</f>
        <v>82579.25</v>
      </c>
      <c r="K421" s="118">
        <f ca="1">IFERROR(__xludf.DUMMYFUNCTION("""COMPUTED_VALUE"""),0.0599999999976716)</f>
        <v>5.9999999997671603E-2</v>
      </c>
      <c r="L421" s="119">
        <f ca="1">IFERROR(__xludf.DUMMYFUNCTION("""COMPUTED_VALUE"""),0.999999273425752)</f>
        <v>0.99999927342575201</v>
      </c>
      <c r="M421" s="117"/>
      <c r="N421" s="110" t="s">
        <v>566</v>
      </c>
      <c r="O421" s="111"/>
      <c r="P421" s="111"/>
      <c r="Q421" s="115">
        <v>44154</v>
      </c>
      <c r="R421" s="103"/>
      <c r="S421" s="103"/>
      <c r="T421" s="103"/>
      <c r="U421" s="103"/>
      <c r="V421" s="103"/>
      <c r="W421" s="103"/>
      <c r="X421" s="103"/>
      <c r="Y421" s="103"/>
      <c r="Z421" s="103"/>
      <c r="AA421" s="103"/>
    </row>
    <row r="422" spans="1:27" ht="140.25" x14ac:dyDescent="0.2">
      <c r="A422" s="110">
        <v>419</v>
      </c>
      <c r="B422" s="124" t="s">
        <v>54</v>
      </c>
      <c r="C422" s="117" t="str">
        <f ca="1">IFERROR(__xludf.DUMMYFUNCTION("""COMPUTED_VALUE"""),"г.о. Балашиха")</f>
        <v>г.о. Балашиха</v>
      </c>
      <c r="D422" s="117" t="str">
        <f ca="1">IFERROR(__xludf.DUMMYFUNCTION("""COMPUTED_VALUE"""),"Капитальный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2"&amp;"22,0 тыс.руб.)
")</f>
        <v xml:space="preserv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222,0 тыс.руб.)
</v>
      </c>
      <c r="E422" s="117" t="str">
        <f ca="1">IFERROR(__xludf.DUMMYFUNCTION("""COMPUTED_VALUE"""),"2019-2020")</f>
        <v>2019-2020</v>
      </c>
      <c r="F422" s="118">
        <f ca="1">IFERROR(__xludf.DUMMYFUNCTION("""COMPUTED_VALUE"""),197225.69)</f>
        <v>197225.69</v>
      </c>
      <c r="G422" s="118">
        <f ca="1">IFERROR(__xludf.DUMMYFUNCTION("""COMPUTED_VALUE"""),197225.69)</f>
        <v>197225.69</v>
      </c>
      <c r="H422" s="117"/>
      <c r="I422" s="118">
        <f ca="1">IFERROR(__xludf.DUMMYFUNCTION("""COMPUTED_VALUE"""),0)</f>
        <v>0</v>
      </c>
      <c r="J422" s="117">
        <f ca="1">IFERROR(__xludf.DUMMYFUNCTION("""COMPUTED_VALUE"""),172120.6)</f>
        <v>172120.6</v>
      </c>
      <c r="K422" s="118">
        <f ca="1">IFERROR(__xludf.DUMMYFUNCTION("""COMPUTED_VALUE"""),25105.0899999999)</f>
        <v>25105.089999999898</v>
      </c>
      <c r="L422" s="119">
        <f ca="1">IFERROR(__xludf.DUMMYFUNCTION("""COMPUTED_VALUE"""),0.872708824088788)</f>
        <v>0.87270882408878803</v>
      </c>
      <c r="M422" s="117"/>
      <c r="N422" s="110" t="s">
        <v>566</v>
      </c>
      <c r="O422" s="111"/>
      <c r="P422" s="111"/>
      <c r="Q422" s="115">
        <v>44154</v>
      </c>
      <c r="R422" s="103"/>
      <c r="S422" s="103"/>
      <c r="T422" s="103"/>
      <c r="U422" s="103"/>
      <c r="V422" s="103"/>
      <c r="W422" s="103"/>
      <c r="X422" s="103"/>
      <c r="Y422" s="103"/>
      <c r="Z422" s="103"/>
      <c r="AA422" s="103"/>
    </row>
    <row r="423" spans="1:27" ht="102" x14ac:dyDescent="0.2">
      <c r="A423" s="110">
        <v>420</v>
      </c>
      <c r="B423" s="123" t="s">
        <v>70</v>
      </c>
      <c r="C423" s="111" t="str">
        <f ca="1">IFERROR(__xludf.DUMMYFUNCTION("""COMPUTED_VALUE"""),"г.о. Балашиха")</f>
        <v>г.о. Балашиха</v>
      </c>
      <c r="D423" s="111" t="str">
        <f ca="1">IFERROR(__xludf.DUMMYFUNCTION("""COMPUTED_VALUE"""),"Капитальный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f>
        <v>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v>
      </c>
      <c r="E423" s="111" t="str">
        <f ca="1">IFERROR(__xludf.DUMMYFUNCTION("""COMPUTED_VALUE"""),"2018-2020")</f>
        <v>2018-2020</v>
      </c>
      <c r="F423" s="113">
        <f ca="1">IFERROR(__xludf.DUMMYFUNCTION("""COMPUTED_VALUE"""),67408)</f>
        <v>67408</v>
      </c>
      <c r="G423" s="113">
        <f ca="1">IFERROR(__xludf.DUMMYFUNCTION("""COMPUTED_VALUE"""),67408)</f>
        <v>67408</v>
      </c>
      <c r="H423" s="111"/>
      <c r="I423" s="113">
        <f ca="1">IFERROR(__xludf.DUMMYFUNCTION("""COMPUTED_VALUE"""),0)</f>
        <v>0</v>
      </c>
      <c r="J423" s="111">
        <f ca="1">IFERROR(__xludf.DUMMYFUNCTION("""COMPUTED_VALUE"""),0)</f>
        <v>0</v>
      </c>
      <c r="K423" s="113">
        <f ca="1">IFERROR(__xludf.DUMMYFUNCTION("""COMPUTED_VALUE"""),67408)</f>
        <v>67408</v>
      </c>
      <c r="L423" s="114">
        <f ca="1">IFERROR(__xludf.DUMMYFUNCTION("""COMPUTED_VALUE"""),0)</f>
        <v>0</v>
      </c>
      <c r="M423" s="111"/>
      <c r="N423" s="111"/>
      <c r="O423" s="111"/>
      <c r="P423" s="111"/>
      <c r="Q423" s="112"/>
      <c r="R423" s="103"/>
      <c r="S423" s="103"/>
      <c r="T423" s="103"/>
      <c r="U423" s="103"/>
      <c r="V423" s="103"/>
      <c r="W423" s="103"/>
      <c r="X423" s="103"/>
      <c r="Y423" s="103"/>
      <c r="Z423" s="103"/>
      <c r="AA423" s="103"/>
    </row>
    <row r="424" spans="1:27" ht="51" x14ac:dyDescent="0.2">
      <c r="A424" s="110">
        <v>421</v>
      </c>
      <c r="B424" s="123" t="s">
        <v>54</v>
      </c>
      <c r="C424" s="111" t="str">
        <f ca="1">IFERROR(__xludf.DUMMYFUNCTION("""COMPUTED_VALUE"""),"г.о. Балашиха")</f>
        <v>г.о. Балашиха</v>
      </c>
      <c r="D424" s="111" t="str">
        <f ca="1">IFERROR(__xludf.DUMMYFUNCTION("""COMPUTED_VALUE"""),"Строительство газовой котельной 20МВт по адресу: городской округ Балашиха, мкр. Северный, в том числе:: ПИР")</f>
        <v>Строительство газовой котельной 20МВт по адресу: городской округ Балашиха, мкр. Северный, в том числе:: ПИР</v>
      </c>
      <c r="E424" s="113" t="str">
        <f ca="1">IFERROR(__xludf.DUMMYFUNCTION("""COMPUTED_VALUE"""),"2018, 2021, 2022")</f>
        <v>2018, 2021, 2022</v>
      </c>
      <c r="F424" s="113">
        <f ca="1">IFERROR(__xludf.DUMMYFUNCTION("""COMPUTED_VALUE"""),0)</f>
        <v>0</v>
      </c>
      <c r="G424" s="113">
        <f ca="1">IFERROR(__xludf.DUMMYFUNCTION("""COMPUTED_VALUE"""),0)</f>
        <v>0</v>
      </c>
      <c r="H424" s="111"/>
      <c r="I424" s="113">
        <f ca="1">IFERROR(__xludf.DUMMYFUNCTION("""COMPUTED_VALUE"""),0)</f>
        <v>0</v>
      </c>
      <c r="J424" s="111">
        <f ca="1">IFERROR(__xludf.DUMMYFUNCTION("""COMPUTED_VALUE"""),0)</f>
        <v>0</v>
      </c>
      <c r="K424" s="113">
        <f ca="1">IFERROR(__xludf.DUMMYFUNCTION("""COMPUTED_VALUE"""),0)</f>
        <v>0</v>
      </c>
      <c r="L424" s="114" t="str">
        <f ca="1">IFERROR(__xludf.DUMMYFUNCTION("""COMPUTED_VALUE"""),"#DIV/0!")</f>
        <v>#DIV/0!</v>
      </c>
      <c r="M424" s="111"/>
      <c r="N424" s="111"/>
      <c r="O424" s="111"/>
      <c r="P424" s="111"/>
      <c r="Q424" s="112"/>
      <c r="R424" s="103"/>
      <c r="S424" s="103"/>
      <c r="T424" s="103"/>
      <c r="U424" s="103"/>
      <c r="V424" s="103"/>
      <c r="W424" s="103"/>
      <c r="X424" s="103"/>
      <c r="Y424" s="103"/>
      <c r="Z424" s="103"/>
      <c r="AA424" s="103"/>
    </row>
    <row r="425" spans="1:27" ht="76.5" x14ac:dyDescent="0.2">
      <c r="A425" s="110">
        <v>422</v>
      </c>
      <c r="B425" s="123" t="s">
        <v>54</v>
      </c>
      <c r="C425" s="111" t="str">
        <f ca="1">IFERROR(__xludf.DUMMYFUNCTION("""COMPUTED_VALUE"""),"г.о. Богородский")</f>
        <v>г.о. Богородский</v>
      </c>
      <c r="D425" s="111" t="str">
        <f ca="1">IFERROR(__xludf.DUMMYFUNCTION("""COMPUTED_VALUE"""),"Реконструкция котельной № 123 по адресу: Ногинский муниципальный район, с.п. Мамонтовское, военный городок Ногинск-9, в том числе:проектно-изыскательские работы")</f>
        <v>Реконструкция котельной № 123 по адресу: Ногинский муниципальный район, с.п. Мамонтовское, военный городок Ногинск-9, в том числе:проектно-изыскательские работы</v>
      </c>
      <c r="E425" s="111" t="str">
        <f ca="1">IFERROR(__xludf.DUMMYFUNCTION("""COMPUTED_VALUE"""),"2018-2020")</f>
        <v>2018-2020</v>
      </c>
      <c r="F425" s="113">
        <f ca="1">IFERROR(__xludf.DUMMYFUNCTION("""COMPUTED_VALUE"""),194312.65)</f>
        <v>194312.65</v>
      </c>
      <c r="G425" s="113">
        <f ca="1">IFERROR(__xludf.DUMMYFUNCTION("""COMPUTED_VALUE"""),12150.65)</f>
        <v>12150.65</v>
      </c>
      <c r="H425" s="111"/>
      <c r="I425" s="113">
        <f ca="1">IFERROR(__xludf.DUMMYFUNCTION("""COMPUTED_VALUE"""),182162)</f>
        <v>182162</v>
      </c>
      <c r="J425" s="111">
        <f ca="1">IFERROR(__xludf.DUMMYFUNCTION("""COMPUTED_VALUE"""),193864.79)</f>
        <v>193864.79</v>
      </c>
      <c r="K425" s="113">
        <f ca="1">IFERROR(__xludf.DUMMYFUNCTION("""COMPUTED_VALUE"""),447.859999999998)</f>
        <v>447.85999999999802</v>
      </c>
      <c r="L425" s="114">
        <f ca="1">IFERROR(__xludf.DUMMYFUNCTION("""COMPUTED_VALUE"""),0.997695157777941)</f>
        <v>0.99769515777794104</v>
      </c>
      <c r="M425" s="111"/>
      <c r="N425" s="110" t="s">
        <v>561</v>
      </c>
      <c r="O425" s="111"/>
      <c r="P425" s="111"/>
      <c r="Q425" s="112"/>
      <c r="R425" s="103"/>
      <c r="S425" s="103"/>
      <c r="T425" s="103"/>
      <c r="U425" s="103"/>
      <c r="V425" s="103"/>
      <c r="W425" s="103"/>
      <c r="X425" s="103"/>
      <c r="Y425" s="103"/>
      <c r="Z425" s="103"/>
      <c r="AA425" s="103"/>
    </row>
    <row r="426" spans="1:27" ht="63.75" x14ac:dyDescent="0.2">
      <c r="A426" s="110">
        <v>423</v>
      </c>
      <c r="B426" s="123" t="s">
        <v>54</v>
      </c>
      <c r="C426" s="111" t="str">
        <f ca="1">IFERROR(__xludf.DUMMYFUNCTION("""COMPUTED_VALUE"""),"г.о. Богородский")</f>
        <v>г.о. Богородский</v>
      </c>
      <c r="D426" s="111" t="str">
        <f ca="1">IFERROR(__xludf.DUMMYFUNCTION("""COMPUTED_VALUE"""),"Капитальный ремонт наружных тепловых сетей и ГВС в в/г Ногинск-9 Богородского городского округа Московской области")</f>
        <v>Капитальный ремонт наружных тепловых сетей и ГВС в в/г Ногинск-9 Богородского городского округа Московской области</v>
      </c>
      <c r="E426" s="111">
        <f ca="1">IFERROR(__xludf.DUMMYFUNCTION("""COMPUTED_VALUE"""),2021)</f>
        <v>2021</v>
      </c>
      <c r="F426" s="113">
        <f ca="1">IFERROR(__xludf.DUMMYFUNCTION("""COMPUTED_VALUE"""),0)</f>
        <v>0</v>
      </c>
      <c r="G426" s="113">
        <f ca="1">IFERROR(__xludf.DUMMYFUNCTION("""COMPUTED_VALUE"""),0)</f>
        <v>0</v>
      </c>
      <c r="H426" s="111"/>
      <c r="I426" s="113">
        <f ca="1">IFERROR(__xludf.DUMMYFUNCTION("""COMPUTED_VALUE"""),0)</f>
        <v>0</v>
      </c>
      <c r="J426" s="111">
        <f ca="1">IFERROR(__xludf.DUMMYFUNCTION("""COMPUTED_VALUE"""),0)</f>
        <v>0</v>
      </c>
      <c r="K426" s="113">
        <f ca="1">IFERROR(__xludf.DUMMYFUNCTION("""COMPUTED_VALUE"""),0)</f>
        <v>0</v>
      </c>
      <c r="L426" s="114" t="str">
        <f ca="1">IFERROR(__xludf.DUMMYFUNCTION("""COMPUTED_VALUE"""),"#DIV/0!")</f>
        <v>#DIV/0!</v>
      </c>
      <c r="M426" s="111"/>
      <c r="N426" s="111"/>
      <c r="O426" s="111"/>
      <c r="P426" s="111"/>
      <c r="Q426" s="112"/>
      <c r="R426" s="103"/>
      <c r="S426" s="103"/>
      <c r="T426" s="103"/>
      <c r="U426" s="103"/>
      <c r="V426" s="103"/>
      <c r="W426" s="103"/>
      <c r="X426" s="103"/>
      <c r="Y426" s="103"/>
      <c r="Z426" s="103"/>
      <c r="AA426" s="103"/>
    </row>
    <row r="427" spans="1:27" ht="63.75" x14ac:dyDescent="0.2">
      <c r="A427" s="110">
        <v>424</v>
      </c>
      <c r="B427" s="123" t="s">
        <v>54</v>
      </c>
      <c r="C427" s="111" t="str">
        <f ca="1">IFERROR(__xludf.DUMMYFUNCTION("""COMPUTED_VALUE"""),"г.о. Богородский")</f>
        <v>г.о. Богородский</v>
      </c>
      <c r="D427" s="111" t="str">
        <f ca="1">IFERROR(__xludf.DUMMYFUNCTION("""COMPUTED_VALUE"""),"Капитальный ремонт наружных водопроводных сетей в в/г Ногинск-9 Богородского городского округа Московской области")</f>
        <v>Капитальный ремонт наружных водопроводных сетей в в/г Ногинск-9 Богородского городского округа Московской области</v>
      </c>
      <c r="E427" s="111">
        <f ca="1">IFERROR(__xludf.DUMMYFUNCTION("""COMPUTED_VALUE"""),2021)</f>
        <v>2021</v>
      </c>
      <c r="F427" s="113">
        <f ca="1">IFERROR(__xludf.DUMMYFUNCTION("""COMPUTED_VALUE"""),0)</f>
        <v>0</v>
      </c>
      <c r="G427" s="113">
        <f ca="1">IFERROR(__xludf.DUMMYFUNCTION("""COMPUTED_VALUE"""),0)</f>
        <v>0</v>
      </c>
      <c r="H427" s="111"/>
      <c r="I427" s="113">
        <f ca="1">IFERROR(__xludf.DUMMYFUNCTION("""COMPUTED_VALUE"""),0)</f>
        <v>0</v>
      </c>
      <c r="J427" s="111">
        <f ca="1">IFERROR(__xludf.DUMMYFUNCTION("""COMPUTED_VALUE"""),0)</f>
        <v>0</v>
      </c>
      <c r="K427" s="113">
        <f ca="1">IFERROR(__xludf.DUMMYFUNCTION("""COMPUTED_VALUE"""),0)</f>
        <v>0</v>
      </c>
      <c r="L427" s="114" t="str">
        <f ca="1">IFERROR(__xludf.DUMMYFUNCTION("""COMPUTED_VALUE"""),"#DIV/0!")</f>
        <v>#DIV/0!</v>
      </c>
      <c r="M427" s="111"/>
      <c r="N427" s="111"/>
      <c r="O427" s="111"/>
      <c r="P427" s="111"/>
      <c r="Q427" s="112"/>
      <c r="R427" s="103"/>
      <c r="S427" s="103"/>
      <c r="T427" s="103"/>
      <c r="U427" s="103"/>
      <c r="V427" s="103"/>
      <c r="W427" s="103"/>
      <c r="X427" s="103"/>
      <c r="Y427" s="103"/>
      <c r="Z427" s="103"/>
      <c r="AA427" s="103"/>
    </row>
    <row r="428" spans="1:27" ht="63.75" x14ac:dyDescent="0.2">
      <c r="A428" s="110">
        <v>425</v>
      </c>
      <c r="B428" s="123" t="s">
        <v>54</v>
      </c>
      <c r="C428" s="111" t="str">
        <f ca="1">IFERROR(__xludf.DUMMYFUNCTION("""COMPUTED_VALUE"""),"г.о. Электросталь")</f>
        <v>г.о. Электросталь</v>
      </c>
      <c r="D428" s="111" t="str">
        <f ca="1">IFERROR(__xludf.DUMMYFUNCTION("""COMPUTED_VALUE"""),"Капитальный ремонт наружных сетей канализации сельское поселение Степановское, село Всеволодово военный городок Ногинск-5")</f>
        <v>Капитальный ремонт наружных сетей канализации сельское поселение Степановское, село Всеволодово военный городок Ногинск-5</v>
      </c>
      <c r="E428" s="111">
        <f ca="1">IFERROR(__xludf.DUMMYFUNCTION("""COMPUTED_VALUE"""),2019)</f>
        <v>2019</v>
      </c>
      <c r="F428" s="113">
        <f ca="1">IFERROR(__xludf.DUMMYFUNCTION("""COMPUTED_VALUE"""),0)</f>
        <v>0</v>
      </c>
      <c r="G428" s="113">
        <f ca="1">IFERROR(__xludf.DUMMYFUNCTION("""COMPUTED_VALUE"""),0)</f>
        <v>0</v>
      </c>
      <c r="H428" s="111"/>
      <c r="I428" s="113">
        <f ca="1">IFERROR(__xludf.DUMMYFUNCTION("""COMPUTED_VALUE"""),0)</f>
        <v>0</v>
      </c>
      <c r="J428" s="111">
        <f ca="1">IFERROR(__xludf.DUMMYFUNCTION("""COMPUTED_VALUE"""),0)</f>
        <v>0</v>
      </c>
      <c r="K428" s="113">
        <f ca="1">IFERROR(__xludf.DUMMYFUNCTION("""COMPUTED_VALUE"""),0)</f>
        <v>0</v>
      </c>
      <c r="L428" s="114" t="str">
        <f ca="1">IFERROR(__xludf.DUMMYFUNCTION("""COMPUTED_VALUE"""),"#DIV/0!")</f>
        <v>#DIV/0!</v>
      </c>
      <c r="M428" s="111"/>
      <c r="N428" s="111"/>
      <c r="O428" s="111"/>
      <c r="P428" s="111"/>
      <c r="Q428" s="112"/>
      <c r="R428" s="103"/>
      <c r="S428" s="103"/>
      <c r="T428" s="103"/>
      <c r="U428" s="103"/>
      <c r="V428" s="103"/>
      <c r="W428" s="103"/>
      <c r="X428" s="103"/>
      <c r="Y428" s="103"/>
      <c r="Z428" s="103"/>
      <c r="AA428" s="103"/>
    </row>
    <row r="429" spans="1:27" ht="63.75" x14ac:dyDescent="0.2">
      <c r="A429" s="110">
        <v>426</v>
      </c>
      <c r="B429" s="123" t="s">
        <v>54</v>
      </c>
      <c r="C429" s="111" t="str">
        <f ca="1">IFERROR(__xludf.DUMMYFUNCTION("""COMPUTED_VALUE"""),"ЗАТО Власиха")</f>
        <v>ЗАТО Власиха</v>
      </c>
      <c r="D429" s="111" t="str">
        <f ca="1">IFERROR(__xludf.DUMMYFUNCTION("""COMPUTED_VALUE"""),"Реконструкция тепловой сети в подземном исполнении по адресу: Московская область, городской округ Власиха, п. Власиха, ул. Цветной бульвар")</f>
        <v>Реконструкция тепловой сети в подземном исполнении по адресу: Московская область, городской округ Власиха, п. Власиха, ул. Цветной бульвар</v>
      </c>
      <c r="E429" s="113" t="str">
        <f ca="1">IFERROR(__xludf.DUMMYFUNCTION("""COMPUTED_VALUE"""),"2021-2022")</f>
        <v>2021-2022</v>
      </c>
      <c r="F429" s="113">
        <f ca="1">IFERROR(__xludf.DUMMYFUNCTION("""COMPUTED_VALUE"""),0)</f>
        <v>0</v>
      </c>
      <c r="G429" s="113">
        <f ca="1">IFERROR(__xludf.DUMMYFUNCTION("""COMPUTED_VALUE"""),0)</f>
        <v>0</v>
      </c>
      <c r="H429" s="111"/>
      <c r="I429" s="113">
        <f ca="1">IFERROR(__xludf.DUMMYFUNCTION("""COMPUTED_VALUE"""),0)</f>
        <v>0</v>
      </c>
      <c r="J429" s="111">
        <f ca="1">IFERROR(__xludf.DUMMYFUNCTION("""COMPUTED_VALUE"""),0)</f>
        <v>0</v>
      </c>
      <c r="K429" s="113">
        <f ca="1">IFERROR(__xludf.DUMMYFUNCTION("""COMPUTED_VALUE"""),0)</f>
        <v>0</v>
      </c>
      <c r="L429" s="114" t="str">
        <f ca="1">IFERROR(__xludf.DUMMYFUNCTION("""COMPUTED_VALUE"""),"#DIV/0!")</f>
        <v>#DIV/0!</v>
      </c>
      <c r="M429" s="111"/>
      <c r="N429" s="111"/>
      <c r="O429" s="111"/>
      <c r="P429" s="111"/>
      <c r="Q429" s="112"/>
      <c r="R429" s="103"/>
      <c r="S429" s="103"/>
      <c r="T429" s="103"/>
      <c r="U429" s="103"/>
      <c r="V429" s="103"/>
      <c r="W429" s="103"/>
      <c r="X429" s="103"/>
      <c r="Y429" s="103"/>
      <c r="Z429" s="103"/>
      <c r="AA429" s="103"/>
    </row>
    <row r="430" spans="1:27" ht="89.25" x14ac:dyDescent="0.2">
      <c r="A430" s="110">
        <v>427</v>
      </c>
      <c r="B430" s="123" t="s">
        <v>70</v>
      </c>
      <c r="C430" s="111" t="str">
        <f ca="1">IFERROR(__xludf.DUMMYFUNCTION("""COMPUTED_VALUE"""),"г.о. Балашиха")</f>
        <v>г.о. Балашиха</v>
      </c>
      <c r="D430" s="111" t="str">
        <f ca="1">IFERROR(__xludf.DUMMYFUNCTION("""COMPUTED_VALUE"""),"Капитальный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f>
        <v xml:space="preserv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v>
      </c>
      <c r="E430" s="111" t="str">
        <f ca="1">IFERROR(__xludf.DUMMYFUNCTION("""COMPUTED_VALUE"""),"2019-2020")</f>
        <v>2019-2020</v>
      </c>
      <c r="F430" s="113">
        <f ca="1">IFERROR(__xludf.DUMMYFUNCTION("""COMPUTED_VALUE"""),0)</f>
        <v>0</v>
      </c>
      <c r="G430" s="113">
        <f ca="1">IFERROR(__xludf.DUMMYFUNCTION("""COMPUTED_VALUE"""),0)</f>
        <v>0</v>
      </c>
      <c r="H430" s="111"/>
      <c r="I430" s="113">
        <f ca="1">IFERROR(__xludf.DUMMYFUNCTION("""COMPUTED_VALUE"""),0)</f>
        <v>0</v>
      </c>
      <c r="J430" s="111">
        <f ca="1">IFERROR(__xludf.DUMMYFUNCTION("""COMPUTED_VALUE"""),0)</f>
        <v>0</v>
      </c>
      <c r="K430" s="113">
        <f ca="1">IFERROR(__xludf.DUMMYFUNCTION("""COMPUTED_VALUE"""),0)</f>
        <v>0</v>
      </c>
      <c r="L430" s="114" t="str">
        <f ca="1">IFERROR(__xludf.DUMMYFUNCTION("""COMPUTED_VALUE"""),"#DIV/0!")</f>
        <v>#DIV/0!</v>
      </c>
      <c r="M430" s="111"/>
      <c r="N430" s="111"/>
      <c r="O430" s="111"/>
      <c r="P430" s="111"/>
      <c r="Q430" s="112"/>
      <c r="R430" s="103"/>
      <c r="S430" s="103"/>
      <c r="T430" s="103"/>
      <c r="U430" s="103"/>
      <c r="V430" s="103"/>
      <c r="W430" s="103"/>
      <c r="X430" s="103"/>
      <c r="Y430" s="103"/>
      <c r="Z430" s="103"/>
      <c r="AA430" s="103"/>
    </row>
    <row r="431" spans="1:27" ht="89.25" x14ac:dyDescent="0.2">
      <c r="A431" s="110">
        <v>428</v>
      </c>
      <c r="B431" s="123" t="s">
        <v>54</v>
      </c>
      <c r="C431" s="111" t="str">
        <f ca="1">IFERROR(__xludf.DUMMYFUNCTION("""COMPUTED_VALUE"""),"ЗАТО Власиха")</f>
        <v>ЗАТО Власиха</v>
      </c>
      <c r="D431" s="111" t="str">
        <f ca="1">IFERROR(__xludf.DUMMYFUNCTION("""COMPUTED_VALUE"""),"Реконструкция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f>
        <v>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v>
      </c>
      <c r="E431" s="121" t="str">
        <f ca="1">IFERROR(__xludf.DUMMYFUNCTION("""COMPUTED_VALUE"""),"2019")</f>
        <v>2019</v>
      </c>
      <c r="F431" s="113">
        <f ca="1">IFERROR(__xludf.DUMMYFUNCTION("""COMPUTED_VALUE"""),0)</f>
        <v>0</v>
      </c>
      <c r="G431" s="113">
        <f ca="1">IFERROR(__xludf.DUMMYFUNCTION("""COMPUTED_VALUE"""),0)</f>
        <v>0</v>
      </c>
      <c r="H431" s="111"/>
      <c r="I431" s="113">
        <f ca="1">IFERROR(__xludf.DUMMYFUNCTION("""COMPUTED_VALUE"""),0)</f>
        <v>0</v>
      </c>
      <c r="J431" s="111">
        <f ca="1">IFERROR(__xludf.DUMMYFUNCTION("""COMPUTED_VALUE"""),0)</f>
        <v>0</v>
      </c>
      <c r="K431" s="113">
        <f ca="1">IFERROR(__xludf.DUMMYFUNCTION("""COMPUTED_VALUE"""),0)</f>
        <v>0</v>
      </c>
      <c r="L431" s="114" t="str">
        <f ca="1">IFERROR(__xludf.DUMMYFUNCTION("""COMPUTED_VALUE"""),"#DIV/0!")</f>
        <v>#DIV/0!</v>
      </c>
      <c r="M431" s="111"/>
      <c r="N431" s="111"/>
      <c r="O431" s="111"/>
      <c r="P431" s="111"/>
      <c r="Q431" s="112"/>
      <c r="R431" s="103"/>
      <c r="S431" s="103"/>
      <c r="T431" s="103"/>
      <c r="U431" s="103"/>
      <c r="V431" s="103"/>
      <c r="W431" s="103"/>
      <c r="X431" s="103"/>
      <c r="Y431" s="103"/>
      <c r="Z431" s="103"/>
      <c r="AA431" s="103"/>
    </row>
    <row r="432" spans="1:27" ht="63.75" x14ac:dyDescent="0.2">
      <c r="A432" s="110">
        <v>429</v>
      </c>
      <c r="B432" s="123" t="s">
        <v>54</v>
      </c>
      <c r="C432" s="111" t="str">
        <f ca="1">IFERROR(__xludf.DUMMYFUNCTION("""COMPUTED_VALUE"""),"ЗАТО Власиха")</f>
        <v>ЗАТО Власиха</v>
      </c>
      <c r="D432" s="111" t="str">
        <f ca="1">IFERROR(__xludf.DUMMYFUNCTION("""COMPUTED_VALUE"""),"Капитальный ремонт сетей водоснабжения п. Власиха военный городок № 22/1 (г.Одинцово-10)
")</f>
        <v xml:space="preserve">Капитальный ремонт сетей водоснабжения п. Власиха военный городок № 22/1 (г.Одинцово-10)
</v>
      </c>
      <c r="E432" s="111">
        <f ca="1">IFERROR(__xludf.DUMMYFUNCTION("""COMPUTED_VALUE"""),2019)</f>
        <v>2019</v>
      </c>
      <c r="F432" s="113">
        <f ca="1">IFERROR(__xludf.DUMMYFUNCTION("""COMPUTED_VALUE"""),0)</f>
        <v>0</v>
      </c>
      <c r="G432" s="113">
        <f ca="1">IFERROR(__xludf.DUMMYFUNCTION("""COMPUTED_VALUE"""),0)</f>
        <v>0</v>
      </c>
      <c r="H432" s="111"/>
      <c r="I432" s="113">
        <f ca="1">IFERROR(__xludf.DUMMYFUNCTION("""COMPUTED_VALUE"""),0)</f>
        <v>0</v>
      </c>
      <c r="J432" s="111">
        <f ca="1">IFERROR(__xludf.DUMMYFUNCTION("""COMPUTED_VALUE"""),0)</f>
        <v>0</v>
      </c>
      <c r="K432" s="113">
        <f ca="1">IFERROR(__xludf.DUMMYFUNCTION("""COMPUTED_VALUE"""),0)</f>
        <v>0</v>
      </c>
      <c r="L432" s="114" t="str">
        <f ca="1">IFERROR(__xludf.DUMMYFUNCTION("""COMPUTED_VALUE"""),"#DIV/0!")</f>
        <v>#DIV/0!</v>
      </c>
      <c r="M432" s="111"/>
      <c r="N432" s="111"/>
      <c r="O432" s="111"/>
      <c r="P432" s="111"/>
      <c r="Q432" s="112"/>
      <c r="R432" s="103"/>
      <c r="S432" s="103"/>
      <c r="T432" s="103"/>
      <c r="U432" s="103"/>
      <c r="V432" s="103"/>
      <c r="W432" s="103"/>
      <c r="X432" s="103"/>
      <c r="Y432" s="103"/>
      <c r="Z432" s="103"/>
      <c r="AA432" s="103"/>
    </row>
    <row r="433" spans="1:27" ht="102" x14ac:dyDescent="0.2">
      <c r="A433" s="110">
        <v>430</v>
      </c>
      <c r="B433" s="123" t="s">
        <v>70</v>
      </c>
      <c r="C433" s="111" t="str">
        <f ca="1">IFERROR(__xludf.DUMMYFUNCTION("""COMPUTED_VALUE"""),"ЗАТО Власиха")</f>
        <v>ЗАТО Власиха</v>
      </c>
      <c r="D433" s="111" t="str">
        <f ca="1">IFERROR(__xludf.DUMMYFUNCTION("""COMPUTED_VALUE"""),"Капитальный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f>
        <v xml:space="preserv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v>
      </c>
      <c r="E433" s="111" t="str">
        <f ca="1">IFERROR(__xludf.DUMMYFUNCTION("""COMPUTED_VALUE"""),"2018-2020")</f>
        <v>2018-2020</v>
      </c>
      <c r="F433" s="113">
        <f ca="1">IFERROR(__xludf.DUMMYFUNCTION("""COMPUTED_VALUE"""),59503.81)</f>
        <v>59503.81</v>
      </c>
      <c r="G433" s="113">
        <f ca="1">IFERROR(__xludf.DUMMYFUNCTION("""COMPUTED_VALUE"""),59503.81)</f>
        <v>59503.81</v>
      </c>
      <c r="H433" s="111"/>
      <c r="I433" s="113">
        <f ca="1">IFERROR(__xludf.DUMMYFUNCTION("""COMPUTED_VALUE"""),0)</f>
        <v>0</v>
      </c>
      <c r="J433" s="111">
        <f ca="1">IFERROR(__xludf.DUMMYFUNCTION("""COMPUTED_VALUE"""),0)</f>
        <v>0</v>
      </c>
      <c r="K433" s="113">
        <f ca="1">IFERROR(__xludf.DUMMYFUNCTION("""COMPUTED_VALUE"""),59503.81)</f>
        <v>59503.81</v>
      </c>
      <c r="L433" s="114">
        <f ca="1">IFERROR(__xludf.DUMMYFUNCTION("""COMPUTED_VALUE"""),0)</f>
        <v>0</v>
      </c>
      <c r="M433" s="111"/>
      <c r="N433" s="111"/>
      <c r="O433" s="111"/>
      <c r="P433" s="111"/>
      <c r="Q433" s="112"/>
      <c r="R433" s="103"/>
      <c r="S433" s="103"/>
      <c r="T433" s="103"/>
      <c r="U433" s="103"/>
      <c r="V433" s="103"/>
      <c r="W433" s="103"/>
      <c r="X433" s="103"/>
      <c r="Y433" s="103"/>
      <c r="Z433" s="103"/>
      <c r="AA433" s="103"/>
    </row>
    <row r="434" spans="1:27" ht="76.5" x14ac:dyDescent="0.2">
      <c r="A434" s="110">
        <v>431</v>
      </c>
      <c r="B434" s="123" t="s">
        <v>54</v>
      </c>
      <c r="C434" s="111" t="str">
        <f ca="1">IFERROR(__xludf.DUMMYFUNCTION("""COMPUTED_VALUE"""),"ЗАТО Молодежный")</f>
        <v>ЗАТО Молодежный</v>
      </c>
      <c r="D434" s="111" t="str">
        <f ca="1">IFERROR(__xludf.DUMMYFUNCTION("""COMPUTED_VALUE"""),"Канализационные очистные сооружения хозяйственно-бытовых сточных вод производительностью 1500 куб.м/сут. по адресу: п. Молодежный (в том числе ПИР)")</f>
        <v>Канализационные очистные сооружения хозяйственно-бытовых сточных вод производительностью 1500 куб.м/сут. по адресу: п. Молодежный (в том числе ПИР)</v>
      </c>
      <c r="E434" s="111" t="str">
        <f ca="1">IFERROR(__xludf.DUMMYFUNCTION("""COMPUTED_VALUE"""),"2016, 2022")</f>
        <v>2016, 2022</v>
      </c>
      <c r="F434" s="113">
        <f ca="1">IFERROR(__xludf.DUMMYFUNCTION("""COMPUTED_VALUE"""),0)</f>
        <v>0</v>
      </c>
      <c r="G434" s="113">
        <f ca="1">IFERROR(__xludf.DUMMYFUNCTION("""COMPUTED_VALUE"""),0)</f>
        <v>0</v>
      </c>
      <c r="H434" s="111"/>
      <c r="I434" s="113">
        <f ca="1">IFERROR(__xludf.DUMMYFUNCTION("""COMPUTED_VALUE"""),0)</f>
        <v>0</v>
      </c>
      <c r="J434" s="111">
        <f ca="1">IFERROR(__xludf.DUMMYFUNCTION("""COMPUTED_VALUE"""),0)</f>
        <v>0</v>
      </c>
      <c r="K434" s="113">
        <f ca="1">IFERROR(__xludf.DUMMYFUNCTION("""COMPUTED_VALUE"""),0)</f>
        <v>0</v>
      </c>
      <c r="L434" s="114" t="str">
        <f ca="1">IFERROR(__xludf.DUMMYFUNCTION("""COMPUTED_VALUE"""),"#DIV/0!")</f>
        <v>#DIV/0!</v>
      </c>
      <c r="M434" s="111"/>
      <c r="N434" s="111"/>
      <c r="O434" s="111"/>
      <c r="P434" s="111"/>
      <c r="Q434" s="112"/>
      <c r="R434" s="103"/>
      <c r="S434" s="103"/>
      <c r="T434" s="103"/>
      <c r="U434" s="103"/>
      <c r="V434" s="103"/>
      <c r="W434" s="103"/>
      <c r="X434" s="103"/>
      <c r="Y434" s="103"/>
      <c r="Z434" s="103"/>
      <c r="AA434" s="103"/>
    </row>
    <row r="435" spans="1:27" ht="63.75" x14ac:dyDescent="0.2">
      <c r="A435" s="110">
        <v>432</v>
      </c>
      <c r="B435" s="123" t="s">
        <v>71</v>
      </c>
      <c r="C435" s="111" t="str">
        <f ca="1">IFERROR(__xludf.DUMMYFUNCTION("""COMPUTED_VALUE"""),"ЗАТО Молодежный")</f>
        <v>ЗАТО Молодежный</v>
      </c>
      <c r="D435" s="111" t="str">
        <f ca="1">IFERROR(__xludf.DUMMYFUNCTION("""COMPUTED_VALUE"""),"Физкультурно-оздоровительный комплекс с универсальным спортивным залом (ПИР и строительство) в ЗАТО Молодежный")</f>
        <v>Физкультурно-оздоровительный комплекс с универсальным спортивным залом (ПИР и строительство) в ЗАТО Молодежный</v>
      </c>
      <c r="E435" s="111" t="str">
        <f ca="1">IFERROR(__xludf.DUMMYFUNCTION("""COMPUTED_VALUE"""),"2018-2020")</f>
        <v>2018-2020</v>
      </c>
      <c r="F435" s="113">
        <f ca="1">IFERROR(__xludf.DUMMYFUNCTION("""COMPUTED_VALUE"""),0)</f>
        <v>0</v>
      </c>
      <c r="G435" s="113">
        <f ca="1">IFERROR(__xludf.DUMMYFUNCTION("""COMPUTED_VALUE"""),0)</f>
        <v>0</v>
      </c>
      <c r="H435" s="111"/>
      <c r="I435" s="113">
        <f ca="1">IFERROR(__xludf.DUMMYFUNCTION("""COMPUTED_VALUE"""),0)</f>
        <v>0</v>
      </c>
      <c r="J435" s="111">
        <f ca="1">IFERROR(__xludf.DUMMYFUNCTION("""COMPUTED_VALUE"""),0)</f>
        <v>0</v>
      </c>
      <c r="K435" s="113">
        <f ca="1">IFERROR(__xludf.DUMMYFUNCTION("""COMPUTED_VALUE"""),0)</f>
        <v>0</v>
      </c>
      <c r="L435" s="114" t="str">
        <f ca="1">IFERROR(__xludf.DUMMYFUNCTION("""COMPUTED_VALUE"""),"#DIV/0!")</f>
        <v>#DIV/0!</v>
      </c>
      <c r="M435" s="111"/>
      <c r="N435" s="111"/>
      <c r="O435" s="111"/>
      <c r="P435" s="111"/>
      <c r="Q435" s="112"/>
      <c r="R435" s="103"/>
      <c r="S435" s="103"/>
      <c r="T435" s="103"/>
      <c r="U435" s="103"/>
      <c r="V435" s="103"/>
      <c r="W435" s="103"/>
      <c r="X435" s="103"/>
      <c r="Y435" s="103"/>
      <c r="Z435" s="103"/>
      <c r="AA435" s="103"/>
    </row>
    <row r="436" spans="1:27" ht="102" x14ac:dyDescent="0.2">
      <c r="A436" s="110">
        <v>433</v>
      </c>
      <c r="B436" s="123" t="s">
        <v>54</v>
      </c>
      <c r="C436" s="111" t="str">
        <f ca="1">IFERROR(__xludf.DUMMYFUNCTION("""COMPUTED_VALUE"""),"г.о. Коломенский")</f>
        <v>г.о. Коломенский</v>
      </c>
      <c r="D436" s="111" t="str">
        <f ca="1">IFERROR(__xludf.DUMMYFUNCTION("""COMPUTED_VALUE"""),"Реконструкция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f>
        <v>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v>
      </c>
      <c r="E436" s="121" t="str">
        <f ca="1">IFERROR(__xludf.DUMMYFUNCTION("""COMPUTED_VALUE"""),"2019-2020")</f>
        <v>2019-2020</v>
      </c>
      <c r="F436" s="113">
        <f ca="1">IFERROR(__xludf.DUMMYFUNCTION("""COMPUTED_VALUE"""),41166.72)</f>
        <v>41166.720000000001</v>
      </c>
      <c r="G436" s="113">
        <f ca="1">IFERROR(__xludf.DUMMYFUNCTION("""COMPUTED_VALUE"""),0)</f>
        <v>0</v>
      </c>
      <c r="H436" s="111"/>
      <c r="I436" s="113">
        <f ca="1">IFERROR(__xludf.DUMMYFUNCTION("""COMPUTED_VALUE"""),41166.72)</f>
        <v>41166.720000000001</v>
      </c>
      <c r="J436" s="111">
        <f ca="1">IFERROR(__xludf.DUMMYFUNCTION("""COMPUTED_VALUE"""),40322.18)</f>
        <v>40322.18</v>
      </c>
      <c r="K436" s="113">
        <f ca="1">IFERROR(__xludf.DUMMYFUNCTION("""COMPUTED_VALUE"""),844.54)</f>
        <v>844.54</v>
      </c>
      <c r="L436" s="114">
        <f ca="1">IFERROR(__xludf.DUMMYFUNCTION("""COMPUTED_VALUE"""),0.979484884877881)</f>
        <v>0.97948488487788099</v>
      </c>
      <c r="M436" s="111"/>
      <c r="N436" s="110" t="s">
        <v>571</v>
      </c>
      <c r="O436" s="111"/>
      <c r="P436" s="111"/>
      <c r="Q436" s="120"/>
      <c r="R436" s="103"/>
      <c r="S436" s="103"/>
      <c r="T436" s="103"/>
      <c r="U436" s="103"/>
      <c r="V436" s="103"/>
      <c r="W436" s="103"/>
      <c r="X436" s="103"/>
      <c r="Y436" s="103"/>
      <c r="Z436" s="103"/>
      <c r="AA436" s="103"/>
    </row>
    <row r="437" spans="1:27" ht="63.75" x14ac:dyDescent="0.2">
      <c r="A437" s="110">
        <v>434</v>
      </c>
      <c r="B437" s="123" t="s">
        <v>54</v>
      </c>
      <c r="C437" s="111" t="str">
        <f ca="1">IFERROR(__xludf.DUMMYFUNCTION("""COMPUTED_VALUE"""),"г.о. Звездный городок")</f>
        <v>г.о. Звездный городок</v>
      </c>
      <c r="D437" s="111" t="str">
        <f ca="1">IFERROR(__xludf.DUMMYFUNCTION("""COMPUTED_VALUE"""),"Реконструкция инженерных сетей на территории городского округа Звездный городок Московской области
 ")</f>
        <v xml:space="preserve">Реконструкция инженерных сетей на территории городского округа Звездный городок Московской области
 </v>
      </c>
      <c r="E437" s="111">
        <f ca="1">IFERROR(__xludf.DUMMYFUNCTION("""COMPUTED_VALUE"""),2019)</f>
        <v>2019</v>
      </c>
      <c r="F437" s="113">
        <f ca="1">IFERROR(__xludf.DUMMYFUNCTION("""COMPUTED_VALUE"""),0)</f>
        <v>0</v>
      </c>
      <c r="G437" s="113">
        <f ca="1">IFERROR(__xludf.DUMMYFUNCTION("""COMPUTED_VALUE"""),0)</f>
        <v>0</v>
      </c>
      <c r="H437" s="111"/>
      <c r="I437" s="113">
        <f ca="1">IFERROR(__xludf.DUMMYFUNCTION("""COMPUTED_VALUE"""),0)</f>
        <v>0</v>
      </c>
      <c r="J437" s="111">
        <f ca="1">IFERROR(__xludf.DUMMYFUNCTION("""COMPUTED_VALUE"""),0)</f>
        <v>0</v>
      </c>
      <c r="K437" s="113">
        <f ca="1">IFERROR(__xludf.DUMMYFUNCTION("""COMPUTED_VALUE"""),0)</f>
        <v>0</v>
      </c>
      <c r="L437" s="114" t="str">
        <f ca="1">IFERROR(__xludf.DUMMYFUNCTION("""COMPUTED_VALUE"""),"#DIV/0!")</f>
        <v>#DIV/0!</v>
      </c>
      <c r="M437" s="111"/>
      <c r="N437" s="111"/>
      <c r="O437" s="111"/>
      <c r="P437" s="111"/>
      <c r="Q437" s="112"/>
      <c r="R437" s="103"/>
      <c r="S437" s="103"/>
      <c r="T437" s="103"/>
      <c r="U437" s="103"/>
      <c r="V437" s="103"/>
      <c r="W437" s="103"/>
      <c r="X437" s="103"/>
      <c r="Y437" s="103"/>
      <c r="Z437" s="103"/>
      <c r="AA437" s="103"/>
    </row>
    <row r="438" spans="1:27" ht="76.5" x14ac:dyDescent="0.2">
      <c r="A438" s="110">
        <v>435</v>
      </c>
      <c r="B438" s="123" t="s">
        <v>54</v>
      </c>
      <c r="C438" s="111" t="str">
        <f ca="1">IFERROR(__xludf.DUMMYFUNCTION("""COMPUTED_VALUE"""),"г.о. Звездный городок")</f>
        <v>г.о. Звездный городок</v>
      </c>
      <c r="D438" s="111" t="str">
        <f ca="1">IFERROR(__xludf.DUMMYFUNCTION("""COMPUTED_VALUE"""),"Капитальный ремонт тепловых сетей и сетей горячего водоснабжения, поселок Звёздный городок, военный городок № 1, в/ч 26266
")</f>
        <v xml:space="preserve">Капитальный ремонт тепловых сетей и сетей горячего водоснабжения, поселок Звёздный городок, военный городок № 1, в/ч 26266
</v>
      </c>
      <c r="E438" s="111" t="str">
        <f ca="1">IFERROR(__xludf.DUMMYFUNCTION("""COMPUTED_VALUE"""),"2018-2019")</f>
        <v>2018-2019</v>
      </c>
      <c r="F438" s="113">
        <f ca="1">IFERROR(__xludf.DUMMYFUNCTION("""COMPUTED_VALUE"""),0)</f>
        <v>0</v>
      </c>
      <c r="G438" s="113">
        <f ca="1">IFERROR(__xludf.DUMMYFUNCTION("""COMPUTED_VALUE"""),0)</f>
        <v>0</v>
      </c>
      <c r="H438" s="111"/>
      <c r="I438" s="113">
        <f ca="1">IFERROR(__xludf.DUMMYFUNCTION("""COMPUTED_VALUE"""),0)</f>
        <v>0</v>
      </c>
      <c r="J438" s="111">
        <f ca="1">IFERROR(__xludf.DUMMYFUNCTION("""COMPUTED_VALUE"""),0)</f>
        <v>0</v>
      </c>
      <c r="K438" s="113">
        <f ca="1">IFERROR(__xludf.DUMMYFUNCTION("""COMPUTED_VALUE"""),0)</f>
        <v>0</v>
      </c>
      <c r="L438" s="114" t="str">
        <f ca="1">IFERROR(__xludf.DUMMYFUNCTION("""COMPUTED_VALUE"""),"#DIV/0!")</f>
        <v>#DIV/0!</v>
      </c>
      <c r="M438" s="111"/>
      <c r="N438" s="111"/>
      <c r="O438" s="111"/>
      <c r="P438" s="111"/>
      <c r="Q438" s="112"/>
      <c r="R438" s="103"/>
      <c r="S438" s="103"/>
      <c r="T438" s="103"/>
      <c r="U438" s="103"/>
      <c r="V438" s="103"/>
      <c r="W438" s="103"/>
      <c r="X438" s="103"/>
      <c r="Y438" s="103"/>
      <c r="Z438" s="103"/>
      <c r="AA438" s="103"/>
    </row>
    <row r="439" spans="1:27" ht="51" x14ac:dyDescent="0.2">
      <c r="A439" s="110">
        <v>436</v>
      </c>
      <c r="B439" s="123" t="s">
        <v>54</v>
      </c>
      <c r="C439" s="111" t="str">
        <f ca="1">IFERROR(__xludf.DUMMYFUNCTION("""COMPUTED_VALUE"""),"г.о. Клин")</f>
        <v>г.о. Клин</v>
      </c>
      <c r="D439" s="111" t="str">
        <f ca="1">IFERROR(__xludf.DUMMYFUNCTION("""COMPUTED_VALUE"""),"Приобретение, монтаж и ввод в эксплуатациюблочно-модульной станции обезжелезивания воды в Клин-9")</f>
        <v>Приобретение, монтаж и ввод в эксплуатациюблочно-модульной станции обезжелезивания воды в Клин-9</v>
      </c>
      <c r="E439" s="111">
        <f ca="1">IFERROR(__xludf.DUMMYFUNCTION("""COMPUTED_VALUE"""),2019)</f>
        <v>2019</v>
      </c>
      <c r="F439" s="113">
        <f ca="1">IFERROR(__xludf.DUMMYFUNCTION("""COMPUTED_VALUE"""),0)</f>
        <v>0</v>
      </c>
      <c r="G439" s="113">
        <f ca="1">IFERROR(__xludf.DUMMYFUNCTION("""COMPUTED_VALUE"""),0)</f>
        <v>0</v>
      </c>
      <c r="H439" s="111"/>
      <c r="I439" s="113">
        <f ca="1">IFERROR(__xludf.DUMMYFUNCTION("""COMPUTED_VALUE"""),0)</f>
        <v>0</v>
      </c>
      <c r="J439" s="111">
        <f ca="1">IFERROR(__xludf.DUMMYFUNCTION("""COMPUTED_VALUE"""),0)</f>
        <v>0</v>
      </c>
      <c r="K439" s="113">
        <f ca="1">IFERROR(__xludf.DUMMYFUNCTION("""COMPUTED_VALUE"""),0)</f>
        <v>0</v>
      </c>
      <c r="L439" s="114" t="str">
        <f ca="1">IFERROR(__xludf.DUMMYFUNCTION("""COMPUTED_VALUE"""),"#DIV/0!")</f>
        <v>#DIV/0!</v>
      </c>
      <c r="M439" s="111"/>
      <c r="N439" s="111"/>
      <c r="O439" s="111"/>
      <c r="P439" s="111"/>
      <c r="Q439" s="112"/>
      <c r="R439" s="103"/>
      <c r="S439" s="103"/>
      <c r="T439" s="103"/>
      <c r="U439" s="103"/>
      <c r="V439" s="103"/>
      <c r="W439" s="103"/>
      <c r="X439" s="103"/>
      <c r="Y439" s="103"/>
      <c r="Z439" s="103"/>
      <c r="AA439" s="103"/>
    </row>
    <row r="440" spans="1:27" ht="38.25" x14ac:dyDescent="0.2">
      <c r="A440" s="110">
        <v>437</v>
      </c>
      <c r="B440" s="123" t="s">
        <v>54</v>
      </c>
      <c r="C440" s="111" t="str">
        <f ca="1">IFERROR(__xludf.DUMMYFUNCTION("""COMPUTED_VALUE"""),"г.о. Коломенский")</f>
        <v>г.о. Коломенский</v>
      </c>
      <c r="D440" s="111" t="str">
        <f ca="1">IFERROR(__xludf.DUMMYFUNCTION("""COMPUTED_VALUE"""),"Строительство БМК, г. Коломна-1, военный городок Сосновый бор,  в/ч 17204 (в том числе ПИР) ")</f>
        <v xml:space="preserve">Строительство БМК, г. Коломна-1, военный городок Сосновый бор,  в/ч 17204 (в том числе ПИР) </v>
      </c>
      <c r="E440" s="121" t="str">
        <f ca="1">IFERROR(__xludf.DUMMYFUNCTION("""COMPUTED_VALUE"""),"2020-2022")</f>
        <v>2020-2022</v>
      </c>
      <c r="F440" s="113">
        <f ca="1">IFERROR(__xludf.DUMMYFUNCTION("""COMPUTED_VALUE"""),3752.5)</f>
        <v>3752.5</v>
      </c>
      <c r="G440" s="113">
        <f ca="1">IFERROR(__xludf.DUMMYFUNCTION("""COMPUTED_VALUE"""),0)</f>
        <v>0</v>
      </c>
      <c r="H440" s="111"/>
      <c r="I440" s="113">
        <f ca="1">IFERROR(__xludf.DUMMYFUNCTION("""COMPUTED_VALUE"""),3752.5)</f>
        <v>3752.5</v>
      </c>
      <c r="J440" s="111">
        <f ca="1">IFERROR(__xludf.DUMMYFUNCTION("""COMPUTED_VALUE"""),3752.5)</f>
        <v>3752.5</v>
      </c>
      <c r="K440" s="113">
        <f ca="1">IFERROR(__xludf.DUMMYFUNCTION("""COMPUTED_VALUE"""),0)</f>
        <v>0</v>
      </c>
      <c r="L440" s="114">
        <f ca="1">IFERROR(__xludf.DUMMYFUNCTION("""COMPUTED_VALUE"""),1)</f>
        <v>1</v>
      </c>
      <c r="M440" s="111"/>
      <c r="N440" s="110" t="s">
        <v>568</v>
      </c>
      <c r="O440" s="111"/>
      <c r="P440" s="111"/>
      <c r="Q440" s="120"/>
      <c r="R440" s="103"/>
      <c r="S440" s="103"/>
      <c r="T440" s="103"/>
      <c r="U440" s="103"/>
      <c r="V440" s="103"/>
      <c r="W440" s="103"/>
      <c r="X440" s="103"/>
      <c r="Y440" s="103"/>
      <c r="Z440" s="103"/>
      <c r="AA440" s="103"/>
    </row>
    <row r="441" spans="1:27" ht="38.25" x14ac:dyDescent="0.2">
      <c r="A441" s="110">
        <v>438</v>
      </c>
      <c r="B441" s="123" t="s">
        <v>54</v>
      </c>
      <c r="C441" s="111" t="str">
        <f ca="1">IFERROR(__xludf.DUMMYFUNCTION("""COMPUTED_VALUE"""),"г.о. Орехово-Зуево")</f>
        <v>г.о. Орехово-Зуево</v>
      </c>
      <c r="D441" s="111" t="str">
        <f ca="1">IFERROR(__xludf.DUMMYFUNCTION("""COMPUTED_VALUE"""),"Строительство скважины в п. Военный городок, Орехово-Зуевский городской округ")</f>
        <v>Строительство скважины в п. Военный городок, Орехово-Зуевский городской округ</v>
      </c>
      <c r="E441" s="111">
        <f ca="1">IFERROR(__xludf.DUMMYFUNCTION("""COMPUTED_VALUE"""),2023)</f>
        <v>2023</v>
      </c>
      <c r="F441" s="113">
        <f ca="1">IFERROR(__xludf.DUMMYFUNCTION("""COMPUTED_VALUE"""),0)</f>
        <v>0</v>
      </c>
      <c r="G441" s="113">
        <f ca="1">IFERROR(__xludf.DUMMYFUNCTION("""COMPUTED_VALUE"""),0)</f>
        <v>0</v>
      </c>
      <c r="H441" s="111"/>
      <c r="I441" s="113">
        <f ca="1">IFERROR(__xludf.DUMMYFUNCTION("""COMPUTED_VALUE"""),0)</f>
        <v>0</v>
      </c>
      <c r="J441" s="111">
        <f ca="1">IFERROR(__xludf.DUMMYFUNCTION("""COMPUTED_VALUE"""),0)</f>
        <v>0</v>
      </c>
      <c r="K441" s="113">
        <f ca="1">IFERROR(__xludf.DUMMYFUNCTION("""COMPUTED_VALUE"""),0)</f>
        <v>0</v>
      </c>
      <c r="L441" s="114" t="str">
        <f ca="1">IFERROR(__xludf.DUMMYFUNCTION("""COMPUTED_VALUE"""),"#DIV/0!")</f>
        <v>#DIV/0!</v>
      </c>
      <c r="M441" s="111"/>
      <c r="N441" s="111"/>
      <c r="O441" s="111"/>
      <c r="P441" s="111"/>
      <c r="Q441" s="112"/>
      <c r="R441" s="103"/>
      <c r="S441" s="103"/>
      <c r="T441" s="103"/>
      <c r="U441" s="103"/>
      <c r="V441" s="103"/>
      <c r="W441" s="103"/>
      <c r="X441" s="103"/>
      <c r="Y441" s="103"/>
      <c r="Z441" s="103"/>
      <c r="AA441" s="103"/>
    </row>
    <row r="442" spans="1:27" ht="76.5" x14ac:dyDescent="0.2">
      <c r="A442" s="110">
        <v>439</v>
      </c>
      <c r="B442" s="123" t="s">
        <v>70</v>
      </c>
      <c r="C442" s="111" t="str">
        <f ca="1">IFERROR(__xludf.DUMMYFUNCTION("""COMPUTED_VALUE"""),"г.о. Краснознаменск")</f>
        <v>г.о. Краснознаменск</v>
      </c>
      <c r="D442" s="111" t="str">
        <f ca="1">IFERROR(__xludf.DUMMYFUNCTION("""COMPUTED_VALUE"""),"
Капитальный ремонт техническое переоснащение здания МБУК «Дом офицеров» Московская область, г. Краснознаменск, ул. Молодёжная, д. 2")</f>
        <v xml:space="preserve">
Капитальный ремонт техническое переоснащение здания МБУК «Дом офицеров» Московская область, г. Краснознаменск, ул. Молодёжная, д. 2</v>
      </c>
      <c r="E442" s="111" t="str">
        <f ca="1">IFERROR(__xludf.DUMMYFUNCTION("""COMPUTED_VALUE"""),"2017-2020")</f>
        <v>2017-2020</v>
      </c>
      <c r="F442" s="113">
        <f ca="1">IFERROR(__xludf.DUMMYFUNCTION("""COMPUTED_VALUE"""),3047.13)</f>
        <v>3047.13</v>
      </c>
      <c r="G442" s="113">
        <f ca="1">IFERROR(__xludf.DUMMYFUNCTION("""COMPUTED_VALUE"""),1484.5)</f>
        <v>1484.5</v>
      </c>
      <c r="H442" s="111"/>
      <c r="I442" s="113">
        <f ca="1">IFERROR(__xludf.DUMMYFUNCTION("""COMPUTED_VALUE"""),1562.63)</f>
        <v>1562.63</v>
      </c>
      <c r="J442" s="111">
        <f ca="1">IFERROR(__xludf.DUMMYFUNCTION("""COMPUTED_VALUE"""),0)</f>
        <v>0</v>
      </c>
      <c r="K442" s="113">
        <f ca="1">IFERROR(__xludf.DUMMYFUNCTION("""COMPUTED_VALUE"""),3047.13)</f>
        <v>3047.13</v>
      </c>
      <c r="L442" s="114">
        <f ca="1">IFERROR(__xludf.DUMMYFUNCTION("""COMPUTED_VALUE"""),0)</f>
        <v>0</v>
      </c>
      <c r="M442" s="111"/>
      <c r="N442" s="111"/>
      <c r="O442" s="111"/>
      <c r="P442" s="111"/>
      <c r="Q442" s="112"/>
      <c r="R442" s="103"/>
      <c r="S442" s="103"/>
      <c r="T442" s="103"/>
      <c r="U442" s="103"/>
      <c r="V442" s="103"/>
      <c r="W442" s="103"/>
      <c r="X442" s="103"/>
      <c r="Y442" s="103"/>
      <c r="Z442" s="103"/>
      <c r="AA442" s="103"/>
    </row>
    <row r="443" spans="1:27" ht="51" x14ac:dyDescent="0.2">
      <c r="A443" s="110">
        <v>440</v>
      </c>
      <c r="B443" s="123" t="s">
        <v>69</v>
      </c>
      <c r="C443" s="111" t="str">
        <f ca="1">IFERROR(__xludf.DUMMYFUNCTION("""COMPUTED_VALUE"""),"г.о. Одинцово")</f>
        <v>г.о. Одинцово</v>
      </c>
      <c r="D443" s="111" t="str">
        <f ca="1">IFERROR(__xludf.DUMMYFUNCTION("""COMPUTED_VALUE"""),"Капитальный ремонт здания клуба ""Искатель"" для размещения детского сада Новый городок Кубинка-7 Одинцовский м.р.                 ")</f>
        <v xml:space="preserve">Капитальный ремонт здания клуба "Искатель" для размещения детского сада Новый городок Кубинка-7 Одинцовский м.р.                 </v>
      </c>
      <c r="E443" s="111">
        <f ca="1">IFERROR(__xludf.DUMMYFUNCTION("""COMPUTED_VALUE"""),2020)</f>
        <v>2020</v>
      </c>
      <c r="F443" s="113">
        <f ca="1">IFERROR(__xludf.DUMMYFUNCTION("""COMPUTED_VALUE"""),142032)</f>
        <v>142032</v>
      </c>
      <c r="G443" s="113">
        <f ca="1">IFERROR(__xludf.DUMMYFUNCTION("""COMPUTED_VALUE"""),142032)</f>
        <v>142032</v>
      </c>
      <c r="H443" s="111"/>
      <c r="I443" s="113">
        <f ca="1">IFERROR(__xludf.DUMMYFUNCTION("""COMPUTED_VALUE"""),0)</f>
        <v>0</v>
      </c>
      <c r="J443" s="111">
        <f ca="1">IFERROR(__xludf.DUMMYFUNCTION("""COMPUTED_VALUE"""),0)</f>
        <v>0</v>
      </c>
      <c r="K443" s="113">
        <f ca="1">IFERROR(__xludf.DUMMYFUNCTION("""COMPUTED_VALUE"""),142032)</f>
        <v>142032</v>
      </c>
      <c r="L443" s="114">
        <f ca="1">IFERROR(__xludf.DUMMYFUNCTION("""COMPUTED_VALUE"""),0)</f>
        <v>0</v>
      </c>
      <c r="M443" s="111"/>
      <c r="N443" s="111"/>
      <c r="O443" s="111"/>
      <c r="P443" s="111"/>
      <c r="Q443" s="112"/>
      <c r="R443" s="103"/>
      <c r="S443" s="103"/>
      <c r="T443" s="103"/>
      <c r="U443" s="103"/>
      <c r="V443" s="103"/>
      <c r="W443" s="103"/>
      <c r="X443" s="103"/>
      <c r="Y443" s="103"/>
      <c r="Z443" s="103"/>
      <c r="AA443" s="103"/>
    </row>
    <row r="444" spans="1:27" ht="76.5" x14ac:dyDescent="0.2">
      <c r="A444" s="110">
        <v>441</v>
      </c>
      <c r="B444" s="123" t="s">
        <v>69</v>
      </c>
      <c r="C444" s="111" t="str">
        <f ca="1">IFERROR(__xludf.DUMMYFUNCTION("""COMPUTED_VALUE"""),"г.о. Одинцово")</f>
        <v>г.о. Одинцово</v>
      </c>
      <c r="D444" s="111" t="str">
        <f ca="1">IFERROR(__xludf.DUMMYFUNCTION("""COMPUTED_VALUE"""),"Капитальный ремонт МБОУ Новогородковская городская средняя образовательная школа с.п. Никольское, пос. Новый Городок военный городок Кубинка-7")</f>
        <v>Капитальный ремонт МБОУ Новогородковская городская средняя образовательная школа с.п. Никольское, пос. Новый Городок военный городок Кубинка-7</v>
      </c>
      <c r="E444" s="111" t="str">
        <f ca="1">IFERROR(__xludf.DUMMYFUNCTION("""COMPUTED_VALUE"""),"2019-2020")</f>
        <v>2019-2020</v>
      </c>
      <c r="F444" s="113">
        <f ca="1">IFERROR(__xludf.DUMMYFUNCTION("""COMPUTED_VALUE"""),205047)</f>
        <v>205047</v>
      </c>
      <c r="G444" s="113">
        <f ca="1">IFERROR(__xludf.DUMMYFUNCTION("""COMPUTED_VALUE"""),205047)</f>
        <v>205047</v>
      </c>
      <c r="H444" s="111"/>
      <c r="I444" s="113">
        <f ca="1">IFERROR(__xludf.DUMMYFUNCTION("""COMPUTED_VALUE"""),0)</f>
        <v>0</v>
      </c>
      <c r="J444" s="111">
        <f ca="1">IFERROR(__xludf.DUMMYFUNCTION("""COMPUTED_VALUE"""),0)</f>
        <v>0</v>
      </c>
      <c r="K444" s="113">
        <f ca="1">IFERROR(__xludf.DUMMYFUNCTION("""COMPUTED_VALUE"""),205047)</f>
        <v>205047</v>
      </c>
      <c r="L444" s="114">
        <f ca="1">IFERROR(__xludf.DUMMYFUNCTION("""COMPUTED_VALUE"""),0)</f>
        <v>0</v>
      </c>
      <c r="M444" s="111"/>
      <c r="N444" s="111"/>
      <c r="O444" s="111"/>
      <c r="P444" s="111"/>
      <c r="Q444" s="112"/>
      <c r="R444" s="103"/>
      <c r="S444" s="103"/>
      <c r="T444" s="103"/>
      <c r="U444" s="103"/>
      <c r="V444" s="103"/>
      <c r="W444" s="103"/>
      <c r="X444" s="103"/>
      <c r="Y444" s="103"/>
      <c r="Z444" s="103"/>
      <c r="AA444" s="103"/>
    </row>
    <row r="445" spans="1:27" ht="63.75" x14ac:dyDescent="0.2">
      <c r="A445" s="110">
        <v>442</v>
      </c>
      <c r="B445" s="123" t="s">
        <v>54</v>
      </c>
      <c r="C445" s="111" t="str">
        <f ca="1">IFERROR(__xludf.DUMMYFUNCTION("""COMPUTED_VALUE"""),"г.о. Орехово-Зуево")</f>
        <v>г.о. Орехово-Зуево</v>
      </c>
      <c r="D445" s="111" t="str">
        <f ca="1">IFERROR(__xludf.DUMMYFUNCTION("""COMPUTED_VALUE"""),"Строительство локальных очистных сооружений п. Военный городок объемом до 30 куб.м.  Орехово-Зуевский городской округ")</f>
        <v>Строительство локальных очистных сооружений п. Военный городок объемом до 30 куб.м.  Орехово-Зуевский городской округ</v>
      </c>
      <c r="E445" s="111">
        <f ca="1">IFERROR(__xludf.DUMMYFUNCTION("""COMPUTED_VALUE"""),2023)</f>
        <v>2023</v>
      </c>
      <c r="F445" s="113">
        <f ca="1">IFERROR(__xludf.DUMMYFUNCTION("""COMPUTED_VALUE"""),0)</f>
        <v>0</v>
      </c>
      <c r="G445" s="113">
        <f ca="1">IFERROR(__xludf.DUMMYFUNCTION("""COMPUTED_VALUE"""),0)</f>
        <v>0</v>
      </c>
      <c r="H445" s="111"/>
      <c r="I445" s="113">
        <f ca="1">IFERROR(__xludf.DUMMYFUNCTION("""COMPUTED_VALUE"""),0)</f>
        <v>0</v>
      </c>
      <c r="J445" s="111">
        <f ca="1">IFERROR(__xludf.DUMMYFUNCTION("""COMPUTED_VALUE"""),0)</f>
        <v>0</v>
      </c>
      <c r="K445" s="113">
        <f ca="1">IFERROR(__xludf.DUMMYFUNCTION("""COMPUTED_VALUE"""),0)</f>
        <v>0</v>
      </c>
      <c r="L445" s="114" t="str">
        <f ca="1">IFERROR(__xludf.DUMMYFUNCTION("""COMPUTED_VALUE"""),"#DIV/0!")</f>
        <v>#DIV/0!</v>
      </c>
      <c r="M445" s="111"/>
      <c r="N445" s="111"/>
      <c r="O445" s="111"/>
      <c r="P445" s="111"/>
      <c r="Q445" s="112"/>
      <c r="R445" s="103"/>
      <c r="S445" s="103"/>
      <c r="T445" s="103"/>
      <c r="U445" s="103"/>
      <c r="V445" s="103"/>
      <c r="W445" s="103"/>
      <c r="X445" s="103"/>
      <c r="Y445" s="103"/>
      <c r="Z445" s="103"/>
      <c r="AA445" s="103"/>
    </row>
    <row r="446" spans="1:27" ht="63.75" x14ac:dyDescent="0.2">
      <c r="A446" s="110">
        <v>443</v>
      </c>
      <c r="B446" s="123" t="s">
        <v>54</v>
      </c>
      <c r="C446" s="111" t="str">
        <f ca="1">IFERROR(__xludf.DUMMYFUNCTION("""COMPUTED_VALUE"""),"г.о. Ступино")</f>
        <v>г.о. Ступино</v>
      </c>
      <c r="D446" s="111" t="str">
        <f ca="1">IFERROR(__xludf.DUMMYFUNCTION("""COMPUTED_VALUE"""),"Строительство блочно-модульной котельной в военном городке № 112 Михнево-3 Ступинский муниципальный район (в том числе ПИР)")</f>
        <v>Строительство блочно-модульной котельной в военном городке № 112 Михнево-3 Ступинский муниципальный район (в том числе ПИР)</v>
      </c>
      <c r="E446" s="121" t="str">
        <f ca="1">IFERROR(__xludf.DUMMYFUNCTION("""COMPUTED_VALUE"""),"2020")</f>
        <v>2020</v>
      </c>
      <c r="F446" s="113">
        <f ca="1">IFERROR(__xludf.DUMMYFUNCTION("""COMPUTED_VALUE"""),7163.5)</f>
        <v>7163.5</v>
      </c>
      <c r="G446" s="113">
        <f ca="1">IFERROR(__xludf.DUMMYFUNCTION("""COMPUTED_VALUE"""),0)</f>
        <v>0</v>
      </c>
      <c r="H446" s="111"/>
      <c r="I446" s="113">
        <f ca="1">IFERROR(__xludf.DUMMYFUNCTION("""COMPUTED_VALUE"""),7163.5)</f>
        <v>7163.5</v>
      </c>
      <c r="J446" s="111">
        <f ca="1">IFERROR(__xludf.DUMMYFUNCTION("""COMPUTED_VALUE"""),0)</f>
        <v>0</v>
      </c>
      <c r="K446" s="113">
        <f ca="1">IFERROR(__xludf.DUMMYFUNCTION("""COMPUTED_VALUE"""),7163.5)</f>
        <v>7163.5</v>
      </c>
      <c r="L446" s="114">
        <f ca="1">IFERROR(__xludf.DUMMYFUNCTION("""COMPUTED_VALUE"""),0)</f>
        <v>0</v>
      </c>
      <c r="M446" s="111"/>
      <c r="N446" s="110" t="s">
        <v>571</v>
      </c>
      <c r="O446" s="111"/>
      <c r="P446" s="111"/>
      <c r="Q446" s="112"/>
      <c r="R446" s="103"/>
      <c r="S446" s="103"/>
      <c r="T446" s="103"/>
      <c r="U446" s="103"/>
      <c r="V446" s="103"/>
      <c r="W446" s="103"/>
      <c r="X446" s="103"/>
      <c r="Y446" s="103"/>
      <c r="Z446" s="103"/>
      <c r="AA446" s="103"/>
    </row>
    <row r="447" spans="1:27" ht="51" x14ac:dyDescent="0.2">
      <c r="A447" s="110">
        <v>444</v>
      </c>
      <c r="B447" s="123" t="s">
        <v>69</v>
      </c>
      <c r="C447" s="111" t="str">
        <f ca="1">IFERROR(__xludf.DUMMYFUNCTION("""COMPUTED_VALUE"""),"г.о. Серпухов")</f>
        <v>г.о. Серпухов</v>
      </c>
      <c r="D447" s="111" t="str">
        <f ca="1">IFERROR(__xludf.DUMMYFUNCTION("""COMPUTED_VALUE"""),"Капитальный ремонт МДОУ детский сад № 39 «Золотой ключик» по адресу: г. Серпухов, Московское шоссе, д. 62 ")</f>
        <v xml:space="preserve">Капитальный ремонт МДОУ детский сад № 39 «Золотой ключик» по адресу: г. Серпухов, Московское шоссе, д. 62 </v>
      </c>
      <c r="E447" s="111" t="str">
        <f ca="1">IFERROR(__xludf.DUMMYFUNCTION("""COMPUTED_VALUE"""),"2019-2020")</f>
        <v>2019-2020</v>
      </c>
      <c r="F447" s="113">
        <f ca="1">IFERROR(__xludf.DUMMYFUNCTION("""COMPUTED_VALUE"""),0)</f>
        <v>0</v>
      </c>
      <c r="G447" s="113">
        <f ca="1">IFERROR(__xludf.DUMMYFUNCTION("""COMPUTED_VALUE"""),0)</f>
        <v>0</v>
      </c>
      <c r="H447" s="111"/>
      <c r="I447" s="113">
        <f ca="1">IFERROR(__xludf.DUMMYFUNCTION("""COMPUTED_VALUE"""),0)</f>
        <v>0</v>
      </c>
      <c r="J447" s="111">
        <f ca="1">IFERROR(__xludf.DUMMYFUNCTION("""COMPUTED_VALUE"""),0)</f>
        <v>0</v>
      </c>
      <c r="K447" s="113">
        <f ca="1">IFERROR(__xludf.DUMMYFUNCTION("""COMPUTED_VALUE"""),0)</f>
        <v>0</v>
      </c>
      <c r="L447" s="114" t="str">
        <f ca="1">IFERROR(__xludf.DUMMYFUNCTION("""COMPUTED_VALUE"""),"#DIV/0!")</f>
        <v>#DIV/0!</v>
      </c>
      <c r="M447" s="111"/>
      <c r="N447" s="111"/>
      <c r="O447" s="111"/>
      <c r="P447" s="111"/>
      <c r="Q447" s="112"/>
      <c r="R447" s="103"/>
      <c r="S447" s="103"/>
      <c r="T447" s="103"/>
      <c r="U447" s="103"/>
      <c r="V447" s="103"/>
      <c r="W447" s="103"/>
      <c r="X447" s="103"/>
      <c r="Y447" s="103"/>
      <c r="Z447" s="103"/>
      <c r="AA447" s="103"/>
    </row>
    <row r="448" spans="1:27" ht="89.25" x14ac:dyDescent="0.2">
      <c r="A448" s="110">
        <v>445</v>
      </c>
      <c r="B448" s="123" t="s">
        <v>70</v>
      </c>
      <c r="C448" s="111" t="str">
        <f ca="1">IFERROR(__xludf.DUMMYFUNCTION("""COMPUTED_VALUE"""),"г.о. Солнечногорск")</f>
        <v>г.о. Солнечногорск</v>
      </c>
      <c r="D448" s="111" t="str">
        <f ca="1">IFERROR(__xludf.DUMMYFUNCTION("""COMPUTED_VALUE"""),"Капитальный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f>
        <v>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v>
      </c>
      <c r="E448" s="111" t="str">
        <f ca="1">IFERROR(__xludf.DUMMYFUNCTION("""COMPUTED_VALUE"""),"2019-2020")</f>
        <v>2019-2020</v>
      </c>
      <c r="F448" s="113">
        <f ca="1">IFERROR(__xludf.DUMMYFUNCTION("""COMPUTED_VALUE"""),142945)</f>
        <v>142945</v>
      </c>
      <c r="G448" s="113">
        <f ca="1">IFERROR(__xludf.DUMMYFUNCTION("""COMPUTED_VALUE"""),142945)</f>
        <v>142945</v>
      </c>
      <c r="H448" s="111"/>
      <c r="I448" s="113">
        <f ca="1">IFERROR(__xludf.DUMMYFUNCTION("""COMPUTED_VALUE"""),0)</f>
        <v>0</v>
      </c>
      <c r="J448" s="111">
        <f ca="1">IFERROR(__xludf.DUMMYFUNCTION("""COMPUTED_VALUE"""),0)</f>
        <v>0</v>
      </c>
      <c r="K448" s="113">
        <f ca="1">IFERROR(__xludf.DUMMYFUNCTION("""COMPUTED_VALUE"""),142945)</f>
        <v>142945</v>
      </c>
      <c r="L448" s="114">
        <f ca="1">IFERROR(__xludf.DUMMYFUNCTION("""COMPUTED_VALUE"""),0)</f>
        <v>0</v>
      </c>
      <c r="M448" s="111"/>
      <c r="N448" s="111"/>
      <c r="O448" s="111"/>
      <c r="P448" s="111"/>
      <c r="Q448" s="112"/>
      <c r="R448" s="103"/>
      <c r="S448" s="103"/>
      <c r="T448" s="103"/>
      <c r="U448" s="103"/>
      <c r="V448" s="103"/>
      <c r="W448" s="103"/>
      <c r="X448" s="103"/>
      <c r="Y448" s="103"/>
      <c r="Z448" s="103"/>
      <c r="AA448" s="103"/>
    </row>
    <row r="449" spans="1:27" ht="76.5" x14ac:dyDescent="0.2">
      <c r="A449" s="110">
        <v>446</v>
      </c>
      <c r="B449" s="123" t="s">
        <v>54</v>
      </c>
      <c r="C449" s="111" t="str">
        <f ca="1">IFERROR(__xludf.DUMMYFUNCTION("""COMPUTED_VALUE"""),"г.о. Черноголовка")</f>
        <v>г.о. Черноголовка</v>
      </c>
      <c r="D449" s="111" t="str">
        <f ca="1">IFERROR(__xludf.DUMMYFUNCTION("""COMPUTED_VALUE"""),"Строительство канализационных очистных сооружений, по адресу: военный городок Ногинск-4,
с. Макарово, городской округ Черноголовка (в т.ч. ПИР)    
")</f>
        <v xml:space="preserve">Строительство канализационных очистных сооружений, по адресу: военный городок Ногинск-4,
с. Макарово, городской округ Черноголовка (в т.ч. ПИР)    
</v>
      </c>
      <c r="E449" s="121" t="str">
        <f ca="1">IFERROR(__xludf.DUMMYFUNCTION("""COMPUTED_VALUE"""),"2020-2021")</f>
        <v>2020-2021</v>
      </c>
      <c r="F449" s="113">
        <f ca="1">IFERROR(__xludf.DUMMYFUNCTION("""COMPUTED_VALUE"""),20319)</f>
        <v>20319</v>
      </c>
      <c r="G449" s="113">
        <f ca="1">IFERROR(__xludf.DUMMYFUNCTION("""COMPUTED_VALUE"""),0)</f>
        <v>0</v>
      </c>
      <c r="H449" s="111"/>
      <c r="I449" s="113">
        <f ca="1">IFERROR(__xludf.DUMMYFUNCTION("""COMPUTED_VALUE"""),20319)</f>
        <v>20319</v>
      </c>
      <c r="J449" s="111">
        <f ca="1">IFERROR(__xludf.DUMMYFUNCTION("""COMPUTED_VALUE"""),0)</f>
        <v>0</v>
      </c>
      <c r="K449" s="113">
        <f ca="1">IFERROR(__xludf.DUMMYFUNCTION("""COMPUTED_VALUE"""),20319)</f>
        <v>20319</v>
      </c>
      <c r="L449" s="114">
        <f ca="1">IFERROR(__xludf.DUMMYFUNCTION("""COMPUTED_VALUE"""),0)</f>
        <v>0</v>
      </c>
      <c r="M449" s="111"/>
      <c r="N449" s="110" t="s">
        <v>571</v>
      </c>
      <c r="O449" s="111"/>
      <c r="P449" s="111"/>
      <c r="Q449" s="112"/>
      <c r="R449" s="103"/>
      <c r="S449" s="103"/>
      <c r="T449" s="103"/>
      <c r="U449" s="103"/>
      <c r="V449" s="103"/>
      <c r="W449" s="103"/>
      <c r="X449" s="103"/>
      <c r="Y449" s="103"/>
      <c r="Z449" s="103"/>
      <c r="AA449" s="103"/>
    </row>
    <row r="450" spans="1:27" ht="63.75" x14ac:dyDescent="0.2">
      <c r="A450" s="110">
        <v>447</v>
      </c>
      <c r="B450" s="123" t="s">
        <v>69</v>
      </c>
      <c r="C450" s="111" t="str">
        <f ca="1">IFERROR(__xludf.DUMMYFUNCTION("""COMPUTED_VALUE"""),"г.о. Ступино")</f>
        <v>г.о. Ступино</v>
      </c>
      <c r="D450" s="111" t="str">
        <f ca="1">IFERROR(__xludf.DUMMYFUNCTION("""COMPUTED_VALUE"""),"Капитальный ремонт МАДОУ «Мещеринский детский сад комбинированного вида «Солнышко» г.о. Ступино, в/ч 03770")</f>
        <v>Капитальный ремонт МАДОУ «Мещеринский детский сад комбинированного вида «Солнышко» г.о. Ступино, в/ч 03770</v>
      </c>
      <c r="E450" s="111">
        <f ca="1">IFERROR(__xludf.DUMMYFUNCTION("""COMPUTED_VALUE"""),2020)</f>
        <v>2020</v>
      </c>
      <c r="F450" s="113">
        <f ca="1">IFERROR(__xludf.DUMMYFUNCTION("""COMPUTED_VALUE"""),25541)</f>
        <v>25541</v>
      </c>
      <c r="G450" s="113">
        <f ca="1">IFERROR(__xludf.DUMMYFUNCTION("""COMPUTED_VALUE"""),25541)</f>
        <v>25541</v>
      </c>
      <c r="H450" s="111"/>
      <c r="I450" s="113">
        <f ca="1">IFERROR(__xludf.DUMMYFUNCTION("""COMPUTED_VALUE"""),0)</f>
        <v>0</v>
      </c>
      <c r="J450" s="111">
        <f ca="1">IFERROR(__xludf.DUMMYFUNCTION("""COMPUTED_VALUE"""),0)</f>
        <v>0</v>
      </c>
      <c r="K450" s="113">
        <f ca="1">IFERROR(__xludf.DUMMYFUNCTION("""COMPUTED_VALUE"""),25541)</f>
        <v>25541</v>
      </c>
      <c r="L450" s="114">
        <f ca="1">IFERROR(__xludf.DUMMYFUNCTION("""COMPUTED_VALUE"""),0)</f>
        <v>0</v>
      </c>
      <c r="M450" s="111"/>
      <c r="N450" s="111"/>
      <c r="O450" s="111"/>
      <c r="P450" s="111"/>
      <c r="Q450" s="112"/>
      <c r="R450" s="103"/>
      <c r="S450" s="103"/>
      <c r="T450" s="103"/>
      <c r="U450" s="103"/>
      <c r="V450" s="103"/>
      <c r="W450" s="103"/>
      <c r="X450" s="103"/>
      <c r="Y450" s="103"/>
      <c r="Z450" s="103"/>
      <c r="AA450" s="103"/>
    </row>
    <row r="451" spans="1:27" ht="63.75" x14ac:dyDescent="0.2">
      <c r="A451" s="110">
        <v>448</v>
      </c>
      <c r="B451" s="123" t="s">
        <v>69</v>
      </c>
      <c r="C451" s="111" t="str">
        <f ca="1">IFERROR(__xludf.DUMMYFUNCTION("""COMPUTED_VALUE"""),"г.о. Ступино")</f>
        <v>г.о. Ступино</v>
      </c>
      <c r="D451" s="111" t="str">
        <f ca="1">IFERROR(__xludf.DUMMYFUNCTION("""COMPUTED_VALUE"""),"Капитальный ремонт МАДОУ «Мещеринский детский сад общеразвивающего вида «Светлячок» г.о. Ступино, в/ч 92551")</f>
        <v>Капитальный ремонт МАДОУ «Мещеринский детский сад общеразвивающего вида «Светлячок» г.о. Ступино, в/ч 92551</v>
      </c>
      <c r="E451" s="111">
        <f ca="1">IFERROR(__xludf.DUMMYFUNCTION("""COMPUTED_VALUE"""),2020)</f>
        <v>2020</v>
      </c>
      <c r="F451" s="113">
        <f ca="1">IFERROR(__xludf.DUMMYFUNCTION("""COMPUTED_VALUE"""),21595)</f>
        <v>21595</v>
      </c>
      <c r="G451" s="113">
        <f ca="1">IFERROR(__xludf.DUMMYFUNCTION("""COMPUTED_VALUE"""),21595)</f>
        <v>21595</v>
      </c>
      <c r="H451" s="111"/>
      <c r="I451" s="113">
        <f ca="1">IFERROR(__xludf.DUMMYFUNCTION("""COMPUTED_VALUE"""),0)</f>
        <v>0</v>
      </c>
      <c r="J451" s="111">
        <f ca="1">IFERROR(__xludf.DUMMYFUNCTION("""COMPUTED_VALUE"""),0)</f>
        <v>0</v>
      </c>
      <c r="K451" s="113">
        <f ca="1">IFERROR(__xludf.DUMMYFUNCTION("""COMPUTED_VALUE"""),21595)</f>
        <v>21595</v>
      </c>
      <c r="L451" s="114">
        <f ca="1">IFERROR(__xludf.DUMMYFUNCTION("""COMPUTED_VALUE"""),0)</f>
        <v>0</v>
      </c>
      <c r="M451" s="111"/>
      <c r="N451" s="111"/>
      <c r="O451" s="111"/>
      <c r="P451" s="111"/>
      <c r="Q451" s="112"/>
      <c r="R451" s="103"/>
      <c r="S451" s="103"/>
      <c r="T451" s="103"/>
      <c r="U451" s="103"/>
      <c r="V451" s="103"/>
      <c r="W451" s="103"/>
      <c r="X451" s="103"/>
      <c r="Y451" s="103"/>
      <c r="Z451" s="103"/>
      <c r="AA451" s="103"/>
    </row>
    <row r="452" spans="1:27" ht="76.5" x14ac:dyDescent="0.2">
      <c r="A452" s="110">
        <v>449</v>
      </c>
      <c r="B452" s="124" t="s">
        <v>54</v>
      </c>
      <c r="C452" s="117" t="str">
        <f ca="1">IFERROR(__xludf.DUMMYFUNCTION("""COMPUTED_VALUE"""),"г.о. Чехов")</f>
        <v>г.о. Чехов</v>
      </c>
      <c r="D452" s="117" t="str">
        <f ca="1">IFERROR(__xludf.DUMMYFUNCTION("""COMPUTED_VALUE"""),"Реконструкция очистных сооружений канализации по адресу: пос.Чернецкое, г. Чехов-7, ул. Победы, военный городок №  18, в том числе: проектно-изыскательские работы")</f>
        <v>Реконструкция очистных сооружений канализации по адресу: пос.Чернецкое, г. Чехов-7, ул. Победы, военный городок №  18, в том числе: проектно-изыскательские работы</v>
      </c>
      <c r="E452" s="117" t="str">
        <f ca="1">IFERROR(__xludf.DUMMYFUNCTION("""COMPUTED_VALUE"""),"2019-2022")</f>
        <v>2019-2022</v>
      </c>
      <c r="F452" s="118">
        <f ca="1">IFERROR(__xludf.DUMMYFUNCTION("""COMPUTED_VALUE"""),101465.53)</f>
        <v>101465.53</v>
      </c>
      <c r="G452" s="118">
        <f ca="1">IFERROR(__xludf.DUMMYFUNCTION("""COMPUTED_VALUE"""),0)</f>
        <v>0</v>
      </c>
      <c r="H452" s="117"/>
      <c r="I452" s="118">
        <f ca="1">IFERROR(__xludf.DUMMYFUNCTION("""COMPUTED_VALUE"""),101465.53)</f>
        <v>101465.53</v>
      </c>
      <c r="J452" s="117">
        <f ca="1">IFERROR(__xludf.DUMMYFUNCTION("""COMPUTED_VALUE"""),29863.29)</f>
        <v>29863.29</v>
      </c>
      <c r="K452" s="118">
        <f ca="1">IFERROR(__xludf.DUMMYFUNCTION("""COMPUTED_VALUE"""),71602.2399999999)</f>
        <v>71602.239999999903</v>
      </c>
      <c r="L452" s="119">
        <f ca="1">IFERROR(__xludf.DUMMYFUNCTION("""COMPUTED_VALUE"""),0.294319558573241)</f>
        <v>0.29431955857324099</v>
      </c>
      <c r="M452" s="117"/>
      <c r="N452" s="110" t="s">
        <v>553</v>
      </c>
      <c r="O452" s="111"/>
      <c r="P452" s="111"/>
      <c r="Q452" s="115">
        <v>44154</v>
      </c>
      <c r="R452" s="103"/>
      <c r="S452" s="103"/>
      <c r="T452" s="103"/>
      <c r="U452" s="103"/>
      <c r="V452" s="103"/>
      <c r="W452" s="103"/>
      <c r="X452" s="103"/>
      <c r="Y452" s="103"/>
      <c r="Z452" s="103"/>
      <c r="AA452" s="103"/>
    </row>
    <row r="453" spans="1:27" ht="178.5" x14ac:dyDescent="0.2">
      <c r="A453" s="110">
        <v>450</v>
      </c>
      <c r="B453" s="124" t="s">
        <v>54</v>
      </c>
      <c r="C453" s="117" t="str">
        <f ca="1">IFERROR(__xludf.DUMMYFUNCTION("""COMPUTED_VALUE"""),"г.о. Чехов")</f>
        <v>г.о. Чехов</v>
      </c>
      <c r="D453" s="117" t="str">
        <f ca="1">IFERROR(__xludf.DUMMYFUNCTION("""COMPUTED_VALUE"""),"Реконструкция котельной № 6 по адресу: пос.Чернецкое, г. Чехов-7, ул. Победы, военный городок №  18 (в том числе ПИР)")</f>
        <v>Реконструкция котельной № 6 по адресу: пос.Чернецкое, г. Чехов-7, ул. Победы, военный городок №  18 (в том числе ПИР)</v>
      </c>
      <c r="E453" s="117" t="str">
        <f ca="1">IFERROR(__xludf.DUMMYFUNCTION("""COMPUTED_VALUE"""),"2019-2022")</f>
        <v>2019-2022</v>
      </c>
      <c r="F453" s="118">
        <f ca="1">IFERROR(__xludf.DUMMYFUNCTION("""COMPUTED_VALUE"""),35707.65)</f>
        <v>35707.65</v>
      </c>
      <c r="G453" s="118">
        <f ca="1">IFERROR(__xludf.DUMMYFUNCTION("""COMPUTED_VALUE"""),0)</f>
        <v>0</v>
      </c>
      <c r="H453" s="117"/>
      <c r="I453" s="118">
        <f ca="1">IFERROR(__xludf.DUMMYFUNCTION("""COMPUTED_VALUE"""),35707.65)</f>
        <v>35707.65</v>
      </c>
      <c r="J453" s="117">
        <f ca="1">IFERROR(__xludf.DUMMYFUNCTION("""COMPUTED_VALUE"""),6978.66)</f>
        <v>6978.66</v>
      </c>
      <c r="K453" s="118">
        <f ca="1">IFERROR(__xludf.DUMMYFUNCTION("""COMPUTED_VALUE"""),28728.99)</f>
        <v>28728.99</v>
      </c>
      <c r="L453" s="119">
        <f ca="1">IFERROR(__xludf.DUMMYFUNCTION("""COMPUTED_VALUE"""),0.195438792527651)</f>
        <v>0.19543879252765101</v>
      </c>
      <c r="M453" s="117" t="str">
        <f ca="1">IFERROR(__xludf.DUMMYFUNCTION("""COMPUTED_VALUE"""),"Документация направлена на получение РС в ИСОГД – 09.11.2020 (возможны замечания, потребуется время на их устранение).
Запланировано перепроектирование. 
Ориентировочный заход в МОГЭ – 24.11.2020. Ориентировочный срок выхода из МОГЭ – февраль 2021 г. Ждут"&amp;" письмо от Минжилполитики, что РС не требуется, далее планируется оплата для закупки оборудования.")</f>
        <v>Документация направлена на получение РС в ИСОГД – 09.11.2020 (возможны замечания, потребуется время на их устранение).
Запланировано перепроектирование. 
Ориентировочный заход в МОГЭ – 24.11.2020. Ориентировочный срок выхода из МОГЭ – февраль 2021 г. Ждут письмо от Минжилполитики, что РС не требуется, далее планируется оплата для закупки оборудования.</v>
      </c>
      <c r="N453" s="110" t="s">
        <v>553</v>
      </c>
      <c r="O453" s="111"/>
      <c r="P453" s="111"/>
      <c r="Q453" s="115">
        <v>44154</v>
      </c>
      <c r="R453" s="103"/>
      <c r="S453" s="103"/>
      <c r="T453" s="103"/>
      <c r="U453" s="103"/>
      <c r="V453" s="103"/>
      <c r="W453" s="103"/>
      <c r="X453" s="103"/>
      <c r="Y453" s="103"/>
      <c r="Z453" s="103"/>
      <c r="AA453" s="103"/>
    </row>
    <row r="454" spans="1:27" ht="127.5" x14ac:dyDescent="0.2">
      <c r="A454" s="110">
        <v>451</v>
      </c>
      <c r="B454" s="123" t="s">
        <v>54</v>
      </c>
      <c r="C454" s="111" t="str">
        <f ca="1">IFERROR(__xludf.DUMMYFUNCTION("""COMPUTED_VALUE"""),"г.о. Чехов")</f>
        <v>г.о. Чехов</v>
      </c>
      <c r="D454" s="111" t="str">
        <f ca="1">IFERROR(__xludf.DUMMYFUNCTION("""COMPUTED_VALUE"""),"Реконструкция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- 17 992,0"&amp;"  т.р. за счет средств поступивших из города Москвы) в том числе:")</f>
        <v>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  т.р. за счет средств поступивших из города Москвы) в том числе:</v>
      </c>
      <c r="E454" s="111" t="str">
        <f ca="1">IFERROR(__xludf.DUMMYFUNCTION("""COMPUTED_VALUE"""),"2018-2020")</f>
        <v>2018-2020</v>
      </c>
      <c r="F454" s="113">
        <f ca="1">IFERROR(__xludf.DUMMYFUNCTION("""COMPUTED_VALUE"""),17992)</f>
        <v>17992</v>
      </c>
      <c r="G454" s="113">
        <f ca="1">IFERROR(__xludf.DUMMYFUNCTION("""COMPUTED_VALUE"""),0)</f>
        <v>0</v>
      </c>
      <c r="H454" s="111"/>
      <c r="I454" s="113">
        <f ca="1">IFERROR(__xludf.DUMMYFUNCTION("""COMPUTED_VALUE"""),17992)</f>
        <v>17992</v>
      </c>
      <c r="J454" s="111">
        <f ca="1">IFERROR(__xludf.DUMMYFUNCTION("""COMPUTED_VALUE"""),17992)</f>
        <v>17992</v>
      </c>
      <c r="K454" s="113">
        <f ca="1">IFERROR(__xludf.DUMMYFUNCTION("""COMPUTED_VALUE"""),0)</f>
        <v>0</v>
      </c>
      <c r="L454" s="114">
        <f ca="1">IFERROR(__xludf.DUMMYFUNCTION("""COMPUTED_VALUE"""),1)</f>
        <v>1</v>
      </c>
      <c r="M454" s="111"/>
      <c r="N454" s="110" t="s">
        <v>553</v>
      </c>
      <c r="O454" s="111"/>
      <c r="P454" s="111"/>
      <c r="Q454" s="112"/>
      <c r="R454" s="103"/>
      <c r="S454" s="103"/>
      <c r="T454" s="103"/>
      <c r="U454" s="103"/>
      <c r="V454" s="103"/>
      <c r="W454" s="103"/>
      <c r="X454" s="103"/>
      <c r="Y454" s="103"/>
      <c r="Z454" s="103"/>
      <c r="AA454" s="103"/>
    </row>
    <row r="455" spans="1:27" ht="140.25" x14ac:dyDescent="0.2">
      <c r="A455" s="110">
        <v>452</v>
      </c>
      <c r="B455" s="124" t="s">
        <v>54</v>
      </c>
      <c r="C455" s="117" t="str">
        <f ca="1">IFERROR(__xludf.DUMMYFUNCTION("""COMPUTED_VALUE"""),"г.о. Чехов")</f>
        <v>г.о. Чехов</v>
      </c>
      <c r="D455" s="117" t="str">
        <f ca="1">IFERROR(__xludf.DUMMYFUNCTION("""COMPUTED_VALUE"""),"Реконструкция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поступивших"&amp;" из города Москвы
 ")</f>
        <v xml:space="preserv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 из города Москвы
 </v>
      </c>
      <c r="E455" s="117" t="str">
        <f ca="1">IFERROR(__xludf.DUMMYFUNCTION("""COMPUTED_VALUE"""),"2019-2020")</f>
        <v>2019-2020</v>
      </c>
      <c r="F455" s="118">
        <f ca="1">IFERROR(__xludf.DUMMYFUNCTION("""COMPUTED_VALUE"""),95347.66)</f>
        <v>95347.66</v>
      </c>
      <c r="G455" s="118">
        <f ca="1">IFERROR(__xludf.DUMMYFUNCTION("""COMPUTED_VALUE"""),0)</f>
        <v>0</v>
      </c>
      <c r="H455" s="117"/>
      <c r="I455" s="118">
        <f ca="1">IFERROR(__xludf.DUMMYFUNCTION("""COMPUTED_VALUE"""),95347.66)</f>
        <v>95347.66</v>
      </c>
      <c r="J455" s="117">
        <f ca="1">IFERROR(__xludf.DUMMYFUNCTION("""COMPUTED_VALUE"""),65700.56)</f>
        <v>65700.56</v>
      </c>
      <c r="K455" s="118">
        <f ca="1">IFERROR(__xludf.DUMMYFUNCTION("""COMPUTED_VALUE"""),29647.1)</f>
        <v>29647.1</v>
      </c>
      <c r="L455" s="114">
        <f ca="1">IFERROR(__xludf.DUMMYFUNCTION("""COMPUTED_VALUE"""),0.689063161067612)</f>
        <v>0.68906316106761201</v>
      </c>
      <c r="M455" s="117"/>
      <c r="N455" s="110" t="s">
        <v>553</v>
      </c>
      <c r="O455" s="111"/>
      <c r="P455" s="111"/>
      <c r="Q455" s="115">
        <v>44154</v>
      </c>
      <c r="R455" s="103"/>
      <c r="S455" s="103"/>
      <c r="T455" s="103"/>
      <c r="U455" s="103"/>
      <c r="V455" s="103"/>
      <c r="W455" s="103"/>
      <c r="X455" s="103"/>
      <c r="Y455" s="103"/>
      <c r="Z455" s="103"/>
      <c r="AA455" s="103"/>
    </row>
    <row r="456" spans="1:27" ht="89.25" x14ac:dyDescent="0.2">
      <c r="A456" s="110">
        <v>453</v>
      </c>
      <c r="B456" s="123" t="s">
        <v>54</v>
      </c>
      <c r="C456" s="111" t="str">
        <f ca="1">IFERROR(__xludf.DUMMYFUNCTION("""COMPUTED_VALUE"""),"г.о. Щелково")</f>
        <v>г.о. Щелково</v>
      </c>
      <c r="D456" s="111" t="str">
        <f ca="1">IFERROR(__xludf.DUMMYFUNCTION("""COMPUTED_VALUE"""),"Строительство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f>
        <v>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v>
      </c>
      <c r="E456" s="113" t="str">
        <f ca="1">IFERROR(__xludf.DUMMYFUNCTION("""COMPUTED_VALUE"""),"2021-2022")</f>
        <v>2021-2022</v>
      </c>
      <c r="F456" s="113">
        <f ca="1">IFERROR(__xludf.DUMMYFUNCTION("""COMPUTED_VALUE"""),0)</f>
        <v>0</v>
      </c>
      <c r="G456" s="113">
        <f ca="1">IFERROR(__xludf.DUMMYFUNCTION("""COMPUTED_VALUE"""),0)</f>
        <v>0</v>
      </c>
      <c r="H456" s="111"/>
      <c r="I456" s="113">
        <f ca="1">IFERROR(__xludf.DUMMYFUNCTION("""COMPUTED_VALUE"""),0)</f>
        <v>0</v>
      </c>
      <c r="J456" s="111">
        <f ca="1">IFERROR(__xludf.DUMMYFUNCTION("""COMPUTED_VALUE"""),0)</f>
        <v>0</v>
      </c>
      <c r="K456" s="113">
        <f ca="1">IFERROR(__xludf.DUMMYFUNCTION("""COMPUTED_VALUE"""),0)</f>
        <v>0</v>
      </c>
      <c r="L456" s="114" t="str">
        <f ca="1">IFERROR(__xludf.DUMMYFUNCTION("""COMPUTED_VALUE"""),"#DIV/0!")</f>
        <v>#DIV/0!</v>
      </c>
      <c r="M456" s="111"/>
      <c r="N456" s="111"/>
      <c r="O456" s="111"/>
      <c r="P456" s="111"/>
      <c r="Q456" s="112"/>
      <c r="R456" s="103"/>
      <c r="S456" s="103"/>
      <c r="T456" s="103"/>
      <c r="U456" s="103"/>
      <c r="V456" s="103"/>
      <c r="W456" s="103"/>
      <c r="X456" s="103"/>
      <c r="Y456" s="103"/>
      <c r="Z456" s="103"/>
      <c r="AA456" s="103"/>
    </row>
    <row r="457" spans="1:27" ht="153" x14ac:dyDescent="0.2">
      <c r="A457" s="110">
        <v>454</v>
      </c>
      <c r="B457" s="123" t="s">
        <v>70</v>
      </c>
      <c r="C457" s="111" t="str">
        <f ca="1">IFERROR(__xludf.DUMMYFUNCTION("""COMPUTED_VALUE"""),"г.о. Щелково ")</f>
        <v xml:space="preserve">г.о. Щелково </v>
      </c>
      <c r="D457" s="111" t="str">
        <f ca="1">IFERROR(__xludf.DUMMYFUNCTION("""COMPUTED_VALUE"""),"Капитальный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f>
        <v xml:space="preserv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v>
      </c>
      <c r="E457" s="111" t="str">
        <f ca="1">IFERROR(__xludf.DUMMYFUNCTION("""COMPUTED_VALUE"""),"2016-2022")</f>
        <v>2016-2022</v>
      </c>
      <c r="F457" s="113">
        <f ca="1">IFERROR(__xludf.DUMMYFUNCTION("""COMPUTED_VALUE"""),13535.5999999999)</f>
        <v>13535.5999999999</v>
      </c>
      <c r="G457" s="113">
        <f ca="1">IFERROR(__xludf.DUMMYFUNCTION("""COMPUTED_VALUE"""),13535.5999999999)</f>
        <v>13535.5999999999</v>
      </c>
      <c r="H457" s="111"/>
      <c r="I457" s="113">
        <f ca="1">IFERROR(__xludf.DUMMYFUNCTION("""COMPUTED_VALUE"""),0)</f>
        <v>0</v>
      </c>
      <c r="J457" s="111">
        <f ca="1">IFERROR(__xludf.DUMMYFUNCTION("""COMPUTED_VALUE"""),0)</f>
        <v>0</v>
      </c>
      <c r="K457" s="113">
        <f ca="1">IFERROR(__xludf.DUMMYFUNCTION("""COMPUTED_VALUE"""),13535.5999999999)</f>
        <v>13535.5999999999</v>
      </c>
      <c r="L457" s="114">
        <f ca="1">IFERROR(__xludf.DUMMYFUNCTION("""COMPUTED_VALUE"""),0)</f>
        <v>0</v>
      </c>
      <c r="M457" s="111"/>
      <c r="N457" s="111"/>
      <c r="O457" s="111"/>
      <c r="P457" s="111"/>
      <c r="Q457" s="112"/>
      <c r="R457" s="103"/>
      <c r="S457" s="103"/>
      <c r="T457" s="103"/>
      <c r="U457" s="103"/>
      <c r="V457" s="103"/>
      <c r="W457" s="103"/>
      <c r="X457" s="103"/>
      <c r="Y457" s="103"/>
      <c r="Z457" s="103"/>
      <c r="AA457" s="103"/>
    </row>
    <row r="458" spans="1:27" ht="127.5" x14ac:dyDescent="0.2">
      <c r="A458" s="110">
        <v>455</v>
      </c>
      <c r="B458" s="123" t="s">
        <v>70</v>
      </c>
      <c r="C458" s="111" t="str">
        <f ca="1">IFERROR(__xludf.DUMMYFUNCTION("""COMPUTED_VALUE"""),"г.о. Щелково ")</f>
        <v xml:space="preserve">г.о. Щелково </v>
      </c>
      <c r="D458" s="111" t="str">
        <f ca="1">IFERROR(__xludf.DUMMYFUNCTION("""COMPUTED_VALUE"""),"Капитальный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f>
        <v xml:space="preserv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v>
      </c>
      <c r="E458" s="111" t="str">
        <f ca="1">IFERROR(__xludf.DUMMYFUNCTION("""COMPUTED_VALUE"""),"2019-2021")</f>
        <v>2019-2021</v>
      </c>
      <c r="F458" s="113">
        <f ca="1">IFERROR(__xludf.DUMMYFUNCTION("""COMPUTED_VALUE"""),76785.2999999999)</f>
        <v>76785.299999999901</v>
      </c>
      <c r="G458" s="113">
        <f ca="1">IFERROR(__xludf.DUMMYFUNCTION("""COMPUTED_VALUE"""),76785.2999999999)</f>
        <v>76785.299999999901</v>
      </c>
      <c r="H458" s="111"/>
      <c r="I458" s="113">
        <f ca="1">IFERROR(__xludf.DUMMYFUNCTION("""COMPUTED_VALUE"""),0)</f>
        <v>0</v>
      </c>
      <c r="J458" s="111">
        <f ca="1">IFERROR(__xludf.DUMMYFUNCTION("""COMPUTED_VALUE"""),0)</f>
        <v>0</v>
      </c>
      <c r="K458" s="113">
        <f ca="1">IFERROR(__xludf.DUMMYFUNCTION("""COMPUTED_VALUE"""),76785.2999999999)</f>
        <v>76785.299999999901</v>
      </c>
      <c r="L458" s="114">
        <f ca="1">IFERROR(__xludf.DUMMYFUNCTION("""COMPUTED_VALUE"""),0)</f>
        <v>0</v>
      </c>
      <c r="M458" s="111"/>
      <c r="N458" s="111"/>
      <c r="O458" s="111"/>
      <c r="P458" s="111"/>
      <c r="Q458" s="112"/>
      <c r="R458" s="103"/>
      <c r="S458" s="103"/>
      <c r="T458" s="103"/>
      <c r="U458" s="103"/>
      <c r="V458" s="103"/>
      <c r="W458" s="103"/>
      <c r="X458" s="103"/>
      <c r="Y458" s="103"/>
      <c r="Z458" s="103"/>
      <c r="AA458" s="103"/>
    </row>
    <row r="459" spans="1:27" ht="178.5" x14ac:dyDescent="0.2">
      <c r="A459" s="110">
        <v>456</v>
      </c>
      <c r="B459" s="123" t="s">
        <v>54</v>
      </c>
      <c r="C459" s="111" t="str">
        <f ca="1">IFERROR(__xludf.DUMMYFUNCTION("""COMPUTED_VALUE"""),"г.о. Щелково")</f>
        <v>г.о. Щелково</v>
      </c>
      <c r="D459" s="111" t="str">
        <f ca="1">IFERROR(__xludf.DUMMYFUNCTION("""COMPUTED_VALUE"""),"Проведение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Щ"&amp;"елковский район, г. Щелково (Щелково-4, ул. Беляева) - с.п. Анискинское (д. Леониха) - г. Щелково (Щелково-3),военный городок Щелково 3-4")</f>
        <v>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Щелковский район, г. Щелково (Щелково-4, ул. Беляева) - с.п. Анискинское (д. Леониха) - г. Щелково (Щелково-3),военный городок Щелково 3-4</v>
      </c>
      <c r="E459" s="111" t="str">
        <f ca="1">IFERROR(__xludf.DUMMYFUNCTION("""COMPUTED_VALUE"""),"2019-2020")</f>
        <v>2019-2020</v>
      </c>
      <c r="F459" s="113">
        <f ca="1">IFERROR(__xludf.DUMMYFUNCTION("""COMPUTED_VALUE"""),81667)</f>
        <v>81667</v>
      </c>
      <c r="G459" s="113">
        <f ca="1">IFERROR(__xludf.DUMMYFUNCTION("""COMPUTED_VALUE"""),81667)</f>
        <v>81667</v>
      </c>
      <c r="H459" s="111"/>
      <c r="I459" s="113">
        <f ca="1">IFERROR(__xludf.DUMMYFUNCTION("""COMPUTED_VALUE"""),0)</f>
        <v>0</v>
      </c>
      <c r="J459" s="111">
        <f ca="1">IFERROR(__xludf.DUMMYFUNCTION("""COMPUTED_VALUE"""),78165.32)</f>
        <v>78165.320000000007</v>
      </c>
      <c r="K459" s="113">
        <f ca="1">IFERROR(__xludf.DUMMYFUNCTION("""COMPUTED_VALUE"""),3501.67999999999)</f>
        <v>3501.6799999999898</v>
      </c>
      <c r="L459" s="114">
        <f ca="1">IFERROR(__xludf.DUMMYFUNCTION("""COMPUTED_VALUE"""),0.95712246072465)</f>
        <v>0.95712246072465001</v>
      </c>
      <c r="M459" s="111"/>
      <c r="N459" s="110" t="s">
        <v>566</v>
      </c>
      <c r="O459" s="111"/>
      <c r="P459" s="111"/>
      <c r="Q459" s="112"/>
      <c r="R459" s="103"/>
      <c r="S459" s="103"/>
      <c r="T459" s="103"/>
      <c r="U459" s="103"/>
      <c r="V459" s="103"/>
      <c r="W459" s="103"/>
      <c r="X459" s="103"/>
      <c r="Y459" s="103"/>
      <c r="Z459" s="103"/>
      <c r="AA459" s="103"/>
    </row>
    <row r="460" spans="1:27" ht="89.25" x14ac:dyDescent="0.2">
      <c r="A460" s="110">
        <v>457</v>
      </c>
      <c r="B460" s="123" t="s">
        <v>54</v>
      </c>
      <c r="C460" s="111" t="str">
        <f ca="1">IFERROR(__xludf.DUMMYFUNCTION("""COMPUTED_VALUE"""),"г.о. Электросталь ")</f>
        <v xml:space="preserve">г.о. Электросталь </v>
      </c>
      <c r="D460" s="111" t="str">
        <f ca="1">IFERROR(__xludf.DUMMYFUNCTION("""COMPUTED_VALUE"""),"Капитальный ремонт теплообменников и насосного оборудования на ЦТП сельское поселение Степановское, село
Всеволодово, военный городок Ногинск-5
")</f>
        <v xml:space="preserve">Капитальный ремонт теплообменников и насосного оборудования на ЦТП сельское поселение Степановское, село
Всеволодово, военный городок Ногинск-5
</v>
      </c>
      <c r="E460" s="111">
        <f ca="1">IFERROR(__xludf.DUMMYFUNCTION("""COMPUTED_VALUE"""),2022)</f>
        <v>2022</v>
      </c>
      <c r="F460" s="113">
        <f ca="1">IFERROR(__xludf.DUMMYFUNCTION("""COMPUTED_VALUE"""),0)</f>
        <v>0</v>
      </c>
      <c r="G460" s="113">
        <f ca="1">IFERROR(__xludf.DUMMYFUNCTION("""COMPUTED_VALUE"""),0)</f>
        <v>0</v>
      </c>
      <c r="H460" s="111"/>
      <c r="I460" s="113">
        <f ca="1">IFERROR(__xludf.DUMMYFUNCTION("""COMPUTED_VALUE"""),0)</f>
        <v>0</v>
      </c>
      <c r="J460" s="111">
        <f ca="1">IFERROR(__xludf.DUMMYFUNCTION("""COMPUTED_VALUE"""),0)</f>
        <v>0</v>
      </c>
      <c r="K460" s="113">
        <f ca="1">IFERROR(__xludf.DUMMYFUNCTION("""COMPUTED_VALUE"""),0)</f>
        <v>0</v>
      </c>
      <c r="L460" s="114" t="str">
        <f ca="1">IFERROR(__xludf.DUMMYFUNCTION("""COMPUTED_VALUE"""),"#DIV/0!")</f>
        <v>#DIV/0!</v>
      </c>
      <c r="M460" s="111"/>
      <c r="N460" s="111"/>
      <c r="O460" s="111"/>
      <c r="P460" s="111"/>
      <c r="Q460" s="112"/>
      <c r="R460" s="103"/>
      <c r="S460" s="103"/>
      <c r="T460" s="103"/>
      <c r="U460" s="103"/>
      <c r="V460" s="103"/>
      <c r="W460" s="103"/>
      <c r="X460" s="103"/>
      <c r="Y460" s="103"/>
      <c r="Z460" s="103"/>
      <c r="AA460" s="103"/>
    </row>
    <row r="461" spans="1:27" ht="76.5" x14ac:dyDescent="0.2">
      <c r="A461" s="110">
        <v>458</v>
      </c>
      <c r="B461" s="123" t="s">
        <v>70</v>
      </c>
      <c r="C461" s="111" t="str">
        <f ca="1">IFERROR(__xludf.DUMMYFUNCTION("""COMPUTED_VALUE""")," г.о. Электросталь")</f>
        <v xml:space="preserve"> г.о. Электросталь</v>
      </c>
      <c r="D461" s="111" t="str">
        <f ca="1">IFERROR(__xludf.DUMMYFUNCTION("""COMPUTED_VALUE"""),"Капитальный ремонт и техническое переоснащение здания Дома культуры «Всеволодово» ф-л МБУК «СДК «Елизаветино» д. Всеволодово, д. 90, военный городок Ногинск-5")</f>
        <v>Капитальный ремонт и техническое переоснащение здания Дома культуры «Всеволодово» ф-л МБУК «СДК «Елизаветино» д. Всеволодово, д. 90, военный городок Ногинск-5</v>
      </c>
      <c r="E461" s="111" t="str">
        <f ca="1">IFERROR(__xludf.DUMMYFUNCTION("""COMPUTED_VALUE"""),"2018-2020")</f>
        <v>2018-2020</v>
      </c>
      <c r="F461" s="113">
        <f ca="1">IFERROR(__xludf.DUMMYFUNCTION("""COMPUTED_VALUE"""),43181)</f>
        <v>43181</v>
      </c>
      <c r="G461" s="113">
        <f ca="1">IFERROR(__xludf.DUMMYFUNCTION("""COMPUTED_VALUE"""),43181)</f>
        <v>43181</v>
      </c>
      <c r="H461" s="111"/>
      <c r="I461" s="113">
        <f ca="1">IFERROR(__xludf.DUMMYFUNCTION("""COMPUTED_VALUE"""),0)</f>
        <v>0</v>
      </c>
      <c r="J461" s="111">
        <f ca="1">IFERROR(__xludf.DUMMYFUNCTION("""COMPUTED_VALUE"""),0)</f>
        <v>0</v>
      </c>
      <c r="K461" s="113">
        <f ca="1">IFERROR(__xludf.DUMMYFUNCTION("""COMPUTED_VALUE"""),43181)</f>
        <v>43181</v>
      </c>
      <c r="L461" s="114">
        <f ca="1">IFERROR(__xludf.DUMMYFUNCTION("""COMPUTED_VALUE"""),0)</f>
        <v>0</v>
      </c>
      <c r="M461" s="111"/>
      <c r="N461" s="111"/>
      <c r="O461" s="111"/>
      <c r="P461" s="111"/>
      <c r="Q461" s="112"/>
      <c r="R461" s="103"/>
      <c r="S461" s="103"/>
      <c r="T461" s="103"/>
      <c r="U461" s="103"/>
      <c r="V461" s="103"/>
      <c r="W461" s="103"/>
      <c r="X461" s="103"/>
      <c r="Y461" s="103"/>
      <c r="Z461" s="103"/>
      <c r="AA461" s="103"/>
    </row>
    <row r="462" spans="1:27" ht="38.25" x14ac:dyDescent="0.2">
      <c r="A462" s="110">
        <v>459</v>
      </c>
      <c r="B462" s="123" t="s">
        <v>54</v>
      </c>
      <c r="C462" s="111" t="str">
        <f ca="1">IFERROR(__xludf.DUMMYFUNCTION("""COMPUTED_VALUE"""),"г.о. Электросталь ")</f>
        <v xml:space="preserve">г.о. Электросталь </v>
      </c>
      <c r="D462" s="111" t="str">
        <f ca="1">IFERROR(__xludf.DUMMYFUNCTION("""COMPUTED_VALUE"""),"Реконструкция очистных сооружений, в/г Ногинск-5, д. Всеволодово, Электросталь г.о. ")</f>
        <v xml:space="preserve">Реконструкция очистных сооружений, в/г Ногинск-5, д. Всеволодово, Электросталь г.о. </v>
      </c>
      <c r="E462" s="121" t="str">
        <f ca="1">IFERROR(__xludf.DUMMYFUNCTION("""COMPUTED_VALUE"""),"2019-2022")</f>
        <v>2019-2022</v>
      </c>
      <c r="F462" s="113">
        <f ca="1">IFERROR(__xludf.DUMMYFUNCTION("""COMPUTED_VALUE"""),17584)</f>
        <v>17584</v>
      </c>
      <c r="G462" s="113">
        <f ca="1">IFERROR(__xludf.DUMMYFUNCTION("""COMPUTED_VALUE"""),0)</f>
        <v>0</v>
      </c>
      <c r="H462" s="111"/>
      <c r="I462" s="113">
        <f ca="1">IFERROR(__xludf.DUMMYFUNCTION("""COMPUTED_VALUE"""),17584)</f>
        <v>17584</v>
      </c>
      <c r="J462" s="111">
        <f ca="1">IFERROR(__xludf.DUMMYFUNCTION("""COMPUTED_VALUE"""),17584)</f>
        <v>17584</v>
      </c>
      <c r="K462" s="113">
        <f ca="1">IFERROR(__xludf.DUMMYFUNCTION("""COMPUTED_VALUE"""),0)</f>
        <v>0</v>
      </c>
      <c r="L462" s="114">
        <f ca="1">IFERROR(__xludf.DUMMYFUNCTION("""COMPUTED_VALUE"""),1)</f>
        <v>1</v>
      </c>
      <c r="M462" s="111"/>
      <c r="N462" s="110" t="s">
        <v>572</v>
      </c>
      <c r="O462" s="111"/>
      <c r="P462" s="111"/>
      <c r="Q462" s="112"/>
      <c r="R462" s="103"/>
      <c r="S462" s="103"/>
      <c r="T462" s="103"/>
      <c r="U462" s="103"/>
      <c r="V462" s="103"/>
      <c r="W462" s="103"/>
      <c r="X462" s="103"/>
      <c r="Y462" s="103"/>
      <c r="Z462" s="103"/>
      <c r="AA462" s="103"/>
    </row>
    <row r="463" spans="1:27" ht="51" x14ac:dyDescent="0.2">
      <c r="A463" s="110">
        <v>460</v>
      </c>
      <c r="B463" s="123" t="s">
        <v>54</v>
      </c>
      <c r="C463" s="111" t="str">
        <f ca="1">IFERROR(__xludf.DUMMYFUNCTION("""COMPUTED_VALUE"""),"г.о. Электросталь ")</f>
        <v xml:space="preserve">г.о. Электросталь </v>
      </c>
      <c r="D463" s="111" t="str">
        <f ca="1">IFERROR(__xludf.DUMMYFUNCTION("""COMPUTED_VALUE"""),"Капитальный ремонт напорного коллектора сельское поселение Степановское, село Всеволодово военный городок Ногинск-5")</f>
        <v>Капитальный ремонт напорного коллектора сельское поселение Степановское, село Всеволодово военный городок Ногинск-5</v>
      </c>
      <c r="E463" s="111">
        <f ca="1">IFERROR(__xludf.DUMMYFUNCTION("""COMPUTED_VALUE"""),2019)</f>
        <v>2019</v>
      </c>
      <c r="F463" s="113">
        <f ca="1">IFERROR(__xludf.DUMMYFUNCTION("""COMPUTED_VALUE"""),0)</f>
        <v>0</v>
      </c>
      <c r="G463" s="113">
        <f ca="1">IFERROR(__xludf.DUMMYFUNCTION("""COMPUTED_VALUE"""),0)</f>
        <v>0</v>
      </c>
      <c r="H463" s="111"/>
      <c r="I463" s="113">
        <f ca="1">IFERROR(__xludf.DUMMYFUNCTION("""COMPUTED_VALUE"""),0)</f>
        <v>0</v>
      </c>
      <c r="J463" s="111">
        <f ca="1">IFERROR(__xludf.DUMMYFUNCTION("""COMPUTED_VALUE"""),0)</f>
        <v>0</v>
      </c>
      <c r="K463" s="113">
        <f ca="1">IFERROR(__xludf.DUMMYFUNCTION("""COMPUTED_VALUE"""),0)</f>
        <v>0</v>
      </c>
      <c r="L463" s="114" t="str">
        <f ca="1">IFERROR(__xludf.DUMMYFUNCTION("""COMPUTED_VALUE"""),"#DIV/0!")</f>
        <v>#DIV/0!</v>
      </c>
      <c r="M463" s="111"/>
      <c r="N463" s="111"/>
      <c r="O463" s="111"/>
      <c r="P463" s="111"/>
      <c r="Q463" s="112"/>
      <c r="R463" s="103"/>
      <c r="S463" s="103"/>
      <c r="T463" s="103"/>
      <c r="U463" s="103"/>
      <c r="V463" s="103"/>
      <c r="W463" s="103"/>
      <c r="X463" s="103"/>
      <c r="Y463" s="103"/>
      <c r="Z463" s="103"/>
      <c r="AA463" s="103"/>
    </row>
    <row r="464" spans="1:27" ht="51" x14ac:dyDescent="0.2">
      <c r="A464" s="110">
        <v>461</v>
      </c>
      <c r="B464" s="123" t="s">
        <v>54</v>
      </c>
      <c r="C464" s="111" t="str">
        <f ca="1">IFERROR(__xludf.DUMMYFUNCTION("""COMPUTED_VALUE"""),"г.о. Электросталь ")</f>
        <v xml:space="preserve">г.о. Электросталь </v>
      </c>
      <c r="D464" s="111" t="str">
        <f ca="1">IFERROR(__xludf.DUMMYFUNCTION("""COMPUTED_VALUE"""),"Капитальный ремонт котельной (2-й этап)  по адресу: Московская область, г.о. Электросталь, военный городок Ногинск-5")</f>
        <v>Капитальный ремонт котельной (2-й этап)  по адресу: Московская область, г.о. Электросталь, военный городок Ногинск-5</v>
      </c>
      <c r="E464" s="111">
        <f ca="1">IFERROR(__xludf.DUMMYFUNCTION("""COMPUTED_VALUE"""),2022)</f>
        <v>2022</v>
      </c>
      <c r="F464" s="113">
        <f ca="1">IFERROR(__xludf.DUMMYFUNCTION("""COMPUTED_VALUE"""),0)</f>
        <v>0</v>
      </c>
      <c r="G464" s="113">
        <f ca="1">IFERROR(__xludf.DUMMYFUNCTION("""COMPUTED_VALUE"""),0)</f>
        <v>0</v>
      </c>
      <c r="H464" s="111"/>
      <c r="I464" s="113">
        <f ca="1">IFERROR(__xludf.DUMMYFUNCTION("""COMPUTED_VALUE"""),0)</f>
        <v>0</v>
      </c>
      <c r="J464" s="111">
        <f ca="1">IFERROR(__xludf.DUMMYFUNCTION("""COMPUTED_VALUE"""),0)</f>
        <v>0</v>
      </c>
      <c r="K464" s="113">
        <f ca="1">IFERROR(__xludf.DUMMYFUNCTION("""COMPUTED_VALUE"""),0)</f>
        <v>0</v>
      </c>
      <c r="L464" s="114" t="str">
        <f ca="1">IFERROR(__xludf.DUMMYFUNCTION("""COMPUTED_VALUE"""),"#DIV/0!")</f>
        <v>#DIV/0!</v>
      </c>
      <c r="M464" s="111"/>
      <c r="N464" s="111"/>
      <c r="O464" s="111"/>
      <c r="P464" s="111"/>
      <c r="Q464" s="112"/>
      <c r="R464" s="103"/>
      <c r="S464" s="103"/>
      <c r="T464" s="103"/>
      <c r="U464" s="103"/>
      <c r="V464" s="103"/>
      <c r="W464" s="103"/>
      <c r="X464" s="103"/>
      <c r="Y464" s="103"/>
      <c r="Z464" s="103"/>
      <c r="AA464" s="103"/>
    </row>
    <row r="465" spans="1:27" ht="102" x14ac:dyDescent="0.2">
      <c r="A465" s="110">
        <v>462</v>
      </c>
      <c r="B465" s="110" t="s">
        <v>54</v>
      </c>
      <c r="C465" s="111" t="str">
        <f ca="1">IFERROR(__xludf.DUMMYFUNCTION("""COMPUTED_VALUE"""),"(ЗТО) г.о. Воскресенск")</f>
        <v>(ЗТО) г.о. Воскресенск</v>
      </c>
      <c r="D465" s="111" t="str">
        <f ca="1">IFERROR(__xludf.DUMMYFUNCTION("""COMPUTED_VALUE"""),"Строительство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f>
        <v>Строительство ВЗУ с сетями водоснабжения Ду 80 для хозяйственно-бытовых нужд ЗТО, д. Свистягино, с.п. Фединское, Воскресенский м. р.** (в том числе ПИР и технологическое присоединения к сетям электроснабжения) *</v>
      </c>
      <c r="E465" s="111" t="str">
        <f ca="1">IFERROR(__xludf.DUMMYFUNCTION("""COMPUTED_VALUE"""),"2020-2021")</f>
        <v>2020-2021</v>
      </c>
      <c r="F465" s="113">
        <f ca="1">IFERROR(__xludf.DUMMYFUNCTION("""COMPUTED_VALUE"""),11223.35)</f>
        <v>11223.35</v>
      </c>
      <c r="G465" s="113">
        <f ca="1">IFERROR(__xludf.DUMMYFUNCTION("""COMPUTED_VALUE"""),0)</f>
        <v>0</v>
      </c>
      <c r="H465" s="113">
        <f ca="1">IFERROR(__xludf.DUMMYFUNCTION("""COMPUTED_VALUE"""),0)</f>
        <v>0</v>
      </c>
      <c r="I465" s="113">
        <f ca="1">IFERROR(__xludf.DUMMYFUNCTION("""COMPUTED_VALUE"""),11223.35)</f>
        <v>11223.35</v>
      </c>
      <c r="J465" s="111"/>
      <c r="K465" s="113">
        <f t="shared" ref="K465:K479" ca="1" si="0">F465-J465</f>
        <v>11223.35</v>
      </c>
      <c r="L465" s="111"/>
      <c r="M465" s="111"/>
      <c r="N465" s="110" t="s">
        <v>555</v>
      </c>
      <c r="O465" s="111"/>
      <c r="P465" s="111"/>
      <c r="Q465" s="112"/>
      <c r="R465" s="103"/>
      <c r="S465" s="103"/>
      <c r="T465" s="103"/>
      <c r="U465" s="103"/>
      <c r="V465" s="103"/>
      <c r="W465" s="103"/>
      <c r="X465" s="103"/>
      <c r="Y465" s="103"/>
      <c r="Z465" s="103"/>
      <c r="AA465" s="103"/>
    </row>
    <row r="466" spans="1:27" ht="102" x14ac:dyDescent="0.2">
      <c r="A466" s="110">
        <v>463</v>
      </c>
      <c r="B466" s="110" t="s">
        <v>54</v>
      </c>
      <c r="C466" s="111" t="str">
        <f ca="1">IFERROR(__xludf.DUMMYFUNCTION("""COMPUTED_VALUE"""),"(ЗТО) г.о. Воскресенск")</f>
        <v>(ЗТО) г.о. Воскресенск</v>
      </c>
      <c r="D466" s="111" t="str">
        <f ca="1">IFERROR(__xludf.DUMMYFUNCTION("""COMPUTED_VALUE"""),"Строительство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f>
        <v>Строительство ВЗУ  с сетями водоснабжения Ду 160 для технических нужд  ЗТО,  д. Свистягино, с.п. Фединское, Воскресенский м. р.** (в том числе ПИР и технологическое присоединения к сетям электроснабжения) *</v>
      </c>
      <c r="E466" s="111" t="str">
        <f ca="1">IFERROR(__xludf.DUMMYFUNCTION("""COMPUTED_VALUE"""),"2020-2021")</f>
        <v>2020-2021</v>
      </c>
      <c r="F466" s="113">
        <f ca="1">IFERROR(__xludf.DUMMYFUNCTION("""COMPUTED_VALUE"""),12908.95)</f>
        <v>12908.95</v>
      </c>
      <c r="G466" s="113">
        <f ca="1">IFERROR(__xludf.DUMMYFUNCTION("""COMPUTED_VALUE"""),0)</f>
        <v>0</v>
      </c>
      <c r="H466" s="113">
        <f ca="1">IFERROR(__xludf.DUMMYFUNCTION("""COMPUTED_VALUE"""),0)</f>
        <v>0</v>
      </c>
      <c r="I466" s="113">
        <f ca="1">IFERROR(__xludf.DUMMYFUNCTION("""COMPUTED_VALUE"""),12908.95)</f>
        <v>12908.95</v>
      </c>
      <c r="J466" s="111"/>
      <c r="K466" s="113">
        <f t="shared" ca="1" si="0"/>
        <v>12908.95</v>
      </c>
      <c r="L466" s="111"/>
      <c r="M466" s="111"/>
      <c r="N466" s="110" t="s">
        <v>555</v>
      </c>
      <c r="O466" s="111"/>
      <c r="P466" s="111"/>
      <c r="Q466" s="112"/>
      <c r="R466" s="103"/>
      <c r="S466" s="103"/>
      <c r="T466" s="103"/>
      <c r="U466" s="103"/>
      <c r="V466" s="103"/>
      <c r="W466" s="103"/>
      <c r="X466" s="103"/>
      <c r="Y466" s="103"/>
      <c r="Z466" s="103"/>
      <c r="AA466" s="103"/>
    </row>
    <row r="467" spans="1:27" ht="102" x14ac:dyDescent="0.2">
      <c r="A467" s="110">
        <v>464</v>
      </c>
      <c r="B467" s="110" t="s">
        <v>54</v>
      </c>
      <c r="C467" s="111" t="str">
        <f ca="1">IFERROR(__xludf.DUMMYFUNCTION("""COMPUTED_VALUE"""),"(ЗТО) г.о. Воскресенск")</f>
        <v>(ЗТО) г.о. Воскресенск</v>
      </c>
      <c r="D467" s="111" t="str">
        <f ca="1">IFERROR(__xludf.DUMMYFUNCTION("""COMPUTED_VALUE"""),"Строительство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f>
        <v>Строительство КНС и напорного коллектора от ЗТО  до точки сброса в водный объект, д. Свистягино, с.п. Фединское, Воскресенский м. р.** (в том числе ПИР  и технологическое присоединения к сетям электроснабжения) *</v>
      </c>
      <c r="E467" s="111" t="str">
        <f ca="1">IFERROR(__xludf.DUMMYFUNCTION("""COMPUTED_VALUE"""),"2020-2021")</f>
        <v>2020-2021</v>
      </c>
      <c r="F467" s="113">
        <f ca="1">IFERROR(__xludf.DUMMYFUNCTION("""COMPUTED_VALUE"""),3850)</f>
        <v>3850</v>
      </c>
      <c r="G467" s="113">
        <f ca="1">IFERROR(__xludf.DUMMYFUNCTION("""COMPUTED_VALUE"""),0)</f>
        <v>0</v>
      </c>
      <c r="H467" s="113">
        <f ca="1">IFERROR(__xludf.DUMMYFUNCTION("""COMPUTED_VALUE"""),0)</f>
        <v>0</v>
      </c>
      <c r="I467" s="113">
        <f ca="1">IFERROR(__xludf.DUMMYFUNCTION("""COMPUTED_VALUE"""),3850)</f>
        <v>3850</v>
      </c>
      <c r="J467" s="123">
        <v>2374.7800000000002</v>
      </c>
      <c r="K467" s="113">
        <f t="shared" ca="1" si="0"/>
        <v>1475.2199999999998</v>
      </c>
      <c r="L467" s="111"/>
      <c r="M467" s="111"/>
      <c r="N467" s="110" t="s">
        <v>555</v>
      </c>
      <c r="O467" s="111"/>
      <c r="P467" s="111"/>
      <c r="Q467" s="112"/>
      <c r="R467" s="103"/>
      <c r="S467" s="103"/>
      <c r="T467" s="103"/>
      <c r="U467" s="103"/>
      <c r="V467" s="103"/>
      <c r="W467" s="103"/>
      <c r="X467" s="103"/>
      <c r="Y467" s="103"/>
      <c r="Z467" s="103"/>
      <c r="AA467" s="103"/>
    </row>
    <row r="468" spans="1:27" ht="140.25" x14ac:dyDescent="0.2">
      <c r="A468" s="110">
        <v>465</v>
      </c>
      <c r="B468" s="111"/>
      <c r="C468" s="111" t="str">
        <f ca="1">IFERROR(__xludf.DUMMYFUNCTION("""COMPUTED_VALUE"""),"(ЗТО) г.о. Наро-Фоминск")</f>
        <v>(ЗТО) г.о. Наро-Фоминск</v>
      </c>
      <c r="D468" s="111" t="str">
        <f ca="1">IFERROR(__xludf.DUMMYFUNCTION("""COMPUTED_VALUE"""),"Строительство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п"&amp;"рисоединение к сетям электроснабжения)")</f>
        <v>Строительство ВЗУ с  сетями водоснабжения  Ду 80 и Ду 160  для  хозяйственно-бытовых и технических нужд ЗТО (с учетом потребности д. Савеловка, СНТ(Савеловка, Ильма) к/п Лесные поляны), д. Могутово, Наро-Фоминский г.о. (в том числе ПИР и технологическое присоединение к сетям электроснабжения)</v>
      </c>
      <c r="E468" s="111" t="str">
        <f ca="1">IFERROR(__xludf.DUMMYFUNCTION("""COMPUTED_VALUE"""),"2020-2021")</f>
        <v>2020-2021</v>
      </c>
      <c r="F468" s="113">
        <f ca="1">IFERROR(__xludf.DUMMYFUNCTION("""COMPUTED_VALUE"""),42784)</f>
        <v>42784</v>
      </c>
      <c r="G468" s="113">
        <f ca="1">IFERROR(__xludf.DUMMYFUNCTION("""COMPUTED_VALUE"""),0)</f>
        <v>0</v>
      </c>
      <c r="H468" s="113">
        <f ca="1">IFERROR(__xludf.DUMMYFUNCTION("""COMPUTED_VALUE"""),0)</f>
        <v>0</v>
      </c>
      <c r="I468" s="113">
        <f ca="1">IFERROR(__xludf.DUMMYFUNCTION("""COMPUTED_VALUE"""),42784)</f>
        <v>42784</v>
      </c>
      <c r="J468" s="123">
        <v>2931.75</v>
      </c>
      <c r="K468" s="113">
        <f t="shared" ca="1" si="0"/>
        <v>39852.25</v>
      </c>
      <c r="L468" s="111"/>
      <c r="M468" s="111"/>
      <c r="N468" s="110" t="s">
        <v>555</v>
      </c>
      <c r="O468" s="111"/>
      <c r="P468" s="111"/>
      <c r="Q468" s="112"/>
      <c r="R468" s="103"/>
      <c r="S468" s="103"/>
      <c r="T468" s="103"/>
      <c r="U468" s="103"/>
      <c r="V468" s="103"/>
      <c r="W468" s="103"/>
      <c r="X468" s="103"/>
      <c r="Y468" s="103"/>
      <c r="Z468" s="103"/>
      <c r="AA468" s="103"/>
    </row>
    <row r="469" spans="1:27" ht="191.25" x14ac:dyDescent="0.2">
      <c r="A469" s="110">
        <v>466</v>
      </c>
      <c r="B469" s="111"/>
      <c r="C469" s="111" t="str">
        <f ca="1">IFERROR(__xludf.DUMMYFUNCTION("""COMPUTED_VALUE"""),"(ЗТО) г.о. Наро-Фоминск")</f>
        <v>(ЗТО) г.о. Наро-Фоминск</v>
      </c>
      <c r="D469" s="111" t="str">
        <f ca="1">IFERROR(__xludf.DUMMYFUNCTION("""COMPUTED_VALUE"""),"Строительство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3800000"&amp;",00 руб., из них средства бюджета города Москвы – 2899370,00 руб. средства бюджета Московской области, средства бюджета муниципального образования - 900630,00 руб.)")</f>
        <v>Строительство напорного коллектора Ду 200 от ЗТО  до точки сброса в водный объект, д. Могутово, Наро-Фоминский г.о. (в том числе ПИР) * (в том числе погашение кредиторской задолженности за выполненные работы, но не оплаченные в 2019 году в размере 3800000,00 руб., из них средства бюджета города Москвы – 2899370,00 руб. средства бюджета Московской области, средства бюджета муниципального образования - 900630,00 руб.)</v>
      </c>
      <c r="E469" s="111" t="str">
        <f ca="1">IFERROR(__xludf.DUMMYFUNCTION("""COMPUTED_VALUE"""),"2020-2021")</f>
        <v>2020-2021</v>
      </c>
      <c r="F469" s="113">
        <f ca="1">IFERROR(__xludf.DUMMYFUNCTION("""COMPUTED_VALUE"""),8419.3)</f>
        <v>8419.2999999999993</v>
      </c>
      <c r="G469" s="113">
        <f ca="1">IFERROR(__xludf.DUMMYFUNCTION("""COMPUTED_VALUE"""),0)</f>
        <v>0</v>
      </c>
      <c r="H469" s="113">
        <f ca="1">IFERROR(__xludf.DUMMYFUNCTION("""COMPUTED_VALUE"""),0)</f>
        <v>0</v>
      </c>
      <c r="I469" s="113">
        <f ca="1">IFERROR(__xludf.DUMMYFUNCTION("""COMPUTED_VALUE"""),8419.3)</f>
        <v>8419.2999999999993</v>
      </c>
      <c r="J469" s="123">
        <v>2899.37</v>
      </c>
      <c r="K469" s="113">
        <f t="shared" ca="1" si="0"/>
        <v>5519.9299999999994</v>
      </c>
      <c r="L469" s="111"/>
      <c r="M469" s="111"/>
      <c r="N469" s="110" t="s">
        <v>555</v>
      </c>
      <c r="O469" s="111"/>
      <c r="P469" s="111"/>
      <c r="Q469" s="112"/>
      <c r="R469" s="103"/>
      <c r="S469" s="103"/>
      <c r="T469" s="103"/>
      <c r="U469" s="103"/>
      <c r="V469" s="103"/>
      <c r="W469" s="103"/>
      <c r="X469" s="103"/>
      <c r="Y469" s="103"/>
      <c r="Z469" s="103"/>
      <c r="AA469" s="103"/>
    </row>
    <row r="470" spans="1:27" ht="63.75" x14ac:dyDescent="0.2">
      <c r="A470" s="110">
        <v>467</v>
      </c>
      <c r="B470" s="111"/>
      <c r="C470" s="111" t="str">
        <f ca="1">IFERROR(__xludf.DUMMYFUNCTION("""COMPUTED_VALUE"""),"(ЗТО) г.о. Наро-Фоминск")</f>
        <v>(ЗТО) г.о. Наро-Фоминск</v>
      </c>
      <c r="D470" s="111" t="str">
        <f ca="1">IFERROR(__xludf.DUMMYFUNCTION("""COMPUTED_VALUE"""),"Строительство канализационной насосной станции для подачи очищенных сточных вод от ЗТО в напорный коллектор, д. Могутово, Наро-Фоминского г.о.")</f>
        <v>Строительство канализационной насосной станции для подачи очищенных сточных вод от ЗТО в напорный коллектор, д. Могутово, Наро-Фоминского г.о.</v>
      </c>
      <c r="E470" s="111">
        <f ca="1">IFERROR(__xludf.DUMMYFUNCTION("""COMPUTED_VALUE"""),2020)</f>
        <v>2020</v>
      </c>
      <c r="F470" s="113">
        <f ca="1">IFERROR(__xludf.DUMMYFUNCTION("""COMPUTED_VALUE"""),8141.4)</f>
        <v>8141.4</v>
      </c>
      <c r="G470" s="113">
        <f ca="1">IFERROR(__xludf.DUMMYFUNCTION("""COMPUTED_VALUE"""),0)</f>
        <v>0</v>
      </c>
      <c r="H470" s="113">
        <f ca="1">IFERROR(__xludf.DUMMYFUNCTION("""COMPUTED_VALUE"""),0)</f>
        <v>0</v>
      </c>
      <c r="I470" s="113">
        <f ca="1">IFERROR(__xludf.DUMMYFUNCTION("""COMPUTED_VALUE"""),8141.4)</f>
        <v>8141.4</v>
      </c>
      <c r="J470" s="111"/>
      <c r="K470" s="113">
        <f t="shared" ca="1" si="0"/>
        <v>8141.4</v>
      </c>
      <c r="L470" s="111"/>
      <c r="M470" s="111"/>
      <c r="N470" s="110" t="s">
        <v>555</v>
      </c>
      <c r="O470" s="111"/>
      <c r="P470" s="111"/>
      <c r="Q470" s="112"/>
      <c r="R470" s="103"/>
      <c r="S470" s="103"/>
      <c r="T470" s="103"/>
      <c r="U470" s="103"/>
      <c r="V470" s="103"/>
      <c r="W470" s="103"/>
      <c r="X470" s="103"/>
      <c r="Y470" s="103"/>
      <c r="Z470" s="103"/>
      <c r="AA470" s="103"/>
    </row>
    <row r="471" spans="1:27" ht="63.75" x14ac:dyDescent="0.2">
      <c r="A471" s="110">
        <v>468</v>
      </c>
      <c r="B471" s="123" t="s">
        <v>54</v>
      </c>
      <c r="C471" s="111" t="str">
        <f ca="1">IFERROR(__xludf.DUMMYFUNCTION("""COMPUTED_VALUE"""),"(ЗТО) г.о. Богородский")</f>
        <v>(ЗТО) г.о. Богородский</v>
      </c>
      <c r="D471" s="111" t="str">
        <f ca="1">IFERROR(__xludf.DUMMYFUNCTION("""COMPUTED_VALUE"""),"Строительство ВЗУ  с сетями водоснабжения Ду 160 для технических нужд ЗТО, д. Тимохово, Богородский г.о. (в том числе ПИР) *")</f>
        <v>Строительство ВЗУ  с сетями водоснабжения Ду 160 для технических нужд ЗТО, д. Тимохово, Богородский г.о. (в том числе ПИР) *</v>
      </c>
      <c r="E471" s="111" t="str">
        <f ca="1">IFERROR(__xludf.DUMMYFUNCTION("""COMPUTED_VALUE"""),"2020-2021")</f>
        <v>2020-2021</v>
      </c>
      <c r="F471" s="113">
        <f ca="1">IFERROR(__xludf.DUMMYFUNCTION("""COMPUTED_VALUE"""),5465)</f>
        <v>5465</v>
      </c>
      <c r="G471" s="113">
        <f ca="1">IFERROR(__xludf.DUMMYFUNCTION("""COMPUTED_VALUE"""),0)</f>
        <v>0</v>
      </c>
      <c r="H471" s="113">
        <f ca="1">IFERROR(__xludf.DUMMYFUNCTION("""COMPUTED_VALUE"""),0)</f>
        <v>0</v>
      </c>
      <c r="I471" s="113">
        <f ca="1">IFERROR(__xludf.DUMMYFUNCTION("""COMPUTED_VALUE"""),5465)</f>
        <v>5465</v>
      </c>
      <c r="J471" s="111"/>
      <c r="K471" s="113">
        <f t="shared" ca="1" si="0"/>
        <v>5465</v>
      </c>
      <c r="L471" s="111"/>
      <c r="M471" s="111"/>
      <c r="N471" s="110" t="s">
        <v>555</v>
      </c>
      <c r="O471" s="111"/>
      <c r="P471" s="111"/>
      <c r="Q471" s="112"/>
      <c r="R471" s="103"/>
      <c r="S471" s="103"/>
      <c r="T471" s="103"/>
      <c r="U471" s="103"/>
      <c r="V471" s="103"/>
      <c r="W471" s="103"/>
      <c r="X471" s="103"/>
      <c r="Y471" s="103"/>
      <c r="Z471" s="103"/>
      <c r="AA471" s="103"/>
    </row>
    <row r="472" spans="1:27" ht="63.75" x14ac:dyDescent="0.2">
      <c r="A472" s="110">
        <v>469</v>
      </c>
      <c r="B472" s="123" t="s">
        <v>54</v>
      </c>
      <c r="C472" s="111" t="str">
        <f ca="1">IFERROR(__xludf.DUMMYFUNCTION("""COMPUTED_VALUE"""),"(ЗТО) г.о. Богородский")</f>
        <v>(ЗТО) г.о. Богородский</v>
      </c>
      <c r="D472" s="111" t="str">
        <f ca="1">IFERROR(__xludf.DUMMYFUNCTION("""COMPUTED_VALUE"""),"Строительство сетей  водоснабжения Ду 80 для хозяйственно-бытовых нужд ЗТО,д.Тимохово, Богородский г.о. (в том числе ПИР)*")</f>
        <v>Строительство сетей  водоснабжения Ду 80 для хозяйственно-бытовых нужд ЗТО,д.Тимохово, Богородский г.о. (в том числе ПИР)*</v>
      </c>
      <c r="E472" s="111" t="str">
        <f ca="1">IFERROR(__xludf.DUMMYFUNCTION("""COMPUTED_VALUE"""),"2020-2021")</f>
        <v>2020-2021</v>
      </c>
      <c r="F472" s="113">
        <f ca="1">IFERROR(__xludf.DUMMYFUNCTION("""COMPUTED_VALUE"""),3601)</f>
        <v>3601</v>
      </c>
      <c r="G472" s="113">
        <f ca="1">IFERROR(__xludf.DUMMYFUNCTION("""COMPUTED_VALUE"""),0)</f>
        <v>0</v>
      </c>
      <c r="H472" s="113">
        <f ca="1">IFERROR(__xludf.DUMMYFUNCTION("""COMPUTED_VALUE"""),0)</f>
        <v>0</v>
      </c>
      <c r="I472" s="113">
        <f ca="1">IFERROR(__xludf.DUMMYFUNCTION("""COMPUTED_VALUE"""),3601)</f>
        <v>3601</v>
      </c>
      <c r="J472" s="111"/>
      <c r="K472" s="113">
        <f t="shared" ca="1" si="0"/>
        <v>3601</v>
      </c>
      <c r="L472" s="111"/>
      <c r="M472" s="111"/>
      <c r="N472" s="110" t="s">
        <v>555</v>
      </c>
      <c r="O472" s="111"/>
      <c r="P472" s="111"/>
      <c r="Q472" s="112"/>
      <c r="R472" s="103"/>
      <c r="S472" s="103"/>
      <c r="T472" s="103"/>
      <c r="U472" s="103"/>
      <c r="V472" s="103"/>
      <c r="W472" s="103"/>
      <c r="X472" s="103"/>
      <c r="Y472" s="103"/>
      <c r="Z472" s="103"/>
      <c r="AA472" s="103"/>
    </row>
    <row r="473" spans="1:27" ht="63.75" x14ac:dyDescent="0.2">
      <c r="A473" s="110">
        <v>470</v>
      </c>
      <c r="B473" s="123" t="s">
        <v>54</v>
      </c>
      <c r="C473" s="111" t="str">
        <f ca="1">IFERROR(__xludf.DUMMYFUNCTION("""COMPUTED_VALUE"""),"(ЗТО) г.о. Богородский")</f>
        <v>(ЗТО) г.о. Богородский</v>
      </c>
      <c r="D473" s="111" t="str">
        <f ca="1">IFERROR(__xludf.DUMMYFUNCTION("""COMPUTED_VALUE"""),"Строительство напорного коллектора Ду200 от ЗТО  до точки сброса в водный объект, д. Тимохово, Богородский г.о. (в том числе ПИР)*")</f>
        <v>Строительство напорного коллектора Ду200 от ЗТО  до точки сброса в водный объект, д. Тимохово, Богородский г.о. (в том числе ПИР)*</v>
      </c>
      <c r="E473" s="111" t="str">
        <f ca="1">IFERROR(__xludf.DUMMYFUNCTION("""COMPUTED_VALUE"""),"2020-2021")</f>
        <v>2020-2021</v>
      </c>
      <c r="F473" s="113">
        <f ca="1">IFERROR(__xludf.DUMMYFUNCTION("""COMPUTED_VALUE"""),346)</f>
        <v>346</v>
      </c>
      <c r="G473" s="113">
        <f ca="1">IFERROR(__xludf.DUMMYFUNCTION("""COMPUTED_VALUE"""),0)</f>
        <v>0</v>
      </c>
      <c r="H473" s="113">
        <f ca="1">IFERROR(__xludf.DUMMYFUNCTION("""COMPUTED_VALUE"""),0)</f>
        <v>0</v>
      </c>
      <c r="I473" s="113">
        <f ca="1">IFERROR(__xludf.DUMMYFUNCTION("""COMPUTED_VALUE"""),346)</f>
        <v>346</v>
      </c>
      <c r="J473" s="111"/>
      <c r="K473" s="113">
        <f t="shared" ca="1" si="0"/>
        <v>346</v>
      </c>
      <c r="L473" s="111"/>
      <c r="M473" s="111"/>
      <c r="N473" s="110" t="s">
        <v>555</v>
      </c>
      <c r="O473" s="111"/>
      <c r="P473" s="111"/>
      <c r="Q473" s="112"/>
      <c r="R473" s="103"/>
      <c r="S473" s="103"/>
      <c r="T473" s="103"/>
      <c r="U473" s="103"/>
      <c r="V473" s="103"/>
      <c r="W473" s="103"/>
      <c r="X473" s="103"/>
      <c r="Y473" s="103"/>
      <c r="Z473" s="103"/>
      <c r="AA473" s="103"/>
    </row>
    <row r="474" spans="1:27" ht="102" x14ac:dyDescent="0.2">
      <c r="A474" s="110">
        <v>471</v>
      </c>
      <c r="B474" s="111"/>
      <c r="C474" s="111" t="str">
        <f ca="1">IFERROR(__xludf.DUMMYFUNCTION("""COMPUTED_VALUE"""),"(ЗТО) г.о. Солнечногорск")</f>
        <v>(ЗТО) г.о. Солнечногорск</v>
      </c>
      <c r="D474" s="111" t="str">
        <f ca="1">IFERROR(__xludf.DUMMYFUNCTION("""COMPUTED_VALUE"""),"Строительство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f>
        <v xml:space="preserve">Строительство  ВЗУ с сетями водоснабжения Ду 100 для хозяйственно-бытовых нужд ЗТО (с учетом потребностей д. Хметьево), д. Хметьево, г.п. Солнечногорск (в том числе ПИР и технологическое присоединение к сетям электроснабжения) </v>
      </c>
      <c r="E474" s="111" t="str">
        <f ca="1">IFERROR(__xludf.DUMMYFUNCTION("""COMPUTED_VALUE"""),"2020-2021")</f>
        <v>2020-2021</v>
      </c>
      <c r="F474" s="113">
        <f ca="1">IFERROR(__xludf.DUMMYFUNCTION("""COMPUTED_VALUE"""),12082.5)</f>
        <v>12082.5</v>
      </c>
      <c r="G474" s="113">
        <f ca="1">IFERROR(__xludf.DUMMYFUNCTION("""COMPUTED_VALUE"""),0)</f>
        <v>0</v>
      </c>
      <c r="H474" s="113">
        <f ca="1">IFERROR(__xludf.DUMMYFUNCTION("""COMPUTED_VALUE"""),0)</f>
        <v>0</v>
      </c>
      <c r="I474" s="113">
        <f ca="1">IFERROR(__xludf.DUMMYFUNCTION("""COMPUTED_VALUE"""),12082.5)</f>
        <v>12082.5</v>
      </c>
      <c r="J474" s="111"/>
      <c r="K474" s="113">
        <f t="shared" ca="1" si="0"/>
        <v>12082.5</v>
      </c>
      <c r="L474" s="111"/>
      <c r="M474" s="111"/>
      <c r="N474" s="110" t="s">
        <v>555</v>
      </c>
      <c r="O474" s="111"/>
      <c r="P474" s="111"/>
      <c r="Q474" s="112"/>
      <c r="R474" s="103"/>
      <c r="S474" s="103"/>
      <c r="T474" s="103"/>
      <c r="U474" s="103"/>
      <c r="V474" s="103"/>
      <c r="W474" s="103"/>
      <c r="X474" s="103"/>
      <c r="Y474" s="103"/>
      <c r="Z474" s="103"/>
      <c r="AA474" s="103"/>
    </row>
    <row r="475" spans="1:27" ht="63.75" x14ac:dyDescent="0.2">
      <c r="A475" s="110">
        <v>472</v>
      </c>
      <c r="B475" s="111"/>
      <c r="C475" s="111" t="str">
        <f ca="1">IFERROR(__xludf.DUMMYFUNCTION("""COMPUTED_VALUE"""),"(ЗТО) г.о. Солнечногорск")</f>
        <v>(ЗТО) г.о. Солнечногорск</v>
      </c>
      <c r="D475" s="111" t="str">
        <f ca="1">IFERROR(__xludf.DUMMYFUNCTION("""COMPUTED_VALUE"""),"Строительство КНС и напорного коллектора Ду 2х 110 до точки подключения в районе п. Санаторий МО, г.о. Солнечногорск (в том числе ПИР)")</f>
        <v>Строительство КНС и напорного коллектора Ду 2х 110 до точки подключения в районе п. Санаторий МО, г.о. Солнечногорск (в том числе ПИР)</v>
      </c>
      <c r="E475" s="111" t="str">
        <f ca="1">IFERROR(__xludf.DUMMYFUNCTION("""COMPUTED_VALUE"""),"2020-2021")</f>
        <v>2020-2021</v>
      </c>
      <c r="F475" s="113">
        <f ca="1">IFERROR(__xludf.DUMMYFUNCTION("""COMPUTED_VALUE"""),1755)</f>
        <v>1755</v>
      </c>
      <c r="G475" s="113">
        <f ca="1">IFERROR(__xludf.DUMMYFUNCTION("""COMPUTED_VALUE"""),0)</f>
        <v>0</v>
      </c>
      <c r="H475" s="113">
        <f ca="1">IFERROR(__xludf.DUMMYFUNCTION("""COMPUTED_VALUE"""),0)</f>
        <v>0</v>
      </c>
      <c r="I475" s="113">
        <f ca="1">IFERROR(__xludf.DUMMYFUNCTION("""COMPUTED_VALUE"""),1755)</f>
        <v>1755</v>
      </c>
      <c r="J475" s="111"/>
      <c r="K475" s="113">
        <f t="shared" ca="1" si="0"/>
        <v>1755</v>
      </c>
      <c r="L475" s="111"/>
      <c r="M475" s="111"/>
      <c r="N475" s="110" t="s">
        <v>555</v>
      </c>
      <c r="O475" s="111"/>
      <c r="P475" s="111"/>
      <c r="Q475" s="112"/>
      <c r="R475" s="103"/>
      <c r="S475" s="103"/>
      <c r="T475" s="103"/>
      <c r="U475" s="103"/>
      <c r="V475" s="103"/>
      <c r="W475" s="103"/>
      <c r="X475" s="103"/>
      <c r="Y475" s="103"/>
      <c r="Z475" s="103"/>
      <c r="AA475" s="103"/>
    </row>
    <row r="476" spans="1:27" ht="63.75" x14ac:dyDescent="0.2">
      <c r="A476" s="110">
        <v>473</v>
      </c>
      <c r="B476" s="111"/>
      <c r="C476" s="111" t="str">
        <f ca="1">IFERROR(__xludf.DUMMYFUNCTION("""COMPUTED_VALUE"""),"(ЗТО) г.о. Солнечногорск")</f>
        <v>(ЗТО) г.о. Солнечногорск</v>
      </c>
      <c r="D476" s="111" t="str">
        <f ca="1">IFERROR(__xludf.DUMMYFUNCTION("""COMPUTED_VALUE"""),"Строительство ВЗУ с сетями водоснабжения Ду 160 для технических нужд ЗТО,  д. Хметьево, г.п. Солнечногорск  (в том числе ПИР)")</f>
        <v>Строительство ВЗУ с сетями водоснабжения Ду 160 для технических нужд ЗТО,  д. Хметьево, г.п. Солнечногорск  (в том числе ПИР)</v>
      </c>
      <c r="E476" s="111" t="str">
        <f ca="1">IFERROR(__xludf.DUMMYFUNCTION("""COMPUTED_VALUE"""),"2020-2021")</f>
        <v>2020-2021</v>
      </c>
      <c r="F476" s="113">
        <f ca="1">IFERROR(__xludf.DUMMYFUNCTION("""COMPUTED_VALUE"""),5625.5)</f>
        <v>5625.5</v>
      </c>
      <c r="G476" s="113">
        <f ca="1">IFERROR(__xludf.DUMMYFUNCTION("""COMPUTED_VALUE"""),0)</f>
        <v>0</v>
      </c>
      <c r="H476" s="113">
        <f ca="1">IFERROR(__xludf.DUMMYFUNCTION("""COMPUTED_VALUE"""),0)</f>
        <v>0</v>
      </c>
      <c r="I476" s="113">
        <f ca="1">IFERROR(__xludf.DUMMYFUNCTION("""COMPUTED_VALUE"""),5625.5)</f>
        <v>5625.5</v>
      </c>
      <c r="J476" s="111"/>
      <c r="K476" s="113">
        <f t="shared" ca="1" si="0"/>
        <v>5625.5</v>
      </c>
      <c r="L476" s="111"/>
      <c r="M476" s="111"/>
      <c r="N476" s="110" t="s">
        <v>555</v>
      </c>
      <c r="O476" s="111"/>
      <c r="P476" s="111"/>
      <c r="Q476" s="112"/>
      <c r="R476" s="103"/>
      <c r="S476" s="103"/>
      <c r="T476" s="103"/>
      <c r="U476" s="103"/>
      <c r="V476" s="103"/>
      <c r="W476" s="103"/>
      <c r="X476" s="103"/>
      <c r="Y476" s="103"/>
      <c r="Z476" s="103"/>
      <c r="AA476" s="103"/>
    </row>
    <row r="477" spans="1:27" ht="102" x14ac:dyDescent="0.2">
      <c r="A477" s="110">
        <v>474</v>
      </c>
      <c r="B477" s="111"/>
      <c r="C477" s="111" t="str">
        <f ca="1">IFERROR(__xludf.DUMMYFUNCTION("""COMPUTED_VALUE"""),"г.о. Дубна")</f>
        <v>г.о. Дубна</v>
      </c>
      <c r="D477" s="111" t="str">
        <f ca="1">IFERROR(__xludf.DUMMYFUNCTION("""COMPUTED_VALUE"""),"Реконструкция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f>
        <v>Реконструкция городских очистных сооружений канализации с увеличением их производительности до 50000 куб. м в сутки и выделением этапов реконструкции по адресу: Московская область, г.о. Дубна, Коммунальный проезд, д. 23 (ПИР)</v>
      </c>
      <c r="E477" s="111">
        <f ca="1">IFERROR(__xludf.DUMMYFUNCTION("""COMPUTED_VALUE"""),2020)</f>
        <v>2020</v>
      </c>
      <c r="F477" s="113">
        <f ca="1">IFERROR(__xludf.DUMMYFUNCTION("""COMPUTED_VALUE"""),0)</f>
        <v>0</v>
      </c>
      <c r="G477" s="113">
        <f ca="1">IFERROR(__xludf.DUMMYFUNCTION("""COMPUTED_VALUE"""),0)</f>
        <v>0</v>
      </c>
      <c r="H477" s="113">
        <f ca="1">IFERROR(__xludf.DUMMYFUNCTION("""COMPUTED_VALUE"""),0)</f>
        <v>0</v>
      </c>
      <c r="I477" s="113">
        <f ca="1">IFERROR(__xludf.DUMMYFUNCTION("""COMPUTED_VALUE"""),0)</f>
        <v>0</v>
      </c>
      <c r="J477" s="123">
        <v>0</v>
      </c>
      <c r="K477" s="113">
        <f t="shared" ca="1" si="0"/>
        <v>0</v>
      </c>
      <c r="L477" s="125">
        <v>0</v>
      </c>
      <c r="M477" s="111"/>
      <c r="N477" s="110" t="s">
        <v>563</v>
      </c>
      <c r="O477" s="111"/>
      <c r="P477" s="111"/>
      <c r="Q477" s="112"/>
      <c r="R477" s="103"/>
      <c r="S477" s="103"/>
      <c r="T477" s="103"/>
      <c r="U477" s="103"/>
      <c r="V477" s="103"/>
      <c r="W477" s="103"/>
      <c r="X477" s="103"/>
      <c r="Y477" s="103"/>
      <c r="Z477" s="103"/>
      <c r="AA477" s="103"/>
    </row>
    <row r="478" spans="1:27" ht="102" x14ac:dyDescent="0.2">
      <c r="A478" s="110">
        <v>475</v>
      </c>
      <c r="B478" s="111"/>
      <c r="C478" s="111" t="str">
        <f ca="1">IFERROR(__xludf.DUMMYFUNCTION("""COMPUTED_VALUE"""),"г.о. Дубна")</f>
        <v>г.о. Дубна</v>
      </c>
      <c r="D478" s="111" t="str">
        <f ca="1">IFERROR(__xludf.DUMMYFUNCTION("""COMPUTED_VALUE"""),"Проектирование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f>
        <v>Проектирование и строительство участков водопроводной сети, канализационных коллекторов района Российского центра программирования по адресу: Московская область, г. Дубна, в районе 3-й очереди участка N 1 ОЭЗ ""Дубна""</v>
      </c>
      <c r="E478" s="111" t="str">
        <f ca="1">IFERROR(__xludf.DUMMYFUNCTION("""COMPUTED_VALUE"""),"2019-2020")</f>
        <v>2019-2020</v>
      </c>
      <c r="F478" s="113">
        <f ca="1">IFERROR(__xludf.DUMMYFUNCTION("""COMPUTED_VALUE"""),3046.14)</f>
        <v>3046.14</v>
      </c>
      <c r="G478" s="113">
        <f ca="1">IFERROR(__xludf.DUMMYFUNCTION("""COMPUTED_VALUE"""),3046.14)</f>
        <v>3046.14</v>
      </c>
      <c r="H478" s="113">
        <f ca="1">IFERROR(__xludf.DUMMYFUNCTION("""COMPUTED_VALUE"""),0)</f>
        <v>0</v>
      </c>
      <c r="I478" s="113">
        <f ca="1">IFERROR(__xludf.DUMMYFUNCTION("""COMPUTED_VALUE"""),0)</f>
        <v>0</v>
      </c>
      <c r="J478" s="123">
        <v>0</v>
      </c>
      <c r="K478" s="113">
        <f t="shared" ca="1" si="0"/>
        <v>3046.14</v>
      </c>
      <c r="L478" s="125">
        <f t="shared" ref="L478:L479" ca="1" si="1">J478/F478</f>
        <v>0</v>
      </c>
      <c r="M478" s="111"/>
      <c r="N478" s="110" t="s">
        <v>568</v>
      </c>
      <c r="O478" s="111"/>
      <c r="P478" s="111"/>
      <c r="Q478" s="112"/>
      <c r="R478" s="103"/>
      <c r="S478" s="103"/>
      <c r="T478" s="103"/>
      <c r="U478" s="103"/>
      <c r="V478" s="103"/>
      <c r="W478" s="103"/>
      <c r="X478" s="103"/>
      <c r="Y478" s="103"/>
      <c r="Z478" s="103"/>
      <c r="AA478" s="103"/>
    </row>
    <row r="479" spans="1:27" ht="89.25" x14ac:dyDescent="0.2">
      <c r="A479" s="110">
        <v>476</v>
      </c>
      <c r="B479" s="111"/>
      <c r="C479" s="111" t="str">
        <f ca="1">IFERROR(__xludf.DUMMYFUNCTION("""COMPUTED_VALUE"""),"г.о. Дубна")</f>
        <v>г.о. Дубна</v>
      </c>
      <c r="D479" s="111" t="str">
        <f ca="1">IFERROR(__xludf.DUMMYFUNCTION("""COMPUTED_VALUE"""),"""Проектирование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f>
        <v>"Проектирование и строительство водопроводных сетей, сетей теплоснабжения, канализационных сетей Новой промышленной зоны по адресу: Московская область, г. Дубна, в районе 2-й очереди участка N 2 ОЭЗ ""Дубна""</v>
      </c>
      <c r="E479" s="111" t="str">
        <f ca="1">IFERROR(__xludf.DUMMYFUNCTION("""COMPUTED_VALUE"""),"2019-2020")</f>
        <v>2019-2020</v>
      </c>
      <c r="F479" s="113">
        <f ca="1">IFERROR(__xludf.DUMMYFUNCTION("""COMPUTED_VALUE"""),25383.07)</f>
        <v>25383.07</v>
      </c>
      <c r="G479" s="113">
        <f ca="1">IFERROR(__xludf.DUMMYFUNCTION("""COMPUTED_VALUE"""),25383.07)</f>
        <v>25383.07</v>
      </c>
      <c r="H479" s="113">
        <f ca="1">IFERROR(__xludf.DUMMYFUNCTION("""COMPUTED_VALUE"""),0)</f>
        <v>0</v>
      </c>
      <c r="I479" s="113">
        <f ca="1">IFERROR(__xludf.DUMMYFUNCTION("""COMPUTED_VALUE"""),0)</f>
        <v>0</v>
      </c>
      <c r="J479" s="123">
        <v>25383.07</v>
      </c>
      <c r="K479" s="113">
        <f t="shared" ca="1" si="0"/>
        <v>0</v>
      </c>
      <c r="L479" s="125">
        <f t="shared" ca="1" si="1"/>
        <v>1</v>
      </c>
      <c r="M479" s="111"/>
      <c r="N479" s="110" t="s">
        <v>568</v>
      </c>
      <c r="O479" s="111"/>
      <c r="P479" s="111"/>
      <c r="Q479" s="112"/>
      <c r="R479" s="103"/>
      <c r="S479" s="103"/>
      <c r="T479" s="103"/>
      <c r="U479" s="103"/>
      <c r="V479" s="103"/>
      <c r="W479" s="103"/>
      <c r="X479" s="103"/>
      <c r="Y479" s="103"/>
      <c r="Z479" s="103"/>
      <c r="AA479" s="103"/>
    </row>
    <row r="480" spans="1:27" ht="14.25" x14ac:dyDescent="0.2">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c r="AA480" s="103"/>
    </row>
    <row r="481" spans="1:27" ht="14.25" x14ac:dyDescent="0.2">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c r="AA481" s="103"/>
    </row>
    <row r="482" spans="1:27" ht="14.25" x14ac:dyDescent="0.2">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row>
    <row r="483" spans="1:27" ht="14.25" x14ac:dyDescent="0.2">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row>
    <row r="484" spans="1:27" ht="14.25" x14ac:dyDescent="0.2">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row>
    <row r="485" spans="1:27" ht="14.25" x14ac:dyDescent="0.2">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c r="AA485" s="103"/>
    </row>
    <row r="486" spans="1:27" ht="14.25" x14ac:dyDescent="0.2">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row>
    <row r="487" spans="1:27" ht="14.25" x14ac:dyDescent="0.2">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row>
    <row r="488" spans="1:27" ht="14.25" x14ac:dyDescent="0.2">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c r="AA488" s="103"/>
    </row>
    <row r="489" spans="1:27" ht="14.25" x14ac:dyDescent="0.2">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c r="AA489" s="103"/>
    </row>
    <row r="490" spans="1:27" ht="14.25" x14ac:dyDescent="0.2">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c r="AA490" s="103"/>
    </row>
    <row r="491" spans="1:27" ht="14.25" x14ac:dyDescent="0.2">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c r="AA491" s="103"/>
    </row>
    <row r="492" spans="1:27" ht="14.25" x14ac:dyDescent="0.2">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c r="AA492" s="103"/>
    </row>
    <row r="493" spans="1:27" ht="14.25" x14ac:dyDescent="0.2">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c r="AA493" s="103"/>
    </row>
    <row r="494" spans="1:27" ht="14.25" x14ac:dyDescent="0.2">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c r="AA494" s="103"/>
    </row>
    <row r="495" spans="1:27" ht="14.25" x14ac:dyDescent="0.2">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c r="AA495" s="103"/>
    </row>
    <row r="496" spans="1:27" ht="14.25" x14ac:dyDescent="0.2">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c r="AA496" s="103"/>
    </row>
    <row r="497" spans="1:27" ht="14.25" x14ac:dyDescent="0.2">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row>
    <row r="498" spans="1:27" ht="14.25" x14ac:dyDescent="0.2">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c r="AA498" s="103"/>
    </row>
    <row r="499" spans="1:27" ht="14.25" x14ac:dyDescent="0.2">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row>
    <row r="500" spans="1:27" ht="14.25" x14ac:dyDescent="0.2">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row>
    <row r="501" spans="1:27" ht="14.25" x14ac:dyDescent="0.2">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c r="AA501" s="103"/>
    </row>
    <row r="502" spans="1:27" ht="14.25" x14ac:dyDescent="0.2">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row>
    <row r="503" spans="1:27" ht="14.25" x14ac:dyDescent="0.2">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row>
    <row r="504" spans="1:27" ht="14.25" x14ac:dyDescent="0.2">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row>
    <row r="505" spans="1:27" ht="14.25" x14ac:dyDescent="0.2">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row>
    <row r="506" spans="1:27" ht="14.25" x14ac:dyDescent="0.2">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row>
    <row r="507" spans="1:27" ht="14.25" x14ac:dyDescent="0.2">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c r="AA507" s="103"/>
    </row>
    <row r="508" spans="1:27" ht="14.25" x14ac:dyDescent="0.2">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row>
    <row r="509" spans="1:27" ht="14.25" x14ac:dyDescent="0.2">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row>
    <row r="510" spans="1:27" ht="14.25" x14ac:dyDescent="0.2">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c r="AA510" s="103"/>
    </row>
    <row r="511" spans="1:27" ht="14.25" x14ac:dyDescent="0.2">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row>
    <row r="512" spans="1:27" ht="14.25" x14ac:dyDescent="0.2">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row>
    <row r="513" spans="1:27" ht="14.25" x14ac:dyDescent="0.2">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c r="AA513" s="103"/>
    </row>
    <row r="514" spans="1:27" ht="14.25" x14ac:dyDescent="0.2">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c r="AA514" s="103"/>
    </row>
    <row r="515" spans="1:27" ht="14.25" x14ac:dyDescent="0.2">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row>
    <row r="516" spans="1:27" ht="14.25" x14ac:dyDescent="0.2">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row>
    <row r="517" spans="1:27" ht="14.25" x14ac:dyDescent="0.2">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row>
    <row r="518" spans="1:27" ht="14.25" x14ac:dyDescent="0.2">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c r="AA518" s="103"/>
    </row>
    <row r="519" spans="1:27" ht="14.25" x14ac:dyDescent="0.2">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row>
    <row r="520" spans="1:27" ht="14.25" x14ac:dyDescent="0.2">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row>
    <row r="521" spans="1:27" ht="14.25" x14ac:dyDescent="0.2">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c r="AA521" s="103"/>
    </row>
    <row r="522" spans="1:27" ht="14.25" x14ac:dyDescent="0.2">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row>
    <row r="523" spans="1:27" ht="14.25" x14ac:dyDescent="0.2">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c r="AA523" s="103"/>
    </row>
    <row r="524" spans="1:27" ht="14.25" x14ac:dyDescent="0.2">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c r="AA524" s="103"/>
    </row>
    <row r="525" spans="1:27" ht="14.25" x14ac:dyDescent="0.2">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row>
    <row r="526" spans="1:27" ht="14.25" x14ac:dyDescent="0.2">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row>
    <row r="527" spans="1:27" ht="14.25" x14ac:dyDescent="0.2">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row>
    <row r="528" spans="1:27" ht="14.25" x14ac:dyDescent="0.2">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c r="AA528" s="103"/>
    </row>
    <row r="529" spans="1:27" ht="14.25" x14ac:dyDescent="0.2">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row>
    <row r="530" spans="1:27" ht="14.25" x14ac:dyDescent="0.2">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row>
    <row r="531" spans="1:27" ht="14.25" x14ac:dyDescent="0.2">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c r="AA531" s="103"/>
    </row>
    <row r="532" spans="1:27" ht="14.25" x14ac:dyDescent="0.2">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c r="AA532" s="103"/>
    </row>
    <row r="533" spans="1:27" ht="14.25" x14ac:dyDescent="0.2">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c r="AA533" s="103"/>
    </row>
    <row r="534" spans="1:27" ht="14.25" x14ac:dyDescent="0.2">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c r="AA534" s="103"/>
    </row>
    <row r="535" spans="1:27" ht="14.25" x14ac:dyDescent="0.2">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c r="AA535" s="103"/>
    </row>
    <row r="536" spans="1:27" ht="14.25" x14ac:dyDescent="0.2">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c r="AA536" s="103"/>
    </row>
    <row r="537" spans="1:27" ht="14.25" x14ac:dyDescent="0.2">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row>
    <row r="538" spans="1:27" ht="14.25" x14ac:dyDescent="0.2">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c r="AA538" s="103"/>
    </row>
    <row r="539" spans="1:27" ht="14.25" x14ac:dyDescent="0.2">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c r="AA539" s="103"/>
    </row>
    <row r="540" spans="1:27" ht="14.25" x14ac:dyDescent="0.2">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row>
    <row r="541" spans="1:27" ht="14.25" x14ac:dyDescent="0.2">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c r="AA541" s="103"/>
    </row>
    <row r="542" spans="1:27" ht="14.25" x14ac:dyDescent="0.2">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c r="AA542" s="103"/>
    </row>
    <row r="543" spans="1:27" ht="14.25" x14ac:dyDescent="0.2">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row>
    <row r="544" spans="1:27" ht="14.25" x14ac:dyDescent="0.2">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c r="AA544" s="103"/>
    </row>
    <row r="545" spans="1:27" ht="14.25" x14ac:dyDescent="0.2">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row>
    <row r="546" spans="1:27" ht="14.25" x14ac:dyDescent="0.2">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c r="AA546" s="103"/>
    </row>
    <row r="547" spans="1:27" ht="14.25" x14ac:dyDescent="0.2">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c r="AA547" s="103"/>
    </row>
    <row r="548" spans="1:27" ht="14.25" x14ac:dyDescent="0.2">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c r="AA548" s="103"/>
    </row>
    <row r="549" spans="1:27" ht="14.25" x14ac:dyDescent="0.2">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c r="AA549" s="103"/>
    </row>
    <row r="550" spans="1:27" ht="14.25" x14ac:dyDescent="0.2">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c r="AA550" s="103"/>
    </row>
    <row r="551" spans="1:27" ht="14.25" x14ac:dyDescent="0.2">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c r="AA551" s="103"/>
    </row>
    <row r="552" spans="1:27" ht="14.25" x14ac:dyDescent="0.2">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row>
    <row r="553" spans="1:27" ht="14.25" x14ac:dyDescent="0.2">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row>
    <row r="554" spans="1:27" ht="14.25" x14ac:dyDescent="0.2">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c r="AA554" s="103"/>
    </row>
    <row r="555" spans="1:27" ht="14.25" x14ac:dyDescent="0.2">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row>
    <row r="556" spans="1:27" ht="14.25" x14ac:dyDescent="0.2">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row>
    <row r="557" spans="1:27" ht="14.25" x14ac:dyDescent="0.2">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c r="AA557" s="103"/>
    </row>
    <row r="558" spans="1:27" ht="14.25" x14ac:dyDescent="0.2">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row>
    <row r="559" spans="1:27" ht="14.25" x14ac:dyDescent="0.2">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c r="AA559" s="103"/>
    </row>
    <row r="560" spans="1:27" ht="14.25" x14ac:dyDescent="0.2">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c r="AA560" s="103"/>
    </row>
    <row r="561" spans="1:27" ht="14.25" x14ac:dyDescent="0.2">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c r="AA561" s="103"/>
    </row>
    <row r="562" spans="1:27" ht="14.25" x14ac:dyDescent="0.2">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c r="AA562" s="103"/>
    </row>
    <row r="563" spans="1:27" ht="14.25" x14ac:dyDescent="0.2">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c r="AA563" s="103"/>
    </row>
    <row r="564" spans="1:27" ht="14.25" x14ac:dyDescent="0.2">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c r="AA564" s="103"/>
    </row>
    <row r="565" spans="1:27" ht="14.25" x14ac:dyDescent="0.2">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row>
    <row r="566" spans="1:27" ht="14.25" x14ac:dyDescent="0.2">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c r="AA566" s="103"/>
    </row>
    <row r="567" spans="1:27" ht="14.25" x14ac:dyDescent="0.2">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row>
    <row r="568" spans="1:27" ht="14.25" x14ac:dyDescent="0.2">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row>
    <row r="569" spans="1:27" ht="14.25" x14ac:dyDescent="0.2">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c r="AA569" s="103"/>
    </row>
    <row r="570" spans="1:27" ht="14.25" x14ac:dyDescent="0.2">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c r="AA570" s="103"/>
    </row>
    <row r="571" spans="1:27" ht="14.25" x14ac:dyDescent="0.2">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row>
    <row r="572" spans="1:27" ht="14.25" x14ac:dyDescent="0.2">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c r="AA572" s="103"/>
    </row>
    <row r="573" spans="1:27" ht="14.25" x14ac:dyDescent="0.2">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row>
    <row r="574" spans="1:27" ht="14.25" x14ac:dyDescent="0.2">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row>
    <row r="575" spans="1:27" ht="14.25" x14ac:dyDescent="0.2">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c r="AA575" s="103"/>
    </row>
    <row r="576" spans="1:27" ht="14.25" x14ac:dyDescent="0.2">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c r="AA576" s="103"/>
    </row>
    <row r="577" spans="1:27" ht="14.25" x14ac:dyDescent="0.2">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c r="AA577" s="103"/>
    </row>
    <row r="578" spans="1:27" ht="14.25" x14ac:dyDescent="0.2">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c r="AA578" s="103"/>
    </row>
    <row r="579" spans="1:27" ht="14.25" x14ac:dyDescent="0.2">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row>
    <row r="580" spans="1:27" ht="14.25" x14ac:dyDescent="0.2">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row>
    <row r="581" spans="1:27" ht="14.25" x14ac:dyDescent="0.2">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c r="AA581" s="103"/>
    </row>
    <row r="582" spans="1:27" ht="14.25" x14ac:dyDescent="0.2">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c r="AA582" s="103"/>
    </row>
    <row r="583" spans="1:27" ht="14.25" x14ac:dyDescent="0.2">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c r="AA583" s="103"/>
    </row>
    <row r="584" spans="1:27" ht="14.25" x14ac:dyDescent="0.2">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c r="AA584" s="103"/>
    </row>
    <row r="585" spans="1:27" ht="14.25" x14ac:dyDescent="0.2">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c r="AA585" s="103"/>
    </row>
    <row r="586" spans="1:27" ht="14.25" x14ac:dyDescent="0.2">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c r="AA586" s="103"/>
    </row>
    <row r="587" spans="1:27" ht="14.25" x14ac:dyDescent="0.2">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row>
    <row r="588" spans="1:27" ht="14.25" x14ac:dyDescent="0.2">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c r="AA588" s="103"/>
    </row>
    <row r="589" spans="1:27" ht="14.25" x14ac:dyDescent="0.2">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row>
    <row r="590" spans="1:27" ht="14.25" x14ac:dyDescent="0.2">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c r="AA590" s="103"/>
    </row>
    <row r="591" spans="1:27" ht="14.25" x14ac:dyDescent="0.2">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c r="AA591" s="103"/>
    </row>
    <row r="592" spans="1:27" ht="14.25" x14ac:dyDescent="0.2">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row>
    <row r="593" spans="1:27" ht="14.25" x14ac:dyDescent="0.2">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c r="AA593" s="103"/>
    </row>
    <row r="594" spans="1:27" ht="14.25" x14ac:dyDescent="0.2">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c r="AA594" s="103"/>
    </row>
    <row r="595" spans="1:27" ht="14.25" x14ac:dyDescent="0.2">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c r="AA595" s="103"/>
    </row>
    <row r="596" spans="1:27" ht="14.25" x14ac:dyDescent="0.2">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c r="AA596" s="103"/>
    </row>
    <row r="597" spans="1:27" ht="14.25" x14ac:dyDescent="0.2">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c r="AA597" s="103"/>
    </row>
    <row r="598" spans="1:27" ht="14.25" x14ac:dyDescent="0.2">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row>
    <row r="599" spans="1:27" ht="14.25" x14ac:dyDescent="0.2">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row>
    <row r="600" spans="1:27" ht="14.25" x14ac:dyDescent="0.2">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c r="AA600" s="103"/>
    </row>
    <row r="601" spans="1:27" ht="14.25" x14ac:dyDescent="0.2">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c r="AA601" s="103"/>
    </row>
    <row r="602" spans="1:27" ht="14.25" x14ac:dyDescent="0.2">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c r="AA602" s="103"/>
    </row>
    <row r="603" spans="1:27" ht="14.25" x14ac:dyDescent="0.2">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c r="AA603" s="103"/>
    </row>
    <row r="604" spans="1:27" ht="14.25" x14ac:dyDescent="0.2">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c r="AA604" s="103"/>
    </row>
    <row r="605" spans="1:27" ht="14.25" x14ac:dyDescent="0.2">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c r="AA605" s="103"/>
    </row>
    <row r="606" spans="1:27" ht="14.25" x14ac:dyDescent="0.2">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c r="AA606" s="103"/>
    </row>
    <row r="607" spans="1:27" ht="14.25" x14ac:dyDescent="0.2">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c r="AA607" s="103"/>
    </row>
    <row r="608" spans="1:27" ht="14.25" x14ac:dyDescent="0.2">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row>
    <row r="609" spans="1:27" ht="14.25" x14ac:dyDescent="0.2">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c r="AA609" s="103"/>
    </row>
    <row r="610" spans="1:27" ht="14.25" x14ac:dyDescent="0.2">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row>
    <row r="611" spans="1:27" ht="14.25" x14ac:dyDescent="0.2">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row>
    <row r="612" spans="1:27" ht="14.25" x14ac:dyDescent="0.2">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c r="AA612" s="103"/>
    </row>
    <row r="613" spans="1:27" ht="14.25" x14ac:dyDescent="0.2">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c r="AA613" s="103"/>
    </row>
    <row r="614" spans="1:27" ht="14.25" x14ac:dyDescent="0.2">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row>
    <row r="615" spans="1:27" ht="14.25" x14ac:dyDescent="0.2">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c r="AA615" s="103"/>
    </row>
    <row r="616" spans="1:27" ht="14.25" x14ac:dyDescent="0.2">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row>
    <row r="617" spans="1:27" ht="14.25" x14ac:dyDescent="0.2">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row>
    <row r="618" spans="1:27" ht="14.25" x14ac:dyDescent="0.2">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c r="AA618" s="103"/>
    </row>
    <row r="619" spans="1:27" ht="14.25" x14ac:dyDescent="0.2">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c r="AA619" s="103"/>
    </row>
    <row r="620" spans="1:27" ht="14.25" x14ac:dyDescent="0.2">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c r="AA620" s="103"/>
    </row>
    <row r="621" spans="1:27" ht="14.25" x14ac:dyDescent="0.2">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c r="AA621" s="103"/>
    </row>
    <row r="622" spans="1:27" ht="14.25" x14ac:dyDescent="0.2">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row>
    <row r="623" spans="1:27" ht="14.25" x14ac:dyDescent="0.2">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c r="AA623" s="103"/>
    </row>
    <row r="624" spans="1:27" ht="14.25" x14ac:dyDescent="0.2">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c r="AA624" s="103"/>
    </row>
    <row r="625" spans="1:27" ht="14.25" x14ac:dyDescent="0.2">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c r="AA625" s="103"/>
    </row>
    <row r="626" spans="1:27" ht="14.25" x14ac:dyDescent="0.2">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c r="AA626" s="103"/>
    </row>
    <row r="627" spans="1:27" ht="14.25" x14ac:dyDescent="0.2">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c r="AA627" s="103"/>
    </row>
    <row r="628" spans="1:27" ht="14.25" x14ac:dyDescent="0.2">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c r="AA628" s="103"/>
    </row>
    <row r="629" spans="1:27" ht="14.25" x14ac:dyDescent="0.2">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row>
    <row r="630" spans="1:27" ht="14.25" x14ac:dyDescent="0.2">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row>
    <row r="631" spans="1:27" ht="14.25" x14ac:dyDescent="0.2">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c r="AA631" s="103"/>
    </row>
    <row r="632" spans="1:27" ht="14.25" x14ac:dyDescent="0.2">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row>
    <row r="633" spans="1:27" ht="14.25" x14ac:dyDescent="0.2">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c r="AA633" s="103"/>
    </row>
    <row r="634" spans="1:27" ht="14.25" x14ac:dyDescent="0.2">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row>
    <row r="635" spans="1:27" ht="14.25" x14ac:dyDescent="0.2">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row>
    <row r="636" spans="1:27" ht="14.25" x14ac:dyDescent="0.2">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c r="AA636" s="103"/>
    </row>
    <row r="637" spans="1:27" ht="14.25" x14ac:dyDescent="0.2">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c r="AA637" s="103"/>
    </row>
    <row r="638" spans="1:27" ht="14.25" x14ac:dyDescent="0.2">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c r="AA638" s="103"/>
    </row>
    <row r="639" spans="1:27" ht="14.25" x14ac:dyDescent="0.2">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c r="AA639" s="103"/>
    </row>
    <row r="640" spans="1:27" ht="14.25" x14ac:dyDescent="0.2">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c r="AA640" s="103"/>
    </row>
    <row r="641" spans="1:27" ht="14.25" x14ac:dyDescent="0.2">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c r="AA641" s="103"/>
    </row>
    <row r="642" spans="1:27" ht="14.25" x14ac:dyDescent="0.2">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row>
    <row r="643" spans="1:27" ht="14.25" x14ac:dyDescent="0.2">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c r="AA643" s="103"/>
    </row>
    <row r="644" spans="1:27" ht="14.25" x14ac:dyDescent="0.2">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c r="AA644" s="103"/>
    </row>
    <row r="645" spans="1:27" ht="14.25" x14ac:dyDescent="0.2">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row>
    <row r="646" spans="1:27" ht="14.25" x14ac:dyDescent="0.2">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c r="AA646" s="103"/>
    </row>
    <row r="647" spans="1:27" ht="14.25" x14ac:dyDescent="0.2">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c r="AA647" s="103"/>
    </row>
    <row r="648" spans="1:27" ht="14.25" x14ac:dyDescent="0.2">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c r="AA648" s="103"/>
    </row>
    <row r="649" spans="1:27" ht="14.25" x14ac:dyDescent="0.2">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c r="AA649" s="103"/>
    </row>
    <row r="650" spans="1:27" ht="14.25" x14ac:dyDescent="0.2">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c r="AA650" s="103"/>
    </row>
    <row r="651" spans="1:27" ht="14.25" x14ac:dyDescent="0.2">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c r="AA651" s="103"/>
    </row>
    <row r="652" spans="1:27" ht="14.25" x14ac:dyDescent="0.2">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c r="AA652" s="103"/>
    </row>
    <row r="653" spans="1:27" ht="14.25" x14ac:dyDescent="0.2">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c r="AA653" s="103"/>
    </row>
    <row r="654" spans="1:27" ht="14.25" x14ac:dyDescent="0.2">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row>
    <row r="655" spans="1:27" ht="14.25" x14ac:dyDescent="0.2">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c r="AA655" s="103"/>
    </row>
    <row r="656" spans="1:27" ht="14.25" x14ac:dyDescent="0.2">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c r="AA656" s="103"/>
    </row>
    <row r="657" spans="1:27" ht="14.25" x14ac:dyDescent="0.2">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row>
    <row r="658" spans="1:27" ht="14.25" x14ac:dyDescent="0.2">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c r="AA658" s="103"/>
    </row>
    <row r="659" spans="1:27" ht="14.25" x14ac:dyDescent="0.2">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c r="AA659" s="103"/>
    </row>
    <row r="660" spans="1:27" ht="14.25" x14ac:dyDescent="0.2">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row>
    <row r="661" spans="1:27" ht="14.25" x14ac:dyDescent="0.2">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c r="AA661" s="103"/>
    </row>
    <row r="662" spans="1:27" ht="14.25" x14ac:dyDescent="0.2">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c r="AA662" s="103"/>
    </row>
    <row r="663" spans="1:27" ht="14.25" x14ac:dyDescent="0.2">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row>
    <row r="664" spans="1:27" ht="14.25" x14ac:dyDescent="0.2">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c r="AA664" s="103"/>
    </row>
    <row r="665" spans="1:27" ht="14.25" x14ac:dyDescent="0.2">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c r="AA665" s="103"/>
    </row>
    <row r="666" spans="1:27" ht="14.25" x14ac:dyDescent="0.2">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row>
    <row r="667" spans="1:27" ht="14.25" x14ac:dyDescent="0.2">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c r="AA667" s="103"/>
    </row>
    <row r="668" spans="1:27" ht="14.25" x14ac:dyDescent="0.2">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row>
    <row r="669" spans="1:27" ht="14.25" x14ac:dyDescent="0.2">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c r="AA669" s="103"/>
    </row>
    <row r="670" spans="1:27" ht="14.25" x14ac:dyDescent="0.2">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c r="AA670" s="103"/>
    </row>
    <row r="671" spans="1:27" ht="14.25" x14ac:dyDescent="0.2">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row>
    <row r="672" spans="1:27" ht="14.25" x14ac:dyDescent="0.2">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c r="AA672" s="103"/>
    </row>
    <row r="673" spans="1:27" ht="14.25" x14ac:dyDescent="0.2">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c r="AA673" s="103"/>
    </row>
    <row r="674" spans="1:27" ht="14.25" x14ac:dyDescent="0.2">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c r="AA674" s="103"/>
    </row>
    <row r="675" spans="1:27" ht="14.25" x14ac:dyDescent="0.2">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c r="AA675" s="103"/>
    </row>
    <row r="676" spans="1:27" ht="14.25" x14ac:dyDescent="0.2">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c r="AA676" s="103"/>
    </row>
    <row r="677" spans="1:27" ht="14.25" x14ac:dyDescent="0.2">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c r="AA677" s="103"/>
    </row>
    <row r="678" spans="1:27" ht="14.25" x14ac:dyDescent="0.2">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c r="AA678" s="103"/>
    </row>
    <row r="679" spans="1:27" ht="14.25" x14ac:dyDescent="0.2">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c r="AA679" s="103"/>
    </row>
    <row r="680" spans="1:27" ht="14.25" x14ac:dyDescent="0.2">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c r="AA680" s="103"/>
    </row>
    <row r="681" spans="1:27" ht="14.25" x14ac:dyDescent="0.2">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row>
    <row r="682" spans="1:27" ht="14.25" x14ac:dyDescent="0.2">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c r="AA682" s="103"/>
    </row>
    <row r="683" spans="1:27" ht="14.25" x14ac:dyDescent="0.2">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row>
    <row r="684" spans="1:27" ht="14.25" x14ac:dyDescent="0.2">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row>
    <row r="685" spans="1:27" ht="14.25" x14ac:dyDescent="0.2">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c r="AA685" s="103"/>
    </row>
    <row r="686" spans="1:27" ht="14.25" x14ac:dyDescent="0.2">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c r="AA686" s="103"/>
    </row>
    <row r="687" spans="1:27" ht="14.25" x14ac:dyDescent="0.2">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c r="AA687" s="103"/>
    </row>
    <row r="688" spans="1:27" ht="14.25" x14ac:dyDescent="0.2">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c r="AA688" s="103"/>
    </row>
    <row r="689" spans="1:27" ht="14.25" x14ac:dyDescent="0.2">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c r="AA689" s="103"/>
    </row>
    <row r="690" spans="1:27" ht="14.25" x14ac:dyDescent="0.2">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c r="AA690" s="103"/>
    </row>
    <row r="691" spans="1:27" ht="14.25" x14ac:dyDescent="0.2">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c r="AA691" s="103"/>
    </row>
    <row r="692" spans="1:27" ht="14.25" x14ac:dyDescent="0.2">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c r="AA692" s="103"/>
    </row>
    <row r="693" spans="1:27" ht="14.25" x14ac:dyDescent="0.2">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c r="AA693" s="103"/>
    </row>
    <row r="694" spans="1:27" ht="14.25" x14ac:dyDescent="0.2">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c r="AA694" s="103"/>
    </row>
    <row r="695" spans="1:27" ht="14.25" x14ac:dyDescent="0.2">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c r="AA695" s="103"/>
    </row>
    <row r="696" spans="1:27" ht="14.25" x14ac:dyDescent="0.2">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c r="AA696" s="103"/>
    </row>
    <row r="697" spans="1:27" ht="14.25" x14ac:dyDescent="0.2">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c r="AA697" s="103"/>
    </row>
    <row r="698" spans="1:27" ht="14.25" x14ac:dyDescent="0.2">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c r="AA698" s="103"/>
    </row>
    <row r="699" spans="1:27" ht="14.25" x14ac:dyDescent="0.2">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c r="AA699" s="103"/>
    </row>
    <row r="700" spans="1:27" ht="14.25" x14ac:dyDescent="0.2">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row>
    <row r="701" spans="1:27" ht="14.25" x14ac:dyDescent="0.2">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c r="AA701" s="103"/>
    </row>
    <row r="702" spans="1:27" ht="14.25" x14ac:dyDescent="0.2">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c r="AA702" s="103"/>
    </row>
    <row r="703" spans="1:27" ht="14.25" x14ac:dyDescent="0.2">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row>
    <row r="704" spans="1:27" ht="14.25" x14ac:dyDescent="0.2">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c r="AA704" s="103"/>
    </row>
    <row r="705" spans="1:27" ht="14.25" x14ac:dyDescent="0.2">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c r="AA705" s="103"/>
    </row>
    <row r="706" spans="1:27" ht="14.25" x14ac:dyDescent="0.2">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row>
    <row r="707" spans="1:27" ht="14.25" x14ac:dyDescent="0.2">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c r="AA707" s="103"/>
    </row>
    <row r="708" spans="1:27" ht="14.25" x14ac:dyDescent="0.2">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c r="AA708" s="103"/>
    </row>
    <row r="709" spans="1:27" ht="14.25" x14ac:dyDescent="0.2">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row>
    <row r="710" spans="1:27" ht="14.25" x14ac:dyDescent="0.2">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c r="AA710" s="103"/>
    </row>
    <row r="711" spans="1:27" ht="14.25" x14ac:dyDescent="0.2">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c r="AA711" s="103"/>
    </row>
    <row r="712" spans="1:27" ht="14.25" x14ac:dyDescent="0.2">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c r="AA712" s="103"/>
    </row>
    <row r="713" spans="1:27" ht="14.25" x14ac:dyDescent="0.2">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c r="AA713" s="103"/>
    </row>
    <row r="714" spans="1:27" ht="14.25" x14ac:dyDescent="0.2">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row>
    <row r="715" spans="1:27" ht="14.25" x14ac:dyDescent="0.2">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c r="AA715" s="103"/>
    </row>
    <row r="716" spans="1:27" ht="14.25" x14ac:dyDescent="0.2">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c r="AA716" s="103"/>
    </row>
    <row r="717" spans="1:27" ht="14.25" x14ac:dyDescent="0.2">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c r="AA717" s="103"/>
    </row>
    <row r="718" spans="1:27" ht="14.25" x14ac:dyDescent="0.2">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c r="AA718" s="103"/>
    </row>
    <row r="719" spans="1:27" ht="14.25" x14ac:dyDescent="0.2">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c r="AA719" s="103"/>
    </row>
    <row r="720" spans="1:27" ht="14.25" x14ac:dyDescent="0.2">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c r="AA720" s="103"/>
    </row>
    <row r="721" spans="1:27" ht="14.25" x14ac:dyDescent="0.2">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row>
    <row r="722" spans="1:27" ht="14.25" x14ac:dyDescent="0.2">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c r="AA722" s="103"/>
    </row>
    <row r="723" spans="1:27" ht="14.25" x14ac:dyDescent="0.2">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c r="AA723" s="103"/>
    </row>
    <row r="724" spans="1:27" ht="14.25" x14ac:dyDescent="0.2">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row>
    <row r="725" spans="1:27" ht="14.25" x14ac:dyDescent="0.2">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row>
    <row r="726" spans="1:27" ht="14.25" x14ac:dyDescent="0.2">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row>
    <row r="727" spans="1:27" ht="14.25" x14ac:dyDescent="0.2">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row>
    <row r="728" spans="1:27" ht="14.25" x14ac:dyDescent="0.2">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row>
    <row r="729" spans="1:27" ht="14.25" x14ac:dyDescent="0.2">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c r="AA729" s="103"/>
    </row>
    <row r="730" spans="1:27" ht="14.25" x14ac:dyDescent="0.2">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c r="AA730" s="103"/>
    </row>
    <row r="731" spans="1:27" ht="14.25" x14ac:dyDescent="0.2">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c r="AA731" s="103"/>
    </row>
    <row r="732" spans="1:27" ht="14.25" x14ac:dyDescent="0.2">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c r="AA732" s="103"/>
    </row>
    <row r="733" spans="1:27" ht="14.25" x14ac:dyDescent="0.2">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c r="AA733" s="103"/>
    </row>
    <row r="734" spans="1:27" ht="14.25" x14ac:dyDescent="0.2">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c r="AA734" s="103"/>
    </row>
    <row r="735" spans="1:27" ht="14.25" x14ac:dyDescent="0.2">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c r="AA735" s="103"/>
    </row>
    <row r="736" spans="1:27" ht="14.25" x14ac:dyDescent="0.2">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c r="AA736" s="103"/>
    </row>
    <row r="737" spans="1:27" ht="14.25" x14ac:dyDescent="0.2">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c r="AA737" s="103"/>
    </row>
    <row r="738" spans="1:27" ht="14.25" x14ac:dyDescent="0.2">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c r="AA738" s="103"/>
    </row>
    <row r="739" spans="1:27" ht="14.25" x14ac:dyDescent="0.2">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c r="AA739" s="103"/>
    </row>
    <row r="740" spans="1:27" ht="14.25" x14ac:dyDescent="0.2">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c r="AA740" s="103"/>
    </row>
    <row r="741" spans="1:27" ht="14.25" x14ac:dyDescent="0.2">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c r="AA741" s="103"/>
    </row>
    <row r="742" spans="1:27" ht="14.25" x14ac:dyDescent="0.2">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c r="AA742" s="103"/>
    </row>
    <row r="743" spans="1:27" ht="14.25" x14ac:dyDescent="0.2">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c r="AA743" s="103"/>
    </row>
    <row r="744" spans="1:27" ht="14.25" x14ac:dyDescent="0.2">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c r="AA744" s="103"/>
    </row>
    <row r="745" spans="1:27" ht="14.25" x14ac:dyDescent="0.2">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c r="AA745" s="103"/>
    </row>
    <row r="746" spans="1:27" ht="14.25" x14ac:dyDescent="0.2">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c r="AA746" s="103"/>
    </row>
    <row r="747" spans="1:27" ht="14.25" x14ac:dyDescent="0.2">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c r="AA747" s="103"/>
    </row>
    <row r="748" spans="1:27" ht="14.25" x14ac:dyDescent="0.2">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c r="AA748" s="103"/>
    </row>
    <row r="749" spans="1:27" ht="14.25" x14ac:dyDescent="0.2">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row>
    <row r="750" spans="1:27" ht="14.25" x14ac:dyDescent="0.2">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c r="AA750" s="103"/>
    </row>
    <row r="751" spans="1:27" ht="14.25" x14ac:dyDescent="0.2">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c r="AA751" s="103"/>
    </row>
    <row r="752" spans="1:27" ht="14.25" x14ac:dyDescent="0.2">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row>
    <row r="753" spans="1:27" ht="14.25" x14ac:dyDescent="0.2">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c r="AA753" s="103"/>
    </row>
    <row r="754" spans="1:27" ht="14.25" x14ac:dyDescent="0.2">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c r="AA754" s="103"/>
    </row>
    <row r="755" spans="1:27" ht="14.25" x14ac:dyDescent="0.2">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row>
    <row r="756" spans="1:27" ht="14.25" x14ac:dyDescent="0.2">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c r="AA756" s="103"/>
    </row>
    <row r="757" spans="1:27" ht="14.25" x14ac:dyDescent="0.2">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c r="AA757" s="103"/>
    </row>
    <row r="758" spans="1:27" ht="14.25" x14ac:dyDescent="0.2">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row>
    <row r="759" spans="1:27" ht="14.25" x14ac:dyDescent="0.2">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c r="AA759" s="103"/>
    </row>
    <row r="760" spans="1:27" ht="14.25" x14ac:dyDescent="0.2">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c r="AA760" s="103"/>
    </row>
    <row r="761" spans="1:27" ht="14.25" x14ac:dyDescent="0.2">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c r="AA761" s="103"/>
    </row>
    <row r="762" spans="1:27" ht="14.25" x14ac:dyDescent="0.2">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c r="AA762" s="103"/>
    </row>
    <row r="763" spans="1:27" ht="14.25" x14ac:dyDescent="0.2">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row>
    <row r="764" spans="1:27" ht="14.25" x14ac:dyDescent="0.2">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c r="AA764" s="103"/>
    </row>
    <row r="765" spans="1:27" ht="14.25" x14ac:dyDescent="0.2">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c r="AA765" s="103"/>
    </row>
    <row r="766" spans="1:27" ht="14.25" x14ac:dyDescent="0.2">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c r="AA766" s="103"/>
    </row>
    <row r="767" spans="1:27" ht="14.25" x14ac:dyDescent="0.2">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c r="AA767" s="103"/>
    </row>
    <row r="768" spans="1:27" ht="14.25" x14ac:dyDescent="0.2">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c r="AA768" s="103"/>
    </row>
    <row r="769" spans="1:27" ht="14.25" x14ac:dyDescent="0.2">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c r="AA769" s="103"/>
    </row>
    <row r="770" spans="1:27" ht="14.25" x14ac:dyDescent="0.2">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c r="AA770" s="103"/>
    </row>
    <row r="771" spans="1:27" ht="14.25" x14ac:dyDescent="0.2">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c r="AA771" s="103"/>
    </row>
    <row r="772" spans="1:27" ht="14.25" x14ac:dyDescent="0.2">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c r="AA772" s="103"/>
    </row>
    <row r="773" spans="1:27" ht="14.25" x14ac:dyDescent="0.2">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row>
    <row r="774" spans="1:27" ht="14.25" x14ac:dyDescent="0.2">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c r="AA774" s="103"/>
    </row>
    <row r="775" spans="1:27" ht="14.25" x14ac:dyDescent="0.2">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c r="AA775" s="103"/>
    </row>
    <row r="776" spans="1:27" ht="14.25" x14ac:dyDescent="0.2">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row>
    <row r="777" spans="1:27" ht="14.25" x14ac:dyDescent="0.2">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c r="AA777" s="103"/>
    </row>
    <row r="778" spans="1:27" ht="14.25" x14ac:dyDescent="0.2">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c r="AA778" s="103"/>
    </row>
    <row r="779" spans="1:27" ht="14.25" x14ac:dyDescent="0.2">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c r="AA779" s="103"/>
    </row>
    <row r="780" spans="1:27" ht="14.25" x14ac:dyDescent="0.2">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c r="AA780" s="103"/>
    </row>
    <row r="781" spans="1:27" ht="14.25" x14ac:dyDescent="0.2">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c r="AA781" s="103"/>
    </row>
    <row r="782" spans="1:27" ht="14.25" x14ac:dyDescent="0.2">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c r="AA782" s="103"/>
    </row>
    <row r="783" spans="1:27" ht="14.25" x14ac:dyDescent="0.2">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c r="AA783" s="103"/>
    </row>
    <row r="784" spans="1:27" ht="14.25" x14ac:dyDescent="0.2">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c r="AA784" s="103"/>
    </row>
    <row r="785" spans="1:27" ht="14.25" x14ac:dyDescent="0.2">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c r="AA785" s="103"/>
    </row>
    <row r="786" spans="1:27" ht="14.25" x14ac:dyDescent="0.2">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c r="AA786" s="103"/>
    </row>
    <row r="787" spans="1:27" ht="14.25" x14ac:dyDescent="0.2">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c r="AA787" s="103"/>
    </row>
    <row r="788" spans="1:27" ht="14.25" x14ac:dyDescent="0.2">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c r="AA788" s="103"/>
    </row>
    <row r="789" spans="1:27" ht="14.25" x14ac:dyDescent="0.2">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c r="AA789" s="103"/>
    </row>
    <row r="790" spans="1:27" ht="14.25" x14ac:dyDescent="0.2">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c r="AA790" s="103"/>
    </row>
    <row r="791" spans="1:27" ht="14.25" x14ac:dyDescent="0.2">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c r="AA791" s="103"/>
    </row>
    <row r="792" spans="1:27" ht="14.25" x14ac:dyDescent="0.2">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row>
    <row r="793" spans="1:27" ht="14.25" x14ac:dyDescent="0.2">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c r="AA793" s="103"/>
    </row>
    <row r="794" spans="1:27" ht="14.25" x14ac:dyDescent="0.2">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c r="AA794" s="103"/>
    </row>
    <row r="795" spans="1:27" ht="14.25" x14ac:dyDescent="0.2">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row>
    <row r="796" spans="1:27" ht="14.25" x14ac:dyDescent="0.2">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c r="AA796" s="103"/>
    </row>
    <row r="797" spans="1:27" ht="14.25" x14ac:dyDescent="0.2">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c r="AA797" s="103"/>
    </row>
    <row r="798" spans="1:27" ht="14.25" x14ac:dyDescent="0.2">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row>
    <row r="799" spans="1:27" ht="14.25" x14ac:dyDescent="0.2">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c r="AA799" s="103"/>
    </row>
    <row r="800" spans="1:27" ht="14.25" x14ac:dyDescent="0.2">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c r="AA800" s="103"/>
    </row>
    <row r="801" spans="1:27" ht="14.25" x14ac:dyDescent="0.2">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row>
    <row r="802" spans="1:27" ht="14.25" x14ac:dyDescent="0.2">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c r="AA802" s="103"/>
    </row>
    <row r="803" spans="1:27" ht="14.25" x14ac:dyDescent="0.2">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c r="AA803" s="103"/>
    </row>
    <row r="804" spans="1:27" ht="14.25" x14ac:dyDescent="0.2">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c r="AA804" s="103"/>
    </row>
    <row r="805" spans="1:27" ht="14.25" x14ac:dyDescent="0.2">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c r="AA805" s="103"/>
    </row>
    <row r="806" spans="1:27" ht="14.25" x14ac:dyDescent="0.2">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row>
    <row r="807" spans="1:27" ht="14.25" x14ac:dyDescent="0.2">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c r="AA807" s="103"/>
    </row>
    <row r="808" spans="1:27" ht="14.25" x14ac:dyDescent="0.2">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c r="AA808" s="103"/>
    </row>
    <row r="809" spans="1:27" ht="14.25" x14ac:dyDescent="0.2">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c r="AA809" s="103"/>
    </row>
    <row r="810" spans="1:27" ht="14.25" x14ac:dyDescent="0.2">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c r="AA810" s="103"/>
    </row>
    <row r="811" spans="1:27" ht="14.25" x14ac:dyDescent="0.2">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c r="AA811" s="103"/>
    </row>
    <row r="812" spans="1:27" ht="14.25" x14ac:dyDescent="0.2">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c r="AA812" s="103"/>
    </row>
    <row r="813" spans="1:27" ht="14.25" x14ac:dyDescent="0.2">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c r="AA813" s="103"/>
    </row>
    <row r="814" spans="1:27" ht="14.25" x14ac:dyDescent="0.2">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c r="AA814" s="103"/>
    </row>
    <row r="815" spans="1:27" ht="14.25" x14ac:dyDescent="0.2">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c r="AA815" s="103"/>
    </row>
    <row r="816" spans="1:27" ht="14.25" x14ac:dyDescent="0.2">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row>
    <row r="817" spans="1:27" ht="14.25" x14ac:dyDescent="0.2">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c r="AA817" s="103"/>
    </row>
    <row r="818" spans="1:27" ht="14.25" x14ac:dyDescent="0.2">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c r="AA818" s="103"/>
    </row>
    <row r="819" spans="1:27" ht="14.25" x14ac:dyDescent="0.2">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row>
    <row r="820" spans="1:27" ht="14.25" x14ac:dyDescent="0.2">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c r="AA820" s="103"/>
    </row>
    <row r="821" spans="1:27" ht="14.25" x14ac:dyDescent="0.2">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c r="AA821" s="103"/>
    </row>
    <row r="822" spans="1:27" ht="14.25" x14ac:dyDescent="0.2">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c r="AA822" s="103"/>
    </row>
    <row r="823" spans="1:27" ht="14.25" x14ac:dyDescent="0.2">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c r="AA823" s="103"/>
    </row>
    <row r="824" spans="1:27" ht="14.25" x14ac:dyDescent="0.2">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c r="AA824" s="103"/>
    </row>
    <row r="825" spans="1:27" ht="14.25" x14ac:dyDescent="0.2">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c r="AA825" s="103"/>
    </row>
    <row r="826" spans="1:27" ht="14.25" x14ac:dyDescent="0.2">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c r="AA826" s="103"/>
    </row>
    <row r="827" spans="1:27" ht="14.25" x14ac:dyDescent="0.2">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c r="AA827" s="103"/>
    </row>
    <row r="828" spans="1:27" ht="14.25" x14ac:dyDescent="0.2">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c r="AA828" s="103"/>
    </row>
    <row r="829" spans="1:27" ht="14.25" x14ac:dyDescent="0.2">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c r="AA829" s="103"/>
    </row>
    <row r="830" spans="1:27" ht="14.25" x14ac:dyDescent="0.2">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c r="AA830" s="103"/>
    </row>
    <row r="831" spans="1:27" ht="14.25" x14ac:dyDescent="0.2">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c r="AA831" s="103"/>
    </row>
    <row r="832" spans="1:27" ht="14.25" x14ac:dyDescent="0.2">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c r="AA832" s="103"/>
    </row>
    <row r="833" spans="1:27" ht="14.25" x14ac:dyDescent="0.2">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c r="AA833" s="103"/>
    </row>
    <row r="834" spans="1:27" ht="14.25" x14ac:dyDescent="0.2">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c r="AA834" s="103"/>
    </row>
    <row r="835" spans="1:27" ht="14.25" x14ac:dyDescent="0.2">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c r="AA835" s="103"/>
    </row>
    <row r="836" spans="1:27" ht="14.25" x14ac:dyDescent="0.2">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c r="AA836" s="103"/>
    </row>
    <row r="837" spans="1:27" ht="14.25" x14ac:dyDescent="0.2">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c r="AA837" s="103"/>
    </row>
    <row r="838" spans="1:27" ht="14.25" x14ac:dyDescent="0.2">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c r="AA838" s="103"/>
    </row>
    <row r="839" spans="1:27" ht="14.25" x14ac:dyDescent="0.2">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c r="AA839" s="103"/>
    </row>
    <row r="840" spans="1:27" ht="14.25" x14ac:dyDescent="0.2">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c r="AA840" s="103"/>
    </row>
    <row r="841" spans="1:27" ht="14.25" x14ac:dyDescent="0.2">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row>
    <row r="842" spans="1:27" ht="14.25" x14ac:dyDescent="0.2">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c r="AA842" s="103"/>
    </row>
    <row r="843" spans="1:27" ht="14.25" x14ac:dyDescent="0.2">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c r="AA843" s="103"/>
    </row>
    <row r="844" spans="1:27" ht="14.25" x14ac:dyDescent="0.2">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row>
    <row r="845" spans="1:27" ht="14.25" x14ac:dyDescent="0.2">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c r="AA845" s="103"/>
    </row>
    <row r="846" spans="1:27" ht="14.25" x14ac:dyDescent="0.2">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c r="AA846" s="103"/>
    </row>
    <row r="847" spans="1:27" ht="14.25" x14ac:dyDescent="0.2">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row>
    <row r="848" spans="1:27" ht="14.25" x14ac:dyDescent="0.2">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c r="AA848" s="103"/>
    </row>
    <row r="849" spans="1:27" ht="14.25" x14ac:dyDescent="0.2">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c r="AA849" s="103"/>
    </row>
    <row r="850" spans="1:27" ht="14.25" x14ac:dyDescent="0.2">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row>
    <row r="851" spans="1:27" ht="14.25" x14ac:dyDescent="0.2">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c r="AA851" s="103"/>
    </row>
    <row r="852" spans="1:27" ht="14.25" x14ac:dyDescent="0.2">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c r="AA852" s="103"/>
    </row>
    <row r="853" spans="1:27" ht="14.25" x14ac:dyDescent="0.2">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c r="AA853" s="103"/>
    </row>
    <row r="854" spans="1:27" ht="14.25" x14ac:dyDescent="0.2">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c r="AA854" s="103"/>
    </row>
    <row r="855" spans="1:27" ht="14.25" x14ac:dyDescent="0.2">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row>
    <row r="856" spans="1:27" ht="14.25" x14ac:dyDescent="0.2">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c r="AA856" s="103"/>
    </row>
    <row r="857" spans="1:27" ht="14.25" x14ac:dyDescent="0.2">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c r="AA857" s="103"/>
    </row>
    <row r="858" spans="1:27" ht="14.25" x14ac:dyDescent="0.2">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c r="AA858" s="103"/>
    </row>
    <row r="859" spans="1:27" ht="14.25" x14ac:dyDescent="0.2">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c r="AA859" s="103"/>
    </row>
    <row r="860" spans="1:27" ht="14.25" x14ac:dyDescent="0.2">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c r="AA860" s="103"/>
    </row>
    <row r="861" spans="1:27" ht="14.25" x14ac:dyDescent="0.2">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c r="AA861" s="103"/>
    </row>
    <row r="862" spans="1:27" ht="14.25" x14ac:dyDescent="0.2">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c r="AA862" s="103"/>
    </row>
    <row r="863" spans="1:27" ht="14.25" x14ac:dyDescent="0.2">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c r="AA863" s="103"/>
    </row>
    <row r="864" spans="1:27" ht="14.25" x14ac:dyDescent="0.2">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c r="AA864" s="103"/>
    </row>
    <row r="865" spans="1:27" ht="14.25" x14ac:dyDescent="0.2">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row>
    <row r="866" spans="1:27" ht="14.25" x14ac:dyDescent="0.2">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c r="AA866" s="103"/>
    </row>
    <row r="867" spans="1:27" ht="14.25" x14ac:dyDescent="0.2">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c r="AA867" s="103"/>
    </row>
    <row r="868" spans="1:27" ht="14.25" x14ac:dyDescent="0.2">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row>
    <row r="869" spans="1:27" ht="14.25" x14ac:dyDescent="0.2">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c r="AA869" s="103"/>
    </row>
    <row r="870" spans="1:27" ht="14.25" x14ac:dyDescent="0.2">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c r="AA870" s="103"/>
    </row>
    <row r="871" spans="1:27" ht="14.25" x14ac:dyDescent="0.2">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c r="AA871" s="103"/>
    </row>
    <row r="872" spans="1:27" ht="14.25" x14ac:dyDescent="0.2">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c r="AA872" s="103"/>
    </row>
    <row r="873" spans="1:27" ht="14.25" x14ac:dyDescent="0.2">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c r="AA873" s="103"/>
    </row>
    <row r="874" spans="1:27" ht="14.25" x14ac:dyDescent="0.2">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c r="AA874" s="103"/>
    </row>
    <row r="875" spans="1:27" ht="14.25" x14ac:dyDescent="0.2">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c r="AA875" s="103"/>
    </row>
    <row r="876" spans="1:27" ht="14.25" x14ac:dyDescent="0.2">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c r="AA876" s="103"/>
    </row>
    <row r="877" spans="1:27" ht="14.25" x14ac:dyDescent="0.2">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c r="AA877" s="103"/>
    </row>
    <row r="878" spans="1:27" ht="14.25" x14ac:dyDescent="0.2">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c r="AA878" s="103"/>
    </row>
    <row r="879" spans="1:27" ht="14.25" x14ac:dyDescent="0.2">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c r="AA879" s="103"/>
    </row>
    <row r="880" spans="1:27" ht="14.25" x14ac:dyDescent="0.2">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c r="AA880" s="103"/>
    </row>
    <row r="881" spans="1:27" ht="14.25" x14ac:dyDescent="0.2">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c r="AA881" s="103"/>
    </row>
    <row r="882" spans="1:27" ht="14.25" x14ac:dyDescent="0.2">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c r="AA882" s="103"/>
    </row>
    <row r="883" spans="1:27" ht="14.25" x14ac:dyDescent="0.2">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c r="AA883" s="103"/>
    </row>
    <row r="884" spans="1:27" ht="14.25" x14ac:dyDescent="0.2">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row>
    <row r="885" spans="1:27" ht="14.25" x14ac:dyDescent="0.2">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c r="AA885" s="103"/>
    </row>
    <row r="886" spans="1:27" ht="14.25" x14ac:dyDescent="0.2">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c r="AA886" s="103"/>
    </row>
    <row r="887" spans="1:27" ht="14.25" x14ac:dyDescent="0.2">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row>
    <row r="888" spans="1:27" ht="14.25" x14ac:dyDescent="0.2">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c r="AA888" s="103"/>
    </row>
    <row r="889" spans="1:27" ht="14.25" x14ac:dyDescent="0.2">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c r="AA889" s="103"/>
    </row>
    <row r="890" spans="1:27" ht="14.25" x14ac:dyDescent="0.2">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row>
    <row r="891" spans="1:27" ht="14.25" x14ac:dyDescent="0.2">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c r="AA891" s="103"/>
    </row>
    <row r="892" spans="1:27" ht="14.25" x14ac:dyDescent="0.2">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c r="AA892" s="103"/>
    </row>
    <row r="893" spans="1:27" ht="14.25" x14ac:dyDescent="0.2">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row>
    <row r="894" spans="1:27" ht="14.25" x14ac:dyDescent="0.2">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c r="AA894" s="103"/>
    </row>
    <row r="895" spans="1:27" ht="14.25" x14ac:dyDescent="0.2">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c r="AA895" s="103"/>
    </row>
    <row r="896" spans="1:27" ht="14.25" x14ac:dyDescent="0.2">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c r="AA896" s="103"/>
    </row>
    <row r="897" spans="1:27" ht="14.25" x14ac:dyDescent="0.2">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c r="AA897" s="103"/>
    </row>
    <row r="898" spans="1:27" ht="14.25" x14ac:dyDescent="0.2">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row>
    <row r="899" spans="1:27" ht="14.25" x14ac:dyDescent="0.2">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c r="AA899" s="103"/>
    </row>
    <row r="900" spans="1:27" ht="14.25" x14ac:dyDescent="0.2">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c r="AA900" s="103"/>
    </row>
    <row r="901" spans="1:27" ht="14.25" x14ac:dyDescent="0.2">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c r="AA901" s="103"/>
    </row>
    <row r="902" spans="1:27" ht="14.25" x14ac:dyDescent="0.2">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c r="AA902" s="103"/>
    </row>
    <row r="903" spans="1:27" ht="14.25" x14ac:dyDescent="0.2">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c r="AA903" s="103"/>
    </row>
    <row r="904" spans="1:27" ht="14.25" x14ac:dyDescent="0.2">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c r="AA904" s="103"/>
    </row>
    <row r="905" spans="1:27" ht="14.25" x14ac:dyDescent="0.2">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c r="AA905" s="103"/>
    </row>
    <row r="906" spans="1:27" ht="14.25" x14ac:dyDescent="0.2">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c r="AA906" s="103"/>
    </row>
    <row r="907" spans="1:27" ht="14.25" x14ac:dyDescent="0.2">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c r="AA907" s="103"/>
    </row>
    <row r="908" spans="1:27" ht="14.25" x14ac:dyDescent="0.2">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row>
    <row r="909" spans="1:27" ht="14.25" x14ac:dyDescent="0.2">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c r="AA909" s="103"/>
    </row>
    <row r="910" spans="1:27" ht="14.25" x14ac:dyDescent="0.2">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c r="AA910" s="103"/>
    </row>
    <row r="911" spans="1:27" ht="14.25" x14ac:dyDescent="0.2">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row>
    <row r="912" spans="1:27" ht="14.25" x14ac:dyDescent="0.2">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c r="AA912" s="103"/>
    </row>
    <row r="913" spans="1:27" ht="14.25" x14ac:dyDescent="0.2">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c r="AA913" s="103"/>
    </row>
    <row r="914" spans="1:27" ht="14.25" x14ac:dyDescent="0.2">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c r="AA914" s="103"/>
    </row>
    <row r="915" spans="1:27" ht="14.25" x14ac:dyDescent="0.2">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c r="AA915" s="103"/>
    </row>
    <row r="916" spans="1:27" ht="14.25" x14ac:dyDescent="0.2">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c r="AA916" s="103"/>
    </row>
    <row r="917" spans="1:27" ht="14.25" x14ac:dyDescent="0.2">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c r="AA917" s="103"/>
    </row>
    <row r="918" spans="1:27" ht="14.25" x14ac:dyDescent="0.2">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c r="AA918" s="103"/>
    </row>
    <row r="919" spans="1:27" ht="14.25" x14ac:dyDescent="0.2">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c r="AA919" s="103"/>
    </row>
    <row r="920" spans="1:27" ht="14.25" x14ac:dyDescent="0.2">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c r="AA920" s="103"/>
    </row>
    <row r="921" spans="1:27" ht="14.25" x14ac:dyDescent="0.2">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c r="AA921" s="103"/>
    </row>
    <row r="922" spans="1:27" ht="14.25" x14ac:dyDescent="0.2">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c r="AA922" s="103"/>
    </row>
    <row r="923" spans="1:27" ht="14.25" x14ac:dyDescent="0.2">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c r="AA923" s="103"/>
    </row>
    <row r="924" spans="1:27" ht="14.25" x14ac:dyDescent="0.2">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c r="AA924" s="103"/>
    </row>
    <row r="925" spans="1:27" ht="14.25" x14ac:dyDescent="0.2">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c r="AA925" s="103"/>
    </row>
    <row r="926" spans="1:27" ht="14.25" x14ac:dyDescent="0.2">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c r="AA926" s="103"/>
    </row>
    <row r="927" spans="1:27" ht="14.25" x14ac:dyDescent="0.2">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c r="AA927" s="103"/>
    </row>
    <row r="928" spans="1:27" ht="14.25" x14ac:dyDescent="0.2">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c r="AA928" s="103"/>
    </row>
    <row r="929" spans="1:27" ht="14.25" x14ac:dyDescent="0.2">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c r="AA929" s="103"/>
    </row>
    <row r="930" spans="1:27" ht="14.25" x14ac:dyDescent="0.2">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c r="AA930" s="103"/>
    </row>
    <row r="931" spans="1:27" ht="14.25" x14ac:dyDescent="0.2">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c r="AA931" s="103"/>
    </row>
    <row r="932" spans="1:27" ht="14.25" x14ac:dyDescent="0.2">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103"/>
    </row>
    <row r="933" spans="1:27" ht="14.25" x14ac:dyDescent="0.2">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row>
    <row r="934" spans="1:27" ht="14.25" x14ac:dyDescent="0.2">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c r="AA934" s="103"/>
    </row>
    <row r="935" spans="1:27" ht="14.25" x14ac:dyDescent="0.2">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c r="AA935" s="103"/>
    </row>
    <row r="936" spans="1:27" ht="14.25" x14ac:dyDescent="0.2">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row>
    <row r="937" spans="1:27" ht="14.25" x14ac:dyDescent="0.2">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c r="AA937" s="103"/>
    </row>
    <row r="938" spans="1:27" ht="14.25" x14ac:dyDescent="0.2">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c r="AA938" s="103"/>
    </row>
    <row r="939" spans="1:27" ht="14.25" x14ac:dyDescent="0.2">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row>
    <row r="940" spans="1:27" ht="14.25" x14ac:dyDescent="0.2">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c r="AA940" s="103"/>
    </row>
    <row r="941" spans="1:27" ht="14.25" x14ac:dyDescent="0.2">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c r="AA941" s="103"/>
    </row>
    <row r="942" spans="1:27" ht="14.25" x14ac:dyDescent="0.2">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row>
    <row r="943" spans="1:27" ht="14.25" x14ac:dyDescent="0.2">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c r="AA943" s="103"/>
    </row>
    <row r="944" spans="1:27" ht="14.25" x14ac:dyDescent="0.2">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c r="AA944" s="103"/>
    </row>
    <row r="945" spans="1:27" ht="14.25" x14ac:dyDescent="0.2">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c r="AA945" s="103"/>
    </row>
    <row r="946" spans="1:27" ht="14.25" x14ac:dyDescent="0.2">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c r="AA946" s="103"/>
    </row>
    <row r="947" spans="1:27" ht="14.25" x14ac:dyDescent="0.2">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row>
    <row r="948" spans="1:27" ht="14.25" x14ac:dyDescent="0.2">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c r="AA948" s="103"/>
    </row>
    <row r="949" spans="1:27" ht="14.25" x14ac:dyDescent="0.2">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c r="AA949" s="103"/>
    </row>
    <row r="950" spans="1:27" ht="14.25" x14ac:dyDescent="0.2">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c r="AA950" s="103"/>
    </row>
    <row r="951" spans="1:27" ht="14.25" x14ac:dyDescent="0.2">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c r="AA951" s="103"/>
    </row>
    <row r="952" spans="1:27" ht="14.25" x14ac:dyDescent="0.2">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c r="AA952" s="103"/>
    </row>
    <row r="953" spans="1:27" ht="14.25" x14ac:dyDescent="0.2">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c r="AA953" s="103"/>
    </row>
    <row r="954" spans="1:27" ht="14.25" x14ac:dyDescent="0.2">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c r="AA954" s="103"/>
    </row>
    <row r="955" spans="1:27" ht="14.25" x14ac:dyDescent="0.2">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c r="AA955" s="103"/>
    </row>
    <row r="956" spans="1:27" ht="14.25" x14ac:dyDescent="0.2">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c r="AA956" s="103"/>
    </row>
    <row r="957" spans="1:27" ht="14.25" x14ac:dyDescent="0.2">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row>
    <row r="958" spans="1:27" ht="14.25" x14ac:dyDescent="0.2">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c r="AA958" s="103"/>
    </row>
    <row r="959" spans="1:27" ht="14.25" x14ac:dyDescent="0.2">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c r="AA959" s="103"/>
    </row>
    <row r="960" spans="1:27" ht="14.25" x14ac:dyDescent="0.2">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row>
    <row r="961" spans="1:27" ht="14.25" x14ac:dyDescent="0.2">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c r="AA961" s="103"/>
    </row>
    <row r="962" spans="1:27" ht="14.25" x14ac:dyDescent="0.2">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c r="AA962" s="103"/>
    </row>
    <row r="963" spans="1:27" ht="14.25" x14ac:dyDescent="0.2">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c r="AA963" s="103"/>
    </row>
    <row r="964" spans="1:27" ht="14.25" x14ac:dyDescent="0.2">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c r="AA964" s="103"/>
    </row>
    <row r="965" spans="1:27" ht="14.25" x14ac:dyDescent="0.2">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c r="AA965" s="103"/>
    </row>
    <row r="966" spans="1:27" ht="14.25" x14ac:dyDescent="0.2">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c r="AA966" s="103"/>
    </row>
    <row r="967" spans="1:27" ht="14.25" x14ac:dyDescent="0.2">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c r="AA967" s="103"/>
    </row>
    <row r="968" spans="1:27" ht="14.25" x14ac:dyDescent="0.2">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c r="AA968" s="103"/>
    </row>
    <row r="969" spans="1:27" ht="14.25" x14ac:dyDescent="0.2">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c r="AA969" s="103"/>
    </row>
    <row r="970" spans="1:27" ht="14.25" x14ac:dyDescent="0.2">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c r="AA970" s="103"/>
    </row>
    <row r="971" spans="1:27" ht="14.25" x14ac:dyDescent="0.2">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c r="AA971" s="103"/>
    </row>
    <row r="972" spans="1:27" ht="14.25" x14ac:dyDescent="0.2">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c r="AA972" s="103"/>
    </row>
    <row r="973" spans="1:27" ht="14.25" x14ac:dyDescent="0.2">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c r="AA973" s="103"/>
    </row>
    <row r="974" spans="1:27" ht="14.25" x14ac:dyDescent="0.2">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c r="AA974" s="103"/>
    </row>
    <row r="975" spans="1:27" ht="14.25" x14ac:dyDescent="0.2">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c r="AA975" s="103"/>
    </row>
    <row r="976" spans="1:27" ht="14.25" x14ac:dyDescent="0.2">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row>
    <row r="977" spans="1:27" ht="14.25" x14ac:dyDescent="0.2">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c r="AA977" s="103"/>
    </row>
    <row r="978" spans="1:27" ht="14.25" x14ac:dyDescent="0.2">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c r="AA978" s="103"/>
    </row>
    <row r="979" spans="1:27" ht="14.25" x14ac:dyDescent="0.2">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row>
  </sheetData>
  <autoFilter ref="A3:Q479" xr:uid="{00000000-0009-0000-0000-000004000000}">
    <sortState xmlns:xlrd2="http://schemas.microsoft.com/office/spreadsheetml/2017/richdata2" ref="A3:Q479">
      <sortCondition ref="K3:K479"/>
    </sortState>
  </autoFilter>
  <customSheetViews>
    <customSheetView guid="{6D1DED28-A9AF-40F9-BE49-9FF3E154A839}" filter="1" showAutoFilter="1">
      <pageMargins left="0.7" right="0.7" top="0.75" bottom="0.75" header="0.3" footer="0.3"/>
      <autoFilter ref="A3:Q479" xr:uid="{00000000-0000-0000-0000-000000000000}"/>
    </customSheetView>
  </customSheetViews>
  <mergeCells count="1">
    <mergeCell ref="A1:Q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outlinePr summaryBelow="0" summaryRight="0"/>
  </sheetPr>
  <dimension ref="A1:AM998"/>
  <sheetViews>
    <sheetView workbookViewId="0">
      <pane ySplit="4" topLeftCell="A5" activePane="bottomLeft" state="frozen"/>
      <selection pane="bottomLeft" activeCell="B6" sqref="B6"/>
    </sheetView>
  </sheetViews>
  <sheetFormatPr defaultColWidth="12.625" defaultRowHeight="15" customHeight="1" outlineLevelCol="1" x14ac:dyDescent="0.2"/>
  <cols>
    <col min="1" max="1" width="28.5" customWidth="1"/>
    <col min="2" max="2" width="5.125" customWidth="1"/>
    <col min="3" max="3" width="26.25" customWidth="1"/>
    <col min="4" max="4" width="17.75" customWidth="1" outlineLevel="1"/>
    <col min="5" max="5" width="22.125" customWidth="1"/>
    <col min="6" max="6" width="11.75" customWidth="1" outlineLevel="1"/>
    <col min="7" max="7" width="18.125" customWidth="1"/>
    <col min="8" max="8" width="12.625" outlineLevel="1"/>
    <col min="10" max="10" width="12.625" outlineLevel="1"/>
    <col min="12" max="12" width="16.25" customWidth="1"/>
    <col min="16" max="16" width="16" customWidth="1"/>
    <col min="17" max="17" width="13.875" customWidth="1"/>
    <col min="18" max="18" width="16.875" customWidth="1"/>
    <col min="19" max="19" width="14.875" customWidth="1"/>
  </cols>
  <sheetData>
    <row r="1" spans="1:39" ht="23.25" customHeight="1" x14ac:dyDescent="0.2">
      <c r="A1" s="147" t="s">
        <v>512</v>
      </c>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4"/>
    </row>
    <row r="2" spans="1:39" ht="14.25" x14ac:dyDescent="0.2">
      <c r="A2" s="146" t="s">
        <v>513</v>
      </c>
      <c r="B2" s="146" t="s">
        <v>0</v>
      </c>
      <c r="C2" s="146" t="s">
        <v>514</v>
      </c>
      <c r="D2" s="146" t="s">
        <v>3</v>
      </c>
      <c r="E2" s="146" t="s">
        <v>515</v>
      </c>
      <c r="F2" s="146" t="s">
        <v>7</v>
      </c>
      <c r="G2" s="146" t="s">
        <v>516</v>
      </c>
      <c r="H2" s="146" t="s">
        <v>517</v>
      </c>
      <c r="I2" s="146" t="s">
        <v>17</v>
      </c>
      <c r="J2" s="146" t="s">
        <v>18</v>
      </c>
      <c r="K2" s="146" t="s">
        <v>518</v>
      </c>
      <c r="L2" s="146" t="s">
        <v>519</v>
      </c>
      <c r="M2" s="146" t="s">
        <v>520</v>
      </c>
      <c r="N2" s="146" t="s">
        <v>521</v>
      </c>
      <c r="O2" s="146" t="s">
        <v>522</v>
      </c>
      <c r="P2" s="146" t="s">
        <v>524</v>
      </c>
      <c r="Q2" s="146" t="s">
        <v>525</v>
      </c>
      <c r="R2" s="146" t="s">
        <v>526</v>
      </c>
      <c r="S2" s="146" t="s">
        <v>15</v>
      </c>
      <c r="T2" s="146" t="s">
        <v>527</v>
      </c>
      <c r="U2" s="146" t="s">
        <v>520</v>
      </c>
      <c r="V2" s="146" t="s">
        <v>521</v>
      </c>
      <c r="W2" s="146" t="s">
        <v>522</v>
      </c>
      <c r="X2" s="147" t="s">
        <v>531</v>
      </c>
      <c r="Y2" s="143"/>
      <c r="Z2" s="143"/>
      <c r="AA2" s="144"/>
      <c r="AB2" s="147" t="s">
        <v>532</v>
      </c>
      <c r="AC2" s="143"/>
      <c r="AD2" s="143"/>
      <c r="AE2" s="144"/>
      <c r="AF2" s="147" t="s">
        <v>533</v>
      </c>
      <c r="AG2" s="143"/>
      <c r="AH2" s="143"/>
      <c r="AI2" s="144"/>
      <c r="AJ2" s="147" t="s">
        <v>534</v>
      </c>
      <c r="AK2" s="143"/>
      <c r="AL2" s="143"/>
      <c r="AM2" s="144"/>
    </row>
    <row r="3" spans="1:39" ht="36" x14ac:dyDescent="0.2">
      <c r="A3" s="158"/>
      <c r="B3" s="158"/>
      <c r="C3" s="158"/>
      <c r="D3" s="158"/>
      <c r="E3" s="158"/>
      <c r="F3" s="158"/>
      <c r="G3" s="158"/>
      <c r="H3" s="158"/>
      <c r="I3" s="158"/>
      <c r="J3" s="158"/>
      <c r="K3" s="158"/>
      <c r="L3" s="158"/>
      <c r="M3" s="158"/>
      <c r="N3" s="158"/>
      <c r="O3" s="158"/>
      <c r="P3" s="158"/>
      <c r="Q3" s="158"/>
      <c r="R3" s="158"/>
      <c r="S3" s="158"/>
      <c r="T3" s="158"/>
      <c r="U3" s="158"/>
      <c r="V3" s="158"/>
      <c r="W3" s="158"/>
      <c r="X3" s="87" t="s">
        <v>535</v>
      </c>
      <c r="Y3" s="87" t="s">
        <v>536</v>
      </c>
      <c r="Z3" s="87" t="s">
        <v>521</v>
      </c>
      <c r="AA3" s="87" t="s">
        <v>522</v>
      </c>
      <c r="AB3" s="87" t="s">
        <v>535</v>
      </c>
      <c r="AC3" s="87" t="s">
        <v>536</v>
      </c>
      <c r="AD3" s="87" t="s">
        <v>521</v>
      </c>
      <c r="AE3" s="87" t="s">
        <v>522</v>
      </c>
      <c r="AF3" s="87" t="s">
        <v>535</v>
      </c>
      <c r="AG3" s="87" t="s">
        <v>536</v>
      </c>
      <c r="AH3" s="87" t="s">
        <v>521</v>
      </c>
      <c r="AI3" s="87" t="s">
        <v>522</v>
      </c>
      <c r="AJ3" s="87" t="s">
        <v>535</v>
      </c>
      <c r="AK3" s="87" t="s">
        <v>536</v>
      </c>
      <c r="AL3" s="87" t="s">
        <v>521</v>
      </c>
      <c r="AM3" s="87" t="s">
        <v>522</v>
      </c>
    </row>
    <row r="4" spans="1:39" ht="12.75" customHeight="1" x14ac:dyDescent="0.2">
      <c r="A4" s="91">
        <v>1</v>
      </c>
      <c r="B4" s="91">
        <v>2</v>
      </c>
      <c r="C4" s="91">
        <v>3</v>
      </c>
      <c r="D4" s="91">
        <v>4</v>
      </c>
      <c r="E4" s="91">
        <v>5</v>
      </c>
      <c r="F4" s="91">
        <v>6</v>
      </c>
      <c r="G4" s="91">
        <v>7</v>
      </c>
      <c r="H4" s="91">
        <v>8</v>
      </c>
      <c r="I4" s="91">
        <v>9</v>
      </c>
      <c r="J4" s="91">
        <v>10</v>
      </c>
      <c r="K4" s="91">
        <v>11</v>
      </c>
      <c r="L4" s="91">
        <v>12</v>
      </c>
      <c r="M4" s="91">
        <v>13</v>
      </c>
      <c r="N4" s="91">
        <v>14</v>
      </c>
      <c r="O4" s="91">
        <v>15</v>
      </c>
      <c r="P4" s="91">
        <v>16</v>
      </c>
      <c r="Q4" s="91">
        <v>17</v>
      </c>
      <c r="R4" s="91">
        <v>18</v>
      </c>
      <c r="S4" s="91">
        <v>19</v>
      </c>
      <c r="T4" s="91">
        <v>20</v>
      </c>
      <c r="U4" s="91">
        <v>21</v>
      </c>
      <c r="V4" s="91">
        <v>22</v>
      </c>
      <c r="W4" s="91">
        <v>23</v>
      </c>
      <c r="X4" s="92">
        <v>24</v>
      </c>
      <c r="Y4" s="92">
        <v>25</v>
      </c>
      <c r="Z4" s="92">
        <v>26</v>
      </c>
      <c r="AA4" s="92">
        <v>27</v>
      </c>
      <c r="AB4" s="92">
        <v>28</v>
      </c>
      <c r="AC4" s="92">
        <v>29</v>
      </c>
      <c r="AD4" s="92">
        <v>30</v>
      </c>
      <c r="AE4" s="92">
        <v>31</v>
      </c>
      <c r="AF4" s="92">
        <v>32</v>
      </c>
      <c r="AG4" s="92">
        <v>33</v>
      </c>
      <c r="AH4" s="92">
        <v>34</v>
      </c>
      <c r="AI4" s="92">
        <v>35</v>
      </c>
      <c r="AJ4" s="92">
        <v>36</v>
      </c>
      <c r="AK4" s="92">
        <v>37</v>
      </c>
      <c r="AL4" s="92">
        <v>38</v>
      </c>
      <c r="AM4" s="92">
        <v>40</v>
      </c>
    </row>
    <row r="5" spans="1:39" ht="84" x14ac:dyDescent="0.2">
      <c r="A5" s="67"/>
      <c r="B5" s="100"/>
      <c r="C5" s="20" t="str">
        <f ca="1">IFERROR(__xludf.DUMMYFUNCTION("IMPORTRANGE(""https://docs.google.com/spreadsheets/d/1ZpB0joDVH_P6wgS1qdxv2Cg30eSt21FXcCJZMPEFRM4/edit#gid=125194777&amp;range=C5:E465"", ""'ГП'!C5:E465"")"),"Мероприятие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 s="20" t="str">
        <f ca="1">IFERROR(__xludf.DUMMYFUNCTION("""COMPUTED_VALUE"""),"МинЖКХ")</f>
        <v>МинЖКХ</v>
      </c>
      <c r="E5" s="20" t="str">
        <f ca="1">IFERROR(__xludf.DUMMYFUNCTION("""COMPUTED_VALUE"""),"Реконструкция ВЗУ №4 с установкой станции водоподготовки , г. Фрязино,  Окружной проезд, дом 2, стр. 1                                     ")</f>
        <v xml:space="preserve">Реконструкция ВЗУ №4 с установкой станции водоподготовки , г. Фрязино,  Окружной проезд, дом 2, стр. 1                                     </v>
      </c>
      <c r="F5" s="67" t="str">
        <f ca="1">IFERROR(__xludf.DUMMYFUNCTION("IMPORTRANGE(""https://docs.google.com/spreadsheets/d/1ZpB0joDVH_P6wgS1qdxv2Cg30eSt21FXcCJZMPEFRM4/edit#gid=125194777&amp;range=G5:G465"", ""'ГП'!G5:G465"")"),"2020-2021")</f>
        <v>2020-2021</v>
      </c>
      <c r="G5" s="67" t="str">
        <f ca="1">IFERROR(__xludf.DUMMYFUNCTION("IMPORTRANGE(""https://docs.google.com/spreadsheets/d/1ZpB0joDVH_P6wgS1qdxv2Cg30eSt21FXcCJZMPEFRM4/edit#gid=125194777&amp;range=B5:B465"", ""'ГП'!B5:B465"")"),"г.о. Фрязино")</f>
        <v>г.о. Фрязино</v>
      </c>
      <c r="H5" s="67" t="str">
        <f ca="1">IFERROR(__xludf.DUMMYFUNCTION("IMPORTRANGE(""https://docs.google.com/spreadsheets/d/1ZpB0joDVH_P6wgS1qdxv2Cg30eSt21FXcCJZMPEFRM4/edit#gid=125194777&amp;range=F5:F465"", ""'ГП'!F5:F465"")"),"ВЗУ")</f>
        <v>ВЗУ</v>
      </c>
      <c r="I5" s="97">
        <f ca="1">IFERROR(__xludf.DUMMYFUNCTION("IMPORTRANGE(""https://docs.google.com/spreadsheets/d/1ZpB0joDVH_P6wgS1qdxv2Cg30eSt21FXcCJZMPEFRM4/edit#gid=125194777&amp;range=P5:Q465"", ""'ГП'!P5:Q465"")"),28582.41)</f>
        <v>28582.41</v>
      </c>
      <c r="J5" s="67"/>
      <c r="K5" s="97">
        <f ca="1">IFERROR(__xludf.DUMMYFUNCTION("IMPORTRANGE(""https://docs.google.com/spreadsheets/d/1ZpB0joDVH_P6wgS1qdxv2Cg30eSt21FXcCJZMPEFRM4/edit#gid=125194777&amp;range=AJ5:AJ465"", ""'ГП'!AJ5:AJ465"")"),2176.33)</f>
        <v>2176.33</v>
      </c>
      <c r="L5" s="97">
        <f ca="1">IFERROR(__xludf.DUMMYFUNCTION("IMPORTRANGE(""https://docs.google.com/spreadsheets/d/1ZpB0joDVH_P6wgS1qdxv2Cg30eSt21FXcCJZMPEFRM4/edit#gid=125194777&amp;range=AL5:AL465"", ""'ГП'!AL5:AL465"")"),0)</f>
        <v>0</v>
      </c>
      <c r="M5" s="97">
        <f ca="1">IFERROR(__xludf.DUMMYFUNCTION("IMPORTRANGE(""https://docs.google.com/spreadsheets/d/1ZpB0joDVH_P6wgS1qdxv2Cg30eSt21FXcCJZMPEFRM4/edit#gid=125194777&amp;range=AK5:AK465"", ""'ГП'!AK5:AK465"")"),0)</f>
        <v>0</v>
      </c>
      <c r="N5" s="67" t="str">
        <f ca="1">IFERROR(__xludf.DUMMYFUNCTION("IMPORTRANGE(""https://docs.google.com/spreadsheets/d/1ZpB0joDVH_P6wgS1qdxv2Cg30eSt21FXcCJZMPEFRM4/edit#gid=125194777&amp;range=AM5:AM465"", ""'ГП'!AM5:AM465"")"),"")</f>
        <v/>
      </c>
      <c r="O5" s="67" t="str">
        <f ca="1">IFERROR(__xludf.DUMMYFUNCTION("IMPORTRANGE(""https://docs.google.com/spreadsheets/d/1ZpB0joDVH_P6wgS1qdxv2Cg30eSt21FXcCJZMPEFRM4/edit#gid=125194777&amp;range=AN5:AN465"", ""'ГП'!AN5:AN465"")"),"")</f>
        <v/>
      </c>
      <c r="P5" s="67" t="str">
        <f ca="1">IFERROR(__xludf.DUMMYFUNCTION("IMPORTRANGE(""https://docs.google.com/spreadsheets/d/1ZpB0joDVH_P6wgS1qdxv2Cg30eSt21FXcCJZMPEFRM4/edit#gid=125194777&amp;range=H5:H465"", ""'ГП'!H5:H465"")"),"СМР")</f>
        <v>СМР</v>
      </c>
      <c r="Q5" s="67" t="e">
        <f t="shared" ref="Q5:Q465" ca="1" si="0">R5/K5</f>
        <v>#VALUE!</v>
      </c>
      <c r="R5" s="67" t="str">
        <f ca="1">IFERROR(__xludf.DUMMYFUNCTION("IMPORTRANGE(""https://docs.google.com/spreadsheets/d/1ZpB0joDVH_P6wgS1qdxv2Cg30eSt21FXcCJZMPEFRM4/edit#gid=125194777&amp;range=M5:M465"", ""'ГП'!M5:M465"")"),"")</f>
        <v/>
      </c>
      <c r="S5" s="97">
        <f ca="1">IFERROR(__xludf.DUMMYFUNCTION("IMPORTRANGE(""https://docs.google.com/spreadsheets/d/1ZpB0joDVH_P6wgS1qdxv2Cg30eSt21FXcCJZMPEFRM4/edit#gid=125194777&amp;range=O5:O465"", ""'ГП'!O5:O465"")"),85747.21)</f>
        <v>85747.21</v>
      </c>
      <c r="T5" s="67"/>
      <c r="U5" s="67"/>
      <c r="V5" s="67"/>
      <c r="W5" s="67"/>
      <c r="X5" s="67"/>
      <c r="Y5" s="67"/>
      <c r="Z5" s="67"/>
      <c r="AA5" s="67"/>
      <c r="AB5" s="67"/>
      <c r="AC5" s="67"/>
      <c r="AD5" s="67"/>
      <c r="AE5" s="67"/>
      <c r="AF5" s="67"/>
      <c r="AG5" s="67"/>
      <c r="AH5" s="67"/>
      <c r="AI5" s="67"/>
      <c r="AJ5" s="67"/>
      <c r="AK5" s="67"/>
      <c r="AL5" s="67"/>
      <c r="AM5" s="67"/>
    </row>
    <row r="6" spans="1:39" ht="84" x14ac:dyDescent="0.2">
      <c r="A6" s="67"/>
      <c r="B6" s="96"/>
      <c r="C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 s="20" t="str">
        <f ca="1">IFERROR(__xludf.DUMMYFUNCTION("""COMPUTED_VALUE"""),"МинЖКХ")</f>
        <v>МинЖКХ</v>
      </c>
      <c r="E6" s="20" t="str">
        <f ca="1">IFERROR(__xludf.DUMMYFUNCTION("""COMPUTED_VALUE"""),"Реконструкция ВЗУ №5 с установкой станции водоподготовки по адресу: Московская область, г. Фрязино, площадь Введенского, д. 1, стр. 1")</f>
        <v>Реконструкция ВЗУ №5 с установкой станции водоподготовки по адресу: Московская область, г. Фрязино, площадь Введенского, д. 1, стр. 1</v>
      </c>
      <c r="F6" s="67" t="str">
        <f ca="1">IFERROR(__xludf.DUMMYFUNCTION("""COMPUTED_VALUE"""),"2020-2021")</f>
        <v>2020-2021</v>
      </c>
      <c r="G6" s="67" t="str">
        <f ca="1">IFERROR(__xludf.DUMMYFUNCTION("""COMPUTED_VALUE"""),"г.о. Фрязино")</f>
        <v>г.о. Фрязино</v>
      </c>
      <c r="H6" s="67" t="str">
        <f ca="1">IFERROR(__xludf.DUMMYFUNCTION("""COMPUTED_VALUE"""),"ВЗУ")</f>
        <v>ВЗУ</v>
      </c>
      <c r="I6" s="97">
        <f ca="1">IFERROR(__xludf.DUMMYFUNCTION("""COMPUTED_VALUE"""),10153.7)</f>
        <v>10153.700000000001</v>
      </c>
      <c r="J6" s="67"/>
      <c r="K6" s="97">
        <f ca="1">IFERROR(__xludf.DUMMYFUNCTION("""COMPUTED_VALUE"""),1474.51)</f>
        <v>1474.51</v>
      </c>
      <c r="L6" s="97">
        <f ca="1">IFERROR(__xludf.DUMMYFUNCTION("""COMPUTED_VALUE"""),0)</f>
        <v>0</v>
      </c>
      <c r="M6" s="97">
        <f ca="1">IFERROR(__xludf.DUMMYFUNCTION("""COMPUTED_VALUE"""),0)</f>
        <v>0</v>
      </c>
      <c r="N6" s="67"/>
      <c r="O6" s="67"/>
      <c r="P6" s="67" t="str">
        <f ca="1">IFERROR(__xludf.DUMMYFUNCTION("""COMPUTED_VALUE"""),"СМР")</f>
        <v>СМР</v>
      </c>
      <c r="Q6" s="67">
        <f t="shared" ca="1" si="0"/>
        <v>0</v>
      </c>
      <c r="R6" s="67"/>
      <c r="S6" s="97">
        <f ca="1">IFERROR(__xludf.DUMMYFUNCTION("""COMPUTED_VALUE"""),30461.08)</f>
        <v>30461.08</v>
      </c>
      <c r="T6" s="67"/>
      <c r="U6" s="67"/>
      <c r="V6" s="67"/>
      <c r="W6" s="67"/>
      <c r="X6" s="67"/>
      <c r="Y6" s="67"/>
      <c r="Z6" s="67"/>
      <c r="AA6" s="67"/>
      <c r="AB6" s="67"/>
      <c r="AC6" s="67"/>
      <c r="AD6" s="67"/>
      <c r="AE6" s="67"/>
      <c r="AF6" s="67"/>
      <c r="AG6" s="67"/>
      <c r="AH6" s="67"/>
      <c r="AI6" s="67"/>
      <c r="AJ6" s="67"/>
      <c r="AK6" s="67"/>
      <c r="AL6" s="67"/>
      <c r="AM6" s="67"/>
    </row>
    <row r="7" spans="1:39" ht="84" hidden="1" x14ac:dyDescent="0.2">
      <c r="A7" s="67"/>
      <c r="B7" s="96"/>
      <c r="C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 s="20" t="str">
        <f ca="1">IFERROR(__xludf.DUMMYFUNCTION("""COMPUTED_VALUE"""),"МинЖКХ")</f>
        <v>МинЖКХ</v>
      </c>
      <c r="E7" s="20"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f>
        <v>Реконструкция ВЗУ Степанщино Воскресенский м.р., с устройством РЧВ 500 м. куб. и установкой станции обезжелезования; бурение доп. артскважин</v>
      </c>
      <c r="F7" s="67" t="str">
        <f ca="1">IFERROR(__xludf.DUMMYFUNCTION("""COMPUTED_VALUE"""),"2022-2023")</f>
        <v>2022-2023</v>
      </c>
      <c r="G7" s="67" t="str">
        <f ca="1">IFERROR(__xludf.DUMMYFUNCTION("""COMPUTED_VALUE""")," г.о. Воскресенск")</f>
        <v xml:space="preserve"> г.о. Воскресенск</v>
      </c>
      <c r="H7" s="67" t="str">
        <f ca="1">IFERROR(__xludf.DUMMYFUNCTION("""COMPUTED_VALUE"""),"ВЗУ")</f>
        <v>ВЗУ</v>
      </c>
      <c r="I7" s="67"/>
      <c r="J7" s="67"/>
      <c r="K7" s="97">
        <f ca="1">IFERROR(__xludf.DUMMYFUNCTION("""COMPUTED_VALUE"""),6267.59)</f>
        <v>6267.59</v>
      </c>
      <c r="L7" s="97">
        <f ca="1">IFERROR(__xludf.DUMMYFUNCTION("""COMPUTED_VALUE"""),0)</f>
        <v>0</v>
      </c>
      <c r="M7" s="97">
        <f ca="1">IFERROR(__xludf.DUMMYFUNCTION("""COMPUTED_VALUE"""),0)</f>
        <v>0</v>
      </c>
      <c r="N7" s="67"/>
      <c r="O7" s="67"/>
      <c r="P7" s="67" t="str">
        <f ca="1">IFERROR(__xludf.DUMMYFUNCTION("""COMPUTED_VALUE"""),"СМР")</f>
        <v>СМР</v>
      </c>
      <c r="Q7" s="67">
        <f t="shared" ca="1" si="0"/>
        <v>0</v>
      </c>
      <c r="R7" s="67"/>
      <c r="S7" s="67"/>
      <c r="T7" s="67"/>
      <c r="U7" s="67"/>
      <c r="V7" s="67"/>
      <c r="W7" s="67"/>
      <c r="X7" s="67"/>
      <c r="Y7" s="67"/>
      <c r="Z7" s="67"/>
      <c r="AA7" s="67"/>
      <c r="AB7" s="67"/>
      <c r="AC7" s="67"/>
      <c r="AD7" s="67"/>
      <c r="AE7" s="67"/>
      <c r="AF7" s="67"/>
      <c r="AG7" s="67"/>
      <c r="AH7" s="67"/>
      <c r="AI7" s="67"/>
      <c r="AJ7" s="67"/>
      <c r="AK7" s="67"/>
      <c r="AL7" s="67"/>
      <c r="AM7" s="67"/>
    </row>
    <row r="8" spans="1:39" ht="84" hidden="1" x14ac:dyDescent="0.2">
      <c r="A8" s="67"/>
      <c r="B8" s="96"/>
      <c r="C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 s="20" t="str">
        <f ca="1">IFERROR(__xludf.DUMMYFUNCTION("""COMPUTED_VALUE"""),"МинЖКХ")</f>
        <v>МинЖКХ</v>
      </c>
      <c r="E8" s="20" t="str">
        <f ca="1">IFERROR(__xludf.DUMMYFUNCTION("""COMPUTED_VALUE"""),"Реконструкция ВЗУ в пгт.Новый, г.о. Егорьевск")</f>
        <v>Реконструкция ВЗУ в пгт.Новый, г.о. Егорьевск</v>
      </c>
      <c r="F8" s="67">
        <f ca="1">IFERROR(__xludf.DUMMYFUNCTION("""COMPUTED_VALUE"""),2023)</f>
        <v>2023</v>
      </c>
      <c r="G8" s="67" t="str">
        <f ca="1">IFERROR(__xludf.DUMMYFUNCTION("""COMPUTED_VALUE"""),"г.о. Егорьевск ")</f>
        <v xml:space="preserve">г.о. Егорьевск </v>
      </c>
      <c r="H8" s="67" t="str">
        <f ca="1">IFERROR(__xludf.DUMMYFUNCTION("""COMPUTED_VALUE"""),"ВЗУ")</f>
        <v>ВЗУ</v>
      </c>
      <c r="I8" s="67"/>
      <c r="J8" s="67"/>
      <c r="K8" s="97">
        <f ca="1">IFERROR(__xludf.DUMMYFUNCTION("""COMPUTED_VALUE"""),1660)</f>
        <v>1660</v>
      </c>
      <c r="L8" s="97">
        <f ca="1">IFERROR(__xludf.DUMMYFUNCTION("""COMPUTED_VALUE"""),0)</f>
        <v>0</v>
      </c>
      <c r="M8" s="97">
        <f ca="1">IFERROR(__xludf.DUMMYFUNCTION("""COMPUTED_VALUE"""),0)</f>
        <v>0</v>
      </c>
      <c r="N8" s="67"/>
      <c r="O8" s="67"/>
      <c r="P8" s="67" t="str">
        <f ca="1">IFERROR(__xludf.DUMMYFUNCTION("""COMPUTED_VALUE"""),"СМР")</f>
        <v>СМР</v>
      </c>
      <c r="Q8" s="67">
        <f t="shared" ca="1" si="0"/>
        <v>0</v>
      </c>
      <c r="R8" s="67"/>
      <c r="S8" s="67"/>
      <c r="T8" s="67"/>
      <c r="U8" s="67"/>
      <c r="V8" s="67"/>
      <c r="W8" s="67"/>
      <c r="X8" s="67"/>
      <c r="Y8" s="67"/>
      <c r="Z8" s="67"/>
      <c r="AA8" s="67"/>
      <c r="AB8" s="67"/>
      <c r="AC8" s="67"/>
      <c r="AD8" s="67"/>
      <c r="AE8" s="67"/>
      <c r="AF8" s="67"/>
      <c r="AG8" s="67"/>
      <c r="AH8" s="67"/>
      <c r="AI8" s="67"/>
      <c r="AJ8" s="67"/>
      <c r="AK8" s="67"/>
      <c r="AL8" s="67"/>
      <c r="AM8" s="67"/>
    </row>
    <row r="9" spans="1:39" ht="84" hidden="1" x14ac:dyDescent="0.2">
      <c r="A9" s="67"/>
      <c r="B9" s="96"/>
      <c r="C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9" s="20" t="str">
        <f ca="1">IFERROR(__xludf.DUMMYFUNCTION("""COMPUTED_VALUE"""),"МинЖКХ")</f>
        <v>МинЖКХ</v>
      </c>
      <c r="E9" s="20" t="str">
        <f ca="1">IFERROR(__xludf.DUMMYFUNCTION("""COMPUTED_VALUE"""),"Реконструкция ВЗУ Звездочка скважина №2 д Мотяково, д. б/н г.о. Люберцы")</f>
        <v>Реконструкция ВЗУ Звездочка скважина №2 д Мотяково, д. б/н г.о. Люберцы</v>
      </c>
      <c r="F9" s="67">
        <f ca="1">IFERROR(__xludf.DUMMYFUNCTION("""COMPUTED_VALUE"""),2021)</f>
        <v>2021</v>
      </c>
      <c r="G9" s="67" t="str">
        <f ca="1">IFERROR(__xludf.DUMMYFUNCTION("""COMPUTED_VALUE"""),"г.о. Люберцы")</f>
        <v>г.о. Люберцы</v>
      </c>
      <c r="H9" s="67" t="str">
        <f ca="1">IFERROR(__xludf.DUMMYFUNCTION("""COMPUTED_VALUE"""),"ВЗУ")</f>
        <v>ВЗУ</v>
      </c>
      <c r="I9" s="67"/>
      <c r="J9" s="67"/>
      <c r="K9" s="97">
        <f ca="1">IFERROR(__xludf.DUMMYFUNCTION("""COMPUTED_VALUE"""),52769.74)</f>
        <v>52769.74</v>
      </c>
      <c r="L9" s="97">
        <f ca="1">IFERROR(__xludf.DUMMYFUNCTION("""COMPUTED_VALUE"""),0)</f>
        <v>0</v>
      </c>
      <c r="M9" s="97">
        <f ca="1">IFERROR(__xludf.DUMMYFUNCTION("""COMPUTED_VALUE"""),0)</f>
        <v>0</v>
      </c>
      <c r="N9" s="67"/>
      <c r="O9" s="67"/>
      <c r="P9" s="67" t="str">
        <f ca="1">IFERROR(__xludf.DUMMYFUNCTION("""COMPUTED_VALUE"""),"СМР")</f>
        <v>СМР</v>
      </c>
      <c r="Q9" s="67">
        <f t="shared" ca="1" si="0"/>
        <v>0</v>
      </c>
      <c r="R9" s="67"/>
      <c r="S9" s="67"/>
      <c r="T9" s="67"/>
      <c r="U9" s="67"/>
      <c r="V9" s="67"/>
      <c r="W9" s="67"/>
      <c r="X9" s="67"/>
      <c r="Y9" s="67"/>
      <c r="Z9" s="67"/>
      <c r="AA9" s="67"/>
      <c r="AB9" s="67"/>
      <c r="AC9" s="67"/>
      <c r="AD9" s="67"/>
      <c r="AE9" s="67"/>
      <c r="AF9" s="67"/>
      <c r="AG9" s="67"/>
      <c r="AH9" s="67"/>
      <c r="AI9" s="67"/>
      <c r="AJ9" s="67"/>
      <c r="AK9" s="67"/>
      <c r="AL9" s="67"/>
      <c r="AM9" s="67"/>
    </row>
    <row r="10" spans="1:39" ht="84" hidden="1" x14ac:dyDescent="0.2">
      <c r="A10" s="67"/>
      <c r="B10" s="96"/>
      <c r="C1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0" s="20" t="str">
        <f ca="1">IFERROR(__xludf.DUMMYFUNCTION("""COMPUTED_VALUE"""),"МинЖКХ")</f>
        <v>МинЖКХ</v>
      </c>
      <c r="E10" s="20" t="str">
        <f ca="1">IFERROR(__xludf.DUMMYFUNCTION("""COMPUTED_VALUE"""),"Реконструкция ВЗУ №21 д.п. Красково г.о. Люберцы")</f>
        <v>Реконструкция ВЗУ №21 д.п. Красково г.о. Люберцы</v>
      </c>
      <c r="F10" s="67" t="str">
        <f ca="1">IFERROR(__xludf.DUMMYFUNCTION("""COMPUTED_VALUE"""),"2021-2023")</f>
        <v>2021-2023</v>
      </c>
      <c r="G10" s="67" t="str">
        <f ca="1">IFERROR(__xludf.DUMMYFUNCTION("""COMPUTED_VALUE"""),"г.о. Люберцы")</f>
        <v>г.о. Люберцы</v>
      </c>
      <c r="H10" s="67" t="str">
        <f ca="1">IFERROR(__xludf.DUMMYFUNCTION("""COMPUTED_VALUE"""),"ВЗУ")</f>
        <v>ВЗУ</v>
      </c>
      <c r="I10" s="67"/>
      <c r="J10" s="67"/>
      <c r="K10" s="97">
        <f ca="1">IFERROR(__xludf.DUMMYFUNCTION("""COMPUTED_VALUE"""),32181.56)</f>
        <v>32181.56</v>
      </c>
      <c r="L10" s="97">
        <f ca="1">IFERROR(__xludf.DUMMYFUNCTION("""COMPUTED_VALUE"""),0)</f>
        <v>0</v>
      </c>
      <c r="M10" s="97">
        <f ca="1">IFERROR(__xludf.DUMMYFUNCTION("""COMPUTED_VALUE"""),0)</f>
        <v>0</v>
      </c>
      <c r="N10" s="67"/>
      <c r="O10" s="67"/>
      <c r="P10" s="67" t="str">
        <f ca="1">IFERROR(__xludf.DUMMYFUNCTION("""COMPUTED_VALUE"""),"СМР")</f>
        <v>СМР</v>
      </c>
      <c r="Q10" s="67">
        <f t="shared" ca="1" si="0"/>
        <v>0</v>
      </c>
      <c r="R10" s="67"/>
      <c r="S10" s="67"/>
      <c r="T10" s="67"/>
      <c r="U10" s="67"/>
      <c r="V10" s="67"/>
      <c r="W10" s="67"/>
      <c r="X10" s="67"/>
      <c r="Y10" s="67"/>
      <c r="Z10" s="67"/>
      <c r="AA10" s="67"/>
      <c r="AB10" s="67"/>
      <c r="AC10" s="67"/>
      <c r="AD10" s="67"/>
      <c r="AE10" s="67"/>
      <c r="AF10" s="67"/>
      <c r="AG10" s="67"/>
      <c r="AH10" s="67"/>
      <c r="AI10" s="67"/>
      <c r="AJ10" s="67"/>
      <c r="AK10" s="67"/>
      <c r="AL10" s="67"/>
      <c r="AM10" s="67"/>
    </row>
    <row r="11" spans="1:39" ht="84" hidden="1" x14ac:dyDescent="0.2">
      <c r="A11" s="67"/>
      <c r="B11" s="96"/>
      <c r="C1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1" s="20" t="str">
        <f ca="1">IFERROR(__xludf.DUMMYFUNCTION("""COMPUTED_VALUE"""),"МинЖКХ")</f>
        <v>МинЖКХ</v>
      </c>
      <c r="E11" s="20" t="str">
        <f ca="1">IFERROR(__xludf.DUMMYFUNCTION("""COMPUTED_VALUE"""),"Реконструкция ВЗУ №11 г.п.Малаховка г.о. Люберцы")</f>
        <v>Реконструкция ВЗУ №11 г.п.Малаховка г.о. Люберцы</v>
      </c>
      <c r="F11" s="67" t="str">
        <f ca="1">IFERROR(__xludf.DUMMYFUNCTION("""COMPUTED_VALUE"""),"Н/Л")</f>
        <v>Н/Л</v>
      </c>
      <c r="G11" s="67" t="str">
        <f ca="1">IFERROR(__xludf.DUMMYFUNCTION("""COMPUTED_VALUE"""),"г.о. Люберцы")</f>
        <v>г.о. Люберцы</v>
      </c>
      <c r="H11" s="67" t="str">
        <f ca="1">IFERROR(__xludf.DUMMYFUNCTION("""COMPUTED_VALUE"""),"ВЗУ")</f>
        <v>ВЗУ</v>
      </c>
      <c r="I11" s="67"/>
      <c r="J11" s="67"/>
      <c r="K11" s="97">
        <f ca="1">IFERROR(__xludf.DUMMYFUNCTION("""COMPUTED_VALUE"""),0)</f>
        <v>0</v>
      </c>
      <c r="L11" s="97">
        <f ca="1">IFERROR(__xludf.DUMMYFUNCTION("""COMPUTED_VALUE"""),0)</f>
        <v>0</v>
      </c>
      <c r="M11" s="97">
        <f ca="1">IFERROR(__xludf.DUMMYFUNCTION("""COMPUTED_VALUE"""),0)</f>
        <v>0</v>
      </c>
      <c r="N11" s="67"/>
      <c r="O11" s="67"/>
      <c r="P11" s="67"/>
      <c r="Q11" s="67" t="e">
        <f t="shared" ca="1" si="0"/>
        <v>#DIV/0!</v>
      </c>
      <c r="R11" s="67"/>
      <c r="S11" s="67"/>
      <c r="T11" s="67"/>
      <c r="U11" s="67"/>
      <c r="V11" s="67"/>
      <c r="W11" s="67"/>
      <c r="X11" s="67"/>
      <c r="Y11" s="67"/>
      <c r="Z11" s="67"/>
      <c r="AA11" s="67"/>
      <c r="AB11" s="67"/>
      <c r="AC11" s="67"/>
      <c r="AD11" s="67"/>
      <c r="AE11" s="67"/>
      <c r="AF11" s="67"/>
      <c r="AG11" s="67"/>
      <c r="AH11" s="67"/>
      <c r="AI11" s="67"/>
      <c r="AJ11" s="67"/>
      <c r="AK11" s="67"/>
      <c r="AL11" s="67"/>
      <c r="AM11" s="67"/>
    </row>
    <row r="12" spans="1:39" ht="84" hidden="1" x14ac:dyDescent="0.2">
      <c r="A12" s="67"/>
      <c r="B12" s="96"/>
      <c r="C1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2" s="20" t="str">
        <f ca="1">IFERROR(__xludf.DUMMYFUNCTION("""COMPUTED_VALUE"""),"МинЖКХ")</f>
        <v>МинЖКХ</v>
      </c>
      <c r="E12" s="20" t="str">
        <f ca="1">IFERROR(__xludf.DUMMYFUNCTION("""COMPUTED_VALUE"""),"Реконструкция ВЗУ №5  г.о. Люберцы")</f>
        <v>Реконструкция ВЗУ №5  г.о. Люберцы</v>
      </c>
      <c r="F12" s="67" t="str">
        <f ca="1">IFERROR(__xludf.DUMMYFUNCTION("""COMPUTED_VALUE"""),"Н/Л")</f>
        <v>Н/Л</v>
      </c>
      <c r="G12" s="67" t="str">
        <f ca="1">IFERROR(__xludf.DUMMYFUNCTION("""COMPUTED_VALUE"""),"г.о. Люберцы")</f>
        <v>г.о. Люберцы</v>
      </c>
      <c r="H12" s="67" t="str">
        <f ca="1">IFERROR(__xludf.DUMMYFUNCTION("""COMPUTED_VALUE"""),"ВЗУ")</f>
        <v>ВЗУ</v>
      </c>
      <c r="I12" s="67"/>
      <c r="J12" s="67"/>
      <c r="K12" s="97">
        <f ca="1">IFERROR(__xludf.DUMMYFUNCTION("""COMPUTED_VALUE"""),0)</f>
        <v>0</v>
      </c>
      <c r="L12" s="97">
        <f ca="1">IFERROR(__xludf.DUMMYFUNCTION("""COMPUTED_VALUE"""),0)</f>
        <v>0</v>
      </c>
      <c r="M12" s="97">
        <f ca="1">IFERROR(__xludf.DUMMYFUNCTION("""COMPUTED_VALUE"""),0)</f>
        <v>0</v>
      </c>
      <c r="N12" s="67"/>
      <c r="O12" s="67"/>
      <c r="P12" s="67"/>
      <c r="Q12" s="67" t="e">
        <f t="shared" ca="1" si="0"/>
        <v>#DIV/0!</v>
      </c>
      <c r="R12" s="67"/>
      <c r="S12" s="67"/>
      <c r="T12" s="67"/>
      <c r="U12" s="67"/>
      <c r="V12" s="67"/>
      <c r="W12" s="67"/>
      <c r="X12" s="67"/>
      <c r="Y12" s="67"/>
      <c r="Z12" s="67"/>
      <c r="AA12" s="67"/>
      <c r="AB12" s="67"/>
      <c r="AC12" s="67"/>
      <c r="AD12" s="67"/>
      <c r="AE12" s="67"/>
      <c r="AF12" s="67"/>
      <c r="AG12" s="67"/>
      <c r="AH12" s="67"/>
      <c r="AI12" s="67"/>
      <c r="AJ12" s="67"/>
      <c r="AK12" s="67"/>
      <c r="AL12" s="67"/>
      <c r="AM12" s="67"/>
    </row>
    <row r="13" spans="1:39" ht="84" hidden="1" x14ac:dyDescent="0.2">
      <c r="A13" s="67"/>
      <c r="B13" s="96"/>
      <c r="C1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3" s="20" t="str">
        <f ca="1">IFERROR(__xludf.DUMMYFUNCTION("""COMPUTED_VALUE"""),"МинЖКХ")</f>
        <v>МинЖКХ</v>
      </c>
      <c r="E13" s="20" t="str">
        <f ca="1">IFERROR(__xludf.DUMMYFUNCTION("""COMPUTED_VALUE"""),"Реконструкция ВЗУ№20-Томилино  г.о. Люберцы")</f>
        <v>Реконструкция ВЗУ№20-Томилино  г.о. Люберцы</v>
      </c>
      <c r="F13" s="67">
        <f ca="1">IFERROR(__xludf.DUMMYFUNCTION("""COMPUTED_VALUE"""),2022)</f>
        <v>2022</v>
      </c>
      <c r="G13" s="67" t="str">
        <f ca="1">IFERROR(__xludf.DUMMYFUNCTION("""COMPUTED_VALUE"""),"г.о. Люберцы")</f>
        <v>г.о. Люберцы</v>
      </c>
      <c r="H13" s="67" t="str">
        <f ca="1">IFERROR(__xludf.DUMMYFUNCTION("""COMPUTED_VALUE"""),"ВЗУ")</f>
        <v>ВЗУ</v>
      </c>
      <c r="I13" s="67"/>
      <c r="J13" s="67"/>
      <c r="K13" s="97">
        <f ca="1">IFERROR(__xludf.DUMMYFUNCTION("""COMPUTED_VALUE"""),11778.2)</f>
        <v>11778.2</v>
      </c>
      <c r="L13" s="97">
        <f ca="1">IFERROR(__xludf.DUMMYFUNCTION("""COMPUTED_VALUE"""),0)</f>
        <v>0</v>
      </c>
      <c r="M13" s="97">
        <f ca="1">IFERROR(__xludf.DUMMYFUNCTION("""COMPUTED_VALUE"""),0)</f>
        <v>0</v>
      </c>
      <c r="N13" s="67"/>
      <c r="O13" s="67"/>
      <c r="P13" s="67" t="str">
        <f ca="1">IFERROR(__xludf.DUMMYFUNCTION("""COMPUTED_VALUE"""),"СМР")</f>
        <v>СМР</v>
      </c>
      <c r="Q13" s="67">
        <f t="shared" ca="1" si="0"/>
        <v>0</v>
      </c>
      <c r="R13" s="67"/>
      <c r="S13" s="67"/>
      <c r="T13" s="67"/>
      <c r="U13" s="67"/>
      <c r="V13" s="67"/>
      <c r="W13" s="67"/>
      <c r="X13" s="67"/>
      <c r="Y13" s="67"/>
      <c r="Z13" s="67"/>
      <c r="AA13" s="67"/>
      <c r="AB13" s="67"/>
      <c r="AC13" s="67"/>
      <c r="AD13" s="67"/>
      <c r="AE13" s="67"/>
      <c r="AF13" s="67"/>
      <c r="AG13" s="67"/>
      <c r="AH13" s="67"/>
      <c r="AI13" s="67"/>
      <c r="AJ13" s="67"/>
      <c r="AK13" s="67"/>
      <c r="AL13" s="67"/>
      <c r="AM13" s="67"/>
    </row>
    <row r="14" spans="1:39" ht="84" hidden="1" x14ac:dyDescent="0.2">
      <c r="A14" s="67"/>
      <c r="B14" s="100"/>
      <c r="C1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4" s="20" t="str">
        <f ca="1">IFERROR(__xludf.DUMMYFUNCTION("""COMPUTED_VALUE"""),"МинЖКХ")</f>
        <v>МинЖКХ</v>
      </c>
      <c r="E14" s="20" t="str">
        <f ca="1">IFERROR(__xludf.DUMMYFUNCTION("""COMPUTED_VALUE"""),"Реконструкция ВЗУ-Птицефабрика  г.о. Люберцы")</f>
        <v>Реконструкция ВЗУ-Птицефабрика  г.о. Люберцы</v>
      </c>
      <c r="F14" s="67">
        <f ca="1">IFERROR(__xludf.DUMMYFUNCTION("""COMPUTED_VALUE"""),2022)</f>
        <v>2022</v>
      </c>
      <c r="G14" s="67" t="str">
        <f ca="1">IFERROR(__xludf.DUMMYFUNCTION("""COMPUTED_VALUE"""),"г.о. Люберцы")</f>
        <v>г.о. Люберцы</v>
      </c>
      <c r="H14" s="67" t="str">
        <f ca="1">IFERROR(__xludf.DUMMYFUNCTION("""COMPUTED_VALUE"""),"ВЗУ")</f>
        <v>ВЗУ</v>
      </c>
      <c r="I14" s="67"/>
      <c r="J14" s="67"/>
      <c r="K14" s="97">
        <f ca="1">IFERROR(__xludf.DUMMYFUNCTION("""COMPUTED_VALUE"""),18866.6)</f>
        <v>18866.599999999999</v>
      </c>
      <c r="L14" s="97">
        <f ca="1">IFERROR(__xludf.DUMMYFUNCTION("""COMPUTED_VALUE"""),0)</f>
        <v>0</v>
      </c>
      <c r="M14" s="97">
        <f ca="1">IFERROR(__xludf.DUMMYFUNCTION("""COMPUTED_VALUE"""),0)</f>
        <v>0</v>
      </c>
      <c r="N14" s="67"/>
      <c r="O14" s="67"/>
      <c r="P14" s="67" t="str">
        <f ca="1">IFERROR(__xludf.DUMMYFUNCTION("""COMPUTED_VALUE"""),"СМР")</f>
        <v>СМР</v>
      </c>
      <c r="Q14" s="67">
        <f t="shared" ca="1" si="0"/>
        <v>0</v>
      </c>
      <c r="R14" s="67"/>
      <c r="S14" s="67"/>
      <c r="T14" s="67"/>
      <c r="U14" s="67"/>
      <c r="V14" s="67"/>
      <c r="W14" s="67"/>
      <c r="X14" s="67"/>
      <c r="Y14" s="67"/>
      <c r="Z14" s="67"/>
      <c r="AA14" s="67"/>
      <c r="AB14" s="67"/>
      <c r="AC14" s="67"/>
      <c r="AD14" s="67"/>
      <c r="AE14" s="67"/>
      <c r="AF14" s="67"/>
      <c r="AG14" s="67"/>
      <c r="AH14" s="67"/>
      <c r="AI14" s="67"/>
      <c r="AJ14" s="67"/>
      <c r="AK14" s="67"/>
      <c r="AL14" s="67"/>
      <c r="AM14" s="67"/>
    </row>
    <row r="15" spans="1:39" ht="84" x14ac:dyDescent="0.2">
      <c r="A15" s="67"/>
      <c r="B15" s="100"/>
      <c r="C1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5" s="20" t="str">
        <f ca="1">IFERROR(__xludf.DUMMYFUNCTION("""COMPUTED_VALUE"""),"МинЖКХ")</f>
        <v>МинЖКХ</v>
      </c>
      <c r="E15" s="20" t="str">
        <f ca="1">IFERROR(__xludf.DUMMYFUNCTION("""COMPUTED_VALUE"""),"Строительство ПВНС г. Люберцы по адресу: г. Люберцы, ул. Московская у дома № 1 (в том числе техническое присоединение)")</f>
        <v>Строительство ПВНС г. Люберцы по адресу: г. Люберцы, ул. Московская у дома № 1 (в том числе техническое присоединение)</v>
      </c>
      <c r="F15" s="67" t="str">
        <f ca="1">IFERROR(__xludf.DUMMYFUNCTION("""COMPUTED_VALUE"""),"2020-2021")</f>
        <v>2020-2021</v>
      </c>
      <c r="G15" s="67" t="str">
        <f ca="1">IFERROR(__xludf.DUMMYFUNCTION("""COMPUTED_VALUE"""),"г.о. Люберцы")</f>
        <v>г.о. Люберцы</v>
      </c>
      <c r="H15" s="67" t="str">
        <f ca="1">IFERROR(__xludf.DUMMYFUNCTION("""COMPUTED_VALUE"""),"ПВНС")</f>
        <v>ПВНС</v>
      </c>
      <c r="I15" s="97">
        <f ca="1">IFERROR(__xludf.DUMMYFUNCTION("""COMPUTED_VALUE"""),4892.62)</f>
        <v>4892.62</v>
      </c>
      <c r="J15" s="67"/>
      <c r="K15" s="97">
        <f ca="1">IFERROR(__xludf.DUMMYFUNCTION("""COMPUTED_VALUE"""),31030.28)</f>
        <v>31030.28</v>
      </c>
      <c r="L15" s="97">
        <f ca="1">IFERROR(__xludf.DUMMYFUNCTION("""COMPUTED_VALUE"""),0)</f>
        <v>0</v>
      </c>
      <c r="M15" s="97">
        <f ca="1">IFERROR(__xludf.DUMMYFUNCTION("""COMPUTED_VALUE"""),0)</f>
        <v>0</v>
      </c>
      <c r="N15" s="67"/>
      <c r="O15" s="67"/>
      <c r="P15" s="67" t="str">
        <f ca="1">IFERROR(__xludf.DUMMYFUNCTION("""COMPUTED_VALUE"""),"СМР")</f>
        <v>СМР</v>
      </c>
      <c r="Q15" s="67">
        <f t="shared" ca="1" si="0"/>
        <v>0</v>
      </c>
      <c r="R15" s="67"/>
      <c r="S15" s="97">
        <f ca="1">IFERROR(__xludf.DUMMYFUNCTION("""COMPUTED_VALUE"""),14677.86)</f>
        <v>14677.86</v>
      </c>
      <c r="T15" s="67"/>
      <c r="U15" s="67"/>
      <c r="V15" s="67"/>
      <c r="W15" s="67"/>
      <c r="X15" s="67"/>
      <c r="Y15" s="67"/>
      <c r="Z15" s="67"/>
      <c r="AA15" s="67"/>
      <c r="AB15" s="67"/>
      <c r="AC15" s="67"/>
      <c r="AD15" s="67"/>
      <c r="AE15" s="67"/>
      <c r="AF15" s="67"/>
      <c r="AG15" s="67"/>
      <c r="AH15" s="67"/>
      <c r="AI15" s="67"/>
      <c r="AJ15" s="67"/>
      <c r="AK15" s="67"/>
      <c r="AL15" s="67"/>
      <c r="AM15" s="67"/>
    </row>
    <row r="16" spans="1:39" ht="84" x14ac:dyDescent="0.2">
      <c r="A16" s="67"/>
      <c r="B16" s="96"/>
      <c r="C1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6" s="20" t="str">
        <f ca="1">IFERROR(__xludf.DUMMYFUNCTION("""COMPUTED_VALUE"""),"МинЖКХ")</f>
        <v>МинЖКХ</v>
      </c>
      <c r="E16" s="20" t="str">
        <f ca="1">IFERROR(__xludf.DUMMYFUNCTION("""COMPUTED_VALUE"""),"Реконструкция ВЗУ-1 г.п. Одинцово Одинцовский г.о.")</f>
        <v>Реконструкция ВЗУ-1 г.п. Одинцово Одинцовский г.о.</v>
      </c>
      <c r="F16" s="67" t="str">
        <f ca="1">IFERROR(__xludf.DUMMYFUNCTION("""COMPUTED_VALUE"""),"2020-2021")</f>
        <v>2020-2021</v>
      </c>
      <c r="G16" s="67" t="str">
        <f ca="1">IFERROR(__xludf.DUMMYFUNCTION("""COMPUTED_VALUE"""),"г.о. Одинцово")</f>
        <v>г.о. Одинцово</v>
      </c>
      <c r="H16" s="67" t="str">
        <f ca="1">IFERROR(__xludf.DUMMYFUNCTION("""COMPUTED_VALUE"""),"ВЗУ")</f>
        <v>ВЗУ</v>
      </c>
      <c r="I16" s="97">
        <f ca="1">IFERROR(__xludf.DUMMYFUNCTION("""COMPUTED_VALUE"""),33758.77)</f>
        <v>33758.769999999997</v>
      </c>
      <c r="J16" s="67"/>
      <c r="K16" s="97">
        <f ca="1">IFERROR(__xludf.DUMMYFUNCTION("""COMPUTED_VALUE"""),104081.58)</f>
        <v>104081.58</v>
      </c>
      <c r="L16" s="97">
        <f ca="1">IFERROR(__xludf.DUMMYFUNCTION("""COMPUTED_VALUE"""),0)</f>
        <v>0</v>
      </c>
      <c r="M16" s="97">
        <f ca="1">IFERROR(__xludf.DUMMYFUNCTION("""COMPUTED_VALUE"""),0)</f>
        <v>0</v>
      </c>
      <c r="N16" s="67"/>
      <c r="O16" s="67"/>
      <c r="P16" s="67" t="str">
        <f ca="1">IFERROR(__xludf.DUMMYFUNCTION("""COMPUTED_VALUE"""),"СМР")</f>
        <v>СМР</v>
      </c>
      <c r="Q16" s="67">
        <f t="shared" ca="1" si="0"/>
        <v>0</v>
      </c>
      <c r="R16" s="67"/>
      <c r="S16" s="97">
        <f ca="1">IFERROR(__xludf.DUMMYFUNCTION("""COMPUTED_VALUE"""),101276.31)</f>
        <v>101276.31</v>
      </c>
      <c r="T16" s="67"/>
      <c r="U16" s="67"/>
      <c r="V16" s="67"/>
      <c r="W16" s="67"/>
      <c r="X16" s="67"/>
      <c r="Y16" s="67"/>
      <c r="Z16" s="67"/>
      <c r="AA16" s="67"/>
      <c r="AB16" s="67"/>
      <c r="AC16" s="67"/>
      <c r="AD16" s="67"/>
      <c r="AE16" s="67"/>
      <c r="AF16" s="67"/>
      <c r="AG16" s="67"/>
      <c r="AH16" s="67"/>
      <c r="AI16" s="67"/>
      <c r="AJ16" s="67"/>
      <c r="AK16" s="67"/>
      <c r="AL16" s="67"/>
      <c r="AM16" s="67"/>
    </row>
    <row r="17" spans="1:39" ht="84" hidden="1" x14ac:dyDescent="0.2">
      <c r="A17" s="67"/>
      <c r="B17" s="96"/>
      <c r="C1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7" s="20" t="str">
        <f ca="1">IFERROR(__xludf.DUMMYFUNCTION("""COMPUTED_VALUE"""),"МинЖКХ")</f>
        <v>МинЖКХ</v>
      </c>
      <c r="E17" s="20" t="str">
        <f ca="1">IFERROR(__xludf.DUMMYFUNCTION("""COMPUTED_VALUE"""),"Реконструкция ВЗУ-8 г.п. Одинцово Одинцовский г.о.")</f>
        <v>Реконструкция ВЗУ-8 г.п. Одинцово Одинцовский г.о.</v>
      </c>
      <c r="F17" s="67">
        <f ca="1">IFERROR(__xludf.DUMMYFUNCTION("""COMPUTED_VALUE"""),2024)</f>
        <v>2024</v>
      </c>
      <c r="G17" s="67" t="str">
        <f ca="1">IFERROR(__xludf.DUMMYFUNCTION("""COMPUTED_VALUE"""),"г.о. Одинцово")</f>
        <v>г.о. Одинцово</v>
      </c>
      <c r="H17" s="67" t="str">
        <f ca="1">IFERROR(__xludf.DUMMYFUNCTION("""COMPUTED_VALUE"""),"ВЗУ")</f>
        <v>ВЗУ</v>
      </c>
      <c r="I17" s="67"/>
      <c r="J17" s="67"/>
      <c r="K17" s="97">
        <f ca="1">IFERROR(__xludf.DUMMYFUNCTION("""COMPUTED_VALUE"""),52500)</f>
        <v>52500</v>
      </c>
      <c r="L17" s="97">
        <f ca="1">IFERROR(__xludf.DUMMYFUNCTION("""COMPUTED_VALUE"""),0)</f>
        <v>0</v>
      </c>
      <c r="M17" s="97">
        <f ca="1">IFERROR(__xludf.DUMMYFUNCTION("""COMPUTED_VALUE"""),0)</f>
        <v>0</v>
      </c>
      <c r="N17" s="67"/>
      <c r="O17" s="67"/>
      <c r="P17" s="67" t="str">
        <f ca="1">IFERROR(__xludf.DUMMYFUNCTION("""COMPUTED_VALUE"""),"СМР")</f>
        <v>СМР</v>
      </c>
      <c r="Q17" s="67">
        <f t="shared" ca="1" si="0"/>
        <v>0</v>
      </c>
      <c r="R17" s="67"/>
      <c r="S17" s="67"/>
      <c r="T17" s="67"/>
      <c r="U17" s="67"/>
      <c r="V17" s="67"/>
      <c r="W17" s="67"/>
      <c r="X17" s="67"/>
      <c r="Y17" s="67"/>
      <c r="Z17" s="67"/>
      <c r="AA17" s="67"/>
      <c r="AB17" s="67"/>
      <c r="AC17" s="67"/>
      <c r="AD17" s="67"/>
      <c r="AE17" s="67"/>
      <c r="AF17" s="67"/>
      <c r="AG17" s="67"/>
      <c r="AH17" s="67"/>
      <c r="AI17" s="67"/>
      <c r="AJ17" s="67"/>
      <c r="AK17" s="67"/>
      <c r="AL17" s="67"/>
      <c r="AM17" s="67"/>
    </row>
    <row r="18" spans="1:39" ht="84" hidden="1" x14ac:dyDescent="0.2">
      <c r="A18" s="67"/>
      <c r="B18" s="96"/>
      <c r="C1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8" s="20" t="str">
        <f ca="1">IFERROR(__xludf.DUMMYFUNCTION("""COMPUTED_VALUE"""),"МинЖКХ")</f>
        <v>МинЖКХ</v>
      </c>
      <c r="E18" s="20" t="str">
        <f ca="1">IFERROR(__xludf.DUMMYFUNCTION("""COMPUTED_VALUE"""),"Реконструкция ВЗУ-7 г.п. Одинцово Одинцовский г.о.")</f>
        <v>Реконструкция ВЗУ-7 г.п. Одинцово Одинцовский г.о.</v>
      </c>
      <c r="F18" s="67">
        <f ca="1">IFERROR(__xludf.DUMMYFUNCTION("""COMPUTED_VALUE"""),2024)</f>
        <v>2024</v>
      </c>
      <c r="G18" s="67" t="str">
        <f ca="1">IFERROR(__xludf.DUMMYFUNCTION("""COMPUTED_VALUE"""),"г.о. Одинцово")</f>
        <v>г.о. Одинцово</v>
      </c>
      <c r="H18" s="67" t="str">
        <f ca="1">IFERROR(__xludf.DUMMYFUNCTION("""COMPUTED_VALUE"""),"ВЗУ")</f>
        <v>ВЗУ</v>
      </c>
      <c r="I18" s="67"/>
      <c r="J18" s="67"/>
      <c r="K18" s="97">
        <f ca="1">IFERROR(__xludf.DUMMYFUNCTION("""COMPUTED_VALUE"""),52500)</f>
        <v>52500</v>
      </c>
      <c r="L18" s="97">
        <f ca="1">IFERROR(__xludf.DUMMYFUNCTION("""COMPUTED_VALUE"""),0)</f>
        <v>0</v>
      </c>
      <c r="M18" s="97">
        <f ca="1">IFERROR(__xludf.DUMMYFUNCTION("""COMPUTED_VALUE"""),0)</f>
        <v>0</v>
      </c>
      <c r="N18" s="67"/>
      <c r="O18" s="67"/>
      <c r="P18" s="67" t="str">
        <f ca="1">IFERROR(__xludf.DUMMYFUNCTION("""COMPUTED_VALUE"""),"СМР")</f>
        <v>СМР</v>
      </c>
      <c r="Q18" s="67">
        <f t="shared" ca="1" si="0"/>
        <v>0</v>
      </c>
      <c r="R18" s="67"/>
      <c r="S18" s="67"/>
      <c r="T18" s="67"/>
      <c r="U18" s="67"/>
      <c r="V18" s="67"/>
      <c r="W18" s="67"/>
      <c r="X18" s="67"/>
      <c r="Y18" s="67"/>
      <c r="Z18" s="67"/>
      <c r="AA18" s="67"/>
      <c r="AB18" s="67"/>
      <c r="AC18" s="67"/>
      <c r="AD18" s="67"/>
      <c r="AE18" s="67"/>
      <c r="AF18" s="67"/>
      <c r="AG18" s="67"/>
      <c r="AH18" s="67"/>
      <c r="AI18" s="67"/>
      <c r="AJ18" s="67"/>
      <c r="AK18" s="67"/>
      <c r="AL18" s="67"/>
      <c r="AM18" s="67"/>
    </row>
    <row r="19" spans="1:39" ht="84" hidden="1" x14ac:dyDescent="0.2">
      <c r="A19" s="67"/>
      <c r="B19" s="96"/>
      <c r="C1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9" s="20" t="str">
        <f ca="1">IFERROR(__xludf.DUMMYFUNCTION("""COMPUTED_VALUE"""),"МинЖКХ")</f>
        <v>МинЖКХ</v>
      </c>
      <c r="E19" s="20" t="str">
        <f ca="1">IFERROR(__xludf.DUMMYFUNCTION("""COMPUTED_VALUE"""),"Реконструкция ВЗУ-6 г.п. Одинцово Одинцовский г.о.")</f>
        <v>Реконструкция ВЗУ-6 г.п. Одинцово Одинцовский г.о.</v>
      </c>
      <c r="F19" s="67">
        <f ca="1">IFERROR(__xludf.DUMMYFUNCTION("""COMPUTED_VALUE"""),2024)</f>
        <v>2024</v>
      </c>
      <c r="G19" s="67" t="str">
        <f ca="1">IFERROR(__xludf.DUMMYFUNCTION("""COMPUTED_VALUE"""),"г.о. Одинцово")</f>
        <v>г.о. Одинцово</v>
      </c>
      <c r="H19" s="67" t="str">
        <f ca="1">IFERROR(__xludf.DUMMYFUNCTION("""COMPUTED_VALUE"""),"ВЗУ")</f>
        <v>ВЗУ</v>
      </c>
      <c r="I19" s="67"/>
      <c r="J19" s="67"/>
      <c r="K19" s="97">
        <f ca="1">IFERROR(__xludf.DUMMYFUNCTION("""COMPUTED_VALUE"""),52500)</f>
        <v>52500</v>
      </c>
      <c r="L19" s="97">
        <f ca="1">IFERROR(__xludf.DUMMYFUNCTION("""COMPUTED_VALUE"""),0)</f>
        <v>0</v>
      </c>
      <c r="M19" s="97">
        <f ca="1">IFERROR(__xludf.DUMMYFUNCTION("""COMPUTED_VALUE"""),0)</f>
        <v>0</v>
      </c>
      <c r="N19" s="67"/>
      <c r="O19" s="67"/>
      <c r="P19" s="67" t="str">
        <f ca="1">IFERROR(__xludf.DUMMYFUNCTION("""COMPUTED_VALUE"""),"СМР")</f>
        <v>СМР</v>
      </c>
      <c r="Q19" s="67">
        <f t="shared" ca="1" si="0"/>
        <v>0</v>
      </c>
      <c r="R19" s="67"/>
      <c r="S19" s="67"/>
      <c r="T19" s="67"/>
      <c r="U19" s="67"/>
      <c r="V19" s="67"/>
      <c r="W19" s="67"/>
      <c r="X19" s="67"/>
      <c r="Y19" s="67"/>
      <c r="Z19" s="67"/>
      <c r="AA19" s="67"/>
      <c r="AB19" s="67"/>
      <c r="AC19" s="67"/>
      <c r="AD19" s="67"/>
      <c r="AE19" s="67"/>
      <c r="AF19" s="67"/>
      <c r="AG19" s="67"/>
      <c r="AH19" s="67"/>
      <c r="AI19" s="67"/>
      <c r="AJ19" s="67"/>
      <c r="AK19" s="67"/>
      <c r="AL19" s="67"/>
      <c r="AM19" s="67"/>
    </row>
    <row r="20" spans="1:39" ht="84" hidden="1" x14ac:dyDescent="0.2">
      <c r="A20" s="67"/>
      <c r="B20" s="96"/>
      <c r="C2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0" s="20" t="str">
        <f ca="1">IFERROR(__xludf.DUMMYFUNCTION("""COMPUTED_VALUE"""),"МинЖКХ")</f>
        <v>МинЖКХ</v>
      </c>
      <c r="E20" s="20" t="str">
        <f ca="1">IFERROR(__xludf.DUMMYFUNCTION("""COMPUTED_VALUE"""),"Реконструкция ВЗУ-10 г.п. Одинцово Одинцовский г.о.")</f>
        <v>Реконструкция ВЗУ-10 г.п. Одинцово Одинцовский г.о.</v>
      </c>
      <c r="F20" s="67">
        <f ca="1">IFERROR(__xludf.DUMMYFUNCTION("""COMPUTED_VALUE"""),2024)</f>
        <v>2024</v>
      </c>
      <c r="G20" s="67" t="str">
        <f ca="1">IFERROR(__xludf.DUMMYFUNCTION("""COMPUTED_VALUE"""),"г.о. Одинцово")</f>
        <v>г.о. Одинцово</v>
      </c>
      <c r="H20" s="67" t="str">
        <f ca="1">IFERROR(__xludf.DUMMYFUNCTION("""COMPUTED_VALUE"""),"ВЗУ")</f>
        <v>ВЗУ</v>
      </c>
      <c r="I20" s="67"/>
      <c r="J20" s="67"/>
      <c r="K20" s="97">
        <f ca="1">IFERROR(__xludf.DUMMYFUNCTION("""COMPUTED_VALUE"""),107543.1)</f>
        <v>107543.1</v>
      </c>
      <c r="L20" s="97">
        <f ca="1">IFERROR(__xludf.DUMMYFUNCTION("""COMPUTED_VALUE"""),0)</f>
        <v>0</v>
      </c>
      <c r="M20" s="97">
        <f ca="1">IFERROR(__xludf.DUMMYFUNCTION("""COMPUTED_VALUE"""),0)</f>
        <v>0</v>
      </c>
      <c r="N20" s="67"/>
      <c r="O20" s="67"/>
      <c r="P20" s="67" t="str">
        <f ca="1">IFERROR(__xludf.DUMMYFUNCTION("""COMPUTED_VALUE"""),"СМР")</f>
        <v>СМР</v>
      </c>
      <c r="Q20" s="67">
        <f t="shared" ca="1" si="0"/>
        <v>0</v>
      </c>
      <c r="R20" s="67"/>
      <c r="S20" s="67"/>
      <c r="T20" s="67"/>
      <c r="U20" s="67"/>
      <c r="V20" s="67"/>
      <c r="W20" s="67"/>
      <c r="X20" s="67"/>
      <c r="Y20" s="67"/>
      <c r="Z20" s="67"/>
      <c r="AA20" s="67"/>
      <c r="AB20" s="67"/>
      <c r="AC20" s="67"/>
      <c r="AD20" s="67"/>
      <c r="AE20" s="67"/>
      <c r="AF20" s="67"/>
      <c r="AG20" s="67"/>
      <c r="AH20" s="67"/>
      <c r="AI20" s="67"/>
      <c r="AJ20" s="67"/>
      <c r="AK20" s="67"/>
      <c r="AL20" s="67"/>
      <c r="AM20" s="67"/>
    </row>
    <row r="21" spans="1:39" ht="84" hidden="1" x14ac:dyDescent="0.2">
      <c r="A21" s="67"/>
      <c r="B21" s="96"/>
      <c r="C2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1" s="20" t="str">
        <f ca="1">IFERROR(__xludf.DUMMYFUNCTION("""COMPUTED_VALUE"""),"МинЖКХ")</f>
        <v>МинЖКХ</v>
      </c>
      <c r="E21" s="20" t="str">
        <f ca="1">IFERROR(__xludf.DUMMYFUNCTION("""COMPUTED_VALUE"""),"Реконструкция ВЗУ ВНИИССОК г.п. Лесной городок Одинцовский г.о.")</f>
        <v>Реконструкция ВЗУ ВНИИССОК г.п. Лесной городок Одинцовский г.о.</v>
      </c>
      <c r="F21" s="67">
        <f ca="1">IFERROR(__xludf.DUMMYFUNCTION("""COMPUTED_VALUE"""),2024)</f>
        <v>2024</v>
      </c>
      <c r="G21" s="67" t="str">
        <f ca="1">IFERROR(__xludf.DUMMYFUNCTION("""COMPUTED_VALUE"""),"г.о. Одинцово")</f>
        <v>г.о. Одинцово</v>
      </c>
      <c r="H21" s="67" t="str">
        <f ca="1">IFERROR(__xludf.DUMMYFUNCTION("""COMPUTED_VALUE"""),"ВЗУ")</f>
        <v>ВЗУ</v>
      </c>
      <c r="I21" s="67"/>
      <c r="J21" s="67"/>
      <c r="K21" s="97">
        <f ca="1">IFERROR(__xludf.DUMMYFUNCTION("""COMPUTED_VALUE"""),66937.5)</f>
        <v>66937.5</v>
      </c>
      <c r="L21" s="97">
        <f ca="1">IFERROR(__xludf.DUMMYFUNCTION("""COMPUTED_VALUE"""),0)</f>
        <v>0</v>
      </c>
      <c r="M21" s="97">
        <f ca="1">IFERROR(__xludf.DUMMYFUNCTION("""COMPUTED_VALUE"""),0)</f>
        <v>0</v>
      </c>
      <c r="N21" s="67"/>
      <c r="O21" s="67"/>
      <c r="P21" s="67" t="str">
        <f ca="1">IFERROR(__xludf.DUMMYFUNCTION("""COMPUTED_VALUE"""),"СМР")</f>
        <v>СМР</v>
      </c>
      <c r="Q21" s="67">
        <f t="shared" ca="1" si="0"/>
        <v>0</v>
      </c>
      <c r="R21" s="67"/>
      <c r="S21" s="67"/>
      <c r="T21" s="67"/>
      <c r="U21" s="67"/>
      <c r="V21" s="67"/>
      <c r="W21" s="67"/>
      <c r="X21" s="67"/>
      <c r="Y21" s="67"/>
      <c r="Z21" s="67"/>
      <c r="AA21" s="67"/>
      <c r="AB21" s="67"/>
      <c r="AC21" s="67"/>
      <c r="AD21" s="67"/>
      <c r="AE21" s="67"/>
      <c r="AF21" s="67"/>
      <c r="AG21" s="67"/>
      <c r="AH21" s="67"/>
      <c r="AI21" s="67"/>
      <c r="AJ21" s="67"/>
      <c r="AK21" s="67"/>
      <c r="AL21" s="67"/>
      <c r="AM21" s="67"/>
    </row>
    <row r="22" spans="1:39" ht="84" hidden="1" x14ac:dyDescent="0.2">
      <c r="A22" s="67"/>
      <c r="B22" s="96"/>
      <c r="C2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2" s="20" t="str">
        <f ca="1">IFERROR(__xludf.DUMMYFUNCTION("""COMPUTED_VALUE"""),"МинЖКХ")</f>
        <v>МинЖКХ</v>
      </c>
      <c r="E22" s="20" t="str">
        <f ca="1">IFERROR(__xludf.DUMMYFUNCTION("""COMPUTED_VALUE"""),"Реконструкция ВЗУ 1 г.п. Большие Вяземы Одинцовский г.о.")</f>
        <v>Реконструкция ВЗУ 1 г.п. Большие Вяземы Одинцовский г.о.</v>
      </c>
      <c r="F22" s="67">
        <f ca="1">IFERROR(__xludf.DUMMYFUNCTION("""COMPUTED_VALUE"""),2024)</f>
        <v>2024</v>
      </c>
      <c r="G22" s="67" t="str">
        <f ca="1">IFERROR(__xludf.DUMMYFUNCTION("""COMPUTED_VALUE"""),"г.о. Одинцово")</f>
        <v>г.о. Одинцово</v>
      </c>
      <c r="H22" s="67" t="str">
        <f ca="1">IFERROR(__xludf.DUMMYFUNCTION("""COMPUTED_VALUE"""),"ВЗУ")</f>
        <v>ВЗУ</v>
      </c>
      <c r="I22" s="67"/>
      <c r="J22" s="67"/>
      <c r="K22" s="97">
        <f ca="1">IFERROR(__xludf.DUMMYFUNCTION("""COMPUTED_VALUE"""),58406.25)</f>
        <v>58406.25</v>
      </c>
      <c r="L22" s="97">
        <f ca="1">IFERROR(__xludf.DUMMYFUNCTION("""COMPUTED_VALUE"""),0)</f>
        <v>0</v>
      </c>
      <c r="M22" s="97">
        <f ca="1">IFERROR(__xludf.DUMMYFUNCTION("""COMPUTED_VALUE"""),0)</f>
        <v>0</v>
      </c>
      <c r="N22" s="67"/>
      <c r="O22" s="67"/>
      <c r="P22" s="67" t="str">
        <f ca="1">IFERROR(__xludf.DUMMYFUNCTION("""COMPUTED_VALUE"""),"СМР")</f>
        <v>СМР</v>
      </c>
      <c r="Q22" s="67">
        <f t="shared" ca="1" si="0"/>
        <v>0</v>
      </c>
      <c r="R22" s="67"/>
      <c r="S22" s="67"/>
      <c r="T22" s="67"/>
      <c r="U22" s="67"/>
      <c r="V22" s="67"/>
      <c r="W22" s="67"/>
      <c r="X22" s="67"/>
      <c r="Y22" s="67"/>
      <c r="Z22" s="67"/>
      <c r="AA22" s="67"/>
      <c r="AB22" s="67"/>
      <c r="AC22" s="67"/>
      <c r="AD22" s="67"/>
      <c r="AE22" s="67"/>
      <c r="AF22" s="67"/>
      <c r="AG22" s="67"/>
      <c r="AH22" s="67"/>
      <c r="AI22" s="67"/>
      <c r="AJ22" s="67"/>
      <c r="AK22" s="67"/>
      <c r="AL22" s="67"/>
      <c r="AM22" s="67"/>
    </row>
    <row r="23" spans="1:39" ht="84" hidden="1" x14ac:dyDescent="0.2">
      <c r="A23" s="67"/>
      <c r="B23" s="96"/>
      <c r="C2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3" s="20" t="str">
        <f ca="1">IFERROR(__xludf.DUMMYFUNCTION("""COMPUTED_VALUE"""),"МинЖКХ")</f>
        <v>МинЖКХ</v>
      </c>
      <c r="E23" s="20" t="str">
        <f ca="1">IFERROR(__xludf.DUMMYFUNCTION("""COMPUTED_VALUE"""),"Реконструкция ВЗУ 2 г.п. Большие Вяземы Одинцовский г.о.")</f>
        <v>Реконструкция ВЗУ 2 г.п. Большие Вяземы Одинцовский г.о.</v>
      </c>
      <c r="F23" s="67">
        <f ca="1">IFERROR(__xludf.DUMMYFUNCTION("""COMPUTED_VALUE"""),2024)</f>
        <v>2024</v>
      </c>
      <c r="G23" s="67" t="str">
        <f ca="1">IFERROR(__xludf.DUMMYFUNCTION("""COMPUTED_VALUE"""),"г.о. Одинцово")</f>
        <v>г.о. Одинцово</v>
      </c>
      <c r="H23" s="67" t="str">
        <f ca="1">IFERROR(__xludf.DUMMYFUNCTION("""COMPUTED_VALUE"""),"ВЗУ")</f>
        <v>ВЗУ</v>
      </c>
      <c r="I23" s="67"/>
      <c r="J23" s="67"/>
      <c r="K23" s="97">
        <f ca="1">IFERROR(__xludf.DUMMYFUNCTION("""COMPUTED_VALUE"""),56306.25)</f>
        <v>56306.25</v>
      </c>
      <c r="L23" s="97">
        <f ca="1">IFERROR(__xludf.DUMMYFUNCTION("""COMPUTED_VALUE"""),0)</f>
        <v>0</v>
      </c>
      <c r="M23" s="97">
        <f ca="1">IFERROR(__xludf.DUMMYFUNCTION("""COMPUTED_VALUE"""),0)</f>
        <v>0</v>
      </c>
      <c r="N23" s="67"/>
      <c r="O23" s="67"/>
      <c r="P23" s="67" t="str">
        <f ca="1">IFERROR(__xludf.DUMMYFUNCTION("""COMPUTED_VALUE"""),"СМР")</f>
        <v>СМР</v>
      </c>
      <c r="Q23" s="67">
        <f t="shared" ca="1" si="0"/>
        <v>0</v>
      </c>
      <c r="R23" s="67"/>
      <c r="S23" s="67"/>
      <c r="T23" s="67"/>
      <c r="U23" s="67"/>
      <c r="V23" s="67"/>
      <c r="W23" s="67"/>
      <c r="X23" s="67"/>
      <c r="Y23" s="67"/>
      <c r="Z23" s="67"/>
      <c r="AA23" s="67"/>
      <c r="AB23" s="67"/>
      <c r="AC23" s="67"/>
      <c r="AD23" s="67"/>
      <c r="AE23" s="67"/>
      <c r="AF23" s="67"/>
      <c r="AG23" s="67"/>
      <c r="AH23" s="67"/>
      <c r="AI23" s="67"/>
      <c r="AJ23" s="67"/>
      <c r="AK23" s="67"/>
      <c r="AL23" s="67"/>
      <c r="AM23" s="67"/>
    </row>
    <row r="24" spans="1:39" ht="84" hidden="1" x14ac:dyDescent="0.2">
      <c r="A24" s="67"/>
      <c r="B24" s="96"/>
      <c r="C2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4" s="20" t="str">
        <f ca="1">IFERROR(__xludf.DUMMYFUNCTION("""COMPUTED_VALUE"""),"МинЖКХ")</f>
        <v>МинЖКХ</v>
      </c>
      <c r="E24" s="20" t="str">
        <f ca="1">IFERROR(__xludf.DUMMYFUNCTION("""COMPUTED_VALUE"""),"Реконструкция ВЗУ 9 Одинцовский г.о.")</f>
        <v>Реконструкция ВЗУ 9 Одинцовский г.о.</v>
      </c>
      <c r="F24" s="67">
        <f ca="1">IFERROR(__xludf.DUMMYFUNCTION("""COMPUTED_VALUE"""),2024)</f>
        <v>2024</v>
      </c>
      <c r="G24" s="67" t="str">
        <f ca="1">IFERROR(__xludf.DUMMYFUNCTION("""COMPUTED_VALUE"""),"г.о. Одинцово")</f>
        <v>г.о. Одинцово</v>
      </c>
      <c r="H24" s="67" t="str">
        <f ca="1">IFERROR(__xludf.DUMMYFUNCTION("""COMPUTED_VALUE"""),"ВЗУ")</f>
        <v>ВЗУ</v>
      </c>
      <c r="I24" s="67"/>
      <c r="J24" s="67"/>
      <c r="K24" s="97">
        <f ca="1">IFERROR(__xludf.DUMMYFUNCTION("""COMPUTED_VALUE"""),52500)</f>
        <v>52500</v>
      </c>
      <c r="L24" s="97">
        <f ca="1">IFERROR(__xludf.DUMMYFUNCTION("""COMPUTED_VALUE"""),0)</f>
        <v>0</v>
      </c>
      <c r="M24" s="97">
        <f ca="1">IFERROR(__xludf.DUMMYFUNCTION("""COMPUTED_VALUE"""),0)</f>
        <v>0</v>
      </c>
      <c r="N24" s="67"/>
      <c r="O24" s="67"/>
      <c r="P24" s="67" t="str">
        <f ca="1">IFERROR(__xludf.DUMMYFUNCTION("""COMPUTED_VALUE"""),"СМР")</f>
        <v>СМР</v>
      </c>
      <c r="Q24" s="67">
        <f t="shared" ca="1" si="0"/>
        <v>0</v>
      </c>
      <c r="R24" s="67"/>
      <c r="S24" s="67"/>
      <c r="T24" s="67"/>
      <c r="U24" s="67"/>
      <c r="V24" s="67"/>
      <c r="W24" s="67"/>
      <c r="X24" s="67"/>
      <c r="Y24" s="67"/>
      <c r="Z24" s="67"/>
      <c r="AA24" s="67"/>
      <c r="AB24" s="67"/>
      <c r="AC24" s="67"/>
      <c r="AD24" s="67"/>
      <c r="AE24" s="67"/>
      <c r="AF24" s="67"/>
      <c r="AG24" s="67"/>
      <c r="AH24" s="67"/>
      <c r="AI24" s="67"/>
      <c r="AJ24" s="67"/>
      <c r="AK24" s="67"/>
      <c r="AL24" s="67"/>
      <c r="AM24" s="67"/>
    </row>
    <row r="25" spans="1:39" ht="84" hidden="1" x14ac:dyDescent="0.2">
      <c r="A25" s="67"/>
      <c r="B25" s="96"/>
      <c r="C2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5" s="20" t="str">
        <f ca="1">IFERROR(__xludf.DUMMYFUNCTION("""COMPUTED_VALUE"""),"МинЖКХ")</f>
        <v>МинЖКХ</v>
      </c>
      <c r="E25" s="20" t="str">
        <f ca="1">IFERROR(__xludf.DUMMYFUNCTION("""COMPUTED_VALUE"""),"Реконструкция ВЗУ В.Ромашково Одинцовский г.о.")</f>
        <v>Реконструкция ВЗУ В.Ромашково Одинцовский г.о.</v>
      </c>
      <c r="F25" s="67">
        <f ca="1">IFERROR(__xludf.DUMMYFUNCTION("""COMPUTED_VALUE"""),2024)</f>
        <v>2024</v>
      </c>
      <c r="G25" s="67" t="str">
        <f ca="1">IFERROR(__xludf.DUMMYFUNCTION("""COMPUTED_VALUE"""),"г.о. Одинцово")</f>
        <v>г.о. Одинцово</v>
      </c>
      <c r="H25" s="67" t="str">
        <f ca="1">IFERROR(__xludf.DUMMYFUNCTION("""COMPUTED_VALUE"""),"ВЗУ")</f>
        <v>ВЗУ</v>
      </c>
      <c r="I25" s="67"/>
      <c r="J25" s="67"/>
      <c r="K25" s="97">
        <f ca="1">IFERROR(__xludf.DUMMYFUNCTION("""COMPUTED_VALUE"""),17062.5)</f>
        <v>17062.5</v>
      </c>
      <c r="L25" s="97">
        <f ca="1">IFERROR(__xludf.DUMMYFUNCTION("""COMPUTED_VALUE"""),0)</f>
        <v>0</v>
      </c>
      <c r="M25" s="97">
        <f ca="1">IFERROR(__xludf.DUMMYFUNCTION("""COMPUTED_VALUE"""),0)</f>
        <v>0</v>
      </c>
      <c r="N25" s="67"/>
      <c r="O25" s="67"/>
      <c r="P25" s="67" t="str">
        <f ca="1">IFERROR(__xludf.DUMMYFUNCTION("""COMPUTED_VALUE"""),"СМР")</f>
        <v>СМР</v>
      </c>
      <c r="Q25" s="67">
        <f t="shared" ca="1" si="0"/>
        <v>0</v>
      </c>
      <c r="R25" s="67"/>
      <c r="S25" s="67"/>
      <c r="T25" s="67"/>
      <c r="U25" s="67"/>
      <c r="V25" s="67"/>
      <c r="W25" s="67"/>
      <c r="X25" s="67"/>
      <c r="Y25" s="67"/>
      <c r="Z25" s="67"/>
      <c r="AA25" s="67"/>
      <c r="AB25" s="67"/>
      <c r="AC25" s="67"/>
      <c r="AD25" s="67"/>
      <c r="AE25" s="67"/>
      <c r="AF25" s="67"/>
      <c r="AG25" s="67"/>
      <c r="AH25" s="67"/>
      <c r="AI25" s="67"/>
      <c r="AJ25" s="67"/>
      <c r="AK25" s="67"/>
      <c r="AL25" s="67"/>
      <c r="AM25" s="67"/>
    </row>
    <row r="26" spans="1:39" ht="84" hidden="1" x14ac:dyDescent="0.2">
      <c r="A26" s="67"/>
      <c r="B26" s="96"/>
      <c r="C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6" s="20" t="str">
        <f ca="1">IFERROR(__xludf.DUMMYFUNCTION("""COMPUTED_VALUE"""),"МинЖКХ")</f>
        <v>МинЖКХ</v>
      </c>
      <c r="E26" s="20" t="str">
        <f ca="1">IFERROR(__xludf.DUMMYFUNCTION("""COMPUTED_VALUE"""),"Реконструкция ВЗУ Н. Ромашково Одинцовский г.о.")</f>
        <v>Реконструкция ВЗУ Н. Ромашково Одинцовский г.о.</v>
      </c>
      <c r="F26" s="67">
        <f ca="1">IFERROR(__xludf.DUMMYFUNCTION("""COMPUTED_VALUE"""),2024)</f>
        <v>2024</v>
      </c>
      <c r="G26" s="67" t="str">
        <f ca="1">IFERROR(__xludf.DUMMYFUNCTION("""COMPUTED_VALUE"""),"г.о. Одинцово")</f>
        <v>г.о. Одинцово</v>
      </c>
      <c r="H26" s="67" t="str">
        <f ca="1">IFERROR(__xludf.DUMMYFUNCTION("""COMPUTED_VALUE"""),"ВЗУ")</f>
        <v>ВЗУ</v>
      </c>
      <c r="I26" s="67"/>
      <c r="J26" s="67"/>
      <c r="K26" s="97">
        <f ca="1">IFERROR(__xludf.DUMMYFUNCTION("""COMPUTED_VALUE"""),16500)</f>
        <v>16500</v>
      </c>
      <c r="L26" s="97">
        <f ca="1">IFERROR(__xludf.DUMMYFUNCTION("""COMPUTED_VALUE"""),0)</f>
        <v>0</v>
      </c>
      <c r="M26" s="97">
        <f ca="1">IFERROR(__xludf.DUMMYFUNCTION("""COMPUTED_VALUE"""),0)</f>
        <v>0</v>
      </c>
      <c r="N26" s="67"/>
      <c r="O26" s="67"/>
      <c r="P26" s="67" t="str">
        <f ca="1">IFERROR(__xludf.DUMMYFUNCTION("""COMPUTED_VALUE"""),"СМР")</f>
        <v>СМР</v>
      </c>
      <c r="Q26" s="67">
        <f t="shared" ca="1" si="0"/>
        <v>0</v>
      </c>
      <c r="R26" s="67"/>
      <c r="S26" s="67"/>
      <c r="T26" s="67"/>
      <c r="U26" s="67"/>
      <c r="V26" s="67"/>
      <c r="W26" s="67"/>
      <c r="X26" s="67"/>
      <c r="Y26" s="67"/>
      <c r="Z26" s="67"/>
      <c r="AA26" s="67"/>
      <c r="AB26" s="67"/>
      <c r="AC26" s="67"/>
      <c r="AD26" s="67"/>
      <c r="AE26" s="67"/>
      <c r="AF26" s="67"/>
      <c r="AG26" s="67"/>
      <c r="AH26" s="67"/>
      <c r="AI26" s="67"/>
      <c r="AJ26" s="67"/>
      <c r="AK26" s="67"/>
      <c r="AL26" s="67"/>
      <c r="AM26" s="67"/>
    </row>
    <row r="27" spans="1:39" ht="84" hidden="1" x14ac:dyDescent="0.2">
      <c r="A27" s="67"/>
      <c r="B27" s="96"/>
      <c r="C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7" s="20" t="str">
        <f ca="1">IFERROR(__xludf.DUMMYFUNCTION("""COMPUTED_VALUE"""),"МинЖКХ")</f>
        <v>МинЖКХ</v>
      </c>
      <c r="E27" s="20" t="str">
        <f ca="1">IFERROR(__xludf.DUMMYFUNCTION("""COMPUTED_VALUE"""),"Реконструкция ВЗУ Ликино п. Жаворонковские Одинцовский г.о.")</f>
        <v>Реконструкция ВЗУ Ликино п. Жаворонковские Одинцовский г.о.</v>
      </c>
      <c r="F27" s="67">
        <f ca="1">IFERROR(__xludf.DUMMYFUNCTION("""COMPUTED_VALUE"""),2024)</f>
        <v>2024</v>
      </c>
      <c r="G27" s="67" t="str">
        <f ca="1">IFERROR(__xludf.DUMMYFUNCTION("""COMPUTED_VALUE"""),"г.о. Одинцово")</f>
        <v>г.о. Одинцово</v>
      </c>
      <c r="H27" s="67" t="str">
        <f ca="1">IFERROR(__xludf.DUMMYFUNCTION("""COMPUTED_VALUE"""),"ВЗУ")</f>
        <v>ВЗУ</v>
      </c>
      <c r="I27" s="67"/>
      <c r="J27" s="67"/>
      <c r="K27" s="97">
        <f ca="1">IFERROR(__xludf.DUMMYFUNCTION("""COMPUTED_VALUE"""),16500)</f>
        <v>16500</v>
      </c>
      <c r="L27" s="97">
        <f ca="1">IFERROR(__xludf.DUMMYFUNCTION("""COMPUTED_VALUE"""),0)</f>
        <v>0</v>
      </c>
      <c r="M27" s="97">
        <f ca="1">IFERROR(__xludf.DUMMYFUNCTION("""COMPUTED_VALUE"""),0)</f>
        <v>0</v>
      </c>
      <c r="N27" s="67"/>
      <c r="O27" s="67"/>
      <c r="P27" s="67" t="str">
        <f ca="1">IFERROR(__xludf.DUMMYFUNCTION("""COMPUTED_VALUE"""),"СМР")</f>
        <v>СМР</v>
      </c>
      <c r="Q27" s="67">
        <f t="shared" ca="1" si="0"/>
        <v>0</v>
      </c>
      <c r="R27" s="67"/>
      <c r="S27" s="67"/>
      <c r="T27" s="67"/>
      <c r="U27" s="67"/>
      <c r="V27" s="67"/>
      <c r="W27" s="67"/>
      <c r="X27" s="67"/>
      <c r="Y27" s="67"/>
      <c r="Z27" s="67"/>
      <c r="AA27" s="67"/>
      <c r="AB27" s="67"/>
      <c r="AC27" s="67"/>
      <c r="AD27" s="67"/>
      <c r="AE27" s="67"/>
      <c r="AF27" s="67"/>
      <c r="AG27" s="67"/>
      <c r="AH27" s="67"/>
      <c r="AI27" s="67"/>
      <c r="AJ27" s="67"/>
      <c r="AK27" s="67"/>
      <c r="AL27" s="67"/>
      <c r="AM27" s="67"/>
    </row>
    <row r="28" spans="1:39" ht="84" hidden="1" x14ac:dyDescent="0.2">
      <c r="A28" s="67"/>
      <c r="B28" s="96"/>
      <c r="C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8" s="20" t="str">
        <f ca="1">IFERROR(__xludf.DUMMYFUNCTION("""COMPUTED_VALUE"""),"МинЖКХ")</f>
        <v>МинЖКХ</v>
      </c>
      <c r="E28" s="20" t="str">
        <f ca="1">IFERROR(__xludf.DUMMYFUNCTION("""COMPUTED_VALUE"""),"Реконструкция ВЗУ ПМС-4 п. Часцовское Одинцовский г.о.")</f>
        <v>Реконструкция ВЗУ ПМС-4 п. Часцовское Одинцовский г.о.</v>
      </c>
      <c r="F28" s="67">
        <f ca="1">IFERROR(__xludf.DUMMYFUNCTION("""COMPUTED_VALUE"""),2024)</f>
        <v>2024</v>
      </c>
      <c r="G28" s="67" t="str">
        <f ca="1">IFERROR(__xludf.DUMMYFUNCTION("""COMPUTED_VALUE"""),"г.о. Одинцово")</f>
        <v>г.о. Одинцово</v>
      </c>
      <c r="H28" s="67" t="str">
        <f ca="1">IFERROR(__xludf.DUMMYFUNCTION("""COMPUTED_VALUE"""),"ВЗУ")</f>
        <v>ВЗУ</v>
      </c>
      <c r="I28" s="67"/>
      <c r="J28" s="67"/>
      <c r="K28" s="97">
        <f ca="1">IFERROR(__xludf.DUMMYFUNCTION("""COMPUTED_VALUE"""),16500)</f>
        <v>16500</v>
      </c>
      <c r="L28" s="97">
        <f ca="1">IFERROR(__xludf.DUMMYFUNCTION("""COMPUTED_VALUE"""),0)</f>
        <v>0</v>
      </c>
      <c r="M28" s="97">
        <f ca="1">IFERROR(__xludf.DUMMYFUNCTION("""COMPUTED_VALUE"""),0)</f>
        <v>0</v>
      </c>
      <c r="N28" s="67"/>
      <c r="O28" s="67"/>
      <c r="P28" s="67" t="str">
        <f ca="1">IFERROR(__xludf.DUMMYFUNCTION("""COMPUTED_VALUE"""),"СМР")</f>
        <v>СМР</v>
      </c>
      <c r="Q28" s="67">
        <f t="shared" ca="1" si="0"/>
        <v>0</v>
      </c>
      <c r="R28" s="67"/>
      <c r="S28" s="67"/>
      <c r="T28" s="67"/>
      <c r="U28" s="67"/>
      <c r="V28" s="67"/>
      <c r="W28" s="67"/>
      <c r="X28" s="67"/>
      <c r="Y28" s="67"/>
      <c r="Z28" s="67"/>
      <c r="AA28" s="67"/>
      <c r="AB28" s="67"/>
      <c r="AC28" s="67"/>
      <c r="AD28" s="67"/>
      <c r="AE28" s="67"/>
      <c r="AF28" s="67"/>
      <c r="AG28" s="67"/>
      <c r="AH28" s="67"/>
      <c r="AI28" s="67"/>
      <c r="AJ28" s="67"/>
      <c r="AK28" s="67"/>
      <c r="AL28" s="67"/>
      <c r="AM28" s="67"/>
    </row>
    <row r="29" spans="1:39" ht="84" hidden="1" x14ac:dyDescent="0.2">
      <c r="A29" s="67"/>
      <c r="B29" s="100"/>
      <c r="C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9" s="20" t="str">
        <f ca="1">IFERROR(__xludf.DUMMYFUNCTION("""COMPUTED_VALUE"""),"МинЖКХ")</f>
        <v>МинЖКХ</v>
      </c>
      <c r="E29" s="20" t="str">
        <f ca="1">IFERROR(__xludf.DUMMYFUNCTION("""COMPUTED_VALUE"""),"Реконструкция ВЗУ Аниково г.Кубинка Одинцовский г.о.")</f>
        <v>Реконструкция ВЗУ Аниково г.Кубинка Одинцовский г.о.</v>
      </c>
      <c r="F29" s="67">
        <f ca="1">IFERROR(__xludf.DUMMYFUNCTION("""COMPUTED_VALUE"""),2024)</f>
        <v>2024</v>
      </c>
      <c r="G29" s="67" t="str">
        <f ca="1">IFERROR(__xludf.DUMMYFUNCTION("""COMPUTED_VALUE"""),"г.о. Одинцово")</f>
        <v>г.о. Одинцово</v>
      </c>
      <c r="H29" s="67" t="str">
        <f ca="1">IFERROR(__xludf.DUMMYFUNCTION("""COMPUTED_VALUE"""),"ВЗУ")</f>
        <v>ВЗУ</v>
      </c>
      <c r="I29" s="67"/>
      <c r="J29" s="67"/>
      <c r="K29" s="97">
        <f ca="1">IFERROR(__xludf.DUMMYFUNCTION("""COMPUTED_VALUE"""),18413.98)</f>
        <v>18413.98</v>
      </c>
      <c r="L29" s="97">
        <f ca="1">IFERROR(__xludf.DUMMYFUNCTION("""COMPUTED_VALUE"""),0)</f>
        <v>0</v>
      </c>
      <c r="M29" s="97">
        <f ca="1">IFERROR(__xludf.DUMMYFUNCTION("""COMPUTED_VALUE"""),0)</f>
        <v>0</v>
      </c>
      <c r="N29" s="67"/>
      <c r="O29" s="67"/>
      <c r="P29" s="67" t="str">
        <f ca="1">IFERROR(__xludf.DUMMYFUNCTION("""COMPUTED_VALUE"""),"СМР")</f>
        <v>СМР</v>
      </c>
      <c r="Q29" s="67">
        <f t="shared" ca="1" si="0"/>
        <v>0</v>
      </c>
      <c r="R29" s="67"/>
      <c r="S29" s="67"/>
      <c r="T29" s="67"/>
      <c r="U29" s="67"/>
      <c r="V29" s="67"/>
      <c r="W29" s="67"/>
      <c r="X29" s="67"/>
      <c r="Y29" s="67"/>
      <c r="Z29" s="67"/>
      <c r="AA29" s="67"/>
      <c r="AB29" s="67"/>
      <c r="AC29" s="67"/>
      <c r="AD29" s="67"/>
      <c r="AE29" s="67"/>
      <c r="AF29" s="67"/>
      <c r="AG29" s="67"/>
      <c r="AH29" s="67"/>
      <c r="AI29" s="67"/>
      <c r="AJ29" s="67"/>
      <c r="AK29" s="67"/>
      <c r="AL29" s="67"/>
      <c r="AM29" s="67"/>
    </row>
    <row r="30" spans="1:39" ht="84" x14ac:dyDescent="0.2">
      <c r="A30" s="67"/>
      <c r="B30" s="96"/>
      <c r="C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0" s="20" t="str">
        <f ca="1">IFERROR(__xludf.DUMMYFUNCTION("""COMPUTED_VALUE"""),"МинЖКХ")</f>
        <v>МинЖКХ</v>
      </c>
      <c r="E30" s="20" t="str">
        <f ca="1">IFERROR(__xludf.DUMMYFUNCTION("""COMPUTED_VALUE"""),"Строительство станции второго подъема и станции обезжелезивания по адресу: Московская область, Чеховский район, п. Мещерское")</f>
        <v>Строительство станции второго подъема и станции обезжелезивания по адресу: Московская область, Чеховский район, п. Мещерское</v>
      </c>
      <c r="F30" s="67" t="str">
        <f ca="1">IFERROR(__xludf.DUMMYFUNCTION("""COMPUTED_VALUE"""),"2020-2021")</f>
        <v>2020-2021</v>
      </c>
      <c r="G30" s="67" t="str">
        <f ca="1">IFERROR(__xludf.DUMMYFUNCTION("""COMPUTED_VALUE"""),"г.о. Чехов")</f>
        <v>г.о. Чехов</v>
      </c>
      <c r="H30" s="67" t="str">
        <f ca="1">IFERROR(__xludf.DUMMYFUNCTION("""COMPUTED_VALUE"""),"ВЗУ")</f>
        <v>ВЗУ</v>
      </c>
      <c r="I30" s="97">
        <f ca="1">IFERROR(__xludf.DUMMYFUNCTION("""COMPUTED_VALUE"""),6551.6)</f>
        <v>6551.6</v>
      </c>
      <c r="J30" s="67"/>
      <c r="K30" s="97">
        <f ca="1">IFERROR(__xludf.DUMMYFUNCTION("""COMPUTED_VALUE"""),43720.7299999999)</f>
        <v>43720.729999999901</v>
      </c>
      <c r="L30" s="97">
        <f ca="1">IFERROR(__xludf.DUMMYFUNCTION("""COMPUTED_VALUE"""),0)</f>
        <v>0</v>
      </c>
      <c r="M30" s="97">
        <f ca="1">IFERROR(__xludf.DUMMYFUNCTION("""COMPUTED_VALUE"""),0)</f>
        <v>0</v>
      </c>
      <c r="N30" s="67"/>
      <c r="O30" s="67"/>
      <c r="P30" s="67" t="str">
        <f ca="1">IFERROR(__xludf.DUMMYFUNCTION("""COMPUTED_VALUE"""),"СМР")</f>
        <v>СМР</v>
      </c>
      <c r="Q30" s="67">
        <f t="shared" ca="1" si="0"/>
        <v>0</v>
      </c>
      <c r="R30" s="67"/>
      <c r="S30" s="97">
        <f ca="1">IFERROR(__xludf.DUMMYFUNCTION("""COMPUTED_VALUE"""),19654.79)</f>
        <v>19654.79</v>
      </c>
      <c r="T30" s="67"/>
      <c r="U30" s="67"/>
      <c r="V30" s="67"/>
      <c r="W30" s="67"/>
      <c r="X30" s="67"/>
      <c r="Y30" s="67"/>
      <c r="Z30" s="67"/>
      <c r="AA30" s="67"/>
      <c r="AB30" s="67"/>
      <c r="AC30" s="67"/>
      <c r="AD30" s="67"/>
      <c r="AE30" s="67"/>
      <c r="AF30" s="67"/>
      <c r="AG30" s="67"/>
      <c r="AH30" s="67"/>
      <c r="AI30" s="67"/>
      <c r="AJ30" s="67"/>
      <c r="AK30" s="67"/>
      <c r="AL30" s="67"/>
      <c r="AM30" s="67"/>
    </row>
    <row r="31" spans="1:39" ht="96" hidden="1" x14ac:dyDescent="0.2">
      <c r="A31" s="67"/>
      <c r="B31" s="96"/>
      <c r="C3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1" s="20" t="str">
        <f ca="1">IFERROR(__xludf.DUMMYFUNCTION("""COMPUTED_VALUE"""),"МинЖКХ")</f>
        <v>МинЖКХ</v>
      </c>
      <c r="E31" s="20" t="str">
        <f ca="1">IFERROR(__xludf.DUMMYFUNCTION("""COMPUTED_VALUE"""),"Строительство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f>
        <v>Строительство водозаборного узла со станцией второго подъема, станцией обезжелезивания в п. Крюково, расположенного по адресу: Московская область, Чеховский район, с/п Баранцевское, д. Крюково</v>
      </c>
      <c r="F31" s="67" t="str">
        <f ca="1">IFERROR(__xludf.DUMMYFUNCTION("""COMPUTED_VALUE"""),"2021-2022")</f>
        <v>2021-2022</v>
      </c>
      <c r="G31" s="67" t="str">
        <f ca="1">IFERROR(__xludf.DUMMYFUNCTION("""COMPUTED_VALUE"""),"г.о. Чехов")</f>
        <v>г.о. Чехов</v>
      </c>
      <c r="H31" s="67" t="str">
        <f ca="1">IFERROR(__xludf.DUMMYFUNCTION("""COMPUTED_VALUE"""),"ВЗУ")</f>
        <v>ВЗУ</v>
      </c>
      <c r="I31" s="67"/>
      <c r="J31" s="67"/>
      <c r="K31" s="97">
        <f ca="1">IFERROR(__xludf.DUMMYFUNCTION("""COMPUTED_VALUE"""),37947.3)</f>
        <v>37947.300000000003</v>
      </c>
      <c r="L31" s="97">
        <f ca="1">IFERROR(__xludf.DUMMYFUNCTION("""COMPUTED_VALUE"""),0)</f>
        <v>0</v>
      </c>
      <c r="M31" s="97">
        <f ca="1">IFERROR(__xludf.DUMMYFUNCTION("""COMPUTED_VALUE"""),0)</f>
        <v>0</v>
      </c>
      <c r="N31" s="67"/>
      <c r="O31" s="67"/>
      <c r="P31" s="67" t="str">
        <f ca="1">IFERROR(__xludf.DUMMYFUNCTION("""COMPUTED_VALUE"""),"СМР")</f>
        <v>СМР</v>
      </c>
      <c r="Q31" s="67">
        <f t="shared" ca="1" si="0"/>
        <v>0</v>
      </c>
      <c r="R31" s="67"/>
      <c r="S31" s="67"/>
      <c r="T31" s="67"/>
      <c r="U31" s="67"/>
      <c r="V31" s="67"/>
      <c r="W31" s="67"/>
      <c r="X31" s="67"/>
      <c r="Y31" s="67"/>
      <c r="Z31" s="67"/>
      <c r="AA31" s="67"/>
      <c r="AB31" s="67"/>
      <c r="AC31" s="67"/>
      <c r="AD31" s="67"/>
      <c r="AE31" s="67"/>
      <c r="AF31" s="67"/>
      <c r="AG31" s="67"/>
      <c r="AH31" s="67"/>
      <c r="AI31" s="67"/>
      <c r="AJ31" s="67"/>
      <c r="AK31" s="67"/>
      <c r="AL31" s="67"/>
      <c r="AM31" s="67"/>
    </row>
    <row r="32" spans="1:39" ht="84" hidden="1" x14ac:dyDescent="0.2">
      <c r="A32" s="67"/>
      <c r="B32" s="96"/>
      <c r="C3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2" s="20" t="str">
        <f ca="1">IFERROR(__xludf.DUMMYFUNCTION("""COMPUTED_VALUE"""),"МинЖКХ")</f>
        <v>МинЖКХ</v>
      </c>
      <c r="E32" s="20" t="str">
        <f ca="1">IFERROR(__xludf.DUMMYFUNCTION("""COMPUTED_VALUE"""),"Строительство ВЗУ  Есино г.о. Электросталь ")</f>
        <v xml:space="preserve">Строительство ВЗУ  Есино г.о. Электросталь </v>
      </c>
      <c r="F32" s="67">
        <f ca="1">IFERROR(__xludf.DUMMYFUNCTION("""COMPUTED_VALUE"""),2022)</f>
        <v>2022</v>
      </c>
      <c r="G32" s="67" t="str">
        <f ca="1">IFERROR(__xludf.DUMMYFUNCTION("""COMPUTED_VALUE"""),"г.о. Электросталь")</f>
        <v>г.о. Электросталь</v>
      </c>
      <c r="H32" s="67" t="str">
        <f ca="1">IFERROR(__xludf.DUMMYFUNCTION("""COMPUTED_VALUE"""),"ВЗУ")</f>
        <v>ВЗУ</v>
      </c>
      <c r="I32" s="67"/>
      <c r="J32" s="67"/>
      <c r="K32" s="97">
        <f ca="1">IFERROR(__xludf.DUMMYFUNCTION("""COMPUTED_VALUE"""),14350)</f>
        <v>14350</v>
      </c>
      <c r="L32" s="97">
        <f ca="1">IFERROR(__xludf.DUMMYFUNCTION("""COMPUTED_VALUE"""),0)</f>
        <v>0</v>
      </c>
      <c r="M32" s="97">
        <f ca="1">IFERROR(__xludf.DUMMYFUNCTION("""COMPUTED_VALUE"""),0)</f>
        <v>0</v>
      </c>
      <c r="N32" s="67"/>
      <c r="O32" s="67"/>
      <c r="P32" s="67" t="str">
        <f ca="1">IFERROR(__xludf.DUMMYFUNCTION("""COMPUTED_VALUE"""),"СМР")</f>
        <v>СМР</v>
      </c>
      <c r="Q32" s="67">
        <f t="shared" ca="1" si="0"/>
        <v>0</v>
      </c>
      <c r="R32" s="67"/>
      <c r="S32" s="67"/>
      <c r="T32" s="67"/>
      <c r="U32" s="67"/>
      <c r="V32" s="67"/>
      <c r="W32" s="67"/>
      <c r="X32" s="67"/>
      <c r="Y32" s="67"/>
      <c r="Z32" s="67"/>
      <c r="AA32" s="67"/>
      <c r="AB32" s="67"/>
      <c r="AC32" s="67"/>
      <c r="AD32" s="67"/>
      <c r="AE32" s="67"/>
      <c r="AF32" s="67"/>
      <c r="AG32" s="67"/>
      <c r="AH32" s="67"/>
      <c r="AI32" s="67"/>
      <c r="AJ32" s="67"/>
      <c r="AK32" s="67"/>
      <c r="AL32" s="67"/>
      <c r="AM32" s="67"/>
    </row>
    <row r="33" spans="1:39" ht="84" hidden="1" x14ac:dyDescent="0.2">
      <c r="A33" s="67"/>
      <c r="B33" s="96"/>
      <c r="C3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3" s="20" t="str">
        <f ca="1">IFERROR(__xludf.DUMMYFUNCTION("""COMPUTED_VALUE"""),"МинЖКХ")</f>
        <v>МинЖКХ</v>
      </c>
      <c r="E33" s="20" t="str">
        <f ca="1">IFERROR(__xludf.DUMMYFUNCTION("""COMPUTED_VALUE"""),"Строительство ВЗУ ""Верея Ск №1"" п. Верея (Верейское с/п), ул. Почтовая, д. 7 Орехово-Зуевский г.о. ")</f>
        <v xml:space="preserve">Строительство ВЗУ "Верея Ск №1" п. Верея (Верейское с/п), ул. Почтовая, д. 7 Орехово-Зуевский г.о. </v>
      </c>
      <c r="F33" s="67">
        <f ca="1">IFERROR(__xludf.DUMMYFUNCTION("""COMPUTED_VALUE"""),2022)</f>
        <v>2022</v>
      </c>
      <c r="G33" s="67" t="str">
        <f ca="1">IFERROR(__xludf.DUMMYFUNCTION("""COMPUTED_VALUE"""),"г.о. Орехово-Зуево")</f>
        <v>г.о. Орехово-Зуево</v>
      </c>
      <c r="H33" s="67" t="str">
        <f ca="1">IFERROR(__xludf.DUMMYFUNCTION("""COMPUTED_VALUE"""),"ВЗУ")</f>
        <v>ВЗУ</v>
      </c>
      <c r="I33" s="67"/>
      <c r="J33" s="67"/>
      <c r="K33" s="97">
        <f ca="1">IFERROR(__xludf.DUMMYFUNCTION("""COMPUTED_VALUE"""),4646.1)</f>
        <v>4646.1000000000004</v>
      </c>
      <c r="L33" s="97">
        <f ca="1">IFERROR(__xludf.DUMMYFUNCTION("""COMPUTED_VALUE"""),0)</f>
        <v>0</v>
      </c>
      <c r="M33" s="97">
        <f ca="1">IFERROR(__xludf.DUMMYFUNCTION("""COMPUTED_VALUE"""),0)</f>
        <v>0</v>
      </c>
      <c r="N33" s="67"/>
      <c r="O33" s="67"/>
      <c r="P33" s="67" t="str">
        <f ca="1">IFERROR(__xludf.DUMMYFUNCTION("""COMPUTED_VALUE"""),"СМР")</f>
        <v>СМР</v>
      </c>
      <c r="Q33" s="67">
        <f t="shared" ca="1" si="0"/>
        <v>0</v>
      </c>
      <c r="R33" s="67"/>
      <c r="S33" s="67"/>
      <c r="T33" s="67"/>
      <c r="U33" s="67"/>
      <c r="V33" s="67"/>
      <c r="W33" s="67"/>
      <c r="X33" s="67"/>
      <c r="Y33" s="67"/>
      <c r="Z33" s="67"/>
      <c r="AA33" s="67"/>
      <c r="AB33" s="67"/>
      <c r="AC33" s="67"/>
      <c r="AD33" s="67"/>
      <c r="AE33" s="67"/>
      <c r="AF33" s="67"/>
      <c r="AG33" s="67"/>
      <c r="AH33" s="67"/>
      <c r="AI33" s="67"/>
      <c r="AJ33" s="67"/>
      <c r="AK33" s="67"/>
      <c r="AL33" s="67"/>
      <c r="AM33" s="67"/>
    </row>
    <row r="34" spans="1:39" ht="84" hidden="1" x14ac:dyDescent="0.2">
      <c r="A34" s="67"/>
      <c r="B34" s="96"/>
      <c r="C3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4" s="20" t="str">
        <f ca="1">IFERROR(__xludf.DUMMYFUNCTION("""COMPUTED_VALUE"""),"МинЖКХ")</f>
        <v>МинЖКХ</v>
      </c>
      <c r="E34" s="20" t="str">
        <f ca="1">IFERROR(__xludf.DUMMYFUNCTION("""COMPUTED_VALUE"""),"Реконструкция ВЗУ ""Кировский"" г. Орехово-Зуево, ул. Кирова,  Орехово-Зуевский г.о. ")</f>
        <v xml:space="preserve">Реконструкция ВЗУ "Кировский" г. Орехово-Зуево, ул. Кирова,  Орехово-Зуевский г.о. </v>
      </c>
      <c r="F34" s="67">
        <f ca="1">IFERROR(__xludf.DUMMYFUNCTION("""COMPUTED_VALUE"""),2022)</f>
        <v>2022</v>
      </c>
      <c r="G34" s="67" t="str">
        <f ca="1">IFERROR(__xludf.DUMMYFUNCTION("""COMPUTED_VALUE"""),"г.о. Орехово-Зуево")</f>
        <v>г.о. Орехово-Зуево</v>
      </c>
      <c r="H34" s="67" t="str">
        <f ca="1">IFERROR(__xludf.DUMMYFUNCTION("""COMPUTED_VALUE"""),"ВЗУ")</f>
        <v>ВЗУ</v>
      </c>
      <c r="I34" s="67"/>
      <c r="J34" s="67"/>
      <c r="K34" s="97">
        <f ca="1">IFERROR(__xludf.DUMMYFUNCTION("""COMPUTED_VALUE"""),11299.89)</f>
        <v>11299.89</v>
      </c>
      <c r="L34" s="97">
        <f ca="1">IFERROR(__xludf.DUMMYFUNCTION("""COMPUTED_VALUE"""),0)</f>
        <v>0</v>
      </c>
      <c r="M34" s="97">
        <f ca="1">IFERROR(__xludf.DUMMYFUNCTION("""COMPUTED_VALUE"""),0)</f>
        <v>0</v>
      </c>
      <c r="N34" s="67"/>
      <c r="O34" s="67"/>
      <c r="P34" s="67" t="str">
        <f ca="1">IFERROR(__xludf.DUMMYFUNCTION("""COMPUTED_VALUE"""),"СМР")</f>
        <v>СМР</v>
      </c>
      <c r="Q34" s="67">
        <f t="shared" ca="1" si="0"/>
        <v>0</v>
      </c>
      <c r="R34" s="67"/>
      <c r="S34" s="67"/>
      <c r="T34" s="67"/>
      <c r="U34" s="67"/>
      <c r="V34" s="67"/>
      <c r="W34" s="67"/>
      <c r="X34" s="67"/>
      <c r="Y34" s="67"/>
      <c r="Z34" s="67"/>
      <c r="AA34" s="67"/>
      <c r="AB34" s="67"/>
      <c r="AC34" s="67"/>
      <c r="AD34" s="67"/>
      <c r="AE34" s="67"/>
      <c r="AF34" s="67"/>
      <c r="AG34" s="67"/>
      <c r="AH34" s="67"/>
      <c r="AI34" s="67"/>
      <c r="AJ34" s="67"/>
      <c r="AK34" s="67"/>
      <c r="AL34" s="67"/>
      <c r="AM34" s="67"/>
    </row>
    <row r="35" spans="1:39" ht="84" hidden="1" x14ac:dyDescent="0.2">
      <c r="A35" s="67"/>
      <c r="B35" s="96"/>
      <c r="C3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5" s="20" t="str">
        <f ca="1">IFERROR(__xludf.DUMMYFUNCTION("""COMPUTED_VALUE"""),"МинЖКХ")</f>
        <v>МинЖКХ</v>
      </c>
      <c r="E35" s="20" t="str">
        <f ca="1">IFERROR(__xludf.DUMMYFUNCTION("""COMPUTED_VALUE"""),"Реконструкция ВЗУ ""Стрелки"" г. Орехово-Зуево, проезд. Сосновый, Орехово-Зуевский  г.о.")</f>
        <v>Реконструкция ВЗУ "Стрелки" г. Орехово-Зуево, проезд. Сосновый, Орехово-Зуевский  г.о.</v>
      </c>
      <c r="F35" s="67">
        <f ca="1">IFERROR(__xludf.DUMMYFUNCTION("""COMPUTED_VALUE"""),2022)</f>
        <v>2022</v>
      </c>
      <c r="G35" s="67" t="str">
        <f ca="1">IFERROR(__xludf.DUMMYFUNCTION("""COMPUTED_VALUE"""),"г.о. Орехово-Зуево")</f>
        <v>г.о. Орехово-Зуево</v>
      </c>
      <c r="H35" s="67" t="str">
        <f ca="1">IFERROR(__xludf.DUMMYFUNCTION("""COMPUTED_VALUE"""),"ВЗУ")</f>
        <v>ВЗУ</v>
      </c>
      <c r="I35" s="67"/>
      <c r="J35" s="67"/>
      <c r="K35" s="97">
        <f ca="1">IFERROR(__xludf.DUMMYFUNCTION("""COMPUTED_VALUE"""),11796.25)</f>
        <v>11796.25</v>
      </c>
      <c r="L35" s="97">
        <f ca="1">IFERROR(__xludf.DUMMYFUNCTION("""COMPUTED_VALUE"""),0)</f>
        <v>0</v>
      </c>
      <c r="M35" s="97">
        <f ca="1">IFERROR(__xludf.DUMMYFUNCTION("""COMPUTED_VALUE"""),0)</f>
        <v>0</v>
      </c>
      <c r="N35" s="67"/>
      <c r="O35" s="67"/>
      <c r="P35" s="67" t="str">
        <f ca="1">IFERROR(__xludf.DUMMYFUNCTION("""COMPUTED_VALUE"""),"СМР")</f>
        <v>СМР</v>
      </c>
      <c r="Q35" s="67">
        <f t="shared" ca="1" si="0"/>
        <v>0</v>
      </c>
      <c r="R35" s="67"/>
      <c r="S35" s="67"/>
      <c r="T35" s="67"/>
      <c r="U35" s="67"/>
      <c r="V35" s="67"/>
      <c r="W35" s="67"/>
      <c r="X35" s="67"/>
      <c r="Y35" s="67"/>
      <c r="Z35" s="67"/>
      <c r="AA35" s="67"/>
      <c r="AB35" s="67"/>
      <c r="AC35" s="67"/>
      <c r="AD35" s="67"/>
      <c r="AE35" s="67"/>
      <c r="AF35" s="67"/>
      <c r="AG35" s="67"/>
      <c r="AH35" s="67"/>
      <c r="AI35" s="67"/>
      <c r="AJ35" s="67"/>
      <c r="AK35" s="67"/>
      <c r="AL35" s="67"/>
      <c r="AM35" s="67"/>
    </row>
    <row r="36" spans="1:39" ht="84" hidden="1" x14ac:dyDescent="0.2">
      <c r="A36" s="67"/>
      <c r="B36" s="96"/>
      <c r="C3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6" s="20" t="str">
        <f ca="1">IFERROR(__xludf.DUMMYFUNCTION("""COMPUTED_VALUE"""),"МинЖКХ")</f>
        <v>МинЖКХ</v>
      </c>
      <c r="E36" s="20" t="str">
        <f ca="1">IFERROR(__xludf.DUMMYFUNCTION("""COMPUTED_VALUE"""),"Реконструкция водопровода от ВЗУ ""Новая стройка"" до городского парка с переходом по железной дорогой, L=750 м  Орехово-Зуевский г.о.  ")</f>
        <v xml:space="preserve">Реконструкция водопровода от ВЗУ "Новая стройка" до городского парка с переходом по железной дорогой, L=750 м  Орехово-Зуевский г.о.  </v>
      </c>
      <c r="F36" s="67">
        <f ca="1">IFERROR(__xludf.DUMMYFUNCTION("""COMPUTED_VALUE"""),2023)</f>
        <v>2023</v>
      </c>
      <c r="G36" s="67" t="str">
        <f ca="1">IFERROR(__xludf.DUMMYFUNCTION("""COMPUTED_VALUE"""),"г.о. Орехово-Зуево")</f>
        <v>г.о. Орехово-Зуево</v>
      </c>
      <c r="H36" s="67" t="str">
        <f ca="1">IFERROR(__xludf.DUMMYFUNCTION("""COMPUTED_VALUE"""),"ВЗУ")</f>
        <v>ВЗУ</v>
      </c>
      <c r="I36" s="67"/>
      <c r="J36" s="67"/>
      <c r="K36" s="97">
        <f ca="1">IFERROR(__xludf.DUMMYFUNCTION("""COMPUTED_VALUE"""),1000)</f>
        <v>1000</v>
      </c>
      <c r="L36" s="97">
        <f ca="1">IFERROR(__xludf.DUMMYFUNCTION("""COMPUTED_VALUE"""),0)</f>
        <v>0</v>
      </c>
      <c r="M36" s="97">
        <f ca="1">IFERROR(__xludf.DUMMYFUNCTION("""COMPUTED_VALUE"""),0)</f>
        <v>0</v>
      </c>
      <c r="N36" s="67"/>
      <c r="O36" s="67"/>
      <c r="P36" s="67" t="str">
        <f ca="1">IFERROR(__xludf.DUMMYFUNCTION("""COMPUTED_VALUE"""),"СМР")</f>
        <v>СМР</v>
      </c>
      <c r="Q36" s="67">
        <f t="shared" ca="1" si="0"/>
        <v>0</v>
      </c>
      <c r="R36" s="67"/>
      <c r="S36" s="67"/>
      <c r="T36" s="67"/>
      <c r="U36" s="67"/>
      <c r="V36" s="67"/>
      <c r="W36" s="67"/>
      <c r="X36" s="67"/>
      <c r="Y36" s="67"/>
      <c r="Z36" s="67"/>
      <c r="AA36" s="67"/>
      <c r="AB36" s="67"/>
      <c r="AC36" s="67"/>
      <c r="AD36" s="67"/>
      <c r="AE36" s="67"/>
      <c r="AF36" s="67"/>
      <c r="AG36" s="67"/>
      <c r="AH36" s="67"/>
      <c r="AI36" s="67"/>
      <c r="AJ36" s="67"/>
      <c r="AK36" s="67"/>
      <c r="AL36" s="67"/>
      <c r="AM36" s="67"/>
    </row>
    <row r="37" spans="1:39" ht="84" hidden="1" x14ac:dyDescent="0.2">
      <c r="A37" s="67"/>
      <c r="B37" s="96"/>
      <c r="C3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7" s="20" t="str">
        <f ca="1">IFERROR(__xludf.DUMMYFUNCTION("""COMPUTED_VALUE"""),"МинЖКХ")</f>
        <v>МинЖКХ</v>
      </c>
      <c r="E37" s="20" t="str">
        <f ca="1">IFERROR(__xludf.DUMMYFUNCTION("""COMPUTED_VALUE"""),"Реконструкция водопровода от Водозаборного узла ""Стрелки"" до ДСК, далее до перекрестка Малодубенское шоссе-ул. Северная,  L= 2950 м  Орехово-Зуевский г.о.")</f>
        <v>Реконструкция водопровода от Водозаборного узла "Стрелки" до ДСК, далее до перекрестка Малодубенское шоссе-ул. Северная,  L= 2950 м  Орехово-Зуевский г.о.</v>
      </c>
      <c r="F37" s="67">
        <f ca="1">IFERROR(__xludf.DUMMYFUNCTION("""COMPUTED_VALUE"""),2023)</f>
        <v>2023</v>
      </c>
      <c r="G37" s="67" t="str">
        <f ca="1">IFERROR(__xludf.DUMMYFUNCTION("""COMPUTED_VALUE"""),"г.о. Орехово-Зуево")</f>
        <v>г.о. Орехово-Зуево</v>
      </c>
      <c r="H37" s="67" t="str">
        <f ca="1">IFERROR(__xludf.DUMMYFUNCTION("""COMPUTED_VALUE"""),"Сети")</f>
        <v>Сети</v>
      </c>
      <c r="I37" s="67"/>
      <c r="J37" s="67"/>
      <c r="K37" s="97">
        <f ca="1">IFERROR(__xludf.DUMMYFUNCTION("""COMPUTED_VALUE"""),2019)</f>
        <v>2019</v>
      </c>
      <c r="L37" s="97">
        <f ca="1">IFERROR(__xludf.DUMMYFUNCTION("""COMPUTED_VALUE"""),0)</f>
        <v>0</v>
      </c>
      <c r="M37" s="97">
        <f ca="1">IFERROR(__xludf.DUMMYFUNCTION("""COMPUTED_VALUE"""),0)</f>
        <v>0</v>
      </c>
      <c r="N37" s="67"/>
      <c r="O37" s="67"/>
      <c r="P37" s="67" t="str">
        <f ca="1">IFERROR(__xludf.DUMMYFUNCTION("""COMPUTED_VALUE"""),"СМР")</f>
        <v>СМР</v>
      </c>
      <c r="Q37" s="67">
        <f t="shared" ca="1" si="0"/>
        <v>0</v>
      </c>
      <c r="R37" s="67"/>
      <c r="S37" s="67"/>
      <c r="T37" s="67"/>
      <c r="U37" s="67"/>
      <c r="V37" s="67"/>
      <c r="W37" s="67"/>
      <c r="X37" s="67"/>
      <c r="Y37" s="67"/>
      <c r="Z37" s="67"/>
      <c r="AA37" s="67"/>
      <c r="AB37" s="67"/>
      <c r="AC37" s="67"/>
      <c r="AD37" s="67"/>
      <c r="AE37" s="67"/>
      <c r="AF37" s="67"/>
      <c r="AG37" s="67"/>
      <c r="AH37" s="67"/>
      <c r="AI37" s="67"/>
      <c r="AJ37" s="67"/>
      <c r="AK37" s="67"/>
      <c r="AL37" s="67"/>
      <c r="AM37" s="67"/>
    </row>
    <row r="38" spans="1:39" ht="84" hidden="1" x14ac:dyDescent="0.2">
      <c r="A38" s="67"/>
      <c r="B38" s="96"/>
      <c r="C3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8" s="20" t="str">
        <f ca="1">IFERROR(__xludf.DUMMYFUNCTION("""COMPUTED_VALUE"""),"МинЖКХ")</f>
        <v>МинЖКХ</v>
      </c>
      <c r="E38" s="20" t="str">
        <f ca="1">IFERROR(__xludf.DUMMYFUNCTION("""COMPUTED_VALUE"""),"Реконструкция ВЗУ №4 г.о. Жуковский")</f>
        <v>Реконструкция ВЗУ №4 г.о. Жуковский</v>
      </c>
      <c r="F38" s="67" t="str">
        <f ca="1">IFERROR(__xludf.DUMMYFUNCTION("""COMPUTED_VALUE"""),"Н/Л")</f>
        <v>Н/Л</v>
      </c>
      <c r="G38" s="67" t="str">
        <f ca="1">IFERROR(__xludf.DUMMYFUNCTION("""COMPUTED_VALUE"""),"г.о. Жуковский")</f>
        <v>г.о. Жуковский</v>
      </c>
      <c r="H38" s="67" t="str">
        <f ca="1">IFERROR(__xludf.DUMMYFUNCTION("""COMPUTED_VALUE"""),"ВЗУ")</f>
        <v>ВЗУ</v>
      </c>
      <c r="I38" s="67"/>
      <c r="J38" s="67"/>
      <c r="K38" s="97">
        <f ca="1">IFERROR(__xludf.DUMMYFUNCTION("""COMPUTED_VALUE"""),0)</f>
        <v>0</v>
      </c>
      <c r="L38" s="97">
        <f ca="1">IFERROR(__xludf.DUMMYFUNCTION("""COMPUTED_VALUE"""),0)</f>
        <v>0</v>
      </c>
      <c r="M38" s="97">
        <f ca="1">IFERROR(__xludf.DUMMYFUNCTION("""COMPUTED_VALUE"""),0)</f>
        <v>0</v>
      </c>
      <c r="N38" s="67"/>
      <c r="O38" s="67"/>
      <c r="P38" s="67"/>
      <c r="Q38" s="67" t="e">
        <f t="shared" ca="1" si="0"/>
        <v>#DIV/0!</v>
      </c>
      <c r="R38" s="67"/>
      <c r="S38" s="67"/>
      <c r="T38" s="67"/>
      <c r="U38" s="67"/>
      <c r="V38" s="67"/>
      <c r="W38" s="67"/>
      <c r="X38" s="67"/>
      <c r="Y38" s="67"/>
      <c r="Z38" s="67"/>
      <c r="AA38" s="67"/>
      <c r="AB38" s="67"/>
      <c r="AC38" s="67"/>
      <c r="AD38" s="67"/>
      <c r="AE38" s="67"/>
      <c r="AF38" s="67"/>
      <c r="AG38" s="67"/>
      <c r="AH38" s="67"/>
      <c r="AI38" s="67"/>
      <c r="AJ38" s="67"/>
      <c r="AK38" s="67"/>
      <c r="AL38" s="67"/>
      <c r="AM38" s="67"/>
    </row>
    <row r="39" spans="1:39" ht="84" hidden="1" x14ac:dyDescent="0.2">
      <c r="A39" s="67"/>
      <c r="B39" s="96"/>
      <c r="C3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9" s="20" t="str">
        <f ca="1">IFERROR(__xludf.DUMMYFUNCTION("""COMPUTED_VALUE"""),"МинЖКХ")</f>
        <v>МинЖКХ</v>
      </c>
      <c r="E39" s="20" t="str">
        <f ca="1">IFERROR(__xludf.DUMMYFUNCTION("""COMPUTED_VALUE"""),"Реконструкция ВЗУ №1 г.о. Жуковский")</f>
        <v>Реконструкция ВЗУ №1 г.о. Жуковский</v>
      </c>
      <c r="F39" s="67">
        <f ca="1">IFERROR(__xludf.DUMMYFUNCTION("""COMPUTED_VALUE"""),2022)</f>
        <v>2022</v>
      </c>
      <c r="G39" s="67" t="str">
        <f ca="1">IFERROR(__xludf.DUMMYFUNCTION("""COMPUTED_VALUE"""),"г.о. Жуковский")</f>
        <v>г.о. Жуковский</v>
      </c>
      <c r="H39" s="67" t="str">
        <f ca="1">IFERROR(__xludf.DUMMYFUNCTION("""COMPUTED_VALUE"""),"ВЗУ")</f>
        <v>ВЗУ</v>
      </c>
      <c r="I39" s="67"/>
      <c r="J39" s="67"/>
      <c r="K39" s="97">
        <f ca="1">IFERROR(__xludf.DUMMYFUNCTION("""COMPUTED_VALUE"""),33665.27)</f>
        <v>33665.269999999997</v>
      </c>
      <c r="L39" s="97">
        <f ca="1">IFERROR(__xludf.DUMMYFUNCTION("""COMPUTED_VALUE"""),0)</f>
        <v>0</v>
      </c>
      <c r="M39" s="97">
        <f ca="1">IFERROR(__xludf.DUMMYFUNCTION("""COMPUTED_VALUE"""),0)</f>
        <v>0</v>
      </c>
      <c r="N39" s="67"/>
      <c r="O39" s="67"/>
      <c r="P39" s="67" t="str">
        <f ca="1">IFERROR(__xludf.DUMMYFUNCTION("""COMPUTED_VALUE"""),"СМР")</f>
        <v>СМР</v>
      </c>
      <c r="Q39" s="67">
        <f t="shared" ca="1" si="0"/>
        <v>0</v>
      </c>
      <c r="R39" s="67"/>
      <c r="S39" s="67"/>
      <c r="T39" s="67"/>
      <c r="U39" s="67"/>
      <c r="V39" s="67"/>
      <c r="W39" s="67"/>
      <c r="X39" s="67"/>
      <c r="Y39" s="67"/>
      <c r="Z39" s="67"/>
      <c r="AA39" s="67"/>
      <c r="AB39" s="67"/>
      <c r="AC39" s="67"/>
      <c r="AD39" s="67"/>
      <c r="AE39" s="67"/>
      <c r="AF39" s="67"/>
      <c r="AG39" s="67"/>
      <c r="AH39" s="67"/>
      <c r="AI39" s="67"/>
      <c r="AJ39" s="67"/>
      <c r="AK39" s="67"/>
      <c r="AL39" s="67"/>
      <c r="AM39" s="67"/>
    </row>
    <row r="40" spans="1:39" ht="84" hidden="1" x14ac:dyDescent="0.2">
      <c r="A40" s="67"/>
      <c r="B40" s="96"/>
      <c r="C4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0" s="20" t="str">
        <f ca="1">IFERROR(__xludf.DUMMYFUNCTION("""COMPUTED_VALUE"""),"МинЖКХ")</f>
        <v>МинЖКХ</v>
      </c>
      <c r="E40" s="20" t="str">
        <f ca="1">IFERROR(__xludf.DUMMYFUNCTION("""COMPUTED_VALUE"""),"Реконструкция ВЗУ №2 г.о. Жуковский")</f>
        <v>Реконструкция ВЗУ №2 г.о. Жуковский</v>
      </c>
      <c r="F40" s="67" t="str">
        <f ca="1">IFERROR(__xludf.DUMMYFUNCTION("""COMPUTED_VALUE"""),"Н/Л")</f>
        <v>Н/Л</v>
      </c>
      <c r="G40" s="67" t="str">
        <f ca="1">IFERROR(__xludf.DUMMYFUNCTION("""COMPUTED_VALUE"""),"г.о. Жуковский")</f>
        <v>г.о. Жуковский</v>
      </c>
      <c r="H40" s="67" t="str">
        <f ca="1">IFERROR(__xludf.DUMMYFUNCTION("""COMPUTED_VALUE"""),"ВЗУ")</f>
        <v>ВЗУ</v>
      </c>
      <c r="I40" s="67"/>
      <c r="J40" s="67"/>
      <c r="K40" s="97">
        <f ca="1">IFERROR(__xludf.DUMMYFUNCTION("""COMPUTED_VALUE"""),0)</f>
        <v>0</v>
      </c>
      <c r="L40" s="97">
        <f ca="1">IFERROR(__xludf.DUMMYFUNCTION("""COMPUTED_VALUE"""),0)</f>
        <v>0</v>
      </c>
      <c r="M40" s="97">
        <f ca="1">IFERROR(__xludf.DUMMYFUNCTION("""COMPUTED_VALUE"""),0)</f>
        <v>0</v>
      </c>
      <c r="N40" s="67"/>
      <c r="O40" s="67"/>
      <c r="P40" s="67"/>
      <c r="Q40" s="67" t="e">
        <f t="shared" ca="1" si="0"/>
        <v>#DIV/0!</v>
      </c>
      <c r="R40" s="67"/>
      <c r="S40" s="67"/>
      <c r="T40" s="67"/>
      <c r="U40" s="67"/>
      <c r="V40" s="67"/>
      <c r="W40" s="67"/>
      <c r="X40" s="67"/>
      <c r="Y40" s="67"/>
      <c r="Z40" s="67"/>
      <c r="AA40" s="67"/>
      <c r="AB40" s="67"/>
      <c r="AC40" s="67"/>
      <c r="AD40" s="67"/>
      <c r="AE40" s="67"/>
      <c r="AF40" s="67"/>
      <c r="AG40" s="67"/>
      <c r="AH40" s="67"/>
      <c r="AI40" s="67"/>
      <c r="AJ40" s="67"/>
      <c r="AK40" s="67"/>
      <c r="AL40" s="67"/>
      <c r="AM40" s="67"/>
    </row>
    <row r="41" spans="1:39" ht="84" hidden="1" x14ac:dyDescent="0.2">
      <c r="A41" s="67"/>
      <c r="B41" s="96"/>
      <c r="C4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1" s="20" t="str">
        <f ca="1">IFERROR(__xludf.DUMMYFUNCTION("""COMPUTED_VALUE"""),"МинЖКХ")</f>
        <v>МинЖКХ</v>
      </c>
      <c r="E41" s="20" t="str">
        <f ca="1">IFERROR(__xludf.DUMMYFUNCTION("""COMPUTED_VALUE"""),"Реконструкция ВЗУ № 1 г. Пушкино Пушкинский г.о. ")</f>
        <v xml:space="preserve">Реконструкция ВЗУ № 1 г. Пушкино Пушкинский г.о. </v>
      </c>
      <c r="F41" s="67">
        <f ca="1">IFERROR(__xludf.DUMMYFUNCTION("""COMPUTED_VALUE"""),2023)</f>
        <v>2023</v>
      </c>
      <c r="G41" s="67" t="str">
        <f ca="1">IFERROR(__xludf.DUMMYFUNCTION("""COMPUTED_VALUE"""),"г.о. Пушкинский")</f>
        <v>г.о. Пушкинский</v>
      </c>
      <c r="H41" s="67" t="str">
        <f ca="1">IFERROR(__xludf.DUMMYFUNCTION("""COMPUTED_VALUE"""),"ВЗУ")</f>
        <v>ВЗУ</v>
      </c>
      <c r="I41" s="67"/>
      <c r="J41" s="67"/>
      <c r="K41" s="97">
        <f ca="1">IFERROR(__xludf.DUMMYFUNCTION("""COMPUTED_VALUE"""),26840)</f>
        <v>26840</v>
      </c>
      <c r="L41" s="97">
        <f ca="1">IFERROR(__xludf.DUMMYFUNCTION("""COMPUTED_VALUE"""),0)</f>
        <v>0</v>
      </c>
      <c r="M41" s="97">
        <f ca="1">IFERROR(__xludf.DUMMYFUNCTION("""COMPUTED_VALUE"""),0)</f>
        <v>0</v>
      </c>
      <c r="N41" s="67"/>
      <c r="O41" s="67"/>
      <c r="P41" s="67" t="str">
        <f ca="1">IFERROR(__xludf.DUMMYFUNCTION("""COMPUTED_VALUE"""),"СМР")</f>
        <v>СМР</v>
      </c>
      <c r="Q41" s="67">
        <f t="shared" ca="1" si="0"/>
        <v>0</v>
      </c>
      <c r="R41" s="67"/>
      <c r="S41" s="67"/>
      <c r="T41" s="67"/>
      <c r="U41" s="67"/>
      <c r="V41" s="67"/>
      <c r="W41" s="67"/>
      <c r="X41" s="67"/>
      <c r="Y41" s="67"/>
      <c r="Z41" s="67"/>
      <c r="AA41" s="67"/>
      <c r="AB41" s="67"/>
      <c r="AC41" s="67"/>
      <c r="AD41" s="67"/>
      <c r="AE41" s="67"/>
      <c r="AF41" s="67"/>
      <c r="AG41" s="67"/>
      <c r="AH41" s="67"/>
      <c r="AI41" s="67"/>
      <c r="AJ41" s="67"/>
      <c r="AK41" s="67"/>
      <c r="AL41" s="67"/>
      <c r="AM41" s="67"/>
    </row>
    <row r="42" spans="1:39" ht="84" hidden="1" x14ac:dyDescent="0.2">
      <c r="A42" s="67"/>
      <c r="B42" s="96"/>
      <c r="C4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2" s="20" t="str">
        <f ca="1">IFERROR(__xludf.DUMMYFUNCTION("""COMPUTED_VALUE"""),"МинЖКХ")</f>
        <v>МинЖКХ</v>
      </c>
      <c r="E42" s="20" t="str">
        <f ca="1">IFERROR(__xludf.DUMMYFUNCTION("""COMPUTED_VALUE"""),"Реконструкция ВЗУ № 3 г. Пушкино г.о. Пушкино")</f>
        <v>Реконструкция ВЗУ № 3 г. Пушкино г.о. Пушкино</v>
      </c>
      <c r="F42" s="67" t="str">
        <f ca="1">IFERROR(__xludf.DUMMYFUNCTION("""COMPUTED_VALUE"""),"Н/Л")</f>
        <v>Н/Л</v>
      </c>
      <c r="G42" s="67" t="str">
        <f ca="1">IFERROR(__xludf.DUMMYFUNCTION("""COMPUTED_VALUE"""),"г.о. Пушкинский")</f>
        <v>г.о. Пушкинский</v>
      </c>
      <c r="H42" s="67" t="str">
        <f ca="1">IFERROR(__xludf.DUMMYFUNCTION("""COMPUTED_VALUE"""),"ВЗУ")</f>
        <v>ВЗУ</v>
      </c>
      <c r="I42" s="67"/>
      <c r="J42" s="67"/>
      <c r="K42" s="97">
        <f ca="1">IFERROR(__xludf.DUMMYFUNCTION("""COMPUTED_VALUE"""),0)</f>
        <v>0</v>
      </c>
      <c r="L42" s="97">
        <f ca="1">IFERROR(__xludf.DUMMYFUNCTION("""COMPUTED_VALUE"""),0)</f>
        <v>0</v>
      </c>
      <c r="M42" s="97">
        <f ca="1">IFERROR(__xludf.DUMMYFUNCTION("""COMPUTED_VALUE"""),0)</f>
        <v>0</v>
      </c>
      <c r="N42" s="67"/>
      <c r="O42" s="67"/>
      <c r="P42" s="67"/>
      <c r="Q42" s="67" t="e">
        <f t="shared" ca="1" si="0"/>
        <v>#DIV/0!</v>
      </c>
      <c r="R42" s="67"/>
      <c r="S42" s="67"/>
      <c r="T42" s="67"/>
      <c r="U42" s="67"/>
      <c r="V42" s="67"/>
      <c r="W42" s="67"/>
      <c r="X42" s="67"/>
      <c r="Y42" s="67"/>
      <c r="Z42" s="67"/>
      <c r="AA42" s="67"/>
      <c r="AB42" s="67"/>
      <c r="AC42" s="67"/>
      <c r="AD42" s="67"/>
      <c r="AE42" s="67"/>
      <c r="AF42" s="67"/>
      <c r="AG42" s="67"/>
      <c r="AH42" s="67"/>
      <c r="AI42" s="67"/>
      <c r="AJ42" s="67"/>
      <c r="AK42" s="67"/>
      <c r="AL42" s="67"/>
      <c r="AM42" s="67"/>
    </row>
    <row r="43" spans="1:39" ht="84" hidden="1" x14ac:dyDescent="0.2">
      <c r="A43" s="67"/>
      <c r="B43" s="96"/>
      <c r="C4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3" s="20" t="str">
        <f ca="1">IFERROR(__xludf.DUMMYFUNCTION("""COMPUTED_VALUE"""),"МинЖКХ")</f>
        <v>МинЖКХ</v>
      </c>
      <c r="E43" s="20" t="str">
        <f ca="1">IFERROR(__xludf.DUMMYFUNCTION("""COMPUTED_VALUE"""),"Реконструкция ВЗУ № 12 г. Пушкино Пушкинский г.о.")</f>
        <v>Реконструкция ВЗУ № 12 г. Пушкино Пушкинский г.о.</v>
      </c>
      <c r="F43" s="67">
        <f ca="1">IFERROR(__xludf.DUMMYFUNCTION("""COMPUTED_VALUE"""),2024)</f>
        <v>2024</v>
      </c>
      <c r="G43" s="67" t="str">
        <f ca="1">IFERROR(__xludf.DUMMYFUNCTION("""COMPUTED_VALUE"""),"г.о. Пушкинский")</f>
        <v>г.о. Пушкинский</v>
      </c>
      <c r="H43" s="67" t="str">
        <f ca="1">IFERROR(__xludf.DUMMYFUNCTION("""COMPUTED_VALUE"""),"ВЗУ")</f>
        <v>ВЗУ</v>
      </c>
      <c r="I43" s="67"/>
      <c r="J43" s="67"/>
      <c r="K43" s="97">
        <f ca="1">IFERROR(__xludf.DUMMYFUNCTION("""COMPUTED_VALUE"""),20740)</f>
        <v>20740</v>
      </c>
      <c r="L43" s="97">
        <f ca="1">IFERROR(__xludf.DUMMYFUNCTION("""COMPUTED_VALUE"""),0)</f>
        <v>0</v>
      </c>
      <c r="M43" s="97">
        <f ca="1">IFERROR(__xludf.DUMMYFUNCTION("""COMPUTED_VALUE"""),0)</f>
        <v>0</v>
      </c>
      <c r="N43" s="67"/>
      <c r="O43" s="67"/>
      <c r="P43" s="67" t="str">
        <f ca="1">IFERROR(__xludf.DUMMYFUNCTION("""COMPUTED_VALUE"""),"СМР")</f>
        <v>СМР</v>
      </c>
      <c r="Q43" s="67">
        <f t="shared" ca="1" si="0"/>
        <v>0</v>
      </c>
      <c r="R43" s="67"/>
      <c r="S43" s="67"/>
      <c r="T43" s="67"/>
      <c r="U43" s="67"/>
      <c r="V43" s="67"/>
      <c r="W43" s="67"/>
      <c r="X43" s="67"/>
      <c r="Y43" s="67"/>
      <c r="Z43" s="67"/>
      <c r="AA43" s="67"/>
      <c r="AB43" s="67"/>
      <c r="AC43" s="67"/>
      <c r="AD43" s="67"/>
      <c r="AE43" s="67"/>
      <c r="AF43" s="67"/>
      <c r="AG43" s="67"/>
      <c r="AH43" s="67"/>
      <c r="AI43" s="67"/>
      <c r="AJ43" s="67"/>
      <c r="AK43" s="67"/>
      <c r="AL43" s="67"/>
      <c r="AM43" s="67"/>
    </row>
    <row r="44" spans="1:39" ht="84" hidden="1" x14ac:dyDescent="0.2">
      <c r="A44" s="67"/>
      <c r="B44" s="96"/>
      <c r="C4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4" s="20" t="str">
        <f ca="1">IFERROR(__xludf.DUMMYFUNCTION("""COMPUTED_VALUE"""),"МинЖКХ")</f>
        <v>МинЖКХ</v>
      </c>
      <c r="E44" s="20" t="str">
        <f ca="1">IFERROR(__xludf.DUMMYFUNCTION("""COMPUTED_VALUE"""),"Реконструкция ВЗУ № 14 пос. Правдинский  Пушкинский г.о.")</f>
        <v>Реконструкция ВЗУ № 14 пос. Правдинский  Пушкинский г.о.</v>
      </c>
      <c r="F44" s="67">
        <f ca="1">IFERROR(__xludf.DUMMYFUNCTION("""COMPUTED_VALUE"""),2024)</f>
        <v>2024</v>
      </c>
      <c r="G44" s="67" t="str">
        <f ca="1">IFERROR(__xludf.DUMMYFUNCTION("""COMPUTED_VALUE"""),"г.о. Пушкинский")</f>
        <v>г.о. Пушкинский</v>
      </c>
      <c r="H44" s="67" t="str">
        <f ca="1">IFERROR(__xludf.DUMMYFUNCTION("""COMPUTED_VALUE"""),"ВЗУ")</f>
        <v>ВЗУ</v>
      </c>
      <c r="I44" s="67"/>
      <c r="J44" s="67"/>
      <c r="K44" s="97">
        <f ca="1">IFERROR(__xludf.DUMMYFUNCTION("""COMPUTED_VALUE"""),14640)</f>
        <v>14640</v>
      </c>
      <c r="L44" s="97">
        <f ca="1">IFERROR(__xludf.DUMMYFUNCTION("""COMPUTED_VALUE"""),0)</f>
        <v>0</v>
      </c>
      <c r="M44" s="97">
        <f ca="1">IFERROR(__xludf.DUMMYFUNCTION("""COMPUTED_VALUE"""),0)</f>
        <v>0</v>
      </c>
      <c r="N44" s="67"/>
      <c r="O44" s="67"/>
      <c r="P44" s="67" t="str">
        <f ca="1">IFERROR(__xludf.DUMMYFUNCTION("""COMPUTED_VALUE"""),"СМР")</f>
        <v>СМР</v>
      </c>
      <c r="Q44" s="67">
        <f t="shared" ca="1" si="0"/>
        <v>0</v>
      </c>
      <c r="R44" s="67"/>
      <c r="S44" s="67"/>
      <c r="T44" s="67"/>
      <c r="U44" s="67"/>
      <c r="V44" s="67"/>
      <c r="W44" s="67"/>
      <c r="X44" s="67"/>
      <c r="Y44" s="67"/>
      <c r="Z44" s="67"/>
      <c r="AA44" s="67"/>
      <c r="AB44" s="67"/>
      <c r="AC44" s="67"/>
      <c r="AD44" s="67"/>
      <c r="AE44" s="67"/>
      <c r="AF44" s="67"/>
      <c r="AG44" s="67"/>
      <c r="AH44" s="67"/>
      <c r="AI44" s="67"/>
      <c r="AJ44" s="67"/>
      <c r="AK44" s="67"/>
      <c r="AL44" s="67"/>
      <c r="AM44" s="67"/>
    </row>
    <row r="45" spans="1:39" ht="84" hidden="1" x14ac:dyDescent="0.2">
      <c r="A45" s="67"/>
      <c r="B45" s="96"/>
      <c r="C4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5" s="20" t="str">
        <f ca="1">IFERROR(__xludf.DUMMYFUNCTION("""COMPUTED_VALUE"""),"МинЖКХ")</f>
        <v>МинЖКХ</v>
      </c>
      <c r="E45" s="20" t="str">
        <f ca="1">IFERROR(__xludf.DUMMYFUNCTION("""COMPUTED_VALUE"""),"Реконструкция ВЗУ № 18 пос. Правдинский  г.о. Пушкино")</f>
        <v>Реконструкция ВЗУ № 18 пос. Правдинский  г.о. Пушкино</v>
      </c>
      <c r="F45" s="67" t="str">
        <f ca="1">IFERROR(__xludf.DUMMYFUNCTION("""COMPUTED_VALUE"""),"Н/Л")</f>
        <v>Н/Л</v>
      </c>
      <c r="G45" s="67" t="str">
        <f ca="1">IFERROR(__xludf.DUMMYFUNCTION("""COMPUTED_VALUE"""),"г.о. Пушкинский")</f>
        <v>г.о. Пушкинский</v>
      </c>
      <c r="H45" s="67" t="str">
        <f ca="1">IFERROR(__xludf.DUMMYFUNCTION("""COMPUTED_VALUE"""),"ВЗУ")</f>
        <v>ВЗУ</v>
      </c>
      <c r="I45" s="67"/>
      <c r="J45" s="67"/>
      <c r="K45" s="97">
        <f ca="1">IFERROR(__xludf.DUMMYFUNCTION("""COMPUTED_VALUE"""),0)</f>
        <v>0</v>
      </c>
      <c r="L45" s="97">
        <f ca="1">IFERROR(__xludf.DUMMYFUNCTION("""COMPUTED_VALUE"""),0)</f>
        <v>0</v>
      </c>
      <c r="M45" s="97">
        <f ca="1">IFERROR(__xludf.DUMMYFUNCTION("""COMPUTED_VALUE"""),0)</f>
        <v>0</v>
      </c>
      <c r="N45" s="67"/>
      <c r="O45" s="67"/>
      <c r="P45" s="67"/>
      <c r="Q45" s="67" t="e">
        <f t="shared" ca="1" si="0"/>
        <v>#DIV/0!</v>
      </c>
      <c r="R45" s="67"/>
      <c r="S45" s="67"/>
      <c r="T45" s="67"/>
      <c r="U45" s="67"/>
      <c r="V45" s="67"/>
      <c r="W45" s="67"/>
      <c r="X45" s="67"/>
      <c r="Y45" s="67"/>
      <c r="Z45" s="67"/>
      <c r="AA45" s="67"/>
      <c r="AB45" s="67"/>
      <c r="AC45" s="67"/>
      <c r="AD45" s="67"/>
      <c r="AE45" s="67"/>
      <c r="AF45" s="67"/>
      <c r="AG45" s="67"/>
      <c r="AH45" s="67"/>
      <c r="AI45" s="67"/>
      <c r="AJ45" s="67"/>
      <c r="AK45" s="67"/>
      <c r="AL45" s="67"/>
      <c r="AM45" s="67"/>
    </row>
    <row r="46" spans="1:39" ht="84" hidden="1" x14ac:dyDescent="0.2">
      <c r="A46" s="67"/>
      <c r="B46" s="96"/>
      <c r="C4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6" s="20" t="str">
        <f ca="1">IFERROR(__xludf.DUMMYFUNCTION("""COMPUTED_VALUE"""),"МинЖКХ")</f>
        <v>МинЖКХ</v>
      </c>
      <c r="E46" s="20" t="str">
        <f ca="1">IFERROR(__xludf.DUMMYFUNCTION("""COMPUTED_VALUE"""),"Реконструкция ВЗУ № 42  пос. Царевское Пушкинский г.о.")</f>
        <v>Реконструкция ВЗУ № 42  пос. Царевское Пушкинский г.о.</v>
      </c>
      <c r="F46" s="67">
        <f ca="1">IFERROR(__xludf.DUMMYFUNCTION("""COMPUTED_VALUE"""),2024)</f>
        <v>2024</v>
      </c>
      <c r="G46" s="67" t="str">
        <f ca="1">IFERROR(__xludf.DUMMYFUNCTION("""COMPUTED_VALUE"""),"г.о. Пушкинский")</f>
        <v>г.о. Пушкинский</v>
      </c>
      <c r="H46" s="67" t="str">
        <f ca="1">IFERROR(__xludf.DUMMYFUNCTION("""COMPUTED_VALUE"""),"ВЗУ")</f>
        <v>ВЗУ</v>
      </c>
      <c r="I46" s="67"/>
      <c r="J46" s="67"/>
      <c r="K46" s="97">
        <f ca="1">IFERROR(__xludf.DUMMYFUNCTION("""COMPUTED_VALUE"""),9272)</f>
        <v>9272</v>
      </c>
      <c r="L46" s="97">
        <f ca="1">IFERROR(__xludf.DUMMYFUNCTION("""COMPUTED_VALUE"""),0)</f>
        <v>0</v>
      </c>
      <c r="M46" s="97">
        <f ca="1">IFERROR(__xludf.DUMMYFUNCTION("""COMPUTED_VALUE"""),0)</f>
        <v>0</v>
      </c>
      <c r="N46" s="67"/>
      <c r="O46" s="67"/>
      <c r="P46" s="67" t="str">
        <f ca="1">IFERROR(__xludf.DUMMYFUNCTION("""COMPUTED_VALUE"""),"СМР")</f>
        <v>СМР</v>
      </c>
      <c r="Q46" s="67">
        <f t="shared" ca="1" si="0"/>
        <v>0</v>
      </c>
      <c r="R46" s="67"/>
      <c r="S46" s="67"/>
      <c r="T46" s="67"/>
      <c r="U46" s="67"/>
      <c r="V46" s="67"/>
      <c r="W46" s="67"/>
      <c r="X46" s="67"/>
      <c r="Y46" s="67"/>
      <c r="Z46" s="67"/>
      <c r="AA46" s="67"/>
      <c r="AB46" s="67"/>
      <c r="AC46" s="67"/>
      <c r="AD46" s="67"/>
      <c r="AE46" s="67"/>
      <c r="AF46" s="67"/>
      <c r="AG46" s="67"/>
      <c r="AH46" s="67"/>
      <c r="AI46" s="67"/>
      <c r="AJ46" s="67"/>
      <c r="AK46" s="67"/>
      <c r="AL46" s="67"/>
      <c r="AM46" s="67"/>
    </row>
    <row r="47" spans="1:39" ht="84" hidden="1" x14ac:dyDescent="0.2">
      <c r="A47" s="67"/>
      <c r="B47" s="96"/>
      <c r="C4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7" s="20" t="str">
        <f ca="1">IFERROR(__xludf.DUMMYFUNCTION("""COMPUTED_VALUE"""),"МинЖКХ")</f>
        <v>МинЖКХ</v>
      </c>
      <c r="E47" s="20" t="str">
        <f ca="1">IFERROR(__xludf.DUMMYFUNCTION("""COMPUTED_VALUE"""),"Реконструкция ВЗУ № 8  пос. Царевское  г.о. Пушкино")</f>
        <v>Реконструкция ВЗУ № 8  пос. Царевское  г.о. Пушкино</v>
      </c>
      <c r="F47" s="67">
        <f ca="1">IFERROR(__xludf.DUMMYFUNCTION("""COMPUTED_VALUE"""),2024)</f>
        <v>2024</v>
      </c>
      <c r="G47" s="67" t="str">
        <f ca="1">IFERROR(__xludf.DUMMYFUNCTION("""COMPUTED_VALUE"""),"г.о. Пушкинский")</f>
        <v>г.о. Пушкинский</v>
      </c>
      <c r="H47" s="67" t="str">
        <f ca="1">IFERROR(__xludf.DUMMYFUNCTION("""COMPUTED_VALUE"""),"ВЗУ")</f>
        <v>ВЗУ</v>
      </c>
      <c r="I47" s="67"/>
      <c r="J47" s="67"/>
      <c r="K47" s="97">
        <f ca="1">IFERROR(__xludf.DUMMYFUNCTION("""COMPUTED_VALUE"""),2928)</f>
        <v>2928</v>
      </c>
      <c r="L47" s="97">
        <f ca="1">IFERROR(__xludf.DUMMYFUNCTION("""COMPUTED_VALUE"""),0)</f>
        <v>0</v>
      </c>
      <c r="M47" s="97">
        <f ca="1">IFERROR(__xludf.DUMMYFUNCTION("""COMPUTED_VALUE"""),0)</f>
        <v>0</v>
      </c>
      <c r="N47" s="67"/>
      <c r="O47" s="67"/>
      <c r="P47" s="67" t="str">
        <f ca="1">IFERROR(__xludf.DUMMYFUNCTION("""COMPUTED_VALUE"""),"СМР")</f>
        <v>СМР</v>
      </c>
      <c r="Q47" s="67">
        <f t="shared" ca="1" si="0"/>
        <v>0</v>
      </c>
      <c r="R47" s="67"/>
      <c r="S47" s="67"/>
      <c r="T47" s="67"/>
      <c r="U47" s="67"/>
      <c r="V47" s="67"/>
      <c r="W47" s="67"/>
      <c r="X47" s="67"/>
      <c r="Y47" s="67"/>
      <c r="Z47" s="67"/>
      <c r="AA47" s="67"/>
      <c r="AB47" s="67"/>
      <c r="AC47" s="67"/>
      <c r="AD47" s="67"/>
      <c r="AE47" s="67"/>
      <c r="AF47" s="67"/>
      <c r="AG47" s="67"/>
      <c r="AH47" s="67"/>
      <c r="AI47" s="67"/>
      <c r="AJ47" s="67"/>
      <c r="AK47" s="67"/>
      <c r="AL47" s="67"/>
      <c r="AM47" s="67"/>
    </row>
    <row r="48" spans="1:39" ht="84" hidden="1" x14ac:dyDescent="0.2">
      <c r="A48" s="67"/>
      <c r="B48" s="96"/>
      <c r="C4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8" s="20" t="str">
        <f ca="1">IFERROR(__xludf.DUMMYFUNCTION("""COMPUTED_VALUE"""),"МинЖКХ")</f>
        <v>МинЖКХ</v>
      </c>
      <c r="E48" s="20" t="str">
        <f ca="1">IFERROR(__xludf.DUMMYFUNCTION("""COMPUTED_VALUE"""),"Реконструкция ВЗУ Большие Парфенки Московская область, Можайский городской округ, с.п. Борисовское, д. Большие Парфенки")</f>
        <v>Реконструкция ВЗУ Большие Парфенки Московская область, Можайский городской округ, с.п. Борисовское, д. Большие Парфенки</v>
      </c>
      <c r="F48" s="67">
        <f ca="1">IFERROR(__xludf.DUMMYFUNCTION("""COMPUTED_VALUE"""),2022)</f>
        <v>2022</v>
      </c>
      <c r="G48" s="67" t="str">
        <f ca="1">IFERROR(__xludf.DUMMYFUNCTION("""COMPUTED_VALUE"""),"г.о. Можайск")</f>
        <v>г.о. Можайск</v>
      </c>
      <c r="H48" s="67" t="str">
        <f ca="1">IFERROR(__xludf.DUMMYFUNCTION("""COMPUTED_VALUE"""),"ВЗУ")</f>
        <v>ВЗУ</v>
      </c>
      <c r="I48" s="67"/>
      <c r="J48" s="67"/>
      <c r="K48" s="97">
        <f ca="1">IFERROR(__xludf.DUMMYFUNCTION("""COMPUTED_VALUE"""),9180)</f>
        <v>9180</v>
      </c>
      <c r="L48" s="97">
        <f ca="1">IFERROR(__xludf.DUMMYFUNCTION("""COMPUTED_VALUE"""),0)</f>
        <v>0</v>
      </c>
      <c r="M48" s="97">
        <f ca="1">IFERROR(__xludf.DUMMYFUNCTION("""COMPUTED_VALUE"""),0)</f>
        <v>0</v>
      </c>
      <c r="N48" s="67"/>
      <c r="O48" s="67"/>
      <c r="P48" s="67"/>
      <c r="Q48" s="67">
        <f t="shared" ca="1" si="0"/>
        <v>0</v>
      </c>
      <c r="R48" s="67"/>
      <c r="S48" s="67"/>
      <c r="T48" s="67"/>
      <c r="U48" s="67"/>
      <c r="V48" s="67"/>
      <c r="W48" s="67"/>
      <c r="X48" s="67"/>
      <c r="Y48" s="67"/>
      <c r="Z48" s="67"/>
      <c r="AA48" s="67"/>
      <c r="AB48" s="67"/>
      <c r="AC48" s="67"/>
      <c r="AD48" s="67"/>
      <c r="AE48" s="67"/>
      <c r="AF48" s="67"/>
      <c r="AG48" s="67"/>
      <c r="AH48" s="67"/>
      <c r="AI48" s="67"/>
      <c r="AJ48" s="67"/>
      <c r="AK48" s="67"/>
      <c r="AL48" s="67"/>
      <c r="AM48" s="67"/>
    </row>
    <row r="49" spans="1:39" ht="84" hidden="1" x14ac:dyDescent="0.2">
      <c r="A49" s="67"/>
      <c r="B49" s="96"/>
      <c r="C4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9" s="20" t="str">
        <f ca="1">IFERROR(__xludf.DUMMYFUNCTION("""COMPUTED_VALUE"""),"МинЖКХ")</f>
        <v>МинЖКХ</v>
      </c>
      <c r="E49" s="20" t="str">
        <f ca="1">IFERROR(__xludf.DUMMYFUNCTION("""COMPUTED_VALUE"""),"Реконструкция ВЗУ № 5 ЦМИС г.о. Солнечногорск")</f>
        <v>Реконструкция ВЗУ № 5 ЦМИС г.о. Солнечногорск</v>
      </c>
      <c r="F49" s="67">
        <f ca="1">IFERROR(__xludf.DUMMYFUNCTION("""COMPUTED_VALUE"""),2022)</f>
        <v>2022</v>
      </c>
      <c r="G49" s="67" t="str">
        <f ca="1">IFERROR(__xludf.DUMMYFUNCTION("""COMPUTED_VALUE"""),"г.о. Солнечногорск")</f>
        <v>г.о. Солнечногорск</v>
      </c>
      <c r="H49" s="67" t="str">
        <f ca="1">IFERROR(__xludf.DUMMYFUNCTION("""COMPUTED_VALUE"""),"ВЗУ")</f>
        <v>ВЗУ</v>
      </c>
      <c r="I49" s="67"/>
      <c r="J49" s="67"/>
      <c r="K49" s="97">
        <f ca="1">IFERROR(__xludf.DUMMYFUNCTION("""COMPUTED_VALUE"""),5407.89)</f>
        <v>5407.89</v>
      </c>
      <c r="L49" s="97">
        <f ca="1">IFERROR(__xludf.DUMMYFUNCTION("""COMPUTED_VALUE"""),0)</f>
        <v>0</v>
      </c>
      <c r="M49" s="97">
        <f ca="1">IFERROR(__xludf.DUMMYFUNCTION("""COMPUTED_VALUE"""),0)</f>
        <v>0</v>
      </c>
      <c r="N49" s="67"/>
      <c r="O49" s="67"/>
      <c r="P49" s="67" t="str">
        <f ca="1">IFERROR(__xludf.DUMMYFUNCTION("""COMPUTED_VALUE"""),"СМР")</f>
        <v>СМР</v>
      </c>
      <c r="Q49" s="67">
        <f t="shared" ca="1" si="0"/>
        <v>0</v>
      </c>
      <c r="R49" s="67"/>
      <c r="S49" s="67"/>
      <c r="T49" s="67"/>
      <c r="U49" s="67"/>
      <c r="V49" s="67"/>
      <c r="W49" s="67"/>
      <c r="X49" s="67"/>
      <c r="Y49" s="67"/>
      <c r="Z49" s="67"/>
      <c r="AA49" s="67"/>
      <c r="AB49" s="67"/>
      <c r="AC49" s="67"/>
      <c r="AD49" s="67"/>
      <c r="AE49" s="67"/>
      <c r="AF49" s="67"/>
      <c r="AG49" s="67"/>
      <c r="AH49" s="67"/>
      <c r="AI49" s="67"/>
      <c r="AJ49" s="67"/>
      <c r="AK49" s="67"/>
      <c r="AL49" s="67"/>
      <c r="AM49" s="67"/>
    </row>
    <row r="50" spans="1:39" ht="84" hidden="1" x14ac:dyDescent="0.2">
      <c r="A50" s="67"/>
      <c r="B50" s="96"/>
      <c r="C5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0" s="20" t="str">
        <f ca="1">IFERROR(__xludf.DUMMYFUNCTION("""COMPUTED_VALUE"""),"МинЖКХ")</f>
        <v>МинЖКХ</v>
      </c>
      <c r="E50" s="20" t="str">
        <f ca="1">IFERROR(__xludf.DUMMYFUNCTION("""COMPUTED_VALUE"""),"Реконструкция ВЗУ д.Брехово г.о. Солнечногорск")</f>
        <v>Реконструкция ВЗУ д.Брехово г.о. Солнечногорск</v>
      </c>
      <c r="F50" s="67">
        <f ca="1">IFERROR(__xludf.DUMMYFUNCTION("""COMPUTED_VALUE"""),2022)</f>
        <v>2022</v>
      </c>
      <c r="G50" s="67" t="str">
        <f ca="1">IFERROR(__xludf.DUMMYFUNCTION("""COMPUTED_VALUE"""),"г.о. Солнечногорск")</f>
        <v>г.о. Солнечногорск</v>
      </c>
      <c r="H50" s="67" t="str">
        <f ca="1">IFERROR(__xludf.DUMMYFUNCTION("""COMPUTED_VALUE"""),"ВЗУ")</f>
        <v>ВЗУ</v>
      </c>
      <c r="I50" s="67"/>
      <c r="J50" s="67"/>
      <c r="K50" s="97">
        <f ca="1">IFERROR(__xludf.DUMMYFUNCTION("""COMPUTED_VALUE"""),3658.81)</f>
        <v>3658.81</v>
      </c>
      <c r="L50" s="97">
        <f ca="1">IFERROR(__xludf.DUMMYFUNCTION("""COMPUTED_VALUE"""),0)</f>
        <v>0</v>
      </c>
      <c r="M50" s="97">
        <f ca="1">IFERROR(__xludf.DUMMYFUNCTION("""COMPUTED_VALUE"""),0)</f>
        <v>0</v>
      </c>
      <c r="N50" s="67"/>
      <c r="O50" s="67"/>
      <c r="P50" s="67" t="str">
        <f ca="1">IFERROR(__xludf.DUMMYFUNCTION("""COMPUTED_VALUE"""),"СМР")</f>
        <v>СМР</v>
      </c>
      <c r="Q50" s="67">
        <f t="shared" ca="1" si="0"/>
        <v>0</v>
      </c>
      <c r="R50" s="67"/>
      <c r="S50" s="67"/>
      <c r="T50" s="67"/>
      <c r="U50" s="67"/>
      <c r="V50" s="67"/>
      <c r="W50" s="67"/>
      <c r="X50" s="67"/>
      <c r="Y50" s="67"/>
      <c r="Z50" s="67"/>
      <c r="AA50" s="67"/>
      <c r="AB50" s="67"/>
      <c r="AC50" s="67"/>
      <c r="AD50" s="67"/>
      <c r="AE50" s="67"/>
      <c r="AF50" s="67"/>
      <c r="AG50" s="67"/>
      <c r="AH50" s="67"/>
      <c r="AI50" s="67"/>
      <c r="AJ50" s="67"/>
      <c r="AK50" s="67"/>
      <c r="AL50" s="67"/>
      <c r="AM50" s="67"/>
    </row>
    <row r="51" spans="1:39" ht="84" hidden="1" x14ac:dyDescent="0.2">
      <c r="A51" s="67"/>
      <c r="B51" s="96"/>
      <c r="C5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1" s="20" t="str">
        <f ca="1">IFERROR(__xludf.DUMMYFUNCTION("""COMPUTED_VALUE"""),"МинЖКХ")</f>
        <v>МинЖКХ</v>
      </c>
      <c r="E51" s="20" t="str">
        <f ca="1">IFERROR(__xludf.DUMMYFUNCTION("""COMPUTED_VALUE"""),"Реконструкция ВЗУ №4 д. Кресты  г.о. Солнечногорск")</f>
        <v>Реконструкция ВЗУ №4 д. Кресты  г.о. Солнечногорск</v>
      </c>
      <c r="F51" s="67">
        <f ca="1">IFERROR(__xludf.DUMMYFUNCTION("""COMPUTED_VALUE"""),2022)</f>
        <v>2022</v>
      </c>
      <c r="G51" s="67" t="str">
        <f ca="1">IFERROR(__xludf.DUMMYFUNCTION("""COMPUTED_VALUE"""),"г.о. Солнечногорск")</f>
        <v>г.о. Солнечногорск</v>
      </c>
      <c r="H51" s="67" t="str">
        <f ca="1">IFERROR(__xludf.DUMMYFUNCTION("""COMPUTED_VALUE"""),"ВЗУ")</f>
        <v>ВЗУ</v>
      </c>
      <c r="I51" s="67"/>
      <c r="J51" s="67"/>
      <c r="K51" s="97">
        <f ca="1">IFERROR(__xludf.DUMMYFUNCTION("""COMPUTED_VALUE"""),6020)</f>
        <v>6020</v>
      </c>
      <c r="L51" s="97">
        <f ca="1">IFERROR(__xludf.DUMMYFUNCTION("""COMPUTED_VALUE"""),0)</f>
        <v>0</v>
      </c>
      <c r="M51" s="97">
        <f ca="1">IFERROR(__xludf.DUMMYFUNCTION("""COMPUTED_VALUE"""),0)</f>
        <v>0</v>
      </c>
      <c r="N51" s="67"/>
      <c r="O51" s="67"/>
      <c r="P51" s="67" t="str">
        <f ca="1">IFERROR(__xludf.DUMMYFUNCTION("""COMPUTED_VALUE"""),"СМР")</f>
        <v>СМР</v>
      </c>
      <c r="Q51" s="67">
        <f t="shared" ca="1" si="0"/>
        <v>0</v>
      </c>
      <c r="R51" s="67"/>
      <c r="S51" s="67"/>
      <c r="T51" s="67"/>
      <c r="U51" s="67"/>
      <c r="V51" s="67"/>
      <c r="W51" s="67"/>
      <c r="X51" s="67"/>
      <c r="Y51" s="67"/>
      <c r="Z51" s="67"/>
      <c r="AA51" s="67"/>
      <c r="AB51" s="67"/>
      <c r="AC51" s="67"/>
      <c r="AD51" s="67"/>
      <c r="AE51" s="67"/>
      <c r="AF51" s="67"/>
      <c r="AG51" s="67"/>
      <c r="AH51" s="67"/>
      <c r="AI51" s="67"/>
      <c r="AJ51" s="67"/>
      <c r="AK51" s="67"/>
      <c r="AL51" s="67"/>
      <c r="AM51" s="67"/>
    </row>
    <row r="52" spans="1:39" ht="84" hidden="1" x14ac:dyDescent="0.2">
      <c r="A52" s="67"/>
      <c r="B52" s="96"/>
      <c r="C5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2" s="20" t="str">
        <f ca="1">IFERROR(__xludf.DUMMYFUNCTION("""COMPUTED_VALUE"""),"МинЖКХ")</f>
        <v>МинЖКХ</v>
      </c>
      <c r="E52" s="20" t="str">
        <f ca="1">IFERROR(__xludf.DUMMYFUNCTION("""COMPUTED_VALUE"""),"Реконструкция ВЗУ №8 д. Тимоново  г.о. Солнечногорск")</f>
        <v>Реконструкция ВЗУ №8 д. Тимоново  г.о. Солнечногорск</v>
      </c>
      <c r="F52" s="67" t="str">
        <f ca="1">IFERROR(__xludf.DUMMYFUNCTION("""COMPUTED_VALUE"""),"Н/Л")</f>
        <v>Н/Л</v>
      </c>
      <c r="G52" s="67" t="str">
        <f ca="1">IFERROR(__xludf.DUMMYFUNCTION("""COMPUTED_VALUE"""),"г.о. Солнечногорск")</f>
        <v>г.о. Солнечногорск</v>
      </c>
      <c r="H52" s="67" t="str">
        <f ca="1">IFERROR(__xludf.DUMMYFUNCTION("""COMPUTED_VALUE"""),"ВЗУ")</f>
        <v>ВЗУ</v>
      </c>
      <c r="I52" s="67"/>
      <c r="J52" s="67"/>
      <c r="K52" s="97">
        <f ca="1">IFERROR(__xludf.DUMMYFUNCTION("""COMPUTED_VALUE"""),0)</f>
        <v>0</v>
      </c>
      <c r="L52" s="97">
        <f ca="1">IFERROR(__xludf.DUMMYFUNCTION("""COMPUTED_VALUE"""),0)</f>
        <v>0</v>
      </c>
      <c r="M52" s="97">
        <f ca="1">IFERROR(__xludf.DUMMYFUNCTION("""COMPUTED_VALUE"""),0)</f>
        <v>0</v>
      </c>
      <c r="N52" s="67"/>
      <c r="O52" s="67"/>
      <c r="P52" s="67"/>
      <c r="Q52" s="67" t="e">
        <f t="shared" ca="1" si="0"/>
        <v>#DIV/0!</v>
      </c>
      <c r="R52" s="67"/>
      <c r="S52" s="67"/>
      <c r="T52" s="67"/>
      <c r="U52" s="67"/>
      <c r="V52" s="67"/>
      <c r="W52" s="67"/>
      <c r="X52" s="67"/>
      <c r="Y52" s="67"/>
      <c r="Z52" s="67"/>
      <c r="AA52" s="67"/>
      <c r="AB52" s="67"/>
      <c r="AC52" s="67"/>
      <c r="AD52" s="67"/>
      <c r="AE52" s="67"/>
      <c r="AF52" s="67"/>
      <c r="AG52" s="67"/>
      <c r="AH52" s="67"/>
      <c r="AI52" s="67"/>
      <c r="AJ52" s="67"/>
      <c r="AK52" s="67"/>
      <c r="AL52" s="67"/>
      <c r="AM52" s="67"/>
    </row>
    <row r="53" spans="1:39" ht="84" hidden="1" x14ac:dyDescent="0.2">
      <c r="A53" s="67"/>
      <c r="B53" s="96"/>
      <c r="C5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3" s="20" t="str">
        <f ca="1">IFERROR(__xludf.DUMMYFUNCTION("""COMPUTED_VALUE"""),"МинЖКХ")</f>
        <v>МинЖКХ</v>
      </c>
      <c r="E53" s="20" t="str">
        <f ca="1">IFERROR(__xludf.DUMMYFUNCTION("""COMPUTED_VALUE"""),"Реконструкция ВЗУ №6 СЭМЗ  г.о. Солнечногорск")</f>
        <v>Реконструкция ВЗУ №6 СЭМЗ  г.о. Солнечногорск</v>
      </c>
      <c r="F53" s="67" t="str">
        <f ca="1">IFERROR(__xludf.DUMMYFUNCTION("""COMPUTED_VALUE"""),"Н/Л")</f>
        <v>Н/Л</v>
      </c>
      <c r="G53" s="67" t="str">
        <f ca="1">IFERROR(__xludf.DUMMYFUNCTION("""COMPUTED_VALUE"""),"г.о. Солнечногорск")</f>
        <v>г.о. Солнечногорск</v>
      </c>
      <c r="H53" s="67" t="str">
        <f ca="1">IFERROR(__xludf.DUMMYFUNCTION("""COMPUTED_VALUE"""),"ВЗУ")</f>
        <v>ВЗУ</v>
      </c>
      <c r="I53" s="67"/>
      <c r="J53" s="67"/>
      <c r="K53" s="97">
        <f ca="1">IFERROR(__xludf.DUMMYFUNCTION("""COMPUTED_VALUE"""),0)</f>
        <v>0</v>
      </c>
      <c r="L53" s="97">
        <f ca="1">IFERROR(__xludf.DUMMYFUNCTION("""COMPUTED_VALUE"""),0)</f>
        <v>0</v>
      </c>
      <c r="M53" s="97">
        <f ca="1">IFERROR(__xludf.DUMMYFUNCTION("""COMPUTED_VALUE"""),0)</f>
        <v>0</v>
      </c>
      <c r="N53" s="67"/>
      <c r="O53" s="67"/>
      <c r="P53" s="67"/>
      <c r="Q53" s="67" t="e">
        <f t="shared" ca="1" si="0"/>
        <v>#DIV/0!</v>
      </c>
      <c r="R53" s="67"/>
      <c r="S53" s="67"/>
      <c r="T53" s="67"/>
      <c r="U53" s="67"/>
      <c r="V53" s="67"/>
      <c r="W53" s="67"/>
      <c r="X53" s="67"/>
      <c r="Y53" s="67"/>
      <c r="Z53" s="67"/>
      <c r="AA53" s="67"/>
      <c r="AB53" s="67"/>
      <c r="AC53" s="67"/>
      <c r="AD53" s="67"/>
      <c r="AE53" s="67"/>
      <c r="AF53" s="67"/>
      <c r="AG53" s="67"/>
      <c r="AH53" s="67"/>
      <c r="AI53" s="67"/>
      <c r="AJ53" s="67"/>
      <c r="AK53" s="67"/>
      <c r="AL53" s="67"/>
      <c r="AM53" s="67"/>
    </row>
    <row r="54" spans="1:39" ht="84" hidden="1" x14ac:dyDescent="0.2">
      <c r="A54" s="67"/>
      <c r="B54" s="96"/>
      <c r="C5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4" s="20" t="str">
        <f ca="1">IFERROR(__xludf.DUMMYFUNCTION("""COMPUTED_VALUE"""),"МинЖКХ")</f>
        <v>МинЖКХ</v>
      </c>
      <c r="E54" s="20" t="str">
        <f ca="1">IFERROR(__xludf.DUMMYFUNCTION("""COMPUTED_VALUE"""),"Реконструкция ВЗУ №2 ул. Рабочая  г.о. Солнечногорск")</f>
        <v>Реконструкция ВЗУ №2 ул. Рабочая  г.о. Солнечногорск</v>
      </c>
      <c r="F54" s="67">
        <f ca="1">IFERROR(__xludf.DUMMYFUNCTION("""COMPUTED_VALUE"""),2023)</f>
        <v>2023</v>
      </c>
      <c r="G54" s="67" t="str">
        <f ca="1">IFERROR(__xludf.DUMMYFUNCTION("""COMPUTED_VALUE"""),"г.о. Солнечногорск")</f>
        <v>г.о. Солнечногорск</v>
      </c>
      <c r="H54" s="67" t="str">
        <f ca="1">IFERROR(__xludf.DUMMYFUNCTION("""COMPUTED_VALUE"""),"ВЗУ")</f>
        <v>ВЗУ</v>
      </c>
      <c r="I54" s="67"/>
      <c r="J54" s="67"/>
      <c r="K54" s="97">
        <f ca="1">IFERROR(__xludf.DUMMYFUNCTION("""COMPUTED_VALUE"""),3440)</f>
        <v>3440</v>
      </c>
      <c r="L54" s="97">
        <f ca="1">IFERROR(__xludf.DUMMYFUNCTION("""COMPUTED_VALUE"""),0)</f>
        <v>0</v>
      </c>
      <c r="M54" s="97">
        <f ca="1">IFERROR(__xludf.DUMMYFUNCTION("""COMPUTED_VALUE"""),0)</f>
        <v>0</v>
      </c>
      <c r="N54" s="67"/>
      <c r="O54" s="67"/>
      <c r="P54" s="67" t="str">
        <f ca="1">IFERROR(__xludf.DUMMYFUNCTION("""COMPUTED_VALUE"""),"СМР")</f>
        <v>СМР</v>
      </c>
      <c r="Q54" s="67">
        <f t="shared" ca="1" si="0"/>
        <v>0</v>
      </c>
      <c r="R54" s="67"/>
      <c r="S54" s="67"/>
      <c r="T54" s="67"/>
      <c r="U54" s="67"/>
      <c r="V54" s="67"/>
      <c r="W54" s="67"/>
      <c r="X54" s="67"/>
      <c r="Y54" s="67"/>
      <c r="Z54" s="67"/>
      <c r="AA54" s="67"/>
      <c r="AB54" s="67"/>
      <c r="AC54" s="67"/>
      <c r="AD54" s="67"/>
      <c r="AE54" s="67"/>
      <c r="AF54" s="67"/>
      <c r="AG54" s="67"/>
      <c r="AH54" s="67"/>
      <c r="AI54" s="67"/>
      <c r="AJ54" s="67"/>
      <c r="AK54" s="67"/>
      <c r="AL54" s="67"/>
      <c r="AM54" s="67"/>
    </row>
    <row r="55" spans="1:39" ht="84" hidden="1" x14ac:dyDescent="0.2">
      <c r="A55" s="67"/>
      <c r="B55" s="96"/>
      <c r="C5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5" s="20" t="str">
        <f ca="1">IFERROR(__xludf.DUMMYFUNCTION("""COMPUTED_VALUE"""),"МинЖКХ")</f>
        <v>МинЖКХ</v>
      </c>
      <c r="E55" s="20" t="str">
        <f ca="1">IFERROR(__xludf.DUMMYFUNCTION("""COMPUTED_VALUE"""),"Реконструкция ВЗУ №1Ул. Крупской  г.о. Солнечногорск")</f>
        <v>Реконструкция ВЗУ №1Ул. Крупской  г.о. Солнечногорск</v>
      </c>
      <c r="F55" s="67" t="str">
        <f ca="1">IFERROR(__xludf.DUMMYFUNCTION("""COMPUTED_VALUE"""),"Н/Л")</f>
        <v>Н/Л</v>
      </c>
      <c r="G55" s="67" t="str">
        <f ca="1">IFERROR(__xludf.DUMMYFUNCTION("""COMPUTED_VALUE"""),"г.о. Солнечногорск")</f>
        <v>г.о. Солнечногорск</v>
      </c>
      <c r="H55" s="67" t="str">
        <f ca="1">IFERROR(__xludf.DUMMYFUNCTION("""COMPUTED_VALUE"""),"ВЗУ")</f>
        <v>ВЗУ</v>
      </c>
      <c r="I55" s="67"/>
      <c r="J55" s="67"/>
      <c r="K55" s="97">
        <f ca="1">IFERROR(__xludf.DUMMYFUNCTION("""COMPUTED_VALUE"""),0)</f>
        <v>0</v>
      </c>
      <c r="L55" s="97">
        <f ca="1">IFERROR(__xludf.DUMMYFUNCTION("""COMPUTED_VALUE"""),0)</f>
        <v>0</v>
      </c>
      <c r="M55" s="97">
        <f ca="1">IFERROR(__xludf.DUMMYFUNCTION("""COMPUTED_VALUE"""),0)</f>
        <v>0</v>
      </c>
      <c r="N55" s="67"/>
      <c r="O55" s="67"/>
      <c r="P55" s="67"/>
      <c r="Q55" s="67" t="e">
        <f t="shared" ca="1" si="0"/>
        <v>#DIV/0!</v>
      </c>
      <c r="R55" s="67"/>
      <c r="S55" s="67"/>
      <c r="T55" s="67"/>
      <c r="U55" s="67"/>
      <c r="V55" s="67"/>
      <c r="W55" s="67"/>
      <c r="X55" s="67"/>
      <c r="Y55" s="67"/>
      <c r="Z55" s="67"/>
      <c r="AA55" s="67"/>
      <c r="AB55" s="67"/>
      <c r="AC55" s="67"/>
      <c r="AD55" s="67"/>
      <c r="AE55" s="67"/>
      <c r="AF55" s="67"/>
      <c r="AG55" s="67"/>
      <c r="AH55" s="67"/>
      <c r="AI55" s="67"/>
      <c r="AJ55" s="67"/>
      <c r="AK55" s="67"/>
      <c r="AL55" s="67"/>
      <c r="AM55" s="67"/>
    </row>
    <row r="56" spans="1:39" ht="84" hidden="1" x14ac:dyDescent="0.2">
      <c r="A56" s="67"/>
      <c r="B56" s="96"/>
      <c r="C5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6" s="20" t="str">
        <f ca="1">IFERROR(__xludf.DUMMYFUNCTION("""COMPUTED_VALUE"""),"МинЖКХ")</f>
        <v>МинЖКХ</v>
      </c>
      <c r="E56" s="20" t="str">
        <f ca="1">IFERROR(__xludf.DUMMYFUNCTION("""COMPUTED_VALUE"""),"Реконструкция ВЗУ №3 пос. Матросова  г.о. Солнечногорск")</f>
        <v>Реконструкция ВЗУ №3 пос. Матросова  г.о. Солнечногорск</v>
      </c>
      <c r="F56" s="67" t="str">
        <f ca="1">IFERROR(__xludf.DUMMYFUNCTION("""COMPUTED_VALUE"""),"Н/Л")</f>
        <v>Н/Л</v>
      </c>
      <c r="G56" s="67" t="str">
        <f ca="1">IFERROR(__xludf.DUMMYFUNCTION("""COMPUTED_VALUE"""),"г.о. Солнечногорск")</f>
        <v>г.о. Солнечногорск</v>
      </c>
      <c r="H56" s="67" t="str">
        <f ca="1">IFERROR(__xludf.DUMMYFUNCTION("""COMPUTED_VALUE"""),"ВЗУ")</f>
        <v>ВЗУ</v>
      </c>
      <c r="I56" s="67"/>
      <c r="J56" s="67"/>
      <c r="K56" s="97">
        <f ca="1">IFERROR(__xludf.DUMMYFUNCTION("""COMPUTED_VALUE"""),0)</f>
        <v>0</v>
      </c>
      <c r="L56" s="97">
        <f ca="1">IFERROR(__xludf.DUMMYFUNCTION("""COMPUTED_VALUE"""),0)</f>
        <v>0</v>
      </c>
      <c r="M56" s="97">
        <f ca="1">IFERROR(__xludf.DUMMYFUNCTION("""COMPUTED_VALUE"""),0)</f>
        <v>0</v>
      </c>
      <c r="N56" s="67"/>
      <c r="O56" s="67"/>
      <c r="P56" s="67"/>
      <c r="Q56" s="67" t="e">
        <f t="shared" ca="1" si="0"/>
        <v>#DIV/0!</v>
      </c>
      <c r="R56" s="67"/>
      <c r="S56" s="67"/>
      <c r="T56" s="67"/>
      <c r="U56" s="67"/>
      <c r="V56" s="67"/>
      <c r="W56" s="67"/>
      <c r="X56" s="67"/>
      <c r="Y56" s="67"/>
      <c r="Z56" s="67"/>
      <c r="AA56" s="67"/>
      <c r="AB56" s="67"/>
      <c r="AC56" s="67"/>
      <c r="AD56" s="67"/>
      <c r="AE56" s="67"/>
      <c r="AF56" s="67"/>
      <c r="AG56" s="67"/>
      <c r="AH56" s="67"/>
      <c r="AI56" s="67"/>
      <c r="AJ56" s="67"/>
      <c r="AK56" s="67"/>
      <c r="AL56" s="67"/>
      <c r="AM56" s="67"/>
    </row>
    <row r="57" spans="1:39" ht="84" hidden="1" x14ac:dyDescent="0.2">
      <c r="A57" s="67"/>
      <c r="B57" s="96"/>
      <c r="C5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7" s="20" t="str">
        <f ca="1">IFERROR(__xludf.DUMMYFUNCTION("""COMPUTED_VALUE"""),"МинЖКХ")</f>
        <v>МинЖКХ</v>
      </c>
      <c r="E57" s="20" t="str">
        <f ca="1">IFERROR(__xludf.DUMMYFUNCTION("""COMPUTED_VALUE"""),"Реконструкция ВЗУ №9 пос. Сан.МО  г.о. Солнечногорск")</f>
        <v>Реконструкция ВЗУ №9 пос. Сан.МО  г.о. Солнечногорск</v>
      </c>
      <c r="F57" s="67">
        <f ca="1">IFERROR(__xludf.DUMMYFUNCTION("""COMPUTED_VALUE"""),2022)</f>
        <v>2022</v>
      </c>
      <c r="G57" s="67" t="str">
        <f ca="1">IFERROR(__xludf.DUMMYFUNCTION("""COMPUTED_VALUE"""),"г.о. Солнечногорск")</f>
        <v>г.о. Солнечногорск</v>
      </c>
      <c r="H57" s="67" t="str">
        <f ca="1">IFERROR(__xludf.DUMMYFUNCTION("""COMPUTED_VALUE"""),"ВЗУ")</f>
        <v>ВЗУ</v>
      </c>
      <c r="I57" s="67"/>
      <c r="J57" s="67"/>
      <c r="K57" s="97">
        <f ca="1">IFERROR(__xludf.DUMMYFUNCTION("""COMPUTED_VALUE"""),4300)</f>
        <v>4300</v>
      </c>
      <c r="L57" s="97">
        <f ca="1">IFERROR(__xludf.DUMMYFUNCTION("""COMPUTED_VALUE"""),0)</f>
        <v>0</v>
      </c>
      <c r="M57" s="97">
        <f ca="1">IFERROR(__xludf.DUMMYFUNCTION("""COMPUTED_VALUE"""),0)</f>
        <v>0</v>
      </c>
      <c r="N57" s="67"/>
      <c r="O57" s="67"/>
      <c r="P57" s="67" t="str">
        <f ca="1">IFERROR(__xludf.DUMMYFUNCTION("""COMPUTED_VALUE"""),"СМР")</f>
        <v>СМР</v>
      </c>
      <c r="Q57" s="67">
        <f t="shared" ca="1" si="0"/>
        <v>0</v>
      </c>
      <c r="R57" s="67"/>
      <c r="S57" s="67"/>
      <c r="T57" s="67"/>
      <c r="U57" s="67"/>
      <c r="V57" s="67"/>
      <c r="W57" s="67"/>
      <c r="X57" s="67"/>
      <c r="Y57" s="67"/>
      <c r="Z57" s="67"/>
      <c r="AA57" s="67"/>
      <c r="AB57" s="67"/>
      <c r="AC57" s="67"/>
      <c r="AD57" s="67"/>
      <c r="AE57" s="67"/>
      <c r="AF57" s="67"/>
      <c r="AG57" s="67"/>
      <c r="AH57" s="67"/>
      <c r="AI57" s="67"/>
      <c r="AJ57" s="67"/>
      <c r="AK57" s="67"/>
      <c r="AL57" s="67"/>
      <c r="AM57" s="67"/>
    </row>
    <row r="58" spans="1:39" ht="84" hidden="1" x14ac:dyDescent="0.2">
      <c r="A58" s="67"/>
      <c r="B58" s="96"/>
      <c r="C5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8" s="20" t="str">
        <f ca="1">IFERROR(__xludf.DUMMYFUNCTION("""COMPUTED_VALUE"""),"МинЖКХ")</f>
        <v>МинЖКХ</v>
      </c>
      <c r="E58" s="20" t="str">
        <f ca="1">IFERROR(__xludf.DUMMYFUNCTION("""COMPUTED_VALUE"""),"Реконструкция ВЗУ №14  д. Новая  городского округа Солнечногорск (доукомплектация станцией очистки воды) (в т.ч. Тех.присоединение)")</f>
        <v>Реконструкция ВЗУ №14  д. Новая  городского округа Солнечногорск (доукомплектация станцией очистки воды) (в т.ч. Тех.присоединение)</v>
      </c>
      <c r="F58" s="67">
        <f ca="1">IFERROR(__xludf.DUMMYFUNCTION("""COMPUTED_VALUE"""),2021)</f>
        <v>2021</v>
      </c>
      <c r="G58" s="67" t="str">
        <f ca="1">IFERROR(__xludf.DUMMYFUNCTION("""COMPUTED_VALUE"""),"г.о. Солнечногорск")</f>
        <v>г.о. Солнечногорск</v>
      </c>
      <c r="H58" s="67" t="str">
        <f ca="1">IFERROR(__xludf.DUMMYFUNCTION("""COMPUTED_VALUE"""),"ВЗУ")</f>
        <v>ВЗУ</v>
      </c>
      <c r="I58" s="67"/>
      <c r="J58" s="67"/>
      <c r="K58" s="97">
        <f ca="1">IFERROR(__xludf.DUMMYFUNCTION("""COMPUTED_VALUE"""),10726.91)</f>
        <v>10726.91</v>
      </c>
      <c r="L58" s="97">
        <f ca="1">IFERROR(__xludf.DUMMYFUNCTION("""COMPUTED_VALUE"""),0)</f>
        <v>0</v>
      </c>
      <c r="M58" s="97">
        <f ca="1">IFERROR(__xludf.DUMMYFUNCTION("""COMPUTED_VALUE"""),0)</f>
        <v>0</v>
      </c>
      <c r="N58" s="67"/>
      <c r="O58" s="67"/>
      <c r="P58" s="67" t="str">
        <f ca="1">IFERROR(__xludf.DUMMYFUNCTION("""COMPUTED_VALUE"""),"СМР")</f>
        <v>СМР</v>
      </c>
      <c r="Q58" s="67">
        <f t="shared" ca="1" si="0"/>
        <v>0</v>
      </c>
      <c r="R58" s="67"/>
      <c r="S58" s="67"/>
      <c r="T58" s="67"/>
      <c r="U58" s="67"/>
      <c r="V58" s="67"/>
      <c r="W58" s="67"/>
      <c r="X58" s="67"/>
      <c r="Y58" s="67"/>
      <c r="Z58" s="67"/>
      <c r="AA58" s="67"/>
      <c r="AB58" s="67"/>
      <c r="AC58" s="67"/>
      <c r="AD58" s="67"/>
      <c r="AE58" s="67"/>
      <c r="AF58" s="67"/>
      <c r="AG58" s="67"/>
      <c r="AH58" s="67"/>
      <c r="AI58" s="67"/>
      <c r="AJ58" s="67"/>
      <c r="AK58" s="67"/>
      <c r="AL58" s="67"/>
      <c r="AM58" s="67"/>
    </row>
    <row r="59" spans="1:39" ht="84" hidden="1" x14ac:dyDescent="0.2">
      <c r="A59" s="67"/>
      <c r="B59" s="96"/>
      <c r="C5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9" s="20" t="str">
        <f ca="1">IFERROR(__xludf.DUMMYFUNCTION("""COMPUTED_VALUE"""),"МинЖКХ")</f>
        <v>МинЖКХ</v>
      </c>
      <c r="E59" s="20" t="str">
        <f ca="1">IFERROR(__xludf.DUMMYFUNCTION("""COMPUTED_VALUE"""),"Реконструкция ВЗУ №19 д. Толстяково г.о. Солнечногорск")</f>
        <v>Реконструкция ВЗУ №19 д. Толстяково г.о. Солнечногорск</v>
      </c>
      <c r="F59" s="67">
        <f ca="1">IFERROR(__xludf.DUMMYFUNCTION("""COMPUTED_VALUE"""),2022)</f>
        <v>2022</v>
      </c>
      <c r="G59" s="67" t="str">
        <f ca="1">IFERROR(__xludf.DUMMYFUNCTION("""COMPUTED_VALUE"""),"г.о. Солнечногорск")</f>
        <v>г.о. Солнечногорск</v>
      </c>
      <c r="H59" s="67" t="str">
        <f ca="1">IFERROR(__xludf.DUMMYFUNCTION("""COMPUTED_VALUE"""),"ВЗУ")</f>
        <v>ВЗУ</v>
      </c>
      <c r="I59" s="67"/>
      <c r="J59" s="67"/>
      <c r="K59" s="97">
        <f ca="1">IFERROR(__xludf.DUMMYFUNCTION("""COMPUTED_VALUE"""),8600)</f>
        <v>8600</v>
      </c>
      <c r="L59" s="97">
        <f ca="1">IFERROR(__xludf.DUMMYFUNCTION("""COMPUTED_VALUE"""),0)</f>
        <v>0</v>
      </c>
      <c r="M59" s="97">
        <f ca="1">IFERROR(__xludf.DUMMYFUNCTION("""COMPUTED_VALUE"""),0)</f>
        <v>0</v>
      </c>
      <c r="N59" s="67"/>
      <c r="O59" s="67"/>
      <c r="P59" s="67" t="str">
        <f ca="1">IFERROR(__xludf.DUMMYFUNCTION("""COMPUTED_VALUE"""),"СМР")</f>
        <v>СМР</v>
      </c>
      <c r="Q59" s="67">
        <f t="shared" ca="1" si="0"/>
        <v>0</v>
      </c>
      <c r="R59" s="67"/>
      <c r="S59" s="67"/>
      <c r="T59" s="67"/>
      <c r="U59" s="67"/>
      <c r="V59" s="67"/>
      <c r="W59" s="67"/>
      <c r="X59" s="67"/>
      <c r="Y59" s="67"/>
      <c r="Z59" s="67"/>
      <c r="AA59" s="67"/>
      <c r="AB59" s="67"/>
      <c r="AC59" s="67"/>
      <c r="AD59" s="67"/>
      <c r="AE59" s="67"/>
      <c r="AF59" s="67"/>
      <c r="AG59" s="67"/>
      <c r="AH59" s="67"/>
      <c r="AI59" s="67"/>
      <c r="AJ59" s="67"/>
      <c r="AK59" s="67"/>
      <c r="AL59" s="67"/>
      <c r="AM59" s="67"/>
    </row>
    <row r="60" spans="1:39" ht="84" hidden="1" x14ac:dyDescent="0.2">
      <c r="A60" s="67"/>
      <c r="B60" s="96"/>
      <c r="C6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0" s="20" t="str">
        <f ca="1">IFERROR(__xludf.DUMMYFUNCTION("""COMPUTED_VALUE"""),"МинЖКХ")</f>
        <v>МинЖКХ</v>
      </c>
      <c r="E60" s="20" t="str">
        <f ca="1">IFERROR(__xludf.DUMMYFUNCTION("""COMPUTED_VALUE"""),"Реконструкция ВЗУ №1 д.п. Поварово мкрн. Поваровка городского округа Солнечногорск (доукомплектация станцией очистки воды)")</f>
        <v>Реконструкция ВЗУ №1 д.п. Поварово мкрн. Поваровка городского округа Солнечногорск (доукомплектация станцией очистки воды)</v>
      </c>
      <c r="F60" s="67" t="str">
        <f ca="1">IFERROR(__xludf.DUMMYFUNCTION("""COMPUTED_VALUE"""),"2021-2022")</f>
        <v>2021-2022</v>
      </c>
      <c r="G60" s="67" t="str">
        <f ca="1">IFERROR(__xludf.DUMMYFUNCTION("""COMPUTED_VALUE"""),"г.о. Солнечногорск")</f>
        <v>г.о. Солнечногорск</v>
      </c>
      <c r="H60" s="67" t="str">
        <f ca="1">IFERROR(__xludf.DUMMYFUNCTION("""COMPUTED_VALUE"""),"ВЗУ")</f>
        <v>ВЗУ</v>
      </c>
      <c r="I60" s="67"/>
      <c r="J60" s="67"/>
      <c r="K60" s="97">
        <f ca="1">IFERROR(__xludf.DUMMYFUNCTION("""COMPUTED_VALUE"""),14834.83)</f>
        <v>14834.83</v>
      </c>
      <c r="L60" s="97">
        <f ca="1">IFERROR(__xludf.DUMMYFUNCTION("""COMPUTED_VALUE"""),0)</f>
        <v>0</v>
      </c>
      <c r="M60" s="97">
        <f ca="1">IFERROR(__xludf.DUMMYFUNCTION("""COMPUTED_VALUE"""),0)</f>
        <v>0</v>
      </c>
      <c r="N60" s="67"/>
      <c r="O60" s="67"/>
      <c r="P60" s="67" t="str">
        <f ca="1">IFERROR(__xludf.DUMMYFUNCTION("""COMPUTED_VALUE"""),"СМР")</f>
        <v>СМР</v>
      </c>
      <c r="Q60" s="67">
        <f t="shared" ca="1" si="0"/>
        <v>0</v>
      </c>
      <c r="R60" s="67"/>
      <c r="S60" s="67"/>
      <c r="T60" s="67"/>
      <c r="U60" s="67"/>
      <c r="V60" s="67"/>
      <c r="W60" s="67"/>
      <c r="X60" s="67"/>
      <c r="Y60" s="67"/>
      <c r="Z60" s="67"/>
      <c r="AA60" s="67"/>
      <c r="AB60" s="67"/>
      <c r="AC60" s="67"/>
      <c r="AD60" s="67"/>
      <c r="AE60" s="67"/>
      <c r="AF60" s="67"/>
      <c r="AG60" s="67"/>
      <c r="AH60" s="67"/>
      <c r="AI60" s="67"/>
      <c r="AJ60" s="67"/>
      <c r="AK60" s="67"/>
      <c r="AL60" s="67"/>
      <c r="AM60" s="67"/>
    </row>
    <row r="61" spans="1:39" ht="84" hidden="1" x14ac:dyDescent="0.2">
      <c r="A61" s="67"/>
      <c r="B61" s="96"/>
      <c r="C6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1" s="20" t="str">
        <f ca="1">IFERROR(__xludf.DUMMYFUNCTION("""COMPUTED_VALUE"""),"МинЖКХ")</f>
        <v>МинЖКХ</v>
      </c>
      <c r="E61" s="20" t="str">
        <f ca="1">IFERROR(__xludf.DUMMYFUNCTION("""COMPUTED_VALUE"""),"Реконструкция ВЗУ №3 п. Деденево, ул. Набережная, г.о. Дмтровский")</f>
        <v>Реконструкция ВЗУ №3 п. Деденево, ул. Набережная, г.о. Дмтровский</v>
      </c>
      <c r="F61" s="67" t="str">
        <f ca="1">IFERROR(__xludf.DUMMYFUNCTION("""COMPUTED_VALUE"""),"Н/Л")</f>
        <v>Н/Л</v>
      </c>
      <c r="G61" s="67" t="str">
        <f ca="1">IFERROR(__xludf.DUMMYFUNCTION("""COMPUTED_VALUE"""),"г.о. Дмитровский")</f>
        <v>г.о. Дмитровский</v>
      </c>
      <c r="H61" s="67" t="str">
        <f ca="1">IFERROR(__xludf.DUMMYFUNCTION("""COMPUTED_VALUE"""),"ВЗУ")</f>
        <v>ВЗУ</v>
      </c>
      <c r="I61" s="67"/>
      <c r="J61" s="67"/>
      <c r="K61" s="97">
        <f ca="1">IFERROR(__xludf.DUMMYFUNCTION("""COMPUTED_VALUE"""),0)</f>
        <v>0</v>
      </c>
      <c r="L61" s="97">
        <f ca="1">IFERROR(__xludf.DUMMYFUNCTION("""COMPUTED_VALUE"""),0)</f>
        <v>0</v>
      </c>
      <c r="M61" s="97">
        <f ca="1">IFERROR(__xludf.DUMMYFUNCTION("""COMPUTED_VALUE"""),0)</f>
        <v>0</v>
      </c>
      <c r="N61" s="67"/>
      <c r="O61" s="67"/>
      <c r="P61" s="67"/>
      <c r="Q61" s="67" t="e">
        <f t="shared" ca="1" si="0"/>
        <v>#DIV/0!</v>
      </c>
      <c r="R61" s="67"/>
      <c r="S61" s="67"/>
      <c r="T61" s="67"/>
      <c r="U61" s="67"/>
      <c r="V61" s="67"/>
      <c r="W61" s="67"/>
      <c r="X61" s="67"/>
      <c r="Y61" s="67"/>
      <c r="Z61" s="67"/>
      <c r="AA61" s="67"/>
      <c r="AB61" s="67"/>
      <c r="AC61" s="67"/>
      <c r="AD61" s="67"/>
      <c r="AE61" s="67"/>
      <c r="AF61" s="67"/>
      <c r="AG61" s="67"/>
      <c r="AH61" s="67"/>
      <c r="AI61" s="67"/>
      <c r="AJ61" s="67"/>
      <c r="AK61" s="67"/>
      <c r="AL61" s="67"/>
      <c r="AM61" s="67"/>
    </row>
    <row r="62" spans="1:39" ht="84" hidden="1" x14ac:dyDescent="0.2">
      <c r="A62" s="67"/>
      <c r="B62" s="96"/>
      <c r="C6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2" s="20" t="str">
        <f ca="1">IFERROR(__xludf.DUMMYFUNCTION("""COMPUTED_VALUE"""),"МинЖКХ")</f>
        <v>МинЖКХ</v>
      </c>
      <c r="E62" s="20" t="str">
        <f ca="1">IFERROR(__xludf.DUMMYFUNCTION("""COMPUTED_VALUE"""),"Реконструкция ВЗУ№1 г. Яхрома, ул. Рабочая; Дмитровский г.о")</f>
        <v>Реконструкция ВЗУ№1 г. Яхрома, ул. Рабочая; Дмитровский г.о</v>
      </c>
      <c r="F62" s="67">
        <f ca="1">IFERROR(__xludf.DUMMYFUNCTION("""COMPUTED_VALUE"""),2023)</f>
        <v>2023</v>
      </c>
      <c r="G62" s="67" t="str">
        <f ca="1">IFERROR(__xludf.DUMMYFUNCTION("""COMPUTED_VALUE"""),"г.о. Дмитровский")</f>
        <v>г.о. Дмитровский</v>
      </c>
      <c r="H62" s="67" t="str">
        <f ca="1">IFERROR(__xludf.DUMMYFUNCTION("""COMPUTED_VALUE"""),"ВЗУ")</f>
        <v>ВЗУ</v>
      </c>
      <c r="I62" s="67"/>
      <c r="J62" s="67"/>
      <c r="K62" s="97">
        <f ca="1">IFERROR(__xludf.DUMMYFUNCTION("""COMPUTED_VALUE"""),5265.38)</f>
        <v>5265.38</v>
      </c>
      <c r="L62" s="97">
        <f ca="1">IFERROR(__xludf.DUMMYFUNCTION("""COMPUTED_VALUE"""),0)</f>
        <v>0</v>
      </c>
      <c r="M62" s="97">
        <f ca="1">IFERROR(__xludf.DUMMYFUNCTION("""COMPUTED_VALUE"""),0)</f>
        <v>0</v>
      </c>
      <c r="N62" s="67"/>
      <c r="O62" s="67"/>
      <c r="P62" s="67" t="str">
        <f ca="1">IFERROR(__xludf.DUMMYFUNCTION("""COMPUTED_VALUE"""),"СМР")</f>
        <v>СМР</v>
      </c>
      <c r="Q62" s="67">
        <f t="shared" ca="1" si="0"/>
        <v>0</v>
      </c>
      <c r="R62" s="67"/>
      <c r="S62" s="67"/>
      <c r="T62" s="67"/>
      <c r="U62" s="67"/>
      <c r="V62" s="67"/>
      <c r="W62" s="67"/>
      <c r="X62" s="67"/>
      <c r="Y62" s="67"/>
      <c r="Z62" s="67"/>
      <c r="AA62" s="67"/>
      <c r="AB62" s="67"/>
      <c r="AC62" s="67"/>
      <c r="AD62" s="67"/>
      <c r="AE62" s="67"/>
      <c r="AF62" s="67"/>
      <c r="AG62" s="67"/>
      <c r="AH62" s="67"/>
      <c r="AI62" s="67"/>
      <c r="AJ62" s="67"/>
      <c r="AK62" s="67"/>
      <c r="AL62" s="67"/>
      <c r="AM62" s="67"/>
    </row>
    <row r="63" spans="1:39" ht="84" hidden="1" x14ac:dyDescent="0.2">
      <c r="A63" s="67"/>
      <c r="B63" s="96"/>
      <c r="C6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3" s="20" t="str">
        <f ca="1">IFERROR(__xludf.DUMMYFUNCTION("""COMPUTED_VALUE"""),"МинЖКХ")</f>
        <v>МинЖКХ</v>
      </c>
      <c r="E63" s="20" t="str">
        <f ca="1">IFERROR(__xludf.DUMMYFUNCTION("""COMPUTED_VALUE"""),"Реконструкция ВЗУ  п. Орево   г.о.")</f>
        <v>Реконструкция ВЗУ  п. Орево   г.о.</v>
      </c>
      <c r="F63" s="67">
        <f ca="1">IFERROR(__xludf.DUMMYFUNCTION("""COMPUTED_VALUE"""),2023)</f>
        <v>2023</v>
      </c>
      <c r="G63" s="67" t="str">
        <f ca="1">IFERROR(__xludf.DUMMYFUNCTION("""COMPUTED_VALUE"""),"г.о. Дмитровский")</f>
        <v>г.о. Дмитровский</v>
      </c>
      <c r="H63" s="67" t="str">
        <f ca="1">IFERROR(__xludf.DUMMYFUNCTION("""COMPUTED_VALUE"""),"ВЗУ")</f>
        <v>ВЗУ</v>
      </c>
      <c r="I63" s="67"/>
      <c r="J63" s="67"/>
      <c r="K63" s="97">
        <f ca="1">IFERROR(__xludf.DUMMYFUNCTION("""COMPUTED_VALUE"""),4431.09)</f>
        <v>4431.09</v>
      </c>
      <c r="L63" s="97">
        <f ca="1">IFERROR(__xludf.DUMMYFUNCTION("""COMPUTED_VALUE"""),0)</f>
        <v>0</v>
      </c>
      <c r="M63" s="97">
        <f ca="1">IFERROR(__xludf.DUMMYFUNCTION("""COMPUTED_VALUE"""),0)</f>
        <v>0</v>
      </c>
      <c r="N63" s="67"/>
      <c r="O63" s="67"/>
      <c r="P63" s="67" t="str">
        <f ca="1">IFERROR(__xludf.DUMMYFUNCTION("""COMPUTED_VALUE"""),"СМР")</f>
        <v>СМР</v>
      </c>
      <c r="Q63" s="67">
        <f t="shared" ca="1" si="0"/>
        <v>0</v>
      </c>
      <c r="R63" s="67"/>
      <c r="S63" s="67"/>
      <c r="T63" s="67"/>
      <c r="U63" s="67"/>
      <c r="V63" s="67"/>
      <c r="W63" s="67"/>
      <c r="X63" s="67"/>
      <c r="Y63" s="67"/>
      <c r="Z63" s="67"/>
      <c r="AA63" s="67"/>
      <c r="AB63" s="67"/>
      <c r="AC63" s="67"/>
      <c r="AD63" s="67"/>
      <c r="AE63" s="67"/>
      <c r="AF63" s="67"/>
      <c r="AG63" s="67"/>
      <c r="AH63" s="67"/>
      <c r="AI63" s="67"/>
      <c r="AJ63" s="67"/>
      <c r="AK63" s="67"/>
      <c r="AL63" s="67"/>
      <c r="AM63" s="67"/>
    </row>
    <row r="64" spans="1:39" ht="84" hidden="1" x14ac:dyDescent="0.2">
      <c r="A64" s="67"/>
      <c r="B64" s="96"/>
      <c r="C6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4" s="20" t="str">
        <f ca="1">IFERROR(__xludf.DUMMYFUNCTION("""COMPUTED_VALUE"""),"МинЖКХ")</f>
        <v>МинЖКХ</v>
      </c>
      <c r="E64" s="20" t="str">
        <f ca="1">IFERROR(__xludf.DUMMYFUNCTION("""COMPUTED_VALUE"""),"Реконструкция ВЗУп. Насадкино г.о. Дмтровский")</f>
        <v>Реконструкция ВЗУп. Насадкино г.о. Дмтровский</v>
      </c>
      <c r="F64" s="67" t="str">
        <f ca="1">IFERROR(__xludf.DUMMYFUNCTION("""COMPUTED_VALUE"""),"Н/Л")</f>
        <v>Н/Л</v>
      </c>
      <c r="G64" s="67" t="str">
        <f ca="1">IFERROR(__xludf.DUMMYFUNCTION("""COMPUTED_VALUE"""),"г.о. Дмитровский")</f>
        <v>г.о. Дмитровский</v>
      </c>
      <c r="H64" s="67" t="str">
        <f ca="1">IFERROR(__xludf.DUMMYFUNCTION("""COMPUTED_VALUE"""),"ВЗУ")</f>
        <v>ВЗУ</v>
      </c>
      <c r="I64" s="67"/>
      <c r="J64" s="67"/>
      <c r="K64" s="97">
        <f ca="1">IFERROR(__xludf.DUMMYFUNCTION("""COMPUTED_VALUE"""),0)</f>
        <v>0</v>
      </c>
      <c r="L64" s="97">
        <f ca="1">IFERROR(__xludf.DUMMYFUNCTION("""COMPUTED_VALUE"""),0)</f>
        <v>0</v>
      </c>
      <c r="M64" s="97">
        <f ca="1">IFERROR(__xludf.DUMMYFUNCTION("""COMPUTED_VALUE"""),0)</f>
        <v>0</v>
      </c>
      <c r="N64" s="67"/>
      <c r="O64" s="67"/>
      <c r="P64" s="67"/>
      <c r="Q64" s="67" t="e">
        <f t="shared" ca="1" si="0"/>
        <v>#DIV/0!</v>
      </c>
      <c r="R64" s="67"/>
      <c r="S64" s="67"/>
      <c r="T64" s="67"/>
      <c r="U64" s="67"/>
      <c r="V64" s="67"/>
      <c r="W64" s="67"/>
      <c r="X64" s="67"/>
      <c r="Y64" s="67"/>
      <c r="Z64" s="67"/>
      <c r="AA64" s="67"/>
      <c r="AB64" s="67"/>
      <c r="AC64" s="67"/>
      <c r="AD64" s="67"/>
      <c r="AE64" s="67"/>
      <c r="AF64" s="67"/>
      <c r="AG64" s="67"/>
      <c r="AH64" s="67"/>
      <c r="AI64" s="67"/>
      <c r="AJ64" s="67"/>
      <c r="AK64" s="67"/>
      <c r="AL64" s="67"/>
      <c r="AM64" s="67"/>
    </row>
    <row r="65" spans="1:39" ht="84" hidden="1" x14ac:dyDescent="0.2">
      <c r="A65" s="67"/>
      <c r="B65" s="96"/>
      <c r="C6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5" s="20" t="str">
        <f ca="1">IFERROR(__xludf.DUMMYFUNCTION("""COMPUTED_VALUE"""),"МинЖКХ")</f>
        <v>МинЖКХ</v>
      </c>
      <c r="E65" s="20" t="str">
        <f ca="1">IFERROR(__xludf.DUMMYFUNCTION("""COMPUTED_VALUE"""),"Реконструкция ВЗУ д. Бунятино г.о. Дмтровский")</f>
        <v>Реконструкция ВЗУ д. Бунятино г.о. Дмтровский</v>
      </c>
      <c r="F65" s="67" t="str">
        <f ca="1">IFERROR(__xludf.DUMMYFUNCTION("""COMPUTED_VALUE"""),"Н/Л")</f>
        <v>Н/Л</v>
      </c>
      <c r="G65" s="67" t="str">
        <f ca="1">IFERROR(__xludf.DUMMYFUNCTION("""COMPUTED_VALUE"""),"г.о. Дмитровский")</f>
        <v>г.о. Дмитровский</v>
      </c>
      <c r="H65" s="67" t="str">
        <f ca="1">IFERROR(__xludf.DUMMYFUNCTION("""COMPUTED_VALUE"""),"ВЗУ")</f>
        <v>ВЗУ</v>
      </c>
      <c r="I65" s="67"/>
      <c r="J65" s="67"/>
      <c r="K65" s="97">
        <f ca="1">IFERROR(__xludf.DUMMYFUNCTION("""COMPUTED_VALUE"""),0)</f>
        <v>0</v>
      </c>
      <c r="L65" s="97">
        <f ca="1">IFERROR(__xludf.DUMMYFUNCTION("""COMPUTED_VALUE"""),0)</f>
        <v>0</v>
      </c>
      <c r="M65" s="97">
        <f ca="1">IFERROR(__xludf.DUMMYFUNCTION("""COMPUTED_VALUE"""),0)</f>
        <v>0</v>
      </c>
      <c r="N65" s="67"/>
      <c r="O65" s="67"/>
      <c r="P65" s="67"/>
      <c r="Q65" s="67" t="e">
        <f t="shared" ca="1" si="0"/>
        <v>#DIV/0!</v>
      </c>
      <c r="R65" s="67"/>
      <c r="S65" s="67"/>
      <c r="T65" s="67"/>
      <c r="U65" s="67"/>
      <c r="V65" s="67"/>
      <c r="W65" s="67"/>
      <c r="X65" s="67"/>
      <c r="Y65" s="67"/>
      <c r="Z65" s="67"/>
      <c r="AA65" s="67"/>
      <c r="AB65" s="67"/>
      <c r="AC65" s="67"/>
      <c r="AD65" s="67"/>
      <c r="AE65" s="67"/>
      <c r="AF65" s="67"/>
      <c r="AG65" s="67"/>
      <c r="AH65" s="67"/>
      <c r="AI65" s="67"/>
      <c r="AJ65" s="67"/>
      <c r="AK65" s="67"/>
      <c r="AL65" s="67"/>
      <c r="AM65" s="67"/>
    </row>
    <row r="66" spans="1:39" ht="84" hidden="1" x14ac:dyDescent="0.2">
      <c r="A66" s="67"/>
      <c r="B66" s="96"/>
      <c r="C6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6" s="20" t="str">
        <f ca="1">IFERROR(__xludf.DUMMYFUNCTION("""COMPUTED_VALUE"""),"МинЖКХ")</f>
        <v>МинЖКХ</v>
      </c>
      <c r="E66" s="20" t="str">
        <f ca="1">IFERROR(__xludf.DUMMYFUNCTION("""COMPUTED_VALUE"""),"Реконструкция ВЗУ д. Юркино Талдомский г.о.")</f>
        <v>Реконструкция ВЗУ д. Юркино Талдомский г.о.</v>
      </c>
      <c r="F66" s="67">
        <f ca="1">IFERROR(__xludf.DUMMYFUNCTION("""COMPUTED_VALUE"""),2023)</f>
        <v>2023</v>
      </c>
      <c r="G66" s="67" t="str">
        <f ca="1">IFERROR(__xludf.DUMMYFUNCTION("""COMPUTED_VALUE"""),"г.о. Талдомский")</f>
        <v>г.о. Талдомский</v>
      </c>
      <c r="H66" s="67" t="str">
        <f ca="1">IFERROR(__xludf.DUMMYFUNCTION("""COMPUTED_VALUE"""),"ВЗУ")</f>
        <v>ВЗУ</v>
      </c>
      <c r="I66" s="67"/>
      <c r="J66" s="67"/>
      <c r="K66" s="97">
        <f ca="1">IFERROR(__xludf.DUMMYFUNCTION("""COMPUTED_VALUE"""),2190.97)</f>
        <v>2190.9699999999998</v>
      </c>
      <c r="L66" s="97">
        <f ca="1">IFERROR(__xludf.DUMMYFUNCTION("""COMPUTED_VALUE"""),0)</f>
        <v>0</v>
      </c>
      <c r="M66" s="97">
        <f ca="1">IFERROR(__xludf.DUMMYFUNCTION("""COMPUTED_VALUE"""),0)</f>
        <v>0</v>
      </c>
      <c r="N66" s="67"/>
      <c r="O66" s="67"/>
      <c r="P66" s="67" t="str">
        <f ca="1">IFERROR(__xludf.DUMMYFUNCTION("""COMPUTED_VALUE"""),"СМР")</f>
        <v>СМР</v>
      </c>
      <c r="Q66" s="67">
        <f t="shared" ca="1" si="0"/>
        <v>0</v>
      </c>
      <c r="R66" s="67"/>
      <c r="S66" s="67"/>
      <c r="T66" s="67"/>
      <c r="U66" s="67"/>
      <c r="V66" s="67"/>
      <c r="W66" s="67"/>
      <c r="X66" s="67"/>
      <c r="Y66" s="67"/>
      <c r="Z66" s="67"/>
      <c r="AA66" s="67"/>
      <c r="AB66" s="67"/>
      <c r="AC66" s="67"/>
      <c r="AD66" s="67"/>
      <c r="AE66" s="67"/>
      <c r="AF66" s="67"/>
      <c r="AG66" s="67"/>
      <c r="AH66" s="67"/>
      <c r="AI66" s="67"/>
      <c r="AJ66" s="67"/>
      <c r="AK66" s="67"/>
      <c r="AL66" s="67"/>
      <c r="AM66" s="67"/>
    </row>
    <row r="67" spans="1:39" ht="84" hidden="1" x14ac:dyDescent="0.2">
      <c r="A67" s="67"/>
      <c r="B67" s="96"/>
      <c r="C6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7" s="20" t="str">
        <f ca="1">IFERROR(__xludf.DUMMYFUNCTION("""COMPUTED_VALUE"""),"МинЖКХ")</f>
        <v>МинЖКХ</v>
      </c>
      <c r="E67" s="20" t="str">
        <f ca="1">IFERROR(__xludf.DUMMYFUNCTION("""COMPUTED_VALUE"""),"Реконструкция ВЗУ Павловичи г.о. Талдомский")</f>
        <v>Реконструкция ВЗУ Павловичи г.о. Талдомский</v>
      </c>
      <c r="F67" s="67">
        <f ca="1">IFERROR(__xludf.DUMMYFUNCTION("""COMPUTED_VALUE"""),2022)</f>
        <v>2022</v>
      </c>
      <c r="G67" s="67" t="str">
        <f ca="1">IFERROR(__xludf.DUMMYFUNCTION("""COMPUTED_VALUE"""),"г.о. Талдомский")</f>
        <v>г.о. Талдомский</v>
      </c>
      <c r="H67" s="67" t="str">
        <f ca="1">IFERROR(__xludf.DUMMYFUNCTION("""COMPUTED_VALUE"""),"ВЗУ")</f>
        <v>ВЗУ</v>
      </c>
      <c r="I67" s="67"/>
      <c r="J67" s="67"/>
      <c r="K67" s="97">
        <f ca="1">IFERROR(__xludf.DUMMYFUNCTION("""COMPUTED_VALUE"""),4116)</f>
        <v>4116</v>
      </c>
      <c r="L67" s="97">
        <f ca="1">IFERROR(__xludf.DUMMYFUNCTION("""COMPUTED_VALUE"""),0)</f>
        <v>0</v>
      </c>
      <c r="M67" s="97">
        <f ca="1">IFERROR(__xludf.DUMMYFUNCTION("""COMPUTED_VALUE"""),0)</f>
        <v>0</v>
      </c>
      <c r="N67" s="67"/>
      <c r="O67" s="67"/>
      <c r="P67" s="67" t="str">
        <f ca="1">IFERROR(__xludf.DUMMYFUNCTION("""COMPUTED_VALUE"""),"СМР")</f>
        <v>СМР</v>
      </c>
      <c r="Q67" s="67">
        <f t="shared" ca="1" si="0"/>
        <v>0</v>
      </c>
      <c r="R67" s="67"/>
      <c r="S67" s="67"/>
      <c r="T67" s="67"/>
      <c r="U67" s="67"/>
      <c r="V67" s="67"/>
      <c r="W67" s="67"/>
      <c r="X67" s="67"/>
      <c r="Y67" s="67"/>
      <c r="Z67" s="67"/>
      <c r="AA67" s="67"/>
      <c r="AB67" s="67"/>
      <c r="AC67" s="67"/>
      <c r="AD67" s="67"/>
      <c r="AE67" s="67"/>
      <c r="AF67" s="67"/>
      <c r="AG67" s="67"/>
      <c r="AH67" s="67"/>
      <c r="AI67" s="67"/>
      <c r="AJ67" s="67"/>
      <c r="AK67" s="67"/>
      <c r="AL67" s="67"/>
      <c r="AM67" s="67"/>
    </row>
    <row r="68" spans="1:39" ht="84" hidden="1" x14ac:dyDescent="0.2">
      <c r="A68" s="67"/>
      <c r="B68" s="96"/>
      <c r="C6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8" s="20" t="str">
        <f ca="1">IFERROR(__xludf.DUMMYFUNCTION("""COMPUTED_VALUE"""),"МинЖКХ")</f>
        <v>МинЖКХ</v>
      </c>
      <c r="E68" s="20" t="str">
        <f ca="1">IFERROR(__xludf.DUMMYFUNCTION("""COMPUTED_VALUE"""),"Строительство ВЗУ №8 г. Волоколамск, ул. Мелиораторов, Волоколамский г.о.")</f>
        <v>Строительство ВЗУ №8 г. Волоколамск, ул. Мелиораторов, Волоколамский г.о.</v>
      </c>
      <c r="F68" s="67">
        <f ca="1">IFERROR(__xludf.DUMMYFUNCTION("""COMPUTED_VALUE"""),2022)</f>
        <v>2022</v>
      </c>
      <c r="G68" s="67" t="str">
        <f ca="1">IFERROR(__xludf.DUMMYFUNCTION("""COMPUTED_VALUE"""),"г.о. Волоколамский")</f>
        <v>г.о. Волоколамский</v>
      </c>
      <c r="H68" s="67" t="str">
        <f ca="1">IFERROR(__xludf.DUMMYFUNCTION("""COMPUTED_VALUE"""),"ВЗУ")</f>
        <v>ВЗУ</v>
      </c>
      <c r="I68" s="67"/>
      <c r="J68" s="67"/>
      <c r="K68" s="97">
        <f ca="1">IFERROR(__xludf.DUMMYFUNCTION("""COMPUTED_VALUE"""),8600)</f>
        <v>8600</v>
      </c>
      <c r="L68" s="97">
        <f ca="1">IFERROR(__xludf.DUMMYFUNCTION("""COMPUTED_VALUE"""),0)</f>
        <v>0</v>
      </c>
      <c r="M68" s="97">
        <f ca="1">IFERROR(__xludf.DUMMYFUNCTION("""COMPUTED_VALUE"""),0)</f>
        <v>0</v>
      </c>
      <c r="N68" s="67"/>
      <c r="O68" s="67"/>
      <c r="P68" s="67" t="str">
        <f ca="1">IFERROR(__xludf.DUMMYFUNCTION("""COMPUTED_VALUE"""),"СМР")</f>
        <v>СМР</v>
      </c>
      <c r="Q68" s="67">
        <f t="shared" ca="1" si="0"/>
        <v>0</v>
      </c>
      <c r="R68" s="67"/>
      <c r="S68" s="67"/>
      <c r="T68" s="67"/>
      <c r="U68" s="67"/>
      <c r="V68" s="67"/>
      <c r="W68" s="67"/>
      <c r="X68" s="67"/>
      <c r="Y68" s="67"/>
      <c r="Z68" s="67"/>
      <c r="AA68" s="67"/>
      <c r="AB68" s="67"/>
      <c r="AC68" s="67"/>
      <c r="AD68" s="67"/>
      <c r="AE68" s="67"/>
      <c r="AF68" s="67"/>
      <c r="AG68" s="67"/>
      <c r="AH68" s="67"/>
      <c r="AI68" s="67"/>
      <c r="AJ68" s="67"/>
      <c r="AK68" s="67"/>
      <c r="AL68" s="67"/>
      <c r="AM68" s="67"/>
    </row>
    <row r="69" spans="1:39" ht="84" hidden="1" x14ac:dyDescent="0.2">
      <c r="A69" s="67"/>
      <c r="B69" s="96"/>
      <c r="C6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9" s="20" t="str">
        <f ca="1">IFERROR(__xludf.DUMMYFUNCTION("""COMPUTED_VALUE"""),"МинЖКХ")</f>
        <v>МинЖКХ</v>
      </c>
      <c r="E69" s="20" t="str">
        <f ca="1">IFERROR(__xludf.DUMMYFUNCTION("""COMPUTED_VALUE"""),"Реконструкция ВЗУ №14 г. Волоколамск,  ул. Лесная, Волоколамский г.о.")</f>
        <v>Реконструкция ВЗУ №14 г. Волоколамск,  ул. Лесная, Волоколамский г.о.</v>
      </c>
      <c r="F69" s="67">
        <f ca="1">IFERROR(__xludf.DUMMYFUNCTION("""COMPUTED_VALUE"""),2022)</f>
        <v>2022</v>
      </c>
      <c r="G69" s="67" t="str">
        <f ca="1">IFERROR(__xludf.DUMMYFUNCTION("""COMPUTED_VALUE"""),"г.о. Волоколамский")</f>
        <v>г.о. Волоколамский</v>
      </c>
      <c r="H69" s="67" t="str">
        <f ca="1">IFERROR(__xludf.DUMMYFUNCTION("""COMPUTED_VALUE"""),"ВЗУ")</f>
        <v>ВЗУ</v>
      </c>
      <c r="I69" s="67"/>
      <c r="J69" s="67"/>
      <c r="K69" s="97">
        <f ca="1">IFERROR(__xludf.DUMMYFUNCTION("""COMPUTED_VALUE"""),1800)</f>
        <v>1800</v>
      </c>
      <c r="L69" s="97">
        <f ca="1">IFERROR(__xludf.DUMMYFUNCTION("""COMPUTED_VALUE"""),0)</f>
        <v>0</v>
      </c>
      <c r="M69" s="97">
        <f ca="1">IFERROR(__xludf.DUMMYFUNCTION("""COMPUTED_VALUE"""),0)</f>
        <v>0</v>
      </c>
      <c r="N69" s="67"/>
      <c r="O69" s="67"/>
      <c r="P69" s="67" t="str">
        <f ca="1">IFERROR(__xludf.DUMMYFUNCTION("""COMPUTED_VALUE"""),"СМР")</f>
        <v>СМР</v>
      </c>
      <c r="Q69" s="67">
        <f t="shared" ca="1" si="0"/>
        <v>0</v>
      </c>
      <c r="R69" s="67"/>
      <c r="S69" s="67"/>
      <c r="T69" s="67"/>
      <c r="U69" s="67"/>
      <c r="V69" s="67"/>
      <c r="W69" s="67"/>
      <c r="X69" s="67"/>
      <c r="Y69" s="67"/>
      <c r="Z69" s="67"/>
      <c r="AA69" s="67"/>
      <c r="AB69" s="67"/>
      <c r="AC69" s="67"/>
      <c r="AD69" s="67"/>
      <c r="AE69" s="67"/>
      <c r="AF69" s="67"/>
      <c r="AG69" s="67"/>
      <c r="AH69" s="67"/>
      <c r="AI69" s="67"/>
      <c r="AJ69" s="67"/>
      <c r="AK69" s="67"/>
      <c r="AL69" s="67"/>
      <c r="AM69" s="67"/>
    </row>
    <row r="70" spans="1:39" ht="84" hidden="1" x14ac:dyDescent="0.2">
      <c r="A70" s="67"/>
      <c r="B70" s="96"/>
      <c r="C7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0" s="20" t="str">
        <f ca="1">IFERROR(__xludf.DUMMYFUNCTION("""COMPUTED_VALUE"""),"МинЖКХ")</f>
        <v>МинЖКХ</v>
      </c>
      <c r="E70" s="20" t="str">
        <f ca="1">IFERROR(__xludf.DUMMYFUNCTION("""COMPUTED_VALUE"""),"Реконструкция ВЗУ-442 г. Верея, проезд. Ленинский, Наро-Фоминский г.о.")</f>
        <v>Реконструкция ВЗУ-442 г. Верея, проезд. Ленинский, Наро-Фоминский г.о.</v>
      </c>
      <c r="F70" s="67" t="str">
        <f ca="1">IFERROR(__xludf.DUMMYFUNCTION("""COMPUTED_VALUE"""),"Н/Л")</f>
        <v>Н/Л</v>
      </c>
      <c r="G70" s="67" t="str">
        <f ca="1">IFERROR(__xludf.DUMMYFUNCTION("""COMPUTED_VALUE"""),"г.о. Наро-Фоминск")</f>
        <v>г.о. Наро-Фоминск</v>
      </c>
      <c r="H70" s="67" t="str">
        <f ca="1">IFERROR(__xludf.DUMMYFUNCTION("""COMPUTED_VALUE"""),"ВЗУ")</f>
        <v>ВЗУ</v>
      </c>
      <c r="I70" s="67"/>
      <c r="J70" s="67"/>
      <c r="K70" s="97">
        <f ca="1">IFERROR(__xludf.DUMMYFUNCTION("""COMPUTED_VALUE"""),0)</f>
        <v>0</v>
      </c>
      <c r="L70" s="97">
        <f ca="1">IFERROR(__xludf.DUMMYFUNCTION("""COMPUTED_VALUE"""),0)</f>
        <v>0</v>
      </c>
      <c r="M70" s="97">
        <f ca="1">IFERROR(__xludf.DUMMYFUNCTION("""COMPUTED_VALUE"""),0)</f>
        <v>0</v>
      </c>
      <c r="N70" s="67"/>
      <c r="O70" s="67"/>
      <c r="P70" s="67"/>
      <c r="Q70" s="67" t="e">
        <f t="shared" ca="1" si="0"/>
        <v>#DIV/0!</v>
      </c>
      <c r="R70" s="67"/>
      <c r="S70" s="67"/>
      <c r="T70" s="67"/>
      <c r="U70" s="67"/>
      <c r="V70" s="67"/>
      <c r="W70" s="67"/>
      <c r="X70" s="67"/>
      <c r="Y70" s="67"/>
      <c r="Z70" s="67"/>
      <c r="AA70" s="67"/>
      <c r="AB70" s="67"/>
      <c r="AC70" s="67"/>
      <c r="AD70" s="67"/>
      <c r="AE70" s="67"/>
      <c r="AF70" s="67"/>
      <c r="AG70" s="67"/>
      <c r="AH70" s="67"/>
      <c r="AI70" s="67"/>
      <c r="AJ70" s="67"/>
      <c r="AK70" s="67"/>
      <c r="AL70" s="67"/>
      <c r="AM70" s="67"/>
    </row>
    <row r="71" spans="1:39" ht="84" hidden="1" x14ac:dyDescent="0.2">
      <c r="A71" s="67"/>
      <c r="B71" s="96"/>
      <c r="C7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1" s="20" t="str">
        <f ca="1">IFERROR(__xludf.DUMMYFUNCTION("""COMPUTED_VALUE"""),"МинЖКХ")</f>
        <v>МинЖКХ</v>
      </c>
      <c r="E71" s="20" t="str">
        <f ca="1">IFERROR(__xludf.DUMMYFUNCTION("""COMPUTED_VALUE"""),"Реконструкция ВЗУ-11пгт. Горки Ленинские, Ленинский г.о.")</f>
        <v>Реконструкция ВЗУ-11пгт. Горки Ленинские, Ленинский г.о.</v>
      </c>
      <c r="F71" s="67" t="str">
        <f ca="1">IFERROR(__xludf.DUMMYFUNCTION("""COMPUTED_VALUE"""),"Н/Л")</f>
        <v>Н/Л</v>
      </c>
      <c r="G71" s="67" t="str">
        <f ca="1">IFERROR(__xludf.DUMMYFUNCTION("""COMPUTED_VALUE"""),"г.о. Ленинский")</f>
        <v>г.о. Ленинский</v>
      </c>
      <c r="H71" s="67" t="str">
        <f ca="1">IFERROR(__xludf.DUMMYFUNCTION("""COMPUTED_VALUE"""),"ВЗУ")</f>
        <v>ВЗУ</v>
      </c>
      <c r="I71" s="67"/>
      <c r="J71" s="67"/>
      <c r="K71" s="97">
        <f ca="1">IFERROR(__xludf.DUMMYFUNCTION("""COMPUTED_VALUE"""),0)</f>
        <v>0</v>
      </c>
      <c r="L71" s="97">
        <f ca="1">IFERROR(__xludf.DUMMYFUNCTION("""COMPUTED_VALUE"""),0)</f>
        <v>0</v>
      </c>
      <c r="M71" s="97">
        <f ca="1">IFERROR(__xludf.DUMMYFUNCTION("""COMPUTED_VALUE"""),0)</f>
        <v>0</v>
      </c>
      <c r="N71" s="67"/>
      <c r="O71" s="67"/>
      <c r="P71" s="67"/>
      <c r="Q71" s="67" t="e">
        <f t="shared" ca="1" si="0"/>
        <v>#DIV/0!</v>
      </c>
      <c r="R71" s="67"/>
      <c r="S71" s="67"/>
      <c r="T71" s="67"/>
      <c r="U71" s="67"/>
      <c r="V71" s="67"/>
      <c r="W71" s="67"/>
      <c r="X71" s="67"/>
      <c r="Y71" s="67"/>
      <c r="Z71" s="67"/>
      <c r="AA71" s="67"/>
      <c r="AB71" s="67"/>
      <c r="AC71" s="67"/>
      <c r="AD71" s="67"/>
      <c r="AE71" s="67"/>
      <c r="AF71" s="67"/>
      <c r="AG71" s="67"/>
      <c r="AH71" s="67"/>
      <c r="AI71" s="67"/>
      <c r="AJ71" s="67"/>
      <c r="AK71" s="67"/>
      <c r="AL71" s="67"/>
      <c r="AM71" s="67"/>
    </row>
    <row r="72" spans="1:39" ht="84" hidden="1" x14ac:dyDescent="0.2">
      <c r="A72" s="67"/>
      <c r="B72" s="96"/>
      <c r="C7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2" s="20" t="str">
        <f ca="1">IFERROR(__xludf.DUMMYFUNCTION("""COMPUTED_VALUE"""),"МинЖКХ")</f>
        <v>МинЖКХ</v>
      </c>
      <c r="E72" s="20" t="str">
        <f ca="1">IFERROR(__xludf.DUMMYFUNCTION("""COMPUTED_VALUE"""),"Реконструкция ВЗУ-18 с/п. Молоковское, с. Остров, ул. Центральная, Ленинский г.о.")</f>
        <v>Реконструкция ВЗУ-18 с/п. Молоковское, с. Остров, ул. Центральная, Ленинский г.о.</v>
      </c>
      <c r="F72" s="67" t="str">
        <f ca="1">IFERROR(__xludf.DUMMYFUNCTION("""COMPUTED_VALUE"""),"Н/Л")</f>
        <v>Н/Л</v>
      </c>
      <c r="G72" s="67" t="str">
        <f ca="1">IFERROR(__xludf.DUMMYFUNCTION("""COMPUTED_VALUE"""),"г.о. Ленинский")</f>
        <v>г.о. Ленинский</v>
      </c>
      <c r="H72" s="67" t="str">
        <f ca="1">IFERROR(__xludf.DUMMYFUNCTION("""COMPUTED_VALUE"""),"ВЗУ")</f>
        <v>ВЗУ</v>
      </c>
      <c r="I72" s="67"/>
      <c r="J72" s="67"/>
      <c r="K72" s="97">
        <f ca="1">IFERROR(__xludf.DUMMYFUNCTION("""COMPUTED_VALUE"""),0)</f>
        <v>0</v>
      </c>
      <c r="L72" s="97">
        <f ca="1">IFERROR(__xludf.DUMMYFUNCTION("""COMPUTED_VALUE"""),0)</f>
        <v>0</v>
      </c>
      <c r="M72" s="97">
        <f ca="1">IFERROR(__xludf.DUMMYFUNCTION("""COMPUTED_VALUE"""),0)</f>
        <v>0</v>
      </c>
      <c r="N72" s="67"/>
      <c r="O72" s="67"/>
      <c r="P72" s="67"/>
      <c r="Q72" s="67" t="e">
        <f t="shared" ca="1" si="0"/>
        <v>#DIV/0!</v>
      </c>
      <c r="R72" s="67"/>
      <c r="S72" s="67"/>
      <c r="T72" s="67"/>
      <c r="U72" s="67"/>
      <c r="V72" s="67"/>
      <c r="W72" s="67"/>
      <c r="X72" s="67"/>
      <c r="Y72" s="67"/>
      <c r="Z72" s="67"/>
      <c r="AA72" s="67"/>
      <c r="AB72" s="67"/>
      <c r="AC72" s="67"/>
      <c r="AD72" s="67"/>
      <c r="AE72" s="67"/>
      <c r="AF72" s="67"/>
      <c r="AG72" s="67"/>
      <c r="AH72" s="67"/>
      <c r="AI72" s="67"/>
      <c r="AJ72" s="67"/>
      <c r="AK72" s="67"/>
      <c r="AL72" s="67"/>
      <c r="AM72" s="67"/>
    </row>
    <row r="73" spans="1:39" ht="84" hidden="1" x14ac:dyDescent="0.2">
      <c r="A73" s="67"/>
      <c r="B73" s="100"/>
      <c r="C7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3" s="20" t="str">
        <f ca="1">IFERROR(__xludf.DUMMYFUNCTION("""COMPUTED_VALUE"""),"МинЖКХ")</f>
        <v>МинЖКХ</v>
      </c>
      <c r="E73" s="20" t="str">
        <f ca="1">IFERROR(__xludf.DUMMYFUNCTION("""COMPUTED_VALUE"""),"Реконструкция ВЗУ-15 с/п. Молоковское,  Ленинский г.о.")</f>
        <v>Реконструкция ВЗУ-15 с/п. Молоковское,  Ленинский г.о.</v>
      </c>
      <c r="F73" s="67">
        <f ca="1">IFERROR(__xludf.DUMMYFUNCTION("""COMPUTED_VALUE"""),2022)</f>
        <v>2022</v>
      </c>
      <c r="G73" s="67" t="str">
        <f ca="1">IFERROR(__xludf.DUMMYFUNCTION("""COMPUTED_VALUE"""),"г.о. Ленинский")</f>
        <v>г.о. Ленинский</v>
      </c>
      <c r="H73" s="67" t="str">
        <f ca="1">IFERROR(__xludf.DUMMYFUNCTION("""COMPUTED_VALUE"""),"ВЗУ")</f>
        <v>ВЗУ</v>
      </c>
      <c r="I73" s="67"/>
      <c r="J73" s="67"/>
      <c r="K73" s="97">
        <f ca="1">IFERROR(__xludf.DUMMYFUNCTION("""COMPUTED_VALUE"""),5211.79)</f>
        <v>5211.79</v>
      </c>
      <c r="L73" s="97">
        <f ca="1">IFERROR(__xludf.DUMMYFUNCTION("""COMPUTED_VALUE"""),0)</f>
        <v>0</v>
      </c>
      <c r="M73" s="97">
        <f ca="1">IFERROR(__xludf.DUMMYFUNCTION("""COMPUTED_VALUE"""),0)</f>
        <v>0</v>
      </c>
      <c r="N73" s="67"/>
      <c r="O73" s="67"/>
      <c r="P73" s="67" t="str">
        <f ca="1">IFERROR(__xludf.DUMMYFUNCTION("""COMPUTED_VALUE"""),"СМР")</f>
        <v>СМР</v>
      </c>
      <c r="Q73" s="67">
        <f t="shared" ca="1" si="0"/>
        <v>0</v>
      </c>
      <c r="R73" s="67"/>
      <c r="S73" s="67"/>
      <c r="T73" s="67"/>
      <c r="U73" s="67"/>
      <c r="V73" s="67"/>
      <c r="W73" s="67"/>
      <c r="X73" s="67"/>
      <c r="Y73" s="67"/>
      <c r="Z73" s="67"/>
      <c r="AA73" s="67"/>
      <c r="AB73" s="67"/>
      <c r="AC73" s="67"/>
      <c r="AD73" s="67"/>
      <c r="AE73" s="67"/>
      <c r="AF73" s="67"/>
      <c r="AG73" s="67"/>
      <c r="AH73" s="67"/>
      <c r="AI73" s="67"/>
      <c r="AJ73" s="67"/>
      <c r="AK73" s="67"/>
      <c r="AL73" s="67"/>
      <c r="AM73" s="67"/>
    </row>
    <row r="74" spans="1:39" ht="84" x14ac:dyDescent="0.2">
      <c r="A74" s="67"/>
      <c r="B74" s="96"/>
      <c r="C7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4" s="20" t="str">
        <f ca="1">IFERROR(__xludf.DUMMYFUNCTION("""COMPUTED_VALUE"""),"МинЖКХ")</f>
        <v>МинЖКХ</v>
      </c>
      <c r="E74" s="20" t="str">
        <f ca="1">IFERROR(__xludf.DUMMYFUNCTION("""COMPUTED_VALUE"""),"Строительство водозаборного узла в д. Дроздово сельского поселения Развилковское Ленинского муниципального района Московской области")</f>
        <v>Строительство водозаборного узла в д. Дроздово сельского поселения Развилковское Ленинского муниципального района Московской области</v>
      </c>
      <c r="F74" s="67" t="str">
        <f ca="1">IFERROR(__xludf.DUMMYFUNCTION("""COMPUTED_VALUE"""),"2020-2021")</f>
        <v>2020-2021</v>
      </c>
      <c r="G74" s="67" t="str">
        <f ca="1">IFERROR(__xludf.DUMMYFUNCTION("""COMPUTED_VALUE"""),"г.о. Ленинский")</f>
        <v>г.о. Ленинский</v>
      </c>
      <c r="H74" s="67" t="str">
        <f ca="1">IFERROR(__xludf.DUMMYFUNCTION("""COMPUTED_VALUE"""),"ВЗУ")</f>
        <v>ВЗУ</v>
      </c>
      <c r="I74" s="97">
        <f ca="1">IFERROR(__xludf.DUMMYFUNCTION("""COMPUTED_VALUE"""),8819.26)</f>
        <v>8819.26</v>
      </c>
      <c r="J74" s="67"/>
      <c r="K74" s="97">
        <f ca="1">IFERROR(__xludf.DUMMYFUNCTION("""COMPUTED_VALUE"""),15430.05)</f>
        <v>15430.05</v>
      </c>
      <c r="L74" s="97">
        <f ca="1">IFERROR(__xludf.DUMMYFUNCTION("""COMPUTED_VALUE"""),0)</f>
        <v>0</v>
      </c>
      <c r="M74" s="97">
        <f ca="1">IFERROR(__xludf.DUMMYFUNCTION("""COMPUTED_VALUE"""),0)</f>
        <v>0</v>
      </c>
      <c r="N74" s="67"/>
      <c r="O74" s="67"/>
      <c r="P74" s="67" t="str">
        <f ca="1">IFERROR(__xludf.DUMMYFUNCTION("""COMPUTED_VALUE"""),"СМР")</f>
        <v>СМР</v>
      </c>
      <c r="Q74" s="67">
        <f t="shared" ca="1" si="0"/>
        <v>0</v>
      </c>
      <c r="R74" s="67"/>
      <c r="S74" s="97">
        <f ca="1">IFERROR(__xludf.DUMMYFUNCTION("""COMPUTED_VALUE"""),26457.65)</f>
        <v>26457.65</v>
      </c>
      <c r="T74" s="67"/>
      <c r="U74" s="67"/>
      <c r="V74" s="67"/>
      <c r="W74" s="67"/>
      <c r="X74" s="67"/>
      <c r="Y74" s="67"/>
      <c r="Z74" s="67"/>
      <c r="AA74" s="67"/>
      <c r="AB74" s="67"/>
      <c r="AC74" s="67"/>
      <c r="AD74" s="67"/>
      <c r="AE74" s="67"/>
      <c r="AF74" s="67"/>
      <c r="AG74" s="67"/>
      <c r="AH74" s="67"/>
      <c r="AI74" s="67"/>
      <c r="AJ74" s="67"/>
      <c r="AK74" s="67"/>
      <c r="AL74" s="67"/>
      <c r="AM74" s="67"/>
    </row>
    <row r="75" spans="1:39" ht="84" hidden="1" x14ac:dyDescent="0.2">
      <c r="A75" s="67"/>
      <c r="B75" s="96"/>
      <c r="C7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5" s="20" t="str">
        <f ca="1">IFERROR(__xludf.DUMMYFUNCTION("""COMPUTED_VALUE"""),"МинЖКХ")</f>
        <v>МинЖКХ</v>
      </c>
      <c r="E75" s="20" t="str">
        <f ca="1">IFERROR(__xludf.DUMMYFUNCTION("""COMPUTED_VALUE"""),"Строительство сети водоснабжения по адресу: Московской области, Ленинский г.о. сельское поселение Булатниковское, с. Булатниково.")</f>
        <v>Строительство сети водоснабжения по адресу: Московской области, Ленинский г.о. сельское поселение Булатниковское, с. Булатниково.</v>
      </c>
      <c r="F75" s="67">
        <f ca="1">IFERROR(__xludf.DUMMYFUNCTION("""COMPUTED_VALUE"""),2021)</f>
        <v>2021</v>
      </c>
      <c r="G75" s="67" t="str">
        <f ca="1">IFERROR(__xludf.DUMMYFUNCTION("""COMPUTED_VALUE"""),"г.о. Ленинский")</f>
        <v>г.о. Ленинский</v>
      </c>
      <c r="H75" s="67" t="str">
        <f ca="1">IFERROR(__xludf.DUMMYFUNCTION("""COMPUTED_VALUE"""),"Сети")</f>
        <v>Сети</v>
      </c>
      <c r="I75" s="67"/>
      <c r="J75" s="67"/>
      <c r="K75" s="97">
        <f ca="1">IFERROR(__xludf.DUMMYFUNCTION("""COMPUTED_VALUE"""),45942.64)</f>
        <v>45942.64</v>
      </c>
      <c r="L75" s="97">
        <f ca="1">IFERROR(__xludf.DUMMYFUNCTION("""COMPUTED_VALUE"""),0)</f>
        <v>0</v>
      </c>
      <c r="M75" s="97">
        <f ca="1">IFERROR(__xludf.DUMMYFUNCTION("""COMPUTED_VALUE"""),0)</f>
        <v>0</v>
      </c>
      <c r="N75" s="67"/>
      <c r="O75" s="67"/>
      <c r="P75" s="67" t="str">
        <f ca="1">IFERROR(__xludf.DUMMYFUNCTION("""COMPUTED_VALUE"""),"СМР")</f>
        <v>СМР</v>
      </c>
      <c r="Q75" s="67">
        <f t="shared" ca="1" si="0"/>
        <v>0</v>
      </c>
      <c r="R75" s="67"/>
      <c r="S75" s="67"/>
      <c r="T75" s="67"/>
      <c r="U75" s="67"/>
      <c r="V75" s="67"/>
      <c r="W75" s="67"/>
      <c r="X75" s="67"/>
      <c r="Y75" s="67"/>
      <c r="Z75" s="67"/>
      <c r="AA75" s="67"/>
      <c r="AB75" s="67"/>
      <c r="AC75" s="67"/>
      <c r="AD75" s="67"/>
      <c r="AE75" s="67"/>
      <c r="AF75" s="67"/>
      <c r="AG75" s="67"/>
      <c r="AH75" s="67"/>
      <c r="AI75" s="67"/>
      <c r="AJ75" s="67"/>
      <c r="AK75" s="67"/>
      <c r="AL75" s="67"/>
      <c r="AM75" s="67"/>
    </row>
    <row r="76" spans="1:39" ht="96" hidden="1" x14ac:dyDescent="0.2">
      <c r="A76" s="67"/>
      <c r="B76" s="96"/>
      <c r="C7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6" s="20" t="str">
        <f ca="1">IFERROR(__xludf.DUMMYFUNCTION("""COMPUTED_VALUE"""),"МинЖКХ")</f>
        <v>МинЖКХ</v>
      </c>
      <c r="E76" s="20" t="str">
        <f ca="1">IFERROR(__xludf.DUMMYFUNCTION("""COMPUTED_VALUE"""),"Реконструкция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f>
        <v>Реконструкция водозаборного узла № 15 в д. Орлово мощностью 450,00 м3/сут
по адресу: Московская область, Ленинский муниципальный район,
сельское поселение Молоковское, д. Орлово</v>
      </c>
      <c r="F76" s="67" t="str">
        <f ca="1">IFERROR(__xludf.DUMMYFUNCTION("""COMPUTED_VALUE"""),"2020-2022")</f>
        <v>2020-2022</v>
      </c>
      <c r="G76" s="67" t="str">
        <f ca="1">IFERROR(__xludf.DUMMYFUNCTION("""COMPUTED_VALUE"""),"г.о. Ленинский")</f>
        <v>г.о. Ленинский</v>
      </c>
      <c r="H76" s="67" t="str">
        <f ca="1">IFERROR(__xludf.DUMMYFUNCTION("""COMPUTED_VALUE"""),"ВЗУ")</f>
        <v>ВЗУ</v>
      </c>
      <c r="I76" s="97">
        <f ca="1">IFERROR(__xludf.DUMMYFUNCTION("""COMPUTED_VALUE"""),4146.82)</f>
        <v>4146.82</v>
      </c>
      <c r="J76" s="67"/>
      <c r="K76" s="97">
        <f ca="1">IFERROR(__xludf.DUMMYFUNCTION("""COMPUTED_VALUE"""),10849.6199999999)</f>
        <v>10849.619999999901</v>
      </c>
      <c r="L76" s="97">
        <f ca="1">IFERROR(__xludf.DUMMYFUNCTION("""COMPUTED_VALUE"""),0)</f>
        <v>0</v>
      </c>
      <c r="M76" s="97">
        <f ca="1">IFERROR(__xludf.DUMMYFUNCTION("""COMPUTED_VALUE"""),0)</f>
        <v>0</v>
      </c>
      <c r="N76" s="67"/>
      <c r="O76" s="67"/>
      <c r="P76" s="67" t="str">
        <f ca="1">IFERROR(__xludf.DUMMYFUNCTION("""COMPUTED_VALUE"""),"СМР")</f>
        <v>СМР</v>
      </c>
      <c r="Q76" s="67">
        <f t="shared" ca="1" si="0"/>
        <v>0</v>
      </c>
      <c r="R76" s="67"/>
      <c r="S76" s="97">
        <f ca="1">IFERROR(__xludf.DUMMYFUNCTION("""COMPUTED_VALUE"""),12440.42)</f>
        <v>12440.42</v>
      </c>
      <c r="T76" s="67"/>
      <c r="U76" s="67"/>
      <c r="V76" s="67"/>
      <c r="W76" s="67"/>
      <c r="X76" s="67"/>
      <c r="Y76" s="67"/>
      <c r="Z76" s="67"/>
      <c r="AA76" s="67"/>
      <c r="AB76" s="67"/>
      <c r="AC76" s="67"/>
      <c r="AD76" s="67"/>
      <c r="AE76" s="67"/>
      <c r="AF76" s="67"/>
      <c r="AG76" s="67"/>
      <c r="AH76" s="67"/>
      <c r="AI76" s="67"/>
      <c r="AJ76" s="67"/>
      <c r="AK76" s="67"/>
      <c r="AL76" s="67"/>
      <c r="AM76" s="67"/>
    </row>
    <row r="77" spans="1:39" ht="84" hidden="1" x14ac:dyDescent="0.2">
      <c r="A77" s="67"/>
      <c r="B77" s="96"/>
      <c r="C7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7" s="20" t="str">
        <f ca="1">IFERROR(__xludf.DUMMYFUNCTION("""COMPUTED_VALUE"""),"МинЖКХ")</f>
        <v>МинЖКХ</v>
      </c>
      <c r="E77" s="20" t="str">
        <f ca="1">IFERROR(__xludf.DUMMYFUNCTION("""COMPUTED_VALUE"""),"Реконструкция водозаборного узла в п/о ""Петровское"" городского поселения Горки Ленинские Ленинского муниципального района Московской области")</f>
        <v>Реконструкция водозаборного узла в п/о "Петровское" городского поселения Горки Ленинские Ленинского муниципального района Московской области</v>
      </c>
      <c r="F77" s="67" t="str">
        <f ca="1">IFERROR(__xludf.DUMMYFUNCTION("""COMPUTED_VALUE"""),"2021-2022")</f>
        <v>2021-2022</v>
      </c>
      <c r="G77" s="67" t="str">
        <f ca="1">IFERROR(__xludf.DUMMYFUNCTION("""COMPUTED_VALUE"""),"г.о. Ленинский")</f>
        <v>г.о. Ленинский</v>
      </c>
      <c r="H77" s="67" t="str">
        <f ca="1">IFERROR(__xludf.DUMMYFUNCTION("""COMPUTED_VALUE"""),"ВЗУ")</f>
        <v>ВЗУ</v>
      </c>
      <c r="I77" s="67"/>
      <c r="J77" s="67"/>
      <c r="K77" s="97">
        <f ca="1">IFERROR(__xludf.DUMMYFUNCTION("""COMPUTED_VALUE"""),19386.46)</f>
        <v>19386.46</v>
      </c>
      <c r="L77" s="97">
        <f ca="1">IFERROR(__xludf.DUMMYFUNCTION("""COMPUTED_VALUE"""),0)</f>
        <v>0</v>
      </c>
      <c r="M77" s="97">
        <f ca="1">IFERROR(__xludf.DUMMYFUNCTION("""COMPUTED_VALUE"""),0)</f>
        <v>0</v>
      </c>
      <c r="N77" s="67"/>
      <c r="O77" s="67"/>
      <c r="P77" s="67" t="str">
        <f ca="1">IFERROR(__xludf.DUMMYFUNCTION("""COMPUTED_VALUE"""),"СМР")</f>
        <v>СМР</v>
      </c>
      <c r="Q77" s="67">
        <f t="shared" ca="1" si="0"/>
        <v>0</v>
      </c>
      <c r="R77" s="67"/>
      <c r="S77" s="67"/>
      <c r="T77" s="67"/>
      <c r="U77" s="67"/>
      <c r="V77" s="67"/>
      <c r="W77" s="67"/>
      <c r="X77" s="67"/>
      <c r="Y77" s="67"/>
      <c r="Z77" s="67"/>
      <c r="AA77" s="67"/>
      <c r="AB77" s="67"/>
      <c r="AC77" s="67"/>
      <c r="AD77" s="67"/>
      <c r="AE77" s="67"/>
      <c r="AF77" s="67"/>
      <c r="AG77" s="67"/>
      <c r="AH77" s="67"/>
      <c r="AI77" s="67"/>
      <c r="AJ77" s="67"/>
      <c r="AK77" s="67"/>
      <c r="AL77" s="67"/>
      <c r="AM77" s="67"/>
    </row>
    <row r="78" spans="1:39" ht="84" hidden="1" x14ac:dyDescent="0.2">
      <c r="A78" s="67"/>
      <c r="B78" s="96"/>
      <c r="C7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8" s="20" t="str">
        <f ca="1">IFERROR(__xludf.DUMMYFUNCTION("""COMPUTED_VALUE"""),"МинЖКХ")</f>
        <v>МинЖКХ</v>
      </c>
      <c r="E78" s="20" t="str">
        <f ca="1">IFERROR(__xludf.DUMMYFUNCTION("""COMPUTED_VALUE"""),"Реконструкция водозаборного узла № 8 в п.Горки Ленинские городского поселения Горки Ленинские Ленинского городского округа Московской области")</f>
        <v>Реконструкция водозаборного узла № 8 в п.Горки Ленинские городского поселения Горки Ленинские Ленинского городского округа Московской области</v>
      </c>
      <c r="F78" s="67" t="str">
        <f ca="1">IFERROR(__xludf.DUMMYFUNCTION("""COMPUTED_VALUE"""),"2021-2022")</f>
        <v>2021-2022</v>
      </c>
      <c r="G78" s="67" t="str">
        <f ca="1">IFERROR(__xludf.DUMMYFUNCTION("""COMPUTED_VALUE"""),"г.о. Ленинский")</f>
        <v>г.о. Ленинский</v>
      </c>
      <c r="H78" s="67" t="str">
        <f ca="1">IFERROR(__xludf.DUMMYFUNCTION("""COMPUTED_VALUE"""),"ВЗУ")</f>
        <v>ВЗУ</v>
      </c>
      <c r="I78" s="67"/>
      <c r="J78" s="67"/>
      <c r="K78" s="97">
        <f ca="1">IFERROR(__xludf.DUMMYFUNCTION("""COMPUTED_VALUE"""),25399.89)</f>
        <v>25399.89</v>
      </c>
      <c r="L78" s="97">
        <f ca="1">IFERROR(__xludf.DUMMYFUNCTION("""COMPUTED_VALUE"""),0)</f>
        <v>0</v>
      </c>
      <c r="M78" s="97">
        <f ca="1">IFERROR(__xludf.DUMMYFUNCTION("""COMPUTED_VALUE"""),0)</f>
        <v>0</v>
      </c>
      <c r="N78" s="67"/>
      <c r="O78" s="67"/>
      <c r="P78" s="67" t="str">
        <f ca="1">IFERROR(__xludf.DUMMYFUNCTION("""COMPUTED_VALUE"""),"СМР")</f>
        <v>СМР</v>
      </c>
      <c r="Q78" s="67">
        <f t="shared" ca="1" si="0"/>
        <v>0</v>
      </c>
      <c r="R78" s="67"/>
      <c r="S78" s="67"/>
      <c r="T78" s="67"/>
      <c r="U78" s="67"/>
      <c r="V78" s="67"/>
      <c r="W78" s="67"/>
      <c r="X78" s="67"/>
      <c r="Y78" s="67"/>
      <c r="Z78" s="67"/>
      <c r="AA78" s="67"/>
      <c r="AB78" s="67"/>
      <c r="AC78" s="67"/>
      <c r="AD78" s="67"/>
      <c r="AE78" s="67"/>
      <c r="AF78" s="67"/>
      <c r="AG78" s="67"/>
      <c r="AH78" s="67"/>
      <c r="AI78" s="67"/>
      <c r="AJ78" s="67"/>
      <c r="AK78" s="67"/>
      <c r="AL78" s="67"/>
      <c r="AM78" s="67"/>
    </row>
    <row r="79" spans="1:39" ht="84" hidden="1" x14ac:dyDescent="0.2">
      <c r="A79" s="67"/>
      <c r="B79" s="96"/>
      <c r="C7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9" s="20" t="str">
        <f ca="1">IFERROR(__xludf.DUMMYFUNCTION("""COMPUTED_VALUE"""),"МинЖКХ")</f>
        <v>МинЖКХ</v>
      </c>
      <c r="E79" s="20" t="str">
        <f ca="1">IFERROR(__xludf.DUMMYFUNCTION("""COMPUTED_VALUE"""),"Реконструкция ВЗУ Пироговкий г.о. Мытищи")</f>
        <v>Реконструкция ВЗУ Пироговкий г.о. Мытищи</v>
      </c>
      <c r="F79" s="67" t="str">
        <f ca="1">IFERROR(__xludf.DUMMYFUNCTION("""COMPUTED_VALUE"""),"2023-2024")</f>
        <v>2023-2024</v>
      </c>
      <c r="G79" s="67" t="str">
        <f ca="1">IFERROR(__xludf.DUMMYFUNCTION("""COMPUTED_VALUE"""),"г.о. Мытищи")</f>
        <v>г.о. Мытищи</v>
      </c>
      <c r="H79" s="67" t="str">
        <f ca="1">IFERROR(__xludf.DUMMYFUNCTION("""COMPUTED_VALUE"""),"ВЗУ")</f>
        <v>ВЗУ</v>
      </c>
      <c r="I79" s="67"/>
      <c r="J79" s="67"/>
      <c r="K79" s="97">
        <f ca="1">IFERROR(__xludf.DUMMYFUNCTION("""COMPUTED_VALUE"""),82538.82)</f>
        <v>82538.820000000007</v>
      </c>
      <c r="L79" s="97">
        <f ca="1">IFERROR(__xludf.DUMMYFUNCTION("""COMPUTED_VALUE"""),0)</f>
        <v>0</v>
      </c>
      <c r="M79" s="97">
        <f ca="1">IFERROR(__xludf.DUMMYFUNCTION("""COMPUTED_VALUE"""),0)</f>
        <v>0</v>
      </c>
      <c r="N79" s="67"/>
      <c r="O79" s="67"/>
      <c r="P79" s="67" t="str">
        <f ca="1">IFERROR(__xludf.DUMMYFUNCTION("""COMPUTED_VALUE"""),"СМР")</f>
        <v>СМР</v>
      </c>
      <c r="Q79" s="67">
        <f t="shared" ca="1" si="0"/>
        <v>0</v>
      </c>
      <c r="R79" s="67"/>
      <c r="S79" s="67"/>
      <c r="T79" s="67"/>
      <c r="U79" s="67"/>
      <c r="V79" s="67"/>
      <c r="W79" s="67"/>
      <c r="X79" s="67"/>
      <c r="Y79" s="67"/>
      <c r="Z79" s="67"/>
      <c r="AA79" s="67"/>
      <c r="AB79" s="67"/>
      <c r="AC79" s="67"/>
      <c r="AD79" s="67"/>
      <c r="AE79" s="67"/>
      <c r="AF79" s="67"/>
      <c r="AG79" s="67"/>
      <c r="AH79" s="67"/>
      <c r="AI79" s="67"/>
      <c r="AJ79" s="67"/>
      <c r="AK79" s="67"/>
      <c r="AL79" s="67"/>
      <c r="AM79" s="67"/>
    </row>
    <row r="80" spans="1:39" ht="84" hidden="1" x14ac:dyDescent="0.2">
      <c r="A80" s="67"/>
      <c r="B80" s="96"/>
      <c r="C8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0" s="20" t="str">
        <f ca="1">IFERROR(__xludf.DUMMYFUNCTION("""COMPUTED_VALUE"""),"МинЖКХ")</f>
        <v>МинЖКХ</v>
      </c>
      <c r="E80" s="20" t="str">
        <f ca="1">IFERROR(__xludf.DUMMYFUNCTION("""COMPUTED_VALUE"""),"Реконструкция ВЗУ № 1 г.о.Дзержинский с переводом в станцию второго подъема производительностью 10 тыс. м3/сут.")</f>
        <v>Реконструкция ВЗУ № 1 г.о.Дзержинский с переводом в станцию второго подъема производительностью 10 тыс. м3/сут.</v>
      </c>
      <c r="F80" s="67">
        <f ca="1">IFERROR(__xludf.DUMMYFUNCTION("""COMPUTED_VALUE"""),2021)</f>
        <v>2021</v>
      </c>
      <c r="G80" s="67" t="str">
        <f ca="1">IFERROR(__xludf.DUMMYFUNCTION("""COMPUTED_VALUE"""),"г.о. Дзержинский")</f>
        <v>г.о. Дзержинский</v>
      </c>
      <c r="H80" s="67" t="str">
        <f ca="1">IFERROR(__xludf.DUMMYFUNCTION("""COMPUTED_VALUE"""),"ВЗУ")</f>
        <v>ВЗУ</v>
      </c>
      <c r="I80" s="67"/>
      <c r="J80" s="67"/>
      <c r="K80" s="97">
        <f ca="1">IFERROR(__xludf.DUMMYFUNCTION("""COMPUTED_VALUE"""),10558.91)</f>
        <v>10558.91</v>
      </c>
      <c r="L80" s="97">
        <f ca="1">IFERROR(__xludf.DUMMYFUNCTION("""COMPUTED_VALUE"""),0)</f>
        <v>0</v>
      </c>
      <c r="M80" s="97">
        <f ca="1">IFERROR(__xludf.DUMMYFUNCTION("""COMPUTED_VALUE"""),0)</f>
        <v>0</v>
      </c>
      <c r="N80" s="67"/>
      <c r="O80" s="67"/>
      <c r="P80" s="67" t="str">
        <f ca="1">IFERROR(__xludf.DUMMYFUNCTION("""COMPUTED_VALUE"""),"СМР")</f>
        <v>СМР</v>
      </c>
      <c r="Q80" s="67">
        <f t="shared" ca="1" si="0"/>
        <v>0</v>
      </c>
      <c r="R80" s="67"/>
      <c r="S80" s="67"/>
      <c r="T80" s="67"/>
      <c r="U80" s="67"/>
      <c r="V80" s="67"/>
      <c r="W80" s="67"/>
      <c r="X80" s="67"/>
      <c r="Y80" s="67"/>
      <c r="Z80" s="67"/>
      <c r="AA80" s="67"/>
      <c r="AB80" s="67"/>
      <c r="AC80" s="67"/>
      <c r="AD80" s="67"/>
      <c r="AE80" s="67"/>
      <c r="AF80" s="67"/>
      <c r="AG80" s="67"/>
      <c r="AH80" s="67"/>
      <c r="AI80" s="67"/>
      <c r="AJ80" s="67"/>
      <c r="AK80" s="67"/>
      <c r="AL80" s="67"/>
      <c r="AM80" s="67"/>
    </row>
    <row r="81" spans="1:39" ht="84" hidden="1" x14ac:dyDescent="0.2">
      <c r="A81" s="67"/>
      <c r="B81" s="96"/>
      <c r="C8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1" s="20" t="str">
        <f ca="1">IFERROR(__xludf.DUMMYFUNCTION("""COMPUTED_VALUE"""),"МинЖКХ")</f>
        <v>МинЖКХ</v>
      </c>
      <c r="E81" s="20" t="str">
        <f ca="1">IFERROR(__xludf.DUMMYFUNCTION("""COMPUTED_VALUE""")," Реконструкция ВЗУ № 3 г.о.Дзержинский с переводом в станцию второго подъема производительностью 10 тыс. м3/сут")</f>
        <v xml:space="preserve"> Реконструкция ВЗУ № 3 г.о.Дзержинский с переводом в станцию второго подъема производительностью 10 тыс. м3/сут</v>
      </c>
      <c r="F81" s="67">
        <f ca="1">IFERROR(__xludf.DUMMYFUNCTION("""COMPUTED_VALUE"""),2021)</f>
        <v>2021</v>
      </c>
      <c r="G81" s="67" t="str">
        <f ca="1">IFERROR(__xludf.DUMMYFUNCTION("""COMPUTED_VALUE"""),"г.о. Дзержинский")</f>
        <v>г.о. Дзержинский</v>
      </c>
      <c r="H81" s="67" t="str">
        <f ca="1">IFERROR(__xludf.DUMMYFUNCTION("""COMPUTED_VALUE"""),"ВЗУ")</f>
        <v>ВЗУ</v>
      </c>
      <c r="I81" s="67"/>
      <c r="J81" s="67"/>
      <c r="K81" s="97">
        <f ca="1">IFERROR(__xludf.DUMMYFUNCTION("""COMPUTED_VALUE"""),8220.98)</f>
        <v>8220.98</v>
      </c>
      <c r="L81" s="97">
        <f ca="1">IFERROR(__xludf.DUMMYFUNCTION("""COMPUTED_VALUE"""),0)</f>
        <v>0</v>
      </c>
      <c r="M81" s="97">
        <f ca="1">IFERROR(__xludf.DUMMYFUNCTION("""COMPUTED_VALUE"""),0)</f>
        <v>0</v>
      </c>
      <c r="N81" s="67"/>
      <c r="O81" s="67"/>
      <c r="P81" s="67" t="str">
        <f ca="1">IFERROR(__xludf.DUMMYFUNCTION("""COMPUTED_VALUE"""),"СМР")</f>
        <v>СМР</v>
      </c>
      <c r="Q81" s="67">
        <f t="shared" ca="1" si="0"/>
        <v>0</v>
      </c>
      <c r="R81" s="67"/>
      <c r="S81" s="67"/>
      <c r="T81" s="67"/>
      <c r="U81" s="67"/>
      <c r="V81" s="67"/>
      <c r="W81" s="67"/>
      <c r="X81" s="67"/>
      <c r="Y81" s="67"/>
      <c r="Z81" s="67"/>
      <c r="AA81" s="67"/>
      <c r="AB81" s="67"/>
      <c r="AC81" s="67"/>
      <c r="AD81" s="67"/>
      <c r="AE81" s="67"/>
      <c r="AF81" s="67"/>
      <c r="AG81" s="67"/>
      <c r="AH81" s="67"/>
      <c r="AI81" s="67"/>
      <c r="AJ81" s="67"/>
      <c r="AK81" s="67"/>
      <c r="AL81" s="67"/>
      <c r="AM81" s="67"/>
    </row>
    <row r="82" spans="1:39" ht="84" hidden="1" x14ac:dyDescent="0.2">
      <c r="A82" s="67"/>
      <c r="B82" s="96"/>
      <c r="C8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2" s="20" t="str">
        <f ca="1">IFERROR(__xludf.DUMMYFUNCTION("""COMPUTED_VALUE"""),"МинЖКХ")</f>
        <v>МинЖКХ</v>
      </c>
      <c r="E82" s="20" t="str">
        <f ca="1">IFERROR(__xludf.DUMMYFUNCTION("""COMPUTED_VALUE"""),"Строительство сетей водоснабжения от ВРУ до т. А, по адресу: Московская обл., г. Дзержинский, в районе поймы Москвы-реки")</f>
        <v>Строительство сетей водоснабжения от ВРУ до т. А, по адресу: Московская обл., г. Дзержинский, в районе поймы Москвы-реки</v>
      </c>
      <c r="F82" s="67">
        <f ca="1">IFERROR(__xludf.DUMMYFUNCTION("""COMPUTED_VALUE"""),2021)</f>
        <v>2021</v>
      </c>
      <c r="G82" s="67" t="str">
        <f ca="1">IFERROR(__xludf.DUMMYFUNCTION("""COMPUTED_VALUE"""),"г.о. Дзержинский")</f>
        <v>г.о. Дзержинский</v>
      </c>
      <c r="H82" s="67" t="str">
        <f ca="1">IFERROR(__xludf.DUMMYFUNCTION("""COMPUTED_VALUE"""),"Сети")</f>
        <v>Сети</v>
      </c>
      <c r="I82" s="67"/>
      <c r="J82" s="67"/>
      <c r="K82" s="97">
        <f ca="1">IFERROR(__xludf.DUMMYFUNCTION("""COMPUTED_VALUE"""),21004.47)</f>
        <v>21004.47</v>
      </c>
      <c r="L82" s="97">
        <f ca="1">IFERROR(__xludf.DUMMYFUNCTION("""COMPUTED_VALUE"""),0)</f>
        <v>0</v>
      </c>
      <c r="M82" s="97">
        <f ca="1">IFERROR(__xludf.DUMMYFUNCTION("""COMPUTED_VALUE"""),0)</f>
        <v>0</v>
      </c>
      <c r="N82" s="67"/>
      <c r="O82" s="67"/>
      <c r="P82" s="67" t="str">
        <f ca="1">IFERROR(__xludf.DUMMYFUNCTION("""COMPUTED_VALUE"""),"СМР")</f>
        <v>СМР</v>
      </c>
      <c r="Q82" s="67">
        <f t="shared" ca="1" si="0"/>
        <v>0</v>
      </c>
      <c r="R82" s="67"/>
      <c r="S82" s="67"/>
      <c r="T82" s="67"/>
      <c r="U82" s="67"/>
      <c r="V82" s="67"/>
      <c r="W82" s="67"/>
      <c r="X82" s="67"/>
      <c r="Y82" s="67"/>
      <c r="Z82" s="67"/>
      <c r="AA82" s="67"/>
      <c r="AB82" s="67"/>
      <c r="AC82" s="67"/>
      <c r="AD82" s="67"/>
      <c r="AE82" s="67"/>
      <c r="AF82" s="67"/>
      <c r="AG82" s="67"/>
      <c r="AH82" s="67"/>
      <c r="AI82" s="67"/>
      <c r="AJ82" s="67"/>
      <c r="AK82" s="67"/>
      <c r="AL82" s="67"/>
      <c r="AM82" s="67"/>
    </row>
    <row r="83" spans="1:39" ht="84" hidden="1" x14ac:dyDescent="0.2">
      <c r="A83" s="67"/>
      <c r="B83" s="96"/>
      <c r="C8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3" s="20" t="str">
        <f ca="1">IFERROR(__xludf.DUMMYFUNCTION("""COMPUTED_VALUE"""),"МинЖКХ")</f>
        <v>МинЖКХ</v>
      </c>
      <c r="E83" s="20" t="str">
        <f ca="1">IFERROR(__xludf.DUMMYFUNCTION("""COMPUTED_VALUE"""),"Строительсвто сетей водоснабжения от т.А до ВЗУ-3 по адресу: Московская обл., г. Дзержинский, ул. Дзержинская")</f>
        <v>Строительсвто сетей водоснабжения от т.А до ВЗУ-3 по адресу: Московская обл., г. Дзержинский, ул. Дзержинская</v>
      </c>
      <c r="F83" s="67">
        <f ca="1">IFERROR(__xludf.DUMMYFUNCTION("""COMPUTED_VALUE"""),2021)</f>
        <v>2021</v>
      </c>
      <c r="G83" s="67" t="str">
        <f ca="1">IFERROR(__xludf.DUMMYFUNCTION("""COMPUTED_VALUE"""),"г.о. Дзержинский")</f>
        <v>г.о. Дзержинский</v>
      </c>
      <c r="H83" s="67" t="str">
        <f ca="1">IFERROR(__xludf.DUMMYFUNCTION("""COMPUTED_VALUE"""),"Сети")</f>
        <v>Сети</v>
      </c>
      <c r="I83" s="67"/>
      <c r="J83" s="67"/>
      <c r="K83" s="97">
        <f ca="1">IFERROR(__xludf.DUMMYFUNCTION("""COMPUTED_VALUE"""),1715.78)</f>
        <v>1715.78</v>
      </c>
      <c r="L83" s="97">
        <f ca="1">IFERROR(__xludf.DUMMYFUNCTION("""COMPUTED_VALUE"""),0)</f>
        <v>0</v>
      </c>
      <c r="M83" s="97">
        <f ca="1">IFERROR(__xludf.DUMMYFUNCTION("""COMPUTED_VALUE"""),0)</f>
        <v>0</v>
      </c>
      <c r="N83" s="67"/>
      <c r="O83" s="67"/>
      <c r="P83" s="67" t="str">
        <f ca="1">IFERROR(__xludf.DUMMYFUNCTION("""COMPUTED_VALUE"""),"СМР")</f>
        <v>СМР</v>
      </c>
      <c r="Q83" s="67">
        <f t="shared" ca="1" si="0"/>
        <v>0</v>
      </c>
      <c r="R83" s="67"/>
      <c r="S83" s="67"/>
      <c r="T83" s="67"/>
      <c r="U83" s="67"/>
      <c r="V83" s="67"/>
      <c r="W83" s="67"/>
      <c r="X83" s="67"/>
      <c r="Y83" s="67"/>
      <c r="Z83" s="67"/>
      <c r="AA83" s="67"/>
      <c r="AB83" s="67"/>
      <c r="AC83" s="67"/>
      <c r="AD83" s="67"/>
      <c r="AE83" s="67"/>
      <c r="AF83" s="67"/>
      <c r="AG83" s="67"/>
      <c r="AH83" s="67"/>
      <c r="AI83" s="67"/>
      <c r="AJ83" s="67"/>
      <c r="AK83" s="67"/>
      <c r="AL83" s="67"/>
      <c r="AM83" s="67"/>
    </row>
    <row r="84" spans="1:39" ht="84" hidden="1" x14ac:dyDescent="0.2">
      <c r="A84" s="67"/>
      <c r="B84" s="96"/>
      <c r="C8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4" s="20" t="str">
        <f ca="1">IFERROR(__xludf.DUMMYFUNCTION("""COMPUTED_VALUE"""),"МинЖКХ")</f>
        <v>МинЖКХ</v>
      </c>
      <c r="E84" s="20" t="str">
        <f ca="1">IFERROR(__xludf.DUMMYFUNCTION("""COMPUTED_VALUE"""),"Строительство сетей водоснабжения от т.А до ВЗУ-1 по адресу: Московская обл., г.Дзержинский, ул.Академика Жукова")</f>
        <v>Строительство сетей водоснабжения от т.А до ВЗУ-1 по адресу: Московская обл., г.Дзержинский, ул.Академика Жукова</v>
      </c>
      <c r="F84" s="67">
        <f ca="1">IFERROR(__xludf.DUMMYFUNCTION("""COMPUTED_VALUE"""),2021)</f>
        <v>2021</v>
      </c>
      <c r="G84" s="67" t="str">
        <f ca="1">IFERROR(__xludf.DUMMYFUNCTION("""COMPUTED_VALUE"""),"г.о. Дзержинский")</f>
        <v>г.о. Дзержинский</v>
      </c>
      <c r="H84" s="67" t="str">
        <f ca="1">IFERROR(__xludf.DUMMYFUNCTION("""COMPUTED_VALUE"""),"Сети")</f>
        <v>Сети</v>
      </c>
      <c r="I84" s="67"/>
      <c r="J84" s="67"/>
      <c r="K84" s="97">
        <f ca="1">IFERROR(__xludf.DUMMYFUNCTION("""COMPUTED_VALUE"""),14669.21)</f>
        <v>14669.21</v>
      </c>
      <c r="L84" s="97">
        <f ca="1">IFERROR(__xludf.DUMMYFUNCTION("""COMPUTED_VALUE"""),0)</f>
        <v>0</v>
      </c>
      <c r="M84" s="97">
        <f ca="1">IFERROR(__xludf.DUMMYFUNCTION("""COMPUTED_VALUE"""),0)</f>
        <v>0</v>
      </c>
      <c r="N84" s="67"/>
      <c r="O84" s="67"/>
      <c r="P84" s="67" t="str">
        <f ca="1">IFERROR(__xludf.DUMMYFUNCTION("""COMPUTED_VALUE"""),"СМР")</f>
        <v>СМР</v>
      </c>
      <c r="Q84" s="67">
        <f t="shared" ca="1" si="0"/>
        <v>0</v>
      </c>
      <c r="R84" s="67"/>
      <c r="S84" s="67"/>
      <c r="T84" s="67"/>
      <c r="U84" s="67"/>
      <c r="V84" s="67"/>
      <c r="W84" s="67"/>
      <c r="X84" s="67"/>
      <c r="Y84" s="67"/>
      <c r="Z84" s="67"/>
      <c r="AA84" s="67"/>
      <c r="AB84" s="67"/>
      <c r="AC84" s="67"/>
      <c r="AD84" s="67"/>
      <c r="AE84" s="67"/>
      <c r="AF84" s="67"/>
      <c r="AG84" s="67"/>
      <c r="AH84" s="67"/>
      <c r="AI84" s="67"/>
      <c r="AJ84" s="67"/>
      <c r="AK84" s="67"/>
      <c r="AL84" s="67"/>
      <c r="AM84" s="67"/>
    </row>
    <row r="85" spans="1:39" ht="84" hidden="1" x14ac:dyDescent="0.2">
      <c r="A85" s="67"/>
      <c r="B85" s="96"/>
      <c r="C8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5" s="20" t="str">
        <f ca="1">IFERROR(__xludf.DUMMYFUNCTION("""COMPUTED_VALUE"""),"МинЖКХ")</f>
        <v>МинЖКХ</v>
      </c>
      <c r="E85" s="20" t="str">
        <f ca="1">IFERROR(__xludf.DUMMYFUNCTION("""COMPUTED_VALUE"""),"Реконструкция водопроводных сетей в мкр. Опалиха, расположенных по адресу: Московская область, г/о Красногорск, мкр. Опалиха")</f>
        <v>Реконструкция водопроводных сетей в мкр. Опалиха, расположенных по адресу: Московская область, г/о Красногорск, мкр. Опалиха</v>
      </c>
      <c r="F85" s="67">
        <f ca="1">IFERROR(__xludf.DUMMYFUNCTION("""COMPUTED_VALUE"""),2022)</f>
        <v>2022</v>
      </c>
      <c r="G85" s="67" t="str">
        <f ca="1">IFERROR(__xludf.DUMMYFUNCTION("""COMPUTED_VALUE"""),"г.о. Красногорск")</f>
        <v>г.о. Красногорск</v>
      </c>
      <c r="H85" s="67" t="str">
        <f ca="1">IFERROR(__xludf.DUMMYFUNCTION("""COMPUTED_VALUE"""),"Сети")</f>
        <v>Сети</v>
      </c>
      <c r="I85" s="67"/>
      <c r="J85" s="67"/>
      <c r="K85" s="97">
        <f ca="1">IFERROR(__xludf.DUMMYFUNCTION("""COMPUTED_VALUE"""),31730.86)</f>
        <v>31730.86</v>
      </c>
      <c r="L85" s="97">
        <f ca="1">IFERROR(__xludf.DUMMYFUNCTION("""COMPUTED_VALUE"""),0)</f>
        <v>0</v>
      </c>
      <c r="M85" s="97">
        <f ca="1">IFERROR(__xludf.DUMMYFUNCTION("""COMPUTED_VALUE"""),0)</f>
        <v>0</v>
      </c>
      <c r="N85" s="67"/>
      <c r="O85" s="67"/>
      <c r="P85" s="67" t="str">
        <f ca="1">IFERROR(__xludf.DUMMYFUNCTION("""COMPUTED_VALUE"""),"СМР")</f>
        <v>СМР</v>
      </c>
      <c r="Q85" s="67">
        <f t="shared" ca="1" si="0"/>
        <v>0</v>
      </c>
      <c r="R85" s="67"/>
      <c r="S85" s="67"/>
      <c r="T85" s="67"/>
      <c r="U85" s="67"/>
      <c r="V85" s="67"/>
      <c r="W85" s="67"/>
      <c r="X85" s="67"/>
      <c r="Y85" s="67"/>
      <c r="Z85" s="67"/>
      <c r="AA85" s="67"/>
      <c r="AB85" s="67"/>
      <c r="AC85" s="67"/>
      <c r="AD85" s="67"/>
      <c r="AE85" s="67"/>
      <c r="AF85" s="67"/>
      <c r="AG85" s="67"/>
      <c r="AH85" s="67"/>
      <c r="AI85" s="67"/>
      <c r="AJ85" s="67"/>
      <c r="AK85" s="67"/>
      <c r="AL85" s="67"/>
      <c r="AM85" s="67"/>
    </row>
    <row r="86" spans="1:39" ht="72" hidden="1" x14ac:dyDescent="0.2">
      <c r="A86" s="67"/>
      <c r="B86" s="96"/>
      <c r="C86"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6" s="20" t="str">
        <f ca="1">IFERROR(__xludf.DUMMYFUNCTION("""COMPUTED_VALUE"""),"МинЖКХ")</f>
        <v>МинЖКХ</v>
      </c>
      <c r="E86" s="20" t="str">
        <f ca="1">IFERROR(__xludf.DUMMYFUNCTION("""COMPUTED_VALUE"""),"Строительство присоединительного водовода от НС-9 в г.п. Старая Купавна к пос. Рыбхоз, к пос. Зеленый и д. Щемилово")</f>
        <v>Строительство присоединительного водовода от НС-9 в г.п. Старая Купавна к пос. Рыбхоз, к пос. Зеленый и д. Щемилово</v>
      </c>
      <c r="F86" s="67">
        <f ca="1">IFERROR(__xludf.DUMMYFUNCTION("""COMPUTED_VALUE"""),2021)</f>
        <v>2021</v>
      </c>
      <c r="G86" s="67" t="str">
        <f ca="1">IFERROR(__xludf.DUMMYFUNCTION("""COMPUTED_VALUE"""),"г.о. Богородский")</f>
        <v>г.о. Богородский</v>
      </c>
      <c r="H86" s="67" t="str">
        <f ca="1">IFERROR(__xludf.DUMMYFUNCTION("""COMPUTED_VALUE"""),"Сети")</f>
        <v>Сети</v>
      </c>
      <c r="I86" s="67"/>
      <c r="J86" s="67"/>
      <c r="K86" s="97">
        <f ca="1">IFERROR(__xludf.DUMMYFUNCTION("""COMPUTED_VALUE"""),0)</f>
        <v>0</v>
      </c>
      <c r="L86" s="97">
        <f ca="1">IFERROR(__xludf.DUMMYFUNCTION("""COMPUTED_VALUE"""),0)</f>
        <v>0</v>
      </c>
      <c r="M86" s="97">
        <f ca="1">IFERROR(__xludf.DUMMYFUNCTION("""COMPUTED_VALUE"""),0)</f>
        <v>0</v>
      </c>
      <c r="N86" s="67"/>
      <c r="O86" s="67"/>
      <c r="P86" s="67" t="str">
        <f ca="1">IFERROR(__xludf.DUMMYFUNCTION("""COMPUTED_VALUE"""),"СМР")</f>
        <v>СМР</v>
      </c>
      <c r="Q86" s="67" t="e">
        <f t="shared" ca="1" si="0"/>
        <v>#DIV/0!</v>
      </c>
      <c r="R86" s="67"/>
      <c r="S86" s="67"/>
      <c r="T86" s="67"/>
      <c r="U86" s="67"/>
      <c r="V86" s="67"/>
      <c r="W86" s="67"/>
      <c r="X86" s="67"/>
      <c r="Y86" s="67"/>
      <c r="Z86" s="67"/>
      <c r="AA86" s="67"/>
      <c r="AB86" s="67"/>
      <c r="AC86" s="67"/>
      <c r="AD86" s="67"/>
      <c r="AE86" s="67"/>
      <c r="AF86" s="67"/>
      <c r="AG86" s="67"/>
      <c r="AH86" s="67"/>
      <c r="AI86" s="67"/>
      <c r="AJ86" s="67"/>
      <c r="AK86" s="67"/>
      <c r="AL86" s="67"/>
      <c r="AM86" s="67"/>
    </row>
    <row r="87" spans="1:39" ht="72" hidden="1" x14ac:dyDescent="0.2">
      <c r="A87" s="67"/>
      <c r="B87" s="96"/>
      <c r="C87"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7" s="20" t="str">
        <f ca="1">IFERROR(__xludf.DUMMYFUNCTION("""COMPUTED_VALUE"""),"МинЖКХ")</f>
        <v>МинЖКХ</v>
      </c>
      <c r="E87" s="20" t="str">
        <f ca="1">IFERROR(__xludf.DUMMYFUNCTION("""COMPUTED_VALUE"""),"Строителььство ВЗУ «Заречье» и сетей водоснабжения  с врезкой в существующую сеть,  г.о. Богородский")</f>
        <v>Строителььство ВЗУ «Заречье» и сетей водоснабжения  с врезкой в существующую сеть,  г.о. Богородский</v>
      </c>
      <c r="F87" s="67">
        <f ca="1">IFERROR(__xludf.DUMMYFUNCTION("""COMPUTED_VALUE"""),2023)</f>
        <v>2023</v>
      </c>
      <c r="G87" s="67" t="str">
        <f ca="1">IFERROR(__xludf.DUMMYFUNCTION("""COMPUTED_VALUE"""),"г.о. Богородский")</f>
        <v>г.о. Богородский</v>
      </c>
      <c r="H87" s="67" t="str">
        <f ca="1">IFERROR(__xludf.DUMMYFUNCTION("""COMPUTED_VALUE"""),"ВЗУ")</f>
        <v>ВЗУ</v>
      </c>
      <c r="I87" s="67"/>
      <c r="J87" s="67"/>
      <c r="K87" s="97">
        <f ca="1">IFERROR(__xludf.DUMMYFUNCTION("""COMPUTED_VALUE"""),0)</f>
        <v>0</v>
      </c>
      <c r="L87" s="97">
        <f ca="1">IFERROR(__xludf.DUMMYFUNCTION("""COMPUTED_VALUE"""),0)</f>
        <v>0</v>
      </c>
      <c r="M87" s="97">
        <f ca="1">IFERROR(__xludf.DUMMYFUNCTION("""COMPUTED_VALUE"""),0)</f>
        <v>0</v>
      </c>
      <c r="N87" s="67"/>
      <c r="O87" s="67"/>
      <c r="P87" s="67" t="str">
        <f ca="1">IFERROR(__xludf.DUMMYFUNCTION("""COMPUTED_VALUE"""),"СМР")</f>
        <v>СМР</v>
      </c>
      <c r="Q87" s="67" t="e">
        <f t="shared" ca="1" si="0"/>
        <v>#DIV/0!</v>
      </c>
      <c r="R87" s="67"/>
      <c r="S87" s="67"/>
      <c r="T87" s="67"/>
      <c r="U87" s="67"/>
      <c r="V87" s="67"/>
      <c r="W87" s="67"/>
      <c r="X87" s="67"/>
      <c r="Y87" s="67"/>
      <c r="Z87" s="67"/>
      <c r="AA87" s="67"/>
      <c r="AB87" s="67"/>
      <c r="AC87" s="67"/>
      <c r="AD87" s="67"/>
      <c r="AE87" s="67"/>
      <c r="AF87" s="67"/>
      <c r="AG87" s="67"/>
      <c r="AH87" s="67"/>
      <c r="AI87" s="67"/>
      <c r="AJ87" s="67"/>
      <c r="AK87" s="67"/>
      <c r="AL87" s="67"/>
      <c r="AM87" s="67"/>
    </row>
    <row r="88" spans="1:39" ht="72" hidden="1" x14ac:dyDescent="0.2">
      <c r="A88" s="67"/>
      <c r="B88" s="96"/>
      <c r="C88"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8" s="20" t="str">
        <f ca="1">IFERROR(__xludf.DUMMYFUNCTION("""COMPUTED_VALUE"""),"МинЖКХ")</f>
        <v>МинЖКХ</v>
      </c>
      <c r="E88" s="20" t="str">
        <f ca="1">IFERROR(__xludf.DUMMYFUNCTION("""COMPUTED_VALUE"""),"Строительство II-ой нитки присоединительного водовода Ду 500 мм от ВК-7/14 до НС-9 г.о. Богородский")</f>
        <v>Строительство II-ой нитки присоединительного водовода Ду 500 мм от ВК-7/14 до НС-9 г.о. Богородский</v>
      </c>
      <c r="F88" s="67">
        <f ca="1">IFERROR(__xludf.DUMMYFUNCTION("""COMPUTED_VALUE"""),2023)</f>
        <v>2023</v>
      </c>
      <c r="G88" s="67" t="str">
        <f ca="1">IFERROR(__xludf.DUMMYFUNCTION("""COMPUTED_VALUE"""),"г.о. Богородский")</f>
        <v>г.о. Богородский</v>
      </c>
      <c r="H88" s="67" t="str">
        <f ca="1">IFERROR(__xludf.DUMMYFUNCTION("""COMPUTED_VALUE"""),"Сети")</f>
        <v>Сети</v>
      </c>
      <c r="I88" s="67"/>
      <c r="J88" s="67"/>
      <c r="K88" s="97">
        <f ca="1">IFERROR(__xludf.DUMMYFUNCTION("""COMPUTED_VALUE"""),0)</f>
        <v>0</v>
      </c>
      <c r="L88" s="97">
        <f ca="1">IFERROR(__xludf.DUMMYFUNCTION("""COMPUTED_VALUE"""),0)</f>
        <v>0</v>
      </c>
      <c r="M88" s="97">
        <f ca="1">IFERROR(__xludf.DUMMYFUNCTION("""COMPUTED_VALUE"""),0)</f>
        <v>0</v>
      </c>
      <c r="N88" s="67"/>
      <c r="O88" s="67"/>
      <c r="P88" s="67" t="str">
        <f ca="1">IFERROR(__xludf.DUMMYFUNCTION("""COMPUTED_VALUE"""),"СМР")</f>
        <v>СМР</v>
      </c>
      <c r="Q88" s="67" t="e">
        <f t="shared" ca="1" si="0"/>
        <v>#DIV/0!</v>
      </c>
      <c r="R88" s="67"/>
      <c r="S88" s="67"/>
      <c r="T88" s="67"/>
      <c r="U88" s="67"/>
      <c r="V88" s="67"/>
      <c r="W88" s="67"/>
      <c r="X88" s="67"/>
      <c r="Y88" s="67"/>
      <c r="Z88" s="67"/>
      <c r="AA88" s="67"/>
      <c r="AB88" s="67"/>
      <c r="AC88" s="67"/>
      <c r="AD88" s="67"/>
      <c r="AE88" s="67"/>
      <c r="AF88" s="67"/>
      <c r="AG88" s="67"/>
      <c r="AH88" s="67"/>
      <c r="AI88" s="67"/>
      <c r="AJ88" s="67"/>
      <c r="AK88" s="67"/>
      <c r="AL88" s="67"/>
      <c r="AM88" s="67"/>
    </row>
    <row r="89" spans="1:39" ht="72" hidden="1" x14ac:dyDescent="0.2">
      <c r="A89" s="67"/>
      <c r="B89" s="100"/>
      <c r="C89"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9" s="20" t="str">
        <f ca="1">IFERROR(__xludf.DUMMYFUNCTION("""COMPUTED_VALUE"""),"МинЖКХ")</f>
        <v>МинЖКХ</v>
      </c>
      <c r="E89" s="20" t="str">
        <f ca="1">IFERROR(__xludf.DUMMYFUNCTION("""COMPUTED_VALUE"""),"Строительство сетей водоснабжения в г. Старая Купавна Богородского г.о.")</f>
        <v>Строительство сетей водоснабжения в г. Старая Купавна Богородского г.о.</v>
      </c>
      <c r="F89" s="67">
        <f ca="1">IFERROR(__xludf.DUMMYFUNCTION("""COMPUTED_VALUE"""),2023)</f>
        <v>2023</v>
      </c>
      <c r="G89" s="67" t="str">
        <f ca="1">IFERROR(__xludf.DUMMYFUNCTION("""COMPUTED_VALUE"""),"г.о. Богородский")</f>
        <v>г.о. Богородский</v>
      </c>
      <c r="H89" s="67" t="str">
        <f ca="1">IFERROR(__xludf.DUMMYFUNCTION("""COMPUTED_VALUE"""),"Сети")</f>
        <v>Сети</v>
      </c>
      <c r="I89" s="67"/>
      <c r="J89" s="67"/>
      <c r="K89" s="97">
        <f ca="1">IFERROR(__xludf.DUMMYFUNCTION("""COMPUTED_VALUE"""),0)</f>
        <v>0</v>
      </c>
      <c r="L89" s="97">
        <f ca="1">IFERROR(__xludf.DUMMYFUNCTION("""COMPUTED_VALUE"""),0)</f>
        <v>0</v>
      </c>
      <c r="M89" s="97">
        <f ca="1">IFERROR(__xludf.DUMMYFUNCTION("""COMPUTED_VALUE"""),0)</f>
        <v>0</v>
      </c>
      <c r="N89" s="67"/>
      <c r="O89" s="67"/>
      <c r="P89" s="67" t="str">
        <f ca="1">IFERROR(__xludf.DUMMYFUNCTION("""COMPUTED_VALUE"""),"СМР")</f>
        <v>СМР</v>
      </c>
      <c r="Q89" s="67" t="e">
        <f t="shared" ca="1" si="0"/>
        <v>#DIV/0!</v>
      </c>
      <c r="R89" s="67"/>
      <c r="S89" s="67"/>
      <c r="T89" s="67"/>
      <c r="U89" s="67"/>
      <c r="V89" s="67"/>
      <c r="W89" s="67"/>
      <c r="X89" s="67"/>
      <c r="Y89" s="67"/>
      <c r="Z89" s="67"/>
      <c r="AA89" s="67"/>
      <c r="AB89" s="67"/>
      <c r="AC89" s="67"/>
      <c r="AD89" s="67"/>
      <c r="AE89" s="67"/>
      <c r="AF89" s="67"/>
      <c r="AG89" s="67"/>
      <c r="AH89" s="67"/>
      <c r="AI89" s="67"/>
      <c r="AJ89" s="67"/>
      <c r="AK89" s="67"/>
      <c r="AL89" s="67"/>
      <c r="AM89" s="67"/>
    </row>
    <row r="90" spans="1:39" ht="84" x14ac:dyDescent="0.2">
      <c r="A90" s="67"/>
      <c r="B90" s="96"/>
      <c r="C90"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0" s="20" t="str">
        <f ca="1">IFERROR(__xludf.DUMMYFUNCTION("""COMPUTED_VALUE"""),"МинЖКХ")</f>
        <v>МинЖКХ</v>
      </c>
      <c r="E90" s="20" t="str">
        <f ca="1">IFERROR(__xludf.DUMMYFUNCTION("""COMPUTED_VALUE"""),"Строительство  присоеденительного водовода от Восточной системы водоснабжения Московской области к  д. Тимохово Богородский г.о. (в том числе ПИР)")</f>
        <v>Строительство  присоеденительного водовода от Восточной системы водоснабжения Московской области к  д. Тимохово Богородский г.о. (в том числе ПИР)</v>
      </c>
      <c r="F90" s="67" t="str">
        <f ca="1">IFERROR(__xludf.DUMMYFUNCTION("""COMPUTED_VALUE"""),"2020-2022")</f>
        <v>2020-2022</v>
      </c>
      <c r="G90" s="67" t="str">
        <f ca="1">IFERROR(__xludf.DUMMYFUNCTION("""COMPUTED_VALUE"""),"КСМО")</f>
        <v>КСМО</v>
      </c>
      <c r="H90" s="67" t="str">
        <f ca="1">IFERROR(__xludf.DUMMYFUNCTION("""COMPUTED_VALUE"""),"Сети")</f>
        <v>Сети</v>
      </c>
      <c r="I90" s="97">
        <f ca="1">IFERROR(__xludf.DUMMYFUNCTION("""COMPUTED_VALUE"""),15000)</f>
        <v>15000</v>
      </c>
      <c r="J90" s="67"/>
      <c r="K90" s="97">
        <f ca="1">IFERROR(__xludf.DUMMYFUNCTION("""COMPUTED_VALUE"""),0)</f>
        <v>0</v>
      </c>
      <c r="L90" s="97">
        <f ca="1">IFERROR(__xludf.DUMMYFUNCTION("""COMPUTED_VALUE"""),0)</f>
        <v>0</v>
      </c>
      <c r="M90" s="97">
        <f ca="1">IFERROR(__xludf.DUMMYFUNCTION("""COMPUTED_VALUE"""),0)</f>
        <v>0</v>
      </c>
      <c r="N90" s="67"/>
      <c r="O90" s="67"/>
      <c r="P90" s="67" t="str">
        <f ca="1">IFERROR(__xludf.DUMMYFUNCTION("""COMPUTED_VALUE"""),"ПИР")</f>
        <v>ПИР</v>
      </c>
      <c r="Q90" s="67" t="e">
        <f t="shared" ca="1" si="0"/>
        <v>#DIV/0!</v>
      </c>
      <c r="R90" s="67"/>
      <c r="S90" s="67"/>
      <c r="T90" s="67"/>
      <c r="U90" s="67"/>
      <c r="V90" s="67"/>
      <c r="W90" s="67"/>
      <c r="X90" s="67"/>
      <c r="Y90" s="67"/>
      <c r="Z90" s="67"/>
      <c r="AA90" s="67"/>
      <c r="AB90" s="67"/>
      <c r="AC90" s="67"/>
      <c r="AD90" s="67"/>
      <c r="AE90" s="67"/>
      <c r="AF90" s="67"/>
      <c r="AG90" s="67"/>
      <c r="AH90" s="67"/>
      <c r="AI90" s="67"/>
      <c r="AJ90" s="67"/>
      <c r="AK90" s="67"/>
      <c r="AL90" s="67"/>
      <c r="AM90" s="67"/>
    </row>
    <row r="91" spans="1:39" ht="72" hidden="1" x14ac:dyDescent="0.2">
      <c r="A91" s="67"/>
      <c r="B91" s="96"/>
      <c r="C91" s="20"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1" s="20" t="str">
        <f ca="1">IFERROR(__xludf.DUMMYFUNCTION("""COMPUTED_VALUE"""),"МинЖКХ")</f>
        <v>МинЖКХ</v>
      </c>
      <c r="E91" s="20" t="str">
        <f ca="1">IFERROR(__xludf.DUMMYFUNCTION("""COMPUTED_VALUE"""),"Реконструкция НС-1 Восточнй системы водоснабжения")</f>
        <v>Реконструкция НС-1 Восточнй системы водоснабжения</v>
      </c>
      <c r="F91" s="67" t="str">
        <f ca="1">IFERROR(__xludf.DUMMYFUNCTION("""COMPUTED_VALUE"""),"Н/Л")</f>
        <v>Н/Л</v>
      </c>
      <c r="G91" s="67" t="str">
        <f ca="1">IFERROR(__xludf.DUMMYFUNCTION("""COMPUTED_VALUE"""),"г.о. Богородский")</f>
        <v>г.о. Богородский</v>
      </c>
      <c r="H91" s="67" t="str">
        <f ca="1">IFERROR(__xludf.DUMMYFUNCTION("""COMPUTED_VALUE"""),"ВЗУ")</f>
        <v>ВЗУ</v>
      </c>
      <c r="I91" s="67"/>
      <c r="J91" s="67"/>
      <c r="K91" s="97">
        <f ca="1">IFERROR(__xludf.DUMMYFUNCTION("""COMPUTED_VALUE"""),0)</f>
        <v>0</v>
      </c>
      <c r="L91" s="97">
        <f ca="1">IFERROR(__xludf.DUMMYFUNCTION("""COMPUTED_VALUE"""),0)</f>
        <v>0</v>
      </c>
      <c r="M91" s="97">
        <f ca="1">IFERROR(__xludf.DUMMYFUNCTION("""COMPUTED_VALUE"""),0)</f>
        <v>0</v>
      </c>
      <c r="N91" s="67"/>
      <c r="O91" s="67"/>
      <c r="P91" s="67"/>
      <c r="Q91" s="67" t="e">
        <f t="shared" ca="1" si="0"/>
        <v>#DIV/0!</v>
      </c>
      <c r="R91" s="67"/>
      <c r="S91" s="67"/>
      <c r="T91" s="67"/>
      <c r="U91" s="67"/>
      <c r="V91" s="67"/>
      <c r="W91" s="67"/>
      <c r="X91" s="67"/>
      <c r="Y91" s="67"/>
      <c r="Z91" s="67"/>
      <c r="AA91" s="67"/>
      <c r="AB91" s="67"/>
      <c r="AC91" s="67"/>
      <c r="AD91" s="67"/>
      <c r="AE91" s="67"/>
      <c r="AF91" s="67"/>
      <c r="AG91" s="67"/>
      <c r="AH91" s="67"/>
      <c r="AI91" s="67"/>
      <c r="AJ91" s="67"/>
      <c r="AK91" s="67"/>
      <c r="AL91" s="67"/>
      <c r="AM91" s="67"/>
    </row>
    <row r="92" spans="1:39" ht="60" hidden="1" x14ac:dyDescent="0.2">
      <c r="A92" s="67"/>
      <c r="B92" s="96"/>
      <c r="C92"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2" s="20" t="str">
        <f ca="1">IFERROR(__xludf.DUMMYFUNCTION("""COMPUTED_VALUE"""),"МинЖКХ")</f>
        <v>МинЖКХ</v>
      </c>
      <c r="E92" s="20" t="str">
        <f ca="1">IFERROR(__xludf.DUMMYFUNCTION("""COMPUTED_VALUE"""),"Реконструкция ВЗУ Карьероуправление с.п. Дровнинское, д. Карьероуправление г.о. Можайский")</f>
        <v>Реконструкция ВЗУ Карьероуправление с.п. Дровнинское, д. Карьероуправление г.о. Можайский</v>
      </c>
      <c r="F92" s="67">
        <f ca="1">IFERROR(__xludf.DUMMYFUNCTION("""COMPUTED_VALUE"""),2022)</f>
        <v>2022</v>
      </c>
      <c r="G92" s="67" t="str">
        <f ca="1">IFERROR(__xludf.DUMMYFUNCTION("""COMPUTED_VALUE"""),"г.о. Можайск")</f>
        <v>г.о. Можайск</v>
      </c>
      <c r="H92" s="67" t="str">
        <f ca="1">IFERROR(__xludf.DUMMYFUNCTION("""COMPUTED_VALUE"""),"ВЗУ")</f>
        <v>ВЗУ</v>
      </c>
      <c r="I92" s="67"/>
      <c r="J92" s="67"/>
      <c r="K92" s="97">
        <f ca="1">IFERROR(__xludf.DUMMYFUNCTION("""COMPUTED_VALUE"""),0)</f>
        <v>0</v>
      </c>
      <c r="L92" s="97">
        <f ca="1">IFERROR(__xludf.DUMMYFUNCTION("""COMPUTED_VALUE"""),0)</f>
        <v>0</v>
      </c>
      <c r="M92" s="97">
        <f ca="1">IFERROR(__xludf.DUMMYFUNCTION("""COMPUTED_VALUE"""),0)</f>
        <v>0</v>
      </c>
      <c r="N92" s="67"/>
      <c r="O92" s="67"/>
      <c r="P92" s="67" t="str">
        <f ca="1">IFERROR(__xludf.DUMMYFUNCTION("""COMPUTED_VALUE"""),"СМР")</f>
        <v>СМР</v>
      </c>
      <c r="Q92" s="67" t="e">
        <f t="shared" ca="1" si="0"/>
        <v>#DIV/0!</v>
      </c>
      <c r="R92" s="67"/>
      <c r="S92" s="67"/>
      <c r="T92" s="67"/>
      <c r="U92" s="67"/>
      <c r="V92" s="67"/>
      <c r="W92" s="67"/>
      <c r="X92" s="67"/>
      <c r="Y92" s="67"/>
      <c r="Z92" s="67"/>
      <c r="AA92" s="67"/>
      <c r="AB92" s="67"/>
      <c r="AC92" s="67"/>
      <c r="AD92" s="67"/>
      <c r="AE92" s="67"/>
      <c r="AF92" s="67"/>
      <c r="AG92" s="67"/>
      <c r="AH92" s="67"/>
      <c r="AI92" s="67"/>
      <c r="AJ92" s="67"/>
      <c r="AK92" s="67"/>
      <c r="AL92" s="67"/>
      <c r="AM92" s="67"/>
    </row>
    <row r="93" spans="1:39" ht="48" hidden="1" x14ac:dyDescent="0.2">
      <c r="A93" s="67"/>
      <c r="B93" s="96"/>
      <c r="C93"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3" s="20" t="str">
        <f ca="1">IFERROR(__xludf.DUMMYFUNCTION("""COMPUTED_VALUE"""),"МинЖКХ")</f>
        <v>МинЖКХ</v>
      </c>
      <c r="E93" s="20" t="str">
        <f ca="1">IFERROR(__xludf.DUMMYFUNCTION("""COMPUTED_VALUE"""),"Реконструкция ВЗУ Цветковский с.п. Дровнинское, п. Цветковский г.о. Можайский")</f>
        <v>Реконструкция ВЗУ Цветковский с.п. Дровнинское, п. Цветковский г.о. Можайский</v>
      </c>
      <c r="F93" s="67">
        <f ca="1">IFERROR(__xludf.DUMMYFUNCTION("""COMPUTED_VALUE"""),2022)</f>
        <v>2022</v>
      </c>
      <c r="G93" s="67" t="str">
        <f ca="1">IFERROR(__xludf.DUMMYFUNCTION("""COMPUTED_VALUE"""),"г.о. Можайск")</f>
        <v>г.о. Можайск</v>
      </c>
      <c r="H93" s="67" t="str">
        <f ca="1">IFERROR(__xludf.DUMMYFUNCTION("""COMPUTED_VALUE"""),"ВЗУ")</f>
        <v>ВЗУ</v>
      </c>
      <c r="I93" s="67"/>
      <c r="J93" s="67"/>
      <c r="K93" s="97">
        <f ca="1">IFERROR(__xludf.DUMMYFUNCTION("""COMPUTED_VALUE"""),0)</f>
        <v>0</v>
      </c>
      <c r="L93" s="97">
        <f ca="1">IFERROR(__xludf.DUMMYFUNCTION("""COMPUTED_VALUE"""),0)</f>
        <v>0</v>
      </c>
      <c r="M93" s="97">
        <f ca="1">IFERROR(__xludf.DUMMYFUNCTION("""COMPUTED_VALUE"""),0)</f>
        <v>0</v>
      </c>
      <c r="N93" s="67"/>
      <c r="O93" s="67"/>
      <c r="P93" s="67" t="str">
        <f ca="1">IFERROR(__xludf.DUMMYFUNCTION("""COMPUTED_VALUE"""),"СМР")</f>
        <v>СМР</v>
      </c>
      <c r="Q93" s="67" t="e">
        <f t="shared" ca="1" si="0"/>
        <v>#DIV/0!</v>
      </c>
      <c r="R93" s="67"/>
      <c r="S93" s="67"/>
      <c r="T93" s="67"/>
      <c r="U93" s="67"/>
      <c r="V93" s="67"/>
      <c r="W93" s="67"/>
      <c r="X93" s="67"/>
      <c r="Y93" s="67"/>
      <c r="Z93" s="67"/>
      <c r="AA93" s="67"/>
      <c r="AB93" s="67"/>
      <c r="AC93" s="67"/>
      <c r="AD93" s="67"/>
      <c r="AE93" s="67"/>
      <c r="AF93" s="67"/>
      <c r="AG93" s="67"/>
      <c r="AH93" s="67"/>
      <c r="AI93" s="67"/>
      <c r="AJ93" s="67"/>
      <c r="AK93" s="67"/>
      <c r="AL93" s="67"/>
      <c r="AM93" s="67"/>
    </row>
    <row r="94" spans="1:39" ht="48" hidden="1" x14ac:dyDescent="0.2">
      <c r="A94" s="67"/>
      <c r="B94" s="96"/>
      <c r="C94"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4" s="20" t="str">
        <f ca="1">IFERROR(__xludf.DUMMYFUNCTION("""COMPUTED_VALUE"""),"МинЖКХ")</f>
        <v>МинЖКХ</v>
      </c>
      <c r="E94" s="20" t="str">
        <f ca="1">IFERROR(__xludf.DUMMYFUNCTION("""COMPUTED_VALUE"""),"Реконструкция ВЗУ Сокольниковос с.п. Юрловское, с. Сокольниково г.о. Можайский")</f>
        <v>Реконструкция ВЗУ Сокольниковос с.п. Юрловское, с. Сокольниково г.о. Можайский</v>
      </c>
      <c r="F94" s="67">
        <f ca="1">IFERROR(__xludf.DUMMYFUNCTION("""COMPUTED_VALUE"""),2022)</f>
        <v>2022</v>
      </c>
      <c r="G94" s="67" t="str">
        <f ca="1">IFERROR(__xludf.DUMMYFUNCTION("""COMPUTED_VALUE"""),"г.о. Можайск")</f>
        <v>г.о. Можайск</v>
      </c>
      <c r="H94" s="67" t="str">
        <f ca="1">IFERROR(__xludf.DUMMYFUNCTION("""COMPUTED_VALUE"""),"ВЗУ")</f>
        <v>ВЗУ</v>
      </c>
      <c r="I94" s="67"/>
      <c r="J94" s="67"/>
      <c r="K94" s="97">
        <f ca="1">IFERROR(__xludf.DUMMYFUNCTION("""COMPUTED_VALUE"""),0)</f>
        <v>0</v>
      </c>
      <c r="L94" s="97">
        <f ca="1">IFERROR(__xludf.DUMMYFUNCTION("""COMPUTED_VALUE"""),0)</f>
        <v>0</v>
      </c>
      <c r="M94" s="97">
        <f ca="1">IFERROR(__xludf.DUMMYFUNCTION("""COMPUTED_VALUE"""),0)</f>
        <v>0</v>
      </c>
      <c r="N94" s="67"/>
      <c r="O94" s="67"/>
      <c r="P94" s="67" t="str">
        <f ca="1">IFERROR(__xludf.DUMMYFUNCTION("""COMPUTED_VALUE"""),"СМР")</f>
        <v>СМР</v>
      </c>
      <c r="Q94" s="67" t="e">
        <f t="shared" ca="1" si="0"/>
        <v>#DIV/0!</v>
      </c>
      <c r="R94" s="67"/>
      <c r="S94" s="67"/>
      <c r="T94" s="67"/>
      <c r="U94" s="67"/>
      <c r="V94" s="67"/>
      <c r="W94" s="67"/>
      <c r="X94" s="67"/>
      <c r="Y94" s="67"/>
      <c r="Z94" s="67"/>
      <c r="AA94" s="67"/>
      <c r="AB94" s="67"/>
      <c r="AC94" s="67"/>
      <c r="AD94" s="67"/>
      <c r="AE94" s="67"/>
      <c r="AF94" s="67"/>
      <c r="AG94" s="67"/>
      <c r="AH94" s="67"/>
      <c r="AI94" s="67"/>
      <c r="AJ94" s="67"/>
      <c r="AK94" s="67"/>
      <c r="AL94" s="67"/>
      <c r="AM94" s="67"/>
    </row>
    <row r="95" spans="1:39" ht="48" hidden="1" x14ac:dyDescent="0.2">
      <c r="A95" s="67"/>
      <c r="B95" s="96"/>
      <c r="C95"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5" s="20" t="str">
        <f ca="1">IFERROR(__xludf.DUMMYFUNCTION("""COMPUTED_VALUE"""),"МинЖКХ")</f>
        <v>МинЖКХ</v>
      </c>
      <c r="E95" s="20" t="str">
        <f ca="1">IFERROR(__xludf.DUMMYFUNCTION("""COMPUTED_VALUE"""),"Реконструкция ВЗУ Мокрое с.п. Замошинское, д. Мокрое г.о. Можайский")</f>
        <v>Реконструкция ВЗУ Мокрое с.п. Замошинское, д. Мокрое г.о. Можайский</v>
      </c>
      <c r="F95" s="67">
        <f ca="1">IFERROR(__xludf.DUMMYFUNCTION("""COMPUTED_VALUE"""),2022)</f>
        <v>2022</v>
      </c>
      <c r="G95" s="67" t="str">
        <f ca="1">IFERROR(__xludf.DUMMYFUNCTION("""COMPUTED_VALUE"""),"г.о. Можайск")</f>
        <v>г.о. Можайск</v>
      </c>
      <c r="H95" s="67" t="str">
        <f ca="1">IFERROR(__xludf.DUMMYFUNCTION("""COMPUTED_VALUE"""),"ВЗУ")</f>
        <v>ВЗУ</v>
      </c>
      <c r="I95" s="67"/>
      <c r="J95" s="67"/>
      <c r="K95" s="97">
        <f ca="1">IFERROR(__xludf.DUMMYFUNCTION("""COMPUTED_VALUE"""),0)</f>
        <v>0</v>
      </c>
      <c r="L95" s="97">
        <f ca="1">IFERROR(__xludf.DUMMYFUNCTION("""COMPUTED_VALUE"""),0)</f>
        <v>0</v>
      </c>
      <c r="M95" s="97">
        <f ca="1">IFERROR(__xludf.DUMMYFUNCTION("""COMPUTED_VALUE"""),0)</f>
        <v>0</v>
      </c>
      <c r="N95" s="67"/>
      <c r="O95" s="67"/>
      <c r="P95" s="67" t="str">
        <f ca="1">IFERROR(__xludf.DUMMYFUNCTION("""COMPUTED_VALUE"""),"СМР")</f>
        <v>СМР</v>
      </c>
      <c r="Q95" s="67" t="e">
        <f t="shared" ca="1" si="0"/>
        <v>#DIV/0!</v>
      </c>
      <c r="R95" s="67"/>
      <c r="S95" s="67"/>
      <c r="T95" s="67"/>
      <c r="U95" s="67"/>
      <c r="V95" s="67"/>
      <c r="W95" s="67"/>
      <c r="X95" s="67"/>
      <c r="Y95" s="67"/>
      <c r="Z95" s="67"/>
      <c r="AA95" s="67"/>
      <c r="AB95" s="67"/>
      <c r="AC95" s="67"/>
      <c r="AD95" s="67"/>
      <c r="AE95" s="67"/>
      <c r="AF95" s="67"/>
      <c r="AG95" s="67"/>
      <c r="AH95" s="67"/>
      <c r="AI95" s="67"/>
      <c r="AJ95" s="67"/>
      <c r="AK95" s="67"/>
      <c r="AL95" s="67"/>
      <c r="AM95" s="67"/>
    </row>
    <row r="96" spans="1:39" ht="48" hidden="1" x14ac:dyDescent="0.2">
      <c r="A96" s="67"/>
      <c r="B96" s="96"/>
      <c r="C96"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6" s="20" t="str">
        <f ca="1">IFERROR(__xludf.DUMMYFUNCTION("""COMPUTED_VALUE"""),"МинЖКХ")</f>
        <v>МинЖКХ</v>
      </c>
      <c r="E96" s="20" t="str">
        <f ca="1">IFERROR(__xludf.DUMMYFUNCTION("""COMPUTED_VALUE"""),"Реконструкция ВЗУ Ивакино с.п. Юрловское, д. Ивакино г.о. Можайский")</f>
        <v>Реконструкция ВЗУ Ивакино с.п. Юрловское, д. Ивакино г.о. Можайский</v>
      </c>
      <c r="F96" s="67">
        <f ca="1">IFERROR(__xludf.DUMMYFUNCTION("""COMPUTED_VALUE"""),2022)</f>
        <v>2022</v>
      </c>
      <c r="G96" s="67" t="str">
        <f ca="1">IFERROR(__xludf.DUMMYFUNCTION("""COMPUTED_VALUE"""),"г.о. Можайск")</f>
        <v>г.о. Можайск</v>
      </c>
      <c r="H96" s="67" t="str">
        <f ca="1">IFERROR(__xludf.DUMMYFUNCTION("""COMPUTED_VALUE"""),"ВЗУ")</f>
        <v>ВЗУ</v>
      </c>
      <c r="I96" s="67"/>
      <c r="J96" s="67"/>
      <c r="K96" s="97">
        <f ca="1">IFERROR(__xludf.DUMMYFUNCTION("""COMPUTED_VALUE"""),0)</f>
        <v>0</v>
      </c>
      <c r="L96" s="97">
        <f ca="1">IFERROR(__xludf.DUMMYFUNCTION("""COMPUTED_VALUE"""),0)</f>
        <v>0</v>
      </c>
      <c r="M96" s="97">
        <f ca="1">IFERROR(__xludf.DUMMYFUNCTION("""COMPUTED_VALUE"""),0)</f>
        <v>0</v>
      </c>
      <c r="N96" s="67"/>
      <c r="O96" s="67"/>
      <c r="P96" s="67" t="str">
        <f ca="1">IFERROR(__xludf.DUMMYFUNCTION("""COMPUTED_VALUE"""),"СМР")</f>
        <v>СМР</v>
      </c>
      <c r="Q96" s="67" t="e">
        <f t="shared" ca="1" si="0"/>
        <v>#DIV/0!</v>
      </c>
      <c r="R96" s="67"/>
      <c r="S96" s="67"/>
      <c r="T96" s="67"/>
      <c r="U96" s="67"/>
      <c r="V96" s="67"/>
      <c r="W96" s="67"/>
      <c r="X96" s="67"/>
      <c r="Y96" s="67"/>
      <c r="Z96" s="67"/>
      <c r="AA96" s="67"/>
      <c r="AB96" s="67"/>
      <c r="AC96" s="67"/>
      <c r="AD96" s="67"/>
      <c r="AE96" s="67"/>
      <c r="AF96" s="67"/>
      <c r="AG96" s="67"/>
      <c r="AH96" s="67"/>
      <c r="AI96" s="67"/>
      <c r="AJ96" s="67"/>
      <c r="AK96" s="67"/>
      <c r="AL96" s="67"/>
      <c r="AM96" s="67"/>
    </row>
    <row r="97" spans="1:39" ht="60" hidden="1" x14ac:dyDescent="0.2">
      <c r="A97" s="67"/>
      <c r="B97" s="96"/>
      <c r="C97"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7" s="20" t="str">
        <f ca="1">IFERROR(__xludf.DUMMYFUNCTION("""COMPUTED_VALUE"""),"МинЖКХ")</f>
        <v>МинЖКХ</v>
      </c>
      <c r="E97" s="20" t="str">
        <f ca="1">IFERROR(__xludf.DUMMYFUNCTION("""COMPUTED_VALUE"""),"Реконструкция ВЗУ Семеновское Московская область, Можайский городской округ, с.п. Замошинское, д. Семеновское")</f>
        <v>Реконструкция ВЗУ Семеновское Московская область, Можайский городской округ, с.п. Замошинское, д. Семеновское</v>
      </c>
      <c r="F97" s="67">
        <f ca="1">IFERROR(__xludf.DUMMYFUNCTION("""COMPUTED_VALUE"""),2023)</f>
        <v>2023</v>
      </c>
      <c r="G97" s="67" t="str">
        <f ca="1">IFERROR(__xludf.DUMMYFUNCTION("""COMPUTED_VALUE"""),"г.о. Можайск")</f>
        <v>г.о. Можайск</v>
      </c>
      <c r="H97" s="67" t="str">
        <f ca="1">IFERROR(__xludf.DUMMYFUNCTION("""COMPUTED_VALUE"""),"ВЗУ")</f>
        <v>ВЗУ</v>
      </c>
      <c r="I97" s="67"/>
      <c r="J97" s="67"/>
      <c r="K97" s="97">
        <f ca="1">IFERROR(__xludf.DUMMYFUNCTION("""COMPUTED_VALUE"""),0)</f>
        <v>0</v>
      </c>
      <c r="L97" s="97">
        <f ca="1">IFERROR(__xludf.DUMMYFUNCTION("""COMPUTED_VALUE"""),0)</f>
        <v>0</v>
      </c>
      <c r="M97" s="97">
        <f ca="1">IFERROR(__xludf.DUMMYFUNCTION("""COMPUTED_VALUE"""),0)</f>
        <v>0</v>
      </c>
      <c r="N97" s="67"/>
      <c r="O97" s="67"/>
      <c r="P97" s="67" t="str">
        <f ca="1">IFERROR(__xludf.DUMMYFUNCTION("""COMPUTED_VALUE"""),"СМР")</f>
        <v>СМР</v>
      </c>
      <c r="Q97" s="67" t="e">
        <f t="shared" ca="1" si="0"/>
        <v>#DIV/0!</v>
      </c>
      <c r="R97" s="67"/>
      <c r="S97" s="67"/>
      <c r="T97" s="67"/>
      <c r="U97" s="67"/>
      <c r="V97" s="67"/>
      <c r="W97" s="67"/>
      <c r="X97" s="67"/>
      <c r="Y97" s="67"/>
      <c r="Z97" s="67"/>
      <c r="AA97" s="67"/>
      <c r="AB97" s="67"/>
      <c r="AC97" s="67"/>
      <c r="AD97" s="67"/>
      <c r="AE97" s="67"/>
      <c r="AF97" s="67"/>
      <c r="AG97" s="67"/>
      <c r="AH97" s="67"/>
      <c r="AI97" s="67"/>
      <c r="AJ97" s="67"/>
      <c r="AK97" s="67"/>
      <c r="AL97" s="67"/>
      <c r="AM97" s="67"/>
    </row>
    <row r="98" spans="1:39" ht="60" hidden="1" x14ac:dyDescent="0.2">
      <c r="A98" s="67"/>
      <c r="B98" s="96"/>
      <c r="C98"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8" s="20" t="str">
        <f ca="1">IFERROR(__xludf.DUMMYFUNCTION("""COMPUTED_VALUE"""),"МинЖКХ")</f>
        <v>МинЖКХ</v>
      </c>
      <c r="E98" s="20" t="str">
        <f ca="1">IFERROR(__xludf.DUMMYFUNCTION("""COMPUTED_VALUE"""),"Реконструкция ВЗУ №1 и №2 Павлищево Московская область, Можайский городской округ, с.п. Клементьевское, д. Павлищево")</f>
        <v>Реконструкция ВЗУ №1 и №2 Павлищево Московская область, Можайский городской округ, с.п. Клементьевское, д. Павлищево</v>
      </c>
      <c r="F98" s="67">
        <f ca="1">IFERROR(__xludf.DUMMYFUNCTION("""COMPUTED_VALUE"""),2023)</f>
        <v>2023</v>
      </c>
      <c r="G98" s="67" t="str">
        <f ca="1">IFERROR(__xludf.DUMMYFUNCTION("""COMPUTED_VALUE"""),"г.о. Можайск")</f>
        <v>г.о. Можайск</v>
      </c>
      <c r="H98" s="67" t="str">
        <f ca="1">IFERROR(__xludf.DUMMYFUNCTION("""COMPUTED_VALUE"""),"ВЗУ")</f>
        <v>ВЗУ</v>
      </c>
      <c r="I98" s="67"/>
      <c r="J98" s="67"/>
      <c r="K98" s="97">
        <f ca="1">IFERROR(__xludf.DUMMYFUNCTION("""COMPUTED_VALUE"""),0)</f>
        <v>0</v>
      </c>
      <c r="L98" s="97">
        <f ca="1">IFERROR(__xludf.DUMMYFUNCTION("""COMPUTED_VALUE"""),0)</f>
        <v>0</v>
      </c>
      <c r="M98" s="97">
        <f ca="1">IFERROR(__xludf.DUMMYFUNCTION("""COMPUTED_VALUE"""),0)</f>
        <v>0</v>
      </c>
      <c r="N98" s="67"/>
      <c r="O98" s="67"/>
      <c r="P98" s="67" t="str">
        <f ca="1">IFERROR(__xludf.DUMMYFUNCTION("""COMPUTED_VALUE"""),"СМР")</f>
        <v>СМР</v>
      </c>
      <c r="Q98" s="67" t="e">
        <f t="shared" ca="1" si="0"/>
        <v>#DIV/0!</v>
      </c>
      <c r="R98" s="67"/>
      <c r="S98" s="67"/>
      <c r="T98" s="67"/>
      <c r="U98" s="67"/>
      <c r="V98" s="67"/>
      <c r="W98" s="67"/>
      <c r="X98" s="67"/>
      <c r="Y98" s="67"/>
      <c r="Z98" s="67"/>
      <c r="AA98" s="67"/>
      <c r="AB98" s="67"/>
      <c r="AC98" s="67"/>
      <c r="AD98" s="67"/>
      <c r="AE98" s="67"/>
      <c r="AF98" s="67"/>
      <c r="AG98" s="67"/>
      <c r="AH98" s="67"/>
      <c r="AI98" s="67"/>
      <c r="AJ98" s="67"/>
      <c r="AK98" s="67"/>
      <c r="AL98" s="67"/>
      <c r="AM98" s="67"/>
    </row>
    <row r="99" spans="1:39" ht="48" hidden="1" x14ac:dyDescent="0.2">
      <c r="A99" s="67"/>
      <c r="B99" s="96"/>
      <c r="C99"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9" s="20" t="str">
        <f ca="1">IFERROR(__xludf.DUMMYFUNCTION("""COMPUTED_VALUE"""),"МинЖКХ")</f>
        <v>МинЖКХ</v>
      </c>
      <c r="E99" s="20" t="str">
        <f ca="1">IFERROR(__xludf.DUMMYFUNCTION("""COMPUTED_VALUE"""),"Реконструкция ВЗУ Новая Московская область, Можайский городской округ, г.п. Можайск, д. Новая")</f>
        <v>Реконструкция ВЗУ Новая Московская область, Можайский городской округ, г.п. Можайск, д. Новая</v>
      </c>
      <c r="F99" s="67">
        <f ca="1">IFERROR(__xludf.DUMMYFUNCTION("""COMPUTED_VALUE"""),2023)</f>
        <v>2023</v>
      </c>
      <c r="G99" s="67" t="str">
        <f ca="1">IFERROR(__xludf.DUMMYFUNCTION("""COMPUTED_VALUE"""),"г.о. Можайск")</f>
        <v>г.о. Можайск</v>
      </c>
      <c r="H99" s="67" t="str">
        <f ca="1">IFERROR(__xludf.DUMMYFUNCTION("""COMPUTED_VALUE"""),"ВЗУ")</f>
        <v>ВЗУ</v>
      </c>
      <c r="I99" s="67"/>
      <c r="J99" s="67"/>
      <c r="K99" s="97">
        <f ca="1">IFERROR(__xludf.DUMMYFUNCTION("""COMPUTED_VALUE"""),0)</f>
        <v>0</v>
      </c>
      <c r="L99" s="97">
        <f ca="1">IFERROR(__xludf.DUMMYFUNCTION("""COMPUTED_VALUE"""),0)</f>
        <v>0</v>
      </c>
      <c r="M99" s="97">
        <f ca="1">IFERROR(__xludf.DUMMYFUNCTION("""COMPUTED_VALUE"""),0)</f>
        <v>0</v>
      </c>
      <c r="N99" s="67"/>
      <c r="O99" s="67"/>
      <c r="P99" s="67" t="str">
        <f ca="1">IFERROR(__xludf.DUMMYFUNCTION("""COMPUTED_VALUE"""),"СМР")</f>
        <v>СМР</v>
      </c>
      <c r="Q99" s="67" t="e">
        <f t="shared" ca="1" si="0"/>
        <v>#DIV/0!</v>
      </c>
      <c r="R99" s="67"/>
      <c r="S99" s="67"/>
      <c r="T99" s="67"/>
      <c r="U99" s="67"/>
      <c r="V99" s="67"/>
      <c r="W99" s="67"/>
      <c r="X99" s="67"/>
      <c r="Y99" s="67"/>
      <c r="Z99" s="67"/>
      <c r="AA99" s="67"/>
      <c r="AB99" s="67"/>
      <c r="AC99" s="67"/>
      <c r="AD99" s="67"/>
      <c r="AE99" s="67"/>
      <c r="AF99" s="67"/>
      <c r="AG99" s="67"/>
      <c r="AH99" s="67"/>
      <c r="AI99" s="67"/>
      <c r="AJ99" s="67"/>
      <c r="AK99" s="67"/>
      <c r="AL99" s="67"/>
      <c r="AM99" s="67"/>
    </row>
    <row r="100" spans="1:39" ht="48" hidden="1" x14ac:dyDescent="0.2">
      <c r="A100" s="67"/>
      <c r="B100" s="96"/>
      <c r="C100"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0" s="20" t="str">
        <f ca="1">IFERROR(__xludf.DUMMYFUNCTION("""COMPUTED_VALUE"""),"МинЖКХ")</f>
        <v>МинЖКХ</v>
      </c>
      <c r="E100" s="20"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F100" s="67" t="str">
        <f ca="1">IFERROR(__xludf.DUMMYFUNCTION("""COMPUTED_VALUE"""),"Н/Л")</f>
        <v>Н/Л</v>
      </c>
      <c r="G100" s="67" t="str">
        <f ca="1">IFERROR(__xludf.DUMMYFUNCTION("""COMPUTED_VALUE"""),"г.о. Можайск")</f>
        <v>г.о. Можайск</v>
      </c>
      <c r="H100" s="67" t="str">
        <f ca="1">IFERROR(__xludf.DUMMYFUNCTION("""COMPUTED_VALUE"""),"ВЗУ")</f>
        <v>ВЗУ</v>
      </c>
      <c r="I100" s="67"/>
      <c r="J100" s="67"/>
      <c r="K100" s="97">
        <f ca="1">IFERROR(__xludf.DUMMYFUNCTION("""COMPUTED_VALUE"""),0)</f>
        <v>0</v>
      </c>
      <c r="L100" s="97">
        <f ca="1">IFERROR(__xludf.DUMMYFUNCTION("""COMPUTED_VALUE"""),0)</f>
        <v>0</v>
      </c>
      <c r="M100" s="97">
        <f ca="1">IFERROR(__xludf.DUMMYFUNCTION("""COMPUTED_VALUE"""),0)</f>
        <v>0</v>
      </c>
      <c r="N100" s="67"/>
      <c r="O100" s="67"/>
      <c r="P100" s="67"/>
      <c r="Q100" s="67" t="e">
        <f t="shared" ca="1" si="0"/>
        <v>#DIV/0!</v>
      </c>
      <c r="R100" s="67"/>
      <c r="S100" s="67"/>
      <c r="T100" s="67"/>
      <c r="U100" s="67"/>
      <c r="V100" s="67"/>
      <c r="W100" s="67"/>
      <c r="X100" s="67"/>
      <c r="Y100" s="67"/>
      <c r="Z100" s="67"/>
      <c r="AA100" s="67"/>
      <c r="AB100" s="67"/>
      <c r="AC100" s="67"/>
      <c r="AD100" s="67"/>
      <c r="AE100" s="67"/>
      <c r="AF100" s="67"/>
      <c r="AG100" s="67"/>
      <c r="AH100" s="67"/>
      <c r="AI100" s="67"/>
      <c r="AJ100" s="67"/>
      <c r="AK100" s="67"/>
      <c r="AL100" s="67"/>
      <c r="AM100" s="67"/>
    </row>
    <row r="101" spans="1:39" ht="60" hidden="1" x14ac:dyDescent="0.2">
      <c r="A101" s="67"/>
      <c r="B101" s="96"/>
      <c r="C101"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1" s="20" t="str">
        <f ca="1">IFERROR(__xludf.DUMMYFUNCTION("""COMPUTED_VALUE"""),"МинЖКХ")</f>
        <v>МинЖКХ</v>
      </c>
      <c r="E101" s="20" t="str">
        <f ca="1">IFERROR(__xludf.DUMMYFUNCTION("""COMPUTED_VALUE"""),"Реконструкция ВЗУ Сокольниково ул. Верхнее Сокольниково Московская область, Можайский городской округ, с.п. Юрловское")</f>
        <v>Реконструкция ВЗУ Сокольниково ул. Верхнее Сокольниково Московская область, Можайский городской округ, с.п. Юрловское</v>
      </c>
      <c r="F101" s="67">
        <f ca="1">IFERROR(__xludf.DUMMYFUNCTION("""COMPUTED_VALUE"""),2023)</f>
        <v>2023</v>
      </c>
      <c r="G101" s="67" t="str">
        <f ca="1">IFERROR(__xludf.DUMMYFUNCTION("""COMPUTED_VALUE"""),"г.о. Можайск")</f>
        <v>г.о. Можайск</v>
      </c>
      <c r="H101" s="67" t="str">
        <f ca="1">IFERROR(__xludf.DUMMYFUNCTION("""COMPUTED_VALUE"""),"ВЗУ")</f>
        <v>ВЗУ</v>
      </c>
      <c r="I101" s="67"/>
      <c r="J101" s="67"/>
      <c r="K101" s="97">
        <f ca="1">IFERROR(__xludf.DUMMYFUNCTION("""COMPUTED_VALUE"""),0)</f>
        <v>0</v>
      </c>
      <c r="L101" s="97">
        <f ca="1">IFERROR(__xludf.DUMMYFUNCTION("""COMPUTED_VALUE"""),0)</f>
        <v>0</v>
      </c>
      <c r="M101" s="97">
        <f ca="1">IFERROR(__xludf.DUMMYFUNCTION("""COMPUTED_VALUE"""),0)</f>
        <v>0</v>
      </c>
      <c r="N101" s="67"/>
      <c r="O101" s="67"/>
      <c r="P101" s="67" t="str">
        <f ca="1">IFERROR(__xludf.DUMMYFUNCTION("""COMPUTED_VALUE"""),"СМР")</f>
        <v>СМР</v>
      </c>
      <c r="Q101" s="67" t="e">
        <f t="shared" ca="1" si="0"/>
        <v>#DIV/0!</v>
      </c>
      <c r="R101" s="67"/>
      <c r="S101" s="67"/>
      <c r="T101" s="67"/>
      <c r="U101" s="67"/>
      <c r="V101" s="67"/>
      <c r="W101" s="67"/>
      <c r="X101" s="67"/>
      <c r="Y101" s="67"/>
      <c r="Z101" s="67"/>
      <c r="AA101" s="67"/>
      <c r="AB101" s="67"/>
      <c r="AC101" s="67"/>
      <c r="AD101" s="67"/>
      <c r="AE101" s="67"/>
      <c r="AF101" s="67"/>
      <c r="AG101" s="67"/>
      <c r="AH101" s="67"/>
      <c r="AI101" s="67"/>
      <c r="AJ101" s="67"/>
      <c r="AK101" s="67"/>
      <c r="AL101" s="67"/>
      <c r="AM101" s="67"/>
    </row>
    <row r="102" spans="1:39" ht="60" hidden="1" x14ac:dyDescent="0.2">
      <c r="A102" s="67"/>
      <c r="B102" s="96"/>
      <c r="C102"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2" s="20" t="str">
        <f ca="1">IFERROR(__xludf.DUMMYFUNCTION("""COMPUTED_VALUE"""),"МинЖКХ")</f>
        <v>МинЖКХ</v>
      </c>
      <c r="E102" s="20" t="str">
        <f ca="1">IFERROR(__xludf.DUMMYFUNCTION("""COMPUTED_VALUE"""),"Реконструкция ВЗУ Преснецово Московская область, Можайский городской округ, с.п. Юрловское, д. Преснецово")</f>
        <v>Реконструкция ВЗУ Преснецово Московская область, Можайский городской округ, с.п. Юрловское, д. Преснецово</v>
      </c>
      <c r="F102" s="67">
        <f ca="1">IFERROR(__xludf.DUMMYFUNCTION("""COMPUTED_VALUE"""),2023)</f>
        <v>2023</v>
      </c>
      <c r="G102" s="67" t="str">
        <f ca="1">IFERROR(__xludf.DUMMYFUNCTION("""COMPUTED_VALUE"""),"г.о. Можайск")</f>
        <v>г.о. Можайск</v>
      </c>
      <c r="H102" s="67" t="str">
        <f ca="1">IFERROR(__xludf.DUMMYFUNCTION("""COMPUTED_VALUE"""),"ВЗУ")</f>
        <v>ВЗУ</v>
      </c>
      <c r="I102" s="67"/>
      <c r="J102" s="67"/>
      <c r="K102" s="97">
        <f ca="1">IFERROR(__xludf.DUMMYFUNCTION("""COMPUTED_VALUE"""),0)</f>
        <v>0</v>
      </c>
      <c r="L102" s="97">
        <f ca="1">IFERROR(__xludf.DUMMYFUNCTION("""COMPUTED_VALUE"""),0)</f>
        <v>0</v>
      </c>
      <c r="M102" s="97">
        <f ca="1">IFERROR(__xludf.DUMMYFUNCTION("""COMPUTED_VALUE"""),0)</f>
        <v>0</v>
      </c>
      <c r="N102" s="67"/>
      <c r="O102" s="67"/>
      <c r="P102" s="67" t="str">
        <f ca="1">IFERROR(__xludf.DUMMYFUNCTION("""COMPUTED_VALUE"""),"СМР")</f>
        <v>СМР</v>
      </c>
      <c r="Q102" s="67" t="e">
        <f t="shared" ca="1" si="0"/>
        <v>#DIV/0!</v>
      </c>
      <c r="R102" s="67"/>
      <c r="S102" s="67"/>
      <c r="T102" s="67"/>
      <c r="U102" s="67"/>
      <c r="V102" s="67"/>
      <c r="W102" s="67"/>
      <c r="X102" s="67"/>
      <c r="Y102" s="67"/>
      <c r="Z102" s="67"/>
      <c r="AA102" s="67"/>
      <c r="AB102" s="67"/>
      <c r="AC102" s="67"/>
      <c r="AD102" s="67"/>
      <c r="AE102" s="67"/>
      <c r="AF102" s="67"/>
      <c r="AG102" s="67"/>
      <c r="AH102" s="67"/>
      <c r="AI102" s="67"/>
      <c r="AJ102" s="67"/>
      <c r="AK102" s="67"/>
      <c r="AL102" s="67"/>
      <c r="AM102" s="67"/>
    </row>
    <row r="103" spans="1:39" ht="48" hidden="1" x14ac:dyDescent="0.2">
      <c r="A103" s="67"/>
      <c r="B103" s="96"/>
      <c r="C103"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3" s="20" t="str">
        <f ca="1">IFERROR(__xludf.DUMMYFUNCTION("""COMPUTED_VALUE"""),"МинЖКХ")</f>
        <v>МинЖКХ</v>
      </c>
      <c r="E103" s="20" t="str">
        <f ca="1">IFERROR(__xludf.DUMMYFUNCTION("""COMPUTED_VALUE"""),"Реконструкция ВЗУ Марфин Брод Московская область, Можайский городской округ, г.п. Можайск, д. Марфин Брод")</f>
        <v>Реконструкция ВЗУ Марфин Брод Московская область, Можайский городской округ, г.п. Можайск, д. Марфин Брод</v>
      </c>
      <c r="F103" s="67">
        <f ca="1">IFERROR(__xludf.DUMMYFUNCTION("""COMPUTED_VALUE"""),2023)</f>
        <v>2023</v>
      </c>
      <c r="G103" s="67" t="str">
        <f ca="1">IFERROR(__xludf.DUMMYFUNCTION("""COMPUTED_VALUE"""),"г.о. Можайск")</f>
        <v>г.о. Можайск</v>
      </c>
      <c r="H103" s="67" t="str">
        <f ca="1">IFERROR(__xludf.DUMMYFUNCTION("""COMPUTED_VALUE"""),"ВЗУ")</f>
        <v>ВЗУ</v>
      </c>
      <c r="I103" s="67"/>
      <c r="J103" s="67"/>
      <c r="K103" s="97">
        <f ca="1">IFERROR(__xludf.DUMMYFUNCTION("""COMPUTED_VALUE"""),0)</f>
        <v>0</v>
      </c>
      <c r="L103" s="97">
        <f ca="1">IFERROR(__xludf.DUMMYFUNCTION("""COMPUTED_VALUE"""),0)</f>
        <v>0</v>
      </c>
      <c r="M103" s="97">
        <f ca="1">IFERROR(__xludf.DUMMYFUNCTION("""COMPUTED_VALUE"""),0)</f>
        <v>0</v>
      </c>
      <c r="N103" s="67"/>
      <c r="O103" s="67"/>
      <c r="P103" s="67" t="str">
        <f ca="1">IFERROR(__xludf.DUMMYFUNCTION("""COMPUTED_VALUE"""),"СМР")</f>
        <v>СМР</v>
      </c>
      <c r="Q103" s="67" t="e">
        <f t="shared" ca="1" si="0"/>
        <v>#DIV/0!</v>
      </c>
      <c r="R103" s="67"/>
      <c r="S103" s="67"/>
      <c r="T103" s="67"/>
      <c r="U103" s="67"/>
      <c r="V103" s="67"/>
      <c r="W103" s="67"/>
      <c r="X103" s="67"/>
      <c r="Y103" s="67"/>
      <c r="Z103" s="67"/>
      <c r="AA103" s="67"/>
      <c r="AB103" s="67"/>
      <c r="AC103" s="67"/>
      <c r="AD103" s="67"/>
      <c r="AE103" s="67"/>
      <c r="AF103" s="67"/>
      <c r="AG103" s="67"/>
      <c r="AH103" s="67"/>
      <c r="AI103" s="67"/>
      <c r="AJ103" s="67"/>
      <c r="AK103" s="67"/>
      <c r="AL103" s="67"/>
      <c r="AM103" s="67"/>
    </row>
    <row r="104" spans="1:39" ht="48" hidden="1" x14ac:dyDescent="0.2">
      <c r="A104" s="67"/>
      <c r="B104" s="96"/>
      <c r="C104"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4" s="20" t="str">
        <f ca="1">IFERROR(__xludf.DUMMYFUNCTION("""COMPUTED_VALUE"""),"МинЖКХ")</f>
        <v>МинЖКХ</v>
      </c>
      <c r="E104" s="20" t="str">
        <f ca="1">IFERROR(__xludf.DUMMYFUNCTION("""COMPUTED_VALUE"""),"Реконструкция ВЗУ Троица Московская область, Можайский городской округ, с.п. Бородинское, д. Троица")</f>
        <v>Реконструкция ВЗУ Троица Московская область, Можайский городской округ, с.п. Бородинское, д. Троица</v>
      </c>
      <c r="F104" s="67">
        <f ca="1">IFERROR(__xludf.DUMMYFUNCTION("""COMPUTED_VALUE"""),2023)</f>
        <v>2023</v>
      </c>
      <c r="G104" s="67" t="str">
        <f ca="1">IFERROR(__xludf.DUMMYFUNCTION("""COMPUTED_VALUE"""),"г.о. Можайск")</f>
        <v>г.о. Можайск</v>
      </c>
      <c r="H104" s="67" t="str">
        <f ca="1">IFERROR(__xludf.DUMMYFUNCTION("""COMPUTED_VALUE"""),"ВЗУ")</f>
        <v>ВЗУ</v>
      </c>
      <c r="I104" s="67"/>
      <c r="J104" s="67"/>
      <c r="K104" s="97">
        <f ca="1">IFERROR(__xludf.DUMMYFUNCTION("""COMPUTED_VALUE"""),0)</f>
        <v>0</v>
      </c>
      <c r="L104" s="97">
        <f ca="1">IFERROR(__xludf.DUMMYFUNCTION("""COMPUTED_VALUE"""),0)</f>
        <v>0</v>
      </c>
      <c r="M104" s="97">
        <f ca="1">IFERROR(__xludf.DUMMYFUNCTION("""COMPUTED_VALUE"""),0)</f>
        <v>0</v>
      </c>
      <c r="N104" s="67"/>
      <c r="O104" s="67"/>
      <c r="P104" s="67" t="str">
        <f ca="1">IFERROR(__xludf.DUMMYFUNCTION("""COMPUTED_VALUE"""),"СМР")</f>
        <v>СМР</v>
      </c>
      <c r="Q104" s="67" t="e">
        <f t="shared" ca="1" si="0"/>
        <v>#DIV/0!</v>
      </c>
      <c r="R104" s="67"/>
      <c r="S104" s="67"/>
      <c r="T104" s="67"/>
      <c r="U104" s="67"/>
      <c r="V104" s="67"/>
      <c r="W104" s="67"/>
      <c r="X104" s="67"/>
      <c r="Y104" s="67"/>
      <c r="Z104" s="67"/>
      <c r="AA104" s="67"/>
      <c r="AB104" s="67"/>
      <c r="AC104" s="67"/>
      <c r="AD104" s="67"/>
      <c r="AE104" s="67"/>
      <c r="AF104" s="67"/>
      <c r="AG104" s="67"/>
      <c r="AH104" s="67"/>
      <c r="AI104" s="67"/>
      <c r="AJ104" s="67"/>
      <c r="AK104" s="67"/>
      <c r="AL104" s="67"/>
      <c r="AM104" s="67"/>
    </row>
    <row r="105" spans="1:39" ht="48" hidden="1" x14ac:dyDescent="0.2">
      <c r="A105" s="67"/>
      <c r="B105" s="96"/>
      <c r="C105"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5" s="20" t="str">
        <f ca="1">IFERROR(__xludf.DUMMYFUNCTION("""COMPUTED_VALUE"""),"МинЖКХ")</f>
        <v>МинЖКХ</v>
      </c>
      <c r="E105" s="20" t="str">
        <f ca="1">IFERROR(__xludf.DUMMYFUNCTION("""COMPUTED_VALUE"""),"Реконструкция ВЗУ Клементьево с.п. Клементьевское, д. Клементьево г.о. Можайский")</f>
        <v>Реконструкция ВЗУ Клементьево с.п. Клементьевское, д. Клементьево г.о. Можайский</v>
      </c>
      <c r="F105" s="67">
        <f ca="1">IFERROR(__xludf.DUMMYFUNCTION("""COMPUTED_VALUE"""),2023)</f>
        <v>2023</v>
      </c>
      <c r="G105" s="67" t="str">
        <f ca="1">IFERROR(__xludf.DUMMYFUNCTION("""COMPUTED_VALUE"""),"г.о. Можайск")</f>
        <v>г.о. Можайск</v>
      </c>
      <c r="H105" s="67" t="str">
        <f ca="1">IFERROR(__xludf.DUMMYFUNCTION("""COMPUTED_VALUE"""),"ВЗУ")</f>
        <v>ВЗУ</v>
      </c>
      <c r="I105" s="67"/>
      <c r="J105" s="67"/>
      <c r="K105" s="97">
        <f ca="1">IFERROR(__xludf.DUMMYFUNCTION("""COMPUTED_VALUE"""),0)</f>
        <v>0</v>
      </c>
      <c r="L105" s="97">
        <f ca="1">IFERROR(__xludf.DUMMYFUNCTION("""COMPUTED_VALUE"""),0)</f>
        <v>0</v>
      </c>
      <c r="M105" s="97">
        <f ca="1">IFERROR(__xludf.DUMMYFUNCTION("""COMPUTED_VALUE"""),0)</f>
        <v>0</v>
      </c>
      <c r="N105" s="67"/>
      <c r="O105" s="67"/>
      <c r="P105" s="67" t="str">
        <f ca="1">IFERROR(__xludf.DUMMYFUNCTION("""COMPUTED_VALUE"""),"СМР")</f>
        <v>СМР</v>
      </c>
      <c r="Q105" s="67" t="e">
        <f t="shared" ca="1" si="0"/>
        <v>#DIV/0!</v>
      </c>
      <c r="R105" s="67"/>
      <c r="S105" s="67"/>
      <c r="T105" s="67"/>
      <c r="U105" s="67"/>
      <c r="V105" s="67"/>
      <c r="W105" s="67"/>
      <c r="X105" s="67"/>
      <c r="Y105" s="67"/>
      <c r="Z105" s="67"/>
      <c r="AA105" s="67"/>
      <c r="AB105" s="67"/>
      <c r="AC105" s="67"/>
      <c r="AD105" s="67"/>
      <c r="AE105" s="67"/>
      <c r="AF105" s="67"/>
      <c r="AG105" s="67"/>
      <c r="AH105" s="67"/>
      <c r="AI105" s="67"/>
      <c r="AJ105" s="67"/>
      <c r="AK105" s="67"/>
      <c r="AL105" s="67"/>
      <c r="AM105" s="67"/>
    </row>
    <row r="106" spans="1:39" ht="60" hidden="1" x14ac:dyDescent="0.2">
      <c r="A106" s="67"/>
      <c r="B106" s="96"/>
      <c r="C106"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6" s="20" t="str">
        <f ca="1">IFERROR(__xludf.DUMMYFUNCTION("""COMPUTED_VALUE"""),"МинЖКХ")</f>
        <v>МинЖКХ</v>
      </c>
      <c r="E106" s="20" t="str">
        <f ca="1">IFERROR(__xludf.DUMMYFUNCTION("""COMPUTED_VALUE"""),"Реконструкция ВЗУ Александрово Московская область, Можайский городской округ, с.п. Бородинское, п. учхоза Александрово")</f>
        <v>Реконструкция ВЗУ Александрово Московская область, Можайский городской округ, с.п. Бородинское, п. учхоза Александрово</v>
      </c>
      <c r="F106" s="67">
        <f ca="1">IFERROR(__xludf.DUMMYFUNCTION("""COMPUTED_VALUE"""),2023)</f>
        <v>2023</v>
      </c>
      <c r="G106" s="67" t="str">
        <f ca="1">IFERROR(__xludf.DUMMYFUNCTION("""COMPUTED_VALUE"""),"г.о. Можайск")</f>
        <v>г.о. Можайск</v>
      </c>
      <c r="H106" s="67" t="str">
        <f ca="1">IFERROR(__xludf.DUMMYFUNCTION("""COMPUTED_VALUE"""),"ВЗУ")</f>
        <v>ВЗУ</v>
      </c>
      <c r="I106" s="67"/>
      <c r="J106" s="67"/>
      <c r="K106" s="97">
        <f ca="1">IFERROR(__xludf.DUMMYFUNCTION("""COMPUTED_VALUE"""),0)</f>
        <v>0</v>
      </c>
      <c r="L106" s="97">
        <f ca="1">IFERROR(__xludf.DUMMYFUNCTION("""COMPUTED_VALUE"""),0)</f>
        <v>0</v>
      </c>
      <c r="M106" s="97">
        <f ca="1">IFERROR(__xludf.DUMMYFUNCTION("""COMPUTED_VALUE"""),0)</f>
        <v>0</v>
      </c>
      <c r="N106" s="67"/>
      <c r="O106" s="67"/>
      <c r="P106" s="67" t="str">
        <f ca="1">IFERROR(__xludf.DUMMYFUNCTION("""COMPUTED_VALUE"""),"СМР")</f>
        <v>СМР</v>
      </c>
      <c r="Q106" s="67" t="e">
        <f t="shared" ca="1" si="0"/>
        <v>#DIV/0!</v>
      </c>
      <c r="R106" s="67"/>
      <c r="S106" s="67"/>
      <c r="T106" s="67"/>
      <c r="U106" s="67"/>
      <c r="V106" s="67"/>
      <c r="W106" s="67"/>
      <c r="X106" s="67"/>
      <c r="Y106" s="67"/>
      <c r="Z106" s="67"/>
      <c r="AA106" s="67"/>
      <c r="AB106" s="67"/>
      <c r="AC106" s="67"/>
      <c r="AD106" s="67"/>
      <c r="AE106" s="67"/>
      <c r="AF106" s="67"/>
      <c r="AG106" s="67"/>
      <c r="AH106" s="67"/>
      <c r="AI106" s="67"/>
      <c r="AJ106" s="67"/>
      <c r="AK106" s="67"/>
      <c r="AL106" s="67"/>
      <c r="AM106" s="67"/>
    </row>
    <row r="107" spans="1:39" ht="60" hidden="1" x14ac:dyDescent="0.2">
      <c r="A107" s="67"/>
      <c r="B107" s="96"/>
      <c r="C107"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7" s="20" t="str">
        <f ca="1">IFERROR(__xludf.DUMMYFUNCTION("""COMPUTED_VALUE"""),"МинЖКХ")</f>
        <v>МинЖКХ</v>
      </c>
      <c r="E107" s="20" t="str">
        <f ca="1">IFERROR(__xludf.DUMMYFUNCTION("""COMPUTED_VALUE"""),"Реконструкция ВЗУ Язево  Московская область, Можайский городской округ, с.п. Борисовское, д. Язево")</f>
        <v>Реконструкция ВЗУ Язево  Московская область, Можайский городской округ, с.п. Борисовское, д. Язево</v>
      </c>
      <c r="F107" s="67">
        <f ca="1">IFERROR(__xludf.DUMMYFUNCTION("""COMPUTED_VALUE"""),2023)</f>
        <v>2023</v>
      </c>
      <c r="G107" s="67" t="str">
        <f ca="1">IFERROR(__xludf.DUMMYFUNCTION("""COMPUTED_VALUE"""),"г.о. Можайск")</f>
        <v>г.о. Можайск</v>
      </c>
      <c r="H107" s="67" t="str">
        <f ca="1">IFERROR(__xludf.DUMMYFUNCTION("""COMPUTED_VALUE"""),"ВЗУ")</f>
        <v>ВЗУ</v>
      </c>
      <c r="I107" s="67"/>
      <c r="J107" s="67"/>
      <c r="K107" s="97">
        <f ca="1">IFERROR(__xludf.DUMMYFUNCTION("""COMPUTED_VALUE"""),0)</f>
        <v>0</v>
      </c>
      <c r="L107" s="97">
        <f ca="1">IFERROR(__xludf.DUMMYFUNCTION("""COMPUTED_VALUE"""),0)</f>
        <v>0</v>
      </c>
      <c r="M107" s="97">
        <f ca="1">IFERROR(__xludf.DUMMYFUNCTION("""COMPUTED_VALUE"""),0)</f>
        <v>0</v>
      </c>
      <c r="N107" s="67"/>
      <c r="O107" s="67"/>
      <c r="P107" s="67" t="str">
        <f ca="1">IFERROR(__xludf.DUMMYFUNCTION("""COMPUTED_VALUE"""),"СМР")</f>
        <v>СМР</v>
      </c>
      <c r="Q107" s="67" t="e">
        <f t="shared" ca="1" si="0"/>
        <v>#DIV/0!</v>
      </c>
      <c r="R107" s="67"/>
      <c r="S107" s="67"/>
      <c r="T107" s="67"/>
      <c r="U107" s="67"/>
      <c r="V107" s="67"/>
      <c r="W107" s="67"/>
      <c r="X107" s="67"/>
      <c r="Y107" s="67"/>
      <c r="Z107" s="67"/>
      <c r="AA107" s="67"/>
      <c r="AB107" s="67"/>
      <c r="AC107" s="67"/>
      <c r="AD107" s="67"/>
      <c r="AE107" s="67"/>
      <c r="AF107" s="67"/>
      <c r="AG107" s="67"/>
      <c r="AH107" s="67"/>
      <c r="AI107" s="67"/>
      <c r="AJ107" s="67"/>
      <c r="AK107" s="67"/>
      <c r="AL107" s="67"/>
      <c r="AM107" s="67"/>
    </row>
    <row r="108" spans="1:39" ht="60" hidden="1" x14ac:dyDescent="0.2">
      <c r="A108" s="67"/>
      <c r="B108" s="100"/>
      <c r="C108" s="20"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8" s="20" t="str">
        <f ca="1">IFERROR(__xludf.DUMMYFUNCTION("""COMPUTED_VALUE"""),"МинЖКХ")</f>
        <v>МинЖКХ</v>
      </c>
      <c r="E108" s="20" t="str">
        <f ca="1">IFERROR(__xludf.DUMMYFUNCTION("""COMPUTED_VALUE"""),"Реконструкция ВЗУ Логиново Московская область, Можайский городской округ, с.п. Бородинское, д. Логиново")</f>
        <v>Реконструкция ВЗУ Логиново Московская область, Можайский городской округ, с.п. Бородинское, д. Логиново</v>
      </c>
      <c r="F108" s="67">
        <f ca="1">IFERROR(__xludf.DUMMYFUNCTION("""COMPUTED_VALUE"""),2023)</f>
        <v>2023</v>
      </c>
      <c r="G108" s="67" t="str">
        <f ca="1">IFERROR(__xludf.DUMMYFUNCTION("""COMPUTED_VALUE"""),"г.о. Можайск")</f>
        <v>г.о. Можайск</v>
      </c>
      <c r="H108" s="67" t="str">
        <f ca="1">IFERROR(__xludf.DUMMYFUNCTION("""COMPUTED_VALUE"""),"ВЗУ")</f>
        <v>ВЗУ</v>
      </c>
      <c r="I108" s="67"/>
      <c r="J108" s="67"/>
      <c r="K108" s="97">
        <f ca="1">IFERROR(__xludf.DUMMYFUNCTION("""COMPUTED_VALUE"""),0)</f>
        <v>0</v>
      </c>
      <c r="L108" s="97">
        <f ca="1">IFERROR(__xludf.DUMMYFUNCTION("""COMPUTED_VALUE"""),0)</f>
        <v>0</v>
      </c>
      <c r="M108" s="97">
        <f ca="1">IFERROR(__xludf.DUMMYFUNCTION("""COMPUTED_VALUE"""),0)</f>
        <v>0</v>
      </c>
      <c r="N108" s="67"/>
      <c r="O108" s="67"/>
      <c r="P108" s="67" t="str">
        <f ca="1">IFERROR(__xludf.DUMMYFUNCTION("""COMPUTED_VALUE"""),"СМР")</f>
        <v>СМР</v>
      </c>
      <c r="Q108" s="67" t="e">
        <f t="shared" ca="1" si="0"/>
        <v>#DIV/0!</v>
      </c>
      <c r="R108" s="67"/>
      <c r="S108" s="67"/>
      <c r="T108" s="67"/>
      <c r="U108" s="67"/>
      <c r="V108" s="67"/>
      <c r="W108" s="67"/>
      <c r="X108" s="67"/>
      <c r="Y108" s="67"/>
      <c r="Z108" s="67"/>
      <c r="AA108" s="67"/>
      <c r="AB108" s="67"/>
      <c r="AC108" s="67"/>
      <c r="AD108" s="67"/>
      <c r="AE108" s="67"/>
      <c r="AF108" s="67"/>
      <c r="AG108" s="67"/>
      <c r="AH108" s="67"/>
      <c r="AI108" s="67"/>
      <c r="AJ108" s="67"/>
      <c r="AK108" s="67"/>
      <c r="AL108" s="67"/>
      <c r="AM108" s="67"/>
    </row>
    <row r="109" spans="1:39" ht="72" x14ac:dyDescent="0.2">
      <c r="A109" s="67"/>
      <c r="B109" s="100"/>
      <c r="C10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09" s="20" t="str">
        <f ca="1">IFERROR(__xludf.DUMMYFUNCTION("""COMPUTED_VALUE"""),"МинЖКХ")</f>
        <v>МинЖКХ</v>
      </c>
      <c r="E109" s="20" t="str">
        <f ca="1">IFERROR(__xludf.DUMMYFUNCTION("""COMPUTED_VALUE"""),"Строительство ВЗУ по адресу: г. Волоколамск, ул. Пороховская (в том числе корректировка проекта) (в том числе кредиторская задолженность)")</f>
        <v>Строительство ВЗУ по адресу: г. Волоколамск, ул. Пороховская (в том числе корректировка проекта) (в том числе кредиторская задолженность)</v>
      </c>
      <c r="F109" s="67" t="str">
        <f ca="1">IFERROR(__xludf.DUMMYFUNCTION("""COMPUTED_VALUE"""),"2020-2022")</f>
        <v>2020-2022</v>
      </c>
      <c r="G109" s="67" t="str">
        <f ca="1">IFERROR(__xludf.DUMMYFUNCTION("""COMPUTED_VALUE"""),"г.о. Волоколамский")</f>
        <v>г.о. Волоколамский</v>
      </c>
      <c r="H109" s="67" t="str">
        <f ca="1">IFERROR(__xludf.DUMMYFUNCTION("""COMPUTED_VALUE"""),"ВЗУ")</f>
        <v>ВЗУ</v>
      </c>
      <c r="I109" s="97">
        <f ca="1">IFERROR(__xludf.DUMMYFUNCTION("""COMPUTED_VALUE"""),7092)</f>
        <v>7092</v>
      </c>
      <c r="J109" s="67"/>
      <c r="K109" s="97">
        <f ca="1">IFERROR(__xludf.DUMMYFUNCTION("""COMPUTED_VALUE"""),11064.46)</f>
        <v>11064.46</v>
      </c>
      <c r="L109" s="97">
        <f ca="1">IFERROR(__xludf.DUMMYFUNCTION("""COMPUTED_VALUE"""),0)</f>
        <v>0</v>
      </c>
      <c r="M109" s="97">
        <f ca="1">IFERROR(__xludf.DUMMYFUNCTION("""COMPUTED_VALUE"""),0)</f>
        <v>0</v>
      </c>
      <c r="N109" s="67"/>
      <c r="O109" s="67"/>
      <c r="P109" s="67" t="str">
        <f ca="1">IFERROR(__xludf.DUMMYFUNCTION("""COMPUTED_VALUE"""),"СМР")</f>
        <v>СМР</v>
      </c>
      <c r="Q109" s="67">
        <f t="shared" ca="1" si="0"/>
        <v>0</v>
      </c>
      <c r="R109" s="67"/>
      <c r="S109" s="67"/>
      <c r="T109" s="67"/>
      <c r="U109" s="67"/>
      <c r="V109" s="67"/>
      <c r="W109" s="67"/>
      <c r="X109" s="67"/>
      <c r="Y109" s="67"/>
      <c r="Z109" s="67"/>
      <c r="AA109" s="67"/>
      <c r="AB109" s="67"/>
      <c r="AC109" s="67"/>
      <c r="AD109" s="67"/>
      <c r="AE109" s="67"/>
      <c r="AF109" s="67"/>
      <c r="AG109" s="67"/>
      <c r="AH109" s="67"/>
      <c r="AI109" s="67"/>
      <c r="AJ109" s="67"/>
      <c r="AK109" s="67"/>
      <c r="AL109" s="67"/>
      <c r="AM109" s="67"/>
    </row>
    <row r="110" spans="1:39" ht="72" x14ac:dyDescent="0.2">
      <c r="A110" s="67"/>
      <c r="B110" s="100"/>
      <c r="C11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0" s="20" t="str">
        <f ca="1">IFERROR(__xludf.DUMMYFUNCTION("""COMPUTED_VALUE"""),"МинЖКХ")</f>
        <v>МинЖКХ</v>
      </c>
      <c r="E110" s="20" t="str">
        <f ca="1">IFERROR(__xludf.DUMMYFUNCTION("""COMPUTED_VALUE"""),"Строительство ВЗУ с установкой станции обезжелезивания по адресу: городской округ Луховицы,  д. Круглово (в т.ч. ПИР)")</f>
        <v>Строительство ВЗУ с установкой станции обезжелезивания по адресу: городской округ Луховицы,  д. Круглово (в т.ч. ПИР)</v>
      </c>
      <c r="F110" s="67">
        <f ca="1">IFERROR(__xludf.DUMMYFUNCTION("""COMPUTED_VALUE"""),2020)</f>
        <v>2020</v>
      </c>
      <c r="G110" s="67" t="str">
        <f ca="1">IFERROR(__xludf.DUMMYFUNCTION("""COMPUTED_VALUE"""),"г.о. Луховицы")</f>
        <v>г.о. Луховицы</v>
      </c>
      <c r="H110" s="67" t="str">
        <f ca="1">IFERROR(__xludf.DUMMYFUNCTION("""COMPUTED_VALUE"""),"ВЗУ")</f>
        <v>ВЗУ</v>
      </c>
      <c r="I110" s="97">
        <f ca="1">IFERROR(__xludf.DUMMYFUNCTION("""COMPUTED_VALUE"""),22025.66)</f>
        <v>22025.66</v>
      </c>
      <c r="J110" s="67"/>
      <c r="K110" s="97">
        <f ca="1">IFERROR(__xludf.DUMMYFUNCTION("""COMPUTED_VALUE"""),2801.27)</f>
        <v>2801.27</v>
      </c>
      <c r="L110" s="97">
        <f ca="1">IFERROR(__xludf.DUMMYFUNCTION("""COMPUTED_VALUE"""),0)</f>
        <v>0</v>
      </c>
      <c r="M110" s="97">
        <f ca="1">IFERROR(__xludf.DUMMYFUNCTION("""COMPUTED_VALUE"""),0)</f>
        <v>0</v>
      </c>
      <c r="N110" s="67"/>
      <c r="O110" s="67"/>
      <c r="P110" s="67" t="str">
        <f ca="1">IFERROR(__xludf.DUMMYFUNCTION("""COMPUTED_VALUE"""),"СМР")</f>
        <v>СМР</v>
      </c>
      <c r="Q110" s="67">
        <f t="shared" ca="1" si="0"/>
        <v>0</v>
      </c>
      <c r="R110" s="67"/>
      <c r="S110" s="67"/>
      <c r="T110" s="67"/>
      <c r="U110" s="67"/>
      <c r="V110" s="67"/>
      <c r="W110" s="67"/>
      <c r="X110" s="67"/>
      <c r="Y110" s="67"/>
      <c r="Z110" s="67"/>
      <c r="AA110" s="67"/>
      <c r="AB110" s="67"/>
      <c r="AC110" s="67"/>
      <c r="AD110" s="67"/>
      <c r="AE110" s="67"/>
      <c r="AF110" s="67"/>
      <c r="AG110" s="67"/>
      <c r="AH110" s="67"/>
      <c r="AI110" s="67"/>
      <c r="AJ110" s="67"/>
      <c r="AK110" s="67"/>
      <c r="AL110" s="67"/>
      <c r="AM110" s="67"/>
    </row>
    <row r="111" spans="1:39" ht="72" x14ac:dyDescent="0.2">
      <c r="A111" s="67"/>
      <c r="B111" s="100"/>
      <c r="C11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1" s="20" t="str">
        <f ca="1">IFERROR(__xludf.DUMMYFUNCTION("""COMPUTED_VALUE"""),"МинЖКХ")</f>
        <v>МинЖКХ</v>
      </c>
      <c r="E111" s="20" t="str">
        <f ca="1">IFERROR(__xludf.DUMMYFUNCTION("""COMPUTED_VALUE"""),"Реконструкция ВЗУ, расположенного по адресу: Московская область, Можайский район, п. Спутник  (в том числе ПИР)")</f>
        <v>Реконструкция ВЗУ, расположенного по адресу: Московская область, Можайский район, п. Спутник  (в том числе ПИР)</v>
      </c>
      <c r="F111" s="67">
        <f ca="1">IFERROR(__xludf.DUMMYFUNCTION("""COMPUTED_VALUE"""),2020)</f>
        <v>2020</v>
      </c>
      <c r="G111" s="67" t="str">
        <f ca="1">IFERROR(__xludf.DUMMYFUNCTION("""COMPUTED_VALUE"""),"г.о. Можайск")</f>
        <v>г.о. Можайск</v>
      </c>
      <c r="H111" s="67" t="str">
        <f ca="1">IFERROR(__xludf.DUMMYFUNCTION("""COMPUTED_VALUE"""),"ВЗУ")</f>
        <v>ВЗУ</v>
      </c>
      <c r="I111" s="97">
        <f ca="1">IFERROR(__xludf.DUMMYFUNCTION("""COMPUTED_VALUE"""),30176.4)</f>
        <v>30176.400000000001</v>
      </c>
      <c r="J111" s="67"/>
      <c r="K111" s="97">
        <f ca="1">IFERROR(__xludf.DUMMYFUNCTION("""COMPUTED_VALUE"""),7897.88)</f>
        <v>7897.88</v>
      </c>
      <c r="L111" s="97">
        <f ca="1">IFERROR(__xludf.DUMMYFUNCTION("""COMPUTED_VALUE"""),0)</f>
        <v>0</v>
      </c>
      <c r="M111" s="97">
        <f ca="1">IFERROR(__xludf.DUMMYFUNCTION("""COMPUTED_VALUE"""),0)</f>
        <v>0</v>
      </c>
      <c r="N111" s="67"/>
      <c r="O111" s="67"/>
      <c r="P111" s="67" t="str">
        <f ca="1">IFERROR(__xludf.DUMMYFUNCTION("""COMPUTED_VALUE"""),"СМР")</f>
        <v>СМР</v>
      </c>
      <c r="Q111" s="67">
        <f t="shared" ca="1" si="0"/>
        <v>0</v>
      </c>
      <c r="R111" s="67"/>
      <c r="S111" s="67"/>
      <c r="T111" s="67"/>
      <c r="U111" s="67"/>
      <c r="V111" s="67"/>
      <c r="W111" s="67"/>
      <c r="X111" s="67"/>
      <c r="Y111" s="67"/>
      <c r="Z111" s="67"/>
      <c r="AA111" s="67"/>
      <c r="AB111" s="67"/>
      <c r="AC111" s="67"/>
      <c r="AD111" s="67"/>
      <c r="AE111" s="67"/>
      <c r="AF111" s="67"/>
      <c r="AG111" s="67"/>
      <c r="AH111" s="67"/>
      <c r="AI111" s="67"/>
      <c r="AJ111" s="67"/>
      <c r="AK111" s="67"/>
      <c r="AL111" s="67"/>
      <c r="AM111" s="67"/>
    </row>
    <row r="112" spans="1:39" ht="72" x14ac:dyDescent="0.2">
      <c r="A112" s="67"/>
      <c r="B112" s="96"/>
      <c r="C11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2" s="20" t="str">
        <f ca="1">IFERROR(__xludf.DUMMYFUNCTION("""COMPUTED_VALUE"""),"МинЖКХ")</f>
        <v>МинЖКХ</v>
      </c>
      <c r="E112" s="20" t="str">
        <f ca="1">IFERROR(__xludf.DUMMYFUNCTION("""COMPUTED_VALUE"""),"Реконструкция ВЗУ Степанщино Воскресенский м.р., с устройством РЧВ 500 м. куб. и установкой станции обезжелезования; бурение доп. артскважин (в том числе ПИР)")</f>
        <v>Реконструкция ВЗУ Степанщино Воскресенский м.р., с устройством РЧВ 500 м. куб. и установкой станции обезжелезования; бурение доп. артскважин (в том числе ПИР)</v>
      </c>
      <c r="F112" s="67">
        <f ca="1">IFERROR(__xludf.DUMMYFUNCTION("""COMPUTED_VALUE"""),2020)</f>
        <v>2020</v>
      </c>
      <c r="G112" s="67" t="str">
        <f ca="1">IFERROR(__xludf.DUMMYFUNCTION("""COMPUTED_VALUE"""),"г.о. Воскресенск")</f>
        <v>г.о. Воскресенск</v>
      </c>
      <c r="H112" s="67" t="str">
        <f ca="1">IFERROR(__xludf.DUMMYFUNCTION("""COMPUTED_VALUE"""),"ВЗУ")</f>
        <v>ВЗУ</v>
      </c>
      <c r="I112" s="67"/>
      <c r="J112" s="67"/>
      <c r="K112" s="97">
        <f ca="1">IFERROR(__xludf.DUMMYFUNCTION("""COMPUTED_VALUE"""),6779.03999999999)</f>
        <v>6779.03999999999</v>
      </c>
      <c r="L112" s="97">
        <f ca="1">IFERROR(__xludf.DUMMYFUNCTION("""COMPUTED_VALUE"""),0)</f>
        <v>0</v>
      </c>
      <c r="M112" s="97">
        <f ca="1">IFERROR(__xludf.DUMMYFUNCTION("""COMPUTED_VALUE"""),0)</f>
        <v>0</v>
      </c>
      <c r="N112" s="67"/>
      <c r="O112" s="67"/>
      <c r="P112" s="67" t="str">
        <f ca="1">IFERROR(__xludf.DUMMYFUNCTION("""COMPUTED_VALUE"""),"СМР")</f>
        <v>СМР</v>
      </c>
      <c r="Q112" s="67">
        <f t="shared" ca="1" si="0"/>
        <v>0</v>
      </c>
      <c r="R112" s="67"/>
      <c r="S112" s="67"/>
      <c r="T112" s="67"/>
      <c r="U112" s="67"/>
      <c r="V112" s="67"/>
      <c r="W112" s="67"/>
      <c r="X112" s="67"/>
      <c r="Y112" s="67"/>
      <c r="Z112" s="67"/>
      <c r="AA112" s="67"/>
      <c r="AB112" s="67"/>
      <c r="AC112" s="67"/>
      <c r="AD112" s="67"/>
      <c r="AE112" s="67"/>
      <c r="AF112" s="67"/>
      <c r="AG112" s="67"/>
      <c r="AH112" s="67"/>
      <c r="AI112" s="67"/>
      <c r="AJ112" s="67"/>
      <c r="AK112" s="67"/>
      <c r="AL112" s="67"/>
      <c r="AM112" s="67"/>
    </row>
    <row r="113" spans="1:39" ht="72" hidden="1" x14ac:dyDescent="0.2">
      <c r="A113" s="67"/>
      <c r="B113" s="96"/>
      <c r="C11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3" s="20" t="str">
        <f ca="1">IFERROR(__xludf.DUMMYFUNCTION("""COMPUTED_VALUE"""),"МинЖКХ")</f>
        <v>МинЖКХ</v>
      </c>
      <c r="E113" s="20" t="str">
        <f ca="1">IFERROR(__xludf.DUMMYFUNCTION("""COMPUTED_VALUE"""),"Строительство ВЗУ в  д. Глазово, Серпуховский м.р. (в том числе ПИР)")</f>
        <v>Строительство ВЗУ в  д. Глазово, Серпуховский м.р. (в том числе ПИР)</v>
      </c>
      <c r="F113" s="67">
        <f ca="1">IFERROR(__xludf.DUMMYFUNCTION("""COMPUTED_VALUE"""),2022)</f>
        <v>2022</v>
      </c>
      <c r="G113" s="67" t="str">
        <f ca="1">IFERROR(__xludf.DUMMYFUNCTION("""COMPUTED_VALUE"""),"г.о. Серпухов")</f>
        <v>г.о. Серпухов</v>
      </c>
      <c r="H113" s="67" t="str">
        <f ca="1">IFERROR(__xludf.DUMMYFUNCTION("""COMPUTED_VALUE"""),"ВЗУ")</f>
        <v>ВЗУ</v>
      </c>
      <c r="I113" s="67"/>
      <c r="J113" s="67"/>
      <c r="K113" s="97">
        <f ca="1">IFERROR(__xludf.DUMMYFUNCTION("""COMPUTED_VALUE"""),2412.24)</f>
        <v>2412.2399999999998</v>
      </c>
      <c r="L113" s="97">
        <f ca="1">IFERROR(__xludf.DUMMYFUNCTION("""COMPUTED_VALUE"""),0)</f>
        <v>0</v>
      </c>
      <c r="M113" s="97">
        <f ca="1">IFERROR(__xludf.DUMMYFUNCTION("""COMPUTED_VALUE"""),0)</f>
        <v>0</v>
      </c>
      <c r="N113" s="67"/>
      <c r="O113" s="67"/>
      <c r="P113" s="67" t="str">
        <f ca="1">IFERROR(__xludf.DUMMYFUNCTION("""COMPUTED_VALUE"""),"СМР")</f>
        <v>СМР</v>
      </c>
      <c r="Q113" s="67">
        <f t="shared" ca="1" si="0"/>
        <v>0</v>
      </c>
      <c r="R113" s="67"/>
      <c r="S113" s="67"/>
      <c r="T113" s="67"/>
      <c r="U113" s="67"/>
      <c r="V113" s="67"/>
      <c r="W113" s="67"/>
      <c r="X113" s="67"/>
      <c r="Y113" s="67"/>
      <c r="Z113" s="67"/>
      <c r="AA113" s="67"/>
      <c r="AB113" s="67"/>
      <c r="AC113" s="67"/>
      <c r="AD113" s="67"/>
      <c r="AE113" s="67"/>
      <c r="AF113" s="67"/>
      <c r="AG113" s="67"/>
      <c r="AH113" s="67"/>
      <c r="AI113" s="67"/>
      <c r="AJ113" s="67"/>
      <c r="AK113" s="67"/>
      <c r="AL113" s="67"/>
      <c r="AM113" s="67"/>
    </row>
    <row r="114" spans="1:39" ht="72" hidden="1" x14ac:dyDescent="0.2">
      <c r="A114" s="67"/>
      <c r="B114" s="96"/>
      <c r="C11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4" s="20" t="str">
        <f ca="1">IFERROR(__xludf.DUMMYFUNCTION("""COMPUTED_VALUE"""),"МинЖКХ")</f>
        <v>МинЖКХ</v>
      </c>
      <c r="E114" s="20" t="str">
        <f ca="1">IFERROR(__xludf.DUMMYFUNCTION("""COMPUTED_VALUE"""),"Строительство ВЗУ в д. Селино, д. Вечери, Серпуховский м.р. (в том числе ПИР)")</f>
        <v>Строительство ВЗУ в д. Селино, д. Вечери, Серпуховский м.р. (в том числе ПИР)</v>
      </c>
      <c r="F114" s="67">
        <f ca="1">IFERROR(__xludf.DUMMYFUNCTION("""COMPUTED_VALUE"""),2022)</f>
        <v>2022</v>
      </c>
      <c r="G114" s="67" t="str">
        <f ca="1">IFERROR(__xludf.DUMMYFUNCTION("""COMPUTED_VALUE"""),"г.о. Серпухов")</f>
        <v>г.о. Серпухов</v>
      </c>
      <c r="H114" s="67" t="str">
        <f ca="1">IFERROR(__xludf.DUMMYFUNCTION("""COMPUTED_VALUE"""),"ВЗУ")</f>
        <v>ВЗУ</v>
      </c>
      <c r="I114" s="67"/>
      <c r="J114" s="67"/>
      <c r="K114" s="97">
        <f ca="1">IFERROR(__xludf.DUMMYFUNCTION("""COMPUTED_VALUE"""),1560.37)</f>
        <v>1560.37</v>
      </c>
      <c r="L114" s="97">
        <f ca="1">IFERROR(__xludf.DUMMYFUNCTION("""COMPUTED_VALUE"""),0)</f>
        <v>0</v>
      </c>
      <c r="M114" s="97">
        <f ca="1">IFERROR(__xludf.DUMMYFUNCTION("""COMPUTED_VALUE"""),0)</f>
        <v>0</v>
      </c>
      <c r="N114" s="67"/>
      <c r="O114" s="67"/>
      <c r="P114" s="67" t="str">
        <f ca="1">IFERROR(__xludf.DUMMYFUNCTION("""COMPUTED_VALUE"""),"СМР")</f>
        <v>СМР</v>
      </c>
      <c r="Q114" s="67">
        <f t="shared" ca="1" si="0"/>
        <v>0</v>
      </c>
      <c r="R114" s="67"/>
      <c r="S114" s="67"/>
      <c r="T114" s="67"/>
      <c r="U114" s="67"/>
      <c r="V114" s="67"/>
      <c r="W114" s="67"/>
      <c r="X114" s="67"/>
      <c r="Y114" s="67"/>
      <c r="Z114" s="67"/>
      <c r="AA114" s="67"/>
      <c r="AB114" s="67"/>
      <c r="AC114" s="67"/>
      <c r="AD114" s="67"/>
      <c r="AE114" s="67"/>
      <c r="AF114" s="67"/>
      <c r="AG114" s="67"/>
      <c r="AH114" s="67"/>
      <c r="AI114" s="67"/>
      <c r="AJ114" s="67"/>
      <c r="AK114" s="67"/>
      <c r="AL114" s="67"/>
      <c r="AM114" s="67"/>
    </row>
    <row r="115" spans="1:39" ht="72" hidden="1" x14ac:dyDescent="0.2">
      <c r="A115" s="67"/>
      <c r="B115" s="96"/>
      <c r="C11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5" s="20" t="str">
        <f ca="1">IFERROR(__xludf.DUMMYFUNCTION("""COMPUTED_VALUE"""),"МинЖКХ")</f>
        <v>МинЖКХ</v>
      </c>
      <c r="E115" s="20" t="str">
        <f ca="1">IFERROR(__xludf.DUMMYFUNCTION("""COMPUTED_VALUE"""),"Строительство ВЗУ в д. Б. Грызлово, Серпуховский м.р. (в том числе ПИР)")</f>
        <v>Строительство ВЗУ в д. Б. Грызлово, Серпуховский м.р. (в том числе ПИР)</v>
      </c>
      <c r="F115" s="67">
        <f ca="1">IFERROR(__xludf.DUMMYFUNCTION("""COMPUTED_VALUE"""),2022)</f>
        <v>2022</v>
      </c>
      <c r="G115" s="67" t="str">
        <f ca="1">IFERROR(__xludf.DUMMYFUNCTION("""COMPUTED_VALUE"""),"г.о. Серпухов")</f>
        <v>г.о. Серпухов</v>
      </c>
      <c r="H115" s="67" t="str">
        <f ca="1">IFERROR(__xludf.DUMMYFUNCTION("""COMPUTED_VALUE"""),"ВЗУ")</f>
        <v>ВЗУ</v>
      </c>
      <c r="I115" s="67"/>
      <c r="J115" s="67"/>
      <c r="K115" s="97">
        <f ca="1">IFERROR(__xludf.DUMMYFUNCTION("""COMPUTED_VALUE"""),6085)</f>
        <v>6085</v>
      </c>
      <c r="L115" s="97">
        <f ca="1">IFERROR(__xludf.DUMMYFUNCTION("""COMPUTED_VALUE"""),0)</f>
        <v>0</v>
      </c>
      <c r="M115" s="97">
        <f ca="1">IFERROR(__xludf.DUMMYFUNCTION("""COMPUTED_VALUE"""),0)</f>
        <v>0</v>
      </c>
      <c r="N115" s="67"/>
      <c r="O115" s="67"/>
      <c r="P115" s="67" t="str">
        <f ca="1">IFERROR(__xludf.DUMMYFUNCTION("""COMPUTED_VALUE"""),"СМР")</f>
        <v>СМР</v>
      </c>
      <c r="Q115" s="67">
        <f t="shared" ca="1" si="0"/>
        <v>0</v>
      </c>
      <c r="R115" s="67"/>
      <c r="S115" s="67"/>
      <c r="T115" s="67"/>
      <c r="U115" s="67"/>
      <c r="V115" s="67"/>
      <c r="W115" s="67"/>
      <c r="X115" s="67"/>
      <c r="Y115" s="67"/>
      <c r="Z115" s="67"/>
      <c r="AA115" s="67"/>
      <c r="AB115" s="67"/>
      <c r="AC115" s="67"/>
      <c r="AD115" s="67"/>
      <c r="AE115" s="67"/>
      <c r="AF115" s="67"/>
      <c r="AG115" s="67"/>
      <c r="AH115" s="67"/>
      <c r="AI115" s="67"/>
      <c r="AJ115" s="67"/>
      <c r="AK115" s="67"/>
      <c r="AL115" s="67"/>
      <c r="AM115" s="67"/>
    </row>
    <row r="116" spans="1:39" ht="72" hidden="1" x14ac:dyDescent="0.2">
      <c r="A116" s="67"/>
      <c r="B116" s="100"/>
      <c r="C11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6" s="20" t="str">
        <f ca="1">IFERROR(__xludf.DUMMYFUNCTION("""COMPUTED_VALUE"""),"МинЖКХ")</f>
        <v>МинЖКХ</v>
      </c>
      <c r="E116" s="20" t="str">
        <f ca="1">IFERROR(__xludf.DUMMYFUNCTION("""COMPUTED_VALUE"""),"Строительство ВЗУ в д. Калугино, Серпуховский м.р. (в том числе ПИР)")</f>
        <v>Строительство ВЗУ в д. Калугино, Серпуховский м.р. (в том числе ПИР)</v>
      </c>
      <c r="F116" s="67">
        <f ca="1">IFERROR(__xludf.DUMMYFUNCTION("""COMPUTED_VALUE"""),2022)</f>
        <v>2022</v>
      </c>
      <c r="G116" s="67" t="str">
        <f ca="1">IFERROR(__xludf.DUMMYFUNCTION("""COMPUTED_VALUE"""),"г.о. Серпухов")</f>
        <v>г.о. Серпухов</v>
      </c>
      <c r="H116" s="67" t="str">
        <f ca="1">IFERROR(__xludf.DUMMYFUNCTION("""COMPUTED_VALUE"""),"ВЗУ")</f>
        <v>ВЗУ</v>
      </c>
      <c r="I116" s="67"/>
      <c r="J116" s="67"/>
      <c r="K116" s="97">
        <f ca="1">IFERROR(__xludf.DUMMYFUNCTION("""COMPUTED_VALUE"""),1512.5)</f>
        <v>1512.5</v>
      </c>
      <c r="L116" s="97">
        <f ca="1">IFERROR(__xludf.DUMMYFUNCTION("""COMPUTED_VALUE"""),0)</f>
        <v>0</v>
      </c>
      <c r="M116" s="97">
        <f ca="1">IFERROR(__xludf.DUMMYFUNCTION("""COMPUTED_VALUE"""),0)</f>
        <v>0</v>
      </c>
      <c r="N116" s="67"/>
      <c r="O116" s="67"/>
      <c r="P116" s="67" t="str">
        <f ca="1">IFERROR(__xludf.DUMMYFUNCTION("""COMPUTED_VALUE"""),"СМР")</f>
        <v>СМР</v>
      </c>
      <c r="Q116" s="67">
        <f t="shared" ca="1" si="0"/>
        <v>0</v>
      </c>
      <c r="R116" s="67"/>
      <c r="S116" s="67"/>
      <c r="T116" s="67"/>
      <c r="U116" s="67"/>
      <c r="V116" s="67"/>
      <c r="W116" s="67"/>
      <c r="X116" s="67"/>
      <c r="Y116" s="67"/>
      <c r="Z116" s="67"/>
      <c r="AA116" s="67"/>
      <c r="AB116" s="67"/>
      <c r="AC116" s="67"/>
      <c r="AD116" s="67"/>
      <c r="AE116" s="67"/>
      <c r="AF116" s="67"/>
      <c r="AG116" s="67"/>
      <c r="AH116" s="67"/>
      <c r="AI116" s="67"/>
      <c r="AJ116" s="67"/>
      <c r="AK116" s="67"/>
      <c r="AL116" s="67"/>
      <c r="AM116" s="67"/>
    </row>
    <row r="117" spans="1:39" ht="72" x14ac:dyDescent="0.2">
      <c r="A117" s="67"/>
      <c r="B117" s="100"/>
      <c r="C11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7" s="20" t="str">
        <f ca="1">IFERROR(__xludf.DUMMYFUNCTION("""COMPUTED_VALUE"""),"МинЖКХ")</f>
        <v>МинЖКХ</v>
      </c>
      <c r="E117" s="20" t="str">
        <f ca="1">IFERROR(__xludf.DUMMYFUNCTION("""COMPUTED_VALUE"""),"Реконструкция  ВЗУ №4 с установкой станции водоподготовки , г. Фрязино,  Окружной проезд, дом 2, стр. 1 (ПИР)                                         ")</f>
        <v xml:space="preserve">Реконструкция  ВЗУ №4 с установкой станции водоподготовки , г. Фрязино,  Окружной проезд, дом 2, стр. 1 (ПИР)                                         </v>
      </c>
      <c r="F117" s="67">
        <f ca="1">IFERROR(__xludf.DUMMYFUNCTION("""COMPUTED_VALUE"""),2020)</f>
        <v>2020</v>
      </c>
      <c r="G117" s="67" t="str">
        <f ca="1">IFERROR(__xludf.DUMMYFUNCTION("""COMPUTED_VALUE"""),"г.о. Фрязино")</f>
        <v>г.о. Фрязино</v>
      </c>
      <c r="H117" s="67" t="str">
        <f ca="1">IFERROR(__xludf.DUMMYFUNCTION("""COMPUTED_VALUE"""),"ВЗУ")</f>
        <v>ВЗУ</v>
      </c>
      <c r="I117" s="97">
        <f ca="1">IFERROR(__xludf.DUMMYFUNCTION("""COMPUTED_VALUE"""),14502)</f>
        <v>14502</v>
      </c>
      <c r="J117" s="67"/>
      <c r="K117" s="97">
        <f ca="1">IFERROR(__xludf.DUMMYFUNCTION("""COMPUTED_VALUE"""),146.48)</f>
        <v>146.47999999999999</v>
      </c>
      <c r="L117" s="97">
        <f ca="1">IFERROR(__xludf.DUMMYFUNCTION("""COMPUTED_VALUE"""),0)</f>
        <v>0</v>
      </c>
      <c r="M117" s="97">
        <f ca="1">IFERROR(__xludf.DUMMYFUNCTION("""COMPUTED_VALUE"""),0)</f>
        <v>0</v>
      </c>
      <c r="N117" s="67"/>
      <c r="O117" s="67"/>
      <c r="P117" s="67" t="str">
        <f ca="1">IFERROR(__xludf.DUMMYFUNCTION("""COMPUTED_VALUE"""),"ПИР")</f>
        <v>ПИР</v>
      </c>
      <c r="Q117" s="67">
        <f t="shared" ca="1" si="0"/>
        <v>0</v>
      </c>
      <c r="R117" s="67"/>
      <c r="S117" s="67"/>
      <c r="T117" s="67"/>
      <c r="U117" s="67"/>
      <c r="V117" s="67"/>
      <c r="W117" s="67"/>
      <c r="X117" s="67"/>
      <c r="Y117" s="67"/>
      <c r="Z117" s="67"/>
      <c r="AA117" s="67"/>
      <c r="AB117" s="67"/>
      <c r="AC117" s="67"/>
      <c r="AD117" s="67"/>
      <c r="AE117" s="67"/>
      <c r="AF117" s="67"/>
      <c r="AG117" s="67"/>
      <c r="AH117" s="67"/>
      <c r="AI117" s="67"/>
      <c r="AJ117" s="67"/>
      <c r="AK117" s="67"/>
      <c r="AL117" s="67"/>
      <c r="AM117" s="67"/>
    </row>
    <row r="118" spans="1:39" ht="72" x14ac:dyDescent="0.2">
      <c r="A118" s="67"/>
      <c r="B118" s="100"/>
      <c r="C11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8" s="20" t="str">
        <f ca="1">IFERROR(__xludf.DUMMYFUNCTION("""COMPUTED_VALUE"""),"МинЖКХ")</f>
        <v>МинЖКХ</v>
      </c>
      <c r="E118" s="20" t="str">
        <f ca="1">IFERROR(__xludf.DUMMYFUNCTION("""COMPUTED_VALUE"""),"Реконструкция  ВЗУ №5 с установкой станции водоподготовки, г. Фрязино, пл. Введенского, дом 1, стр. 1   (ПИР)                                            ")</f>
        <v xml:space="preserve">Реконструкция  ВЗУ №5 с установкой станции водоподготовки, г. Фрязино, пл. Введенского, дом 1, стр. 1   (ПИР)                                            </v>
      </c>
      <c r="F118" s="67">
        <f ca="1">IFERROR(__xludf.DUMMYFUNCTION("""COMPUTED_VALUE"""),2020)</f>
        <v>2020</v>
      </c>
      <c r="G118" s="67" t="str">
        <f ca="1">IFERROR(__xludf.DUMMYFUNCTION("""COMPUTED_VALUE"""),"г.о. Фрязино")</f>
        <v>г.о. Фрязино</v>
      </c>
      <c r="H118" s="67" t="str">
        <f ca="1">IFERROR(__xludf.DUMMYFUNCTION("""COMPUTED_VALUE"""),"ВЗУ")</f>
        <v>ВЗУ</v>
      </c>
      <c r="I118" s="97">
        <f ca="1">IFERROR(__xludf.DUMMYFUNCTION("""COMPUTED_VALUE"""),12593)</f>
        <v>12593</v>
      </c>
      <c r="J118" s="67"/>
      <c r="K118" s="97">
        <f ca="1">IFERROR(__xludf.DUMMYFUNCTION("""COMPUTED_VALUE"""),257)</f>
        <v>257</v>
      </c>
      <c r="L118" s="97">
        <f ca="1">IFERROR(__xludf.DUMMYFUNCTION("""COMPUTED_VALUE"""),0)</f>
        <v>0</v>
      </c>
      <c r="M118" s="97">
        <f ca="1">IFERROR(__xludf.DUMMYFUNCTION("""COMPUTED_VALUE"""),0)</f>
        <v>0</v>
      </c>
      <c r="N118" s="67"/>
      <c r="O118" s="67"/>
      <c r="P118" s="67" t="str">
        <f ca="1">IFERROR(__xludf.DUMMYFUNCTION("""COMPUTED_VALUE"""),"ПИР")</f>
        <v>ПИР</v>
      </c>
      <c r="Q118" s="67">
        <f t="shared" ca="1" si="0"/>
        <v>0</v>
      </c>
      <c r="R118" s="67"/>
      <c r="S118" s="67"/>
      <c r="T118" s="67"/>
      <c r="U118" s="67"/>
      <c r="V118" s="67"/>
      <c r="W118" s="67"/>
      <c r="X118" s="67"/>
      <c r="Y118" s="67"/>
      <c r="Z118" s="67"/>
      <c r="AA118" s="67"/>
      <c r="AB118" s="67"/>
      <c r="AC118" s="67"/>
      <c r="AD118" s="67"/>
      <c r="AE118" s="67"/>
      <c r="AF118" s="67"/>
      <c r="AG118" s="67"/>
      <c r="AH118" s="67"/>
      <c r="AI118" s="67"/>
      <c r="AJ118" s="67"/>
      <c r="AK118" s="67"/>
      <c r="AL118" s="67"/>
      <c r="AM118" s="67"/>
    </row>
    <row r="119" spans="1:39" ht="120" x14ac:dyDescent="0.2">
      <c r="A119" s="67"/>
      <c r="B119" s="100"/>
      <c r="C11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9" s="20" t="str">
        <f ca="1">IFERROR(__xludf.DUMMYFUNCTION("""COMPUTED_VALUE"""),"МинЖКХ")</f>
        <v>МинЖКХ</v>
      </c>
      <c r="E119" s="20" t="str">
        <f ca="1">IFERROR(__xludf.DUMMYFUNCTION("""COMPUTED_VALUE"""),"Строительство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f>
        <v>Строительство ВЗУ, РЧВ, станции обезжелезивания производительностью 1500 куб.м./сутки  для нужд многоквартирных  домов  по адресу: городское поселение Раменское,  ул. Северное шоссе, мкр. ЖК "Раменский" (В том числе ПИР и техническое присоединение)</v>
      </c>
      <c r="F119" s="67" t="str">
        <f ca="1">IFERROR(__xludf.DUMMYFUNCTION("""COMPUTED_VALUE"""),"2020-2021")</f>
        <v>2020-2021</v>
      </c>
      <c r="G119" s="67" t="str">
        <f ca="1">IFERROR(__xludf.DUMMYFUNCTION("""COMPUTED_VALUE"""),"г.о. Раменский")</f>
        <v>г.о. Раменский</v>
      </c>
      <c r="H119" s="67" t="str">
        <f ca="1">IFERROR(__xludf.DUMMYFUNCTION("""COMPUTED_VALUE"""),"ВЗУ")</f>
        <v>ВЗУ</v>
      </c>
      <c r="I119" s="97">
        <f ca="1">IFERROR(__xludf.DUMMYFUNCTION("""COMPUTED_VALUE"""),15852.89)</f>
        <v>15852.89</v>
      </c>
      <c r="J119" s="67"/>
      <c r="K119" s="97">
        <f ca="1">IFERROR(__xludf.DUMMYFUNCTION("""COMPUTED_VALUE"""),5365.15)</f>
        <v>5365.15</v>
      </c>
      <c r="L119" s="97">
        <f ca="1">IFERROR(__xludf.DUMMYFUNCTION("""COMPUTED_VALUE"""),7914.33)</f>
        <v>7914.33</v>
      </c>
      <c r="M119" s="97">
        <f ca="1">IFERROR(__xludf.DUMMYFUNCTION("""COMPUTED_VALUE"""),0)</f>
        <v>0</v>
      </c>
      <c r="N119" s="97">
        <f ca="1">IFERROR(__xludf.DUMMYFUNCTION("""COMPUTED_VALUE"""),0)</f>
        <v>0</v>
      </c>
      <c r="O119" s="97">
        <f ca="1">IFERROR(__xludf.DUMMYFUNCTION("""COMPUTED_VALUE"""),7518.61)</f>
        <v>7518.61</v>
      </c>
      <c r="P119" s="67" t="str">
        <f ca="1">IFERROR(__xludf.DUMMYFUNCTION("""COMPUTED_VALUE"""),"СМР")</f>
        <v>СМР</v>
      </c>
      <c r="Q119" s="67">
        <f t="shared" ca="1" si="0"/>
        <v>0</v>
      </c>
      <c r="R119" s="67"/>
      <c r="S119" s="67"/>
      <c r="T119" s="67"/>
      <c r="U119" s="67"/>
      <c r="V119" s="67"/>
      <c r="W119" s="67"/>
      <c r="X119" s="67"/>
      <c r="Y119" s="67"/>
      <c r="Z119" s="67"/>
      <c r="AA119" s="67"/>
      <c r="AB119" s="67"/>
      <c r="AC119" s="67"/>
      <c r="AD119" s="67"/>
      <c r="AE119" s="67"/>
      <c r="AF119" s="67"/>
      <c r="AG119" s="67"/>
      <c r="AH119" s="67"/>
      <c r="AI119" s="67"/>
      <c r="AJ119" s="67"/>
      <c r="AK119" s="67"/>
      <c r="AL119" s="67"/>
      <c r="AM119" s="67"/>
    </row>
    <row r="120" spans="1:39" ht="72" x14ac:dyDescent="0.2">
      <c r="A120" s="67"/>
      <c r="B120" s="100"/>
      <c r="C12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0" s="20" t="str">
        <f ca="1">IFERROR(__xludf.DUMMYFUNCTION("""COMPUTED_VALUE"""),"МинЖКХ")</f>
        <v>МинЖКХ</v>
      </c>
      <c r="E120" s="20" t="str">
        <f ca="1">IFERROR(__xludf.DUMMYFUNCTION("""COMPUTED_VALUE"""),"Реконструкция и модернизация комплекса сооружений водопроводной насосной станции №5 (ВЗУ№5) ,  г. Жуковский")</f>
        <v>Реконструкция и модернизация комплекса сооружений водопроводной насосной станции №5 (ВЗУ№5) ,  г. Жуковский</v>
      </c>
      <c r="F120" s="67" t="str">
        <f ca="1">IFERROR(__xludf.DUMMYFUNCTION("""COMPUTED_VALUE"""),"2020-2022")</f>
        <v>2020-2022</v>
      </c>
      <c r="G120" s="67" t="str">
        <f ca="1">IFERROR(__xludf.DUMMYFUNCTION("""COMPUTED_VALUE"""),"г.о. Жуковский")</f>
        <v>г.о. Жуковский</v>
      </c>
      <c r="H120" s="67" t="str">
        <f ca="1">IFERROR(__xludf.DUMMYFUNCTION("""COMPUTED_VALUE"""),"ВЗУ")</f>
        <v>ВЗУ</v>
      </c>
      <c r="I120" s="97">
        <f ca="1">IFERROR(__xludf.DUMMYFUNCTION("""COMPUTED_VALUE"""),59359.06)</f>
        <v>59359.06</v>
      </c>
      <c r="J120" s="67"/>
      <c r="K120" s="97">
        <f ca="1">IFERROR(__xludf.DUMMYFUNCTION("""COMPUTED_VALUE"""),15131.14)</f>
        <v>15131.14</v>
      </c>
      <c r="L120" s="97">
        <f ca="1">IFERROR(__xludf.DUMMYFUNCTION("""COMPUTED_VALUE"""),0)</f>
        <v>0</v>
      </c>
      <c r="M120" s="97">
        <f ca="1">IFERROR(__xludf.DUMMYFUNCTION("""COMPUTED_VALUE"""),0)</f>
        <v>0</v>
      </c>
      <c r="N120" s="67"/>
      <c r="O120" s="67"/>
      <c r="P120" s="67" t="str">
        <f ca="1">IFERROR(__xludf.DUMMYFUNCTION("""COMPUTED_VALUE"""),"СМР")</f>
        <v>СМР</v>
      </c>
      <c r="Q120" s="67">
        <f t="shared" ca="1" si="0"/>
        <v>0</v>
      </c>
      <c r="R120" s="67"/>
      <c r="S120" s="67"/>
      <c r="T120" s="67"/>
      <c r="U120" s="67"/>
      <c r="V120" s="67"/>
      <c r="W120" s="67"/>
      <c r="X120" s="67"/>
      <c r="Y120" s="67"/>
      <c r="Z120" s="67"/>
      <c r="AA120" s="67"/>
      <c r="AB120" s="67"/>
      <c r="AC120" s="67"/>
      <c r="AD120" s="67"/>
      <c r="AE120" s="67"/>
      <c r="AF120" s="67"/>
      <c r="AG120" s="67"/>
      <c r="AH120" s="67"/>
      <c r="AI120" s="67"/>
      <c r="AJ120" s="67"/>
      <c r="AK120" s="67"/>
      <c r="AL120" s="67"/>
      <c r="AM120" s="67"/>
    </row>
    <row r="121" spans="1:39" ht="108" x14ac:dyDescent="0.2">
      <c r="A121" s="67"/>
      <c r="B121" s="96"/>
      <c r="C12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1" s="20" t="str">
        <f ca="1">IFERROR(__xludf.DUMMYFUNCTION("""COMPUTED_VALUE"""),"МинЖКХ")</f>
        <v>МинЖКХ</v>
      </c>
      <c r="E121" s="20" t="str">
        <f ca="1">IFERROR(__xludf.DUMMYFUNCTION("""COMPUTED_VALUE"""),"Строительство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f>
        <v>Строительство станции обезжелезивания на ВЗУ № 2 Шлюзовый переулок городского поселения Яхрома Дмитровского муниципального района Московской области (в том числе погашение кредиторской задолженности - 6 580,15 тыс.руб. )</v>
      </c>
      <c r="F121" s="67">
        <f ca="1">IFERROR(__xludf.DUMMYFUNCTION("""COMPUTED_VALUE"""),2020)</f>
        <v>2020</v>
      </c>
      <c r="G121" s="67" t="str">
        <f ca="1">IFERROR(__xludf.DUMMYFUNCTION("""COMPUTED_VALUE"""),"г.о. Дмитровский")</f>
        <v>г.о. Дмитровский</v>
      </c>
      <c r="H121" s="67" t="str">
        <f ca="1">IFERROR(__xludf.DUMMYFUNCTION("""COMPUTED_VALUE"""),"ВЗУ")</f>
        <v>ВЗУ</v>
      </c>
      <c r="I121" s="97">
        <f ca="1">IFERROR(__xludf.DUMMYFUNCTION("""COMPUTED_VALUE"""),13172.33)</f>
        <v>13172.33</v>
      </c>
      <c r="J121" s="67"/>
      <c r="K121" s="97">
        <f ca="1">IFERROR(__xludf.DUMMYFUNCTION("""COMPUTED_VALUE"""),7880.17)</f>
        <v>7880.17</v>
      </c>
      <c r="L121" s="97">
        <f ca="1">IFERROR(__xludf.DUMMYFUNCTION("""COMPUTED_VALUE"""),5530.58)</f>
        <v>5530.58</v>
      </c>
      <c r="M121" s="97">
        <f ca="1">IFERROR(__xludf.DUMMYFUNCTION("""COMPUTED_VALUE"""),0)</f>
        <v>0</v>
      </c>
      <c r="N121" s="97">
        <f ca="1">IFERROR(__xludf.DUMMYFUNCTION("""COMPUTED_VALUE"""),0)</f>
        <v>0</v>
      </c>
      <c r="O121" s="97">
        <f ca="1">IFERROR(__xludf.DUMMYFUNCTION("""COMPUTED_VALUE"""),1896.15)</f>
        <v>1896.15</v>
      </c>
      <c r="P121" s="67" t="str">
        <f ca="1">IFERROR(__xludf.DUMMYFUNCTION("""COMPUTED_VALUE"""),"СМР")</f>
        <v>СМР</v>
      </c>
      <c r="Q121" s="67">
        <f t="shared" ca="1" si="0"/>
        <v>0</v>
      </c>
      <c r="R121" s="67"/>
      <c r="S121" s="67"/>
      <c r="T121" s="67"/>
      <c r="U121" s="67"/>
      <c r="V121" s="67"/>
      <c r="W121" s="67"/>
      <c r="X121" s="67"/>
      <c r="Y121" s="67"/>
      <c r="Z121" s="67"/>
      <c r="AA121" s="67"/>
      <c r="AB121" s="67"/>
      <c r="AC121" s="67"/>
      <c r="AD121" s="67"/>
      <c r="AE121" s="67"/>
      <c r="AF121" s="67"/>
      <c r="AG121" s="67"/>
      <c r="AH121" s="67"/>
      <c r="AI121" s="67"/>
      <c r="AJ121" s="67"/>
      <c r="AK121" s="67"/>
      <c r="AL121" s="67"/>
      <c r="AM121" s="67"/>
    </row>
    <row r="122" spans="1:39" ht="72" hidden="1" x14ac:dyDescent="0.2">
      <c r="A122" s="67"/>
      <c r="B122" s="96"/>
      <c r="C12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2" s="20" t="str">
        <f ca="1">IFERROR(__xludf.DUMMYFUNCTION("""COMPUTED_VALUE"""),"МинЖКХ")</f>
        <v>МинЖКХ</v>
      </c>
      <c r="E122" s="20" t="str">
        <f ca="1">IFERROR(__xludf.DUMMYFUNCTION("""COMPUTED_VALUE"""),"Строительство 2х скважин в п.Новый Снопок (в т.ч.  ПИР и разрешительная документация)")</f>
        <v>Строительство 2х скважин в п.Новый Снопок (в т.ч.  ПИР и разрешительная документация)</v>
      </c>
      <c r="F122" s="67">
        <f ca="1">IFERROR(__xludf.DUMMYFUNCTION("""COMPUTED_VALUE"""),2023)</f>
        <v>2023</v>
      </c>
      <c r="G122" s="67" t="str">
        <f ca="1">IFERROR(__xludf.DUMMYFUNCTION("""COMPUTED_VALUE"""),"г.о. Орехово-Зуево")</f>
        <v>г.о. Орехово-Зуево</v>
      </c>
      <c r="H122" s="67" t="str">
        <f ca="1">IFERROR(__xludf.DUMMYFUNCTION("""COMPUTED_VALUE"""),"ВЗУ")</f>
        <v>ВЗУ</v>
      </c>
      <c r="I122" s="67"/>
      <c r="J122" s="67"/>
      <c r="K122" s="97">
        <f ca="1">IFERROR(__xludf.DUMMYFUNCTION("""COMPUTED_VALUE"""),700)</f>
        <v>700</v>
      </c>
      <c r="L122" s="97">
        <f ca="1">IFERROR(__xludf.DUMMYFUNCTION("""COMPUTED_VALUE"""),0)</f>
        <v>0</v>
      </c>
      <c r="M122" s="97">
        <f ca="1">IFERROR(__xludf.DUMMYFUNCTION("""COMPUTED_VALUE"""),0)</f>
        <v>0</v>
      </c>
      <c r="N122" s="67"/>
      <c r="O122" s="67"/>
      <c r="P122" s="67" t="str">
        <f ca="1">IFERROR(__xludf.DUMMYFUNCTION("""COMPUTED_VALUE"""),"СМР")</f>
        <v>СМР</v>
      </c>
      <c r="Q122" s="67">
        <f t="shared" ca="1" si="0"/>
        <v>0</v>
      </c>
      <c r="R122" s="67"/>
      <c r="S122" s="67"/>
      <c r="T122" s="67"/>
      <c r="U122" s="67"/>
      <c r="V122" s="67"/>
      <c r="W122" s="67"/>
      <c r="X122" s="67"/>
      <c r="Y122" s="67"/>
      <c r="Z122" s="67"/>
      <c r="AA122" s="67"/>
      <c r="AB122" s="67"/>
      <c r="AC122" s="67"/>
      <c r="AD122" s="67"/>
      <c r="AE122" s="67"/>
      <c r="AF122" s="67"/>
      <c r="AG122" s="67"/>
      <c r="AH122" s="67"/>
      <c r="AI122" s="67"/>
      <c r="AJ122" s="67"/>
      <c r="AK122" s="67"/>
      <c r="AL122" s="67"/>
      <c r="AM122" s="67"/>
    </row>
    <row r="123" spans="1:39" ht="72" hidden="1" x14ac:dyDescent="0.2">
      <c r="A123" s="67"/>
      <c r="B123" s="96"/>
      <c r="C12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3" s="20" t="str">
        <f ca="1">IFERROR(__xludf.DUMMYFUNCTION("""COMPUTED_VALUE"""),"МинЖКХ")</f>
        <v>МинЖКХ</v>
      </c>
      <c r="E123" s="20" t="str">
        <f ca="1">IFERROR(__xludf.DUMMYFUNCTION("""COMPUTED_VALUE"""),"Строительство 2х скважин  в п.Озерецкий (в т.ч. ПИР и разрешительная документация)")</f>
        <v>Строительство 2х скважин  в п.Озерецкий (в т.ч. ПИР и разрешительная документация)</v>
      </c>
      <c r="F123" s="67">
        <f ca="1">IFERROR(__xludf.DUMMYFUNCTION("""COMPUTED_VALUE"""),2023)</f>
        <v>2023</v>
      </c>
      <c r="G123" s="67" t="str">
        <f ca="1">IFERROR(__xludf.DUMMYFUNCTION("""COMPUTED_VALUE"""),"г.о. Орехово-Зуево")</f>
        <v>г.о. Орехово-Зуево</v>
      </c>
      <c r="H123" s="67" t="str">
        <f ca="1">IFERROR(__xludf.DUMMYFUNCTION("""COMPUTED_VALUE"""),"ВЗУ")</f>
        <v>ВЗУ</v>
      </c>
      <c r="I123" s="67"/>
      <c r="J123" s="67"/>
      <c r="K123" s="97">
        <f ca="1">IFERROR(__xludf.DUMMYFUNCTION("""COMPUTED_VALUE"""),700)</f>
        <v>700</v>
      </c>
      <c r="L123" s="97">
        <f ca="1">IFERROR(__xludf.DUMMYFUNCTION("""COMPUTED_VALUE"""),0)</f>
        <v>0</v>
      </c>
      <c r="M123" s="97">
        <f ca="1">IFERROR(__xludf.DUMMYFUNCTION("""COMPUTED_VALUE"""),0)</f>
        <v>0</v>
      </c>
      <c r="N123" s="67"/>
      <c r="O123" s="67"/>
      <c r="P123" s="67" t="str">
        <f ca="1">IFERROR(__xludf.DUMMYFUNCTION("""COMPUTED_VALUE"""),"СМР")</f>
        <v>СМР</v>
      </c>
      <c r="Q123" s="67">
        <f t="shared" ca="1" si="0"/>
        <v>0</v>
      </c>
      <c r="R123" s="67"/>
      <c r="S123" s="67"/>
      <c r="T123" s="67"/>
      <c r="U123" s="67"/>
      <c r="V123" s="67"/>
      <c r="W123" s="67"/>
      <c r="X123" s="67"/>
      <c r="Y123" s="67"/>
      <c r="Z123" s="67"/>
      <c r="AA123" s="67"/>
      <c r="AB123" s="67"/>
      <c r="AC123" s="67"/>
      <c r="AD123" s="67"/>
      <c r="AE123" s="67"/>
      <c r="AF123" s="67"/>
      <c r="AG123" s="67"/>
      <c r="AH123" s="67"/>
      <c r="AI123" s="67"/>
      <c r="AJ123" s="67"/>
      <c r="AK123" s="67"/>
      <c r="AL123" s="67"/>
      <c r="AM123" s="67"/>
    </row>
    <row r="124" spans="1:39" ht="72" hidden="1" x14ac:dyDescent="0.2">
      <c r="A124" s="67"/>
      <c r="B124" s="96"/>
      <c r="C12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4" s="20" t="str">
        <f ca="1">IFERROR(__xludf.DUMMYFUNCTION("""COMPUTED_VALUE"""),"МинЖКХ")</f>
        <v>МинЖКХ</v>
      </c>
      <c r="E124" s="20" t="str">
        <f ca="1">IFERROR(__xludf.DUMMYFUNCTION("""COMPUTED_VALUE"""),"Строительство 2х скважин в п.Малая Дубна (в т.ч.  ПИР и разрешительная документация)")</f>
        <v>Строительство 2х скважин в п.Малая Дубна (в т.ч.  ПИР и разрешительная документация)</v>
      </c>
      <c r="F124" s="67">
        <f ca="1">IFERROR(__xludf.DUMMYFUNCTION("""COMPUTED_VALUE"""),2023)</f>
        <v>2023</v>
      </c>
      <c r="G124" s="67" t="str">
        <f ca="1">IFERROR(__xludf.DUMMYFUNCTION("""COMPUTED_VALUE"""),"г.о. Орехово-Зуево")</f>
        <v>г.о. Орехово-Зуево</v>
      </c>
      <c r="H124" s="67" t="str">
        <f ca="1">IFERROR(__xludf.DUMMYFUNCTION("""COMPUTED_VALUE"""),"ВЗУ")</f>
        <v>ВЗУ</v>
      </c>
      <c r="I124" s="67"/>
      <c r="J124" s="67"/>
      <c r="K124" s="97">
        <f ca="1">IFERROR(__xludf.DUMMYFUNCTION("""COMPUTED_VALUE"""),700)</f>
        <v>700</v>
      </c>
      <c r="L124" s="97">
        <f ca="1">IFERROR(__xludf.DUMMYFUNCTION("""COMPUTED_VALUE"""),0)</f>
        <v>0</v>
      </c>
      <c r="M124" s="97">
        <f ca="1">IFERROR(__xludf.DUMMYFUNCTION("""COMPUTED_VALUE"""),0)</f>
        <v>0</v>
      </c>
      <c r="N124" s="67"/>
      <c r="O124" s="67"/>
      <c r="P124" s="67" t="str">
        <f ca="1">IFERROR(__xludf.DUMMYFUNCTION("""COMPUTED_VALUE"""),"СМР")</f>
        <v>СМР</v>
      </c>
      <c r="Q124" s="67">
        <f t="shared" ca="1" si="0"/>
        <v>0</v>
      </c>
      <c r="R124" s="67"/>
      <c r="S124" s="67"/>
      <c r="T124" s="67"/>
      <c r="U124" s="67"/>
      <c r="V124" s="67"/>
      <c r="W124" s="67"/>
      <c r="X124" s="67"/>
      <c r="Y124" s="67"/>
      <c r="Z124" s="67"/>
      <c r="AA124" s="67"/>
      <c r="AB124" s="67"/>
      <c r="AC124" s="67"/>
      <c r="AD124" s="67"/>
      <c r="AE124" s="67"/>
      <c r="AF124" s="67"/>
      <c r="AG124" s="67"/>
      <c r="AH124" s="67"/>
      <c r="AI124" s="67"/>
      <c r="AJ124" s="67"/>
      <c r="AK124" s="67"/>
      <c r="AL124" s="67"/>
      <c r="AM124" s="67"/>
    </row>
    <row r="125" spans="1:39" ht="72" hidden="1" x14ac:dyDescent="0.2">
      <c r="A125" s="67"/>
      <c r="B125" s="96"/>
      <c r="C12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5" s="20" t="str">
        <f ca="1">IFERROR(__xludf.DUMMYFUNCTION("""COMPUTED_VALUE"""),"МинЖКХ")</f>
        <v>МинЖКХ</v>
      </c>
      <c r="E125" s="20" t="str">
        <f ca="1">IFERROR(__xludf.DUMMYFUNCTION("""COMPUTED_VALUE"""),"Строительство 1 скважины в м. Крольчатник (в т.ч. ПИР и  разрешительная документация)")</f>
        <v>Строительство 1 скважины в м. Крольчатник (в т.ч. ПИР и  разрешительная документация)</v>
      </c>
      <c r="F125" s="67">
        <f ca="1">IFERROR(__xludf.DUMMYFUNCTION("""COMPUTED_VALUE"""),2023)</f>
        <v>2023</v>
      </c>
      <c r="G125" s="67" t="str">
        <f ca="1">IFERROR(__xludf.DUMMYFUNCTION("""COMPUTED_VALUE"""),"г.о. Орехово-Зуево")</f>
        <v>г.о. Орехово-Зуево</v>
      </c>
      <c r="H125" s="67" t="str">
        <f ca="1">IFERROR(__xludf.DUMMYFUNCTION("""COMPUTED_VALUE"""),"ВЗУ")</f>
        <v>ВЗУ</v>
      </c>
      <c r="I125" s="67"/>
      <c r="J125" s="67"/>
      <c r="K125" s="97">
        <f ca="1">IFERROR(__xludf.DUMMYFUNCTION("""COMPUTED_VALUE"""),350)</f>
        <v>350</v>
      </c>
      <c r="L125" s="97">
        <f ca="1">IFERROR(__xludf.DUMMYFUNCTION("""COMPUTED_VALUE"""),0)</f>
        <v>0</v>
      </c>
      <c r="M125" s="97">
        <f ca="1">IFERROR(__xludf.DUMMYFUNCTION("""COMPUTED_VALUE"""),0)</f>
        <v>0</v>
      </c>
      <c r="N125" s="67"/>
      <c r="O125" s="67"/>
      <c r="P125" s="67" t="str">
        <f ca="1">IFERROR(__xludf.DUMMYFUNCTION("""COMPUTED_VALUE"""),"СМР")</f>
        <v>СМР</v>
      </c>
      <c r="Q125" s="67">
        <f t="shared" ca="1" si="0"/>
        <v>0</v>
      </c>
      <c r="R125" s="67"/>
      <c r="S125" s="67"/>
      <c r="T125" s="67"/>
      <c r="U125" s="67"/>
      <c r="V125" s="67"/>
      <c r="W125" s="67"/>
      <c r="X125" s="67"/>
      <c r="Y125" s="67"/>
      <c r="Z125" s="67"/>
      <c r="AA125" s="67"/>
      <c r="AB125" s="67"/>
      <c r="AC125" s="67"/>
      <c r="AD125" s="67"/>
      <c r="AE125" s="67"/>
      <c r="AF125" s="67"/>
      <c r="AG125" s="67"/>
      <c r="AH125" s="67"/>
      <c r="AI125" s="67"/>
      <c r="AJ125" s="67"/>
      <c r="AK125" s="67"/>
      <c r="AL125" s="67"/>
      <c r="AM125" s="67"/>
    </row>
    <row r="126" spans="1:39" ht="72" hidden="1" x14ac:dyDescent="0.2">
      <c r="A126" s="67"/>
      <c r="B126" s="96"/>
      <c r="C1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6" s="20" t="str">
        <f ca="1">IFERROR(__xludf.DUMMYFUNCTION("""COMPUTED_VALUE"""),"МинЖКХ")</f>
        <v>МинЖКХ</v>
      </c>
      <c r="E126" s="20" t="str">
        <f ca="1">IFERROR(__xludf.DUMMYFUNCTION("""COMPUTED_VALUE"""),"Строительство ВЗУ  в местечке Крольчатник  г.о. Орехово-Зуево")</f>
        <v>Строительство ВЗУ  в местечке Крольчатник  г.о. Орехово-Зуево</v>
      </c>
      <c r="F126" s="67">
        <f ca="1">IFERROR(__xludf.DUMMYFUNCTION("""COMPUTED_VALUE"""),2023)</f>
        <v>2023</v>
      </c>
      <c r="G126" s="67" t="str">
        <f ca="1">IFERROR(__xludf.DUMMYFUNCTION("""COMPUTED_VALUE"""),"г.о. Орехово-Зуево")</f>
        <v>г.о. Орехово-Зуево</v>
      </c>
      <c r="H126" s="67" t="str">
        <f ca="1">IFERROR(__xludf.DUMMYFUNCTION("""COMPUTED_VALUE"""),"ВЗУ")</f>
        <v>ВЗУ</v>
      </c>
      <c r="I126" s="67"/>
      <c r="J126" s="67"/>
      <c r="K126" s="97">
        <f ca="1">IFERROR(__xludf.DUMMYFUNCTION("""COMPUTED_VALUE"""),75.11)</f>
        <v>75.11</v>
      </c>
      <c r="L126" s="97">
        <f ca="1">IFERROR(__xludf.DUMMYFUNCTION("""COMPUTED_VALUE"""),0)</f>
        <v>0</v>
      </c>
      <c r="M126" s="97">
        <f ca="1">IFERROR(__xludf.DUMMYFUNCTION("""COMPUTED_VALUE"""),0)</f>
        <v>0</v>
      </c>
      <c r="N126" s="67"/>
      <c r="O126" s="67"/>
      <c r="P126" s="67" t="str">
        <f ca="1">IFERROR(__xludf.DUMMYFUNCTION("""COMPUTED_VALUE"""),"СМР")</f>
        <v>СМР</v>
      </c>
      <c r="Q126" s="67">
        <f t="shared" ca="1" si="0"/>
        <v>0</v>
      </c>
      <c r="R126" s="67"/>
      <c r="S126" s="67"/>
      <c r="T126" s="67"/>
      <c r="U126" s="67"/>
      <c r="V126" s="67"/>
      <c r="W126" s="67"/>
      <c r="X126" s="67"/>
      <c r="Y126" s="67"/>
      <c r="Z126" s="67"/>
      <c r="AA126" s="67"/>
      <c r="AB126" s="67"/>
      <c r="AC126" s="67"/>
      <c r="AD126" s="67"/>
      <c r="AE126" s="67"/>
      <c r="AF126" s="67"/>
      <c r="AG126" s="67"/>
      <c r="AH126" s="67"/>
      <c r="AI126" s="67"/>
      <c r="AJ126" s="67"/>
      <c r="AK126" s="67"/>
      <c r="AL126" s="67"/>
      <c r="AM126" s="67"/>
    </row>
    <row r="127" spans="1:39" ht="72" hidden="1" x14ac:dyDescent="0.2">
      <c r="A127" s="67"/>
      <c r="B127" s="100"/>
      <c r="C1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7" s="20" t="str">
        <f ca="1">IFERROR(__xludf.DUMMYFUNCTION("""COMPUTED_VALUE"""),"МинЖКХ")</f>
        <v>МинЖКХ</v>
      </c>
      <c r="E127" s="20" t="str">
        <f ca="1">IFERROR(__xludf.DUMMYFUNCTION("""COMPUTED_VALUE"""),"Реконструкция системы водоснабжения с установкой оборудования водоподготовки, ВЗУ №3 гп Фряново Щелковского района Московсой области (ПИР)")</f>
        <v>Реконструкция системы водоснабжения с установкой оборудования водоподготовки, ВЗУ №3 гп Фряново Щелковского района Московсой области (ПИР)</v>
      </c>
      <c r="F127" s="67" t="str">
        <f ca="1">IFERROR(__xludf.DUMMYFUNCTION("""COMPUTED_VALUE"""),"Н/Л")</f>
        <v>Н/Л</v>
      </c>
      <c r="G127" s="67" t="str">
        <f ca="1">IFERROR(__xludf.DUMMYFUNCTION("""COMPUTED_VALUE"""),"г.о. Щелково")</f>
        <v>г.о. Щелково</v>
      </c>
      <c r="H127" s="67" t="str">
        <f ca="1">IFERROR(__xludf.DUMMYFUNCTION("""COMPUTED_VALUE"""),"ВЗУ")</f>
        <v>ВЗУ</v>
      </c>
      <c r="I127" s="67"/>
      <c r="J127" s="67"/>
      <c r="K127" s="97">
        <f ca="1">IFERROR(__xludf.DUMMYFUNCTION("""COMPUTED_VALUE"""),0)</f>
        <v>0</v>
      </c>
      <c r="L127" s="97">
        <f ca="1">IFERROR(__xludf.DUMMYFUNCTION("""COMPUTED_VALUE"""),0)</f>
        <v>0</v>
      </c>
      <c r="M127" s="97">
        <f ca="1">IFERROR(__xludf.DUMMYFUNCTION("""COMPUTED_VALUE"""),0)</f>
        <v>0</v>
      </c>
      <c r="N127" s="67"/>
      <c r="O127" s="67"/>
      <c r="P127" s="67" t="str">
        <f ca="1">IFERROR(__xludf.DUMMYFUNCTION("""COMPUTED_VALUE"""),"ПИР")</f>
        <v>ПИР</v>
      </c>
      <c r="Q127" s="67" t="e">
        <f t="shared" ca="1" si="0"/>
        <v>#DIV/0!</v>
      </c>
      <c r="R127" s="67"/>
      <c r="S127" s="67"/>
      <c r="T127" s="67"/>
      <c r="U127" s="67"/>
      <c r="V127" s="67"/>
      <c r="W127" s="67"/>
      <c r="X127" s="67"/>
      <c r="Y127" s="67"/>
      <c r="Z127" s="67"/>
      <c r="AA127" s="67"/>
      <c r="AB127" s="67"/>
      <c r="AC127" s="67"/>
      <c r="AD127" s="67"/>
      <c r="AE127" s="67"/>
      <c r="AF127" s="67"/>
      <c r="AG127" s="67"/>
      <c r="AH127" s="67"/>
      <c r="AI127" s="67"/>
      <c r="AJ127" s="67"/>
      <c r="AK127" s="67"/>
      <c r="AL127" s="67"/>
      <c r="AM127" s="67"/>
    </row>
    <row r="128" spans="1:39" ht="72" x14ac:dyDescent="0.2">
      <c r="A128" s="67"/>
      <c r="B128" s="96"/>
      <c r="C1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8" s="20" t="str">
        <f ca="1">IFERROR(__xludf.DUMMYFUNCTION("""COMPUTED_VALUE"""),"МинЖКХ")</f>
        <v>МинЖКХ</v>
      </c>
      <c r="E128" s="20" t="str">
        <f ca="1">IFERROR(__xludf.DUMMYFUNCTION("""COMPUTED_VALUE"""),"Реконструкция ВЗУ №1 и ВЗУ №3 г.о. Дзержинский (ПИР)")</f>
        <v>Реконструкция ВЗУ №1 и ВЗУ №3 г.о. Дзержинский (ПИР)</v>
      </c>
      <c r="F128" s="67">
        <f ca="1">IFERROR(__xludf.DUMMYFUNCTION("""COMPUTED_VALUE"""),2020)</f>
        <v>2020</v>
      </c>
      <c r="G128" s="67" t="str">
        <f ca="1">IFERROR(__xludf.DUMMYFUNCTION("""COMPUTED_VALUE"""),"г.о. Дзержинский")</f>
        <v>г.о. Дзержинский</v>
      </c>
      <c r="H128" s="67" t="str">
        <f ca="1">IFERROR(__xludf.DUMMYFUNCTION("""COMPUTED_VALUE"""),"ВЗУ")</f>
        <v>ВЗУ</v>
      </c>
      <c r="I128" s="67"/>
      <c r="J128" s="67"/>
      <c r="K128" s="97">
        <f ca="1">IFERROR(__xludf.DUMMYFUNCTION("""COMPUTED_VALUE"""),2599.78)</f>
        <v>2599.7800000000002</v>
      </c>
      <c r="L128" s="97">
        <f ca="1">IFERROR(__xludf.DUMMYFUNCTION("""COMPUTED_VALUE"""),0)</f>
        <v>0</v>
      </c>
      <c r="M128" s="97">
        <f ca="1">IFERROR(__xludf.DUMMYFUNCTION("""COMPUTED_VALUE"""),0)</f>
        <v>0</v>
      </c>
      <c r="N128" s="67"/>
      <c r="O128" s="67"/>
      <c r="P128" s="67" t="str">
        <f ca="1">IFERROR(__xludf.DUMMYFUNCTION("""COMPUTED_VALUE"""),"ПИР")</f>
        <v>ПИР</v>
      </c>
      <c r="Q128" s="67">
        <f t="shared" ca="1" si="0"/>
        <v>0</v>
      </c>
      <c r="R128" s="67"/>
      <c r="S128" s="67"/>
      <c r="T128" s="67"/>
      <c r="U128" s="67"/>
      <c r="V128" s="67"/>
      <c r="W128" s="67"/>
      <c r="X128" s="67"/>
      <c r="Y128" s="67"/>
      <c r="Z128" s="67"/>
      <c r="AA128" s="67"/>
      <c r="AB128" s="67"/>
      <c r="AC128" s="67"/>
      <c r="AD128" s="67"/>
      <c r="AE128" s="67"/>
      <c r="AF128" s="67"/>
      <c r="AG128" s="67"/>
      <c r="AH128" s="67"/>
      <c r="AI128" s="67"/>
      <c r="AJ128" s="67"/>
      <c r="AK128" s="67"/>
      <c r="AL128" s="67"/>
      <c r="AM128" s="67"/>
    </row>
    <row r="129" spans="1:39" ht="72" hidden="1" x14ac:dyDescent="0.2">
      <c r="A129" s="67"/>
      <c r="B129" s="100"/>
      <c r="C1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9" s="20" t="str">
        <f ca="1">IFERROR(__xludf.DUMMYFUNCTION("""COMPUTED_VALUE"""),"МинЖКХ")</f>
        <v>МинЖКХ</v>
      </c>
      <c r="E129" s="20" t="str">
        <f ca="1">IFERROR(__xludf.DUMMYFUNCTION("""COMPUTED_VALUE"""),"Строительство и реконструкция артезианских скважин г.о. Шатура (бывшая территория г.о. Рошаль) ПИР")</f>
        <v>Строительство и реконструкция артезианских скважин г.о. Шатура (бывшая территория г.о. Рошаль) ПИР</v>
      </c>
      <c r="F129" s="67" t="str">
        <f ca="1">IFERROR(__xludf.DUMMYFUNCTION("""COMPUTED_VALUE"""),"Н/Л")</f>
        <v>Н/Л</v>
      </c>
      <c r="G129" s="67" t="str">
        <f ca="1">IFERROR(__xludf.DUMMYFUNCTION("""COMPUTED_VALUE"""),"г.о. Шатура")</f>
        <v>г.о. Шатура</v>
      </c>
      <c r="H129" s="67" t="str">
        <f ca="1">IFERROR(__xludf.DUMMYFUNCTION("""COMPUTED_VALUE"""),"ВЗУ")</f>
        <v>ВЗУ</v>
      </c>
      <c r="I129" s="67"/>
      <c r="J129" s="67"/>
      <c r="K129" s="97">
        <f ca="1">IFERROR(__xludf.DUMMYFUNCTION("""COMPUTED_VALUE"""),308.81)</f>
        <v>308.81</v>
      </c>
      <c r="L129" s="97">
        <f ca="1">IFERROR(__xludf.DUMMYFUNCTION("""COMPUTED_VALUE"""),0)</f>
        <v>0</v>
      </c>
      <c r="M129" s="97">
        <f ca="1">IFERROR(__xludf.DUMMYFUNCTION("""COMPUTED_VALUE"""),0)</f>
        <v>0</v>
      </c>
      <c r="N129" s="67"/>
      <c r="O129" s="67"/>
      <c r="P129" s="67" t="str">
        <f ca="1">IFERROR(__xludf.DUMMYFUNCTION("""COMPUTED_VALUE"""),"ПИР")</f>
        <v>ПИР</v>
      </c>
      <c r="Q129" s="67">
        <f t="shared" ca="1" si="0"/>
        <v>0</v>
      </c>
      <c r="R129" s="67"/>
      <c r="S129" s="67"/>
      <c r="T129" s="67"/>
      <c r="U129" s="67"/>
      <c r="V129" s="67"/>
      <c r="W129" s="67"/>
      <c r="X129" s="67"/>
      <c r="Y129" s="67"/>
      <c r="Z129" s="67"/>
      <c r="AA129" s="67"/>
      <c r="AB129" s="67"/>
      <c r="AC129" s="67"/>
      <c r="AD129" s="67"/>
      <c r="AE129" s="67"/>
      <c r="AF129" s="67"/>
      <c r="AG129" s="67"/>
      <c r="AH129" s="67"/>
      <c r="AI129" s="67"/>
      <c r="AJ129" s="67"/>
      <c r="AK129" s="67"/>
      <c r="AL129" s="67"/>
      <c r="AM129" s="67"/>
    </row>
    <row r="130" spans="1:39" ht="84" x14ac:dyDescent="0.2">
      <c r="A130" s="67"/>
      <c r="B130" s="96"/>
      <c r="C1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30" s="20" t="str">
        <f ca="1">IFERROR(__xludf.DUMMYFUNCTION("""COMPUTED_VALUE"""),"МинЖКХ")</f>
        <v>МинЖКХ</v>
      </c>
      <c r="E130" s="20" t="str">
        <f ca="1">IFERROR(__xludf.DUMMYFUNCTION("""COMPUTED_VALUE"""),"Строительство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f>
        <v>Строительство и реконструкция объектов водоснабжения (водоснабжение существующих жилых домов № 1-5, детского сада № 39 мкр. Новский по адресу: Московская область, Г.о. Балашиха, мкр. Новский»)</v>
      </c>
      <c r="F130" s="67" t="str">
        <f ca="1">IFERROR(__xludf.DUMMYFUNCTION("""COMPUTED_VALUE"""),"2020-2021")</f>
        <v>2020-2021</v>
      </c>
      <c r="G130" s="67" t="str">
        <f ca="1">IFERROR(__xludf.DUMMYFUNCTION("""COMPUTED_VALUE"""),"г.о. Балашиха")</f>
        <v>г.о. Балашиха</v>
      </c>
      <c r="H130" s="67" t="str">
        <f ca="1">IFERROR(__xludf.DUMMYFUNCTION("""COMPUTED_VALUE"""),"ВЗУ")</f>
        <v>ВЗУ</v>
      </c>
      <c r="I130" s="97">
        <f ca="1">IFERROR(__xludf.DUMMYFUNCTION("""COMPUTED_VALUE"""),6441.59)</f>
        <v>6441.59</v>
      </c>
      <c r="J130" s="67"/>
      <c r="K130" s="97">
        <f ca="1">IFERROR(__xludf.DUMMYFUNCTION("""COMPUTED_VALUE"""),8222.15)</f>
        <v>8222.15</v>
      </c>
      <c r="L130" s="97">
        <f ca="1">IFERROR(__xludf.DUMMYFUNCTION("""COMPUTED_VALUE"""),0)</f>
        <v>0</v>
      </c>
      <c r="M130" s="97">
        <f ca="1">IFERROR(__xludf.DUMMYFUNCTION("""COMPUTED_VALUE"""),0)</f>
        <v>0</v>
      </c>
      <c r="N130" s="67"/>
      <c r="O130" s="67"/>
      <c r="P130" s="67" t="str">
        <f ca="1">IFERROR(__xludf.DUMMYFUNCTION("""COMPUTED_VALUE"""),"СМР")</f>
        <v>СМР</v>
      </c>
      <c r="Q130" s="67">
        <f t="shared" ca="1" si="0"/>
        <v>0</v>
      </c>
      <c r="R130" s="67"/>
      <c r="S130" s="67"/>
      <c r="T130" s="67"/>
      <c r="U130" s="67"/>
      <c r="V130" s="67"/>
      <c r="W130" s="67"/>
      <c r="X130" s="67"/>
      <c r="Y130" s="67"/>
      <c r="Z130" s="67"/>
      <c r="AA130" s="67"/>
      <c r="AB130" s="67"/>
      <c r="AC130" s="67"/>
      <c r="AD130" s="67"/>
      <c r="AE130" s="67"/>
      <c r="AF130" s="67"/>
      <c r="AG130" s="67"/>
      <c r="AH130" s="67"/>
      <c r="AI130" s="67"/>
      <c r="AJ130" s="67"/>
      <c r="AK130" s="67"/>
      <c r="AL130" s="67"/>
      <c r="AM130" s="67"/>
    </row>
    <row r="131" spans="1:39" ht="84" hidden="1" x14ac:dyDescent="0.2">
      <c r="A131" s="67"/>
      <c r="B131" s="96"/>
      <c r="C13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1" s="20" t="str">
        <f ca="1">IFERROR(__xludf.DUMMYFUNCTION("""COMPUTED_VALUE"""),"МинЖКХ")</f>
        <v>МинЖКХ</v>
      </c>
      <c r="E131" s="20" t="str">
        <f ca="1">IFERROR(__xludf.DUMMYFUNCTION("""COMPUTED_VALUE"""),"Капитальный ремонт ВНС № 29  с устройством станции обезжелезивания,   пос. Софрино, ул. Комсомольская, д.13, г.п. Софрино")</f>
        <v>Капитальный ремонт ВНС № 29  с устройством станции обезжелезивания,   пос. Софрино, ул. Комсомольская, д.13, г.п. Софрино</v>
      </c>
      <c r="F131" s="67" t="str">
        <f ca="1">IFERROR(__xludf.DUMMYFUNCTION("""COMPUTED_VALUE"""),"Н/Л")</f>
        <v>Н/Л</v>
      </c>
      <c r="G131" s="67" t="str">
        <f ca="1">IFERROR(__xludf.DUMMYFUNCTION("""COMPUTED_VALUE"""),"г.о. Пушкинский")</f>
        <v>г.о. Пушкинский</v>
      </c>
      <c r="H131" s="67" t="str">
        <f ca="1">IFERROR(__xludf.DUMMYFUNCTION("""COMPUTED_VALUE"""),"ВНС")</f>
        <v>ВНС</v>
      </c>
      <c r="I131" s="67"/>
      <c r="J131" s="67"/>
      <c r="K131" s="97">
        <f ca="1">IFERROR(__xludf.DUMMYFUNCTION("""COMPUTED_VALUE"""),0)</f>
        <v>0</v>
      </c>
      <c r="L131" s="97">
        <f ca="1">IFERROR(__xludf.DUMMYFUNCTION("""COMPUTED_VALUE"""),0)</f>
        <v>0</v>
      </c>
      <c r="M131" s="97">
        <f ca="1">IFERROR(__xludf.DUMMYFUNCTION("""COMPUTED_VALUE"""),0)</f>
        <v>0</v>
      </c>
      <c r="N131" s="67"/>
      <c r="O131" s="67"/>
      <c r="P131" s="67" t="str">
        <f ca="1">IFERROR(__xludf.DUMMYFUNCTION("""COMPUTED_VALUE"""),"СМР")</f>
        <v>СМР</v>
      </c>
      <c r="Q131" s="67" t="e">
        <f t="shared" ca="1" si="0"/>
        <v>#DIV/0!</v>
      </c>
      <c r="R131" s="67"/>
      <c r="S131" s="67"/>
      <c r="T131" s="67"/>
      <c r="U131" s="67"/>
      <c r="V131" s="67"/>
      <c r="W131" s="67"/>
      <c r="X131" s="67"/>
      <c r="Y131" s="67"/>
      <c r="Z131" s="67"/>
      <c r="AA131" s="67"/>
      <c r="AB131" s="67"/>
      <c r="AC131" s="67"/>
      <c r="AD131" s="67"/>
      <c r="AE131" s="67"/>
      <c r="AF131" s="67"/>
      <c r="AG131" s="67"/>
      <c r="AH131" s="67"/>
      <c r="AI131" s="67"/>
      <c r="AJ131" s="67"/>
      <c r="AK131" s="67"/>
      <c r="AL131" s="67"/>
      <c r="AM131" s="67"/>
    </row>
    <row r="132" spans="1:39" ht="84" hidden="1" x14ac:dyDescent="0.2">
      <c r="A132" s="67"/>
      <c r="B132" s="96"/>
      <c r="C13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2" s="20" t="str">
        <f ca="1">IFERROR(__xludf.DUMMYFUNCTION("""COMPUTED_VALUE"""),"МинЖКХ")</f>
        <v>МинЖКХ</v>
      </c>
      <c r="E132" s="20" t="str">
        <f ca="1">IFERROR(__xludf.DUMMYFUNCTION("""COMPUTED_VALUE"""),"Приобретение, монтаж и ввод в эксплуатацию  станции водоочистки на ВЗУ дер. Б.Буньково, мкр. Фабрики,  Богородский г.о.")</f>
        <v>Приобретение, монтаж и ввод в эксплуатацию  станции водоочистки на ВЗУ дер. Б.Буньково, мкр. Фабрики,  Богородский г.о.</v>
      </c>
      <c r="F132" s="67" t="str">
        <f ca="1">IFERROR(__xludf.DUMMYFUNCTION("""COMPUTED_VALUE"""),"Н/Л")</f>
        <v>Н/Л</v>
      </c>
      <c r="G132" s="67" t="str">
        <f ca="1">IFERROR(__xludf.DUMMYFUNCTION("""COMPUTED_VALUE"""),"г.о. Богородский")</f>
        <v>г.о. Богородский</v>
      </c>
      <c r="H132" s="67" t="str">
        <f ca="1">IFERROR(__xludf.DUMMYFUNCTION("""COMPUTED_VALUE"""),"ВЗУ")</f>
        <v>ВЗУ</v>
      </c>
      <c r="I132" s="67"/>
      <c r="J132" s="67"/>
      <c r="K132" s="97">
        <f ca="1">IFERROR(__xludf.DUMMYFUNCTION("""COMPUTED_VALUE"""),0)</f>
        <v>0</v>
      </c>
      <c r="L132" s="97">
        <f ca="1">IFERROR(__xludf.DUMMYFUNCTION("""COMPUTED_VALUE"""),0)</f>
        <v>0</v>
      </c>
      <c r="M132" s="97">
        <f ca="1">IFERROR(__xludf.DUMMYFUNCTION("""COMPUTED_VALUE"""),0)</f>
        <v>0</v>
      </c>
      <c r="N132" s="67"/>
      <c r="O132" s="67"/>
      <c r="P132" s="67" t="str">
        <f ca="1">IFERROR(__xludf.DUMMYFUNCTION("""COMPUTED_VALUE"""),"Приобретение, монтаж")</f>
        <v>Приобретение, монтаж</v>
      </c>
      <c r="Q132" s="67" t="e">
        <f t="shared" ca="1" si="0"/>
        <v>#DIV/0!</v>
      </c>
      <c r="R132" s="67"/>
      <c r="S132" s="67"/>
      <c r="T132" s="67"/>
      <c r="U132" s="67"/>
      <c r="V132" s="67"/>
      <c r="W132" s="67"/>
      <c r="X132" s="67"/>
      <c r="Y132" s="67"/>
      <c r="Z132" s="67"/>
      <c r="AA132" s="67"/>
      <c r="AB132" s="67"/>
      <c r="AC132" s="67"/>
      <c r="AD132" s="67"/>
      <c r="AE132" s="67"/>
      <c r="AF132" s="67"/>
      <c r="AG132" s="67"/>
      <c r="AH132" s="67"/>
      <c r="AI132" s="67"/>
      <c r="AJ132" s="67"/>
      <c r="AK132" s="67"/>
      <c r="AL132" s="67"/>
      <c r="AM132" s="67"/>
    </row>
    <row r="133" spans="1:39" ht="84" hidden="1" x14ac:dyDescent="0.2">
      <c r="A133" s="67"/>
      <c r="B133" s="96"/>
      <c r="C13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3" s="20" t="str">
        <f ca="1">IFERROR(__xludf.DUMMYFUNCTION("""COMPUTED_VALUE"""),"МинЖКХ")</f>
        <v>МинЖКХ</v>
      </c>
      <c r="E133" s="20" t="str">
        <f ca="1">IFERROR(__xludf.DUMMYFUNCTION("""COMPUTED_VALUE"""),"Приобретение, монтаж и ввод в эксплуатацию  станции водоочистки на ВЗУ дер. Караваево, Богородский г.о.  ")</f>
        <v xml:space="preserve">Приобретение, монтаж и ввод в эксплуатацию  станции водоочистки на ВЗУ дер. Караваево, Богородский г.о.  </v>
      </c>
      <c r="F133" s="67" t="str">
        <f ca="1">IFERROR(__xludf.DUMMYFUNCTION("""COMPUTED_VALUE"""),"Н/Л")</f>
        <v>Н/Л</v>
      </c>
      <c r="G133" s="67" t="str">
        <f ca="1">IFERROR(__xludf.DUMMYFUNCTION("""COMPUTED_VALUE"""),"г.о. Богородский")</f>
        <v>г.о. Богородский</v>
      </c>
      <c r="H133" s="67" t="str">
        <f ca="1">IFERROR(__xludf.DUMMYFUNCTION("""COMPUTED_VALUE"""),"ВЗУ")</f>
        <v>ВЗУ</v>
      </c>
      <c r="I133" s="67"/>
      <c r="J133" s="67"/>
      <c r="K133" s="97">
        <f ca="1">IFERROR(__xludf.DUMMYFUNCTION("""COMPUTED_VALUE"""),0)</f>
        <v>0</v>
      </c>
      <c r="L133" s="97">
        <f ca="1">IFERROR(__xludf.DUMMYFUNCTION("""COMPUTED_VALUE"""),0)</f>
        <v>0</v>
      </c>
      <c r="M133" s="97">
        <f ca="1">IFERROR(__xludf.DUMMYFUNCTION("""COMPUTED_VALUE"""),0)</f>
        <v>0</v>
      </c>
      <c r="N133" s="67"/>
      <c r="O133" s="67"/>
      <c r="P133" s="67" t="str">
        <f ca="1">IFERROR(__xludf.DUMMYFUNCTION("""COMPUTED_VALUE"""),"Приобретение, монтаж")</f>
        <v>Приобретение, монтаж</v>
      </c>
      <c r="Q133" s="67" t="e">
        <f t="shared" ca="1" si="0"/>
        <v>#DIV/0!</v>
      </c>
      <c r="R133" s="67"/>
      <c r="S133" s="67"/>
      <c r="T133" s="67"/>
      <c r="U133" s="67"/>
      <c r="V133" s="67"/>
      <c r="W133" s="67"/>
      <c r="X133" s="67"/>
      <c r="Y133" s="67"/>
      <c r="Z133" s="67"/>
      <c r="AA133" s="67"/>
      <c r="AB133" s="67"/>
      <c r="AC133" s="67"/>
      <c r="AD133" s="67"/>
      <c r="AE133" s="67"/>
      <c r="AF133" s="67"/>
      <c r="AG133" s="67"/>
      <c r="AH133" s="67"/>
      <c r="AI133" s="67"/>
      <c r="AJ133" s="67"/>
      <c r="AK133" s="67"/>
      <c r="AL133" s="67"/>
      <c r="AM133" s="67"/>
    </row>
    <row r="134" spans="1:39" ht="84" hidden="1" x14ac:dyDescent="0.2">
      <c r="A134" s="67"/>
      <c r="B134" s="96"/>
      <c r="C13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4" s="20" t="str">
        <f ca="1">IFERROR(__xludf.DUMMYFUNCTION("""COMPUTED_VALUE"""),"МинЖКХ")</f>
        <v>МинЖКХ</v>
      </c>
      <c r="E134" s="20" t="str">
        <f ca="1">IFERROR(__xludf.DUMMYFUNCTION("""COMPUTED_VALUE"""),"Приобретение, монтаж и ввод в эксплуатацию   станции водоочистки на ВЗУ дер. Б.Буньково, ул. Ленинская, 126 (БЗКИ), Богородский г.о.")</f>
        <v>Приобретение, монтаж и ввод в эксплуатацию   станции водоочистки на ВЗУ дер. Б.Буньково, ул. Ленинская, 126 (БЗКИ), Богородский г.о.</v>
      </c>
      <c r="F134" s="67" t="str">
        <f ca="1">IFERROR(__xludf.DUMMYFUNCTION("""COMPUTED_VALUE"""),"Н/Л")</f>
        <v>Н/Л</v>
      </c>
      <c r="G134" s="67" t="str">
        <f ca="1">IFERROR(__xludf.DUMMYFUNCTION("""COMPUTED_VALUE"""),"г.о. Богородский")</f>
        <v>г.о. Богородский</v>
      </c>
      <c r="H134" s="67" t="str">
        <f ca="1">IFERROR(__xludf.DUMMYFUNCTION("""COMPUTED_VALUE"""),"ВЗУ")</f>
        <v>ВЗУ</v>
      </c>
      <c r="I134" s="67"/>
      <c r="J134" s="67"/>
      <c r="K134" s="97">
        <f ca="1">IFERROR(__xludf.DUMMYFUNCTION("""COMPUTED_VALUE"""),0)</f>
        <v>0</v>
      </c>
      <c r="L134" s="97">
        <f ca="1">IFERROR(__xludf.DUMMYFUNCTION("""COMPUTED_VALUE"""),0)</f>
        <v>0</v>
      </c>
      <c r="M134" s="97">
        <f ca="1">IFERROR(__xludf.DUMMYFUNCTION("""COMPUTED_VALUE"""),0)</f>
        <v>0</v>
      </c>
      <c r="N134" s="67"/>
      <c r="O134" s="67"/>
      <c r="P134" s="67" t="str">
        <f ca="1">IFERROR(__xludf.DUMMYFUNCTION("""COMPUTED_VALUE"""),"Приобретение, монтаж")</f>
        <v>Приобретение, монтаж</v>
      </c>
      <c r="Q134" s="67" t="e">
        <f t="shared" ca="1" si="0"/>
        <v>#DIV/0!</v>
      </c>
      <c r="R134" s="67"/>
      <c r="S134" s="67"/>
      <c r="T134" s="67"/>
      <c r="U134" s="67"/>
      <c r="V134" s="67"/>
      <c r="W134" s="67"/>
      <c r="X134" s="67"/>
      <c r="Y134" s="67"/>
      <c r="Z134" s="67"/>
      <c r="AA134" s="67"/>
      <c r="AB134" s="67"/>
      <c r="AC134" s="67"/>
      <c r="AD134" s="67"/>
      <c r="AE134" s="67"/>
      <c r="AF134" s="67"/>
      <c r="AG134" s="67"/>
      <c r="AH134" s="67"/>
      <c r="AI134" s="67"/>
      <c r="AJ134" s="67"/>
      <c r="AK134" s="67"/>
      <c r="AL134" s="67"/>
      <c r="AM134" s="67"/>
    </row>
    <row r="135" spans="1:39" ht="84" hidden="1" x14ac:dyDescent="0.2">
      <c r="A135" s="67"/>
      <c r="B135" s="96"/>
      <c r="C13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5" s="20" t="str">
        <f ca="1">IFERROR(__xludf.DUMMYFUNCTION("""COMPUTED_VALUE"""),"МинЖКХ")</f>
        <v>МинЖКХ</v>
      </c>
      <c r="E135" s="20" t="str">
        <f ca="1">IFERROR(__xludf.DUMMYFUNCTION("""COMPUTED_VALUE"""),"Приобретение, монтаж и ввод в эксплуатацию    станции водоочистки на ВЗУ дер. Б.Буньково, ул. Ленинская, 126 (ул. Демонстрационная), Богородский г.о.")</f>
        <v>Приобретение, монтаж и ввод в эксплуатацию    станции водоочистки на ВЗУ дер. Б.Буньково, ул. Ленинская, 126 (ул. Демонстрационная), Богородский г.о.</v>
      </c>
      <c r="F135" s="67" t="str">
        <f ca="1">IFERROR(__xludf.DUMMYFUNCTION("""COMPUTED_VALUE"""),"Н/Л")</f>
        <v>Н/Л</v>
      </c>
      <c r="G135" s="67" t="str">
        <f ca="1">IFERROR(__xludf.DUMMYFUNCTION("""COMPUTED_VALUE"""),"г.о. Богородский")</f>
        <v>г.о. Богородский</v>
      </c>
      <c r="H135" s="67" t="str">
        <f ca="1">IFERROR(__xludf.DUMMYFUNCTION("""COMPUTED_VALUE"""),"ВЗУ")</f>
        <v>ВЗУ</v>
      </c>
      <c r="I135" s="67"/>
      <c r="J135" s="67"/>
      <c r="K135" s="97">
        <f ca="1">IFERROR(__xludf.DUMMYFUNCTION("""COMPUTED_VALUE"""),0)</f>
        <v>0</v>
      </c>
      <c r="L135" s="97">
        <f ca="1">IFERROR(__xludf.DUMMYFUNCTION("""COMPUTED_VALUE"""),0)</f>
        <v>0</v>
      </c>
      <c r="M135" s="97">
        <f ca="1">IFERROR(__xludf.DUMMYFUNCTION("""COMPUTED_VALUE"""),0)</f>
        <v>0</v>
      </c>
      <c r="N135" s="67"/>
      <c r="O135" s="67"/>
      <c r="P135" s="67" t="str">
        <f ca="1">IFERROR(__xludf.DUMMYFUNCTION("""COMPUTED_VALUE"""),"Приобретение, монтаж")</f>
        <v>Приобретение, монтаж</v>
      </c>
      <c r="Q135" s="67" t="e">
        <f t="shared" ca="1" si="0"/>
        <v>#DIV/0!</v>
      </c>
      <c r="R135" s="67"/>
      <c r="S135" s="67"/>
      <c r="T135" s="67"/>
      <c r="U135" s="67"/>
      <c r="V135" s="67"/>
      <c r="W135" s="67"/>
      <c r="X135" s="67"/>
      <c r="Y135" s="67"/>
      <c r="Z135" s="67"/>
      <c r="AA135" s="67"/>
      <c r="AB135" s="67"/>
      <c r="AC135" s="67"/>
      <c r="AD135" s="67"/>
      <c r="AE135" s="67"/>
      <c r="AF135" s="67"/>
      <c r="AG135" s="67"/>
      <c r="AH135" s="67"/>
      <c r="AI135" s="67"/>
      <c r="AJ135" s="67"/>
      <c r="AK135" s="67"/>
      <c r="AL135" s="67"/>
      <c r="AM135" s="67"/>
    </row>
    <row r="136" spans="1:39" ht="84" hidden="1" x14ac:dyDescent="0.2">
      <c r="A136" s="67"/>
      <c r="B136" s="96"/>
      <c r="C13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6" s="20" t="str">
        <f ca="1">IFERROR(__xludf.DUMMYFUNCTION("""COMPUTED_VALUE"""),"МинЖКХ")</f>
        <v>МинЖКХ</v>
      </c>
      <c r="E136" s="20" t="str">
        <f ca="1">IFERROR(__xludf.DUMMYFUNCTION("""COMPUTED_VALUE"""),"Капитальный ремонт участка водопровода Ду-500 мм в г.п.  Старая Купавна ")</f>
        <v xml:space="preserve">Капитальный ремонт участка водопровода Ду-500 мм в г.п.  Старая Купавна </v>
      </c>
      <c r="F136" s="67" t="str">
        <f ca="1">IFERROR(__xludf.DUMMYFUNCTION("""COMPUTED_VALUE"""),"Н/Л")</f>
        <v>Н/Л</v>
      </c>
      <c r="G136" s="67" t="str">
        <f ca="1">IFERROR(__xludf.DUMMYFUNCTION("""COMPUTED_VALUE"""),"г.о. Богородский")</f>
        <v>г.о. Богородский</v>
      </c>
      <c r="H136" s="67" t="str">
        <f ca="1">IFERROR(__xludf.DUMMYFUNCTION("""COMPUTED_VALUE"""),"Сети")</f>
        <v>Сети</v>
      </c>
      <c r="I136" s="67"/>
      <c r="J136" s="67"/>
      <c r="K136" s="97">
        <f ca="1">IFERROR(__xludf.DUMMYFUNCTION("""COMPUTED_VALUE"""),0)</f>
        <v>0</v>
      </c>
      <c r="L136" s="97">
        <f ca="1">IFERROR(__xludf.DUMMYFUNCTION("""COMPUTED_VALUE"""),0)</f>
        <v>0</v>
      </c>
      <c r="M136" s="97">
        <f ca="1">IFERROR(__xludf.DUMMYFUNCTION("""COMPUTED_VALUE"""),0)</f>
        <v>0</v>
      </c>
      <c r="N136" s="67"/>
      <c r="O136" s="67"/>
      <c r="P136" s="67" t="str">
        <f ca="1">IFERROR(__xludf.DUMMYFUNCTION("""COMPUTED_VALUE"""),"СМР")</f>
        <v>СМР</v>
      </c>
      <c r="Q136" s="67" t="e">
        <f t="shared" ca="1" si="0"/>
        <v>#DIV/0!</v>
      </c>
      <c r="R136" s="67"/>
      <c r="S136" s="67"/>
      <c r="T136" s="67"/>
      <c r="U136" s="67"/>
      <c r="V136" s="67"/>
      <c r="W136" s="67"/>
      <c r="X136" s="67"/>
      <c r="Y136" s="67"/>
      <c r="Z136" s="67"/>
      <c r="AA136" s="67"/>
      <c r="AB136" s="67"/>
      <c r="AC136" s="67"/>
      <c r="AD136" s="67"/>
      <c r="AE136" s="67"/>
      <c r="AF136" s="67"/>
      <c r="AG136" s="67"/>
      <c r="AH136" s="67"/>
      <c r="AI136" s="67"/>
      <c r="AJ136" s="67"/>
      <c r="AK136" s="67"/>
      <c r="AL136" s="67"/>
      <c r="AM136" s="67"/>
    </row>
    <row r="137" spans="1:39" ht="84" hidden="1" x14ac:dyDescent="0.2">
      <c r="A137" s="67"/>
      <c r="B137" s="96"/>
      <c r="C13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7" s="20" t="str">
        <f ca="1">IFERROR(__xludf.DUMMYFUNCTION("""COMPUTED_VALUE"""),"МинЖКХ")</f>
        <v>МинЖКХ</v>
      </c>
      <c r="E137" s="20" t="str">
        <f ca="1">IFERROR(__xludf.DUMMYFUNCTION("""COMPUTED_VALUE"""),"Приобретение, монтаж и ввод в эксплуатацию станции водоподготовки на ВЗУ-5, Воскресенский м.р., д. Цибино г.п. Белоозерский")</f>
        <v>Приобретение, монтаж и ввод в эксплуатацию станции водоподготовки на ВЗУ-5, Воскресенский м.р., д. Цибино г.п. Белоозерский</v>
      </c>
      <c r="F137" s="67" t="str">
        <f ca="1">IFERROR(__xludf.DUMMYFUNCTION("""COMPUTED_VALUE"""),"Н/Л")</f>
        <v>Н/Л</v>
      </c>
      <c r="G137" s="67" t="str">
        <f ca="1">IFERROR(__xludf.DUMMYFUNCTION("""COMPUTED_VALUE"""),"г.о. Воскресенск")</f>
        <v>г.о. Воскресенск</v>
      </c>
      <c r="H137" s="67" t="str">
        <f ca="1">IFERROR(__xludf.DUMMYFUNCTION("""COMPUTED_VALUE"""),"ВЗУ")</f>
        <v>ВЗУ</v>
      </c>
      <c r="I137" s="67"/>
      <c r="J137" s="67"/>
      <c r="K137" s="97">
        <f ca="1">IFERROR(__xludf.DUMMYFUNCTION("""COMPUTED_VALUE"""),0)</f>
        <v>0</v>
      </c>
      <c r="L137" s="97">
        <f ca="1">IFERROR(__xludf.DUMMYFUNCTION("""COMPUTED_VALUE"""),0)</f>
        <v>0</v>
      </c>
      <c r="M137" s="97">
        <f ca="1">IFERROR(__xludf.DUMMYFUNCTION("""COMPUTED_VALUE"""),0)</f>
        <v>0</v>
      </c>
      <c r="N137" s="67"/>
      <c r="O137" s="67"/>
      <c r="P137" s="67" t="str">
        <f ca="1">IFERROR(__xludf.DUMMYFUNCTION("""COMPUTED_VALUE"""),"Приобретение, монтаж")</f>
        <v>Приобретение, монтаж</v>
      </c>
      <c r="Q137" s="67" t="e">
        <f t="shared" ca="1" si="0"/>
        <v>#DIV/0!</v>
      </c>
      <c r="R137" s="67"/>
      <c r="S137" s="67"/>
      <c r="T137" s="67"/>
      <c r="U137" s="67"/>
      <c r="V137" s="67"/>
      <c r="W137" s="67"/>
      <c r="X137" s="67"/>
      <c r="Y137" s="67"/>
      <c r="Z137" s="67"/>
      <c r="AA137" s="67"/>
      <c r="AB137" s="67"/>
      <c r="AC137" s="67"/>
      <c r="AD137" s="67"/>
      <c r="AE137" s="67"/>
      <c r="AF137" s="67"/>
      <c r="AG137" s="67"/>
      <c r="AH137" s="67"/>
      <c r="AI137" s="67"/>
      <c r="AJ137" s="67"/>
      <c r="AK137" s="67"/>
      <c r="AL137" s="67"/>
      <c r="AM137" s="67"/>
    </row>
    <row r="138" spans="1:39" ht="84" hidden="1" x14ac:dyDescent="0.2">
      <c r="A138" s="67"/>
      <c r="B138" s="96"/>
      <c r="C13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8" s="20" t="str">
        <f ca="1">IFERROR(__xludf.DUMMYFUNCTION("""COMPUTED_VALUE"""),"МинЖКХ")</f>
        <v>МинЖКХ</v>
      </c>
      <c r="E138" s="20" t="str">
        <f ca="1">IFERROR(__xludf.DUMMYFUNCTION("""COMPUTED_VALUE"""),"Приобретение, монтаж и ввод в эксплуатацию станции водоподготовки на ВЗУ-6, Воскресенский м.р., дер. Ивановка  г.п. Белоозерский")</f>
        <v>Приобретение, монтаж и ввод в эксплуатацию станции водоподготовки на ВЗУ-6, Воскресенский м.р., дер. Ивановка  г.п. Белоозерский</v>
      </c>
      <c r="F138" s="67" t="str">
        <f ca="1">IFERROR(__xludf.DUMMYFUNCTION("""COMPUTED_VALUE"""),"Н/Л")</f>
        <v>Н/Л</v>
      </c>
      <c r="G138" s="67" t="str">
        <f ca="1">IFERROR(__xludf.DUMMYFUNCTION("""COMPUTED_VALUE"""),"г.о. Воскресенск")</f>
        <v>г.о. Воскресенск</v>
      </c>
      <c r="H138" s="67" t="str">
        <f ca="1">IFERROR(__xludf.DUMMYFUNCTION("""COMPUTED_VALUE"""),"ВЗУ")</f>
        <v>ВЗУ</v>
      </c>
      <c r="I138" s="67"/>
      <c r="J138" s="67"/>
      <c r="K138" s="97">
        <f ca="1">IFERROR(__xludf.DUMMYFUNCTION("""COMPUTED_VALUE"""),0)</f>
        <v>0</v>
      </c>
      <c r="L138" s="97">
        <f ca="1">IFERROR(__xludf.DUMMYFUNCTION("""COMPUTED_VALUE"""),0)</f>
        <v>0</v>
      </c>
      <c r="M138" s="97">
        <f ca="1">IFERROR(__xludf.DUMMYFUNCTION("""COMPUTED_VALUE"""),0)</f>
        <v>0</v>
      </c>
      <c r="N138" s="67"/>
      <c r="O138" s="67"/>
      <c r="P138" s="67" t="str">
        <f ca="1">IFERROR(__xludf.DUMMYFUNCTION("""COMPUTED_VALUE"""),"Приобретение, монтаж")</f>
        <v>Приобретение, монтаж</v>
      </c>
      <c r="Q138" s="67" t="e">
        <f t="shared" ca="1" si="0"/>
        <v>#DIV/0!</v>
      </c>
      <c r="R138" s="67"/>
      <c r="S138" s="67"/>
      <c r="T138" s="67"/>
      <c r="U138" s="67"/>
      <c r="V138" s="67"/>
      <c r="W138" s="67"/>
      <c r="X138" s="67"/>
      <c r="Y138" s="67"/>
      <c r="Z138" s="67"/>
      <c r="AA138" s="67"/>
      <c r="AB138" s="67"/>
      <c r="AC138" s="67"/>
      <c r="AD138" s="67"/>
      <c r="AE138" s="67"/>
      <c r="AF138" s="67"/>
      <c r="AG138" s="67"/>
      <c r="AH138" s="67"/>
      <c r="AI138" s="67"/>
      <c r="AJ138" s="67"/>
      <c r="AK138" s="67"/>
      <c r="AL138" s="67"/>
      <c r="AM138" s="67"/>
    </row>
    <row r="139" spans="1:39" ht="84" hidden="1" x14ac:dyDescent="0.2">
      <c r="A139" s="67"/>
      <c r="B139" s="96"/>
      <c r="C13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9" s="20" t="str">
        <f ca="1">IFERROR(__xludf.DUMMYFUNCTION("""COMPUTED_VALUE"""),"МинЖКХ")</f>
        <v>МинЖКХ</v>
      </c>
      <c r="E139" s="20" t="str">
        <f ca="1">IFERROR(__xludf.DUMMYFUNCTION("""COMPUTED_VALUE"""),"Приобретение, монтаж и ввод в эксплуатацию станции водоподготовки на ВЗУ-8,  Воскресенский м.р.,  дер. Ворщиково  г.п. Белоозерский")</f>
        <v>Приобретение, монтаж и ввод в эксплуатацию станции водоподготовки на ВЗУ-8,  Воскресенский м.р.,  дер. Ворщиково  г.п. Белоозерский</v>
      </c>
      <c r="F139" s="67" t="str">
        <f ca="1">IFERROR(__xludf.DUMMYFUNCTION("""COMPUTED_VALUE"""),"Н/Л")</f>
        <v>Н/Л</v>
      </c>
      <c r="G139" s="67" t="str">
        <f ca="1">IFERROR(__xludf.DUMMYFUNCTION("""COMPUTED_VALUE"""),"г.о. Воскресенск")</f>
        <v>г.о. Воскресенск</v>
      </c>
      <c r="H139" s="67" t="str">
        <f ca="1">IFERROR(__xludf.DUMMYFUNCTION("""COMPUTED_VALUE"""),"ВЗУ")</f>
        <v>ВЗУ</v>
      </c>
      <c r="I139" s="67"/>
      <c r="J139" s="67"/>
      <c r="K139" s="97">
        <f ca="1">IFERROR(__xludf.DUMMYFUNCTION("""COMPUTED_VALUE"""),0)</f>
        <v>0</v>
      </c>
      <c r="L139" s="97">
        <f ca="1">IFERROR(__xludf.DUMMYFUNCTION("""COMPUTED_VALUE"""),0)</f>
        <v>0</v>
      </c>
      <c r="M139" s="97">
        <f ca="1">IFERROR(__xludf.DUMMYFUNCTION("""COMPUTED_VALUE"""),0)</f>
        <v>0</v>
      </c>
      <c r="N139" s="67"/>
      <c r="O139" s="67"/>
      <c r="P139" s="67" t="str">
        <f ca="1">IFERROR(__xludf.DUMMYFUNCTION("""COMPUTED_VALUE"""),"Приобретение, монтаж")</f>
        <v>Приобретение, монтаж</v>
      </c>
      <c r="Q139" s="67" t="e">
        <f t="shared" ca="1" si="0"/>
        <v>#DIV/0!</v>
      </c>
      <c r="R139" s="67"/>
      <c r="S139" s="67"/>
      <c r="T139" s="67"/>
      <c r="U139" s="67"/>
      <c r="V139" s="67"/>
      <c r="W139" s="67"/>
      <c r="X139" s="67"/>
      <c r="Y139" s="67"/>
      <c r="Z139" s="67"/>
      <c r="AA139" s="67"/>
      <c r="AB139" s="67"/>
      <c r="AC139" s="67"/>
      <c r="AD139" s="67"/>
      <c r="AE139" s="67"/>
      <c r="AF139" s="67"/>
      <c r="AG139" s="67"/>
      <c r="AH139" s="67"/>
      <c r="AI139" s="67"/>
      <c r="AJ139" s="67"/>
      <c r="AK139" s="67"/>
      <c r="AL139" s="67"/>
      <c r="AM139" s="67"/>
    </row>
    <row r="140" spans="1:39" ht="84" hidden="1" x14ac:dyDescent="0.2">
      <c r="A140" s="67"/>
      <c r="B140" s="96"/>
      <c r="C14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0" s="20" t="str">
        <f ca="1">IFERROR(__xludf.DUMMYFUNCTION("""COMPUTED_VALUE"""),"МинЖКХ")</f>
        <v>МинЖКХ</v>
      </c>
      <c r="E140" s="20" t="str">
        <f ca="1">IFERROR(__xludf.DUMMYFUNCTION("""COMPUTED_VALUE"""),"Приобретение, монтаж и ввод в эксплуатацию станции водоподготовки на ВЗУ - 9, Воскресенский м.р., дер.  Ворщиково г.п. Белоозерский ")</f>
        <v xml:space="preserve">Приобретение, монтаж и ввод в эксплуатацию станции водоподготовки на ВЗУ - 9, Воскресенский м.р., дер.  Ворщиково г.п. Белоозерский </v>
      </c>
      <c r="F140" s="67" t="str">
        <f ca="1">IFERROR(__xludf.DUMMYFUNCTION("""COMPUTED_VALUE"""),"Н/Л")</f>
        <v>Н/Л</v>
      </c>
      <c r="G140" s="67" t="str">
        <f ca="1">IFERROR(__xludf.DUMMYFUNCTION("""COMPUTED_VALUE"""),"г.о. Воскресенск")</f>
        <v>г.о. Воскресенск</v>
      </c>
      <c r="H140" s="67" t="str">
        <f ca="1">IFERROR(__xludf.DUMMYFUNCTION("""COMPUTED_VALUE"""),"ВЗУ")</f>
        <v>ВЗУ</v>
      </c>
      <c r="I140" s="67"/>
      <c r="J140" s="67"/>
      <c r="K140" s="97">
        <f ca="1">IFERROR(__xludf.DUMMYFUNCTION("""COMPUTED_VALUE"""),0)</f>
        <v>0</v>
      </c>
      <c r="L140" s="97">
        <f ca="1">IFERROR(__xludf.DUMMYFUNCTION("""COMPUTED_VALUE"""),0)</f>
        <v>0</v>
      </c>
      <c r="M140" s="97">
        <f ca="1">IFERROR(__xludf.DUMMYFUNCTION("""COMPUTED_VALUE"""),0)</f>
        <v>0</v>
      </c>
      <c r="N140" s="67"/>
      <c r="O140" s="67"/>
      <c r="P140" s="67" t="str">
        <f ca="1">IFERROR(__xludf.DUMMYFUNCTION("""COMPUTED_VALUE"""),"Приобретение, монтаж")</f>
        <v>Приобретение, монтаж</v>
      </c>
      <c r="Q140" s="67" t="e">
        <f t="shared" ca="1" si="0"/>
        <v>#DIV/0!</v>
      </c>
      <c r="R140" s="67"/>
      <c r="S140" s="67"/>
      <c r="T140" s="67"/>
      <c r="U140" s="67"/>
      <c r="V140" s="67"/>
      <c r="W140" s="67"/>
      <c r="X140" s="67"/>
      <c r="Y140" s="67"/>
      <c r="Z140" s="67"/>
      <c r="AA140" s="67"/>
      <c r="AB140" s="67"/>
      <c r="AC140" s="67"/>
      <c r="AD140" s="67"/>
      <c r="AE140" s="67"/>
      <c r="AF140" s="67"/>
      <c r="AG140" s="67"/>
      <c r="AH140" s="67"/>
      <c r="AI140" s="67"/>
      <c r="AJ140" s="67"/>
      <c r="AK140" s="67"/>
      <c r="AL140" s="67"/>
      <c r="AM140" s="67"/>
    </row>
    <row r="141" spans="1:39" ht="96" hidden="1" x14ac:dyDescent="0.2">
      <c r="A141" s="67"/>
      <c r="B141" s="96"/>
      <c r="C14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1" s="20" t="str">
        <f ca="1">IFERROR(__xludf.DUMMYFUNCTION("""COMPUTED_VALUE"""),"МинЖКХ")</f>
        <v>МинЖКХ</v>
      </c>
      <c r="E141" s="20" t="str">
        <f ca="1">IFERROR(__xludf.DUMMYFUNCTION("""COMPUTED_VALUE"""),"Приобретение,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f>
        <v>Приобретение, монтаж и ввод в эксплуатацию станции водоподготовки на ВЗУ производительнстью 130 м3/ч, Цементгигант (г.п. Воскресенск) (в том числе погашение кредиторской задолженности - 6 348,1 тыс. руб.)</v>
      </c>
      <c r="F141" s="67" t="str">
        <f ca="1">IFERROR(__xludf.DUMMYFUNCTION("""COMPUTED_VALUE"""),"Н/Л")</f>
        <v>Н/Л</v>
      </c>
      <c r="G141" s="67" t="str">
        <f ca="1">IFERROR(__xludf.DUMMYFUNCTION("""COMPUTED_VALUE"""),"г.о. Воскресенск")</f>
        <v>г.о. Воскресенск</v>
      </c>
      <c r="H141" s="67" t="str">
        <f ca="1">IFERROR(__xludf.DUMMYFUNCTION("""COMPUTED_VALUE"""),"ВЗУ")</f>
        <v>ВЗУ</v>
      </c>
      <c r="I141" s="67"/>
      <c r="J141" s="67"/>
      <c r="K141" s="97">
        <f ca="1">IFERROR(__xludf.DUMMYFUNCTION("""COMPUTED_VALUE"""),0)</f>
        <v>0</v>
      </c>
      <c r="L141" s="97">
        <f ca="1">IFERROR(__xludf.DUMMYFUNCTION("""COMPUTED_VALUE"""),0)</f>
        <v>0</v>
      </c>
      <c r="M141" s="97">
        <f ca="1">IFERROR(__xludf.DUMMYFUNCTION("""COMPUTED_VALUE"""),0)</f>
        <v>0</v>
      </c>
      <c r="N141" s="67"/>
      <c r="O141" s="67"/>
      <c r="P141" s="67" t="str">
        <f ca="1">IFERROR(__xludf.DUMMYFUNCTION("""COMPUTED_VALUE"""),"Приобретение, монтаж")</f>
        <v>Приобретение, монтаж</v>
      </c>
      <c r="Q141" s="67" t="e">
        <f t="shared" ca="1" si="0"/>
        <v>#DIV/0!</v>
      </c>
      <c r="R141" s="67"/>
      <c r="S141" s="67"/>
      <c r="T141" s="67"/>
      <c r="U141" s="67"/>
      <c r="V141" s="67"/>
      <c r="W141" s="67"/>
      <c r="X141" s="67"/>
      <c r="Y141" s="67"/>
      <c r="Z141" s="67"/>
      <c r="AA141" s="67"/>
      <c r="AB141" s="67"/>
      <c r="AC141" s="67"/>
      <c r="AD141" s="67"/>
      <c r="AE141" s="67"/>
      <c r="AF141" s="67"/>
      <c r="AG141" s="67"/>
      <c r="AH141" s="67"/>
      <c r="AI141" s="67"/>
      <c r="AJ141" s="67"/>
      <c r="AK141" s="67"/>
      <c r="AL141" s="67"/>
      <c r="AM141" s="67"/>
    </row>
    <row r="142" spans="1:39" ht="108" hidden="1" x14ac:dyDescent="0.2">
      <c r="A142" s="67"/>
      <c r="B142" s="96"/>
      <c r="C14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2" s="20" t="str">
        <f ca="1">IFERROR(__xludf.DUMMYFUNCTION("""COMPUTED_VALUE"""),"МинЖКХ")</f>
        <v>МинЖКХ</v>
      </c>
      <c r="E142" s="20" t="str">
        <f ca="1">IFERROR(__xludf.DUMMYFUNCTION("""COMPUTED_VALUE"""),"Приобретение,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f>
        <v>Приобретение, монтаж и ввод в эксплуатацию станции обезжелезивания на ВЗУ №4 производительностью 210 м3/ч, г.Наро-Фоминск, ул.Московская  (в том числе погашение кредиторской задолженности - 13 270,56 тыс.руб.)</v>
      </c>
      <c r="F142" s="67" t="str">
        <f ca="1">IFERROR(__xludf.DUMMYFUNCTION("""COMPUTED_VALUE"""),"Н/Л")</f>
        <v>Н/Л</v>
      </c>
      <c r="G142" s="67" t="str">
        <f ca="1">IFERROR(__xludf.DUMMYFUNCTION("""COMPUTED_VALUE"""),"г.о. Наро-Фоминск")</f>
        <v>г.о. Наро-Фоминск</v>
      </c>
      <c r="H142" s="67" t="str">
        <f ca="1">IFERROR(__xludf.DUMMYFUNCTION("""COMPUTED_VALUE"""),"ВЗУ")</f>
        <v>ВЗУ</v>
      </c>
      <c r="I142" s="67"/>
      <c r="J142" s="67"/>
      <c r="K142" s="97">
        <f ca="1">IFERROR(__xludf.DUMMYFUNCTION("""COMPUTED_VALUE"""),0)</f>
        <v>0</v>
      </c>
      <c r="L142" s="97">
        <f ca="1">IFERROR(__xludf.DUMMYFUNCTION("""COMPUTED_VALUE"""),0)</f>
        <v>0</v>
      </c>
      <c r="M142" s="97">
        <f ca="1">IFERROR(__xludf.DUMMYFUNCTION("""COMPUTED_VALUE"""),0)</f>
        <v>0</v>
      </c>
      <c r="N142" s="67"/>
      <c r="O142" s="67"/>
      <c r="P142" s="67" t="str">
        <f ca="1">IFERROR(__xludf.DUMMYFUNCTION("""COMPUTED_VALUE"""),"Приобретение, монтаж")</f>
        <v>Приобретение, монтаж</v>
      </c>
      <c r="Q142" s="67" t="e">
        <f t="shared" ca="1" si="0"/>
        <v>#DIV/0!</v>
      </c>
      <c r="R142" s="67"/>
      <c r="S142" s="67"/>
      <c r="T142" s="67"/>
      <c r="U142" s="67"/>
      <c r="V142" s="67"/>
      <c r="W142" s="67"/>
      <c r="X142" s="67"/>
      <c r="Y142" s="67"/>
      <c r="Z142" s="67"/>
      <c r="AA142" s="67"/>
      <c r="AB142" s="67"/>
      <c r="AC142" s="67"/>
      <c r="AD142" s="67"/>
      <c r="AE142" s="67"/>
      <c r="AF142" s="67"/>
      <c r="AG142" s="67"/>
      <c r="AH142" s="67"/>
      <c r="AI142" s="67"/>
      <c r="AJ142" s="67"/>
      <c r="AK142" s="67"/>
      <c r="AL142" s="67"/>
      <c r="AM142" s="67"/>
    </row>
    <row r="143" spans="1:39" ht="96" hidden="1" x14ac:dyDescent="0.2">
      <c r="A143" s="67"/>
      <c r="B143" s="96"/>
      <c r="C14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3" s="20" t="str">
        <f ca="1">IFERROR(__xludf.DUMMYFUNCTION("""COMPUTED_VALUE"""),"МинЖКХ")</f>
        <v>МинЖКХ</v>
      </c>
      <c r="E143" s="20" t="str">
        <f ca="1">IFERROR(__xludf.DUMMYFUNCTION("""COMPUTED_VALUE"""),"Приобретение,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f>
        <v>Приобретение, монтаж и ввод в эксплуатацию станции обезжелезивания производительностью 65 м3/ч, пос.д/о"Бекасово" .  (в том числе погашение кредиторской задолженности - 12 222,43 т.р.) г.о. Наро-Фоминск</v>
      </c>
      <c r="F143" s="67" t="str">
        <f ca="1">IFERROR(__xludf.DUMMYFUNCTION("""COMPUTED_VALUE"""),"Н/Л")</f>
        <v>Н/Л</v>
      </c>
      <c r="G143" s="67" t="str">
        <f ca="1">IFERROR(__xludf.DUMMYFUNCTION("""COMPUTED_VALUE"""),"г.о. Наро-Фоминск")</f>
        <v>г.о. Наро-Фоминск</v>
      </c>
      <c r="H143" s="67" t="str">
        <f ca="1">IFERROR(__xludf.DUMMYFUNCTION("""COMPUTED_VALUE"""),"ВЗУ")</f>
        <v>ВЗУ</v>
      </c>
      <c r="I143" s="67"/>
      <c r="J143" s="67"/>
      <c r="K143" s="97">
        <f ca="1">IFERROR(__xludf.DUMMYFUNCTION("""COMPUTED_VALUE"""),0)</f>
        <v>0</v>
      </c>
      <c r="L143" s="97">
        <f ca="1">IFERROR(__xludf.DUMMYFUNCTION("""COMPUTED_VALUE"""),0)</f>
        <v>0</v>
      </c>
      <c r="M143" s="97">
        <f ca="1">IFERROR(__xludf.DUMMYFUNCTION("""COMPUTED_VALUE"""),0)</f>
        <v>0</v>
      </c>
      <c r="N143" s="67"/>
      <c r="O143" s="67"/>
      <c r="P143" s="67" t="str">
        <f ca="1">IFERROR(__xludf.DUMMYFUNCTION("""COMPUTED_VALUE"""),"Приобретение, монтаж")</f>
        <v>Приобретение, монтаж</v>
      </c>
      <c r="Q143" s="67" t="e">
        <f t="shared" ca="1" si="0"/>
        <v>#DIV/0!</v>
      </c>
      <c r="R143" s="67"/>
      <c r="S143" s="67"/>
      <c r="T143" s="67"/>
      <c r="U143" s="67"/>
      <c r="V143" s="67"/>
      <c r="W143" s="67"/>
      <c r="X143" s="67"/>
      <c r="Y143" s="67"/>
      <c r="Z143" s="67"/>
      <c r="AA143" s="67"/>
      <c r="AB143" s="67"/>
      <c r="AC143" s="67"/>
      <c r="AD143" s="67"/>
      <c r="AE143" s="67"/>
      <c r="AF143" s="67"/>
      <c r="AG143" s="67"/>
      <c r="AH143" s="67"/>
      <c r="AI143" s="67"/>
      <c r="AJ143" s="67"/>
      <c r="AK143" s="67"/>
      <c r="AL143" s="67"/>
      <c r="AM143" s="67"/>
    </row>
    <row r="144" spans="1:39" ht="84" hidden="1" x14ac:dyDescent="0.2">
      <c r="A144" s="67"/>
      <c r="B144" s="96"/>
      <c r="C14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4" s="20" t="str">
        <f ca="1">IFERROR(__xludf.DUMMYFUNCTION("""COMPUTED_VALUE"""),"МинЖКХ")</f>
        <v>МинЖКХ</v>
      </c>
      <c r="E144" s="20" t="str">
        <f ca="1">IFERROR(__xludf.DUMMYFUNCTION("""COMPUTED_VALUE"""),"Приобретение, монтаж и ввод в эксплуатацию станции водоочистки, д. Софьино (в том числе погашение кредиторской задолженности - 6 157,72 тыс.руб.)  г.о. Наро-Фоминск")</f>
        <v>Приобретение, монтаж и ввод в эксплуатацию станции водоочистки, д. Софьино (в том числе погашение кредиторской задолженности - 6 157,72 тыс.руб.)  г.о. Наро-Фоминск</v>
      </c>
      <c r="F144" s="67" t="str">
        <f ca="1">IFERROR(__xludf.DUMMYFUNCTION("""COMPUTED_VALUE"""),"Н/Л")</f>
        <v>Н/Л</v>
      </c>
      <c r="G144" s="67" t="str">
        <f ca="1">IFERROR(__xludf.DUMMYFUNCTION("""COMPUTED_VALUE"""),"г.о. Наро-Фоминск")</f>
        <v>г.о. Наро-Фоминск</v>
      </c>
      <c r="H144" s="67" t="str">
        <f ca="1">IFERROR(__xludf.DUMMYFUNCTION("""COMPUTED_VALUE"""),"ВЗУ")</f>
        <v>ВЗУ</v>
      </c>
      <c r="I144" s="67"/>
      <c r="J144" s="67"/>
      <c r="K144" s="97">
        <f ca="1">IFERROR(__xludf.DUMMYFUNCTION("""COMPUTED_VALUE"""),0)</f>
        <v>0</v>
      </c>
      <c r="L144" s="97">
        <f ca="1">IFERROR(__xludf.DUMMYFUNCTION("""COMPUTED_VALUE"""),0)</f>
        <v>0</v>
      </c>
      <c r="M144" s="97">
        <f ca="1">IFERROR(__xludf.DUMMYFUNCTION("""COMPUTED_VALUE"""),0)</f>
        <v>0</v>
      </c>
      <c r="N144" s="67"/>
      <c r="O144" s="67"/>
      <c r="P144" s="67" t="str">
        <f ca="1">IFERROR(__xludf.DUMMYFUNCTION("""COMPUTED_VALUE"""),"Приобретение, монтаж")</f>
        <v>Приобретение, монтаж</v>
      </c>
      <c r="Q144" s="67" t="e">
        <f t="shared" ca="1" si="0"/>
        <v>#DIV/0!</v>
      </c>
      <c r="R144" s="67"/>
      <c r="S144" s="67"/>
      <c r="T144" s="67"/>
      <c r="U144" s="67"/>
      <c r="V144" s="67"/>
      <c r="W144" s="67"/>
      <c r="X144" s="67"/>
      <c r="Y144" s="67"/>
      <c r="Z144" s="67"/>
      <c r="AA144" s="67"/>
      <c r="AB144" s="67"/>
      <c r="AC144" s="67"/>
      <c r="AD144" s="67"/>
      <c r="AE144" s="67"/>
      <c r="AF144" s="67"/>
      <c r="AG144" s="67"/>
      <c r="AH144" s="67"/>
      <c r="AI144" s="67"/>
      <c r="AJ144" s="67"/>
      <c r="AK144" s="67"/>
      <c r="AL144" s="67"/>
      <c r="AM144" s="67"/>
    </row>
    <row r="145" spans="1:39" ht="84" hidden="1" x14ac:dyDescent="0.2">
      <c r="A145" s="67"/>
      <c r="B145" s="96"/>
      <c r="C14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5" s="20" t="str">
        <f ca="1">IFERROR(__xludf.DUMMYFUNCTION("""COMPUTED_VALUE"""),"МинЖКХ")</f>
        <v>МинЖКХ</v>
      </c>
      <c r="E145" s="20" t="str">
        <f ca="1">IFERROR(__xludf.DUMMYFUNCTION("""COMPUTED_VALUE"""),"Приобретение, монтаж и ввод в эксплуатацию станции обезжелезивания на ВЗУ № 15, д. Стрелино, с. п. Кривцовское  Солнечногорский м.р.")</f>
        <v>Приобретение, монтаж и ввод в эксплуатацию станции обезжелезивания на ВЗУ № 15, д. Стрелино, с. п. Кривцовское  Солнечногорский м.р.</v>
      </c>
      <c r="F145" s="67" t="str">
        <f ca="1">IFERROR(__xludf.DUMMYFUNCTION("""COMPUTED_VALUE"""),"Н/Л")</f>
        <v>Н/Л</v>
      </c>
      <c r="G145" s="67" t="str">
        <f ca="1">IFERROR(__xludf.DUMMYFUNCTION("""COMPUTED_VALUE"""),"г.о. Солнечногорск")</f>
        <v>г.о. Солнечногорск</v>
      </c>
      <c r="H145" s="67" t="str">
        <f ca="1">IFERROR(__xludf.DUMMYFUNCTION("""COMPUTED_VALUE"""),"ВЗУ")</f>
        <v>ВЗУ</v>
      </c>
      <c r="I145" s="67"/>
      <c r="J145" s="67"/>
      <c r="K145" s="97">
        <f ca="1">IFERROR(__xludf.DUMMYFUNCTION("""COMPUTED_VALUE"""),0)</f>
        <v>0</v>
      </c>
      <c r="L145" s="97">
        <f ca="1">IFERROR(__xludf.DUMMYFUNCTION("""COMPUTED_VALUE"""),0)</f>
        <v>0</v>
      </c>
      <c r="M145" s="97">
        <f ca="1">IFERROR(__xludf.DUMMYFUNCTION("""COMPUTED_VALUE"""),0)</f>
        <v>0</v>
      </c>
      <c r="N145" s="67"/>
      <c r="O145" s="67"/>
      <c r="P145" s="67" t="str">
        <f ca="1">IFERROR(__xludf.DUMMYFUNCTION("""COMPUTED_VALUE"""),"Приобретение, монтаж")</f>
        <v>Приобретение, монтаж</v>
      </c>
      <c r="Q145" s="67" t="e">
        <f t="shared" ca="1" si="0"/>
        <v>#DIV/0!</v>
      </c>
      <c r="R145" s="67"/>
      <c r="S145" s="67"/>
      <c r="T145" s="67"/>
      <c r="U145" s="67"/>
      <c r="V145" s="67"/>
      <c r="W145" s="67"/>
      <c r="X145" s="67"/>
      <c r="Y145" s="67"/>
      <c r="Z145" s="67"/>
      <c r="AA145" s="67"/>
      <c r="AB145" s="67"/>
      <c r="AC145" s="67"/>
      <c r="AD145" s="67"/>
      <c r="AE145" s="67"/>
      <c r="AF145" s="67"/>
      <c r="AG145" s="67"/>
      <c r="AH145" s="67"/>
      <c r="AI145" s="67"/>
      <c r="AJ145" s="67"/>
      <c r="AK145" s="67"/>
      <c r="AL145" s="67"/>
      <c r="AM145" s="67"/>
    </row>
    <row r="146" spans="1:39" ht="84" hidden="1" x14ac:dyDescent="0.2">
      <c r="A146" s="67"/>
      <c r="B146" s="96"/>
      <c r="C14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6" s="20" t="str">
        <f ca="1">IFERROR(__xludf.DUMMYFUNCTION("""COMPUTED_VALUE"""),"МинЖКХ")</f>
        <v>МинЖКХ</v>
      </c>
      <c r="E146" s="20" t="str">
        <f ca="1">IFERROR(__xludf.DUMMYFUNCTION("""COMPUTED_VALUE"""),"Приобретение, монтаж и ввод в эксплуатацию станции обезжелезивания на ВЗУ № 19, д. Тараканово, с. п. Смирновское Солнечногорский м.р.")</f>
        <v>Приобретение, монтаж и ввод в эксплуатацию станции обезжелезивания на ВЗУ № 19, д. Тараканово, с. п. Смирновское Солнечногорский м.р.</v>
      </c>
      <c r="F146" s="67" t="str">
        <f ca="1">IFERROR(__xludf.DUMMYFUNCTION("""COMPUTED_VALUE"""),"Н/Л")</f>
        <v>Н/Л</v>
      </c>
      <c r="G146" s="67" t="str">
        <f ca="1">IFERROR(__xludf.DUMMYFUNCTION("""COMPUTED_VALUE"""),"г.о. Солнечногорск")</f>
        <v>г.о. Солнечногорск</v>
      </c>
      <c r="H146" s="67" t="str">
        <f ca="1">IFERROR(__xludf.DUMMYFUNCTION("""COMPUTED_VALUE"""),"ВЗУ")</f>
        <v>ВЗУ</v>
      </c>
      <c r="I146" s="67"/>
      <c r="J146" s="67"/>
      <c r="K146" s="97">
        <f ca="1">IFERROR(__xludf.DUMMYFUNCTION("""COMPUTED_VALUE"""),0)</f>
        <v>0</v>
      </c>
      <c r="L146" s="97">
        <f ca="1">IFERROR(__xludf.DUMMYFUNCTION("""COMPUTED_VALUE"""),0)</f>
        <v>0</v>
      </c>
      <c r="M146" s="97">
        <f ca="1">IFERROR(__xludf.DUMMYFUNCTION("""COMPUTED_VALUE"""),0)</f>
        <v>0</v>
      </c>
      <c r="N146" s="67"/>
      <c r="O146" s="67"/>
      <c r="P146" s="67" t="str">
        <f ca="1">IFERROR(__xludf.DUMMYFUNCTION("""COMPUTED_VALUE"""),"Приобретение, монтаж")</f>
        <v>Приобретение, монтаж</v>
      </c>
      <c r="Q146" s="67" t="e">
        <f t="shared" ca="1" si="0"/>
        <v>#DIV/0!</v>
      </c>
      <c r="R146" s="67"/>
      <c r="S146" s="67"/>
      <c r="T146" s="67"/>
      <c r="U146" s="67"/>
      <c r="V146" s="67"/>
      <c r="W146" s="67"/>
      <c r="X146" s="67"/>
      <c r="Y146" s="67"/>
      <c r="Z146" s="67"/>
      <c r="AA146" s="67"/>
      <c r="AB146" s="67"/>
      <c r="AC146" s="67"/>
      <c r="AD146" s="67"/>
      <c r="AE146" s="67"/>
      <c r="AF146" s="67"/>
      <c r="AG146" s="67"/>
      <c r="AH146" s="67"/>
      <c r="AI146" s="67"/>
      <c r="AJ146" s="67"/>
      <c r="AK146" s="67"/>
      <c r="AL146" s="67"/>
      <c r="AM146" s="67"/>
    </row>
    <row r="147" spans="1:39" ht="84" hidden="1" x14ac:dyDescent="0.2">
      <c r="A147" s="67"/>
      <c r="B147" s="96"/>
      <c r="C14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7" s="20" t="str">
        <f ca="1">IFERROR(__xludf.DUMMYFUNCTION("""COMPUTED_VALUE"""),"МинЖКХ")</f>
        <v>МинЖКХ</v>
      </c>
      <c r="E147" s="20" t="str">
        <f ca="1">IFERROR(__xludf.DUMMYFUNCTION("""COMPUTED_VALUE"""),"Капитальный ремонт ВЗУ  со станцией обезжелезивания, п. Краснознаменский г. Щелково, Щелковский м.р. ")</f>
        <v xml:space="preserve">Капитальный ремонт ВЗУ  со станцией обезжелезивания, п. Краснознаменский г. Щелково, Щелковский м.р. </v>
      </c>
      <c r="F147" s="67">
        <f ca="1">IFERROR(__xludf.DUMMYFUNCTION("""COMPUTED_VALUE"""),2021)</f>
        <v>2021</v>
      </c>
      <c r="G147" s="67" t="str">
        <f ca="1">IFERROR(__xludf.DUMMYFUNCTION("""COMPUTED_VALUE"""),"г.о. Щелково")</f>
        <v>г.о. Щелково</v>
      </c>
      <c r="H147" s="67" t="str">
        <f ca="1">IFERROR(__xludf.DUMMYFUNCTION("""COMPUTED_VALUE"""),"ВЗУ")</f>
        <v>ВЗУ</v>
      </c>
      <c r="I147" s="67"/>
      <c r="J147" s="67"/>
      <c r="K147" s="97">
        <f ca="1">IFERROR(__xludf.DUMMYFUNCTION("""COMPUTED_VALUE"""),11955.9)</f>
        <v>11955.9</v>
      </c>
      <c r="L147" s="97">
        <f ca="1">IFERROR(__xludf.DUMMYFUNCTION("""COMPUTED_VALUE"""),0)</f>
        <v>0</v>
      </c>
      <c r="M147" s="97">
        <f ca="1">IFERROR(__xludf.DUMMYFUNCTION("""COMPUTED_VALUE"""),0)</f>
        <v>0</v>
      </c>
      <c r="N147" s="67"/>
      <c r="O147" s="67"/>
      <c r="P147" s="67" t="str">
        <f ca="1">IFERROR(__xludf.DUMMYFUNCTION("""COMPUTED_VALUE"""),"СМР")</f>
        <v>СМР</v>
      </c>
      <c r="Q147" s="67">
        <f t="shared" ca="1" si="0"/>
        <v>0</v>
      </c>
      <c r="R147" s="67"/>
      <c r="S147" s="67"/>
      <c r="T147" s="67"/>
      <c r="U147" s="67"/>
      <c r="V147" s="67"/>
      <c r="W147" s="67"/>
      <c r="X147" s="67"/>
      <c r="Y147" s="67"/>
      <c r="Z147" s="67"/>
      <c r="AA147" s="67"/>
      <c r="AB147" s="67"/>
      <c r="AC147" s="67"/>
      <c r="AD147" s="67"/>
      <c r="AE147" s="67"/>
      <c r="AF147" s="67"/>
      <c r="AG147" s="67"/>
      <c r="AH147" s="67"/>
      <c r="AI147" s="67"/>
      <c r="AJ147" s="67"/>
      <c r="AK147" s="67"/>
      <c r="AL147" s="67"/>
      <c r="AM147" s="67"/>
    </row>
    <row r="148" spans="1:39" ht="84" hidden="1" x14ac:dyDescent="0.2">
      <c r="A148" s="67"/>
      <c r="B148" s="96"/>
      <c r="C14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8" s="20" t="str">
        <f ca="1">IFERROR(__xludf.DUMMYFUNCTION("""COMPUTED_VALUE"""),"МинЖКХ")</f>
        <v>МинЖКХ</v>
      </c>
      <c r="E148" s="20" t="str">
        <f ca="1">IFERROR(__xludf.DUMMYFUNCTION("""COMPUTED_VALUE"""),"Капитальный ремонт ВЗУ №3 со станцией обезжелезивания г. Щелково, ул. Центральная 1-ый и 2-ой этапы")</f>
        <v>Капитальный ремонт ВЗУ №3 со станцией обезжелезивания г. Щелково, ул. Центральная 1-ый и 2-ой этапы</v>
      </c>
      <c r="F148" s="67">
        <f ca="1">IFERROR(__xludf.DUMMYFUNCTION("""COMPUTED_VALUE"""),2021)</f>
        <v>2021</v>
      </c>
      <c r="G148" s="67" t="str">
        <f ca="1">IFERROR(__xludf.DUMMYFUNCTION("""COMPUTED_VALUE"""),"г.о. Щелково")</f>
        <v>г.о. Щелково</v>
      </c>
      <c r="H148" s="67" t="str">
        <f ca="1">IFERROR(__xludf.DUMMYFUNCTION("""COMPUTED_VALUE"""),"ВЗУ")</f>
        <v>ВЗУ</v>
      </c>
      <c r="I148" s="67"/>
      <c r="J148" s="67"/>
      <c r="K148" s="97">
        <f ca="1">IFERROR(__xludf.DUMMYFUNCTION("""COMPUTED_VALUE"""),25045.2199999999)</f>
        <v>25045.219999999899</v>
      </c>
      <c r="L148" s="97">
        <f ca="1">IFERROR(__xludf.DUMMYFUNCTION("""COMPUTED_VALUE"""),78667.54)</f>
        <v>78667.539999999994</v>
      </c>
      <c r="M148" s="97">
        <f ca="1">IFERROR(__xludf.DUMMYFUNCTION("""COMPUTED_VALUE"""),18880.21)</f>
        <v>18880.21</v>
      </c>
      <c r="N148" s="97">
        <f ca="1">IFERROR(__xludf.DUMMYFUNCTION("""COMPUTED_VALUE"""),0)</f>
        <v>0</v>
      </c>
      <c r="O148" s="97">
        <f ca="1">IFERROR(__xludf.DUMMYFUNCTION("""COMPUTED_VALUE"""),51212.57)</f>
        <v>51212.57</v>
      </c>
      <c r="P148" s="67" t="str">
        <f ca="1">IFERROR(__xludf.DUMMYFUNCTION("""COMPUTED_VALUE"""),"СМР")</f>
        <v>СМР</v>
      </c>
      <c r="Q148" s="67">
        <f t="shared" ca="1" si="0"/>
        <v>0</v>
      </c>
      <c r="R148" s="67"/>
      <c r="S148" s="67"/>
      <c r="T148" s="67"/>
      <c r="U148" s="67"/>
      <c r="V148" s="67"/>
      <c r="W148" s="67"/>
      <c r="X148" s="67"/>
      <c r="Y148" s="67"/>
      <c r="Z148" s="67"/>
      <c r="AA148" s="67"/>
      <c r="AB148" s="67"/>
      <c r="AC148" s="67"/>
      <c r="AD148" s="67"/>
      <c r="AE148" s="67"/>
      <c r="AF148" s="67"/>
      <c r="AG148" s="67"/>
      <c r="AH148" s="67"/>
      <c r="AI148" s="67"/>
      <c r="AJ148" s="67"/>
      <c r="AK148" s="67"/>
      <c r="AL148" s="67"/>
      <c r="AM148" s="67"/>
    </row>
    <row r="149" spans="1:39" ht="84" hidden="1" x14ac:dyDescent="0.2">
      <c r="A149" s="67"/>
      <c r="B149" s="96"/>
      <c r="C14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9" s="20" t="str">
        <f ca="1">IFERROR(__xludf.DUMMYFUNCTION("""COMPUTED_VALUE"""),"МинЖКХ")</f>
        <v>МинЖКХ</v>
      </c>
      <c r="E149" s="20" t="str">
        <f ca="1">IFERROR(__xludf.DUMMYFUNCTION("""COMPUTED_VALUE"""),"Капитальный ремонт ВЗУ  со станцией обезжелезивания  ул. Розы Люксембург, г.п. Загорянский  Щелковский муниципальный район Московской области (I этап)")</f>
        <v>Капитальный ремонт ВЗУ  со станцией обезжелезивания  ул. Розы Люксембург, г.п. Загорянский  Щелковский муниципальный район Московской области (I этап)</v>
      </c>
      <c r="F149" s="67" t="str">
        <f ca="1">IFERROR(__xludf.DUMMYFUNCTION("""COMPUTED_VALUE"""),"Н/Л")</f>
        <v>Н/Л</v>
      </c>
      <c r="G149" s="67" t="str">
        <f ca="1">IFERROR(__xludf.DUMMYFUNCTION("""COMPUTED_VALUE"""),"г.о. Щелково")</f>
        <v>г.о. Щелково</v>
      </c>
      <c r="H149" s="67" t="str">
        <f ca="1">IFERROR(__xludf.DUMMYFUNCTION("""COMPUTED_VALUE"""),"ВЗУ")</f>
        <v>ВЗУ</v>
      </c>
      <c r="I149" s="67"/>
      <c r="J149" s="67"/>
      <c r="K149" s="97">
        <f ca="1">IFERROR(__xludf.DUMMYFUNCTION("""COMPUTED_VALUE"""),5061.54)</f>
        <v>5061.54</v>
      </c>
      <c r="L149" s="97">
        <f ca="1">IFERROR(__xludf.DUMMYFUNCTION("""COMPUTED_VALUE"""),0)</f>
        <v>0</v>
      </c>
      <c r="M149" s="97">
        <f ca="1">IFERROR(__xludf.DUMMYFUNCTION("""COMPUTED_VALUE"""),0)</f>
        <v>0</v>
      </c>
      <c r="N149" s="67"/>
      <c r="O149" s="67"/>
      <c r="P149" s="67" t="str">
        <f ca="1">IFERROR(__xludf.DUMMYFUNCTION("""COMPUTED_VALUE"""),"СМР")</f>
        <v>СМР</v>
      </c>
      <c r="Q149" s="67">
        <f t="shared" ca="1" si="0"/>
        <v>0</v>
      </c>
      <c r="R149" s="67"/>
      <c r="S149" s="67"/>
      <c r="T149" s="67"/>
      <c r="U149" s="67"/>
      <c r="V149" s="67"/>
      <c r="W149" s="67"/>
      <c r="X149" s="67"/>
      <c r="Y149" s="67"/>
      <c r="Z149" s="67"/>
      <c r="AA149" s="67"/>
      <c r="AB149" s="67"/>
      <c r="AC149" s="67"/>
      <c r="AD149" s="67"/>
      <c r="AE149" s="67"/>
      <c r="AF149" s="67"/>
      <c r="AG149" s="67"/>
      <c r="AH149" s="67"/>
      <c r="AI149" s="67"/>
      <c r="AJ149" s="67"/>
      <c r="AK149" s="67"/>
      <c r="AL149" s="67"/>
      <c r="AM149" s="67"/>
    </row>
    <row r="150" spans="1:39" ht="84" hidden="1" x14ac:dyDescent="0.2">
      <c r="A150" s="67"/>
      <c r="B150" s="96"/>
      <c r="C15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0" s="20" t="str">
        <f ca="1">IFERROR(__xludf.DUMMYFUNCTION("""COMPUTED_VALUE"""),"МинЖКХ")</f>
        <v>МинЖКХ</v>
      </c>
      <c r="E150" s="20" t="str">
        <f ca="1">IFERROR(__xludf.DUMMYFUNCTION("""COMPUTED_VALUE"""),"Приобретение,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f>
        <v>Приобретение, монтаж и ввод в эксплуатацию станции обезжелезивания на ВЗУ К. Маркса, г.п. Загорянский,Щелковский м.р (погашение кредиторской задолженности - 2549,24 т.р)</v>
      </c>
      <c r="F150" s="67" t="str">
        <f ca="1">IFERROR(__xludf.DUMMYFUNCTION("""COMPUTED_VALUE"""),"Н/Л")</f>
        <v>Н/Л</v>
      </c>
      <c r="G150" s="67" t="str">
        <f ca="1">IFERROR(__xludf.DUMMYFUNCTION("""COMPUTED_VALUE"""),"г.о. Щелково")</f>
        <v>г.о. Щелково</v>
      </c>
      <c r="H150" s="67" t="str">
        <f ca="1">IFERROR(__xludf.DUMMYFUNCTION("""COMPUTED_VALUE"""),"ВЗУ")</f>
        <v>ВЗУ</v>
      </c>
      <c r="I150" s="67"/>
      <c r="J150" s="67"/>
      <c r="K150" s="97">
        <f ca="1">IFERROR(__xludf.DUMMYFUNCTION("""COMPUTED_VALUE"""),324.65)</f>
        <v>324.64999999999998</v>
      </c>
      <c r="L150" s="97">
        <f ca="1">IFERROR(__xludf.DUMMYFUNCTION("""COMPUTED_VALUE"""),649.3)</f>
        <v>649.29999999999995</v>
      </c>
      <c r="M150" s="97">
        <f ca="1">IFERROR(__xludf.DUMMYFUNCTION("""COMPUTED_VALUE"""),324.65)</f>
        <v>324.64999999999998</v>
      </c>
      <c r="N150" s="97">
        <f ca="1">IFERROR(__xludf.DUMMYFUNCTION("""COMPUTED_VALUE"""),0)</f>
        <v>0</v>
      </c>
      <c r="O150" s="97">
        <f ca="1">IFERROR(__xludf.DUMMYFUNCTION("""COMPUTED_VALUE"""),0)</f>
        <v>0</v>
      </c>
      <c r="P150" s="67" t="str">
        <f ca="1">IFERROR(__xludf.DUMMYFUNCTION("""COMPUTED_VALUE"""),"Приобретение, монтаж")</f>
        <v>Приобретение, монтаж</v>
      </c>
      <c r="Q150" s="67">
        <f t="shared" ca="1" si="0"/>
        <v>0</v>
      </c>
      <c r="R150" s="67"/>
      <c r="S150" s="67"/>
      <c r="T150" s="67"/>
      <c r="U150" s="67"/>
      <c r="V150" s="67"/>
      <c r="W150" s="67"/>
      <c r="X150" s="67"/>
      <c r="Y150" s="67"/>
      <c r="Z150" s="67"/>
      <c r="AA150" s="67"/>
      <c r="AB150" s="67"/>
      <c r="AC150" s="67"/>
      <c r="AD150" s="67"/>
      <c r="AE150" s="67"/>
      <c r="AF150" s="67"/>
      <c r="AG150" s="67"/>
      <c r="AH150" s="67"/>
      <c r="AI150" s="67"/>
      <c r="AJ150" s="67"/>
      <c r="AK150" s="67"/>
      <c r="AL150" s="67"/>
      <c r="AM150" s="67"/>
    </row>
    <row r="151" spans="1:39" ht="84" hidden="1" x14ac:dyDescent="0.2">
      <c r="A151" s="67"/>
      <c r="B151" s="96"/>
      <c r="C15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1" s="20" t="str">
        <f ca="1">IFERROR(__xludf.DUMMYFUNCTION("""COMPUTED_VALUE"""),"МинЖКХ")</f>
        <v>МинЖКХ</v>
      </c>
      <c r="E151" s="20" t="str">
        <f ca="1">IFERROR(__xludf.DUMMYFUNCTION("""COMPUTED_VALUE"""),"Приобретение,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f>
        <v>Приобретение, монтаж и ввод в эксплуатацию станции обезжелезивания на ВЗУ, д. Старая Слобода, с.п. Гребневское, Щелковский м.р.  (погашение кредиторской задолженности - 2 526,77 т.р)</v>
      </c>
      <c r="F151" s="67" t="str">
        <f ca="1">IFERROR(__xludf.DUMMYFUNCTION("""COMPUTED_VALUE"""),"Н/Л")</f>
        <v>Н/Л</v>
      </c>
      <c r="G151" s="67" t="str">
        <f ca="1">IFERROR(__xludf.DUMMYFUNCTION("""COMPUTED_VALUE"""),"г.о. Щелково")</f>
        <v>г.о. Щелково</v>
      </c>
      <c r="H151" s="67" t="str">
        <f ca="1">IFERROR(__xludf.DUMMYFUNCTION("""COMPUTED_VALUE"""),"ВЗУ")</f>
        <v>ВЗУ</v>
      </c>
      <c r="I151" s="67"/>
      <c r="J151" s="67"/>
      <c r="K151" s="97">
        <f ca="1">IFERROR(__xludf.DUMMYFUNCTION("""COMPUTED_VALUE"""),282.99)</f>
        <v>282.99</v>
      </c>
      <c r="L151" s="97">
        <f ca="1">IFERROR(__xludf.DUMMYFUNCTION("""COMPUTED_VALUE"""),565.98)</f>
        <v>565.98</v>
      </c>
      <c r="M151" s="97">
        <f ca="1">IFERROR(__xludf.DUMMYFUNCTION("""COMPUTED_VALUE"""),282.99)</f>
        <v>282.99</v>
      </c>
      <c r="N151" s="97">
        <f ca="1">IFERROR(__xludf.DUMMYFUNCTION("""COMPUTED_VALUE"""),0)</f>
        <v>0</v>
      </c>
      <c r="O151" s="97">
        <f ca="1">IFERROR(__xludf.DUMMYFUNCTION("""COMPUTED_VALUE"""),0)</f>
        <v>0</v>
      </c>
      <c r="P151" s="67" t="str">
        <f ca="1">IFERROR(__xludf.DUMMYFUNCTION("""COMPUTED_VALUE"""),"Приобретение, монтаж")</f>
        <v>Приобретение, монтаж</v>
      </c>
      <c r="Q151" s="67">
        <f t="shared" ca="1" si="0"/>
        <v>0</v>
      </c>
      <c r="R151" s="67"/>
      <c r="S151" s="67"/>
      <c r="T151" s="67"/>
      <c r="U151" s="67"/>
      <c r="V151" s="67"/>
      <c r="W151" s="67"/>
      <c r="X151" s="67"/>
      <c r="Y151" s="67"/>
      <c r="Z151" s="67"/>
      <c r="AA151" s="67"/>
      <c r="AB151" s="67"/>
      <c r="AC151" s="67"/>
      <c r="AD151" s="67"/>
      <c r="AE151" s="67"/>
      <c r="AF151" s="67"/>
      <c r="AG151" s="67"/>
      <c r="AH151" s="67"/>
      <c r="AI151" s="67"/>
      <c r="AJ151" s="67"/>
      <c r="AK151" s="67"/>
      <c r="AL151" s="67"/>
      <c r="AM151" s="67"/>
    </row>
    <row r="152" spans="1:39" ht="84" hidden="1" x14ac:dyDescent="0.2">
      <c r="A152" s="67"/>
      <c r="B152" s="96"/>
      <c r="C15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2" s="20" t="str">
        <f ca="1">IFERROR(__xludf.DUMMYFUNCTION("""COMPUTED_VALUE"""),"МинЖКХ")</f>
        <v>МинЖКХ</v>
      </c>
      <c r="E152" s="20" t="str">
        <f ca="1">IFERROR(__xludf.DUMMYFUNCTION("""COMPUTED_VALUE"""),"Приобретение,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f>
        <v>Приобретение, монтаж и ввод в эксплуатацию станции обезжелезивания, Сергиево-Посадский м.р,. д. Марьино (с.п. Шеметовское) (в том числе  погашение кредиторской задолженности - 1412,79 т.р.)</v>
      </c>
      <c r="F152" s="67" t="str">
        <f ca="1">IFERROR(__xludf.DUMMYFUNCTION("""COMPUTED_VALUE"""),"Н/Л")</f>
        <v>Н/Л</v>
      </c>
      <c r="G152" s="67" t="str">
        <f ca="1">IFERROR(__xludf.DUMMYFUNCTION("""COMPUTED_VALUE"""),"г.о. Сергиев Посад")</f>
        <v>г.о. Сергиев Посад</v>
      </c>
      <c r="H152" s="67" t="str">
        <f ca="1">IFERROR(__xludf.DUMMYFUNCTION("""COMPUTED_VALUE"""),"ВЗУ")</f>
        <v>ВЗУ</v>
      </c>
      <c r="I152" s="67"/>
      <c r="J152" s="67"/>
      <c r="K152" s="97">
        <f ca="1">IFERROR(__xludf.DUMMYFUNCTION("""COMPUTED_VALUE"""),0)</f>
        <v>0</v>
      </c>
      <c r="L152" s="97">
        <f ca="1">IFERROR(__xludf.DUMMYFUNCTION("""COMPUTED_VALUE"""),0)</f>
        <v>0</v>
      </c>
      <c r="M152" s="97">
        <f ca="1">IFERROR(__xludf.DUMMYFUNCTION("""COMPUTED_VALUE"""),0)</f>
        <v>0</v>
      </c>
      <c r="N152" s="67"/>
      <c r="O152" s="67"/>
      <c r="P152" s="67" t="str">
        <f ca="1">IFERROR(__xludf.DUMMYFUNCTION("""COMPUTED_VALUE"""),"Приобретение, монтаж")</f>
        <v>Приобретение, монтаж</v>
      </c>
      <c r="Q152" s="67" t="e">
        <f t="shared" ca="1" si="0"/>
        <v>#DIV/0!</v>
      </c>
      <c r="R152" s="67"/>
      <c r="S152" s="67"/>
      <c r="T152" s="67"/>
      <c r="U152" s="67"/>
      <c r="V152" s="67"/>
      <c r="W152" s="67"/>
      <c r="X152" s="67"/>
      <c r="Y152" s="67"/>
      <c r="Z152" s="67"/>
      <c r="AA152" s="67"/>
      <c r="AB152" s="67"/>
      <c r="AC152" s="67"/>
      <c r="AD152" s="67"/>
      <c r="AE152" s="67"/>
      <c r="AF152" s="67"/>
      <c r="AG152" s="67"/>
      <c r="AH152" s="67"/>
      <c r="AI152" s="67"/>
      <c r="AJ152" s="67"/>
      <c r="AK152" s="67"/>
      <c r="AL152" s="67"/>
      <c r="AM152" s="67"/>
    </row>
    <row r="153" spans="1:39" ht="84" hidden="1" x14ac:dyDescent="0.2">
      <c r="A153" s="67"/>
      <c r="B153" s="96"/>
      <c r="C15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3" s="20" t="str">
        <f ca="1">IFERROR(__xludf.DUMMYFUNCTION("""COMPUTED_VALUE"""),"МинЖКХ")</f>
        <v>МинЖКХ</v>
      </c>
      <c r="E153" s="20" t="str">
        <f ca="1">IFERROR(__xludf.DUMMYFUNCTION("""COMPUTED_VALUE"""),"Приобретение, монтаж и ввод в эксплуатацию станции водоочистки, Сергиево-Посадский м.р., с.п. Шеметово, д. Самотовино")</f>
        <v>Приобретение, монтаж и ввод в эксплуатацию станции водоочистки, Сергиево-Посадский м.р., с.п. Шеметово, д. Самотовино</v>
      </c>
      <c r="F153" s="67" t="str">
        <f ca="1">IFERROR(__xludf.DUMMYFUNCTION("""COMPUTED_VALUE"""),"Н/Л")</f>
        <v>Н/Л</v>
      </c>
      <c r="G153" s="67" t="str">
        <f ca="1">IFERROR(__xludf.DUMMYFUNCTION("""COMPUTED_VALUE"""),"г.о. Сергиев Посад")</f>
        <v>г.о. Сергиев Посад</v>
      </c>
      <c r="H153" s="67" t="str">
        <f ca="1">IFERROR(__xludf.DUMMYFUNCTION("""COMPUTED_VALUE"""),"ВЗУ")</f>
        <v>ВЗУ</v>
      </c>
      <c r="I153" s="67"/>
      <c r="J153" s="67"/>
      <c r="K153" s="97">
        <f ca="1">IFERROR(__xludf.DUMMYFUNCTION("""COMPUTED_VALUE"""),0)</f>
        <v>0</v>
      </c>
      <c r="L153" s="97">
        <f ca="1">IFERROR(__xludf.DUMMYFUNCTION("""COMPUTED_VALUE"""),0)</f>
        <v>0</v>
      </c>
      <c r="M153" s="97">
        <f ca="1">IFERROR(__xludf.DUMMYFUNCTION("""COMPUTED_VALUE"""),0)</f>
        <v>0</v>
      </c>
      <c r="N153" s="67"/>
      <c r="O153" s="67"/>
      <c r="P153" s="67" t="str">
        <f ca="1">IFERROR(__xludf.DUMMYFUNCTION("""COMPUTED_VALUE"""),"Приобретение, монтаж")</f>
        <v>Приобретение, монтаж</v>
      </c>
      <c r="Q153" s="67" t="e">
        <f t="shared" ca="1" si="0"/>
        <v>#DIV/0!</v>
      </c>
      <c r="R153" s="67"/>
      <c r="S153" s="67"/>
      <c r="T153" s="67"/>
      <c r="U153" s="67"/>
      <c r="V153" s="67"/>
      <c r="W153" s="67"/>
      <c r="X153" s="67"/>
      <c r="Y153" s="67"/>
      <c r="Z153" s="67"/>
      <c r="AA153" s="67"/>
      <c r="AB153" s="67"/>
      <c r="AC153" s="67"/>
      <c r="AD153" s="67"/>
      <c r="AE153" s="67"/>
      <c r="AF153" s="67"/>
      <c r="AG153" s="67"/>
      <c r="AH153" s="67"/>
      <c r="AI153" s="67"/>
      <c r="AJ153" s="67"/>
      <c r="AK153" s="67"/>
      <c r="AL153" s="67"/>
      <c r="AM153" s="67"/>
    </row>
    <row r="154" spans="1:39" ht="84" hidden="1" x14ac:dyDescent="0.2">
      <c r="A154" s="67"/>
      <c r="B154" s="96"/>
      <c r="C15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4" s="20" t="str">
        <f ca="1">IFERROR(__xludf.DUMMYFUNCTION("""COMPUTED_VALUE"""),"МинЖКХ")</f>
        <v>МинЖКХ</v>
      </c>
      <c r="E154" s="20" t="str">
        <f ca="1">IFERROR(__xludf.DUMMYFUNCTION("""COMPUTED_VALUE"""),"Капитальный ремонт ВЗУ в п. Архангельское Красногорского района")</f>
        <v>Капитальный ремонт ВЗУ в п. Архангельское Красногорского района</v>
      </c>
      <c r="F154" s="67" t="str">
        <f ca="1">IFERROR(__xludf.DUMMYFUNCTION("""COMPUTED_VALUE"""),"Н/Л")</f>
        <v>Н/Л</v>
      </c>
      <c r="G154" s="67" t="str">
        <f ca="1">IFERROR(__xludf.DUMMYFUNCTION("""COMPUTED_VALUE"""),"г.о. Красногорск")</f>
        <v>г.о. Красногорск</v>
      </c>
      <c r="H154" s="67" t="str">
        <f ca="1">IFERROR(__xludf.DUMMYFUNCTION("""COMPUTED_VALUE"""),"ВЗУ")</f>
        <v>ВЗУ</v>
      </c>
      <c r="I154" s="67"/>
      <c r="J154" s="67"/>
      <c r="K154" s="97">
        <f ca="1">IFERROR(__xludf.DUMMYFUNCTION("""COMPUTED_VALUE"""),0)</f>
        <v>0</v>
      </c>
      <c r="L154" s="97">
        <f ca="1">IFERROR(__xludf.DUMMYFUNCTION("""COMPUTED_VALUE"""),0)</f>
        <v>0</v>
      </c>
      <c r="M154" s="97">
        <f ca="1">IFERROR(__xludf.DUMMYFUNCTION("""COMPUTED_VALUE"""),0)</f>
        <v>0</v>
      </c>
      <c r="N154" s="67"/>
      <c r="O154" s="67"/>
      <c r="P154" s="67" t="str">
        <f ca="1">IFERROR(__xludf.DUMMYFUNCTION("""COMPUTED_VALUE"""),"СМР")</f>
        <v>СМР</v>
      </c>
      <c r="Q154" s="67" t="e">
        <f t="shared" ca="1" si="0"/>
        <v>#DIV/0!</v>
      </c>
      <c r="R154" s="67"/>
      <c r="S154" s="67"/>
      <c r="T154" s="67"/>
      <c r="U154" s="67"/>
      <c r="V154" s="67"/>
      <c r="W154" s="67"/>
      <c r="X154" s="67"/>
      <c r="Y154" s="67"/>
      <c r="Z154" s="67"/>
      <c r="AA154" s="67"/>
      <c r="AB154" s="67"/>
      <c r="AC154" s="67"/>
      <c r="AD154" s="67"/>
      <c r="AE154" s="67"/>
      <c r="AF154" s="67"/>
      <c r="AG154" s="67"/>
      <c r="AH154" s="67"/>
      <c r="AI154" s="67"/>
      <c r="AJ154" s="67"/>
      <c r="AK154" s="67"/>
      <c r="AL154" s="67"/>
      <c r="AM154" s="67"/>
    </row>
    <row r="155" spans="1:39" ht="96" hidden="1" x14ac:dyDescent="0.2">
      <c r="A155" s="67"/>
      <c r="B155" s="96"/>
      <c r="C15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5" s="20" t="str">
        <f ca="1">IFERROR(__xludf.DUMMYFUNCTION("""COMPUTED_VALUE"""),"МинЖКХ")</f>
        <v>МинЖКХ</v>
      </c>
      <c r="E155" s="20" t="str">
        <f ca="1">IFERROR(__xludf.DUMMYFUNCTION("""COMPUTED_VALUE"""),"Приобретение,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f>
        <v>Приобретение, монтаж и ввод в эксплуатацию станции водогоподготовки на ВЗУ № 8, мкр. Железнодорожный , пер. Парковый, д. 8В (в том числе погашение кредиторской задолженности-7884,00 тыс.руб.) г.о. Балашиха</v>
      </c>
      <c r="F155" s="67" t="str">
        <f ca="1">IFERROR(__xludf.DUMMYFUNCTION("""COMPUTED_VALUE"""),"Н/Л")</f>
        <v>Н/Л</v>
      </c>
      <c r="G155" s="67" t="str">
        <f ca="1">IFERROR(__xludf.DUMMYFUNCTION("""COMPUTED_VALUE"""),"г.о. Балашиха")</f>
        <v>г.о. Балашиха</v>
      </c>
      <c r="H155" s="67" t="str">
        <f ca="1">IFERROR(__xludf.DUMMYFUNCTION("""COMPUTED_VALUE"""),"ВЗУ")</f>
        <v>ВЗУ</v>
      </c>
      <c r="I155" s="67"/>
      <c r="J155" s="67"/>
      <c r="K155" s="97">
        <f ca="1">IFERROR(__xludf.DUMMYFUNCTION("""COMPUTED_VALUE"""),0)</f>
        <v>0</v>
      </c>
      <c r="L155" s="97">
        <f ca="1">IFERROR(__xludf.DUMMYFUNCTION("""COMPUTED_VALUE"""),0)</f>
        <v>0</v>
      </c>
      <c r="M155" s="97">
        <f ca="1">IFERROR(__xludf.DUMMYFUNCTION("""COMPUTED_VALUE"""),0)</f>
        <v>0</v>
      </c>
      <c r="N155" s="67"/>
      <c r="O155" s="67"/>
      <c r="P155" s="67" t="str">
        <f ca="1">IFERROR(__xludf.DUMMYFUNCTION("""COMPUTED_VALUE"""),"Приобретение, монтаж")</f>
        <v>Приобретение, монтаж</v>
      </c>
      <c r="Q155" s="67" t="e">
        <f t="shared" ca="1" si="0"/>
        <v>#DIV/0!</v>
      </c>
      <c r="R155" s="67"/>
      <c r="S155" s="67"/>
      <c r="T155" s="67"/>
      <c r="U155" s="67"/>
      <c r="V155" s="67"/>
      <c r="W155" s="67"/>
      <c r="X155" s="67"/>
      <c r="Y155" s="67"/>
      <c r="Z155" s="67"/>
      <c r="AA155" s="67"/>
      <c r="AB155" s="67"/>
      <c r="AC155" s="67"/>
      <c r="AD155" s="67"/>
      <c r="AE155" s="67"/>
      <c r="AF155" s="67"/>
      <c r="AG155" s="67"/>
      <c r="AH155" s="67"/>
      <c r="AI155" s="67"/>
      <c r="AJ155" s="67"/>
      <c r="AK155" s="67"/>
      <c r="AL155" s="67"/>
      <c r="AM155" s="67"/>
    </row>
    <row r="156" spans="1:39" ht="84" hidden="1" x14ac:dyDescent="0.2">
      <c r="A156" s="67"/>
      <c r="B156" s="96"/>
      <c r="C15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6" s="20" t="str">
        <f ca="1">IFERROR(__xludf.DUMMYFUNCTION("""COMPUTED_VALUE"""),"МинЖКХ")</f>
        <v>МинЖКХ</v>
      </c>
      <c r="E156" s="20" t="str">
        <f ca="1">IFERROR(__xludf.DUMMYFUNCTION("""COMPUTED_VALUE"""),"Капитальный ремонт ВЗУ № 4 по адресу: Московская область, Пушкинский муниципальный район, г.Пушкино, мкр. Новая деревня  ")</f>
        <v xml:space="preserve">Капитальный ремонт ВЗУ № 4 по адресу: Московская область, Пушкинский муниципальный район, г.Пушкино, мкр. Новая деревня  </v>
      </c>
      <c r="F156" s="67" t="str">
        <f ca="1">IFERROR(__xludf.DUMMYFUNCTION("""COMPUTED_VALUE"""),"Н/Л")</f>
        <v>Н/Л</v>
      </c>
      <c r="G156" s="67" t="str">
        <f ca="1">IFERROR(__xludf.DUMMYFUNCTION("""COMPUTED_VALUE"""),"г.о. Пушкинский")</f>
        <v>г.о. Пушкинский</v>
      </c>
      <c r="H156" s="67" t="str">
        <f ca="1">IFERROR(__xludf.DUMMYFUNCTION("""COMPUTED_VALUE"""),"ВЗУ")</f>
        <v>ВЗУ</v>
      </c>
      <c r="I156" s="67"/>
      <c r="J156" s="67"/>
      <c r="K156" s="97">
        <f ca="1">IFERROR(__xludf.DUMMYFUNCTION("""COMPUTED_VALUE"""),0)</f>
        <v>0</v>
      </c>
      <c r="L156" s="97">
        <f ca="1">IFERROR(__xludf.DUMMYFUNCTION("""COMPUTED_VALUE"""),0)</f>
        <v>0</v>
      </c>
      <c r="M156" s="97">
        <f ca="1">IFERROR(__xludf.DUMMYFUNCTION("""COMPUTED_VALUE"""),0)</f>
        <v>0</v>
      </c>
      <c r="N156" s="67"/>
      <c r="O156" s="67"/>
      <c r="P156" s="67" t="str">
        <f ca="1">IFERROR(__xludf.DUMMYFUNCTION("""COMPUTED_VALUE"""),"СМР")</f>
        <v>СМР</v>
      </c>
      <c r="Q156" s="67" t="e">
        <f t="shared" ca="1" si="0"/>
        <v>#DIV/0!</v>
      </c>
      <c r="R156" s="67"/>
      <c r="S156" s="67"/>
      <c r="T156" s="67"/>
      <c r="U156" s="67"/>
      <c r="V156" s="67"/>
      <c r="W156" s="67"/>
      <c r="X156" s="67"/>
      <c r="Y156" s="67"/>
      <c r="Z156" s="67"/>
      <c r="AA156" s="67"/>
      <c r="AB156" s="67"/>
      <c r="AC156" s="67"/>
      <c r="AD156" s="67"/>
      <c r="AE156" s="67"/>
      <c r="AF156" s="67"/>
      <c r="AG156" s="67"/>
      <c r="AH156" s="67"/>
      <c r="AI156" s="67"/>
      <c r="AJ156" s="67"/>
      <c r="AK156" s="67"/>
      <c r="AL156" s="67"/>
      <c r="AM156" s="67"/>
    </row>
    <row r="157" spans="1:39" ht="84" hidden="1" x14ac:dyDescent="0.2">
      <c r="A157" s="67"/>
      <c r="B157" s="96"/>
      <c r="C15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7" s="20" t="str">
        <f ca="1">IFERROR(__xludf.DUMMYFUNCTION("""COMPUTED_VALUE"""),"МинЖКХ")</f>
        <v>МинЖКХ</v>
      </c>
      <c r="E157" s="20" t="str">
        <f ca="1">IFERROR(__xludf.DUMMYFUNCTION("""COMPUTED_VALUE"""),"Приобретение, монтаж и ввод в эксплуатацию станции водоочистки по адресу: д. Михали, г.о. Егорьевск. ")</f>
        <v xml:space="preserve">Приобретение, монтаж и ввод в эксплуатацию станции водоочистки по адресу: д. Михали, г.о. Егорьевск. </v>
      </c>
      <c r="F157" s="67" t="str">
        <f ca="1">IFERROR(__xludf.DUMMYFUNCTION("""COMPUTED_VALUE"""),"Н/Л")</f>
        <v>Н/Л</v>
      </c>
      <c r="G157" s="67" t="str">
        <f ca="1">IFERROR(__xludf.DUMMYFUNCTION("""COMPUTED_VALUE"""),"г.о. Егорьевск")</f>
        <v>г.о. Егорьевск</v>
      </c>
      <c r="H157" s="67" t="str">
        <f ca="1">IFERROR(__xludf.DUMMYFUNCTION("""COMPUTED_VALUE"""),"ВЗУ")</f>
        <v>ВЗУ</v>
      </c>
      <c r="I157" s="67"/>
      <c r="J157" s="67"/>
      <c r="K157" s="97">
        <f ca="1">IFERROR(__xludf.DUMMYFUNCTION("""COMPUTED_VALUE"""),0)</f>
        <v>0</v>
      </c>
      <c r="L157" s="97">
        <f ca="1">IFERROR(__xludf.DUMMYFUNCTION("""COMPUTED_VALUE"""),0)</f>
        <v>0</v>
      </c>
      <c r="M157" s="97">
        <f ca="1">IFERROR(__xludf.DUMMYFUNCTION("""COMPUTED_VALUE"""),0)</f>
        <v>0</v>
      </c>
      <c r="N157" s="67"/>
      <c r="O157" s="67"/>
      <c r="P157" s="67" t="str">
        <f ca="1">IFERROR(__xludf.DUMMYFUNCTION("""COMPUTED_VALUE"""),"Приобретение, монтаж")</f>
        <v>Приобретение, монтаж</v>
      </c>
      <c r="Q157" s="67" t="e">
        <f t="shared" ca="1" si="0"/>
        <v>#DIV/0!</v>
      </c>
      <c r="R157" s="67"/>
      <c r="S157" s="67"/>
      <c r="T157" s="67"/>
      <c r="U157" s="67"/>
      <c r="V157" s="67"/>
      <c r="W157" s="67"/>
      <c r="X157" s="67"/>
      <c r="Y157" s="67"/>
      <c r="Z157" s="67"/>
      <c r="AA157" s="67"/>
      <c r="AB157" s="67"/>
      <c r="AC157" s="67"/>
      <c r="AD157" s="67"/>
      <c r="AE157" s="67"/>
      <c r="AF157" s="67"/>
      <c r="AG157" s="67"/>
      <c r="AH157" s="67"/>
      <c r="AI157" s="67"/>
      <c r="AJ157" s="67"/>
      <c r="AK157" s="67"/>
      <c r="AL157" s="67"/>
      <c r="AM157" s="67"/>
    </row>
    <row r="158" spans="1:39" ht="84" hidden="1" x14ac:dyDescent="0.2">
      <c r="A158" s="67"/>
      <c r="B158" s="96"/>
      <c r="C15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8" s="20" t="str">
        <f ca="1">IFERROR(__xludf.DUMMYFUNCTION("""COMPUTED_VALUE"""),"МинЖКХ")</f>
        <v>МинЖКХ</v>
      </c>
      <c r="E158" s="20" t="str">
        <f ca="1">IFERROR(__xludf.DUMMYFUNCTION("""COMPUTED_VALUE"""),"Приобретение, монтаж и ввод в эксплуатацию станции водоочистки по адресу: д.Клеменово, г.о. Егорьевск. ")</f>
        <v xml:space="preserve">Приобретение, монтаж и ввод в эксплуатацию станции водоочистки по адресу: д.Клеменово, г.о. Егорьевск. </v>
      </c>
      <c r="F158" s="67" t="str">
        <f ca="1">IFERROR(__xludf.DUMMYFUNCTION("""COMPUTED_VALUE"""),"Н/Л")</f>
        <v>Н/Л</v>
      </c>
      <c r="G158" s="67" t="str">
        <f ca="1">IFERROR(__xludf.DUMMYFUNCTION("""COMPUTED_VALUE"""),"г.о. Егорьевск")</f>
        <v>г.о. Егорьевск</v>
      </c>
      <c r="H158" s="67" t="str">
        <f ca="1">IFERROR(__xludf.DUMMYFUNCTION("""COMPUTED_VALUE"""),"ВЗУ")</f>
        <v>ВЗУ</v>
      </c>
      <c r="I158" s="67"/>
      <c r="J158" s="67"/>
      <c r="K158" s="97">
        <f ca="1">IFERROR(__xludf.DUMMYFUNCTION("""COMPUTED_VALUE"""),0)</f>
        <v>0</v>
      </c>
      <c r="L158" s="97">
        <f ca="1">IFERROR(__xludf.DUMMYFUNCTION("""COMPUTED_VALUE"""),0)</f>
        <v>0</v>
      </c>
      <c r="M158" s="97">
        <f ca="1">IFERROR(__xludf.DUMMYFUNCTION("""COMPUTED_VALUE"""),0)</f>
        <v>0</v>
      </c>
      <c r="N158" s="67"/>
      <c r="O158" s="67"/>
      <c r="P158" s="67" t="str">
        <f ca="1">IFERROR(__xludf.DUMMYFUNCTION("""COMPUTED_VALUE"""),"Приобретение, монтаж")</f>
        <v>Приобретение, монтаж</v>
      </c>
      <c r="Q158" s="67" t="e">
        <f t="shared" ca="1" si="0"/>
        <v>#DIV/0!</v>
      </c>
      <c r="R158" s="67"/>
      <c r="S158" s="67"/>
      <c r="T158" s="67"/>
      <c r="U158" s="67"/>
      <c r="V158" s="67"/>
      <c r="W158" s="67"/>
      <c r="X158" s="67"/>
      <c r="Y158" s="67"/>
      <c r="Z158" s="67"/>
      <c r="AA158" s="67"/>
      <c r="AB158" s="67"/>
      <c r="AC158" s="67"/>
      <c r="AD158" s="67"/>
      <c r="AE158" s="67"/>
      <c r="AF158" s="67"/>
      <c r="AG158" s="67"/>
      <c r="AH158" s="67"/>
      <c r="AI158" s="67"/>
      <c r="AJ158" s="67"/>
      <c r="AK158" s="67"/>
      <c r="AL158" s="67"/>
      <c r="AM158" s="67"/>
    </row>
    <row r="159" spans="1:39" ht="84" hidden="1" x14ac:dyDescent="0.2">
      <c r="A159" s="67"/>
      <c r="B159" s="96"/>
      <c r="C15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9" s="20" t="str">
        <f ca="1">IFERROR(__xludf.DUMMYFUNCTION("""COMPUTED_VALUE"""),"МинЖКХ")</f>
        <v>МинЖКХ</v>
      </c>
      <c r="E159" s="20" t="str">
        <f ca="1">IFERROR(__xludf.DUMMYFUNCTION("""COMPUTED_VALUE"""),"Приобретение, монтаж и ввод в эксплуатацию станции водоочистки по адресу: д. Лелечи, г.о. Егорьевск. ")</f>
        <v xml:space="preserve">Приобретение, монтаж и ввод в эксплуатацию станции водоочистки по адресу: д. Лелечи, г.о. Егорьевск. </v>
      </c>
      <c r="F159" s="67" t="str">
        <f ca="1">IFERROR(__xludf.DUMMYFUNCTION("""COMPUTED_VALUE"""),"Н/Л")</f>
        <v>Н/Л</v>
      </c>
      <c r="G159" s="67" t="str">
        <f ca="1">IFERROR(__xludf.DUMMYFUNCTION("""COMPUTED_VALUE"""),"г.о. Егорьевск")</f>
        <v>г.о. Егорьевск</v>
      </c>
      <c r="H159" s="67" t="str">
        <f ca="1">IFERROR(__xludf.DUMMYFUNCTION("""COMPUTED_VALUE"""),"ВЗУ")</f>
        <v>ВЗУ</v>
      </c>
      <c r="I159" s="67"/>
      <c r="J159" s="67"/>
      <c r="K159" s="97">
        <f ca="1">IFERROR(__xludf.DUMMYFUNCTION("""COMPUTED_VALUE"""),0)</f>
        <v>0</v>
      </c>
      <c r="L159" s="97">
        <f ca="1">IFERROR(__xludf.DUMMYFUNCTION("""COMPUTED_VALUE"""),0)</f>
        <v>0</v>
      </c>
      <c r="M159" s="97">
        <f ca="1">IFERROR(__xludf.DUMMYFUNCTION("""COMPUTED_VALUE"""),0)</f>
        <v>0</v>
      </c>
      <c r="N159" s="67"/>
      <c r="O159" s="67"/>
      <c r="P159" s="67" t="str">
        <f ca="1">IFERROR(__xludf.DUMMYFUNCTION("""COMPUTED_VALUE"""),"Приобретение, монтаж")</f>
        <v>Приобретение, монтаж</v>
      </c>
      <c r="Q159" s="67" t="e">
        <f t="shared" ca="1" si="0"/>
        <v>#DIV/0!</v>
      </c>
      <c r="R159" s="67"/>
      <c r="S159" s="67"/>
      <c r="T159" s="67"/>
      <c r="U159" s="67"/>
      <c r="V159" s="67"/>
      <c r="W159" s="67"/>
      <c r="X159" s="67"/>
      <c r="Y159" s="67"/>
      <c r="Z159" s="67"/>
      <c r="AA159" s="67"/>
      <c r="AB159" s="67"/>
      <c r="AC159" s="67"/>
      <c r="AD159" s="67"/>
      <c r="AE159" s="67"/>
      <c r="AF159" s="67"/>
      <c r="AG159" s="67"/>
      <c r="AH159" s="67"/>
      <c r="AI159" s="67"/>
      <c r="AJ159" s="67"/>
      <c r="AK159" s="67"/>
      <c r="AL159" s="67"/>
      <c r="AM159" s="67"/>
    </row>
    <row r="160" spans="1:39" ht="84" hidden="1" x14ac:dyDescent="0.2">
      <c r="A160" s="67"/>
      <c r="B160" s="96"/>
      <c r="C16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0" s="20" t="str">
        <f ca="1">IFERROR(__xludf.DUMMYFUNCTION("""COMPUTED_VALUE"""),"МинЖКХ")</f>
        <v>МинЖКХ</v>
      </c>
      <c r="E160" s="20" t="str">
        <f ca="1">IFERROR(__xludf.DUMMYFUNCTION("""COMPUTED_VALUE"""),"Приобретение, монтаж и ввод в эксплуатацию станции водоочистки по адресу: д. Захарово, 3В, г.о. Егорьевск. ")</f>
        <v xml:space="preserve">Приобретение, монтаж и ввод в эксплуатацию станции водоочистки по адресу: д. Захарово, 3В, г.о. Егорьевск. </v>
      </c>
      <c r="F160" s="67" t="str">
        <f ca="1">IFERROR(__xludf.DUMMYFUNCTION("""COMPUTED_VALUE"""),"Н/Л")</f>
        <v>Н/Л</v>
      </c>
      <c r="G160" s="67" t="str">
        <f ca="1">IFERROR(__xludf.DUMMYFUNCTION("""COMPUTED_VALUE"""),"г.о. Егорьевск")</f>
        <v>г.о. Егорьевск</v>
      </c>
      <c r="H160" s="67" t="str">
        <f ca="1">IFERROR(__xludf.DUMMYFUNCTION("""COMPUTED_VALUE"""),"ВЗУ")</f>
        <v>ВЗУ</v>
      </c>
      <c r="I160" s="67"/>
      <c r="J160" s="67"/>
      <c r="K160" s="97">
        <f ca="1">IFERROR(__xludf.DUMMYFUNCTION("""COMPUTED_VALUE"""),0)</f>
        <v>0</v>
      </c>
      <c r="L160" s="97">
        <f ca="1">IFERROR(__xludf.DUMMYFUNCTION("""COMPUTED_VALUE"""),0)</f>
        <v>0</v>
      </c>
      <c r="M160" s="97">
        <f ca="1">IFERROR(__xludf.DUMMYFUNCTION("""COMPUTED_VALUE"""),0)</f>
        <v>0</v>
      </c>
      <c r="N160" s="67"/>
      <c r="O160" s="67"/>
      <c r="P160" s="67" t="str">
        <f ca="1">IFERROR(__xludf.DUMMYFUNCTION("""COMPUTED_VALUE"""),"Приобретение, монтаж")</f>
        <v>Приобретение, монтаж</v>
      </c>
      <c r="Q160" s="67" t="e">
        <f t="shared" ca="1" si="0"/>
        <v>#DIV/0!</v>
      </c>
      <c r="R160" s="67"/>
      <c r="S160" s="67"/>
      <c r="T160" s="67"/>
      <c r="U160" s="67"/>
      <c r="V160" s="67"/>
      <c r="W160" s="67"/>
      <c r="X160" s="67"/>
      <c r="Y160" s="67"/>
      <c r="Z160" s="67"/>
      <c r="AA160" s="67"/>
      <c r="AB160" s="67"/>
      <c r="AC160" s="67"/>
      <c r="AD160" s="67"/>
      <c r="AE160" s="67"/>
      <c r="AF160" s="67"/>
      <c r="AG160" s="67"/>
      <c r="AH160" s="67"/>
      <c r="AI160" s="67"/>
      <c r="AJ160" s="67"/>
      <c r="AK160" s="67"/>
      <c r="AL160" s="67"/>
      <c r="AM160" s="67"/>
    </row>
    <row r="161" spans="1:39" ht="84" hidden="1" x14ac:dyDescent="0.2">
      <c r="A161" s="67"/>
      <c r="B161" s="96"/>
      <c r="C16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1" s="20" t="str">
        <f ca="1">IFERROR(__xludf.DUMMYFUNCTION("""COMPUTED_VALUE"""),"МинЖКХ")</f>
        <v>МинЖКХ</v>
      </c>
      <c r="E161" s="20" t="str">
        <f ca="1">IFERROR(__xludf.DUMMYFUNCTION("""COMPUTED_VALUE"""),"Приобретение, монтаж и ввод в эксплуатацию станции водоочистки по адресу: д. Дмитровка, г.о. Егорьевск. ")</f>
        <v xml:space="preserve">Приобретение, монтаж и ввод в эксплуатацию станции водоочистки по адресу: д. Дмитровка, г.о. Егорьевск. </v>
      </c>
      <c r="F161" s="67" t="str">
        <f ca="1">IFERROR(__xludf.DUMMYFUNCTION("""COMPUTED_VALUE"""),"Н/Л")</f>
        <v>Н/Л</v>
      </c>
      <c r="G161" s="67" t="str">
        <f ca="1">IFERROR(__xludf.DUMMYFUNCTION("""COMPUTED_VALUE"""),"г.о. Егорьевск")</f>
        <v>г.о. Егорьевск</v>
      </c>
      <c r="H161" s="67" t="str">
        <f ca="1">IFERROR(__xludf.DUMMYFUNCTION("""COMPUTED_VALUE"""),"ВЗУ")</f>
        <v>ВЗУ</v>
      </c>
      <c r="I161" s="67"/>
      <c r="J161" s="67"/>
      <c r="K161" s="97">
        <f ca="1">IFERROR(__xludf.DUMMYFUNCTION("""COMPUTED_VALUE"""),0)</f>
        <v>0</v>
      </c>
      <c r="L161" s="97">
        <f ca="1">IFERROR(__xludf.DUMMYFUNCTION("""COMPUTED_VALUE"""),0)</f>
        <v>0</v>
      </c>
      <c r="M161" s="97">
        <f ca="1">IFERROR(__xludf.DUMMYFUNCTION("""COMPUTED_VALUE"""),0)</f>
        <v>0</v>
      </c>
      <c r="N161" s="67"/>
      <c r="O161" s="67"/>
      <c r="P161" s="67" t="str">
        <f ca="1">IFERROR(__xludf.DUMMYFUNCTION("""COMPUTED_VALUE"""),"Приобретение, монтаж")</f>
        <v>Приобретение, монтаж</v>
      </c>
      <c r="Q161" s="67" t="e">
        <f t="shared" ca="1" si="0"/>
        <v>#DIV/0!</v>
      </c>
      <c r="R161" s="67"/>
      <c r="S161" s="67"/>
      <c r="T161" s="67"/>
      <c r="U161" s="67"/>
      <c r="V161" s="67"/>
      <c r="W161" s="67"/>
      <c r="X161" s="67"/>
      <c r="Y161" s="67"/>
      <c r="Z161" s="67"/>
      <c r="AA161" s="67"/>
      <c r="AB161" s="67"/>
      <c r="AC161" s="67"/>
      <c r="AD161" s="67"/>
      <c r="AE161" s="67"/>
      <c r="AF161" s="67"/>
      <c r="AG161" s="67"/>
      <c r="AH161" s="67"/>
      <c r="AI161" s="67"/>
      <c r="AJ161" s="67"/>
      <c r="AK161" s="67"/>
      <c r="AL161" s="67"/>
      <c r="AM161" s="67"/>
    </row>
    <row r="162" spans="1:39" ht="84" hidden="1" x14ac:dyDescent="0.2">
      <c r="A162" s="67"/>
      <c r="B162" s="96"/>
      <c r="C16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2" s="20" t="str">
        <f ca="1">IFERROR(__xludf.DUMMYFUNCTION("""COMPUTED_VALUE"""),"МинЖКХ")</f>
        <v>МинЖКХ</v>
      </c>
      <c r="E162" s="20" t="str">
        <f ca="1">IFERROR(__xludf.DUMMYFUNCTION("""COMPUTED_VALUE"""),"Приобретение, монтаж и ввод в эксплуатацию станции водоочистки по адресу: д. Жучага, г.о. Егорьевск. ")</f>
        <v xml:space="preserve">Приобретение, монтаж и ввод в эксплуатацию станции водоочистки по адресу: д. Жучага, г.о. Егорьевск. </v>
      </c>
      <c r="F162" s="67" t="str">
        <f ca="1">IFERROR(__xludf.DUMMYFUNCTION("""COMPUTED_VALUE"""),"Н/Л")</f>
        <v>Н/Л</v>
      </c>
      <c r="G162" s="67" t="str">
        <f ca="1">IFERROR(__xludf.DUMMYFUNCTION("""COMPUTED_VALUE"""),"г.о. Егорьевск")</f>
        <v>г.о. Егорьевск</v>
      </c>
      <c r="H162" s="67" t="str">
        <f ca="1">IFERROR(__xludf.DUMMYFUNCTION("""COMPUTED_VALUE"""),"ВЗУ")</f>
        <v>ВЗУ</v>
      </c>
      <c r="I162" s="67"/>
      <c r="J162" s="67"/>
      <c r="K162" s="97">
        <f ca="1">IFERROR(__xludf.DUMMYFUNCTION("""COMPUTED_VALUE"""),0)</f>
        <v>0</v>
      </c>
      <c r="L162" s="97">
        <f ca="1">IFERROR(__xludf.DUMMYFUNCTION("""COMPUTED_VALUE"""),0)</f>
        <v>0</v>
      </c>
      <c r="M162" s="97">
        <f ca="1">IFERROR(__xludf.DUMMYFUNCTION("""COMPUTED_VALUE"""),0)</f>
        <v>0</v>
      </c>
      <c r="N162" s="67"/>
      <c r="O162" s="67"/>
      <c r="P162" s="67" t="str">
        <f ca="1">IFERROR(__xludf.DUMMYFUNCTION("""COMPUTED_VALUE"""),"Приобретение, монтаж")</f>
        <v>Приобретение, монтаж</v>
      </c>
      <c r="Q162" s="67" t="e">
        <f t="shared" ca="1" si="0"/>
        <v>#DIV/0!</v>
      </c>
      <c r="R162" s="67"/>
      <c r="S162" s="67"/>
      <c r="T162" s="67"/>
      <c r="U162" s="67"/>
      <c r="V162" s="67"/>
      <c r="W162" s="67"/>
      <c r="X162" s="67"/>
      <c r="Y162" s="67"/>
      <c r="Z162" s="67"/>
      <c r="AA162" s="67"/>
      <c r="AB162" s="67"/>
      <c r="AC162" s="67"/>
      <c r="AD162" s="67"/>
      <c r="AE162" s="67"/>
      <c r="AF162" s="67"/>
      <c r="AG162" s="67"/>
      <c r="AH162" s="67"/>
      <c r="AI162" s="67"/>
      <c r="AJ162" s="67"/>
      <c r="AK162" s="67"/>
      <c r="AL162" s="67"/>
      <c r="AM162" s="67"/>
    </row>
    <row r="163" spans="1:39" ht="84" hidden="1" x14ac:dyDescent="0.2">
      <c r="A163" s="67"/>
      <c r="B163" s="96"/>
      <c r="C16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3" s="20" t="str">
        <f ca="1">IFERROR(__xludf.DUMMYFUNCTION("""COMPUTED_VALUE"""),"МинЖКХ")</f>
        <v>МинЖКХ</v>
      </c>
      <c r="E163" s="20" t="str">
        <f ca="1">IFERROR(__xludf.DUMMYFUNCTION("""COMPUTED_VALUE"""),"Приобретение, монтаж и ввод в эксплуатацию станции водоочистки по адресу: д. Радовицы, г.о. Егорьевск. ")</f>
        <v xml:space="preserve">Приобретение, монтаж и ввод в эксплуатацию станции водоочистки по адресу: д. Радовицы, г.о. Егорьевск. </v>
      </c>
      <c r="F163" s="67" t="str">
        <f ca="1">IFERROR(__xludf.DUMMYFUNCTION("""COMPUTED_VALUE"""),"Н/Л")</f>
        <v>Н/Л</v>
      </c>
      <c r="G163" s="67" t="str">
        <f ca="1">IFERROR(__xludf.DUMMYFUNCTION("""COMPUTED_VALUE"""),"г.о. Егорьевск")</f>
        <v>г.о. Егорьевск</v>
      </c>
      <c r="H163" s="67" t="str">
        <f ca="1">IFERROR(__xludf.DUMMYFUNCTION("""COMPUTED_VALUE"""),"ВЗУ")</f>
        <v>ВЗУ</v>
      </c>
      <c r="I163" s="67"/>
      <c r="J163" s="67"/>
      <c r="K163" s="97">
        <f ca="1">IFERROR(__xludf.DUMMYFUNCTION("""COMPUTED_VALUE"""),0)</f>
        <v>0</v>
      </c>
      <c r="L163" s="97">
        <f ca="1">IFERROR(__xludf.DUMMYFUNCTION("""COMPUTED_VALUE"""),0)</f>
        <v>0</v>
      </c>
      <c r="M163" s="97">
        <f ca="1">IFERROR(__xludf.DUMMYFUNCTION("""COMPUTED_VALUE"""),0)</f>
        <v>0</v>
      </c>
      <c r="N163" s="67"/>
      <c r="O163" s="67"/>
      <c r="P163" s="67" t="str">
        <f ca="1">IFERROR(__xludf.DUMMYFUNCTION("""COMPUTED_VALUE"""),"Приобретение, монтаж")</f>
        <v>Приобретение, монтаж</v>
      </c>
      <c r="Q163" s="67" t="e">
        <f t="shared" ca="1" si="0"/>
        <v>#DIV/0!</v>
      </c>
      <c r="R163" s="67"/>
      <c r="S163" s="67"/>
      <c r="T163" s="67"/>
      <c r="U163" s="67"/>
      <c r="V163" s="67"/>
      <c r="W163" s="67"/>
      <c r="X163" s="67"/>
      <c r="Y163" s="67"/>
      <c r="Z163" s="67"/>
      <c r="AA163" s="67"/>
      <c r="AB163" s="67"/>
      <c r="AC163" s="67"/>
      <c r="AD163" s="67"/>
      <c r="AE163" s="67"/>
      <c r="AF163" s="67"/>
      <c r="AG163" s="67"/>
      <c r="AH163" s="67"/>
      <c r="AI163" s="67"/>
      <c r="AJ163" s="67"/>
      <c r="AK163" s="67"/>
      <c r="AL163" s="67"/>
      <c r="AM163" s="67"/>
    </row>
    <row r="164" spans="1:39" ht="84" hidden="1" x14ac:dyDescent="0.2">
      <c r="A164" s="67"/>
      <c r="B164" s="96"/>
      <c r="C16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4" s="20" t="str">
        <f ca="1">IFERROR(__xludf.DUMMYFUNCTION("""COMPUTED_VALUE"""),"МинЖКХ")</f>
        <v>МинЖКХ</v>
      </c>
      <c r="E164" s="20" t="str">
        <f ca="1">IFERROR(__xludf.DUMMYFUNCTION("""COMPUTED_VALUE"""),"Приобретение, монтаж и ввод в эксплуатацию станции водоочистки по адресу: д. Леоново, г.о. Егорьевск. ")</f>
        <v xml:space="preserve">Приобретение, монтаж и ввод в эксплуатацию станции водоочистки по адресу: д. Леоново, г.о. Егорьевск. </v>
      </c>
      <c r="F164" s="67" t="str">
        <f ca="1">IFERROR(__xludf.DUMMYFUNCTION("""COMPUTED_VALUE"""),"Н/Л")</f>
        <v>Н/Л</v>
      </c>
      <c r="G164" s="67" t="str">
        <f ca="1">IFERROR(__xludf.DUMMYFUNCTION("""COMPUTED_VALUE"""),"г.о. Егорьевск")</f>
        <v>г.о. Егорьевск</v>
      </c>
      <c r="H164" s="67" t="str">
        <f ca="1">IFERROR(__xludf.DUMMYFUNCTION("""COMPUTED_VALUE"""),"ВЗУ")</f>
        <v>ВЗУ</v>
      </c>
      <c r="I164" s="67"/>
      <c r="J164" s="67"/>
      <c r="K164" s="97">
        <f ca="1">IFERROR(__xludf.DUMMYFUNCTION("""COMPUTED_VALUE"""),0)</f>
        <v>0</v>
      </c>
      <c r="L164" s="97">
        <f ca="1">IFERROR(__xludf.DUMMYFUNCTION("""COMPUTED_VALUE"""),0)</f>
        <v>0</v>
      </c>
      <c r="M164" s="97">
        <f ca="1">IFERROR(__xludf.DUMMYFUNCTION("""COMPUTED_VALUE"""),0)</f>
        <v>0</v>
      </c>
      <c r="N164" s="67"/>
      <c r="O164" s="67"/>
      <c r="P164" s="67" t="str">
        <f ca="1">IFERROR(__xludf.DUMMYFUNCTION("""COMPUTED_VALUE"""),"Приобретение, монтаж")</f>
        <v>Приобретение, монтаж</v>
      </c>
      <c r="Q164" s="67" t="e">
        <f t="shared" ca="1" si="0"/>
        <v>#DIV/0!</v>
      </c>
      <c r="R164" s="67"/>
      <c r="S164" s="67"/>
      <c r="T164" s="67"/>
      <c r="U164" s="67"/>
      <c r="V164" s="67"/>
      <c r="W164" s="67"/>
      <c r="X164" s="67"/>
      <c r="Y164" s="67"/>
      <c r="Z164" s="67"/>
      <c r="AA164" s="67"/>
      <c r="AB164" s="67"/>
      <c r="AC164" s="67"/>
      <c r="AD164" s="67"/>
      <c r="AE164" s="67"/>
      <c r="AF164" s="67"/>
      <c r="AG164" s="67"/>
      <c r="AH164" s="67"/>
      <c r="AI164" s="67"/>
      <c r="AJ164" s="67"/>
      <c r="AK164" s="67"/>
      <c r="AL164" s="67"/>
      <c r="AM164" s="67"/>
    </row>
    <row r="165" spans="1:39" ht="84" hidden="1" x14ac:dyDescent="0.2">
      <c r="A165" s="67"/>
      <c r="B165" s="100"/>
      <c r="C16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5" s="20" t="str">
        <f ca="1">IFERROR(__xludf.DUMMYFUNCTION("""COMPUTED_VALUE"""),"МинЖКХ")</f>
        <v>МинЖКХ</v>
      </c>
      <c r="E165" s="20" t="str">
        <f ca="1">IFERROR(__xludf.DUMMYFUNCTION("""COMPUTED_VALUE"""),"Приобретение, монтаж и ввод в эксплуатацию станции водоочистки по адресу: д. Волково, г.о. Егорьевск. ")</f>
        <v xml:space="preserve">Приобретение, монтаж и ввод в эксплуатацию станции водоочистки по адресу: д. Волково, г.о. Егорьевск. </v>
      </c>
      <c r="F165" s="67" t="str">
        <f ca="1">IFERROR(__xludf.DUMMYFUNCTION("""COMPUTED_VALUE"""),"Н/Л")</f>
        <v>Н/Л</v>
      </c>
      <c r="G165" s="67" t="str">
        <f ca="1">IFERROR(__xludf.DUMMYFUNCTION("""COMPUTED_VALUE"""),"г.о. Егорьевск")</f>
        <v>г.о. Егорьевск</v>
      </c>
      <c r="H165" s="67" t="str">
        <f ca="1">IFERROR(__xludf.DUMMYFUNCTION("""COMPUTED_VALUE"""),"ВЗУ")</f>
        <v>ВЗУ</v>
      </c>
      <c r="I165" s="67"/>
      <c r="J165" s="67"/>
      <c r="K165" s="97">
        <f ca="1">IFERROR(__xludf.DUMMYFUNCTION("""COMPUTED_VALUE"""),0)</f>
        <v>0</v>
      </c>
      <c r="L165" s="97">
        <f ca="1">IFERROR(__xludf.DUMMYFUNCTION("""COMPUTED_VALUE"""),0)</f>
        <v>0</v>
      </c>
      <c r="M165" s="97">
        <f ca="1">IFERROR(__xludf.DUMMYFUNCTION("""COMPUTED_VALUE"""),0)</f>
        <v>0</v>
      </c>
      <c r="N165" s="67"/>
      <c r="O165" s="67"/>
      <c r="P165" s="67" t="str">
        <f ca="1">IFERROR(__xludf.DUMMYFUNCTION("""COMPUTED_VALUE"""),"Приобретение, монтаж")</f>
        <v>Приобретение, монтаж</v>
      </c>
      <c r="Q165" s="67" t="e">
        <f t="shared" ca="1" si="0"/>
        <v>#DIV/0!</v>
      </c>
      <c r="R165" s="67"/>
      <c r="S165" s="67"/>
      <c r="T165" s="67"/>
      <c r="U165" s="67"/>
      <c r="V165" s="67"/>
      <c r="W165" s="67"/>
      <c r="X165" s="67"/>
      <c r="Y165" s="67"/>
      <c r="Z165" s="67"/>
      <c r="AA165" s="67"/>
      <c r="AB165" s="67"/>
      <c r="AC165" s="67"/>
      <c r="AD165" s="67"/>
      <c r="AE165" s="67"/>
      <c r="AF165" s="67"/>
      <c r="AG165" s="67"/>
      <c r="AH165" s="67"/>
      <c r="AI165" s="67"/>
      <c r="AJ165" s="67"/>
      <c r="AK165" s="67"/>
      <c r="AL165" s="67"/>
      <c r="AM165" s="67"/>
    </row>
    <row r="166" spans="1:39" ht="84" x14ac:dyDescent="0.2">
      <c r="A166" s="67"/>
      <c r="B166" s="100"/>
      <c r="C16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6" s="20" t="str">
        <f ca="1">IFERROR(__xludf.DUMMYFUNCTION("""COMPUTED_VALUE"""),"МинЖКХ")</f>
        <v>МинЖКХ</v>
      </c>
      <c r="E166" s="20" t="str">
        <f ca="1">IFERROR(__xludf.DUMMYFUNCTION("""COMPUTED_VALUE"""),"Приобретение, монтаж и ввод в эксплуатацию станции очистки воды на ВЗУ в с. Старое Бобренево, Коломенский г.о.")</f>
        <v>Приобретение, монтаж и ввод в эксплуатацию станции очистки воды на ВЗУ в с. Старое Бобренево, Коломенский г.о.</v>
      </c>
      <c r="F166" s="67">
        <f ca="1">IFERROR(__xludf.DUMMYFUNCTION("""COMPUTED_VALUE"""),2020)</f>
        <v>2020</v>
      </c>
      <c r="G166" s="67" t="str">
        <f ca="1">IFERROR(__xludf.DUMMYFUNCTION("""COMPUTED_VALUE"""),"г.о. Коломенский")</f>
        <v>г.о. Коломенский</v>
      </c>
      <c r="H166" s="67" t="str">
        <f ca="1">IFERROR(__xludf.DUMMYFUNCTION("""COMPUTED_VALUE"""),"ВЗУ")</f>
        <v>ВЗУ</v>
      </c>
      <c r="I166" s="97">
        <f ca="1">IFERROR(__xludf.DUMMYFUNCTION("""COMPUTED_VALUE"""),0)</f>
        <v>0</v>
      </c>
      <c r="J166" s="97">
        <f ca="1">IFERROR(__xludf.DUMMYFUNCTION("""COMPUTED_VALUE"""),1874.2)</f>
        <v>1874.2</v>
      </c>
      <c r="K166" s="97">
        <f ca="1">IFERROR(__xludf.DUMMYFUNCTION("""COMPUTED_VALUE"""),98.67)</f>
        <v>98.67</v>
      </c>
      <c r="L166" s="97">
        <f ca="1">IFERROR(__xludf.DUMMYFUNCTION("""COMPUTED_VALUE"""),0)</f>
        <v>0</v>
      </c>
      <c r="M166" s="97">
        <f ca="1">IFERROR(__xludf.DUMMYFUNCTION("""COMPUTED_VALUE"""),0)</f>
        <v>0</v>
      </c>
      <c r="N166" s="67"/>
      <c r="O166" s="67"/>
      <c r="P166" s="67" t="str">
        <f ca="1">IFERROR(__xludf.DUMMYFUNCTION("""COMPUTED_VALUE"""),"Приобретение, монтаж")</f>
        <v>Приобретение, монтаж</v>
      </c>
      <c r="Q166" s="67">
        <f t="shared" ca="1" si="0"/>
        <v>0</v>
      </c>
      <c r="R166" s="67"/>
      <c r="S166" s="67"/>
      <c r="T166" s="67"/>
      <c r="U166" s="67"/>
      <c r="V166" s="67"/>
      <c r="W166" s="67"/>
      <c r="X166" s="67"/>
      <c r="Y166" s="67"/>
      <c r="Z166" s="67"/>
      <c r="AA166" s="67"/>
      <c r="AB166" s="67"/>
      <c r="AC166" s="67"/>
      <c r="AD166" s="67"/>
      <c r="AE166" s="67"/>
      <c r="AF166" s="67"/>
      <c r="AG166" s="67"/>
      <c r="AH166" s="67"/>
      <c r="AI166" s="67"/>
      <c r="AJ166" s="67"/>
      <c r="AK166" s="67"/>
      <c r="AL166" s="67"/>
      <c r="AM166" s="67"/>
    </row>
    <row r="167" spans="1:39" ht="84" x14ac:dyDescent="0.2">
      <c r="A167" s="67"/>
      <c r="B167" s="96"/>
      <c r="C16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7" s="20" t="str">
        <f ca="1">IFERROR(__xludf.DUMMYFUNCTION("""COMPUTED_VALUE"""),"МинЖКХ")</f>
        <v>МинЖКХ</v>
      </c>
      <c r="E167" s="20" t="str">
        <f ca="1">IFERROR(__xludf.DUMMYFUNCTION("""COMPUTED_VALUE"""),"Приобретение, монтаж и ввод в эксплуатацию станции  очистки воды на ВЗУ в с. Октябрьское, Коломенский г.о.")</f>
        <v>Приобретение, монтаж и ввод в эксплуатацию станции  очистки воды на ВЗУ в с. Октябрьское, Коломенский г.о.</v>
      </c>
      <c r="F167" s="67">
        <f ca="1">IFERROR(__xludf.DUMMYFUNCTION("""COMPUTED_VALUE"""),2020)</f>
        <v>2020</v>
      </c>
      <c r="G167" s="67" t="str">
        <f ca="1">IFERROR(__xludf.DUMMYFUNCTION("""COMPUTED_VALUE"""),"г.о. Коломенский")</f>
        <v>г.о. Коломенский</v>
      </c>
      <c r="H167" s="67" t="str">
        <f ca="1">IFERROR(__xludf.DUMMYFUNCTION("""COMPUTED_VALUE"""),"ВЗУ")</f>
        <v>ВЗУ</v>
      </c>
      <c r="I167" s="97">
        <f ca="1">IFERROR(__xludf.DUMMYFUNCTION("""COMPUTED_VALUE"""),0)</f>
        <v>0</v>
      </c>
      <c r="J167" s="97">
        <f ca="1">IFERROR(__xludf.DUMMYFUNCTION("""COMPUTED_VALUE"""),1582.57)</f>
        <v>1582.57</v>
      </c>
      <c r="K167" s="97">
        <f ca="1">IFERROR(__xludf.DUMMYFUNCTION("""COMPUTED_VALUE"""),83.33)</f>
        <v>83.33</v>
      </c>
      <c r="L167" s="97">
        <f ca="1">IFERROR(__xludf.DUMMYFUNCTION("""COMPUTED_VALUE"""),0)</f>
        <v>0</v>
      </c>
      <c r="M167" s="97">
        <f ca="1">IFERROR(__xludf.DUMMYFUNCTION("""COMPUTED_VALUE"""),0)</f>
        <v>0</v>
      </c>
      <c r="N167" s="67"/>
      <c r="O167" s="67"/>
      <c r="P167" s="67" t="str">
        <f ca="1">IFERROR(__xludf.DUMMYFUNCTION("""COMPUTED_VALUE"""),"Приобретение, монтаж")</f>
        <v>Приобретение, монтаж</v>
      </c>
      <c r="Q167" s="67">
        <f t="shared" ca="1" si="0"/>
        <v>0</v>
      </c>
      <c r="R167" s="67"/>
      <c r="S167" s="67"/>
      <c r="T167" s="67"/>
      <c r="U167" s="67"/>
      <c r="V167" s="67"/>
      <c r="W167" s="67"/>
      <c r="X167" s="67"/>
      <c r="Y167" s="67"/>
      <c r="Z167" s="67"/>
      <c r="AA167" s="67"/>
      <c r="AB167" s="67"/>
      <c r="AC167" s="67"/>
      <c r="AD167" s="67"/>
      <c r="AE167" s="67"/>
      <c r="AF167" s="67"/>
      <c r="AG167" s="67"/>
      <c r="AH167" s="67"/>
      <c r="AI167" s="67"/>
      <c r="AJ167" s="67"/>
      <c r="AK167" s="67"/>
      <c r="AL167" s="67"/>
      <c r="AM167" s="67"/>
    </row>
    <row r="168" spans="1:39" ht="84" hidden="1" x14ac:dyDescent="0.2">
      <c r="A168" s="67"/>
      <c r="B168" s="100"/>
      <c r="C16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8" s="20" t="str">
        <f ca="1">IFERROR(__xludf.DUMMYFUNCTION("""COMPUTED_VALUE"""),"МинЖКХ")</f>
        <v>МинЖКХ</v>
      </c>
      <c r="E168" s="20" t="str">
        <f ca="1">IFERROR(__xludf.DUMMYFUNCTION("""COMPUTED_VALUE"""),"Приобретение, монтаж и ввод в эксплуатацию станции  очистки воды на ВЗУ в д. Семеновское, Коломенский г.о.")</f>
        <v>Приобретение, монтаж и ввод в эксплуатацию станции  очистки воды на ВЗУ в д. Семеновское, Коломенский г.о.</v>
      </c>
      <c r="F168" s="67">
        <f ca="1">IFERROR(__xludf.DUMMYFUNCTION("""COMPUTED_VALUE"""),2020)</f>
        <v>2020</v>
      </c>
      <c r="G168" s="67" t="str">
        <f ca="1">IFERROR(__xludf.DUMMYFUNCTION("""COMPUTED_VALUE"""),"г.о. Коломенский")</f>
        <v>г.о. Коломенский</v>
      </c>
      <c r="H168" s="67" t="str">
        <f ca="1">IFERROR(__xludf.DUMMYFUNCTION("""COMPUTED_VALUE"""),"ВЗУ")</f>
        <v>ВЗУ</v>
      </c>
      <c r="I168" s="67"/>
      <c r="J168" s="67"/>
      <c r="K168" s="97">
        <f ca="1">IFERROR(__xludf.DUMMYFUNCTION("""COMPUTED_VALUE"""),0)</f>
        <v>0</v>
      </c>
      <c r="L168" s="97">
        <f ca="1">IFERROR(__xludf.DUMMYFUNCTION("""COMPUTED_VALUE"""),0)</f>
        <v>0</v>
      </c>
      <c r="M168" s="97">
        <f ca="1">IFERROR(__xludf.DUMMYFUNCTION("""COMPUTED_VALUE"""),1640)</f>
        <v>1640</v>
      </c>
      <c r="N168" s="67"/>
      <c r="O168" s="67"/>
      <c r="P168" s="67" t="str">
        <f ca="1">IFERROR(__xludf.DUMMYFUNCTION("""COMPUTED_VALUE"""),"Приобретение, монтаж")</f>
        <v>Приобретение, монтаж</v>
      </c>
      <c r="Q168" s="67" t="e">
        <f t="shared" ca="1" si="0"/>
        <v>#DIV/0!</v>
      </c>
      <c r="R168" s="67"/>
      <c r="S168" s="67"/>
      <c r="T168" s="67"/>
      <c r="U168" s="67"/>
      <c r="V168" s="67"/>
      <c r="W168" s="67"/>
      <c r="X168" s="67"/>
      <c r="Y168" s="67"/>
      <c r="Z168" s="67"/>
      <c r="AA168" s="67"/>
      <c r="AB168" s="67"/>
      <c r="AC168" s="67"/>
      <c r="AD168" s="67"/>
      <c r="AE168" s="67"/>
      <c r="AF168" s="67"/>
      <c r="AG168" s="67"/>
      <c r="AH168" s="67"/>
      <c r="AI168" s="67"/>
      <c r="AJ168" s="67"/>
      <c r="AK168" s="67"/>
      <c r="AL168" s="67"/>
      <c r="AM168" s="67"/>
    </row>
    <row r="169" spans="1:39" ht="84" x14ac:dyDescent="0.2">
      <c r="A169" s="67"/>
      <c r="B169" s="96"/>
      <c r="C16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9" s="20" t="str">
        <f ca="1">IFERROR(__xludf.DUMMYFUNCTION("""COMPUTED_VALUE"""),"МинЖКХ")</f>
        <v>МинЖКХ</v>
      </c>
      <c r="E169" s="20" t="str">
        <f ca="1">IFERROR(__xludf.DUMMYFUNCTION("""COMPUTED_VALUE"""),"Приобретение, монтаж и ввод в эксплуатацию станции  очистки воды на ВЗУ в д. Семибратское, Коломенский г.о.")</f>
        <v>Приобретение, монтаж и ввод в эксплуатацию станции  очистки воды на ВЗУ в д. Семибратское, Коломенский г.о.</v>
      </c>
      <c r="F169" s="67">
        <f ca="1">IFERROR(__xludf.DUMMYFUNCTION("""COMPUTED_VALUE"""),2020)</f>
        <v>2020</v>
      </c>
      <c r="G169" s="67" t="str">
        <f ca="1">IFERROR(__xludf.DUMMYFUNCTION("""COMPUTED_VALUE"""),"г.о. Коломенский")</f>
        <v>г.о. Коломенский</v>
      </c>
      <c r="H169" s="67" t="str">
        <f ca="1">IFERROR(__xludf.DUMMYFUNCTION("""COMPUTED_VALUE"""),"ВЗУ")</f>
        <v>ВЗУ</v>
      </c>
      <c r="I169" s="97">
        <f ca="1">IFERROR(__xludf.DUMMYFUNCTION("""COMPUTED_VALUE"""),0)</f>
        <v>0</v>
      </c>
      <c r="J169" s="97">
        <f ca="1">IFERROR(__xludf.DUMMYFUNCTION("""COMPUTED_VALUE"""),1723.48)</f>
        <v>1723.48</v>
      </c>
      <c r="K169" s="97">
        <f ca="1">IFERROR(__xludf.DUMMYFUNCTION("""COMPUTED_VALUE"""),135.83)</f>
        <v>135.83000000000001</v>
      </c>
      <c r="L169" s="97">
        <f ca="1">IFERROR(__xludf.DUMMYFUNCTION("""COMPUTED_VALUE"""),0)</f>
        <v>0</v>
      </c>
      <c r="M169" s="97">
        <f ca="1">IFERROR(__xludf.DUMMYFUNCTION("""COMPUTED_VALUE"""),0)</f>
        <v>0</v>
      </c>
      <c r="N169" s="67"/>
      <c r="O169" s="67"/>
      <c r="P169" s="67" t="str">
        <f ca="1">IFERROR(__xludf.DUMMYFUNCTION("""COMPUTED_VALUE"""),"Приобретение, монтаж")</f>
        <v>Приобретение, монтаж</v>
      </c>
      <c r="Q169" s="67">
        <f t="shared" ca="1" si="0"/>
        <v>0</v>
      </c>
      <c r="R169" s="67"/>
      <c r="S169" s="67"/>
      <c r="T169" s="67"/>
      <c r="U169" s="67"/>
      <c r="V169" s="67"/>
      <c r="W169" s="67"/>
      <c r="X169" s="67"/>
      <c r="Y169" s="67"/>
      <c r="Z169" s="67"/>
      <c r="AA169" s="67"/>
      <c r="AB169" s="67"/>
      <c r="AC169" s="67"/>
      <c r="AD169" s="67"/>
      <c r="AE169" s="67"/>
      <c r="AF169" s="67"/>
      <c r="AG169" s="67"/>
      <c r="AH169" s="67"/>
      <c r="AI169" s="67"/>
      <c r="AJ169" s="67"/>
      <c r="AK169" s="67"/>
      <c r="AL169" s="67"/>
      <c r="AM169" s="67"/>
    </row>
    <row r="170" spans="1:39" ht="84" hidden="1" x14ac:dyDescent="0.2">
      <c r="A170" s="67"/>
      <c r="B170" s="100"/>
      <c r="C17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0" s="20" t="str">
        <f ca="1">IFERROR(__xludf.DUMMYFUNCTION("""COMPUTED_VALUE"""),"МинЖКХ")</f>
        <v>МинЖКХ</v>
      </c>
      <c r="E170" s="20" t="str">
        <f ca="1">IFERROR(__xludf.DUMMYFUNCTION("""COMPUTED_VALUE"""),"Приобретение, монтаж и ввод в эксплуатацию станции  очистки воды на ВЗУ в п. Возрождение, Коломенский г.о.")</f>
        <v>Приобретение, монтаж и ввод в эксплуатацию станции  очистки воды на ВЗУ в п. Возрождение, Коломенский г.о.</v>
      </c>
      <c r="F170" s="67">
        <f ca="1">IFERROR(__xludf.DUMMYFUNCTION("""COMPUTED_VALUE"""),2020)</f>
        <v>2020</v>
      </c>
      <c r="G170" s="67" t="str">
        <f ca="1">IFERROR(__xludf.DUMMYFUNCTION("""COMPUTED_VALUE"""),"г.о. Коломенский")</f>
        <v>г.о. Коломенский</v>
      </c>
      <c r="H170" s="67" t="str">
        <f ca="1">IFERROR(__xludf.DUMMYFUNCTION("""COMPUTED_VALUE"""),"ВЗУ")</f>
        <v>ВЗУ</v>
      </c>
      <c r="I170" s="67"/>
      <c r="J170" s="67"/>
      <c r="K170" s="97">
        <f ca="1">IFERROR(__xludf.DUMMYFUNCTION("""COMPUTED_VALUE"""),0)</f>
        <v>0</v>
      </c>
      <c r="L170" s="97">
        <f ca="1">IFERROR(__xludf.DUMMYFUNCTION("""COMPUTED_VALUE"""),0)</f>
        <v>0</v>
      </c>
      <c r="M170" s="97">
        <f ca="1">IFERROR(__xludf.DUMMYFUNCTION("""COMPUTED_VALUE"""),3000)</f>
        <v>3000</v>
      </c>
      <c r="N170" s="67"/>
      <c r="O170" s="67"/>
      <c r="P170" s="67" t="str">
        <f ca="1">IFERROR(__xludf.DUMMYFUNCTION("""COMPUTED_VALUE"""),"Приобретение, монтаж")</f>
        <v>Приобретение, монтаж</v>
      </c>
      <c r="Q170" s="67" t="e">
        <f t="shared" ca="1" si="0"/>
        <v>#DIV/0!</v>
      </c>
      <c r="R170" s="67"/>
      <c r="S170" s="67"/>
      <c r="T170" s="67"/>
      <c r="U170" s="67"/>
      <c r="V170" s="67"/>
      <c r="W170" s="67"/>
      <c r="X170" s="67"/>
      <c r="Y170" s="67"/>
      <c r="Z170" s="67"/>
      <c r="AA170" s="67"/>
      <c r="AB170" s="67"/>
      <c r="AC170" s="67"/>
      <c r="AD170" s="67"/>
      <c r="AE170" s="67"/>
      <c r="AF170" s="67"/>
      <c r="AG170" s="67"/>
      <c r="AH170" s="67"/>
      <c r="AI170" s="67"/>
      <c r="AJ170" s="67"/>
      <c r="AK170" s="67"/>
      <c r="AL170" s="67"/>
      <c r="AM170" s="67"/>
    </row>
    <row r="171" spans="1:39" ht="84" x14ac:dyDescent="0.2">
      <c r="A171" s="67"/>
      <c r="B171" s="100"/>
      <c r="C17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1" s="20" t="str">
        <f ca="1">IFERROR(__xludf.DUMMYFUNCTION("""COMPUTED_VALUE"""),"МинЖКХ")</f>
        <v>МинЖКХ</v>
      </c>
      <c r="E171" s="20" t="str">
        <f ca="1">IFERROR(__xludf.DUMMYFUNCTION("""COMPUTED_VALUE"""),"Приобретение, монтаж и ввод в эксплуатацию станции  очистки воды на ВЗУ в с. Лукерьино-2, Коломенский г.о.")</f>
        <v>Приобретение, монтаж и ввод в эксплуатацию станции  очистки воды на ВЗУ в с. Лукерьино-2, Коломенский г.о.</v>
      </c>
      <c r="F171" s="67">
        <f ca="1">IFERROR(__xludf.DUMMYFUNCTION("""COMPUTED_VALUE"""),2020)</f>
        <v>2020</v>
      </c>
      <c r="G171" s="67" t="str">
        <f ca="1">IFERROR(__xludf.DUMMYFUNCTION("""COMPUTED_VALUE"""),"г.о. Коломенский")</f>
        <v>г.о. Коломенский</v>
      </c>
      <c r="H171" s="67" t="str">
        <f ca="1">IFERROR(__xludf.DUMMYFUNCTION("""COMPUTED_VALUE"""),"ВЗУ")</f>
        <v>ВЗУ</v>
      </c>
      <c r="I171" s="97">
        <f ca="1">IFERROR(__xludf.DUMMYFUNCTION("""COMPUTED_VALUE"""),0)</f>
        <v>0</v>
      </c>
      <c r="J171" s="97">
        <f ca="1">IFERROR(__xludf.DUMMYFUNCTION("""COMPUTED_VALUE"""),1886.52)</f>
        <v>1886.52</v>
      </c>
      <c r="K171" s="97">
        <f ca="1">IFERROR(__xludf.DUMMYFUNCTION("""COMPUTED_VALUE"""),99.29)</f>
        <v>99.29</v>
      </c>
      <c r="L171" s="97">
        <f ca="1">IFERROR(__xludf.DUMMYFUNCTION("""COMPUTED_VALUE"""),0)</f>
        <v>0</v>
      </c>
      <c r="M171" s="97">
        <f ca="1">IFERROR(__xludf.DUMMYFUNCTION("""COMPUTED_VALUE"""),0)</f>
        <v>0</v>
      </c>
      <c r="N171" s="67"/>
      <c r="O171" s="67"/>
      <c r="P171" s="67" t="str">
        <f ca="1">IFERROR(__xludf.DUMMYFUNCTION("""COMPUTED_VALUE"""),"Приобретение, монтаж")</f>
        <v>Приобретение, монтаж</v>
      </c>
      <c r="Q171" s="67">
        <f t="shared" ca="1" si="0"/>
        <v>0</v>
      </c>
      <c r="R171" s="67"/>
      <c r="S171" s="67"/>
      <c r="T171" s="67"/>
      <c r="U171" s="67"/>
      <c r="V171" s="67"/>
      <c r="W171" s="67"/>
      <c r="X171" s="67"/>
      <c r="Y171" s="67"/>
      <c r="Z171" s="67"/>
      <c r="AA171" s="67"/>
      <c r="AB171" s="67"/>
      <c r="AC171" s="67"/>
      <c r="AD171" s="67"/>
      <c r="AE171" s="67"/>
      <c r="AF171" s="67"/>
      <c r="AG171" s="67"/>
      <c r="AH171" s="67"/>
      <c r="AI171" s="67"/>
      <c r="AJ171" s="67"/>
      <c r="AK171" s="67"/>
      <c r="AL171" s="67"/>
      <c r="AM171" s="67"/>
    </row>
    <row r="172" spans="1:39" ht="84" x14ac:dyDescent="0.2">
      <c r="A172" s="67"/>
      <c r="B172" s="96"/>
      <c r="C17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2" s="20" t="str">
        <f ca="1">IFERROR(__xludf.DUMMYFUNCTION("""COMPUTED_VALUE"""),"МинЖКХ")</f>
        <v>МинЖКХ</v>
      </c>
      <c r="E172" s="20" t="str">
        <f ca="1">IFERROR(__xludf.DUMMYFUNCTION("""COMPUTED_VALUE"""),"Приобретение, монтаж и ввод в эксплуатацию станции  очистки воды на ВЗУ в с. Парфентьево, Коломенский г.о.")</f>
        <v>Приобретение, монтаж и ввод в эксплуатацию станции  очистки воды на ВЗУ в с. Парфентьево, Коломенский г.о.</v>
      </c>
      <c r="F172" s="67">
        <f ca="1">IFERROR(__xludf.DUMMYFUNCTION("""COMPUTED_VALUE"""),2020)</f>
        <v>2020</v>
      </c>
      <c r="G172" s="67" t="str">
        <f ca="1">IFERROR(__xludf.DUMMYFUNCTION("""COMPUTED_VALUE"""),"г.о. Коломенский")</f>
        <v>г.о. Коломенский</v>
      </c>
      <c r="H172" s="67" t="str">
        <f ca="1">IFERROR(__xludf.DUMMYFUNCTION("""COMPUTED_VALUE"""),"ВЗУ")</f>
        <v>ВЗУ</v>
      </c>
      <c r="I172" s="97">
        <f ca="1">IFERROR(__xludf.DUMMYFUNCTION("""COMPUTED_VALUE"""),0)</f>
        <v>0</v>
      </c>
      <c r="J172" s="97">
        <f ca="1">IFERROR(__xludf.DUMMYFUNCTION("""COMPUTED_VALUE"""),1479.56)</f>
        <v>1479.56</v>
      </c>
      <c r="K172" s="97">
        <f ca="1">IFERROR(__xludf.DUMMYFUNCTION("""COMPUTED_VALUE"""),77.84)</f>
        <v>77.84</v>
      </c>
      <c r="L172" s="97">
        <f ca="1">IFERROR(__xludf.DUMMYFUNCTION("""COMPUTED_VALUE"""),0)</f>
        <v>0</v>
      </c>
      <c r="M172" s="97">
        <f ca="1">IFERROR(__xludf.DUMMYFUNCTION("""COMPUTED_VALUE"""),0)</f>
        <v>0</v>
      </c>
      <c r="N172" s="67"/>
      <c r="O172" s="67"/>
      <c r="P172" s="67" t="str">
        <f ca="1">IFERROR(__xludf.DUMMYFUNCTION("""COMPUTED_VALUE"""),"Приобретение, монтаж")</f>
        <v>Приобретение, монтаж</v>
      </c>
      <c r="Q172" s="67">
        <f t="shared" ca="1" si="0"/>
        <v>0</v>
      </c>
      <c r="R172" s="67"/>
      <c r="S172" s="67"/>
      <c r="T172" s="67"/>
      <c r="U172" s="67"/>
      <c r="V172" s="67"/>
      <c r="W172" s="67"/>
      <c r="X172" s="67"/>
      <c r="Y172" s="67"/>
      <c r="Z172" s="67"/>
      <c r="AA172" s="67"/>
      <c r="AB172" s="67"/>
      <c r="AC172" s="67"/>
      <c r="AD172" s="67"/>
      <c r="AE172" s="67"/>
      <c r="AF172" s="67"/>
      <c r="AG172" s="67"/>
      <c r="AH172" s="67"/>
      <c r="AI172" s="67"/>
      <c r="AJ172" s="67"/>
      <c r="AK172" s="67"/>
      <c r="AL172" s="67"/>
      <c r="AM172" s="67"/>
    </row>
    <row r="173" spans="1:39" ht="84" hidden="1" x14ac:dyDescent="0.2">
      <c r="A173" s="67"/>
      <c r="B173" s="100"/>
      <c r="C17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3" s="20" t="str">
        <f ca="1">IFERROR(__xludf.DUMMYFUNCTION("""COMPUTED_VALUE"""),"МинЖКХ")</f>
        <v>МинЖКХ</v>
      </c>
      <c r="E173" s="20" t="str">
        <f ca="1">IFERROR(__xludf.DUMMYFUNCTION("""COMPUTED_VALUE"""),"Приобретение, монтаж и ввод в эксплуатацию станции  очистки воды на ВЗУ в д. В. Хорошово, Коломенский г.о.")</f>
        <v>Приобретение, монтаж и ввод в эксплуатацию станции  очистки воды на ВЗУ в д. В. Хорошово, Коломенский г.о.</v>
      </c>
      <c r="F173" s="67">
        <f ca="1">IFERROR(__xludf.DUMMYFUNCTION("""COMPUTED_VALUE"""),2020)</f>
        <v>2020</v>
      </c>
      <c r="G173" s="67" t="str">
        <f ca="1">IFERROR(__xludf.DUMMYFUNCTION("""COMPUTED_VALUE"""),"г.о. Коломенский")</f>
        <v>г.о. Коломенский</v>
      </c>
      <c r="H173" s="67" t="str">
        <f ca="1">IFERROR(__xludf.DUMMYFUNCTION("""COMPUTED_VALUE"""),"ВЗУ")</f>
        <v>ВЗУ</v>
      </c>
      <c r="I173" s="67"/>
      <c r="J173" s="67"/>
      <c r="K173" s="97">
        <f ca="1">IFERROR(__xludf.DUMMYFUNCTION("""COMPUTED_VALUE"""),0)</f>
        <v>0</v>
      </c>
      <c r="L173" s="97">
        <f ca="1">IFERROR(__xludf.DUMMYFUNCTION("""COMPUTED_VALUE"""),0)</f>
        <v>0</v>
      </c>
      <c r="M173" s="97">
        <f ca="1">IFERROR(__xludf.DUMMYFUNCTION("""COMPUTED_VALUE"""),1606.64)</f>
        <v>1606.64</v>
      </c>
      <c r="N173" s="67"/>
      <c r="O173" s="67"/>
      <c r="P173" s="67" t="str">
        <f ca="1">IFERROR(__xludf.DUMMYFUNCTION("""COMPUTED_VALUE"""),"Приобретение, монтаж")</f>
        <v>Приобретение, монтаж</v>
      </c>
      <c r="Q173" s="67" t="e">
        <f t="shared" ca="1" si="0"/>
        <v>#DIV/0!</v>
      </c>
      <c r="R173" s="67"/>
      <c r="S173" s="67"/>
      <c r="T173" s="67"/>
      <c r="U173" s="67"/>
      <c r="V173" s="67"/>
      <c r="W173" s="67"/>
      <c r="X173" s="67"/>
      <c r="Y173" s="67"/>
      <c r="Z173" s="67"/>
      <c r="AA173" s="67"/>
      <c r="AB173" s="67"/>
      <c r="AC173" s="67"/>
      <c r="AD173" s="67"/>
      <c r="AE173" s="67"/>
      <c r="AF173" s="67"/>
      <c r="AG173" s="67"/>
      <c r="AH173" s="67"/>
      <c r="AI173" s="67"/>
      <c r="AJ173" s="67"/>
      <c r="AK173" s="67"/>
      <c r="AL173" s="67"/>
      <c r="AM173" s="67"/>
    </row>
    <row r="174" spans="1:39" ht="84" x14ac:dyDescent="0.2">
      <c r="A174" s="67"/>
      <c r="B174" s="100"/>
      <c r="C17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4" s="20" t="str">
        <f ca="1">IFERROR(__xludf.DUMMYFUNCTION("""COMPUTED_VALUE"""),"МинЖКХ")</f>
        <v>МинЖКХ</v>
      </c>
      <c r="E174" s="20" t="str">
        <f ca="1">IFERROR(__xludf.DUMMYFUNCTION("""COMPUTED_VALUE"""),"Приобретение, монтаж и ввод в эксплуатацию станции  очистки воды на ВЗУ в д. Проводник-2, Коломенский г.о.")</f>
        <v>Приобретение, монтаж и ввод в эксплуатацию станции  очистки воды на ВЗУ в д. Проводник-2, Коломенский г.о.</v>
      </c>
      <c r="F174" s="67">
        <f ca="1">IFERROR(__xludf.DUMMYFUNCTION("""COMPUTED_VALUE"""),2020)</f>
        <v>2020</v>
      </c>
      <c r="G174" s="67" t="str">
        <f ca="1">IFERROR(__xludf.DUMMYFUNCTION("""COMPUTED_VALUE"""),"г.о. Коломенский")</f>
        <v>г.о. Коломенский</v>
      </c>
      <c r="H174" s="67" t="str">
        <f ca="1">IFERROR(__xludf.DUMMYFUNCTION("""COMPUTED_VALUE"""),"ВЗУ")</f>
        <v>ВЗУ</v>
      </c>
      <c r="I174" s="97">
        <f ca="1">IFERROR(__xludf.DUMMYFUNCTION("""COMPUTED_VALUE"""),0)</f>
        <v>0</v>
      </c>
      <c r="J174" s="97">
        <f ca="1">IFERROR(__xludf.DUMMYFUNCTION("""COMPUTED_VALUE"""),1507.11)</f>
        <v>1507.11</v>
      </c>
      <c r="K174" s="97">
        <f ca="1">IFERROR(__xludf.DUMMYFUNCTION("""COMPUTED_VALUE"""),79.35)</f>
        <v>79.349999999999994</v>
      </c>
      <c r="L174" s="97">
        <f ca="1">IFERROR(__xludf.DUMMYFUNCTION("""COMPUTED_VALUE"""),0)</f>
        <v>0</v>
      </c>
      <c r="M174" s="97">
        <f ca="1">IFERROR(__xludf.DUMMYFUNCTION("""COMPUTED_VALUE"""),0)</f>
        <v>0</v>
      </c>
      <c r="N174" s="67"/>
      <c r="O174" s="67"/>
      <c r="P174" s="67" t="str">
        <f ca="1">IFERROR(__xludf.DUMMYFUNCTION("""COMPUTED_VALUE"""),"Приобретение, монтаж")</f>
        <v>Приобретение, монтаж</v>
      </c>
      <c r="Q174" s="67">
        <f t="shared" ca="1" si="0"/>
        <v>0</v>
      </c>
      <c r="R174" s="67"/>
      <c r="S174" s="67"/>
      <c r="T174" s="67"/>
      <c r="U174" s="67"/>
      <c r="V174" s="67"/>
      <c r="W174" s="67"/>
      <c r="X174" s="67"/>
      <c r="Y174" s="67"/>
      <c r="Z174" s="67"/>
      <c r="AA174" s="67"/>
      <c r="AB174" s="67"/>
      <c r="AC174" s="67"/>
      <c r="AD174" s="67"/>
      <c r="AE174" s="67"/>
      <c r="AF174" s="67"/>
      <c r="AG174" s="67"/>
      <c r="AH174" s="67"/>
      <c r="AI174" s="67"/>
      <c r="AJ174" s="67"/>
      <c r="AK174" s="67"/>
      <c r="AL174" s="67"/>
      <c r="AM174" s="67"/>
    </row>
    <row r="175" spans="1:39" ht="84" x14ac:dyDescent="0.2">
      <c r="A175" s="67"/>
      <c r="B175" s="100"/>
      <c r="C17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5" s="20" t="str">
        <f ca="1">IFERROR(__xludf.DUMMYFUNCTION("""COMPUTED_VALUE"""),"МинЖКХ")</f>
        <v>МинЖКХ</v>
      </c>
      <c r="E175" s="20" t="str">
        <f ca="1">IFERROR(__xludf.DUMMYFUNCTION("""COMPUTED_VALUE"""),"Приобретение, монтаж и ввод в эксплуатацию станции  очистки воды на ВЗУ в п. Запрудный, Коломенский г.о.")</f>
        <v>Приобретение, монтаж и ввод в эксплуатацию станции  очистки воды на ВЗУ в п. Запрудный, Коломенский г.о.</v>
      </c>
      <c r="F175" s="67">
        <f ca="1">IFERROR(__xludf.DUMMYFUNCTION("""COMPUTED_VALUE"""),2020)</f>
        <v>2020</v>
      </c>
      <c r="G175" s="67" t="str">
        <f ca="1">IFERROR(__xludf.DUMMYFUNCTION("""COMPUTED_VALUE"""),"г.о. Коломенский")</f>
        <v>г.о. Коломенский</v>
      </c>
      <c r="H175" s="67" t="str">
        <f ca="1">IFERROR(__xludf.DUMMYFUNCTION("""COMPUTED_VALUE"""),"ВЗУ")</f>
        <v>ВЗУ</v>
      </c>
      <c r="I175" s="97">
        <f ca="1">IFERROR(__xludf.DUMMYFUNCTION("""COMPUTED_VALUE"""),0)</f>
        <v>0</v>
      </c>
      <c r="J175" s="97">
        <f ca="1">IFERROR(__xludf.DUMMYFUNCTION("""COMPUTED_VALUE"""),1723.52)</f>
        <v>1723.52</v>
      </c>
      <c r="K175" s="97">
        <f ca="1">IFERROR(__xludf.DUMMYFUNCTION("""COMPUTED_VALUE"""),135.83)</f>
        <v>135.83000000000001</v>
      </c>
      <c r="L175" s="97">
        <f ca="1">IFERROR(__xludf.DUMMYFUNCTION("""COMPUTED_VALUE"""),0)</f>
        <v>0</v>
      </c>
      <c r="M175" s="97">
        <f ca="1">IFERROR(__xludf.DUMMYFUNCTION("""COMPUTED_VALUE"""),0)</f>
        <v>0</v>
      </c>
      <c r="N175" s="67"/>
      <c r="O175" s="67"/>
      <c r="P175" s="67" t="str">
        <f ca="1">IFERROR(__xludf.DUMMYFUNCTION("""COMPUTED_VALUE"""),"Приобретение, монтаж")</f>
        <v>Приобретение, монтаж</v>
      </c>
      <c r="Q175" s="67">
        <f t="shared" ca="1" si="0"/>
        <v>0</v>
      </c>
      <c r="R175" s="67"/>
      <c r="S175" s="67"/>
      <c r="T175" s="67"/>
      <c r="U175" s="67"/>
      <c r="V175" s="67"/>
      <c r="W175" s="67"/>
      <c r="X175" s="67"/>
      <c r="Y175" s="67"/>
      <c r="Z175" s="67"/>
      <c r="AA175" s="67"/>
      <c r="AB175" s="67"/>
      <c r="AC175" s="67"/>
      <c r="AD175" s="67"/>
      <c r="AE175" s="67"/>
      <c r="AF175" s="67"/>
      <c r="AG175" s="67"/>
      <c r="AH175" s="67"/>
      <c r="AI175" s="67"/>
      <c r="AJ175" s="67"/>
      <c r="AK175" s="67"/>
      <c r="AL175" s="67"/>
      <c r="AM175" s="67"/>
    </row>
    <row r="176" spans="1:39" ht="84" x14ac:dyDescent="0.2">
      <c r="A176" s="67"/>
      <c r="B176" s="100"/>
      <c r="C17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6" s="20" t="str">
        <f ca="1">IFERROR(__xludf.DUMMYFUNCTION("""COMPUTED_VALUE"""),"МинЖКХ")</f>
        <v>МинЖКХ</v>
      </c>
      <c r="E176" s="20" t="str">
        <f ca="1">IFERROR(__xludf.DUMMYFUNCTION("""COMPUTED_VALUE"""),"Приобретение, монтаж и ввод в эксплуатацию станции  очистки воды на ВЗУ в с. Горки, Коломенский г.о.")</f>
        <v>Приобретение, монтаж и ввод в эксплуатацию станции  очистки воды на ВЗУ в с. Горки, Коломенский г.о.</v>
      </c>
      <c r="F176" s="67">
        <f ca="1">IFERROR(__xludf.DUMMYFUNCTION("""COMPUTED_VALUE"""),2020)</f>
        <v>2020</v>
      </c>
      <c r="G176" s="67" t="str">
        <f ca="1">IFERROR(__xludf.DUMMYFUNCTION("""COMPUTED_VALUE"""),"г.о. Коломенский")</f>
        <v>г.о. Коломенский</v>
      </c>
      <c r="H176" s="67" t="str">
        <f ca="1">IFERROR(__xludf.DUMMYFUNCTION("""COMPUTED_VALUE"""),"ВЗУ")</f>
        <v>ВЗУ</v>
      </c>
      <c r="I176" s="97">
        <f ca="1">IFERROR(__xludf.DUMMYFUNCTION("""COMPUTED_VALUE"""),0)</f>
        <v>0</v>
      </c>
      <c r="J176" s="97">
        <f ca="1">IFERROR(__xludf.DUMMYFUNCTION("""COMPUTED_VALUE"""),1723.39)</f>
        <v>1723.39</v>
      </c>
      <c r="K176" s="97">
        <f ca="1">IFERROR(__xludf.DUMMYFUNCTION("""COMPUTED_VALUE"""),137.47)</f>
        <v>137.47</v>
      </c>
      <c r="L176" s="97">
        <f ca="1">IFERROR(__xludf.DUMMYFUNCTION("""COMPUTED_VALUE"""),0)</f>
        <v>0</v>
      </c>
      <c r="M176" s="97">
        <f ca="1">IFERROR(__xludf.DUMMYFUNCTION("""COMPUTED_VALUE"""),0)</f>
        <v>0</v>
      </c>
      <c r="N176" s="67"/>
      <c r="O176" s="67"/>
      <c r="P176" s="67" t="str">
        <f ca="1">IFERROR(__xludf.DUMMYFUNCTION("""COMPUTED_VALUE"""),"Приобретение, монтаж")</f>
        <v>Приобретение, монтаж</v>
      </c>
      <c r="Q176" s="67">
        <f t="shared" ca="1" si="0"/>
        <v>0</v>
      </c>
      <c r="R176" s="67"/>
      <c r="S176" s="67"/>
      <c r="T176" s="67"/>
      <c r="U176" s="67"/>
      <c r="V176" s="67"/>
      <c r="W176" s="67"/>
      <c r="X176" s="67"/>
      <c r="Y176" s="67"/>
      <c r="Z176" s="67"/>
      <c r="AA176" s="67"/>
      <c r="AB176" s="67"/>
      <c r="AC176" s="67"/>
      <c r="AD176" s="67"/>
      <c r="AE176" s="67"/>
      <c r="AF176" s="67"/>
      <c r="AG176" s="67"/>
      <c r="AH176" s="67"/>
      <c r="AI176" s="67"/>
      <c r="AJ176" s="67"/>
      <c r="AK176" s="67"/>
      <c r="AL176" s="67"/>
      <c r="AM176" s="67"/>
    </row>
    <row r="177" spans="1:39" ht="84" x14ac:dyDescent="0.2">
      <c r="A177" s="67"/>
      <c r="B177" s="100"/>
      <c r="C17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7" s="20" t="str">
        <f ca="1">IFERROR(__xludf.DUMMYFUNCTION("""COMPUTED_VALUE"""),"МинЖКХ")</f>
        <v>МинЖКХ</v>
      </c>
      <c r="E177" s="20" t="str">
        <f ca="1">IFERROR(__xludf.DUMMYFUNCTION("""COMPUTED_VALUE"""),"Приобретение, монтаж и ввод в эксплуатацию станции  очистки воды на ВЗУ в с. Макшеево, Коломенский г.о.")</f>
        <v>Приобретение, монтаж и ввод в эксплуатацию станции  очистки воды на ВЗУ в с. Макшеево, Коломенский г.о.</v>
      </c>
      <c r="F177" s="67">
        <f ca="1">IFERROR(__xludf.DUMMYFUNCTION("""COMPUTED_VALUE"""),2020)</f>
        <v>2020</v>
      </c>
      <c r="G177" s="67" t="str">
        <f ca="1">IFERROR(__xludf.DUMMYFUNCTION("""COMPUTED_VALUE"""),"г.о. Коломенский")</f>
        <v>г.о. Коломенский</v>
      </c>
      <c r="H177" s="67" t="str">
        <f ca="1">IFERROR(__xludf.DUMMYFUNCTION("""COMPUTED_VALUE"""),"ВЗУ")</f>
        <v>ВЗУ</v>
      </c>
      <c r="I177" s="97">
        <f ca="1">IFERROR(__xludf.DUMMYFUNCTION("""COMPUTED_VALUE"""),0)</f>
        <v>0</v>
      </c>
      <c r="J177" s="97">
        <f ca="1">IFERROR(__xludf.DUMMYFUNCTION("""COMPUTED_VALUE"""),1728.28)</f>
        <v>1728.28</v>
      </c>
      <c r="K177" s="97">
        <f ca="1">IFERROR(__xludf.DUMMYFUNCTION("""COMPUTED_VALUE"""),135.82)</f>
        <v>135.82</v>
      </c>
      <c r="L177" s="97">
        <f ca="1">IFERROR(__xludf.DUMMYFUNCTION("""COMPUTED_VALUE"""),0)</f>
        <v>0</v>
      </c>
      <c r="M177" s="97">
        <f ca="1">IFERROR(__xludf.DUMMYFUNCTION("""COMPUTED_VALUE"""),0)</f>
        <v>0</v>
      </c>
      <c r="N177" s="67"/>
      <c r="O177" s="67"/>
      <c r="P177" s="67" t="str">
        <f ca="1">IFERROR(__xludf.DUMMYFUNCTION("""COMPUTED_VALUE"""),"Приобретение, монтаж")</f>
        <v>Приобретение, монтаж</v>
      </c>
      <c r="Q177" s="67">
        <f t="shared" ca="1" si="0"/>
        <v>0</v>
      </c>
      <c r="R177" s="67"/>
      <c r="S177" s="67"/>
      <c r="T177" s="67"/>
      <c r="U177" s="67"/>
      <c r="V177" s="67"/>
      <c r="W177" s="67"/>
      <c r="X177" s="67"/>
      <c r="Y177" s="67"/>
      <c r="Z177" s="67"/>
      <c r="AA177" s="67"/>
      <c r="AB177" s="67"/>
      <c r="AC177" s="67"/>
      <c r="AD177" s="67"/>
      <c r="AE177" s="67"/>
      <c r="AF177" s="67"/>
      <c r="AG177" s="67"/>
      <c r="AH177" s="67"/>
      <c r="AI177" s="67"/>
      <c r="AJ177" s="67"/>
      <c r="AK177" s="67"/>
      <c r="AL177" s="67"/>
      <c r="AM177" s="67"/>
    </row>
    <row r="178" spans="1:39" ht="84" x14ac:dyDescent="0.2">
      <c r="A178" s="67"/>
      <c r="B178" s="100"/>
      <c r="C17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8" s="20" t="str">
        <f ca="1">IFERROR(__xludf.DUMMYFUNCTION("""COMPUTED_VALUE"""),"МинЖКХ")</f>
        <v>МинЖКХ</v>
      </c>
      <c r="E178" s="20" t="str">
        <f ca="1">IFERROR(__xludf.DUMMYFUNCTION("""COMPUTED_VALUE"""),"Приобретение, монтаж и ввод в эксплуатацию станции  очистки воды на ВЗУ в д. Молитвино, Коломенский г.о.")</f>
        <v>Приобретение, монтаж и ввод в эксплуатацию станции  очистки воды на ВЗУ в д. Молитвино, Коломенский г.о.</v>
      </c>
      <c r="F178" s="67">
        <f ca="1">IFERROR(__xludf.DUMMYFUNCTION("""COMPUTED_VALUE"""),2020)</f>
        <v>2020</v>
      </c>
      <c r="G178" s="67" t="str">
        <f ca="1">IFERROR(__xludf.DUMMYFUNCTION("""COMPUTED_VALUE"""),"г.о. Коломенский")</f>
        <v>г.о. Коломенский</v>
      </c>
      <c r="H178" s="67" t="str">
        <f ca="1">IFERROR(__xludf.DUMMYFUNCTION("""COMPUTED_VALUE"""),"ВЗУ")</f>
        <v>ВЗУ</v>
      </c>
      <c r="I178" s="97">
        <f ca="1">IFERROR(__xludf.DUMMYFUNCTION("""COMPUTED_VALUE"""),0)</f>
        <v>0</v>
      </c>
      <c r="J178" s="97">
        <f ca="1">IFERROR(__xludf.DUMMYFUNCTION("""COMPUTED_VALUE"""),1637.04)</f>
        <v>1637.04</v>
      </c>
      <c r="K178" s="97">
        <f ca="1">IFERROR(__xludf.DUMMYFUNCTION("""COMPUTED_VALUE"""),142.57)</f>
        <v>142.57</v>
      </c>
      <c r="L178" s="97">
        <f ca="1">IFERROR(__xludf.DUMMYFUNCTION("""COMPUTED_VALUE"""),0)</f>
        <v>0</v>
      </c>
      <c r="M178" s="97">
        <f ca="1">IFERROR(__xludf.DUMMYFUNCTION("""COMPUTED_VALUE"""),0)</f>
        <v>0</v>
      </c>
      <c r="N178" s="67"/>
      <c r="O178" s="67"/>
      <c r="P178" s="67" t="str">
        <f ca="1">IFERROR(__xludf.DUMMYFUNCTION("""COMPUTED_VALUE"""),"Приобретение, монтаж")</f>
        <v>Приобретение, монтаж</v>
      </c>
      <c r="Q178" s="67">
        <f t="shared" ca="1" si="0"/>
        <v>0</v>
      </c>
      <c r="R178" s="67"/>
      <c r="S178" s="67"/>
      <c r="T178" s="67"/>
      <c r="U178" s="67"/>
      <c r="V178" s="67"/>
      <c r="W178" s="67"/>
      <c r="X178" s="67"/>
      <c r="Y178" s="67"/>
      <c r="Z178" s="67"/>
      <c r="AA178" s="67"/>
      <c r="AB178" s="67"/>
      <c r="AC178" s="67"/>
      <c r="AD178" s="67"/>
      <c r="AE178" s="67"/>
      <c r="AF178" s="67"/>
      <c r="AG178" s="67"/>
      <c r="AH178" s="67"/>
      <c r="AI178" s="67"/>
      <c r="AJ178" s="67"/>
      <c r="AK178" s="67"/>
      <c r="AL178" s="67"/>
      <c r="AM178" s="67"/>
    </row>
    <row r="179" spans="1:39" ht="84" x14ac:dyDescent="0.2">
      <c r="A179" s="67"/>
      <c r="B179" s="96"/>
      <c r="C17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9" s="20" t="str">
        <f ca="1">IFERROR(__xludf.DUMMYFUNCTION("""COMPUTED_VALUE"""),"МинЖКХ")</f>
        <v>МинЖКХ</v>
      </c>
      <c r="E179" s="20" t="str">
        <f ca="1">IFERROR(__xludf.DUMMYFUNCTION("""COMPUTED_VALUE"""),"Приобретение, монтаж и ввод в эксплуатацию станции  очистки воды на ВЗУ в с. Андреевское, Коломенский г.о.")</f>
        <v>Приобретение, монтаж и ввод в эксплуатацию станции  очистки воды на ВЗУ в с. Андреевское, Коломенский г.о.</v>
      </c>
      <c r="F179" s="67">
        <f ca="1">IFERROR(__xludf.DUMMYFUNCTION("""COMPUTED_VALUE"""),2020)</f>
        <v>2020</v>
      </c>
      <c r="G179" s="67" t="str">
        <f ca="1">IFERROR(__xludf.DUMMYFUNCTION("""COMPUTED_VALUE"""),"г.о. Коломенский")</f>
        <v>г.о. Коломенский</v>
      </c>
      <c r="H179" s="67" t="str">
        <f ca="1">IFERROR(__xludf.DUMMYFUNCTION("""COMPUTED_VALUE"""),"ВЗУ")</f>
        <v>ВЗУ</v>
      </c>
      <c r="I179" s="97">
        <f ca="1">IFERROR(__xludf.DUMMYFUNCTION("""COMPUTED_VALUE"""),0)</f>
        <v>0</v>
      </c>
      <c r="J179" s="97">
        <f ca="1">IFERROR(__xludf.DUMMYFUNCTION("""COMPUTED_VALUE"""),1757.36)</f>
        <v>1757.36</v>
      </c>
      <c r="K179" s="97">
        <f ca="1">IFERROR(__xludf.DUMMYFUNCTION("""COMPUTED_VALUE"""),139.22)</f>
        <v>139.22</v>
      </c>
      <c r="L179" s="97">
        <f ca="1">IFERROR(__xludf.DUMMYFUNCTION("""COMPUTED_VALUE"""),0)</f>
        <v>0</v>
      </c>
      <c r="M179" s="97">
        <f ca="1">IFERROR(__xludf.DUMMYFUNCTION("""COMPUTED_VALUE"""),0)</f>
        <v>0</v>
      </c>
      <c r="N179" s="67"/>
      <c r="O179" s="67"/>
      <c r="P179" s="67" t="str">
        <f ca="1">IFERROR(__xludf.DUMMYFUNCTION("""COMPUTED_VALUE"""),"Приобретение, монтаж")</f>
        <v>Приобретение, монтаж</v>
      </c>
      <c r="Q179" s="67">
        <f t="shared" ca="1" si="0"/>
        <v>0</v>
      </c>
      <c r="R179" s="67"/>
      <c r="S179" s="67"/>
      <c r="T179" s="67"/>
      <c r="U179" s="67"/>
      <c r="V179" s="67"/>
      <c r="W179" s="67"/>
      <c r="X179" s="67"/>
      <c r="Y179" s="67"/>
      <c r="Z179" s="67"/>
      <c r="AA179" s="67"/>
      <c r="AB179" s="67"/>
      <c r="AC179" s="67"/>
      <c r="AD179" s="67"/>
      <c r="AE179" s="67"/>
      <c r="AF179" s="67"/>
      <c r="AG179" s="67"/>
      <c r="AH179" s="67"/>
      <c r="AI179" s="67"/>
      <c r="AJ179" s="67"/>
      <c r="AK179" s="67"/>
      <c r="AL179" s="67"/>
      <c r="AM179" s="67"/>
    </row>
    <row r="180" spans="1:39" ht="84" hidden="1" x14ac:dyDescent="0.2">
      <c r="A180" s="67"/>
      <c r="B180" s="96"/>
      <c r="C18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0" s="20" t="str">
        <f ca="1">IFERROR(__xludf.DUMMYFUNCTION("""COMPUTED_VALUE"""),"МинЖКХ")</f>
        <v>МинЖКХ</v>
      </c>
      <c r="E180" s="20" t="str">
        <f ca="1">IFERROR(__xludf.DUMMYFUNCTION("""COMPUTED_VALUE"""),"Приобретение, монтаж и ввод в эксплуатацию станции  очистки воды на ВЗУ в д. Новая, Коломенский г.о.")</f>
        <v>Приобретение, монтаж и ввод в эксплуатацию станции  очистки воды на ВЗУ в д. Новая, Коломенский г.о.</v>
      </c>
      <c r="F180" s="67">
        <f ca="1">IFERROR(__xludf.DUMMYFUNCTION("""COMPUTED_VALUE"""),2020)</f>
        <v>2020</v>
      </c>
      <c r="G180" s="67" t="str">
        <f ca="1">IFERROR(__xludf.DUMMYFUNCTION("""COMPUTED_VALUE"""),"г.о. Коломенский")</f>
        <v>г.о. Коломенский</v>
      </c>
      <c r="H180" s="67" t="str">
        <f ca="1">IFERROR(__xludf.DUMMYFUNCTION("""COMPUTED_VALUE"""),"ВЗУ")</f>
        <v>ВЗУ</v>
      </c>
      <c r="I180" s="67"/>
      <c r="J180" s="67"/>
      <c r="K180" s="97">
        <f ca="1">IFERROR(__xludf.DUMMYFUNCTION("""COMPUTED_VALUE"""),0)</f>
        <v>0</v>
      </c>
      <c r="L180" s="97">
        <f ca="1">IFERROR(__xludf.DUMMYFUNCTION("""COMPUTED_VALUE"""),0)</f>
        <v>0</v>
      </c>
      <c r="M180" s="97">
        <f ca="1">IFERROR(__xludf.DUMMYFUNCTION("""COMPUTED_VALUE"""),2703.37)</f>
        <v>2703.37</v>
      </c>
      <c r="N180" s="67"/>
      <c r="O180" s="67"/>
      <c r="P180" s="67" t="str">
        <f ca="1">IFERROR(__xludf.DUMMYFUNCTION("""COMPUTED_VALUE"""),"Приобретение, монтаж")</f>
        <v>Приобретение, монтаж</v>
      </c>
      <c r="Q180" s="67" t="e">
        <f t="shared" ca="1" si="0"/>
        <v>#DIV/0!</v>
      </c>
      <c r="R180" s="67"/>
      <c r="S180" s="67"/>
      <c r="T180" s="67"/>
      <c r="U180" s="67"/>
      <c r="V180" s="67"/>
      <c r="W180" s="67"/>
      <c r="X180" s="67"/>
      <c r="Y180" s="67"/>
      <c r="Z180" s="67"/>
      <c r="AA180" s="67"/>
      <c r="AB180" s="67"/>
      <c r="AC180" s="67"/>
      <c r="AD180" s="67"/>
      <c r="AE180" s="67"/>
      <c r="AF180" s="67"/>
      <c r="AG180" s="67"/>
      <c r="AH180" s="67"/>
      <c r="AI180" s="67"/>
      <c r="AJ180" s="67"/>
      <c r="AK180" s="67"/>
      <c r="AL180" s="67"/>
      <c r="AM180" s="67"/>
    </row>
    <row r="181" spans="1:39" ht="84" hidden="1" x14ac:dyDescent="0.2">
      <c r="A181" s="67"/>
      <c r="B181" s="100"/>
      <c r="C18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1" s="20" t="str">
        <f ca="1">IFERROR(__xludf.DUMMYFUNCTION("""COMPUTED_VALUE"""),"МинЖКХ")</f>
        <v>МинЖКХ</v>
      </c>
      <c r="E181" s="20" t="str">
        <f ca="1">IFERROR(__xludf.DUMMYFUNCTION("""COMPUTED_VALUE"""),"Приобретение, монтаж и ввод в эксплуатацию станции  очистки воды на ВЗУ в д. Молодинки (Новопокровское), Коломенский г.о.")</f>
        <v>Приобретение, монтаж и ввод в эксплуатацию станции  очистки воды на ВЗУ в д. Молодинки (Новопокровское), Коломенский г.о.</v>
      </c>
      <c r="F181" s="67">
        <f ca="1">IFERROR(__xludf.DUMMYFUNCTION("""COMPUTED_VALUE"""),2020)</f>
        <v>2020</v>
      </c>
      <c r="G181" s="67" t="str">
        <f ca="1">IFERROR(__xludf.DUMMYFUNCTION("""COMPUTED_VALUE"""),"г.о. Коломенский")</f>
        <v>г.о. Коломенский</v>
      </c>
      <c r="H181" s="67" t="str">
        <f ca="1">IFERROR(__xludf.DUMMYFUNCTION("""COMPUTED_VALUE"""),"ВЗУ")</f>
        <v>ВЗУ</v>
      </c>
      <c r="I181" s="67"/>
      <c r="J181" s="67"/>
      <c r="K181" s="97">
        <f ca="1">IFERROR(__xludf.DUMMYFUNCTION("""COMPUTED_VALUE"""),0)</f>
        <v>0</v>
      </c>
      <c r="L181" s="97">
        <f ca="1">IFERROR(__xludf.DUMMYFUNCTION("""COMPUTED_VALUE"""),0)</f>
        <v>0</v>
      </c>
      <c r="M181" s="97">
        <f ca="1">IFERROR(__xludf.DUMMYFUNCTION("""COMPUTED_VALUE"""),1600)</f>
        <v>1600</v>
      </c>
      <c r="N181" s="67"/>
      <c r="O181" s="67"/>
      <c r="P181" s="67" t="str">
        <f ca="1">IFERROR(__xludf.DUMMYFUNCTION("""COMPUTED_VALUE"""),"Приобретение, монтаж")</f>
        <v>Приобретение, монтаж</v>
      </c>
      <c r="Q181" s="67" t="e">
        <f t="shared" ca="1" si="0"/>
        <v>#DIV/0!</v>
      </c>
      <c r="R181" s="67"/>
      <c r="S181" s="67"/>
      <c r="T181" s="67"/>
      <c r="U181" s="67"/>
      <c r="V181" s="67"/>
      <c r="W181" s="67"/>
      <c r="X181" s="67"/>
      <c r="Y181" s="67"/>
      <c r="Z181" s="67"/>
      <c r="AA181" s="67"/>
      <c r="AB181" s="67"/>
      <c r="AC181" s="67"/>
      <c r="AD181" s="67"/>
      <c r="AE181" s="67"/>
      <c r="AF181" s="67"/>
      <c r="AG181" s="67"/>
      <c r="AH181" s="67"/>
      <c r="AI181" s="67"/>
      <c r="AJ181" s="67"/>
      <c r="AK181" s="67"/>
      <c r="AL181" s="67"/>
      <c r="AM181" s="67"/>
    </row>
    <row r="182" spans="1:39" ht="84" x14ac:dyDescent="0.2">
      <c r="A182" s="67"/>
      <c r="B182" s="100"/>
      <c r="C18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2" s="20" t="str">
        <f ca="1">IFERROR(__xludf.DUMMYFUNCTION("""COMPUTED_VALUE"""),"МинЖКХ")</f>
        <v>МинЖКХ</v>
      </c>
      <c r="E182" s="20" t="str">
        <f ca="1">IFERROR(__xludf.DUMMYFUNCTION("""COMPUTED_VALUE"""),"Приобретение, монтаж и ввод в эксплуатацию станции  очистки воды на ВЗУ в д. Колодкино, Коломенский г.о.")</f>
        <v>Приобретение, монтаж и ввод в эксплуатацию станции  очистки воды на ВЗУ в д. Колодкино, Коломенский г.о.</v>
      </c>
      <c r="F182" s="67">
        <f ca="1">IFERROR(__xludf.DUMMYFUNCTION("""COMPUTED_VALUE"""),2020)</f>
        <v>2020</v>
      </c>
      <c r="G182" s="67" t="str">
        <f ca="1">IFERROR(__xludf.DUMMYFUNCTION("""COMPUTED_VALUE"""),"г.о. Коломенский")</f>
        <v>г.о. Коломенский</v>
      </c>
      <c r="H182" s="67" t="str">
        <f ca="1">IFERROR(__xludf.DUMMYFUNCTION("""COMPUTED_VALUE"""),"ВЗУ")</f>
        <v>ВЗУ</v>
      </c>
      <c r="I182" s="97">
        <f ca="1">IFERROR(__xludf.DUMMYFUNCTION("""COMPUTED_VALUE"""),0)</f>
        <v>0</v>
      </c>
      <c r="J182" s="97">
        <f ca="1">IFERROR(__xludf.DUMMYFUNCTION("""COMPUTED_VALUE"""),1715.37)</f>
        <v>1715.37</v>
      </c>
      <c r="K182" s="97">
        <f ca="1">IFERROR(__xludf.DUMMYFUNCTION("""COMPUTED_VALUE"""),135.83)</f>
        <v>135.83000000000001</v>
      </c>
      <c r="L182" s="97">
        <f ca="1">IFERROR(__xludf.DUMMYFUNCTION("""COMPUTED_VALUE"""),0)</f>
        <v>0</v>
      </c>
      <c r="M182" s="97">
        <f ca="1">IFERROR(__xludf.DUMMYFUNCTION("""COMPUTED_VALUE"""),0)</f>
        <v>0</v>
      </c>
      <c r="N182" s="67"/>
      <c r="O182" s="67"/>
      <c r="P182" s="67" t="str">
        <f ca="1">IFERROR(__xludf.DUMMYFUNCTION("""COMPUTED_VALUE"""),"Приобретение, монтаж")</f>
        <v>Приобретение, монтаж</v>
      </c>
      <c r="Q182" s="67">
        <f t="shared" ca="1" si="0"/>
        <v>0</v>
      </c>
      <c r="R182" s="67"/>
      <c r="S182" s="67"/>
      <c r="T182" s="67"/>
      <c r="U182" s="67"/>
      <c r="V182" s="67"/>
      <c r="W182" s="67"/>
      <c r="X182" s="67"/>
      <c r="Y182" s="67"/>
      <c r="Z182" s="67"/>
      <c r="AA182" s="67"/>
      <c r="AB182" s="67"/>
      <c r="AC182" s="67"/>
      <c r="AD182" s="67"/>
      <c r="AE182" s="67"/>
      <c r="AF182" s="67"/>
      <c r="AG182" s="67"/>
      <c r="AH182" s="67"/>
      <c r="AI182" s="67"/>
      <c r="AJ182" s="67"/>
      <c r="AK182" s="67"/>
      <c r="AL182" s="67"/>
      <c r="AM182" s="67"/>
    </row>
    <row r="183" spans="1:39" ht="84" x14ac:dyDescent="0.2">
      <c r="A183" s="67"/>
      <c r="B183" s="100"/>
      <c r="C18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3" s="20" t="str">
        <f ca="1">IFERROR(__xludf.DUMMYFUNCTION("""COMPUTED_VALUE"""),"МинЖКХ")</f>
        <v>МинЖКХ</v>
      </c>
      <c r="E183" s="20" t="str">
        <f ca="1">IFERROR(__xludf.DUMMYFUNCTION("""COMPUTED_VALUE"""),"Приобретение, монтаж и ввод в эксплуатацию станции  очистки воды на ВЗУ в д. Туменское, Коломенский г.о.")</f>
        <v>Приобретение, монтаж и ввод в эксплуатацию станции  очистки воды на ВЗУ в д. Туменское, Коломенский г.о.</v>
      </c>
      <c r="F183" s="67">
        <f ca="1">IFERROR(__xludf.DUMMYFUNCTION("""COMPUTED_VALUE"""),2020)</f>
        <v>2020</v>
      </c>
      <c r="G183" s="67" t="str">
        <f ca="1">IFERROR(__xludf.DUMMYFUNCTION("""COMPUTED_VALUE"""),"г.о. Коломенский")</f>
        <v>г.о. Коломенский</v>
      </c>
      <c r="H183" s="67" t="str">
        <f ca="1">IFERROR(__xludf.DUMMYFUNCTION("""COMPUTED_VALUE"""),"ВЗУ")</f>
        <v>ВЗУ</v>
      </c>
      <c r="I183" s="97">
        <f ca="1">IFERROR(__xludf.DUMMYFUNCTION("""COMPUTED_VALUE"""),0)</f>
        <v>0</v>
      </c>
      <c r="J183" s="97">
        <f ca="1">IFERROR(__xludf.DUMMYFUNCTION("""COMPUTED_VALUE"""),1633.28)</f>
        <v>1633.28</v>
      </c>
      <c r="K183" s="97">
        <f ca="1">IFERROR(__xludf.DUMMYFUNCTION("""COMPUTED_VALUE"""),130.36)</f>
        <v>130.36000000000001</v>
      </c>
      <c r="L183" s="97">
        <f ca="1">IFERROR(__xludf.DUMMYFUNCTION("""COMPUTED_VALUE"""),0)</f>
        <v>0</v>
      </c>
      <c r="M183" s="97">
        <f ca="1">IFERROR(__xludf.DUMMYFUNCTION("""COMPUTED_VALUE"""),0)</f>
        <v>0</v>
      </c>
      <c r="N183" s="67"/>
      <c r="O183" s="67"/>
      <c r="P183" s="67" t="str">
        <f ca="1">IFERROR(__xludf.DUMMYFUNCTION("""COMPUTED_VALUE"""),"Приобретение, монтаж")</f>
        <v>Приобретение, монтаж</v>
      </c>
      <c r="Q183" s="67">
        <f t="shared" ca="1" si="0"/>
        <v>0</v>
      </c>
      <c r="R183" s="67"/>
      <c r="S183" s="67"/>
      <c r="T183" s="67"/>
      <c r="U183" s="67"/>
      <c r="V183" s="67"/>
      <c r="W183" s="67"/>
      <c r="X183" s="67"/>
      <c r="Y183" s="67"/>
      <c r="Z183" s="67"/>
      <c r="AA183" s="67"/>
      <c r="AB183" s="67"/>
      <c r="AC183" s="67"/>
      <c r="AD183" s="67"/>
      <c r="AE183" s="67"/>
      <c r="AF183" s="67"/>
      <c r="AG183" s="67"/>
      <c r="AH183" s="67"/>
      <c r="AI183" s="67"/>
      <c r="AJ183" s="67"/>
      <c r="AK183" s="67"/>
      <c r="AL183" s="67"/>
      <c r="AM183" s="67"/>
    </row>
    <row r="184" spans="1:39" ht="84" x14ac:dyDescent="0.2">
      <c r="A184" s="67"/>
      <c r="B184" s="100"/>
      <c r="C18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4" s="20" t="str">
        <f ca="1">IFERROR(__xludf.DUMMYFUNCTION("""COMPUTED_VALUE"""),"МинЖКХ")</f>
        <v>МинЖКХ</v>
      </c>
      <c r="E184" s="20" t="str">
        <f ca="1">IFERROR(__xludf.DUMMYFUNCTION("""COMPUTED_VALUE"""),"Приобретение, монтаж и ввод в эксплуатацию станции  очистки воды на ВЗУ в с. Никульское, Коломенский г.о.")</f>
        <v>Приобретение, монтаж и ввод в эксплуатацию станции  очистки воды на ВЗУ в с. Никульское, Коломенский г.о.</v>
      </c>
      <c r="F184" s="67">
        <f ca="1">IFERROR(__xludf.DUMMYFUNCTION("""COMPUTED_VALUE"""),2020)</f>
        <v>2020</v>
      </c>
      <c r="G184" s="67" t="str">
        <f ca="1">IFERROR(__xludf.DUMMYFUNCTION("""COMPUTED_VALUE"""),"г.о. Коломенский")</f>
        <v>г.о. Коломенский</v>
      </c>
      <c r="H184" s="67" t="str">
        <f ca="1">IFERROR(__xludf.DUMMYFUNCTION("""COMPUTED_VALUE"""),"ВЗУ")</f>
        <v>ВЗУ</v>
      </c>
      <c r="I184" s="97">
        <f ca="1">IFERROR(__xludf.DUMMYFUNCTION("""COMPUTED_VALUE"""),0)</f>
        <v>0</v>
      </c>
      <c r="J184" s="97">
        <f ca="1">IFERROR(__xludf.DUMMYFUNCTION("""COMPUTED_VALUE"""),1493.71)</f>
        <v>1493.71</v>
      </c>
      <c r="K184" s="97">
        <f ca="1">IFERROR(__xludf.DUMMYFUNCTION("""COMPUTED_VALUE"""),78.65)</f>
        <v>78.650000000000006</v>
      </c>
      <c r="L184" s="97">
        <f ca="1">IFERROR(__xludf.DUMMYFUNCTION("""COMPUTED_VALUE"""),0)</f>
        <v>0</v>
      </c>
      <c r="M184" s="97">
        <f ca="1">IFERROR(__xludf.DUMMYFUNCTION("""COMPUTED_VALUE"""),0)</f>
        <v>0</v>
      </c>
      <c r="N184" s="67"/>
      <c r="O184" s="67"/>
      <c r="P184" s="67" t="str">
        <f ca="1">IFERROR(__xludf.DUMMYFUNCTION("""COMPUTED_VALUE"""),"Приобретение, монтаж")</f>
        <v>Приобретение, монтаж</v>
      </c>
      <c r="Q184" s="67">
        <f t="shared" ca="1" si="0"/>
        <v>0</v>
      </c>
      <c r="R184" s="67"/>
      <c r="S184" s="67"/>
      <c r="T184" s="67"/>
      <c r="U184" s="67"/>
      <c r="V184" s="67"/>
      <c r="W184" s="67"/>
      <c r="X184" s="67"/>
      <c r="Y184" s="67"/>
      <c r="Z184" s="67"/>
      <c r="AA184" s="67"/>
      <c r="AB184" s="67"/>
      <c r="AC184" s="67"/>
      <c r="AD184" s="67"/>
      <c r="AE184" s="67"/>
      <c r="AF184" s="67"/>
      <c r="AG184" s="67"/>
      <c r="AH184" s="67"/>
      <c r="AI184" s="67"/>
      <c r="AJ184" s="67"/>
      <c r="AK184" s="67"/>
      <c r="AL184" s="67"/>
      <c r="AM184" s="67"/>
    </row>
    <row r="185" spans="1:39" ht="84" x14ac:dyDescent="0.2">
      <c r="A185" s="67"/>
      <c r="B185" s="100"/>
      <c r="C18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5" s="20" t="str">
        <f ca="1">IFERROR(__xludf.DUMMYFUNCTION("""COMPUTED_VALUE"""),"МинЖКХ")</f>
        <v>МинЖКХ</v>
      </c>
      <c r="E185" s="20" t="str">
        <f ca="1">IFERROR(__xludf.DUMMYFUNCTION("""COMPUTED_VALUE"""),"Приобретение, монтаж и ввод в эксплуатацию станции  очистки воды на ВЗУ в д. Лыково, Коломенский г.о.")</f>
        <v>Приобретение, монтаж и ввод в эксплуатацию станции  очистки воды на ВЗУ в д. Лыково, Коломенский г.о.</v>
      </c>
      <c r="F185" s="67">
        <f ca="1">IFERROR(__xludf.DUMMYFUNCTION("""COMPUTED_VALUE"""),2020)</f>
        <v>2020</v>
      </c>
      <c r="G185" s="67" t="str">
        <f ca="1">IFERROR(__xludf.DUMMYFUNCTION("""COMPUTED_VALUE"""),"г.о. Коломенский")</f>
        <v>г.о. Коломенский</v>
      </c>
      <c r="H185" s="67" t="str">
        <f ca="1">IFERROR(__xludf.DUMMYFUNCTION("""COMPUTED_VALUE"""),"ВЗУ")</f>
        <v>ВЗУ</v>
      </c>
      <c r="I185" s="97">
        <f ca="1">IFERROR(__xludf.DUMMYFUNCTION("""COMPUTED_VALUE"""),0)</f>
        <v>0</v>
      </c>
      <c r="J185" s="97">
        <f ca="1">IFERROR(__xludf.DUMMYFUNCTION("""COMPUTED_VALUE"""),1721.91)</f>
        <v>1721.91</v>
      </c>
      <c r="K185" s="97">
        <f ca="1">IFERROR(__xludf.DUMMYFUNCTION("""COMPUTED_VALUE"""),137.47)</f>
        <v>137.47</v>
      </c>
      <c r="L185" s="97">
        <f ca="1">IFERROR(__xludf.DUMMYFUNCTION("""COMPUTED_VALUE"""),0)</f>
        <v>0</v>
      </c>
      <c r="M185" s="97">
        <f ca="1">IFERROR(__xludf.DUMMYFUNCTION("""COMPUTED_VALUE"""),0)</f>
        <v>0</v>
      </c>
      <c r="N185" s="67"/>
      <c r="O185" s="67"/>
      <c r="P185" s="67" t="str">
        <f ca="1">IFERROR(__xludf.DUMMYFUNCTION("""COMPUTED_VALUE"""),"Приобретение, монтаж")</f>
        <v>Приобретение, монтаж</v>
      </c>
      <c r="Q185" s="67">
        <f t="shared" ca="1" si="0"/>
        <v>0</v>
      </c>
      <c r="R185" s="67"/>
      <c r="S185" s="67"/>
      <c r="T185" s="67"/>
      <c r="U185" s="67"/>
      <c r="V185" s="67"/>
      <c r="W185" s="67"/>
      <c r="X185" s="67"/>
      <c r="Y185" s="67"/>
      <c r="Z185" s="67"/>
      <c r="AA185" s="67"/>
      <c r="AB185" s="67"/>
      <c r="AC185" s="67"/>
      <c r="AD185" s="67"/>
      <c r="AE185" s="67"/>
      <c r="AF185" s="67"/>
      <c r="AG185" s="67"/>
      <c r="AH185" s="67"/>
      <c r="AI185" s="67"/>
      <c r="AJ185" s="67"/>
      <c r="AK185" s="67"/>
      <c r="AL185" s="67"/>
      <c r="AM185" s="67"/>
    </row>
    <row r="186" spans="1:39" ht="84" x14ac:dyDescent="0.2">
      <c r="A186" s="67"/>
      <c r="B186" s="100"/>
      <c r="C18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6" s="20" t="str">
        <f ca="1">IFERROR(__xludf.DUMMYFUNCTION("""COMPUTED_VALUE"""),"МинЖКХ")</f>
        <v>МинЖКХ</v>
      </c>
      <c r="E186" s="20" t="str">
        <f ca="1">IFERROR(__xludf.DUMMYFUNCTION("""COMPUTED_VALUE"""),"Приобретение, монтаж и ввод в эксплуатацию станции водоочистки на ВЗУ №9, по ажресу: Московская обл., г. Пушкино, мкр. Серебрянка")</f>
        <v>Приобретение, монтаж и ввод в эксплуатацию станции водоочистки на ВЗУ №9, по ажресу: Московская обл., г. Пушкино, мкр. Серебрянка</v>
      </c>
      <c r="F186" s="67">
        <f ca="1">IFERROR(__xludf.DUMMYFUNCTION("""COMPUTED_VALUE"""),2020)</f>
        <v>2020</v>
      </c>
      <c r="G186" s="67" t="str">
        <f ca="1">IFERROR(__xludf.DUMMYFUNCTION("""COMPUTED_VALUE"""),"г.о. Пушкинский")</f>
        <v>г.о. Пушкинский</v>
      </c>
      <c r="H186" s="67" t="str">
        <f ca="1">IFERROR(__xludf.DUMMYFUNCTION("""COMPUTED_VALUE"""),"ВЗУ")</f>
        <v>ВЗУ</v>
      </c>
      <c r="I186" s="97">
        <f ca="1">IFERROR(__xludf.DUMMYFUNCTION("""COMPUTED_VALUE"""),5632.58)</f>
        <v>5632.58</v>
      </c>
      <c r="J186" s="67"/>
      <c r="K186" s="97">
        <f ca="1">IFERROR(__xludf.DUMMYFUNCTION("""COMPUTED_VALUE"""),1817.92)</f>
        <v>1817.92</v>
      </c>
      <c r="L186" s="97">
        <f ca="1">IFERROR(__xludf.DUMMYFUNCTION("""COMPUTED_VALUE"""),0)</f>
        <v>0</v>
      </c>
      <c r="M186" s="97">
        <f ca="1">IFERROR(__xludf.DUMMYFUNCTION("""COMPUTED_VALUE"""),0)</f>
        <v>0</v>
      </c>
      <c r="N186" s="67"/>
      <c r="O186" s="67"/>
      <c r="P186" s="67" t="str">
        <f ca="1">IFERROR(__xludf.DUMMYFUNCTION("""COMPUTED_VALUE"""),"Приобретение, монтаж")</f>
        <v>Приобретение, монтаж</v>
      </c>
      <c r="Q186" s="67">
        <f t="shared" ca="1" si="0"/>
        <v>0</v>
      </c>
      <c r="R186" s="67"/>
      <c r="S186" s="67"/>
      <c r="T186" s="67"/>
      <c r="U186" s="67"/>
      <c r="V186" s="67"/>
      <c r="W186" s="67"/>
      <c r="X186" s="67"/>
      <c r="Y186" s="67"/>
      <c r="Z186" s="67"/>
      <c r="AA186" s="67"/>
      <c r="AB186" s="67"/>
      <c r="AC186" s="67"/>
      <c r="AD186" s="67"/>
      <c r="AE186" s="67"/>
      <c r="AF186" s="67"/>
      <c r="AG186" s="67"/>
      <c r="AH186" s="67"/>
      <c r="AI186" s="67"/>
      <c r="AJ186" s="67"/>
      <c r="AK186" s="67"/>
      <c r="AL186" s="67"/>
      <c r="AM186" s="67"/>
    </row>
    <row r="187" spans="1:39" ht="84" x14ac:dyDescent="0.2">
      <c r="A187" s="67"/>
      <c r="B187" s="100"/>
      <c r="C18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7" s="20" t="str">
        <f ca="1">IFERROR(__xludf.DUMMYFUNCTION("""COMPUTED_VALUE"""),"МинЖКХ")</f>
        <v>МинЖКХ</v>
      </c>
      <c r="E187" s="20" t="str">
        <f ca="1">IFERROR(__xludf.DUMMYFUNCTION("""COMPUTED_VALUE"""),"Приобретение, монтаж и ввод в эксплуатацию станции водоочистки на ВЗУв д. Лидино, Рузский г.о.")</f>
        <v>Приобретение, монтаж и ввод в эксплуатацию станции водоочистки на ВЗУв д. Лидино, Рузский г.о.</v>
      </c>
      <c r="F187" s="67">
        <f ca="1">IFERROR(__xludf.DUMMYFUNCTION("""COMPUTED_VALUE"""),2020)</f>
        <v>2020</v>
      </c>
      <c r="G187" s="67" t="str">
        <f ca="1">IFERROR(__xludf.DUMMYFUNCTION("""COMPUTED_VALUE"""),"г.о. Рузский")</f>
        <v>г.о. Рузский</v>
      </c>
      <c r="H187" s="67" t="str">
        <f ca="1">IFERROR(__xludf.DUMMYFUNCTION("""COMPUTED_VALUE"""),"ВЗУ")</f>
        <v>ВЗУ</v>
      </c>
      <c r="I187" s="97">
        <f ca="1">IFERROR(__xludf.DUMMYFUNCTION("""COMPUTED_VALUE"""),1874.22)</f>
        <v>1874.22</v>
      </c>
      <c r="J187" s="67"/>
      <c r="K187" s="97">
        <f ca="1">IFERROR(__xludf.DUMMYFUNCTION("""COMPUTED_VALUE"""),614.85)</f>
        <v>614.85</v>
      </c>
      <c r="L187" s="97">
        <f ca="1">IFERROR(__xludf.DUMMYFUNCTION("""COMPUTED_VALUE"""),0)</f>
        <v>0</v>
      </c>
      <c r="M187" s="97">
        <f ca="1">IFERROR(__xludf.DUMMYFUNCTION("""COMPUTED_VALUE"""),0)</f>
        <v>0</v>
      </c>
      <c r="N187" s="67"/>
      <c r="O187" s="67"/>
      <c r="P187" s="67" t="str">
        <f ca="1">IFERROR(__xludf.DUMMYFUNCTION("""COMPUTED_VALUE"""),"Приобретение, монтаж")</f>
        <v>Приобретение, монтаж</v>
      </c>
      <c r="Q187" s="67">
        <f t="shared" ca="1" si="0"/>
        <v>0</v>
      </c>
      <c r="R187" s="67"/>
      <c r="S187" s="67"/>
      <c r="T187" s="67"/>
      <c r="U187" s="67"/>
      <c r="V187" s="67"/>
      <c r="W187" s="67"/>
      <c r="X187" s="67"/>
      <c r="Y187" s="67"/>
      <c r="Z187" s="67"/>
      <c r="AA187" s="67"/>
      <c r="AB187" s="67"/>
      <c r="AC187" s="67"/>
      <c r="AD187" s="67"/>
      <c r="AE187" s="67"/>
      <c r="AF187" s="67"/>
      <c r="AG187" s="67"/>
      <c r="AH187" s="67"/>
      <c r="AI187" s="67"/>
      <c r="AJ187" s="67"/>
      <c r="AK187" s="67"/>
      <c r="AL187" s="67"/>
      <c r="AM187" s="67"/>
    </row>
    <row r="188" spans="1:39" ht="84" x14ac:dyDescent="0.2">
      <c r="A188" s="67"/>
      <c r="B188" s="96"/>
      <c r="C18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8" s="20" t="str">
        <f ca="1">IFERROR(__xludf.DUMMYFUNCTION("""COMPUTED_VALUE"""),"МинЖКХ")</f>
        <v>МинЖКХ</v>
      </c>
      <c r="E188" s="20" t="str">
        <f ca="1">IFERROR(__xludf.DUMMYFUNCTION("""COMPUTED_VALUE"""),"Приобретение, монтаж и ввод в эксплуатацию станции водоочистки на ВЗУв с. Никольское, соор.64,, Рузский г.о.")</f>
        <v>Приобретение, монтаж и ввод в эксплуатацию станции водоочистки на ВЗУв с. Никольское, соор.64,, Рузский г.о.</v>
      </c>
      <c r="F188" s="67">
        <f ca="1">IFERROR(__xludf.DUMMYFUNCTION("""COMPUTED_VALUE"""),2020)</f>
        <v>2020</v>
      </c>
      <c r="G188" s="67" t="str">
        <f ca="1">IFERROR(__xludf.DUMMYFUNCTION("""COMPUTED_VALUE"""),"г.о. Рузский")</f>
        <v>г.о. Рузский</v>
      </c>
      <c r="H188" s="67" t="str">
        <f ca="1">IFERROR(__xludf.DUMMYFUNCTION("""COMPUTED_VALUE"""),"ВЗУ")</f>
        <v>ВЗУ</v>
      </c>
      <c r="I188" s="97">
        <f ca="1">IFERROR(__xludf.DUMMYFUNCTION("""COMPUTED_VALUE"""),1843.74)</f>
        <v>1843.74</v>
      </c>
      <c r="J188" s="67"/>
      <c r="K188" s="97">
        <f ca="1">IFERROR(__xludf.DUMMYFUNCTION("""COMPUTED_VALUE"""),604.79)</f>
        <v>604.79</v>
      </c>
      <c r="L188" s="97">
        <f ca="1">IFERROR(__xludf.DUMMYFUNCTION("""COMPUTED_VALUE"""),0)</f>
        <v>0</v>
      </c>
      <c r="M188" s="97">
        <f ca="1">IFERROR(__xludf.DUMMYFUNCTION("""COMPUTED_VALUE"""),0)</f>
        <v>0</v>
      </c>
      <c r="N188" s="67"/>
      <c r="O188" s="67"/>
      <c r="P188" s="67" t="str">
        <f ca="1">IFERROR(__xludf.DUMMYFUNCTION("""COMPUTED_VALUE"""),"Приобретение, монтаж")</f>
        <v>Приобретение, монтаж</v>
      </c>
      <c r="Q188" s="67">
        <f t="shared" ca="1" si="0"/>
        <v>0</v>
      </c>
      <c r="R188" s="67"/>
      <c r="S188" s="67"/>
      <c r="T188" s="67"/>
      <c r="U188" s="67"/>
      <c r="V188" s="67"/>
      <c r="W188" s="67"/>
      <c r="X188" s="67"/>
      <c r="Y188" s="67"/>
      <c r="Z188" s="67"/>
      <c r="AA188" s="67"/>
      <c r="AB188" s="67"/>
      <c r="AC188" s="67"/>
      <c r="AD188" s="67"/>
      <c r="AE188" s="67"/>
      <c r="AF188" s="67"/>
      <c r="AG188" s="67"/>
      <c r="AH188" s="67"/>
      <c r="AI188" s="67"/>
      <c r="AJ188" s="67"/>
      <c r="AK188" s="67"/>
      <c r="AL188" s="67"/>
      <c r="AM188" s="67"/>
    </row>
    <row r="189" spans="1:39" ht="84" hidden="1" x14ac:dyDescent="0.2">
      <c r="A189" s="67"/>
      <c r="B189" s="96"/>
      <c r="C18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9" s="20" t="str">
        <f ca="1">IFERROR(__xludf.DUMMYFUNCTION("""COMPUTED_VALUE"""),"МинЖКХ")</f>
        <v>МинЖКХ</v>
      </c>
      <c r="E189" s="20" t="str">
        <f ca="1">IFERROR(__xludf.DUMMYFUNCTION("""COMPUTED_VALUE"""),"Приобретение, монтаж и ввод в эксплуатацию станции водоочистки на ВЗУв д. Колодкино, ул. Верейская д.176, Рузский г.о.")</f>
        <v>Приобретение, монтаж и ввод в эксплуатацию станции водоочистки на ВЗУв д. Колодкино, ул. Верейская д.176, Рузский г.о.</v>
      </c>
      <c r="F189" s="67">
        <f ca="1">IFERROR(__xludf.DUMMYFUNCTION("""COMPUTED_VALUE"""),2021)</f>
        <v>2021</v>
      </c>
      <c r="G189" s="67" t="str">
        <f ca="1">IFERROR(__xludf.DUMMYFUNCTION("""COMPUTED_VALUE"""),"г.о. Рузский")</f>
        <v>г.о. Рузский</v>
      </c>
      <c r="H189" s="67" t="str">
        <f ca="1">IFERROR(__xludf.DUMMYFUNCTION("""COMPUTED_VALUE"""),"ВЗУ")</f>
        <v>ВЗУ</v>
      </c>
      <c r="I189" s="67"/>
      <c r="J189" s="67"/>
      <c r="K189" s="97">
        <f ca="1">IFERROR(__xludf.DUMMYFUNCTION("""COMPUTED_VALUE"""),543.4)</f>
        <v>543.4</v>
      </c>
      <c r="L189" s="97">
        <f ca="1">IFERROR(__xludf.DUMMYFUNCTION("""COMPUTED_VALUE"""),0)</f>
        <v>0</v>
      </c>
      <c r="M189" s="97">
        <f ca="1">IFERROR(__xludf.DUMMYFUNCTION("""COMPUTED_VALUE"""),0)</f>
        <v>0</v>
      </c>
      <c r="N189" s="67"/>
      <c r="O189" s="67"/>
      <c r="P189" s="67" t="str">
        <f ca="1">IFERROR(__xludf.DUMMYFUNCTION("""COMPUTED_VALUE"""),"Приобретение, монтаж")</f>
        <v>Приобретение, монтаж</v>
      </c>
      <c r="Q189" s="67">
        <f t="shared" ca="1" si="0"/>
        <v>0</v>
      </c>
      <c r="R189" s="67"/>
      <c r="S189" s="67"/>
      <c r="T189" s="67"/>
      <c r="U189" s="67"/>
      <c r="V189" s="67"/>
      <c r="W189" s="67"/>
      <c r="X189" s="67"/>
      <c r="Y189" s="67"/>
      <c r="Z189" s="67"/>
      <c r="AA189" s="67"/>
      <c r="AB189" s="67"/>
      <c r="AC189" s="67"/>
      <c r="AD189" s="67"/>
      <c r="AE189" s="67"/>
      <c r="AF189" s="67"/>
      <c r="AG189" s="67"/>
      <c r="AH189" s="67"/>
      <c r="AI189" s="67"/>
      <c r="AJ189" s="67"/>
      <c r="AK189" s="67"/>
      <c r="AL189" s="67"/>
      <c r="AM189" s="67"/>
    </row>
    <row r="190" spans="1:39" ht="84" hidden="1" x14ac:dyDescent="0.2">
      <c r="A190" s="67"/>
      <c r="B190" s="96"/>
      <c r="C19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0" s="20" t="str">
        <f ca="1">IFERROR(__xludf.DUMMYFUNCTION("""COMPUTED_VALUE"""),"МинЖКХ")</f>
        <v>МинЖКХ</v>
      </c>
      <c r="E190" s="20" t="str">
        <f ca="1">IFERROR(__xludf.DUMMYFUNCTION("""COMPUTED_VALUE"""),"Приобретение, монтаж и ввод в эксплуатацию станции водоочистки на ВЗУв д. Грибцово, ул. Больничная д.138, Рузский г.о.")</f>
        <v>Приобретение, монтаж и ввод в эксплуатацию станции водоочистки на ВЗУв д. Грибцово, ул. Больничная д.138, Рузский г.о.</v>
      </c>
      <c r="F190" s="67">
        <f ca="1">IFERROR(__xludf.DUMMYFUNCTION("""COMPUTED_VALUE"""),2021)</f>
        <v>2021</v>
      </c>
      <c r="G190" s="67" t="str">
        <f ca="1">IFERROR(__xludf.DUMMYFUNCTION("""COMPUTED_VALUE"""),"г.о. Рузский")</f>
        <v>г.о. Рузский</v>
      </c>
      <c r="H190" s="67" t="str">
        <f ca="1">IFERROR(__xludf.DUMMYFUNCTION("""COMPUTED_VALUE"""),"ВЗУ")</f>
        <v>ВЗУ</v>
      </c>
      <c r="I190" s="67"/>
      <c r="J190" s="67"/>
      <c r="K190" s="97">
        <f ca="1">IFERROR(__xludf.DUMMYFUNCTION("""COMPUTED_VALUE"""),544.9)</f>
        <v>544.9</v>
      </c>
      <c r="L190" s="97">
        <f ca="1">IFERROR(__xludf.DUMMYFUNCTION("""COMPUTED_VALUE"""),0)</f>
        <v>0</v>
      </c>
      <c r="M190" s="97">
        <f ca="1">IFERROR(__xludf.DUMMYFUNCTION("""COMPUTED_VALUE"""),0)</f>
        <v>0</v>
      </c>
      <c r="N190" s="67"/>
      <c r="O190" s="67"/>
      <c r="P190" s="67" t="str">
        <f ca="1">IFERROR(__xludf.DUMMYFUNCTION("""COMPUTED_VALUE"""),"Приобретение, монтаж")</f>
        <v>Приобретение, монтаж</v>
      </c>
      <c r="Q190" s="67">
        <f t="shared" ca="1" si="0"/>
        <v>0</v>
      </c>
      <c r="R190" s="67"/>
      <c r="S190" s="67"/>
      <c r="T190" s="67"/>
      <c r="U190" s="67"/>
      <c r="V190" s="67"/>
      <c r="W190" s="67"/>
      <c r="X190" s="67"/>
      <c r="Y190" s="67"/>
      <c r="Z190" s="67"/>
      <c r="AA190" s="67"/>
      <c r="AB190" s="67"/>
      <c r="AC190" s="67"/>
      <c r="AD190" s="67"/>
      <c r="AE190" s="67"/>
      <c r="AF190" s="67"/>
      <c r="AG190" s="67"/>
      <c r="AH190" s="67"/>
      <c r="AI190" s="67"/>
      <c r="AJ190" s="67"/>
      <c r="AK190" s="67"/>
      <c r="AL190" s="67"/>
      <c r="AM190" s="67"/>
    </row>
    <row r="191" spans="1:39" ht="84" hidden="1" x14ac:dyDescent="0.2">
      <c r="A191" s="67"/>
      <c r="B191" s="96"/>
      <c r="C19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1" s="20" t="str">
        <f ca="1">IFERROR(__xludf.DUMMYFUNCTION("""COMPUTED_VALUE"""),"МинЖКХ")</f>
        <v>МинЖКХ</v>
      </c>
      <c r="E191" s="20" t="str">
        <f ca="1">IFERROR(__xludf.DUMMYFUNCTION("""COMPUTED_VALUE"""),"Приобретение, монтаж и ввод в эксплуатацию станции водоочистки на ВЗУв д. Новоивановское,  д.81, Рузский г.о.")</f>
        <v>Приобретение, монтаж и ввод в эксплуатацию станции водоочистки на ВЗУв д. Новоивановское,  д.81, Рузский г.о.</v>
      </c>
      <c r="F191" s="67">
        <f ca="1">IFERROR(__xludf.DUMMYFUNCTION("""COMPUTED_VALUE"""),2021)</f>
        <v>2021</v>
      </c>
      <c r="G191" s="67" t="str">
        <f ca="1">IFERROR(__xludf.DUMMYFUNCTION("""COMPUTED_VALUE"""),"г.о. Рузский")</f>
        <v>г.о. Рузский</v>
      </c>
      <c r="H191" s="67" t="str">
        <f ca="1">IFERROR(__xludf.DUMMYFUNCTION("""COMPUTED_VALUE"""),"ВЗУ")</f>
        <v>ВЗУ</v>
      </c>
      <c r="I191" s="67"/>
      <c r="J191" s="67"/>
      <c r="K191" s="97">
        <f ca="1">IFERROR(__xludf.DUMMYFUNCTION("""COMPUTED_VALUE"""),666.9)</f>
        <v>666.9</v>
      </c>
      <c r="L191" s="97">
        <f ca="1">IFERROR(__xludf.DUMMYFUNCTION("""COMPUTED_VALUE"""),0)</f>
        <v>0</v>
      </c>
      <c r="M191" s="97">
        <f ca="1">IFERROR(__xludf.DUMMYFUNCTION("""COMPUTED_VALUE"""),0)</f>
        <v>0</v>
      </c>
      <c r="N191" s="67"/>
      <c r="O191" s="67"/>
      <c r="P191" s="67" t="str">
        <f ca="1">IFERROR(__xludf.DUMMYFUNCTION("""COMPUTED_VALUE"""),"Приобретение, монтаж")</f>
        <v>Приобретение, монтаж</v>
      </c>
      <c r="Q191" s="67">
        <f t="shared" ca="1" si="0"/>
        <v>0</v>
      </c>
      <c r="R191" s="67"/>
      <c r="S191" s="67"/>
      <c r="T191" s="67"/>
      <c r="U191" s="67"/>
      <c r="V191" s="67"/>
      <c r="W191" s="67"/>
      <c r="X191" s="67"/>
      <c r="Y191" s="67"/>
      <c r="Z191" s="67"/>
      <c r="AA191" s="67"/>
      <c r="AB191" s="67"/>
      <c r="AC191" s="67"/>
      <c r="AD191" s="67"/>
      <c r="AE191" s="67"/>
      <c r="AF191" s="67"/>
      <c r="AG191" s="67"/>
      <c r="AH191" s="67"/>
      <c r="AI191" s="67"/>
      <c r="AJ191" s="67"/>
      <c r="AK191" s="67"/>
      <c r="AL191" s="67"/>
      <c r="AM191" s="67"/>
    </row>
    <row r="192" spans="1:39" ht="84" hidden="1" x14ac:dyDescent="0.2">
      <c r="A192" s="67"/>
      <c r="B192" s="100"/>
      <c r="C19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2" s="20" t="str">
        <f ca="1">IFERROR(__xludf.DUMMYFUNCTION("""COMPUTED_VALUE"""),"МинЖКХ")</f>
        <v>МинЖКХ</v>
      </c>
      <c r="E192" s="20" t="str">
        <f ca="1">IFERROR(__xludf.DUMMYFUNCTION("""COMPUTED_VALUE"""),"Приобретение, монтаж и ввод в эксплуатацию станции водоочистки на ВЗУв д. Филатово  д.1, стр.2, Рузский г.о.")</f>
        <v>Приобретение, монтаж и ввод в эксплуатацию станции водоочистки на ВЗУв д. Филатово  д.1, стр.2, Рузский г.о.</v>
      </c>
      <c r="F192" s="67">
        <f ca="1">IFERROR(__xludf.DUMMYFUNCTION("""COMPUTED_VALUE"""),2021)</f>
        <v>2021</v>
      </c>
      <c r="G192" s="67" t="str">
        <f ca="1">IFERROR(__xludf.DUMMYFUNCTION("""COMPUTED_VALUE"""),"г.о. Рузский")</f>
        <v>г.о. Рузский</v>
      </c>
      <c r="H192" s="67" t="str">
        <f ca="1">IFERROR(__xludf.DUMMYFUNCTION("""COMPUTED_VALUE"""),"ВЗУ")</f>
        <v>ВЗУ</v>
      </c>
      <c r="I192" s="67"/>
      <c r="J192" s="67"/>
      <c r="K192" s="97">
        <f ca="1">IFERROR(__xludf.DUMMYFUNCTION("""COMPUTED_VALUE"""),569.6)</f>
        <v>569.6</v>
      </c>
      <c r="L192" s="97">
        <f ca="1">IFERROR(__xludf.DUMMYFUNCTION("""COMPUTED_VALUE"""),0)</f>
        <v>0</v>
      </c>
      <c r="M192" s="97">
        <f ca="1">IFERROR(__xludf.DUMMYFUNCTION("""COMPUTED_VALUE"""),0)</f>
        <v>0</v>
      </c>
      <c r="N192" s="67"/>
      <c r="O192" s="67"/>
      <c r="P192" s="67" t="str">
        <f ca="1">IFERROR(__xludf.DUMMYFUNCTION("""COMPUTED_VALUE"""),"Приобретение, монтаж")</f>
        <v>Приобретение, монтаж</v>
      </c>
      <c r="Q192" s="67">
        <f t="shared" ca="1" si="0"/>
        <v>0</v>
      </c>
      <c r="R192" s="67"/>
      <c r="S192" s="67"/>
      <c r="T192" s="67"/>
      <c r="U192" s="67"/>
      <c r="V192" s="67"/>
      <c r="W192" s="67"/>
      <c r="X192" s="67"/>
      <c r="Y192" s="67"/>
      <c r="Z192" s="67"/>
      <c r="AA192" s="67"/>
      <c r="AB192" s="67"/>
      <c r="AC192" s="67"/>
      <c r="AD192" s="67"/>
      <c r="AE192" s="67"/>
      <c r="AF192" s="67"/>
      <c r="AG192" s="67"/>
      <c r="AH192" s="67"/>
      <c r="AI192" s="67"/>
      <c r="AJ192" s="67"/>
      <c r="AK192" s="67"/>
      <c r="AL192" s="67"/>
      <c r="AM192" s="67"/>
    </row>
    <row r="193" spans="1:39" ht="84" x14ac:dyDescent="0.2">
      <c r="A193" s="67"/>
      <c r="B193" s="100"/>
      <c r="C19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3" s="20" t="str">
        <f ca="1">IFERROR(__xludf.DUMMYFUNCTION("""COMPUTED_VALUE"""),"МинЖКХ")</f>
        <v>МинЖКХ</v>
      </c>
      <c r="E193" s="20" t="str">
        <f ca="1">IFERROR(__xludf.DUMMYFUNCTION("""COMPUTED_VALUE"""),"Приобретение, монтаж и ввод в эксплуатацию станции водоочистки на ВЗУв д. Леньково  д.2, стр.2, Рузский г.о.")</f>
        <v>Приобретение, монтаж и ввод в эксплуатацию станции водоочистки на ВЗУв д. Леньково  д.2, стр.2, Рузский г.о.</v>
      </c>
      <c r="F193" s="67">
        <f ca="1">IFERROR(__xludf.DUMMYFUNCTION("""COMPUTED_VALUE"""),2020)</f>
        <v>2020</v>
      </c>
      <c r="G193" s="67" t="str">
        <f ca="1">IFERROR(__xludf.DUMMYFUNCTION("""COMPUTED_VALUE"""),"г.о. Рузский")</f>
        <v>г.о. Рузский</v>
      </c>
      <c r="H193" s="67" t="str">
        <f ca="1">IFERROR(__xludf.DUMMYFUNCTION("""COMPUTED_VALUE"""),"ВЗУ")</f>
        <v>ВЗУ</v>
      </c>
      <c r="I193" s="97">
        <f ca="1">IFERROR(__xludf.DUMMYFUNCTION("""COMPUTED_VALUE"""),430.07)</f>
        <v>430.07</v>
      </c>
      <c r="J193" s="67"/>
      <c r="K193" s="97">
        <f ca="1">IFERROR(__xludf.DUMMYFUNCTION("""COMPUTED_VALUE"""),195.83)</f>
        <v>195.83</v>
      </c>
      <c r="L193" s="97">
        <f ca="1">IFERROR(__xludf.DUMMYFUNCTION("""COMPUTED_VALUE"""),0)</f>
        <v>0</v>
      </c>
      <c r="M193" s="97">
        <f ca="1">IFERROR(__xludf.DUMMYFUNCTION("""COMPUTED_VALUE"""),0)</f>
        <v>0</v>
      </c>
      <c r="N193" s="67"/>
      <c r="O193" s="67"/>
      <c r="P193" s="67" t="str">
        <f ca="1">IFERROR(__xludf.DUMMYFUNCTION("""COMPUTED_VALUE"""),"Приобретение, монтаж")</f>
        <v>Приобретение, монтаж</v>
      </c>
      <c r="Q193" s="67">
        <f t="shared" ca="1" si="0"/>
        <v>0</v>
      </c>
      <c r="R193" s="67"/>
      <c r="S193" s="67"/>
      <c r="T193" s="67"/>
      <c r="U193" s="67"/>
      <c r="V193" s="67"/>
      <c r="W193" s="67"/>
      <c r="X193" s="67"/>
      <c r="Y193" s="67"/>
      <c r="Z193" s="67"/>
      <c r="AA193" s="67"/>
      <c r="AB193" s="67"/>
      <c r="AC193" s="67"/>
      <c r="AD193" s="67"/>
      <c r="AE193" s="67"/>
      <c r="AF193" s="67"/>
      <c r="AG193" s="67"/>
      <c r="AH193" s="67"/>
      <c r="AI193" s="67"/>
      <c r="AJ193" s="67"/>
      <c r="AK193" s="67"/>
      <c r="AL193" s="67"/>
      <c r="AM193" s="67"/>
    </row>
    <row r="194" spans="1:39" ht="84" x14ac:dyDescent="0.2">
      <c r="A194" s="67"/>
      <c r="B194" s="100"/>
      <c r="C19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4" s="20" t="str">
        <f ca="1">IFERROR(__xludf.DUMMYFUNCTION("""COMPUTED_VALUE"""),"МинЖКХ")</f>
        <v>МинЖКХ</v>
      </c>
      <c r="E194" s="20" t="str">
        <f ca="1">IFERROR(__xludf.DUMMYFUNCTION("""COMPUTED_VALUE"""),"Приобретение, монтаж и ввод в эксплуатацию станции водоочистки на ВЗУв д. Лихачево  д.108, Рузский г.о.")</f>
        <v>Приобретение, монтаж и ввод в эксплуатацию станции водоочистки на ВЗУв д. Лихачево  д.108, Рузский г.о.</v>
      </c>
      <c r="F194" s="67">
        <f ca="1">IFERROR(__xludf.DUMMYFUNCTION("""COMPUTED_VALUE"""),2020)</f>
        <v>2020</v>
      </c>
      <c r="G194" s="67" t="str">
        <f ca="1">IFERROR(__xludf.DUMMYFUNCTION("""COMPUTED_VALUE"""),"г.о. Рузский")</f>
        <v>г.о. Рузский</v>
      </c>
      <c r="H194" s="67" t="str">
        <f ca="1">IFERROR(__xludf.DUMMYFUNCTION("""COMPUTED_VALUE"""),"ВЗУ")</f>
        <v>ВЗУ</v>
      </c>
      <c r="I194" s="97">
        <f ca="1">IFERROR(__xludf.DUMMYFUNCTION("""COMPUTED_VALUE"""),1560.09)</f>
        <v>1560.09</v>
      </c>
      <c r="J194" s="67"/>
      <c r="K194" s="97">
        <f ca="1">IFERROR(__xludf.DUMMYFUNCTION("""COMPUTED_VALUE"""),573.61)</f>
        <v>573.61</v>
      </c>
      <c r="L194" s="97">
        <f ca="1">IFERROR(__xludf.DUMMYFUNCTION("""COMPUTED_VALUE"""),0)</f>
        <v>0</v>
      </c>
      <c r="M194" s="97">
        <f ca="1">IFERROR(__xludf.DUMMYFUNCTION("""COMPUTED_VALUE"""),0)</f>
        <v>0</v>
      </c>
      <c r="N194" s="67"/>
      <c r="O194" s="67"/>
      <c r="P194" s="67" t="str">
        <f ca="1">IFERROR(__xludf.DUMMYFUNCTION("""COMPUTED_VALUE"""),"Приобретение, монтаж")</f>
        <v>Приобретение, монтаж</v>
      </c>
      <c r="Q194" s="67">
        <f t="shared" ca="1" si="0"/>
        <v>0</v>
      </c>
      <c r="R194" s="67"/>
      <c r="S194" s="67"/>
      <c r="T194" s="67"/>
      <c r="U194" s="67"/>
      <c r="V194" s="67"/>
      <c r="W194" s="67"/>
      <c r="X194" s="67"/>
      <c r="Y194" s="67"/>
      <c r="Z194" s="67"/>
      <c r="AA194" s="67"/>
      <c r="AB194" s="67"/>
      <c r="AC194" s="67"/>
      <c r="AD194" s="67"/>
      <c r="AE194" s="67"/>
      <c r="AF194" s="67"/>
      <c r="AG194" s="67"/>
      <c r="AH194" s="67"/>
      <c r="AI194" s="67"/>
      <c r="AJ194" s="67"/>
      <c r="AK194" s="67"/>
      <c r="AL194" s="67"/>
      <c r="AM194" s="67"/>
    </row>
    <row r="195" spans="1:39" ht="84" x14ac:dyDescent="0.2">
      <c r="A195" s="67"/>
      <c r="B195" s="96"/>
      <c r="C19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5" s="20" t="str">
        <f ca="1">IFERROR(__xludf.DUMMYFUNCTION("""COMPUTED_VALUE"""),"МинЖКХ")</f>
        <v>МинЖКХ</v>
      </c>
      <c r="E195" s="20" t="str">
        <f ca="1">IFERROR(__xludf.DUMMYFUNCTION("""COMPUTED_VALUE"""),"Приобретение, монтаж и ввод в эксплуатацию станции водоочистки на ВЗУв д. Ивойлово, соор.19, Рузский г.о.")</f>
        <v>Приобретение, монтаж и ввод в эксплуатацию станции водоочистки на ВЗУв д. Ивойлово, соор.19, Рузский г.о.</v>
      </c>
      <c r="F195" s="67">
        <f ca="1">IFERROR(__xludf.DUMMYFUNCTION("""COMPUTED_VALUE"""),2020)</f>
        <v>2020</v>
      </c>
      <c r="G195" s="67" t="str">
        <f ca="1">IFERROR(__xludf.DUMMYFUNCTION("""COMPUTED_VALUE"""),"г.о. Рузский")</f>
        <v>г.о. Рузский</v>
      </c>
      <c r="H195" s="67" t="str">
        <f ca="1">IFERROR(__xludf.DUMMYFUNCTION("""COMPUTED_VALUE"""),"ВЗУ")</f>
        <v>ВЗУ</v>
      </c>
      <c r="I195" s="97">
        <f ca="1">IFERROR(__xludf.DUMMYFUNCTION("""COMPUTED_VALUE"""),1559.39)</f>
        <v>1559.39</v>
      </c>
      <c r="J195" s="67"/>
      <c r="K195" s="97">
        <f ca="1">IFERROR(__xludf.DUMMYFUNCTION("""COMPUTED_VALUE"""),577.49)</f>
        <v>577.49</v>
      </c>
      <c r="L195" s="97">
        <f ca="1">IFERROR(__xludf.DUMMYFUNCTION("""COMPUTED_VALUE"""),0)</f>
        <v>0</v>
      </c>
      <c r="M195" s="97">
        <f ca="1">IFERROR(__xludf.DUMMYFUNCTION("""COMPUTED_VALUE"""),0)</f>
        <v>0</v>
      </c>
      <c r="N195" s="67"/>
      <c r="O195" s="67"/>
      <c r="P195" s="67" t="str">
        <f ca="1">IFERROR(__xludf.DUMMYFUNCTION("""COMPUTED_VALUE"""),"Приобретение, монтаж")</f>
        <v>Приобретение, монтаж</v>
      </c>
      <c r="Q195" s="67">
        <f t="shared" ca="1" si="0"/>
        <v>0</v>
      </c>
      <c r="R195" s="67"/>
      <c r="S195" s="67"/>
      <c r="T195" s="67"/>
      <c r="U195" s="67"/>
      <c r="V195" s="67"/>
      <c r="W195" s="67"/>
      <c r="X195" s="67"/>
      <c r="Y195" s="67"/>
      <c r="Z195" s="67"/>
      <c r="AA195" s="67"/>
      <c r="AB195" s="67"/>
      <c r="AC195" s="67"/>
      <c r="AD195" s="67"/>
      <c r="AE195" s="67"/>
      <c r="AF195" s="67"/>
      <c r="AG195" s="67"/>
      <c r="AH195" s="67"/>
      <c r="AI195" s="67"/>
      <c r="AJ195" s="67"/>
      <c r="AK195" s="67"/>
      <c r="AL195" s="67"/>
      <c r="AM195" s="67"/>
    </row>
    <row r="196" spans="1:39" ht="84" hidden="1" x14ac:dyDescent="0.2">
      <c r="A196" s="67"/>
      <c r="B196" s="96"/>
      <c r="C19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6" s="20" t="str">
        <f ca="1">IFERROR(__xludf.DUMMYFUNCTION("""COMPUTED_VALUE"""),"МинЖКХ")</f>
        <v>МинЖКХ</v>
      </c>
      <c r="E196" s="20" t="str">
        <f ca="1">IFERROR(__xludf.DUMMYFUNCTION("""COMPUTED_VALUE"""),"Приобретение, монтаж и ввод в эксплуатацию станции водоочистки на ВЗУв д. Комлево,  Рузский г.о.")</f>
        <v>Приобретение, монтаж и ввод в эксплуатацию станции водоочистки на ВЗУв д. Комлево,  Рузский г.о.</v>
      </c>
      <c r="F196" s="67">
        <f ca="1">IFERROR(__xludf.DUMMYFUNCTION("""COMPUTED_VALUE"""),2021)</f>
        <v>2021</v>
      </c>
      <c r="G196" s="67" t="str">
        <f ca="1">IFERROR(__xludf.DUMMYFUNCTION("""COMPUTED_VALUE"""),"г.о. Рузский")</f>
        <v>г.о. Рузский</v>
      </c>
      <c r="H196" s="67" t="str">
        <f ca="1">IFERROR(__xludf.DUMMYFUNCTION("""COMPUTED_VALUE"""),"ВЗУ")</f>
        <v>ВЗУ</v>
      </c>
      <c r="I196" s="67"/>
      <c r="J196" s="67"/>
      <c r="K196" s="97">
        <f ca="1">IFERROR(__xludf.DUMMYFUNCTION("""COMPUTED_VALUE"""),569.6)</f>
        <v>569.6</v>
      </c>
      <c r="L196" s="97">
        <f ca="1">IFERROR(__xludf.DUMMYFUNCTION("""COMPUTED_VALUE"""),0)</f>
        <v>0</v>
      </c>
      <c r="M196" s="97">
        <f ca="1">IFERROR(__xludf.DUMMYFUNCTION("""COMPUTED_VALUE"""),0)</f>
        <v>0</v>
      </c>
      <c r="N196" s="67"/>
      <c r="O196" s="67"/>
      <c r="P196" s="67" t="str">
        <f ca="1">IFERROR(__xludf.DUMMYFUNCTION("""COMPUTED_VALUE"""),"Приобретение, монтаж")</f>
        <v>Приобретение, монтаж</v>
      </c>
      <c r="Q196" s="67">
        <f t="shared" ca="1" si="0"/>
        <v>0</v>
      </c>
      <c r="R196" s="67"/>
      <c r="S196" s="67"/>
      <c r="T196" s="67"/>
      <c r="U196" s="67"/>
      <c r="V196" s="67"/>
      <c r="W196" s="67"/>
      <c r="X196" s="67"/>
      <c r="Y196" s="67"/>
      <c r="Z196" s="67"/>
      <c r="AA196" s="67"/>
      <c r="AB196" s="67"/>
      <c r="AC196" s="67"/>
      <c r="AD196" s="67"/>
      <c r="AE196" s="67"/>
      <c r="AF196" s="67"/>
      <c r="AG196" s="67"/>
      <c r="AH196" s="67"/>
      <c r="AI196" s="67"/>
      <c r="AJ196" s="67"/>
      <c r="AK196" s="67"/>
      <c r="AL196" s="67"/>
      <c r="AM196" s="67"/>
    </row>
    <row r="197" spans="1:39" ht="84" hidden="1" x14ac:dyDescent="0.2">
      <c r="A197" s="67"/>
      <c r="B197" s="100"/>
      <c r="C19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7" s="20" t="str">
        <f ca="1">IFERROR(__xludf.DUMMYFUNCTION("""COMPUTED_VALUE"""),"МинЖКХ")</f>
        <v>МинЖКХ</v>
      </c>
      <c r="E197" s="20" t="str">
        <f ca="1">IFERROR(__xludf.DUMMYFUNCTION("""COMPUTED_VALUE"""),"Приобретение, монтаж и ввод в эксплуатацию станции водоочистки на ВЗУв д. Городище, п/ст151, соор.2В,  Рузский г.о.")</f>
        <v>Приобретение, монтаж и ввод в эксплуатацию станции водоочистки на ВЗУв д. Городище, п/ст151, соор.2В,  Рузский г.о.</v>
      </c>
      <c r="F197" s="67">
        <f ca="1">IFERROR(__xludf.DUMMYFUNCTION("""COMPUTED_VALUE"""),2021)</f>
        <v>2021</v>
      </c>
      <c r="G197" s="67" t="str">
        <f ca="1">IFERROR(__xludf.DUMMYFUNCTION("""COMPUTED_VALUE"""),"г.о. Рузский")</f>
        <v>г.о. Рузский</v>
      </c>
      <c r="H197" s="67" t="str">
        <f ca="1">IFERROR(__xludf.DUMMYFUNCTION("""COMPUTED_VALUE"""),"ВЗУ")</f>
        <v>ВЗУ</v>
      </c>
      <c r="I197" s="67"/>
      <c r="J197" s="67"/>
      <c r="K197" s="97">
        <f ca="1">IFERROR(__xludf.DUMMYFUNCTION("""COMPUTED_VALUE"""),569.6)</f>
        <v>569.6</v>
      </c>
      <c r="L197" s="97">
        <f ca="1">IFERROR(__xludf.DUMMYFUNCTION("""COMPUTED_VALUE"""),0)</f>
        <v>0</v>
      </c>
      <c r="M197" s="97">
        <f ca="1">IFERROR(__xludf.DUMMYFUNCTION("""COMPUTED_VALUE"""),0)</f>
        <v>0</v>
      </c>
      <c r="N197" s="67"/>
      <c r="O197" s="67"/>
      <c r="P197" s="67" t="str">
        <f ca="1">IFERROR(__xludf.DUMMYFUNCTION("""COMPUTED_VALUE"""),"Приобретение, монтаж")</f>
        <v>Приобретение, монтаж</v>
      </c>
      <c r="Q197" s="67">
        <f t="shared" ca="1" si="0"/>
        <v>0</v>
      </c>
      <c r="R197" s="67"/>
      <c r="S197" s="67"/>
      <c r="T197" s="67"/>
      <c r="U197" s="67"/>
      <c r="V197" s="67"/>
      <c r="W197" s="67"/>
      <c r="X197" s="67"/>
      <c r="Y197" s="67"/>
      <c r="Z197" s="67"/>
      <c r="AA197" s="67"/>
      <c r="AB197" s="67"/>
      <c r="AC197" s="67"/>
      <c r="AD197" s="67"/>
      <c r="AE197" s="67"/>
      <c r="AF197" s="67"/>
      <c r="AG197" s="67"/>
      <c r="AH197" s="67"/>
      <c r="AI197" s="67"/>
      <c r="AJ197" s="67"/>
      <c r="AK197" s="67"/>
      <c r="AL197" s="67"/>
      <c r="AM197" s="67"/>
    </row>
    <row r="198" spans="1:39" ht="84" x14ac:dyDescent="0.2">
      <c r="A198" s="67"/>
      <c r="B198" s="96"/>
      <c r="C19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8" s="20" t="str">
        <f ca="1">IFERROR(__xludf.DUMMYFUNCTION("""COMPUTED_VALUE"""),"МинЖКХ")</f>
        <v>МинЖКХ</v>
      </c>
      <c r="E198" s="20" t="str">
        <f ca="1">IFERROR(__xludf.DUMMYFUNCTION("""COMPUTED_VALUE"""),"Приобретение, монтаж и ввод в эксплуатацию станции водоочистки на ВЗУв с. Покровское, ДОХБ, соор.22,  Рузский г.о.")</f>
        <v>Приобретение, монтаж и ввод в эксплуатацию станции водоочистки на ВЗУв с. Покровское, ДОХБ, соор.22,  Рузский г.о.</v>
      </c>
      <c r="F198" s="67">
        <f ca="1">IFERROR(__xludf.DUMMYFUNCTION("""COMPUTED_VALUE"""),2020)</f>
        <v>2020</v>
      </c>
      <c r="G198" s="67" t="str">
        <f ca="1">IFERROR(__xludf.DUMMYFUNCTION("""COMPUTED_VALUE"""),"г.о. Рузский")</f>
        <v>г.о. Рузский</v>
      </c>
      <c r="H198" s="67" t="str">
        <f ca="1">IFERROR(__xludf.DUMMYFUNCTION("""COMPUTED_VALUE"""),"ВЗУ")</f>
        <v>ВЗУ</v>
      </c>
      <c r="I198" s="97">
        <f ca="1">IFERROR(__xludf.DUMMYFUNCTION("""COMPUTED_VALUE"""),1874.22)</f>
        <v>1874.22</v>
      </c>
      <c r="J198" s="67"/>
      <c r="K198" s="97">
        <f ca="1">IFERROR(__xludf.DUMMYFUNCTION("""COMPUTED_VALUE"""),614.85)</f>
        <v>614.85</v>
      </c>
      <c r="L198" s="97">
        <f ca="1">IFERROR(__xludf.DUMMYFUNCTION("""COMPUTED_VALUE"""),0)</f>
        <v>0</v>
      </c>
      <c r="M198" s="97">
        <f ca="1">IFERROR(__xludf.DUMMYFUNCTION("""COMPUTED_VALUE"""),0)</f>
        <v>0</v>
      </c>
      <c r="N198" s="67"/>
      <c r="O198" s="67"/>
      <c r="P198" s="67" t="str">
        <f ca="1">IFERROR(__xludf.DUMMYFUNCTION("""COMPUTED_VALUE"""),"Приобретение, монтаж")</f>
        <v>Приобретение, монтаж</v>
      </c>
      <c r="Q198" s="67">
        <f t="shared" ca="1" si="0"/>
        <v>0</v>
      </c>
      <c r="R198" s="67"/>
      <c r="S198" s="67"/>
      <c r="T198" s="67"/>
      <c r="U198" s="67"/>
      <c r="V198" s="67"/>
      <c r="W198" s="67"/>
      <c r="X198" s="67"/>
      <c r="Y198" s="67"/>
      <c r="Z198" s="67"/>
      <c r="AA198" s="67"/>
      <c r="AB198" s="67"/>
      <c r="AC198" s="67"/>
      <c r="AD198" s="67"/>
      <c r="AE198" s="67"/>
      <c r="AF198" s="67"/>
      <c r="AG198" s="67"/>
      <c r="AH198" s="67"/>
      <c r="AI198" s="67"/>
      <c r="AJ198" s="67"/>
      <c r="AK198" s="67"/>
      <c r="AL198" s="67"/>
      <c r="AM198" s="67"/>
    </row>
    <row r="199" spans="1:39" ht="84" hidden="1" x14ac:dyDescent="0.2">
      <c r="A199" s="67"/>
      <c r="B199" s="96"/>
      <c r="C19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9" s="20" t="str">
        <f ca="1">IFERROR(__xludf.DUMMYFUNCTION("""COMPUTED_VALUE"""),"МинЖКХ")</f>
        <v>МинЖКХ</v>
      </c>
      <c r="E199" s="20" t="str">
        <f ca="1">IFERROR(__xludf.DUMMYFUNCTION("""COMPUTED_VALUE"""),"Приобретение, монтаж и ввод в эксплуатацию станции водоочистки на ВЗУв д. Маврино, г.о. Шатура")</f>
        <v>Приобретение, монтаж и ввод в эксплуатацию станции водоочистки на ВЗУв д. Маврино, г.о. Шатура</v>
      </c>
      <c r="F199" s="67">
        <f ca="1">IFERROR(__xludf.DUMMYFUNCTION("""COMPUTED_VALUE"""),2021)</f>
        <v>2021</v>
      </c>
      <c r="G199" s="67" t="str">
        <f ca="1">IFERROR(__xludf.DUMMYFUNCTION("""COMPUTED_VALUE"""),"г.о. Шатура")</f>
        <v>г.о. Шатура</v>
      </c>
      <c r="H199" s="67" t="str">
        <f ca="1">IFERROR(__xludf.DUMMYFUNCTION("""COMPUTED_VALUE"""),"ВЗУ")</f>
        <v>ВЗУ</v>
      </c>
      <c r="I199" s="67"/>
      <c r="J199" s="67"/>
      <c r="K199" s="97">
        <f ca="1">IFERROR(__xludf.DUMMYFUNCTION("""COMPUTED_VALUE"""),1636.4)</f>
        <v>1636.4</v>
      </c>
      <c r="L199" s="97">
        <f ca="1">IFERROR(__xludf.DUMMYFUNCTION("""COMPUTED_VALUE"""),0)</f>
        <v>0</v>
      </c>
      <c r="M199" s="97">
        <f ca="1">IFERROR(__xludf.DUMMYFUNCTION("""COMPUTED_VALUE"""),0)</f>
        <v>0</v>
      </c>
      <c r="N199" s="67"/>
      <c r="O199" s="67"/>
      <c r="P199" s="67" t="str">
        <f ca="1">IFERROR(__xludf.DUMMYFUNCTION("""COMPUTED_VALUE"""),"Приобретение, монтаж")</f>
        <v>Приобретение, монтаж</v>
      </c>
      <c r="Q199" s="67">
        <f t="shared" ca="1" si="0"/>
        <v>0</v>
      </c>
      <c r="R199" s="67"/>
      <c r="S199" s="67"/>
      <c r="T199" s="67"/>
      <c r="U199" s="67"/>
      <c r="V199" s="67"/>
      <c r="W199" s="67"/>
      <c r="X199" s="67"/>
      <c r="Y199" s="67"/>
      <c r="Z199" s="67"/>
      <c r="AA199" s="67"/>
      <c r="AB199" s="67"/>
      <c r="AC199" s="67"/>
      <c r="AD199" s="67"/>
      <c r="AE199" s="67"/>
      <c r="AF199" s="67"/>
      <c r="AG199" s="67"/>
      <c r="AH199" s="67"/>
      <c r="AI199" s="67"/>
      <c r="AJ199" s="67"/>
      <c r="AK199" s="67"/>
      <c r="AL199" s="67"/>
      <c r="AM199" s="67"/>
    </row>
    <row r="200" spans="1:39" ht="84" hidden="1" x14ac:dyDescent="0.2">
      <c r="A200" s="67"/>
      <c r="B200" s="96"/>
      <c r="C20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0" s="20" t="str">
        <f ca="1">IFERROR(__xludf.DUMMYFUNCTION("""COMPUTED_VALUE"""),"МинЖКХ")</f>
        <v>МинЖКХ</v>
      </c>
      <c r="E200" s="20" t="str">
        <f ca="1">IFERROR(__xludf.DUMMYFUNCTION("""COMPUTED_VALUE"""),"Приобретение, монтаж и ввод в эксплуатацию станции водоочистки на ВЗУв д. Самойлиха, г.о. Шатура")</f>
        <v>Приобретение, монтаж и ввод в эксплуатацию станции водоочистки на ВЗУв д. Самойлиха, г.о. Шатура</v>
      </c>
      <c r="F200" s="67">
        <f ca="1">IFERROR(__xludf.DUMMYFUNCTION("""COMPUTED_VALUE"""),2021)</f>
        <v>2021</v>
      </c>
      <c r="G200" s="67" t="str">
        <f ca="1">IFERROR(__xludf.DUMMYFUNCTION("""COMPUTED_VALUE"""),"г.о. Шатура")</f>
        <v>г.о. Шатура</v>
      </c>
      <c r="H200" s="67" t="str">
        <f ca="1">IFERROR(__xludf.DUMMYFUNCTION("""COMPUTED_VALUE"""),"ВЗУ")</f>
        <v>ВЗУ</v>
      </c>
      <c r="I200" s="67"/>
      <c r="J200" s="67"/>
      <c r="K200" s="97">
        <f ca="1">IFERROR(__xludf.DUMMYFUNCTION("""COMPUTED_VALUE"""),834.53)</f>
        <v>834.53</v>
      </c>
      <c r="L200" s="97">
        <f ca="1">IFERROR(__xludf.DUMMYFUNCTION("""COMPUTED_VALUE"""),0)</f>
        <v>0</v>
      </c>
      <c r="M200" s="97">
        <f ca="1">IFERROR(__xludf.DUMMYFUNCTION("""COMPUTED_VALUE"""),0)</f>
        <v>0</v>
      </c>
      <c r="N200" s="67"/>
      <c r="O200" s="67"/>
      <c r="P200" s="67" t="str">
        <f ca="1">IFERROR(__xludf.DUMMYFUNCTION("""COMPUTED_VALUE"""),"Приобретение, монтаж")</f>
        <v>Приобретение, монтаж</v>
      </c>
      <c r="Q200" s="67">
        <f t="shared" ca="1" si="0"/>
        <v>0</v>
      </c>
      <c r="R200" s="67"/>
      <c r="S200" s="67"/>
      <c r="T200" s="67"/>
      <c r="U200" s="67"/>
      <c r="V200" s="67"/>
      <c r="W200" s="67"/>
      <c r="X200" s="67"/>
      <c r="Y200" s="67"/>
      <c r="Z200" s="67"/>
      <c r="AA200" s="67"/>
      <c r="AB200" s="67"/>
      <c r="AC200" s="67"/>
      <c r="AD200" s="67"/>
      <c r="AE200" s="67"/>
      <c r="AF200" s="67"/>
      <c r="AG200" s="67"/>
      <c r="AH200" s="67"/>
      <c r="AI200" s="67"/>
      <c r="AJ200" s="67"/>
      <c r="AK200" s="67"/>
      <c r="AL200" s="67"/>
      <c r="AM200" s="67"/>
    </row>
    <row r="201" spans="1:39" ht="84" hidden="1" x14ac:dyDescent="0.2">
      <c r="A201" s="67"/>
      <c r="B201" s="100"/>
      <c r="C20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1" s="20" t="str">
        <f ca="1">IFERROR(__xludf.DUMMYFUNCTION("""COMPUTED_VALUE"""),"МинЖКХ")</f>
        <v>МинЖКХ</v>
      </c>
      <c r="E201" s="20" t="str">
        <f ca="1">IFERROR(__xludf.DUMMYFUNCTION("""COMPUTED_VALUE"""),"Приобретение, монтаж и ввод в эксплуатацию станции водоочистки на ВЗУв с. Иванисово, ул. Центральная усадьба, д.1, г.о. Электросталь")</f>
        <v>Приобретение, монтаж и ввод в эксплуатацию станции водоочистки на ВЗУв с. Иванисово, ул. Центральная усадьба, д.1, г.о. Электросталь</v>
      </c>
      <c r="F201" s="67">
        <f ca="1">IFERROR(__xludf.DUMMYFUNCTION("""COMPUTED_VALUE"""),2021)</f>
        <v>2021</v>
      </c>
      <c r="G201" s="67" t="str">
        <f ca="1">IFERROR(__xludf.DUMMYFUNCTION("""COMPUTED_VALUE"""),"г.о. Электросталь")</f>
        <v>г.о. Электросталь</v>
      </c>
      <c r="H201" s="67" t="str">
        <f ca="1">IFERROR(__xludf.DUMMYFUNCTION("""COMPUTED_VALUE"""),"ВЗУ")</f>
        <v>ВЗУ</v>
      </c>
      <c r="I201" s="67"/>
      <c r="J201" s="67"/>
      <c r="K201" s="97">
        <f ca="1">IFERROR(__xludf.DUMMYFUNCTION("""COMPUTED_VALUE"""),1906.5)</f>
        <v>1906.5</v>
      </c>
      <c r="L201" s="97">
        <f ca="1">IFERROR(__xludf.DUMMYFUNCTION("""COMPUTED_VALUE"""),0)</f>
        <v>0</v>
      </c>
      <c r="M201" s="97">
        <f ca="1">IFERROR(__xludf.DUMMYFUNCTION("""COMPUTED_VALUE"""),0)</f>
        <v>0</v>
      </c>
      <c r="N201" s="67"/>
      <c r="O201" s="67"/>
      <c r="P201" s="67" t="str">
        <f ca="1">IFERROR(__xludf.DUMMYFUNCTION("""COMPUTED_VALUE"""),"Приобретение, монтаж")</f>
        <v>Приобретение, монтаж</v>
      </c>
      <c r="Q201" s="67">
        <f t="shared" ca="1" si="0"/>
        <v>0</v>
      </c>
      <c r="R201" s="67"/>
      <c r="S201" s="67"/>
      <c r="T201" s="67"/>
      <c r="U201" s="67"/>
      <c r="V201" s="67"/>
      <c r="W201" s="67"/>
      <c r="X201" s="67"/>
      <c r="Y201" s="67"/>
      <c r="Z201" s="67"/>
      <c r="AA201" s="67"/>
      <c r="AB201" s="67"/>
      <c r="AC201" s="67"/>
      <c r="AD201" s="67"/>
      <c r="AE201" s="67"/>
      <c r="AF201" s="67"/>
      <c r="AG201" s="67"/>
      <c r="AH201" s="67"/>
      <c r="AI201" s="67"/>
      <c r="AJ201" s="67"/>
      <c r="AK201" s="67"/>
      <c r="AL201" s="67"/>
      <c r="AM201" s="67"/>
    </row>
    <row r="202" spans="1:39" ht="132" x14ac:dyDescent="0.2">
      <c r="A202" s="67"/>
      <c r="B202" s="96"/>
      <c r="C20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2" s="20" t="str">
        <f ca="1">IFERROR(__xludf.DUMMYFUNCTION("""COMPUTED_VALUE"""),"МинЖКХ")</f>
        <v>МинЖКХ</v>
      </c>
      <c r="E202" s="20" t="str">
        <f ca="1">IFERROR(__xludf.DUMMYFUNCTION("""COMPUTED_VALUE"""),"Приобретение,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тыс.ру"&amp;"б. средства бюджета Московской области)")</f>
        <v>Приобретение, монтаж и ввод в эксплуатацию станции водоподготовки на ВЗУ производительнстью 130 м3/ч,  г.п. Цюрупы Воскресенский ((в том числе покгашение кредиторской задолжености за выполненые но не оплаченые работы в 2019 году в размере 
7 943,00 тыс.руб. средства бюджета Московской области)</v>
      </c>
      <c r="F202" s="67">
        <f ca="1">IFERROR(__xludf.DUMMYFUNCTION("""COMPUTED_VALUE"""),2020)</f>
        <v>2020</v>
      </c>
      <c r="G202" s="67" t="str">
        <f ca="1">IFERROR(__xludf.DUMMYFUNCTION("""COMPUTED_VALUE"""),"г.о. Воскресенск")</f>
        <v>г.о. Воскресенск</v>
      </c>
      <c r="H202" s="67" t="str">
        <f ca="1">IFERROR(__xludf.DUMMYFUNCTION("""COMPUTED_VALUE"""),"ВЗУ")</f>
        <v>ВЗУ</v>
      </c>
      <c r="I202" s="97">
        <f ca="1">IFERROR(__xludf.DUMMYFUNCTION("""COMPUTED_VALUE"""),7943)</f>
        <v>7943</v>
      </c>
      <c r="J202" s="67"/>
      <c r="K202" s="97">
        <f ca="1">IFERROR(__xludf.DUMMYFUNCTION("""COMPUTED_VALUE"""),0)</f>
        <v>0</v>
      </c>
      <c r="L202" s="97">
        <f ca="1">IFERROR(__xludf.DUMMYFUNCTION("""COMPUTED_VALUE"""),0)</f>
        <v>0</v>
      </c>
      <c r="M202" s="97">
        <f ca="1">IFERROR(__xludf.DUMMYFUNCTION("""COMPUTED_VALUE"""),0)</f>
        <v>0</v>
      </c>
      <c r="N202" s="67"/>
      <c r="O202" s="67"/>
      <c r="P202" s="67" t="str">
        <f ca="1">IFERROR(__xludf.DUMMYFUNCTION("""COMPUTED_VALUE"""),"Приобретение, монтаж")</f>
        <v>Приобретение, монтаж</v>
      </c>
      <c r="Q202" s="67" t="e">
        <f t="shared" ca="1" si="0"/>
        <v>#DIV/0!</v>
      </c>
      <c r="R202" s="67"/>
      <c r="S202" s="67"/>
      <c r="T202" s="67"/>
      <c r="U202" s="67"/>
      <c r="V202" s="67"/>
      <c r="W202" s="67"/>
      <c r="X202" s="67"/>
      <c r="Y202" s="67"/>
      <c r="Z202" s="67"/>
      <c r="AA202" s="67"/>
      <c r="AB202" s="67"/>
      <c r="AC202" s="67"/>
      <c r="AD202" s="67"/>
      <c r="AE202" s="67"/>
      <c r="AF202" s="67"/>
      <c r="AG202" s="67"/>
      <c r="AH202" s="67"/>
      <c r="AI202" s="67"/>
      <c r="AJ202" s="67"/>
      <c r="AK202" s="67"/>
      <c r="AL202" s="67"/>
      <c r="AM202" s="67"/>
    </row>
    <row r="203" spans="1:39" ht="84" hidden="1" x14ac:dyDescent="0.2">
      <c r="A203" s="67"/>
      <c r="B203" s="96"/>
      <c r="C20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3" s="20" t="str">
        <f ca="1">IFERROR(__xludf.DUMMYFUNCTION("""COMPUTED_VALUE"""),"МинЖКХ")</f>
        <v>МинЖКХ</v>
      </c>
      <c r="E203" s="20" t="str">
        <f ca="1">IFERROR(__xludf.DUMMYFUNCTION("""COMPUTED_VALUE"""),"Приобретение, монтаж и ввод в эксплуатцию станций водоочистки на ВЗУ по адресу: п. Зарайский, г.о. Зарайск")</f>
        <v>Приобретение, монтаж и ввод в эксплуатцию станций водоочистки на ВЗУ по адресу: п. Зарайский, г.о. Зарайск</v>
      </c>
      <c r="F203" s="67">
        <f ca="1">IFERROR(__xludf.DUMMYFUNCTION("""COMPUTED_VALUE"""),2021)</f>
        <v>2021</v>
      </c>
      <c r="G203" s="67" t="str">
        <f ca="1">IFERROR(__xludf.DUMMYFUNCTION("""COMPUTED_VALUE"""),"г.о. Зарайск")</f>
        <v>г.о. Зарайск</v>
      </c>
      <c r="H203" s="67" t="str">
        <f ca="1">IFERROR(__xludf.DUMMYFUNCTION("""COMPUTED_VALUE"""),"ВЗУ")</f>
        <v>ВЗУ</v>
      </c>
      <c r="I203" s="67"/>
      <c r="J203" s="67"/>
      <c r="K203" s="97">
        <f ca="1">IFERROR(__xludf.DUMMYFUNCTION("""COMPUTED_VALUE"""),205.57)</f>
        <v>205.57</v>
      </c>
      <c r="L203" s="97">
        <f ca="1">IFERROR(__xludf.DUMMYFUNCTION("""COMPUTED_VALUE"""),0)</f>
        <v>0</v>
      </c>
      <c r="M203" s="97">
        <f ca="1">IFERROR(__xludf.DUMMYFUNCTION("""COMPUTED_VALUE"""),0)</f>
        <v>0</v>
      </c>
      <c r="N203" s="67"/>
      <c r="O203" s="67"/>
      <c r="P203" s="67" t="str">
        <f ca="1">IFERROR(__xludf.DUMMYFUNCTION("""COMPUTED_VALUE"""),"Приобретение, монтаж")</f>
        <v>Приобретение, монтаж</v>
      </c>
      <c r="Q203" s="67">
        <f t="shared" ca="1" si="0"/>
        <v>0</v>
      </c>
      <c r="R203" s="67"/>
      <c r="S203" s="67"/>
      <c r="T203" s="67"/>
      <c r="U203" s="67"/>
      <c r="V203" s="67"/>
      <c r="W203" s="67"/>
      <c r="X203" s="67"/>
      <c r="Y203" s="67"/>
      <c r="Z203" s="67"/>
      <c r="AA203" s="67"/>
      <c r="AB203" s="67"/>
      <c r="AC203" s="67"/>
      <c r="AD203" s="67"/>
      <c r="AE203" s="67"/>
      <c r="AF203" s="67"/>
      <c r="AG203" s="67"/>
      <c r="AH203" s="67"/>
      <c r="AI203" s="67"/>
      <c r="AJ203" s="67"/>
      <c r="AK203" s="67"/>
      <c r="AL203" s="67"/>
      <c r="AM203" s="67"/>
    </row>
    <row r="204" spans="1:39" ht="84" hidden="1" x14ac:dyDescent="0.2">
      <c r="A204" s="67"/>
      <c r="B204" s="96"/>
      <c r="C20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4" s="20" t="str">
        <f ca="1">IFERROR(__xludf.DUMMYFUNCTION("""COMPUTED_VALUE"""),"МинЖКХ")</f>
        <v>МинЖКХ</v>
      </c>
      <c r="E204" s="20" t="str">
        <f ca="1">IFERROR(__xludf.DUMMYFUNCTION("""COMPUTED_VALUE"""),"Приобретение, монтаж и ввод в эксплуатцию станций водоочистки на ВЗУ по адресу: 2-е отделение с/з Зарайский г.о. Зарайск")</f>
        <v>Приобретение, монтаж и ввод в эксплуатцию станций водоочистки на ВЗУ по адресу: 2-е отделение с/з Зарайский г.о. Зарайск</v>
      </c>
      <c r="F204" s="67">
        <f ca="1">IFERROR(__xludf.DUMMYFUNCTION("""COMPUTED_VALUE"""),2021)</f>
        <v>2021</v>
      </c>
      <c r="G204" s="67" t="str">
        <f ca="1">IFERROR(__xludf.DUMMYFUNCTION("""COMPUTED_VALUE"""),"г.о. Зарайск")</f>
        <v>г.о. Зарайск</v>
      </c>
      <c r="H204" s="67" t="str">
        <f ca="1">IFERROR(__xludf.DUMMYFUNCTION("""COMPUTED_VALUE"""),"ВЗУ")</f>
        <v>ВЗУ</v>
      </c>
      <c r="I204" s="67"/>
      <c r="J204" s="67"/>
      <c r="K204" s="97">
        <f ca="1">IFERROR(__xludf.DUMMYFUNCTION("""COMPUTED_VALUE"""),116.78)</f>
        <v>116.78</v>
      </c>
      <c r="L204" s="97">
        <f ca="1">IFERROR(__xludf.DUMMYFUNCTION("""COMPUTED_VALUE"""),0)</f>
        <v>0</v>
      </c>
      <c r="M204" s="97">
        <f ca="1">IFERROR(__xludf.DUMMYFUNCTION("""COMPUTED_VALUE"""),0)</f>
        <v>0</v>
      </c>
      <c r="N204" s="67"/>
      <c r="O204" s="67"/>
      <c r="P204" s="67" t="str">
        <f ca="1">IFERROR(__xludf.DUMMYFUNCTION("""COMPUTED_VALUE"""),"Приобретение, монтаж")</f>
        <v>Приобретение, монтаж</v>
      </c>
      <c r="Q204" s="67">
        <f t="shared" ca="1" si="0"/>
        <v>0</v>
      </c>
      <c r="R204" s="67"/>
      <c r="S204" s="67"/>
      <c r="T204" s="67"/>
      <c r="U204" s="67"/>
      <c r="V204" s="67"/>
      <c r="W204" s="67"/>
      <c r="X204" s="67"/>
      <c r="Y204" s="67"/>
      <c r="Z204" s="67"/>
      <c r="AA204" s="67"/>
      <c r="AB204" s="67"/>
      <c r="AC204" s="67"/>
      <c r="AD204" s="67"/>
      <c r="AE204" s="67"/>
      <c r="AF204" s="67"/>
      <c r="AG204" s="67"/>
      <c r="AH204" s="67"/>
      <c r="AI204" s="67"/>
      <c r="AJ204" s="67"/>
      <c r="AK204" s="67"/>
      <c r="AL204" s="67"/>
      <c r="AM204" s="67"/>
    </row>
    <row r="205" spans="1:39" ht="84" hidden="1" x14ac:dyDescent="0.2">
      <c r="A205" s="67"/>
      <c r="B205" s="100"/>
      <c r="C20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5" s="20" t="str">
        <f ca="1">IFERROR(__xludf.DUMMYFUNCTION("""COMPUTED_VALUE"""),"МинЖКХ")</f>
        <v>МинЖКХ</v>
      </c>
      <c r="E205" s="20" t="str">
        <f ca="1">IFERROR(__xludf.DUMMYFUNCTION("""COMPUTED_VALUE"""),"Приобретение, монтаж и ввод в эксплуатцию станций водоочистки на ВЗУ в д. Титово г.о. Зарайск")</f>
        <v>Приобретение, монтаж и ввод в эксплуатцию станций водоочистки на ВЗУ в д. Титово г.о. Зарайск</v>
      </c>
      <c r="F205" s="67">
        <f ca="1">IFERROR(__xludf.DUMMYFUNCTION("""COMPUTED_VALUE"""),2021)</f>
        <v>2021</v>
      </c>
      <c r="G205" s="67" t="str">
        <f ca="1">IFERROR(__xludf.DUMMYFUNCTION("""COMPUTED_VALUE"""),"г.о. Зарайск")</f>
        <v>г.о. Зарайск</v>
      </c>
      <c r="H205" s="67" t="str">
        <f ca="1">IFERROR(__xludf.DUMMYFUNCTION("""COMPUTED_VALUE"""),"ВЗУ")</f>
        <v>ВЗУ</v>
      </c>
      <c r="I205" s="67"/>
      <c r="J205" s="67"/>
      <c r="K205" s="97">
        <f ca="1">IFERROR(__xludf.DUMMYFUNCTION("""COMPUTED_VALUE"""),280.42)</f>
        <v>280.42</v>
      </c>
      <c r="L205" s="97">
        <f ca="1">IFERROR(__xludf.DUMMYFUNCTION("""COMPUTED_VALUE"""),0)</f>
        <v>0</v>
      </c>
      <c r="M205" s="97">
        <f ca="1">IFERROR(__xludf.DUMMYFUNCTION("""COMPUTED_VALUE"""),0)</f>
        <v>0</v>
      </c>
      <c r="N205" s="67"/>
      <c r="O205" s="67"/>
      <c r="P205" s="67" t="str">
        <f ca="1">IFERROR(__xludf.DUMMYFUNCTION("""COMPUTED_VALUE"""),"Приобретение, монтаж")</f>
        <v>Приобретение, монтаж</v>
      </c>
      <c r="Q205" s="67">
        <f t="shared" ca="1" si="0"/>
        <v>0</v>
      </c>
      <c r="R205" s="67"/>
      <c r="S205" s="67"/>
      <c r="T205" s="67"/>
      <c r="U205" s="67"/>
      <c r="V205" s="67"/>
      <c r="W205" s="67"/>
      <c r="X205" s="67"/>
      <c r="Y205" s="67"/>
      <c r="Z205" s="67"/>
      <c r="AA205" s="67"/>
      <c r="AB205" s="67"/>
      <c r="AC205" s="67"/>
      <c r="AD205" s="67"/>
      <c r="AE205" s="67"/>
      <c r="AF205" s="67"/>
      <c r="AG205" s="67"/>
      <c r="AH205" s="67"/>
      <c r="AI205" s="67"/>
      <c r="AJ205" s="67"/>
      <c r="AK205" s="67"/>
      <c r="AL205" s="67"/>
      <c r="AM205" s="67"/>
    </row>
    <row r="206" spans="1:39" ht="84" x14ac:dyDescent="0.2">
      <c r="A206" s="67"/>
      <c r="B206" s="96"/>
      <c r="C20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6" s="20" t="str">
        <f ca="1">IFERROR(__xludf.DUMMYFUNCTION("""COMPUTED_VALUE"""),"МинЖКХ")</f>
        <v>МинЖКХ</v>
      </c>
      <c r="E206" s="20" t="str">
        <f ca="1">IFERROR(__xludf.DUMMYFUNCTION("""COMPUTED_VALUE"""),"Приобретение, монтаж и ввод в эксплуатацию станции обезжелезивания на ВЗУ, п. Павлово, г.о.  Егорьевск")</f>
        <v>Приобретение, монтаж и ввод в эксплуатацию станции обезжелезивания на ВЗУ, п. Павлово, г.о.  Егорьевск</v>
      </c>
      <c r="F206" s="67">
        <f ca="1">IFERROR(__xludf.DUMMYFUNCTION("""COMPUTED_VALUE"""),2020)</f>
        <v>2020</v>
      </c>
      <c r="G206" s="67" t="str">
        <f ca="1">IFERROR(__xludf.DUMMYFUNCTION("""COMPUTED_VALUE"""),"г.о. Егорьевск")</f>
        <v>г.о. Егорьевск</v>
      </c>
      <c r="H206" s="67" t="str">
        <f ca="1">IFERROR(__xludf.DUMMYFUNCTION("""COMPUTED_VALUE"""),"ВЗУ")</f>
        <v>ВЗУ</v>
      </c>
      <c r="I206" s="67"/>
      <c r="J206" s="97">
        <f ca="1">IFERROR(__xludf.DUMMYFUNCTION("""COMPUTED_VALUE"""),3710.65)</f>
        <v>3710.65</v>
      </c>
      <c r="K206" s="97">
        <f ca="1">IFERROR(__xludf.DUMMYFUNCTION("""COMPUTED_VALUE"""),386)</f>
        <v>386</v>
      </c>
      <c r="L206" s="97">
        <f ca="1">IFERROR(__xludf.DUMMYFUNCTION("""COMPUTED_VALUE"""),0)</f>
        <v>0</v>
      </c>
      <c r="M206" s="97">
        <f ca="1">IFERROR(__xludf.DUMMYFUNCTION("""COMPUTED_VALUE"""),0)</f>
        <v>0</v>
      </c>
      <c r="N206" s="67"/>
      <c r="O206" s="67"/>
      <c r="P206" s="67" t="str">
        <f ca="1">IFERROR(__xludf.DUMMYFUNCTION("""COMPUTED_VALUE"""),"Приобретение, монтаж")</f>
        <v>Приобретение, монтаж</v>
      </c>
      <c r="Q206" s="67">
        <f t="shared" ca="1" si="0"/>
        <v>0</v>
      </c>
      <c r="R206" s="67"/>
      <c r="S206" s="67"/>
      <c r="T206" s="67"/>
      <c r="U206" s="67"/>
      <c r="V206" s="67"/>
      <c r="W206" s="67"/>
      <c r="X206" s="67"/>
      <c r="Y206" s="67"/>
      <c r="Z206" s="67"/>
      <c r="AA206" s="67"/>
      <c r="AB206" s="67"/>
      <c r="AC206" s="67"/>
      <c r="AD206" s="67"/>
      <c r="AE206" s="67"/>
      <c r="AF206" s="67"/>
      <c r="AG206" s="67"/>
      <c r="AH206" s="67"/>
      <c r="AI206" s="67"/>
      <c r="AJ206" s="67"/>
      <c r="AK206" s="67"/>
      <c r="AL206" s="67"/>
      <c r="AM206" s="67"/>
    </row>
    <row r="207" spans="1:39" ht="84" hidden="1" x14ac:dyDescent="0.2">
      <c r="A207" s="67"/>
      <c r="B207" s="100"/>
      <c r="C20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7" s="20" t="str">
        <f ca="1">IFERROR(__xludf.DUMMYFUNCTION("""COMPUTED_VALUE"""),"МинЖКХ")</f>
        <v>МинЖКХ</v>
      </c>
      <c r="E207" s="20" t="str">
        <f ca="1">IFERROR(__xludf.DUMMYFUNCTION("""COMPUTED_VALUE"""),"Приобретение, монтаж и ввод в эксплуатацию станции обезжелезивания на ВЗУ, п. Шувое, г.о. Егорьевск")</f>
        <v>Приобретение, монтаж и ввод в эксплуатацию станции обезжелезивания на ВЗУ, п. Шувое, г.о. Егорьевск</v>
      </c>
      <c r="F207" s="67" t="str">
        <f ca="1">IFERROR(__xludf.DUMMYFUNCTION("""COMPUTED_VALUE"""),"Н/Л")</f>
        <v>Н/Л</v>
      </c>
      <c r="G207" s="67" t="str">
        <f ca="1">IFERROR(__xludf.DUMMYFUNCTION("""COMPUTED_VALUE"""),"г.о. Егорьевск")</f>
        <v>г.о. Егорьевск</v>
      </c>
      <c r="H207" s="67" t="str">
        <f ca="1">IFERROR(__xludf.DUMMYFUNCTION("""COMPUTED_VALUE"""),"ВЗУ")</f>
        <v>ВЗУ</v>
      </c>
      <c r="I207" s="67"/>
      <c r="J207" s="67"/>
      <c r="K207" s="97">
        <f ca="1">IFERROR(__xludf.DUMMYFUNCTION("""COMPUTED_VALUE"""),1035.67)</f>
        <v>1035.67</v>
      </c>
      <c r="L207" s="97">
        <f ca="1">IFERROR(__xludf.DUMMYFUNCTION("""COMPUTED_VALUE"""),0)</f>
        <v>0</v>
      </c>
      <c r="M207" s="97">
        <f ca="1">IFERROR(__xludf.DUMMYFUNCTION("""COMPUTED_VALUE"""),0)</f>
        <v>0</v>
      </c>
      <c r="N207" s="67"/>
      <c r="O207" s="67"/>
      <c r="P207" s="67" t="str">
        <f ca="1">IFERROR(__xludf.DUMMYFUNCTION("""COMPUTED_VALUE"""),"Приобретение, монтаж")</f>
        <v>Приобретение, монтаж</v>
      </c>
      <c r="Q207" s="67">
        <f t="shared" ca="1" si="0"/>
        <v>0</v>
      </c>
      <c r="R207" s="67"/>
      <c r="S207" s="67"/>
      <c r="T207" s="67"/>
      <c r="U207" s="67"/>
      <c r="V207" s="67"/>
      <c r="W207" s="67"/>
      <c r="X207" s="67"/>
      <c r="Y207" s="67"/>
      <c r="Z207" s="67"/>
      <c r="AA207" s="67"/>
      <c r="AB207" s="67"/>
      <c r="AC207" s="67"/>
      <c r="AD207" s="67"/>
      <c r="AE207" s="67"/>
      <c r="AF207" s="67"/>
      <c r="AG207" s="67"/>
      <c r="AH207" s="67"/>
      <c r="AI207" s="67"/>
      <c r="AJ207" s="67"/>
      <c r="AK207" s="67"/>
      <c r="AL207" s="67"/>
      <c r="AM207" s="67"/>
    </row>
    <row r="208" spans="1:39" ht="84" x14ac:dyDescent="0.2">
      <c r="A208" s="67"/>
      <c r="B208" s="96"/>
      <c r="C20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8" s="20" t="str">
        <f ca="1">IFERROR(__xludf.DUMMYFUNCTION("""COMPUTED_VALUE"""),"МинЖКХ")</f>
        <v>МинЖКХ</v>
      </c>
      <c r="E208" s="20" t="str">
        <f ca="1">IFERROR(__xludf.DUMMYFUNCTION("""COMPUTED_VALUE"""),"Приобретение, монтаж и ввод в эксплуатацию станции  очистки воды на ВЗУ в п. Лесной, Коломенский г.о.")</f>
        <v>Приобретение, монтаж и ввод в эксплуатацию станции  очистки воды на ВЗУ в п. Лесной, Коломенский г.о.</v>
      </c>
      <c r="F208" s="67">
        <f ca="1">IFERROR(__xludf.DUMMYFUNCTION("""COMPUTED_VALUE"""),2020)</f>
        <v>2020</v>
      </c>
      <c r="G208" s="67" t="str">
        <f ca="1">IFERROR(__xludf.DUMMYFUNCTION("""COMPUTED_VALUE"""),"г.о. Коломенский")</f>
        <v>г.о. Коломенский</v>
      </c>
      <c r="H208" s="67" t="str">
        <f ca="1">IFERROR(__xludf.DUMMYFUNCTION("""COMPUTED_VALUE"""),"ВЗУ")</f>
        <v>ВЗУ</v>
      </c>
      <c r="I208" s="97">
        <f ca="1">IFERROR(__xludf.DUMMYFUNCTION("""COMPUTED_VALUE"""),0)</f>
        <v>0</v>
      </c>
      <c r="J208" s="97">
        <f ca="1">IFERROR(__xludf.DUMMYFUNCTION("""COMPUTED_VALUE"""),3110.16)</f>
        <v>3110.16</v>
      </c>
      <c r="K208" s="97">
        <f ca="1">IFERROR(__xludf.DUMMYFUNCTION("""COMPUTED_VALUE"""),183.95)</f>
        <v>183.95</v>
      </c>
      <c r="L208" s="97">
        <f ca="1">IFERROR(__xludf.DUMMYFUNCTION("""COMPUTED_VALUE"""),0)</f>
        <v>0</v>
      </c>
      <c r="M208" s="97">
        <f ca="1">IFERROR(__xludf.DUMMYFUNCTION("""COMPUTED_VALUE"""),0)</f>
        <v>0</v>
      </c>
      <c r="N208" s="67"/>
      <c r="O208" s="67"/>
      <c r="P208" s="67" t="str">
        <f ca="1">IFERROR(__xludf.DUMMYFUNCTION("""COMPUTED_VALUE"""),"Приобретение, монтаж")</f>
        <v>Приобретение, монтаж</v>
      </c>
      <c r="Q208" s="67">
        <f t="shared" ca="1" si="0"/>
        <v>0</v>
      </c>
      <c r="R208" s="67"/>
      <c r="S208" s="67"/>
      <c r="T208" s="67"/>
      <c r="U208" s="67"/>
      <c r="V208" s="67"/>
      <c r="W208" s="67"/>
      <c r="X208" s="67"/>
      <c r="Y208" s="67"/>
      <c r="Z208" s="67"/>
      <c r="AA208" s="67"/>
      <c r="AB208" s="67"/>
      <c r="AC208" s="67"/>
      <c r="AD208" s="67"/>
      <c r="AE208" s="67"/>
      <c r="AF208" s="67"/>
      <c r="AG208" s="67"/>
      <c r="AH208" s="67"/>
      <c r="AI208" s="67"/>
      <c r="AJ208" s="67"/>
      <c r="AK208" s="67"/>
      <c r="AL208" s="67"/>
      <c r="AM208" s="67"/>
    </row>
    <row r="209" spans="1:39" ht="84" hidden="1" x14ac:dyDescent="0.2">
      <c r="A209" s="67"/>
      <c r="B209" s="96"/>
      <c r="C20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9" s="20" t="str">
        <f ca="1">IFERROR(__xludf.DUMMYFUNCTION("""COMPUTED_VALUE"""),"МинЖКХ")</f>
        <v>МинЖКХ</v>
      </c>
      <c r="E209" s="20" t="str">
        <f ca="1">IFERROR(__xludf.DUMMYFUNCTION("""COMPUTED_VALUE"""),"Приобретение, монтаж и ввод в эксплуатацию станций водоочитски ВЗУ д. Алехново  г.о. Истра")</f>
        <v>Приобретение, монтаж и ввод в эксплуатацию станций водоочитски ВЗУ д. Алехново  г.о. Истра</v>
      </c>
      <c r="F209" s="67" t="str">
        <f ca="1">IFERROR(__xludf.DUMMYFUNCTION("""COMPUTED_VALUE"""),"Н/Л")</f>
        <v>Н/Л</v>
      </c>
      <c r="G209" s="67" t="str">
        <f ca="1">IFERROR(__xludf.DUMMYFUNCTION("""COMPUTED_VALUE"""),"г.о. Истра")</f>
        <v>г.о. Истра</v>
      </c>
      <c r="H209" s="67" t="str">
        <f ca="1">IFERROR(__xludf.DUMMYFUNCTION("""COMPUTED_VALUE"""),"ВЗУ")</f>
        <v>ВЗУ</v>
      </c>
      <c r="I209" s="67"/>
      <c r="J209" s="67"/>
      <c r="K209" s="97">
        <f ca="1">IFERROR(__xludf.DUMMYFUNCTION("""COMPUTED_VALUE"""),3658.23)</f>
        <v>3658.23</v>
      </c>
      <c r="L209" s="97">
        <f ca="1">IFERROR(__xludf.DUMMYFUNCTION("""COMPUTED_VALUE"""),0)</f>
        <v>0</v>
      </c>
      <c r="M209" s="97">
        <f ca="1">IFERROR(__xludf.DUMMYFUNCTION("""COMPUTED_VALUE"""),0)</f>
        <v>0</v>
      </c>
      <c r="N209" s="67"/>
      <c r="O209" s="67"/>
      <c r="P209" s="67" t="str">
        <f ca="1">IFERROR(__xludf.DUMMYFUNCTION("""COMPUTED_VALUE"""),"Приобретение, монтаж")</f>
        <v>Приобретение, монтаж</v>
      </c>
      <c r="Q209" s="67">
        <f t="shared" ca="1" si="0"/>
        <v>0</v>
      </c>
      <c r="R209" s="67"/>
      <c r="S209" s="67"/>
      <c r="T209" s="67"/>
      <c r="U209" s="67"/>
      <c r="V209" s="67"/>
      <c r="W209" s="67"/>
      <c r="X209" s="67"/>
      <c r="Y209" s="67"/>
      <c r="Z209" s="67"/>
      <c r="AA209" s="67"/>
      <c r="AB209" s="67"/>
      <c r="AC209" s="67"/>
      <c r="AD209" s="67"/>
      <c r="AE209" s="67"/>
      <c r="AF209" s="67"/>
      <c r="AG209" s="67"/>
      <c r="AH209" s="67"/>
      <c r="AI209" s="67"/>
      <c r="AJ209" s="67"/>
      <c r="AK209" s="67"/>
      <c r="AL209" s="67"/>
      <c r="AM209" s="67"/>
    </row>
    <row r="210" spans="1:39" ht="84" hidden="1" x14ac:dyDescent="0.2">
      <c r="A210" s="67"/>
      <c r="B210" s="96"/>
      <c r="C21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0" s="20" t="str">
        <f ca="1">IFERROR(__xludf.DUMMYFUNCTION("""COMPUTED_VALUE"""),"МинЖКХ")</f>
        <v>МинЖКХ</v>
      </c>
      <c r="E210" s="20" t="str">
        <f ca="1">IFERROR(__xludf.DUMMYFUNCTION("""COMPUTED_VALUE"""),"Приобретение, монтаж и ввод в эксплуатацию станций водоочитски ВЗУ д. Лечищево  г.о. Истра")</f>
        <v>Приобретение, монтаж и ввод в эксплуатацию станций водоочитски ВЗУ д. Лечищево  г.о. Истра</v>
      </c>
      <c r="F210" s="67" t="str">
        <f ca="1">IFERROR(__xludf.DUMMYFUNCTION("""COMPUTED_VALUE"""),"Н/Л")</f>
        <v>Н/Л</v>
      </c>
      <c r="G210" s="67" t="str">
        <f ca="1">IFERROR(__xludf.DUMMYFUNCTION("""COMPUTED_VALUE"""),"г.о. Истра")</f>
        <v>г.о. Истра</v>
      </c>
      <c r="H210" s="67" t="str">
        <f ca="1">IFERROR(__xludf.DUMMYFUNCTION("""COMPUTED_VALUE"""),"ВЗУ")</f>
        <v>ВЗУ</v>
      </c>
      <c r="I210" s="67"/>
      <c r="J210" s="67"/>
      <c r="K210" s="97">
        <f ca="1">IFERROR(__xludf.DUMMYFUNCTION("""COMPUTED_VALUE"""),3645.36)</f>
        <v>3645.36</v>
      </c>
      <c r="L210" s="97">
        <f ca="1">IFERROR(__xludf.DUMMYFUNCTION("""COMPUTED_VALUE"""),0)</f>
        <v>0</v>
      </c>
      <c r="M210" s="97">
        <f ca="1">IFERROR(__xludf.DUMMYFUNCTION("""COMPUTED_VALUE"""),0)</f>
        <v>0</v>
      </c>
      <c r="N210" s="67"/>
      <c r="O210" s="67"/>
      <c r="P210" s="67" t="str">
        <f ca="1">IFERROR(__xludf.DUMMYFUNCTION("""COMPUTED_VALUE"""),"Приобретение, монтаж")</f>
        <v>Приобретение, монтаж</v>
      </c>
      <c r="Q210" s="67">
        <f t="shared" ca="1" si="0"/>
        <v>0</v>
      </c>
      <c r="R210" s="67"/>
      <c r="S210" s="67"/>
      <c r="T210" s="67"/>
      <c r="U210" s="67"/>
      <c r="V210" s="67"/>
      <c r="W210" s="67"/>
      <c r="X210" s="67"/>
      <c r="Y210" s="67"/>
      <c r="Z210" s="67"/>
      <c r="AA210" s="67"/>
      <c r="AB210" s="67"/>
      <c r="AC210" s="67"/>
      <c r="AD210" s="67"/>
      <c r="AE210" s="67"/>
      <c r="AF210" s="67"/>
      <c r="AG210" s="67"/>
      <c r="AH210" s="67"/>
      <c r="AI210" s="67"/>
      <c r="AJ210" s="67"/>
      <c r="AK210" s="67"/>
      <c r="AL210" s="67"/>
      <c r="AM210" s="67"/>
    </row>
    <row r="211" spans="1:39" ht="84" hidden="1" x14ac:dyDescent="0.2">
      <c r="A211" s="67"/>
      <c r="B211" s="96"/>
      <c r="C21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1" s="20" t="str">
        <f ca="1">IFERROR(__xludf.DUMMYFUNCTION("""COMPUTED_VALUE"""),"МинЖКХ")</f>
        <v>МинЖКХ</v>
      </c>
      <c r="E211" s="20" t="str">
        <f ca="1">IFERROR(__xludf.DUMMYFUNCTION("""COMPUTED_VALUE"""),"Приобретение, монтаж и ввод в эксплуатацию станций водоочитски ВЗУ п. Румянцево, ул. Садовая  г.о. Истра")</f>
        <v>Приобретение, монтаж и ввод в эксплуатацию станций водоочитски ВЗУ п. Румянцево, ул. Садовая  г.о. Истра</v>
      </c>
      <c r="F211" s="67" t="str">
        <f ca="1">IFERROR(__xludf.DUMMYFUNCTION("""COMPUTED_VALUE"""),"Н/Л")</f>
        <v>Н/Л</v>
      </c>
      <c r="G211" s="67" t="str">
        <f ca="1">IFERROR(__xludf.DUMMYFUNCTION("""COMPUTED_VALUE"""),"г.о. Истра")</f>
        <v>г.о. Истра</v>
      </c>
      <c r="H211" s="67" t="str">
        <f ca="1">IFERROR(__xludf.DUMMYFUNCTION("""COMPUTED_VALUE"""),"ВЗУ")</f>
        <v>ВЗУ</v>
      </c>
      <c r="I211" s="67"/>
      <c r="J211" s="67"/>
      <c r="K211" s="97">
        <f ca="1">IFERROR(__xludf.DUMMYFUNCTION("""COMPUTED_VALUE"""),2906.5)</f>
        <v>2906.5</v>
      </c>
      <c r="L211" s="97">
        <f ca="1">IFERROR(__xludf.DUMMYFUNCTION("""COMPUTED_VALUE"""),0)</f>
        <v>0</v>
      </c>
      <c r="M211" s="97">
        <f ca="1">IFERROR(__xludf.DUMMYFUNCTION("""COMPUTED_VALUE"""),0)</f>
        <v>0</v>
      </c>
      <c r="N211" s="67"/>
      <c r="O211" s="67"/>
      <c r="P211" s="67" t="str">
        <f ca="1">IFERROR(__xludf.DUMMYFUNCTION("""COMPUTED_VALUE"""),"Приобретение, монтаж")</f>
        <v>Приобретение, монтаж</v>
      </c>
      <c r="Q211" s="67">
        <f t="shared" ca="1" si="0"/>
        <v>0</v>
      </c>
      <c r="R211" s="67"/>
      <c r="S211" s="67"/>
      <c r="T211" s="67"/>
      <c r="U211" s="67"/>
      <c r="V211" s="67"/>
      <c r="W211" s="67"/>
      <c r="X211" s="67"/>
      <c r="Y211" s="67"/>
      <c r="Z211" s="67"/>
      <c r="AA211" s="67"/>
      <c r="AB211" s="67"/>
      <c r="AC211" s="67"/>
      <c r="AD211" s="67"/>
      <c r="AE211" s="67"/>
      <c r="AF211" s="67"/>
      <c r="AG211" s="67"/>
      <c r="AH211" s="67"/>
      <c r="AI211" s="67"/>
      <c r="AJ211" s="67"/>
      <c r="AK211" s="67"/>
      <c r="AL211" s="67"/>
      <c r="AM211" s="67"/>
    </row>
    <row r="212" spans="1:39" ht="84" hidden="1" x14ac:dyDescent="0.2">
      <c r="A212" s="67"/>
      <c r="B212" s="96"/>
      <c r="C21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2" s="20" t="str">
        <f ca="1">IFERROR(__xludf.DUMMYFUNCTION("""COMPUTED_VALUE"""),"МинЖКХ")</f>
        <v>МинЖКХ</v>
      </c>
      <c r="E212" s="20" t="str">
        <f ca="1">IFERROR(__xludf.DUMMYFUNCTION("""COMPUTED_VALUE"""),"Приобретение, монтаж и ввод в эксплуатацию станций водоочитски ВЗУ д. Дарна  г.о. Истра")</f>
        <v>Приобретение, монтаж и ввод в эксплуатацию станций водоочитски ВЗУ д. Дарна  г.о. Истра</v>
      </c>
      <c r="F212" s="67" t="str">
        <f ca="1">IFERROR(__xludf.DUMMYFUNCTION("""COMPUTED_VALUE"""),"Н/Л")</f>
        <v>Н/Л</v>
      </c>
      <c r="G212" s="67" t="str">
        <f ca="1">IFERROR(__xludf.DUMMYFUNCTION("""COMPUTED_VALUE"""),"г.о. Истра")</f>
        <v>г.о. Истра</v>
      </c>
      <c r="H212" s="67" t="str">
        <f ca="1">IFERROR(__xludf.DUMMYFUNCTION("""COMPUTED_VALUE"""),"ВЗУ")</f>
        <v>ВЗУ</v>
      </c>
      <c r="I212" s="67"/>
      <c r="J212" s="67"/>
      <c r="K212" s="97">
        <f ca="1">IFERROR(__xludf.DUMMYFUNCTION("""COMPUTED_VALUE"""),2906.35)</f>
        <v>2906.35</v>
      </c>
      <c r="L212" s="97">
        <f ca="1">IFERROR(__xludf.DUMMYFUNCTION("""COMPUTED_VALUE"""),0)</f>
        <v>0</v>
      </c>
      <c r="M212" s="97">
        <f ca="1">IFERROR(__xludf.DUMMYFUNCTION("""COMPUTED_VALUE"""),0)</f>
        <v>0</v>
      </c>
      <c r="N212" s="67"/>
      <c r="O212" s="67"/>
      <c r="P212" s="67" t="str">
        <f ca="1">IFERROR(__xludf.DUMMYFUNCTION("""COMPUTED_VALUE"""),"Приобретение, монтаж")</f>
        <v>Приобретение, монтаж</v>
      </c>
      <c r="Q212" s="67">
        <f t="shared" ca="1" si="0"/>
        <v>0</v>
      </c>
      <c r="R212" s="67"/>
      <c r="S212" s="67"/>
      <c r="T212" s="67"/>
      <c r="U212" s="67"/>
      <c r="V212" s="67"/>
      <c r="W212" s="67"/>
      <c r="X212" s="67"/>
      <c r="Y212" s="67"/>
      <c r="Z212" s="67"/>
      <c r="AA212" s="67"/>
      <c r="AB212" s="67"/>
      <c r="AC212" s="67"/>
      <c r="AD212" s="67"/>
      <c r="AE212" s="67"/>
      <c r="AF212" s="67"/>
      <c r="AG212" s="67"/>
      <c r="AH212" s="67"/>
      <c r="AI212" s="67"/>
      <c r="AJ212" s="67"/>
      <c r="AK212" s="67"/>
      <c r="AL212" s="67"/>
      <c r="AM212" s="67"/>
    </row>
    <row r="213" spans="1:39" ht="84" hidden="1" x14ac:dyDescent="0.2">
      <c r="A213" s="67"/>
      <c r="B213" s="100"/>
      <c r="C21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3" s="20" t="str">
        <f ca="1">IFERROR(__xludf.DUMMYFUNCTION("""COMPUTED_VALUE"""),"МинЖКХ")</f>
        <v>МинЖКХ</v>
      </c>
      <c r="E213" s="20" t="str">
        <f ca="1">IFERROR(__xludf.DUMMYFUNCTION("""COMPUTED_VALUE"""),"Приобретение, монтаж и ввод в эксплуатацию станций водоочитски на ВЗУ д. Буньково г.о. Истра")</f>
        <v>Приобретение, монтаж и ввод в эксплуатацию станций водоочитски на ВЗУ д. Буньково г.о. Истра</v>
      </c>
      <c r="F213" s="67" t="str">
        <f ca="1">IFERROR(__xludf.DUMMYFUNCTION("""COMPUTED_VALUE"""),"Н/Л")</f>
        <v>Н/Л</v>
      </c>
      <c r="G213" s="67" t="str">
        <f ca="1">IFERROR(__xludf.DUMMYFUNCTION("""COMPUTED_VALUE"""),"г.о. Истра")</f>
        <v>г.о. Истра</v>
      </c>
      <c r="H213" s="67" t="str">
        <f ca="1">IFERROR(__xludf.DUMMYFUNCTION("""COMPUTED_VALUE"""),"ВЗУ")</f>
        <v>ВЗУ</v>
      </c>
      <c r="I213" s="67"/>
      <c r="J213" s="67"/>
      <c r="K213" s="67">
        <f ca="1">IFERROR(__xludf.DUMMYFUNCTION("""COMPUTED_VALUE"""),3038.34)</f>
        <v>3038.34</v>
      </c>
      <c r="L213" s="97">
        <f ca="1">IFERROR(__xludf.DUMMYFUNCTION("""COMPUTED_VALUE"""),0)</f>
        <v>0</v>
      </c>
      <c r="M213" s="67">
        <f ca="1">IFERROR(__xludf.DUMMYFUNCTION("""COMPUTED_VALUE"""),0)</f>
        <v>0</v>
      </c>
      <c r="N213" s="67"/>
      <c r="O213" s="67"/>
      <c r="P213" s="67" t="str">
        <f ca="1">IFERROR(__xludf.DUMMYFUNCTION("""COMPUTED_VALUE"""),"Приобретение, монтаж")</f>
        <v>Приобретение, монтаж</v>
      </c>
      <c r="Q213" s="67">
        <f t="shared" ca="1" si="0"/>
        <v>0</v>
      </c>
      <c r="R213" s="67"/>
      <c r="S213" s="67"/>
      <c r="T213" s="67"/>
      <c r="U213" s="67"/>
      <c r="V213" s="67"/>
      <c r="W213" s="67"/>
      <c r="X213" s="67"/>
      <c r="Y213" s="67"/>
      <c r="Z213" s="67"/>
      <c r="AA213" s="67"/>
      <c r="AB213" s="67"/>
      <c r="AC213" s="67"/>
      <c r="AD213" s="67"/>
      <c r="AE213" s="67"/>
      <c r="AF213" s="67"/>
      <c r="AG213" s="67"/>
      <c r="AH213" s="67"/>
      <c r="AI213" s="67"/>
      <c r="AJ213" s="67"/>
      <c r="AK213" s="67"/>
      <c r="AL213" s="67"/>
      <c r="AM213" s="67"/>
    </row>
    <row r="214" spans="1:39" ht="84" x14ac:dyDescent="0.2">
      <c r="A214" s="67"/>
      <c r="B214" s="100"/>
      <c r="C21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4" s="20" t="str">
        <f ca="1">IFERROR(__xludf.DUMMYFUNCTION("""COMPUTED_VALUE"""),"МинЖКХ")</f>
        <v>МинЖКХ</v>
      </c>
      <c r="E214" s="20" t="str">
        <f ca="1">IFERROR(__xludf.DUMMYFUNCTION("""COMPUTED_VALUE"""),"Приобретение, монтаж и ввод в эксплуатацию станции водоочистки на ВЗУ №27 по адресу: Московская область, Пушкинский городской округ, р.п. Софрино, ул. Сетевая")</f>
        <v>Приобретение, монтаж и ввод в эксплуатацию станции водоочистки на ВЗУ №27 по адресу: Московская область, Пушкинский городской округ, р.п. Софрино, ул. Сетевая</v>
      </c>
      <c r="F214" s="67">
        <f ca="1">IFERROR(__xludf.DUMMYFUNCTION("""COMPUTED_VALUE"""),2020)</f>
        <v>2020</v>
      </c>
      <c r="G214" s="67" t="str">
        <f ca="1">IFERROR(__xludf.DUMMYFUNCTION("""COMPUTED_VALUE"""),"г.о. Пушкинский")</f>
        <v>г.о. Пушкинский</v>
      </c>
      <c r="H214" s="67" t="str">
        <f ca="1">IFERROR(__xludf.DUMMYFUNCTION("""COMPUTED_VALUE"""),"ВЗУ")</f>
        <v>ВЗУ</v>
      </c>
      <c r="I214" s="97">
        <f ca="1">IFERROR(__xludf.DUMMYFUNCTION("""COMPUTED_VALUE"""),3014.93)</f>
        <v>3014.93</v>
      </c>
      <c r="J214" s="67"/>
      <c r="K214" s="67">
        <f ca="1">IFERROR(__xludf.DUMMYFUNCTION("""COMPUTED_VALUE"""),973)</f>
        <v>973</v>
      </c>
      <c r="L214" s="97">
        <f ca="1">IFERROR(__xludf.DUMMYFUNCTION("""COMPUTED_VALUE"""),0)</f>
        <v>0</v>
      </c>
      <c r="M214" s="67">
        <f ca="1">IFERROR(__xludf.DUMMYFUNCTION("""COMPUTED_VALUE"""),0)</f>
        <v>0</v>
      </c>
      <c r="N214" s="67"/>
      <c r="O214" s="67"/>
      <c r="P214" s="67" t="str">
        <f ca="1">IFERROR(__xludf.DUMMYFUNCTION("""COMPUTED_VALUE"""),"Приобретение, монтаж")</f>
        <v>Приобретение, монтаж</v>
      </c>
      <c r="Q214" s="67">
        <f t="shared" ca="1" si="0"/>
        <v>0</v>
      </c>
      <c r="R214" s="67"/>
      <c r="S214" s="67"/>
      <c r="T214" s="67"/>
      <c r="U214" s="67"/>
      <c r="V214" s="67"/>
      <c r="W214" s="67"/>
      <c r="X214" s="67"/>
      <c r="Y214" s="67"/>
      <c r="Z214" s="67"/>
      <c r="AA214" s="67"/>
      <c r="AB214" s="67"/>
      <c r="AC214" s="67"/>
      <c r="AD214" s="67"/>
      <c r="AE214" s="67"/>
      <c r="AF214" s="67"/>
      <c r="AG214" s="67"/>
      <c r="AH214" s="67"/>
      <c r="AI214" s="67"/>
      <c r="AJ214" s="67"/>
      <c r="AK214" s="67"/>
      <c r="AL214" s="67"/>
      <c r="AM214" s="67"/>
    </row>
    <row r="215" spans="1:39" ht="60" x14ac:dyDescent="0.2">
      <c r="A215" s="67"/>
      <c r="B215" s="100"/>
      <c r="C215"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5" s="20" t="str">
        <f ca="1">IFERROR(__xludf.DUMMYFUNCTION("""COMPUTED_VALUE"""),"МинЖКХ")</f>
        <v>МинЖКХ</v>
      </c>
      <c r="E215" s="20" t="str">
        <f ca="1">IFERROR(__xludf.DUMMYFUNCTION("""COMPUTED_VALUE"""),"Реконструкция ВЗУ, расположенного по адресу: Московская область, Можайский район, с. Тропарево  (в т.ч. ПИР)")</f>
        <v>Реконструкция ВЗУ, расположенного по адресу: Московская область, Можайский район, с. Тропарево  (в т.ч. ПИР)</v>
      </c>
      <c r="F215" s="67" t="str">
        <f ca="1">IFERROR(__xludf.DUMMYFUNCTION("""COMPUTED_VALUE"""),"2020-2022")</f>
        <v>2020-2022</v>
      </c>
      <c r="G215" s="67" t="str">
        <f ca="1">IFERROR(__xludf.DUMMYFUNCTION("""COMPUTED_VALUE"""),"МинЖКХ г.о. Можайск")</f>
        <v>МинЖКХ г.о. Можайск</v>
      </c>
      <c r="H215" s="67" t="str">
        <f ca="1">IFERROR(__xludf.DUMMYFUNCTION("""COMPUTED_VALUE"""),"ВЗУ")</f>
        <v>ВЗУ</v>
      </c>
      <c r="I215" s="97">
        <f ca="1">IFERROR(__xludf.DUMMYFUNCTION("""COMPUTED_VALUE"""),4790)</f>
        <v>4790</v>
      </c>
      <c r="J215" s="67"/>
      <c r="K215" s="67">
        <f ca="1">IFERROR(__xludf.DUMMYFUNCTION("""COMPUTED_VALUE"""),0)</f>
        <v>0</v>
      </c>
      <c r="L215" s="97">
        <f ca="1">IFERROR(__xludf.DUMMYFUNCTION("""COMPUTED_VALUE"""),0)</f>
        <v>0</v>
      </c>
      <c r="M215" s="67">
        <f ca="1">IFERROR(__xludf.DUMMYFUNCTION("""COMPUTED_VALUE"""),0)</f>
        <v>0</v>
      </c>
      <c r="N215" s="67"/>
      <c r="O215" s="67"/>
      <c r="P215" s="67" t="str">
        <f ca="1">IFERROR(__xludf.DUMMYFUNCTION("""COMPUTED_VALUE"""),"СМР")</f>
        <v>СМР</v>
      </c>
      <c r="Q215" s="67" t="e">
        <f t="shared" ca="1" si="0"/>
        <v>#DIV/0!</v>
      </c>
      <c r="R215" s="67"/>
      <c r="S215" s="67"/>
      <c r="T215" s="67"/>
      <c r="U215" s="67"/>
      <c r="V215" s="67"/>
      <c r="W215" s="67"/>
      <c r="X215" s="67"/>
      <c r="Y215" s="67"/>
      <c r="Z215" s="67"/>
      <c r="AA215" s="67"/>
      <c r="AB215" s="67"/>
      <c r="AC215" s="67"/>
      <c r="AD215" s="67"/>
      <c r="AE215" s="67"/>
      <c r="AF215" s="67"/>
      <c r="AG215" s="67"/>
      <c r="AH215" s="67"/>
      <c r="AI215" s="67"/>
      <c r="AJ215" s="67"/>
      <c r="AK215" s="67"/>
      <c r="AL215" s="67"/>
      <c r="AM215" s="67"/>
    </row>
    <row r="216" spans="1:39" ht="60" x14ac:dyDescent="0.2">
      <c r="A216" s="67"/>
      <c r="B216" s="100"/>
      <c r="C216"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6" s="20" t="str">
        <f ca="1">IFERROR(__xludf.DUMMYFUNCTION("""COMPUTED_VALUE"""),"МинЖКХ")</f>
        <v>МинЖКХ</v>
      </c>
      <c r="E216" s="20" t="str">
        <f ca="1">IFERROR(__xludf.DUMMYFUNCTION("""COMPUTED_VALUE"""),"Реконструкция   ВЗУ, расположенного по адресу: Московская область, Можайский район, Красный Балтиец  (в т.ч. ПИР)")</f>
        <v>Реконструкция   ВЗУ, расположенного по адресу: Московская область, Можайский район, Красный Балтиец  (в т.ч. ПИР)</v>
      </c>
      <c r="F216" s="67">
        <f ca="1">IFERROR(__xludf.DUMMYFUNCTION("""COMPUTED_VALUE"""),2020)</f>
        <v>2020</v>
      </c>
      <c r="G216" s="67" t="str">
        <f ca="1">IFERROR(__xludf.DUMMYFUNCTION("""COMPUTED_VALUE"""),"МинЖКХ г.о. Можайск")</f>
        <v>МинЖКХ г.о. Можайск</v>
      </c>
      <c r="H216" s="67" t="str">
        <f ca="1">IFERROR(__xludf.DUMMYFUNCTION("""COMPUTED_VALUE"""),"ВЗУ")</f>
        <v>ВЗУ</v>
      </c>
      <c r="I216" s="97">
        <f ca="1">IFERROR(__xludf.DUMMYFUNCTION("""COMPUTED_VALUE"""),0)</f>
        <v>0</v>
      </c>
      <c r="J216" s="67"/>
      <c r="K216" s="67">
        <f ca="1">IFERROR(__xludf.DUMMYFUNCTION("""COMPUTED_VALUE"""),0)</f>
        <v>0</v>
      </c>
      <c r="L216" s="97">
        <f ca="1">IFERROR(__xludf.DUMMYFUNCTION("""COMPUTED_VALUE"""),0)</f>
        <v>0</v>
      </c>
      <c r="M216" s="67">
        <f ca="1">IFERROR(__xludf.DUMMYFUNCTION("""COMPUTED_VALUE"""),0)</f>
        <v>0</v>
      </c>
      <c r="N216" s="67"/>
      <c r="O216" s="67"/>
      <c r="P216" s="67" t="str">
        <f ca="1">IFERROR(__xludf.DUMMYFUNCTION("""COMPUTED_VALUE"""),"СМР")</f>
        <v>СМР</v>
      </c>
      <c r="Q216" s="67" t="e">
        <f t="shared" ca="1" si="0"/>
        <v>#DIV/0!</v>
      </c>
      <c r="R216" s="67"/>
      <c r="S216" s="67"/>
      <c r="T216" s="67"/>
      <c r="U216" s="67"/>
      <c r="V216" s="67"/>
      <c r="W216" s="67"/>
      <c r="X216" s="67"/>
      <c r="Y216" s="67"/>
      <c r="Z216" s="67"/>
      <c r="AA216" s="67"/>
      <c r="AB216" s="67"/>
      <c r="AC216" s="67"/>
      <c r="AD216" s="67"/>
      <c r="AE216" s="67"/>
      <c r="AF216" s="67"/>
      <c r="AG216" s="67"/>
      <c r="AH216" s="67"/>
      <c r="AI216" s="67"/>
      <c r="AJ216" s="67"/>
      <c r="AK216" s="67"/>
      <c r="AL216" s="67"/>
      <c r="AM216" s="67"/>
    </row>
    <row r="217" spans="1:39" ht="60" x14ac:dyDescent="0.2">
      <c r="A217" s="67"/>
      <c r="B217" s="100"/>
      <c r="C217"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7" s="20" t="str">
        <f ca="1">IFERROR(__xludf.DUMMYFUNCTION("""COMPUTED_VALUE"""),"МинЖКХ")</f>
        <v>МинЖКХ</v>
      </c>
      <c r="E217" s="20" t="str">
        <f ca="1">IFERROR(__xludf.DUMMYFUNCTION("""COMPUTED_VALUE"""),"Реконструкция   ВЗУ, расположенного по адресу: Московская область, Можайский район, п.Колычево  (в т.ч. ПИР)")</f>
        <v>Реконструкция   ВЗУ, расположенного по адресу: Московская область, Можайский район, п.Колычево  (в т.ч. ПИР)</v>
      </c>
      <c r="F217" s="67">
        <f ca="1">IFERROR(__xludf.DUMMYFUNCTION("""COMPUTED_VALUE"""),2020)</f>
        <v>2020</v>
      </c>
      <c r="G217" s="67" t="str">
        <f ca="1">IFERROR(__xludf.DUMMYFUNCTION("""COMPUTED_VALUE"""),"МинЖКХ г.о. Можайск")</f>
        <v>МинЖКХ г.о. Можайск</v>
      </c>
      <c r="H217" s="67" t="str">
        <f ca="1">IFERROR(__xludf.DUMMYFUNCTION("""COMPUTED_VALUE"""),"ВЗУ")</f>
        <v>ВЗУ</v>
      </c>
      <c r="I217" s="97">
        <f ca="1">IFERROR(__xludf.DUMMYFUNCTION("""COMPUTED_VALUE"""),42100.43)</f>
        <v>42100.43</v>
      </c>
      <c r="J217" s="67"/>
      <c r="K217" s="67">
        <f ca="1">IFERROR(__xludf.DUMMYFUNCTION("""COMPUTED_VALUE"""),0)</f>
        <v>0</v>
      </c>
      <c r="L217" s="97">
        <f ca="1">IFERROR(__xludf.DUMMYFUNCTION("""COMPUTED_VALUE"""),0)</f>
        <v>0</v>
      </c>
      <c r="M217" s="67">
        <f ca="1">IFERROR(__xludf.DUMMYFUNCTION("""COMPUTED_VALUE"""),0)</f>
        <v>0</v>
      </c>
      <c r="N217" s="67"/>
      <c r="O217" s="67"/>
      <c r="P217" s="67" t="str">
        <f ca="1">IFERROR(__xludf.DUMMYFUNCTION("""COMPUTED_VALUE"""),"СМР")</f>
        <v>СМР</v>
      </c>
      <c r="Q217" s="67" t="e">
        <f t="shared" ca="1" si="0"/>
        <v>#DIV/0!</v>
      </c>
      <c r="R217" s="67"/>
      <c r="S217" s="67"/>
      <c r="T217" s="67"/>
      <c r="U217" s="67"/>
      <c r="V217" s="67"/>
      <c r="W217" s="67"/>
      <c r="X217" s="67"/>
      <c r="Y217" s="67"/>
      <c r="Z217" s="67"/>
      <c r="AA217" s="67"/>
      <c r="AB217" s="67"/>
      <c r="AC217" s="67"/>
      <c r="AD217" s="67"/>
      <c r="AE217" s="67"/>
      <c r="AF217" s="67"/>
      <c r="AG217" s="67"/>
      <c r="AH217" s="67"/>
      <c r="AI217" s="67"/>
      <c r="AJ217" s="67"/>
      <c r="AK217" s="67"/>
      <c r="AL217" s="67"/>
      <c r="AM217" s="67"/>
    </row>
    <row r="218" spans="1:39" ht="60" x14ac:dyDescent="0.2">
      <c r="A218" s="67"/>
      <c r="B218" s="96"/>
      <c r="C218" s="20"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8" s="20" t="str">
        <f ca="1">IFERROR(__xludf.DUMMYFUNCTION("""COMPUTED_VALUE"""),"МинЖКХ")</f>
        <v>МинЖКХ</v>
      </c>
      <c r="E218" s="20" t="str">
        <f ca="1">IFERROR(__xludf.DUMMYFUNCTION("""COMPUTED_VALUE"""),"Реконструкция  ВЗУ,  расположенного по адресу: Московская область, Можайский район, п.Поречье  (в т.ч. ПИР)")</f>
        <v>Реконструкция  ВЗУ,  расположенного по адресу: Московская область, Можайский район, п.Поречье  (в т.ч. ПИР)</v>
      </c>
      <c r="F218" s="67">
        <f ca="1">IFERROR(__xludf.DUMMYFUNCTION("""COMPUTED_VALUE"""),2020)</f>
        <v>2020</v>
      </c>
      <c r="G218" s="67" t="str">
        <f ca="1">IFERROR(__xludf.DUMMYFUNCTION("""COMPUTED_VALUE"""),"МинЖКХ г.о. Можайск")</f>
        <v>МинЖКХ г.о. Можайск</v>
      </c>
      <c r="H218" s="67" t="str">
        <f ca="1">IFERROR(__xludf.DUMMYFUNCTION("""COMPUTED_VALUE"""),"ВЗУ")</f>
        <v>ВЗУ</v>
      </c>
      <c r="I218" s="97">
        <f ca="1">IFERROR(__xludf.DUMMYFUNCTION("""COMPUTED_VALUE"""),20700)</f>
        <v>20700</v>
      </c>
      <c r="J218" s="67"/>
      <c r="K218" s="67">
        <f ca="1">IFERROR(__xludf.DUMMYFUNCTION("""COMPUTED_VALUE"""),0)</f>
        <v>0</v>
      </c>
      <c r="L218" s="97">
        <f ca="1">IFERROR(__xludf.DUMMYFUNCTION("""COMPUTED_VALUE"""),0)</f>
        <v>0</v>
      </c>
      <c r="M218" s="67">
        <f ca="1">IFERROR(__xludf.DUMMYFUNCTION("""COMPUTED_VALUE"""),0)</f>
        <v>0</v>
      </c>
      <c r="N218" s="67"/>
      <c r="O218" s="67"/>
      <c r="P218" s="67" t="str">
        <f ca="1">IFERROR(__xludf.DUMMYFUNCTION("""COMPUTED_VALUE"""),"СМР")</f>
        <v>СМР</v>
      </c>
      <c r="Q218" s="67" t="e">
        <f t="shared" ca="1" si="0"/>
        <v>#DIV/0!</v>
      </c>
      <c r="R218" s="67"/>
      <c r="S218" s="67"/>
      <c r="T218" s="67"/>
      <c r="U218" s="67"/>
      <c r="V218" s="67"/>
      <c r="W218" s="67"/>
      <c r="X218" s="67"/>
      <c r="Y218" s="67"/>
      <c r="Z218" s="67"/>
      <c r="AA218" s="67"/>
      <c r="AB218" s="67"/>
      <c r="AC218" s="67"/>
      <c r="AD218" s="67"/>
      <c r="AE218" s="67"/>
      <c r="AF218" s="67"/>
      <c r="AG218" s="67"/>
      <c r="AH218" s="67"/>
      <c r="AI218" s="67"/>
      <c r="AJ218" s="67"/>
      <c r="AK218" s="67"/>
      <c r="AL218" s="67"/>
      <c r="AM218" s="67"/>
    </row>
    <row r="219" spans="1:39" ht="60" hidden="1" x14ac:dyDescent="0.2">
      <c r="A219" s="67"/>
      <c r="B219" s="100"/>
      <c r="C219" s="20" t="str">
        <f ca="1">IFERROR(__xludf.DUMMYFUNCTION("""COMPUTED_VALUE"""),"Мероприятие 5 - Финансовое обеспечение (возмещение) затрат, связанных с капитальным ремонтом объектов водоснабжения")</f>
        <v>Мероприятие 5 - Финансовое обеспечение (возмещение) затрат, связанных с капитальным ремонтом объектов водоснабжения</v>
      </c>
      <c r="D219" s="20" t="str">
        <f ca="1">IFERROR(__xludf.DUMMYFUNCTION("""COMPUTED_VALUE"""),"МинЖКХ")</f>
        <v>МинЖКХ</v>
      </c>
      <c r="E219" s="20" t="str">
        <f ca="1">IFERROR(__xludf.DUMMYFUNCTION("""COMPUTED_VALUE"""),"Капитальный ремонт   ВЗУ расположенного по адресу: Московская область, Можайский г.о., п. Бородинское поле")</f>
        <v>Капитальный ремонт   ВЗУ расположенного по адресу: Московская область, Можайский г.о., п. Бородинское поле</v>
      </c>
      <c r="F219" s="67" t="str">
        <f ca="1">IFERROR(__xludf.DUMMYFUNCTION("""COMPUTED_VALUE"""),"Н/Л")</f>
        <v>Н/Л</v>
      </c>
      <c r="G219" s="67" t="str">
        <f ca="1">IFERROR(__xludf.DUMMYFUNCTION("""COMPUTED_VALUE"""),"г.о. Можайск")</f>
        <v>г.о. Можайск</v>
      </c>
      <c r="H219" s="67" t="str">
        <f ca="1">IFERROR(__xludf.DUMMYFUNCTION("""COMPUTED_VALUE"""),"ВЗУ")</f>
        <v>ВЗУ</v>
      </c>
      <c r="I219" s="67"/>
      <c r="J219" s="67"/>
      <c r="K219" s="67">
        <f ca="1">IFERROR(__xludf.DUMMYFUNCTION("""COMPUTED_VALUE"""),0)</f>
        <v>0</v>
      </c>
      <c r="L219" s="97">
        <f ca="1">IFERROR(__xludf.DUMMYFUNCTION("""COMPUTED_VALUE"""),0)</f>
        <v>0</v>
      </c>
      <c r="M219" s="67">
        <f ca="1">IFERROR(__xludf.DUMMYFUNCTION("""COMPUTED_VALUE"""),0)</f>
        <v>0</v>
      </c>
      <c r="N219" s="67"/>
      <c r="O219" s="67"/>
      <c r="P219" s="67" t="str">
        <f ca="1">IFERROR(__xludf.DUMMYFUNCTION("""COMPUTED_VALUE"""),"СМР")</f>
        <v>СМР</v>
      </c>
      <c r="Q219" s="67" t="e">
        <f t="shared" ca="1" si="0"/>
        <v>#DIV/0!</v>
      </c>
      <c r="R219" s="67"/>
      <c r="S219" s="67"/>
      <c r="T219" s="67"/>
      <c r="U219" s="67"/>
      <c r="V219" s="67"/>
      <c r="W219" s="67"/>
      <c r="X219" s="67"/>
      <c r="Y219" s="67"/>
      <c r="Z219" s="67"/>
      <c r="AA219" s="67"/>
      <c r="AB219" s="67"/>
      <c r="AC219" s="67"/>
      <c r="AD219" s="67"/>
      <c r="AE219" s="67"/>
      <c r="AF219" s="67"/>
      <c r="AG219" s="67"/>
      <c r="AH219" s="67"/>
      <c r="AI219" s="67"/>
      <c r="AJ219" s="67"/>
      <c r="AK219" s="67"/>
      <c r="AL219" s="67"/>
      <c r="AM219" s="67"/>
    </row>
    <row r="220" spans="1:39" ht="96" x14ac:dyDescent="0.2">
      <c r="A220" s="67"/>
      <c r="B220" s="100"/>
      <c r="C22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0" s="20" t="str">
        <f ca="1">IFERROR(__xludf.DUMMYFUNCTION("""COMPUTED_VALUE"""),"МинЖКХ")</f>
        <v>МинЖКХ</v>
      </c>
      <c r="E220" s="20" t="str">
        <f ca="1">IFERROR(__xludf.DUMMYFUNCTION("""COMPUTED_VALUE"""),"Строительство городских канализационных очистных сооружений в г. Лыткарино производительностью 30 000 м куб. в сутки")</f>
        <v>Строительство городских канализационных очистных сооружений в г. Лыткарино производительностью 30 000 м куб. в сутки</v>
      </c>
      <c r="F220" s="67" t="str">
        <f ca="1">IFERROR(__xludf.DUMMYFUNCTION("""COMPUTED_VALUE"""),"2020-2022")</f>
        <v>2020-2022</v>
      </c>
      <c r="G220" s="67" t="str">
        <f ca="1">IFERROR(__xludf.DUMMYFUNCTION("""COMPUTED_VALUE"""),"г.о. Лыткарино")</f>
        <v>г.о. Лыткарино</v>
      </c>
      <c r="H220" s="67" t="str">
        <f ca="1">IFERROR(__xludf.DUMMYFUNCTION("""COMPUTED_VALUE"""),"ОС")</f>
        <v>ОС</v>
      </c>
      <c r="I220" s="97">
        <f ca="1">IFERROR(__xludf.DUMMYFUNCTION("""COMPUTED_VALUE"""),215217.66)</f>
        <v>215217.66</v>
      </c>
      <c r="J220" s="97">
        <f ca="1">IFERROR(__xludf.DUMMYFUNCTION("""COMPUTED_VALUE"""),0)</f>
        <v>0</v>
      </c>
      <c r="K220" s="97">
        <f ca="1">IFERROR(__xludf.DUMMYFUNCTION("""COMPUTED_VALUE"""),32339.21)</f>
        <v>32339.21</v>
      </c>
      <c r="L220" s="97">
        <f ca="1">IFERROR(__xludf.DUMMYFUNCTION("""COMPUTED_VALUE"""),0)</f>
        <v>0</v>
      </c>
      <c r="M220" s="97">
        <f ca="1">IFERROR(__xludf.DUMMYFUNCTION("""COMPUTED_VALUE"""),0)</f>
        <v>0</v>
      </c>
      <c r="N220" s="67"/>
      <c r="O220" s="67"/>
      <c r="P220" s="67" t="str">
        <f ca="1">IFERROR(__xludf.DUMMYFUNCTION("""COMPUTED_VALUE"""),"СМР")</f>
        <v>СМР</v>
      </c>
      <c r="Q220" s="67">
        <f t="shared" ca="1" si="0"/>
        <v>0</v>
      </c>
      <c r="R220" s="67"/>
      <c r="S220" s="97">
        <f ca="1">IFERROR(__xludf.DUMMYFUNCTION("""COMPUTED_VALUE"""),645652.99)</f>
        <v>645652.99</v>
      </c>
      <c r="T220" s="67"/>
      <c r="U220" s="67"/>
      <c r="V220" s="67"/>
      <c r="W220" s="67"/>
      <c r="X220" s="67"/>
      <c r="Y220" s="67"/>
      <c r="Z220" s="67"/>
      <c r="AA220" s="67"/>
      <c r="AB220" s="67"/>
      <c r="AC220" s="67"/>
      <c r="AD220" s="67"/>
      <c r="AE220" s="67"/>
      <c r="AF220" s="67"/>
      <c r="AG220" s="67"/>
      <c r="AH220" s="67"/>
      <c r="AI220" s="67"/>
      <c r="AJ220" s="67"/>
      <c r="AK220" s="67"/>
      <c r="AL220" s="67"/>
      <c r="AM220" s="67"/>
    </row>
    <row r="221" spans="1:39" ht="96" x14ac:dyDescent="0.2">
      <c r="A221" s="67"/>
      <c r="B221" s="100"/>
      <c r="C22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1" s="20" t="str">
        <f ca="1">IFERROR(__xludf.DUMMYFUNCTION("""COMPUTED_VALUE"""),"МинЖКХ")</f>
        <v>МинЖКХ</v>
      </c>
      <c r="E221" s="20" t="str">
        <f ca="1">IFERROR(__xludf.DUMMYFUNCTION("""COMPUTED_VALUE"""),"Реконструкция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f>
        <v>Реконструкция городских очистных сооружений хозяйственно-бытовых стоков по адресу: г. Подольск, Домодедовское шоссе, д. 25б. Блок сооружений биологической очистки (корректировка)</v>
      </c>
      <c r="F221" s="67" t="str">
        <f ca="1">IFERROR(__xludf.DUMMYFUNCTION("""COMPUTED_VALUE"""),"2019-2020")</f>
        <v>2019-2020</v>
      </c>
      <c r="G221" s="67" t="str">
        <f ca="1">IFERROR(__xludf.DUMMYFUNCTION("""COMPUTED_VALUE"""),"г.о. Подольск")</f>
        <v>г.о. Подольск</v>
      </c>
      <c r="H221" s="67" t="str">
        <f ca="1">IFERROR(__xludf.DUMMYFUNCTION("""COMPUTED_VALUE"""),"ОС")</f>
        <v>ОС</v>
      </c>
      <c r="I221" s="97">
        <f ca="1">IFERROR(__xludf.DUMMYFUNCTION("""COMPUTED_VALUE"""),0)</f>
        <v>0</v>
      </c>
      <c r="J221" s="97">
        <f ca="1">IFERROR(__xludf.DUMMYFUNCTION("""COMPUTED_VALUE"""),187522.46)</f>
        <v>187522.46</v>
      </c>
      <c r="K221" s="97">
        <f ca="1">IFERROR(__xludf.DUMMYFUNCTION("""COMPUTED_VALUE"""),7702.86)</f>
        <v>7702.86</v>
      </c>
      <c r="L221" s="97">
        <f ca="1">IFERROR(__xludf.DUMMYFUNCTION("""COMPUTED_VALUE"""),0)</f>
        <v>0</v>
      </c>
      <c r="M221" s="97">
        <f ca="1">IFERROR(__xludf.DUMMYFUNCTION("""COMPUTED_VALUE"""),0)</f>
        <v>0</v>
      </c>
      <c r="N221" s="67"/>
      <c r="O221" s="67"/>
      <c r="P221" s="67" t="str">
        <f ca="1">IFERROR(__xludf.DUMMYFUNCTION("""COMPUTED_VALUE"""),"СМР")</f>
        <v>СМР</v>
      </c>
      <c r="Q221" s="67">
        <f t="shared" ca="1" si="0"/>
        <v>0</v>
      </c>
      <c r="R221" s="67"/>
      <c r="S221" s="97">
        <f ca="1">IFERROR(__xludf.DUMMYFUNCTION("""COMPUTED_VALUE"""),562567.39)</f>
        <v>562567.39</v>
      </c>
      <c r="T221" s="67"/>
      <c r="U221" s="67"/>
      <c r="V221" s="67"/>
      <c r="W221" s="67"/>
      <c r="X221" s="67"/>
      <c r="Y221" s="67"/>
      <c r="Z221" s="67"/>
      <c r="AA221" s="67"/>
      <c r="AB221" s="67"/>
      <c r="AC221" s="67"/>
      <c r="AD221" s="67"/>
      <c r="AE221" s="67"/>
      <c r="AF221" s="67"/>
      <c r="AG221" s="67"/>
      <c r="AH221" s="67"/>
      <c r="AI221" s="67"/>
      <c r="AJ221" s="67"/>
      <c r="AK221" s="67"/>
      <c r="AL221" s="67"/>
      <c r="AM221" s="67"/>
    </row>
    <row r="222" spans="1:39" ht="108" x14ac:dyDescent="0.2">
      <c r="A222" s="67"/>
      <c r="B222" s="100"/>
      <c r="C22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2" s="20" t="str">
        <f ca="1">IFERROR(__xludf.DUMMYFUNCTION("""COMPUTED_VALUE"""),"МинЖКХ")</f>
        <v>МинЖКХ</v>
      </c>
      <c r="E222" s="20" t="str">
        <f ca="1">IFERROR(__xludf.DUMMYFUNCTION("""COMPUTED_VALUE"""),"Канализационный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f>
        <v>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 вблизи д. Сергеевка</v>
      </c>
      <c r="F222" s="67" t="str">
        <f ca="1">IFERROR(__xludf.DUMMYFUNCTION("""COMPUTED_VALUE"""),"2019-2020")</f>
        <v>2019-2020</v>
      </c>
      <c r="G222" s="67" t="str">
        <f ca="1">IFERROR(__xludf.DUMMYFUNCTION("""COMPUTED_VALUE"""),"г.о. Подольск")</f>
        <v>г.о. Подольск</v>
      </c>
      <c r="H222" s="67" t="str">
        <f ca="1">IFERROR(__xludf.DUMMYFUNCTION("""COMPUTED_VALUE"""),"КНК")</f>
        <v>КНК</v>
      </c>
      <c r="I222" s="97">
        <f ca="1">IFERROR(__xludf.DUMMYFUNCTION("""COMPUTED_VALUE"""),0)</f>
        <v>0</v>
      </c>
      <c r="J222" s="97">
        <f ca="1">IFERROR(__xludf.DUMMYFUNCTION("""COMPUTED_VALUE"""),86596.26)</f>
        <v>86596.26</v>
      </c>
      <c r="K222" s="97">
        <f ca="1">IFERROR(__xludf.DUMMYFUNCTION("""COMPUTED_VALUE"""),3754.04)</f>
        <v>3754.04</v>
      </c>
      <c r="L222" s="97">
        <f ca="1">IFERROR(__xludf.DUMMYFUNCTION("""COMPUTED_VALUE"""),0)</f>
        <v>0</v>
      </c>
      <c r="M222" s="97">
        <f ca="1">IFERROR(__xludf.DUMMYFUNCTION("""COMPUTED_VALUE"""),0)</f>
        <v>0</v>
      </c>
      <c r="N222" s="67"/>
      <c r="O222" s="67"/>
      <c r="P222" s="67" t="str">
        <f ca="1">IFERROR(__xludf.DUMMYFUNCTION("""COMPUTED_VALUE"""),"СМР")</f>
        <v>СМР</v>
      </c>
      <c r="Q222" s="67">
        <f t="shared" ca="1" si="0"/>
        <v>0</v>
      </c>
      <c r="R222" s="67"/>
      <c r="S222" s="97">
        <f ca="1">IFERROR(__xludf.DUMMYFUNCTION("""COMPUTED_VALUE"""),259788.78)</f>
        <v>259788.78</v>
      </c>
      <c r="T222" s="67"/>
      <c r="U222" s="67"/>
      <c r="V222" s="67"/>
      <c r="W222" s="67"/>
      <c r="X222" s="67"/>
      <c r="Y222" s="67"/>
      <c r="Z222" s="67"/>
      <c r="AA222" s="67"/>
      <c r="AB222" s="67"/>
      <c r="AC222" s="67"/>
      <c r="AD222" s="67"/>
      <c r="AE222" s="67"/>
      <c r="AF222" s="67"/>
      <c r="AG222" s="67"/>
      <c r="AH222" s="67"/>
      <c r="AI222" s="67"/>
      <c r="AJ222" s="67"/>
      <c r="AK222" s="67"/>
      <c r="AL222" s="67"/>
      <c r="AM222" s="67"/>
    </row>
    <row r="223" spans="1:39" ht="96" x14ac:dyDescent="0.2">
      <c r="A223" s="67"/>
      <c r="B223" s="100"/>
      <c r="C22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3" s="20" t="str">
        <f ca="1">IFERROR(__xludf.DUMMYFUNCTION("""COMPUTED_VALUE"""),"МинЖКХ")</f>
        <v>МинЖКХ</v>
      </c>
      <c r="E223" s="20" t="str">
        <f ca="1">IFERROR(__xludf.DUMMYFUNCTION("""COMPUTED_VALUE"""),"Строительство очистных сооружений г. Шатура ул. Малькина Грива ")</f>
        <v xml:space="preserve">Строительство очистных сооружений г. Шатура ул. Малькина Грива </v>
      </c>
      <c r="F223" s="67" t="str">
        <f ca="1">IFERROR(__xludf.DUMMYFUNCTION("""COMPUTED_VALUE"""),"2020-2021")</f>
        <v>2020-2021</v>
      </c>
      <c r="G223" s="67" t="str">
        <f ca="1">IFERROR(__xludf.DUMMYFUNCTION("""COMPUTED_VALUE"""),"г.о. Шатура")</f>
        <v>г.о. Шатура</v>
      </c>
      <c r="H223" s="67" t="str">
        <f ca="1">IFERROR(__xludf.DUMMYFUNCTION("""COMPUTED_VALUE"""),"ОС")</f>
        <v>ОС</v>
      </c>
      <c r="I223" s="97">
        <f ca="1">IFERROR(__xludf.DUMMYFUNCTION("""COMPUTED_VALUE"""),120655.37)</f>
        <v>120655.37</v>
      </c>
      <c r="J223" s="97">
        <f ca="1">IFERROR(__xludf.DUMMYFUNCTION("""COMPUTED_VALUE"""),0)</f>
        <v>0</v>
      </c>
      <c r="K223" s="97">
        <f ca="1">IFERROR(__xludf.DUMMYFUNCTION("""COMPUTED_VALUE"""),5787.65)</f>
        <v>5787.65</v>
      </c>
      <c r="L223" s="97">
        <f ca="1">IFERROR(__xludf.DUMMYFUNCTION("""COMPUTED_VALUE"""),0)</f>
        <v>0</v>
      </c>
      <c r="M223" s="97">
        <f ca="1">IFERROR(__xludf.DUMMYFUNCTION("""COMPUTED_VALUE"""),0)</f>
        <v>0</v>
      </c>
      <c r="N223" s="67"/>
      <c r="O223" s="67"/>
      <c r="P223" s="67" t="str">
        <f ca="1">IFERROR(__xludf.DUMMYFUNCTION("""COMPUTED_VALUE"""),"СМР")</f>
        <v>СМР</v>
      </c>
      <c r="Q223" s="67">
        <f t="shared" ca="1" si="0"/>
        <v>0</v>
      </c>
      <c r="R223" s="67"/>
      <c r="S223" s="97">
        <f ca="1">IFERROR(__xludf.DUMMYFUNCTION("""COMPUTED_VALUE"""),361966.11)</f>
        <v>361966.11</v>
      </c>
      <c r="T223" s="67"/>
      <c r="U223" s="67"/>
      <c r="V223" s="67"/>
      <c r="W223" s="67"/>
      <c r="X223" s="67"/>
      <c r="Y223" s="67"/>
      <c r="Z223" s="67"/>
      <c r="AA223" s="67"/>
      <c r="AB223" s="67"/>
      <c r="AC223" s="67"/>
      <c r="AD223" s="67"/>
      <c r="AE223" s="67"/>
      <c r="AF223" s="67"/>
      <c r="AG223" s="67"/>
      <c r="AH223" s="67"/>
      <c r="AI223" s="67"/>
      <c r="AJ223" s="67"/>
      <c r="AK223" s="67"/>
      <c r="AL223" s="67"/>
      <c r="AM223" s="67"/>
    </row>
    <row r="224" spans="1:39" ht="60" x14ac:dyDescent="0.2">
      <c r="A224" s="67"/>
      <c r="B224" s="96"/>
      <c r="C224" s="20" t="str">
        <f ca="1">IFERROR(__xludf.DUMMYFUNCTION("""COMPUTED_VALUE"""),"Субсидия  государственным унитарным предприятиям Московской области на осуществление строительства (реконструкции) объектов очистки сточных вод")</f>
        <v>Субсидия  государственным унитарным предприятиям Московской области на осуществление строительства (реконструкции) объектов очистки сточных вод</v>
      </c>
      <c r="D224" s="20" t="str">
        <f ca="1">IFERROR(__xludf.DUMMYFUNCTION("""COMPUTED_VALUE"""),"МинЖКХ")</f>
        <v>МинЖКХ</v>
      </c>
      <c r="E224" s="20" t="str">
        <f ca="1">IFERROR(__xludf.DUMMYFUNCTION("""COMPUTED_VALUE"""),"Реконструкция Щелковских межрайонных очистных сооружений ")</f>
        <v xml:space="preserve">Реконструкция Щелковских межрайонных очистных сооружений </v>
      </c>
      <c r="F224" s="67" t="str">
        <f ca="1">IFERROR(__xludf.DUMMYFUNCTION("""COMPUTED_VALUE"""),"2019-2024")</f>
        <v>2019-2024</v>
      </c>
      <c r="G224" s="67" t="str">
        <f ca="1">IFERROR(__xludf.DUMMYFUNCTION("""COMPUTED_VALUE"""),"КСМО")</f>
        <v>КСМО</v>
      </c>
      <c r="H224" s="67" t="str">
        <f ca="1">IFERROR(__xludf.DUMMYFUNCTION("""COMPUTED_VALUE"""),"ОС")</f>
        <v>ОС</v>
      </c>
      <c r="I224" s="97">
        <f ca="1">IFERROR(__xludf.DUMMYFUNCTION("""COMPUTED_VALUE"""),533862)</f>
        <v>533862</v>
      </c>
      <c r="J224" s="97">
        <f ca="1">IFERROR(__xludf.DUMMYFUNCTION("""COMPUTED_VALUE"""),533316.17)</f>
        <v>533316.17000000004</v>
      </c>
      <c r="K224" s="97">
        <f ca="1">IFERROR(__xludf.DUMMYFUNCTION("""COMPUTED_VALUE"""),0)</f>
        <v>0</v>
      </c>
      <c r="L224" s="97">
        <f ca="1">IFERROR(__xludf.DUMMYFUNCTION("""COMPUTED_VALUE"""),0)</f>
        <v>0</v>
      </c>
      <c r="M224" s="97">
        <f ca="1">IFERROR(__xludf.DUMMYFUNCTION("""COMPUTED_VALUE"""),500000)</f>
        <v>500000</v>
      </c>
      <c r="N224" s="67"/>
      <c r="O224" s="67"/>
      <c r="P224" s="67" t="str">
        <f ca="1">IFERROR(__xludf.DUMMYFUNCTION("""COMPUTED_VALUE"""),"СМР")</f>
        <v>СМР</v>
      </c>
      <c r="Q224" s="67" t="e">
        <f t="shared" ca="1" si="0"/>
        <v>#DIV/0!</v>
      </c>
      <c r="R224" s="67"/>
      <c r="S224" s="97">
        <f ca="1">IFERROR(__xludf.DUMMYFUNCTION("""COMPUTED_VALUE"""),2167296.5)</f>
        <v>2167296.5</v>
      </c>
      <c r="T224" s="67"/>
      <c r="U224" s="67"/>
      <c r="V224" s="67"/>
      <c r="W224" s="67"/>
      <c r="X224" s="67"/>
      <c r="Y224" s="67"/>
      <c r="Z224" s="67"/>
      <c r="AA224" s="67"/>
      <c r="AB224" s="67"/>
      <c r="AC224" s="67"/>
      <c r="AD224" s="67"/>
      <c r="AE224" s="67"/>
      <c r="AF224" s="67"/>
      <c r="AG224" s="67"/>
      <c r="AH224" s="67"/>
      <c r="AI224" s="67"/>
      <c r="AJ224" s="67"/>
      <c r="AK224" s="67"/>
      <c r="AL224" s="67"/>
      <c r="AM224" s="67"/>
    </row>
    <row r="225" spans="1:39" ht="72" hidden="1" x14ac:dyDescent="0.2">
      <c r="A225" s="67"/>
      <c r="B225" s="100"/>
      <c r="C22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5" s="20" t="str">
        <f ca="1">IFERROR(__xludf.DUMMYFUNCTION("""COMPUTED_VALUE"""),"МинЖКХ")</f>
        <v>МинЖКХ</v>
      </c>
      <c r="E225" s="20" t="str">
        <f ca="1">IFERROR(__xludf.DUMMYFUNCTION("""COMPUTED_VALUE"""),"Реконструкция очистных сооружений биологической очистки, мощностью 500 м. куб. в сутки. дер. Степанщино, Воскресенский м.р. (в том числе ПИР)          ")</f>
        <v xml:space="preserve">Реконструкция очистных сооружений биологической очистки, мощностью 500 м. куб. в сутки. дер. Степанщино, Воскресенский м.р. (в том числе ПИР)          </v>
      </c>
      <c r="F225" s="67" t="str">
        <f ca="1">IFERROR(__xludf.DUMMYFUNCTION("""COMPUTED_VALUE"""),"2022-2023")</f>
        <v>2022-2023</v>
      </c>
      <c r="G225" s="67" t="str">
        <f ca="1">IFERROR(__xludf.DUMMYFUNCTION("""COMPUTED_VALUE"""),"г.о. Воскресенск")</f>
        <v>г.о. Воскресенск</v>
      </c>
      <c r="H225" s="67" t="str">
        <f ca="1">IFERROR(__xludf.DUMMYFUNCTION("""COMPUTED_VALUE"""),"ОС")</f>
        <v>ОС</v>
      </c>
      <c r="I225" s="67"/>
      <c r="J225" s="67"/>
      <c r="K225" s="97">
        <f ca="1">IFERROR(__xludf.DUMMYFUNCTION("""COMPUTED_VALUE"""),8273.38)</f>
        <v>8273.3799999999992</v>
      </c>
      <c r="L225" s="97">
        <f ca="1">IFERROR(__xludf.DUMMYFUNCTION("""COMPUTED_VALUE"""),0)</f>
        <v>0</v>
      </c>
      <c r="M225" s="97">
        <f ca="1">IFERROR(__xludf.DUMMYFUNCTION("""COMPUTED_VALUE"""),0)</f>
        <v>0</v>
      </c>
      <c r="N225" s="67"/>
      <c r="O225" s="67"/>
      <c r="P225" s="67" t="str">
        <f ca="1">IFERROR(__xludf.DUMMYFUNCTION("""COMPUTED_VALUE"""),"СМР")</f>
        <v>СМР</v>
      </c>
      <c r="Q225" s="67">
        <f t="shared" ca="1" si="0"/>
        <v>0</v>
      </c>
      <c r="R225" s="67"/>
      <c r="S225" s="67"/>
      <c r="T225" s="67"/>
      <c r="U225" s="67"/>
      <c r="V225" s="67"/>
      <c r="W225" s="67"/>
      <c r="X225" s="67"/>
      <c r="Y225" s="67"/>
      <c r="Z225" s="67"/>
      <c r="AA225" s="67"/>
      <c r="AB225" s="67"/>
      <c r="AC225" s="67"/>
      <c r="AD225" s="67"/>
      <c r="AE225" s="67"/>
      <c r="AF225" s="67"/>
      <c r="AG225" s="67"/>
      <c r="AH225" s="67"/>
      <c r="AI225" s="67"/>
      <c r="AJ225" s="67"/>
      <c r="AK225" s="67"/>
      <c r="AL225" s="67"/>
      <c r="AM225" s="67"/>
    </row>
    <row r="226" spans="1:39" ht="72" x14ac:dyDescent="0.2">
      <c r="A226" s="67"/>
      <c r="B226" s="100"/>
      <c r="C22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6" s="20" t="str">
        <f ca="1">IFERROR(__xludf.DUMMYFUNCTION("""COMPUTED_VALUE"""),"МинЖКХ")</f>
        <v>МинЖКХ</v>
      </c>
      <c r="E226" s="20" t="str">
        <f ca="1">IFERROR(__xludf.DUMMYFUNCTION("""COMPUTED_VALUE"""),"Реконструкция очистных сооружений, с. Непецино (в том числе ПИР) г.о. Коломенский")</f>
        <v>Реконструкция очистных сооружений, с. Непецино (в том числе ПИР) г.о. Коломенский</v>
      </c>
      <c r="F226" s="67" t="str">
        <f ca="1">IFERROR(__xludf.DUMMYFUNCTION("""COMPUTED_VALUE"""),"2020-2022")</f>
        <v>2020-2022</v>
      </c>
      <c r="G226" s="67" t="str">
        <f ca="1">IFERROR(__xludf.DUMMYFUNCTION("""COMPUTED_VALUE"""),"г.о. Коломенский")</f>
        <v>г.о. Коломенский</v>
      </c>
      <c r="H226" s="67" t="str">
        <f ca="1">IFERROR(__xludf.DUMMYFUNCTION("""COMPUTED_VALUE"""),"ОС")</f>
        <v>ОС</v>
      </c>
      <c r="I226" s="97">
        <f ca="1">IFERROR(__xludf.DUMMYFUNCTION("""COMPUTED_VALUE"""),7365)</f>
        <v>7365</v>
      </c>
      <c r="J226" s="67"/>
      <c r="K226" s="97">
        <f ca="1">IFERROR(__xludf.DUMMYFUNCTION("""COMPUTED_VALUE"""),2530)</f>
        <v>2530</v>
      </c>
      <c r="L226" s="97">
        <f ca="1">IFERROR(__xludf.DUMMYFUNCTION("""COMPUTED_VALUE"""),0)</f>
        <v>0</v>
      </c>
      <c r="M226" s="97">
        <f ca="1">IFERROR(__xludf.DUMMYFUNCTION("""COMPUTED_VALUE"""),0)</f>
        <v>0</v>
      </c>
      <c r="N226" s="67"/>
      <c r="O226" s="67"/>
      <c r="P226" s="67" t="str">
        <f ca="1">IFERROR(__xludf.DUMMYFUNCTION("""COMPUTED_VALUE"""),"ПИР")</f>
        <v>ПИР</v>
      </c>
      <c r="Q226" s="67">
        <f t="shared" ca="1" si="0"/>
        <v>0</v>
      </c>
      <c r="R226" s="67"/>
      <c r="S226" s="67"/>
      <c r="T226" s="67"/>
      <c r="U226" s="67"/>
      <c r="V226" s="67"/>
      <c r="W226" s="67"/>
      <c r="X226" s="67"/>
      <c r="Y226" s="67"/>
      <c r="Z226" s="67"/>
      <c r="AA226" s="67"/>
      <c r="AB226" s="67"/>
      <c r="AC226" s="67"/>
      <c r="AD226" s="67"/>
      <c r="AE226" s="67"/>
      <c r="AF226" s="67"/>
      <c r="AG226" s="67"/>
      <c r="AH226" s="67"/>
      <c r="AI226" s="67"/>
      <c r="AJ226" s="67"/>
      <c r="AK226" s="67"/>
      <c r="AL226" s="67"/>
      <c r="AM226" s="67"/>
    </row>
    <row r="227" spans="1:39" ht="72" x14ac:dyDescent="0.2">
      <c r="A227" s="67"/>
      <c r="B227" s="96"/>
      <c r="C22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7" s="20" t="str">
        <f ca="1">IFERROR(__xludf.DUMMYFUNCTION("""COMPUTED_VALUE"""),"МинЖКХ")</f>
        <v>МинЖКХ</v>
      </c>
      <c r="E227" s="20" t="str">
        <f ca="1">IFERROR(__xludf.DUMMYFUNCTION("""COMPUTED_VALUE"""),"Реконструкция очистных сооружений близ пос. Сергиевский Коломенского городского округа (ПИР) ")</f>
        <v xml:space="preserve">Реконструкция очистных сооружений близ пос. Сергиевский Коломенского городского округа (ПИР) </v>
      </c>
      <c r="F227" s="67">
        <f ca="1">IFERROR(__xludf.DUMMYFUNCTION("""COMPUTED_VALUE"""),2020)</f>
        <v>2020</v>
      </c>
      <c r="G227" s="67" t="str">
        <f ca="1">IFERROR(__xludf.DUMMYFUNCTION("""COMPUTED_VALUE"""),"г.о. Коломенский")</f>
        <v>г.о. Коломенский</v>
      </c>
      <c r="H227" s="67" t="str">
        <f ca="1">IFERROR(__xludf.DUMMYFUNCTION("""COMPUTED_VALUE"""),"ОС")</f>
        <v>ОС</v>
      </c>
      <c r="I227" s="67"/>
      <c r="J227" s="97">
        <f ca="1">IFERROR(__xludf.DUMMYFUNCTION("""COMPUTED_VALUE"""),52778)</f>
        <v>52778</v>
      </c>
      <c r="K227" s="97">
        <f ca="1">IFERROR(__xludf.DUMMYFUNCTION("""COMPUTED_VALUE"""),2778)</f>
        <v>2778</v>
      </c>
      <c r="L227" s="97">
        <f ca="1">IFERROR(__xludf.DUMMYFUNCTION("""COMPUTED_VALUE"""),0)</f>
        <v>0</v>
      </c>
      <c r="M227" s="97">
        <f ca="1">IFERROR(__xludf.DUMMYFUNCTION("""COMPUTED_VALUE"""),0)</f>
        <v>0</v>
      </c>
      <c r="N227" s="67"/>
      <c r="O227" s="67"/>
      <c r="P227" s="67" t="str">
        <f ca="1">IFERROR(__xludf.DUMMYFUNCTION("""COMPUTED_VALUE"""),"ПИР")</f>
        <v>ПИР</v>
      </c>
      <c r="Q227" s="67">
        <f t="shared" ca="1" si="0"/>
        <v>0</v>
      </c>
      <c r="R227" s="67"/>
      <c r="S227" s="67"/>
      <c r="T227" s="67"/>
      <c r="U227" s="67"/>
      <c r="V227" s="67"/>
      <c r="W227" s="67"/>
      <c r="X227" s="67"/>
      <c r="Y227" s="67"/>
      <c r="Z227" s="67"/>
      <c r="AA227" s="67"/>
      <c r="AB227" s="67"/>
      <c r="AC227" s="67"/>
      <c r="AD227" s="67"/>
      <c r="AE227" s="67"/>
      <c r="AF227" s="67"/>
      <c r="AG227" s="67"/>
      <c r="AH227" s="67"/>
      <c r="AI227" s="67"/>
      <c r="AJ227" s="67"/>
      <c r="AK227" s="67"/>
      <c r="AL227" s="67"/>
      <c r="AM227" s="67"/>
    </row>
    <row r="228" spans="1:39" ht="72" hidden="1" x14ac:dyDescent="0.2">
      <c r="A228" s="67"/>
      <c r="B228" s="100"/>
      <c r="C22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8" s="20" t="str">
        <f ca="1">IFERROR(__xludf.DUMMYFUNCTION("""COMPUTED_VALUE"""),"МинЖКХ")</f>
        <v>МинЖКХ</v>
      </c>
      <c r="E228" s="20" t="str">
        <f ca="1">IFERROR(__xludf.DUMMYFUNCTION("""COMPUTED_VALUE"""),"Строительство блочно-модульной станции очистки хозяйственно-бытовых сточных вод, Серпуховский м.р., с. Райсеменовское ( в том числе ПИР) ")</f>
        <v xml:space="preserve">Строительство блочно-модульной станции очистки хозяйственно-бытовых сточных вод, Серпуховский м.р., с. Райсеменовское ( в том числе ПИР) </v>
      </c>
      <c r="F228" s="67" t="str">
        <f ca="1">IFERROR(__xludf.DUMMYFUNCTION("""COMPUTED_VALUE"""),"2022-2024")</f>
        <v>2022-2024</v>
      </c>
      <c r="G228" s="67" t="str">
        <f ca="1">IFERROR(__xludf.DUMMYFUNCTION("""COMPUTED_VALUE"""),"г.о. Серпухов")</f>
        <v>г.о. Серпухов</v>
      </c>
      <c r="H228" s="67" t="str">
        <f ca="1">IFERROR(__xludf.DUMMYFUNCTION("""COMPUTED_VALUE"""),"ОС")</f>
        <v>ОС</v>
      </c>
      <c r="I228" s="67"/>
      <c r="J228" s="67"/>
      <c r="K228" s="97">
        <f ca="1">IFERROR(__xludf.DUMMYFUNCTION("""COMPUTED_VALUE"""),8177)</f>
        <v>8177</v>
      </c>
      <c r="L228" s="97">
        <f ca="1">IFERROR(__xludf.DUMMYFUNCTION("""COMPUTED_VALUE"""),0)</f>
        <v>0</v>
      </c>
      <c r="M228" s="97">
        <f ca="1">IFERROR(__xludf.DUMMYFUNCTION("""COMPUTED_VALUE"""),0)</f>
        <v>0</v>
      </c>
      <c r="N228" s="67"/>
      <c r="O228" s="67"/>
      <c r="P228" s="67" t="str">
        <f ca="1">IFERROR(__xludf.DUMMYFUNCTION("""COMPUTED_VALUE"""),"СМР")</f>
        <v>СМР</v>
      </c>
      <c r="Q228" s="67">
        <f t="shared" ca="1" si="0"/>
        <v>0</v>
      </c>
      <c r="R228" s="67"/>
      <c r="S228" s="67"/>
      <c r="T228" s="67"/>
      <c r="U228" s="67"/>
      <c r="V228" s="67"/>
      <c r="W228" s="67"/>
      <c r="X228" s="67"/>
      <c r="Y228" s="67"/>
      <c r="Z228" s="67"/>
      <c r="AA228" s="67"/>
      <c r="AB228" s="67"/>
      <c r="AC228" s="67"/>
      <c r="AD228" s="67"/>
      <c r="AE228" s="67"/>
      <c r="AF228" s="67"/>
      <c r="AG228" s="67"/>
      <c r="AH228" s="67"/>
      <c r="AI228" s="67"/>
      <c r="AJ228" s="67"/>
      <c r="AK228" s="67"/>
      <c r="AL228" s="67"/>
      <c r="AM228" s="67"/>
    </row>
    <row r="229" spans="1:39" ht="72" x14ac:dyDescent="0.2">
      <c r="A229" s="67"/>
      <c r="B229" s="100"/>
      <c r="C22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9" s="20" t="str">
        <f ca="1">IFERROR(__xludf.DUMMYFUNCTION("""COMPUTED_VALUE"""),"МинЖКХ")</f>
        <v>МинЖКХ</v>
      </c>
      <c r="E229" s="20" t="str">
        <f ca="1">IFERROR(__xludf.DUMMYFUNCTION("""COMPUTED_VALUE"""),"Реконструкция очистных сооружений пос. Горки 10 Одинцовского г.о. ")</f>
        <v xml:space="preserve">Реконструкция очистных сооружений пос. Горки 10 Одинцовского г.о. </v>
      </c>
      <c r="F229" s="67" t="str">
        <f ca="1">IFERROR(__xludf.DUMMYFUNCTION("""COMPUTED_VALUE"""),"2020-2021")</f>
        <v>2020-2021</v>
      </c>
      <c r="G229" s="67" t="str">
        <f ca="1">IFERROR(__xludf.DUMMYFUNCTION("""COMPUTED_VALUE"""),"г.о. Одинцово")</f>
        <v>г.о. Одинцово</v>
      </c>
      <c r="H229" s="67" t="str">
        <f ca="1">IFERROR(__xludf.DUMMYFUNCTION("""COMPUTED_VALUE"""),"ОС")</f>
        <v>ОС</v>
      </c>
      <c r="I229" s="97">
        <f ca="1">IFERROR(__xludf.DUMMYFUNCTION("""COMPUTED_VALUE"""),94968.98)</f>
        <v>94968.98</v>
      </c>
      <c r="J229" s="97">
        <f ca="1">IFERROR(__xludf.DUMMYFUNCTION("""COMPUTED_VALUE"""),102148.31)</f>
        <v>102148.31</v>
      </c>
      <c r="K229" s="97">
        <f ca="1">IFERROR(__xludf.DUMMYFUNCTION("""COMPUTED_VALUE"""),153086.44)</f>
        <v>153086.44</v>
      </c>
      <c r="L229" s="97">
        <f ca="1">IFERROR(__xludf.DUMMYFUNCTION("""COMPUTED_VALUE"""),0)</f>
        <v>0</v>
      </c>
      <c r="M229" s="97">
        <f ca="1">IFERROR(__xludf.DUMMYFUNCTION("""COMPUTED_VALUE"""),0)</f>
        <v>0</v>
      </c>
      <c r="N229" s="67"/>
      <c r="O229" s="67"/>
      <c r="P229" s="67" t="str">
        <f ca="1">IFERROR(__xludf.DUMMYFUNCTION("""COMPUTED_VALUE"""),"СМР")</f>
        <v>СМР</v>
      </c>
      <c r="Q229" s="67">
        <f t="shared" ca="1" si="0"/>
        <v>0</v>
      </c>
      <c r="R229" s="67"/>
      <c r="S229" s="67"/>
      <c r="T229" s="67"/>
      <c r="U229" s="67"/>
      <c r="V229" s="67"/>
      <c r="W229" s="67"/>
      <c r="X229" s="67"/>
      <c r="Y229" s="67"/>
      <c r="Z229" s="67"/>
      <c r="AA229" s="67"/>
      <c r="AB229" s="67"/>
      <c r="AC229" s="67"/>
      <c r="AD229" s="67"/>
      <c r="AE229" s="67"/>
      <c r="AF229" s="67"/>
      <c r="AG229" s="67"/>
      <c r="AH229" s="67"/>
      <c r="AI229" s="67"/>
      <c r="AJ229" s="67"/>
      <c r="AK229" s="67"/>
      <c r="AL229" s="67"/>
      <c r="AM229" s="67"/>
    </row>
    <row r="230" spans="1:39" ht="108" x14ac:dyDescent="0.2">
      <c r="A230" s="67"/>
      <c r="B230" s="96"/>
      <c r="C23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0" s="20" t="str">
        <f ca="1">IFERROR(__xludf.DUMMYFUNCTION("""COMPUTED_VALUE"""),"МинЖКХ")</f>
        <v>МинЖКХ</v>
      </c>
      <c r="E230" s="20" t="str">
        <f ca="1">IFERROR(__xludf.DUMMYFUNCTION("""COMPUTED_VALUE"""),"Реконструкция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f>
        <v xml:space="preserve">Реконструкция канализационных очистных сооружений производительностью 800 куб.м/сут. по адресу: Московская область, Коломенский городской округ, д. Зарудня, д.118 "Б" (в том числе ПИР) </v>
      </c>
      <c r="F230" s="67" t="str">
        <f ca="1">IFERROR(__xludf.DUMMYFUNCTION("""COMPUTED_VALUE"""),"2020-2021")</f>
        <v>2020-2021</v>
      </c>
      <c r="G230" s="67" t="str">
        <f ca="1">IFERROR(__xludf.DUMMYFUNCTION("""COMPUTED_VALUE"""),"г.о. Коломенский")</f>
        <v>г.о. Коломенский</v>
      </c>
      <c r="H230" s="67" t="str">
        <f ca="1">IFERROR(__xludf.DUMMYFUNCTION("""COMPUTED_VALUE"""),"ОС")</f>
        <v>ОС</v>
      </c>
      <c r="I230" s="97">
        <f ca="1">IFERROR(__xludf.DUMMYFUNCTION("""COMPUTED_VALUE"""),31644.1)</f>
        <v>31644.1</v>
      </c>
      <c r="J230" s="67"/>
      <c r="K230" s="97">
        <f ca="1">IFERROR(__xludf.DUMMYFUNCTION("""COMPUTED_VALUE"""),25868.8299999999)</f>
        <v>25868.8299999999</v>
      </c>
      <c r="L230" s="97">
        <f ca="1">IFERROR(__xludf.DUMMYFUNCTION("""COMPUTED_VALUE"""),0)</f>
        <v>0</v>
      </c>
      <c r="M230" s="97">
        <f ca="1">IFERROR(__xludf.DUMMYFUNCTION("""COMPUTED_VALUE"""),0)</f>
        <v>0</v>
      </c>
      <c r="N230" s="67"/>
      <c r="O230" s="67"/>
      <c r="P230" s="67" t="str">
        <f ca="1">IFERROR(__xludf.DUMMYFUNCTION("""COMPUTED_VALUE"""),"СМР")</f>
        <v>СМР</v>
      </c>
      <c r="Q230" s="67">
        <f t="shared" ca="1" si="0"/>
        <v>0</v>
      </c>
      <c r="R230" s="67"/>
      <c r="S230" s="67"/>
      <c r="T230" s="67"/>
      <c r="U230" s="67"/>
      <c r="V230" s="67"/>
      <c r="W230" s="67"/>
      <c r="X230" s="67"/>
      <c r="Y230" s="67"/>
      <c r="Z230" s="67"/>
      <c r="AA230" s="67"/>
      <c r="AB230" s="67"/>
      <c r="AC230" s="67"/>
      <c r="AD230" s="67"/>
      <c r="AE230" s="67"/>
      <c r="AF230" s="67"/>
      <c r="AG230" s="67"/>
      <c r="AH230" s="67"/>
      <c r="AI230" s="67"/>
      <c r="AJ230" s="67"/>
      <c r="AK230" s="67"/>
      <c r="AL230" s="67"/>
      <c r="AM230" s="67"/>
    </row>
    <row r="231" spans="1:39" ht="72" hidden="1" x14ac:dyDescent="0.2">
      <c r="A231" s="67"/>
      <c r="B231" s="96"/>
      <c r="C23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1" s="20" t="str">
        <f ca="1">IFERROR(__xludf.DUMMYFUNCTION("""COMPUTED_VALUE"""),"МинЖКХ")</f>
        <v>МинЖКХ</v>
      </c>
      <c r="E231" s="20" t="str">
        <f ca="1">IFERROR(__xludf.DUMMYFUNCTION("""COMPUTED_VALUE"""),"Реконструкция биологических очистных сооружений канализации по адресу: городской округ Электросталь, пос. Фрязево (в том числе ПИР)")</f>
        <v>Реконструкция биологических очистных сооружений канализации по адресу: городской округ Электросталь, пос. Фрязево (в том числе ПИР)</v>
      </c>
      <c r="F231" s="67" t="str">
        <f ca="1">IFERROR(__xludf.DUMMYFUNCTION("""COMPUTED_VALUE"""),"2021-2023")</f>
        <v>2021-2023</v>
      </c>
      <c r="G231" s="67" t="str">
        <f ca="1">IFERROR(__xludf.DUMMYFUNCTION("""COMPUTED_VALUE"""),"г.о. Электросталь")</f>
        <v>г.о. Электросталь</v>
      </c>
      <c r="H231" s="67" t="str">
        <f ca="1">IFERROR(__xludf.DUMMYFUNCTION("""COMPUTED_VALUE"""),"ОС")</f>
        <v>ОС</v>
      </c>
      <c r="I231" s="67"/>
      <c r="J231" s="67"/>
      <c r="K231" s="97">
        <f ca="1">IFERROR(__xludf.DUMMYFUNCTION("""COMPUTED_VALUE"""),4201.37)</f>
        <v>4201.37</v>
      </c>
      <c r="L231" s="97">
        <f ca="1">IFERROR(__xludf.DUMMYFUNCTION("""COMPUTED_VALUE"""),0)</f>
        <v>0</v>
      </c>
      <c r="M231" s="97">
        <f ca="1">IFERROR(__xludf.DUMMYFUNCTION("""COMPUTED_VALUE"""),0)</f>
        <v>0</v>
      </c>
      <c r="N231" s="67"/>
      <c r="O231" s="67"/>
      <c r="P231" s="67" t="str">
        <f ca="1">IFERROR(__xludf.DUMMYFUNCTION("""COMPUTED_VALUE"""),"СМР")</f>
        <v>СМР</v>
      </c>
      <c r="Q231" s="67">
        <f t="shared" ca="1" si="0"/>
        <v>0</v>
      </c>
      <c r="R231" s="67"/>
      <c r="S231" s="67"/>
      <c r="T231" s="67"/>
      <c r="U231" s="67"/>
      <c r="V231" s="67"/>
      <c r="W231" s="67"/>
      <c r="X231" s="67"/>
      <c r="Y231" s="67"/>
      <c r="Z231" s="67"/>
      <c r="AA231" s="67"/>
      <c r="AB231" s="67"/>
      <c r="AC231" s="67"/>
      <c r="AD231" s="67"/>
      <c r="AE231" s="67"/>
      <c r="AF231" s="67"/>
      <c r="AG231" s="67"/>
      <c r="AH231" s="67"/>
      <c r="AI231" s="67"/>
      <c r="AJ231" s="67"/>
      <c r="AK231" s="67"/>
      <c r="AL231" s="67"/>
      <c r="AM231" s="67"/>
    </row>
    <row r="232" spans="1:39" ht="84" hidden="1" x14ac:dyDescent="0.2">
      <c r="A232" s="67"/>
      <c r="B232" s="96"/>
      <c r="C23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2" s="20" t="str">
        <f ca="1">IFERROR(__xludf.DUMMYFUNCTION("""COMPUTED_VALUE"""),"МинЖКХ")</f>
        <v>МинЖКХ</v>
      </c>
      <c r="E232" s="20" t="str">
        <f ca="1">IFERROR(__xludf.DUMMYFUNCTION("""COMPUTED_VALUE"""),"Строительство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f>
        <v>Строительство очистных сооружений  системы ливневой канализации, выпуск в реку Пахра на территории Подольского муниципального района (в том числе корректировка проекта)</v>
      </c>
      <c r="F232" s="67" t="str">
        <f ca="1">IFERROR(__xludf.DUMMYFUNCTION("""COMPUTED_VALUE"""),"2021-2022")</f>
        <v>2021-2022</v>
      </c>
      <c r="G232" s="67" t="str">
        <f ca="1">IFERROR(__xludf.DUMMYFUNCTION("""COMPUTED_VALUE"""),"г.о. Подольск")</f>
        <v>г.о. Подольск</v>
      </c>
      <c r="H232" s="67" t="str">
        <f ca="1">IFERROR(__xludf.DUMMYFUNCTION("""COMPUTED_VALUE"""),"ОС")</f>
        <v>ОС</v>
      </c>
      <c r="I232" s="67"/>
      <c r="J232" s="67"/>
      <c r="K232" s="97">
        <f ca="1">IFERROR(__xludf.DUMMYFUNCTION("""COMPUTED_VALUE"""),123500)</f>
        <v>123500</v>
      </c>
      <c r="L232" s="97">
        <f ca="1">IFERROR(__xludf.DUMMYFUNCTION("""COMPUTED_VALUE"""),0)</f>
        <v>0</v>
      </c>
      <c r="M232" s="97">
        <f ca="1">IFERROR(__xludf.DUMMYFUNCTION("""COMPUTED_VALUE"""),0)</f>
        <v>0</v>
      </c>
      <c r="N232" s="67"/>
      <c r="O232" s="67"/>
      <c r="P232" s="67" t="str">
        <f ca="1">IFERROR(__xludf.DUMMYFUNCTION("""COMPUTED_VALUE"""),"СМР")</f>
        <v>СМР</v>
      </c>
      <c r="Q232" s="67">
        <f t="shared" ca="1" si="0"/>
        <v>0</v>
      </c>
      <c r="R232" s="67"/>
      <c r="S232" s="67"/>
      <c r="T232" s="67"/>
      <c r="U232" s="67"/>
      <c r="V232" s="67"/>
      <c r="W232" s="67"/>
      <c r="X232" s="67"/>
      <c r="Y232" s="67"/>
      <c r="Z232" s="67"/>
      <c r="AA232" s="67"/>
      <c r="AB232" s="67"/>
      <c r="AC232" s="67"/>
      <c r="AD232" s="67"/>
      <c r="AE232" s="67"/>
      <c r="AF232" s="67"/>
      <c r="AG232" s="67"/>
      <c r="AH232" s="67"/>
      <c r="AI232" s="67"/>
      <c r="AJ232" s="67"/>
      <c r="AK232" s="67"/>
      <c r="AL232" s="67"/>
      <c r="AM232" s="67"/>
    </row>
    <row r="233" spans="1:39" ht="72" hidden="1" x14ac:dyDescent="0.2">
      <c r="A233" s="67"/>
      <c r="B233" s="100"/>
      <c r="C23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3" s="20" t="str">
        <f ca="1">IFERROR(__xludf.DUMMYFUNCTION("""COMPUTED_VALUE"""),"МинЖКХ")</f>
        <v>МинЖКХ</v>
      </c>
      <c r="E233" s="20" t="str">
        <f ca="1">IFERROR(__xludf.DUMMYFUNCTION("""COMPUTED_VALUE"""),"Строительство  очистных сооружений канализации д. Корпуса  (в том числе ПИР) г.о. Лосино-Петровский")</f>
        <v>Строительство  очистных сооружений канализации д. Корпуса  (в том числе ПИР) г.о. Лосино-Петровский</v>
      </c>
      <c r="F233" s="67" t="str">
        <f ca="1">IFERROR(__xludf.DUMMYFUNCTION("""COMPUTED_VALUE"""),"2022-2023")</f>
        <v>2022-2023</v>
      </c>
      <c r="G233" s="67" t="str">
        <f ca="1">IFERROR(__xludf.DUMMYFUNCTION("""COMPUTED_VALUE"""),"г.о. Лосино-Петровский")</f>
        <v>г.о. Лосино-Петровский</v>
      </c>
      <c r="H233" s="67" t="str">
        <f ca="1">IFERROR(__xludf.DUMMYFUNCTION("""COMPUTED_VALUE"""),"ОС")</f>
        <v>ОС</v>
      </c>
      <c r="I233" s="67"/>
      <c r="J233" s="67"/>
      <c r="K233" s="97">
        <f ca="1">IFERROR(__xludf.DUMMYFUNCTION("""COMPUTED_VALUE"""),11220)</f>
        <v>11220</v>
      </c>
      <c r="L233" s="97">
        <f ca="1">IFERROR(__xludf.DUMMYFUNCTION("""COMPUTED_VALUE"""),0)</f>
        <v>0</v>
      </c>
      <c r="M233" s="97">
        <f ca="1">IFERROR(__xludf.DUMMYFUNCTION("""COMPUTED_VALUE"""),0)</f>
        <v>0</v>
      </c>
      <c r="N233" s="67"/>
      <c r="O233" s="67"/>
      <c r="P233" s="67" t="str">
        <f ca="1">IFERROR(__xludf.DUMMYFUNCTION("""COMPUTED_VALUE"""),"СМР")</f>
        <v>СМР</v>
      </c>
      <c r="Q233" s="67">
        <f t="shared" ca="1" si="0"/>
        <v>0</v>
      </c>
      <c r="R233" s="67"/>
      <c r="S233" s="67"/>
      <c r="T233" s="67"/>
      <c r="U233" s="67"/>
      <c r="V233" s="67"/>
      <c r="W233" s="67"/>
      <c r="X233" s="67"/>
      <c r="Y233" s="67"/>
      <c r="Z233" s="67"/>
      <c r="AA233" s="67"/>
      <c r="AB233" s="67"/>
      <c r="AC233" s="67"/>
      <c r="AD233" s="67"/>
      <c r="AE233" s="67"/>
      <c r="AF233" s="67"/>
      <c r="AG233" s="67"/>
      <c r="AH233" s="67"/>
      <c r="AI233" s="67"/>
      <c r="AJ233" s="67"/>
      <c r="AK233" s="67"/>
      <c r="AL233" s="67"/>
      <c r="AM233" s="67"/>
    </row>
    <row r="234" spans="1:39" ht="72" x14ac:dyDescent="0.2">
      <c r="A234" s="67"/>
      <c r="B234" s="100"/>
      <c r="C23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4" s="20" t="str">
        <f ca="1">IFERROR(__xludf.DUMMYFUNCTION("""COMPUTED_VALUE"""),"МинЖКХ")</f>
        <v>МинЖКХ</v>
      </c>
      <c r="E234" s="20" t="str">
        <f ca="1">IFERROR(__xludf.DUMMYFUNCTION("""COMPUTED_VALUE"""),"Реконструкция очистных сооружений  г. Серпухов пер. Безымянный д.1 ( ПИР) ")</f>
        <v xml:space="preserve">Реконструкция очистных сооружений  г. Серпухов пер. Безымянный д.1 ( ПИР) </v>
      </c>
      <c r="F234" s="67">
        <f ca="1">IFERROR(__xludf.DUMMYFUNCTION("""COMPUTED_VALUE"""),2020)</f>
        <v>2020</v>
      </c>
      <c r="G234" s="67" t="str">
        <f ca="1">IFERROR(__xludf.DUMMYFUNCTION("""COMPUTED_VALUE"""),"г.о. Серпухов")</f>
        <v>г.о. Серпухов</v>
      </c>
      <c r="H234" s="67" t="str">
        <f ca="1">IFERROR(__xludf.DUMMYFUNCTION("""COMPUTED_VALUE"""),"ОС")</f>
        <v>ОС</v>
      </c>
      <c r="I234" s="97">
        <f ca="1">IFERROR(__xludf.DUMMYFUNCTION("""COMPUTED_VALUE"""),0)</f>
        <v>0</v>
      </c>
      <c r="J234" s="97">
        <f ca="1">IFERROR(__xludf.DUMMYFUNCTION("""COMPUTED_VALUE"""),51817.18)</f>
        <v>51817.18</v>
      </c>
      <c r="K234" s="97">
        <f ca="1">IFERROR(__xludf.DUMMYFUNCTION("""COMPUTED_VALUE"""),3408.5)</f>
        <v>3408.5</v>
      </c>
      <c r="L234" s="97">
        <f ca="1">IFERROR(__xludf.DUMMYFUNCTION("""COMPUTED_VALUE"""),0)</f>
        <v>0</v>
      </c>
      <c r="M234" s="97">
        <f ca="1">IFERROR(__xludf.DUMMYFUNCTION("""COMPUTED_VALUE"""),0)</f>
        <v>0</v>
      </c>
      <c r="N234" s="67"/>
      <c r="O234" s="67"/>
      <c r="P234" s="67" t="str">
        <f ca="1">IFERROR(__xludf.DUMMYFUNCTION("""COMPUTED_VALUE"""),"ПИР")</f>
        <v>ПИР</v>
      </c>
      <c r="Q234" s="67">
        <f t="shared" ca="1" si="0"/>
        <v>0</v>
      </c>
      <c r="R234" s="67"/>
      <c r="S234" s="67"/>
      <c r="T234" s="67"/>
      <c r="U234" s="67"/>
      <c r="V234" s="67"/>
      <c r="W234" s="67"/>
      <c r="X234" s="67"/>
      <c r="Y234" s="67"/>
      <c r="Z234" s="67"/>
      <c r="AA234" s="67"/>
      <c r="AB234" s="67"/>
      <c r="AC234" s="67"/>
      <c r="AD234" s="67"/>
      <c r="AE234" s="67"/>
      <c r="AF234" s="67"/>
      <c r="AG234" s="67"/>
      <c r="AH234" s="67"/>
      <c r="AI234" s="67"/>
      <c r="AJ234" s="67"/>
      <c r="AK234" s="67"/>
      <c r="AL234" s="67"/>
      <c r="AM234" s="67"/>
    </row>
    <row r="235" spans="1:39" ht="72" x14ac:dyDescent="0.2">
      <c r="A235" s="67"/>
      <c r="B235" s="100"/>
      <c r="C23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5" s="20" t="str">
        <f ca="1">IFERROR(__xludf.DUMMYFUNCTION("""COMPUTED_VALUE"""),"МинЖКХ")</f>
        <v>МинЖКХ</v>
      </c>
      <c r="E235" s="20" t="str">
        <f ca="1">IFERROR(__xludf.DUMMYFUNCTION("""COMPUTED_VALUE"""),"Реконструкция очистных сооружений  г. Павловский Посад пер. Интернациональный д. 28 Б (ПИР)")</f>
        <v>Реконструкция очистных сооружений  г. Павловский Посад пер. Интернациональный д. 28 Б (ПИР)</v>
      </c>
      <c r="F235" s="67">
        <f ca="1">IFERROR(__xludf.DUMMYFUNCTION("""COMPUTED_VALUE"""),2020)</f>
        <v>2020</v>
      </c>
      <c r="G235" s="67" t="str">
        <f ca="1">IFERROR(__xludf.DUMMYFUNCTION("""COMPUTED_VALUE"""),"г.о. Павловский Посад")</f>
        <v>г.о. Павловский Посад</v>
      </c>
      <c r="H235" s="67" t="str">
        <f ca="1">IFERROR(__xludf.DUMMYFUNCTION("""COMPUTED_VALUE"""),"ОС")</f>
        <v>ОС</v>
      </c>
      <c r="I235" s="97">
        <f ca="1">IFERROR(__xludf.DUMMYFUNCTION("""COMPUTED_VALUE"""),0)</f>
        <v>0</v>
      </c>
      <c r="J235" s="67"/>
      <c r="K235" s="97">
        <f ca="1">IFERROR(__xludf.DUMMYFUNCTION("""COMPUTED_VALUE"""),3801.34)</f>
        <v>3801.34</v>
      </c>
      <c r="L235" s="97">
        <f ca="1">IFERROR(__xludf.DUMMYFUNCTION("""COMPUTED_VALUE"""),0)</f>
        <v>0</v>
      </c>
      <c r="M235" s="97">
        <f ca="1">IFERROR(__xludf.DUMMYFUNCTION("""COMPUTED_VALUE"""),0)</f>
        <v>0</v>
      </c>
      <c r="N235" s="67"/>
      <c r="O235" s="67"/>
      <c r="P235" s="67" t="str">
        <f ca="1">IFERROR(__xludf.DUMMYFUNCTION("""COMPUTED_VALUE"""),"ПИР")</f>
        <v>ПИР</v>
      </c>
      <c r="Q235" s="67">
        <f t="shared" ca="1" si="0"/>
        <v>0</v>
      </c>
      <c r="R235" s="67"/>
      <c r="S235" s="67"/>
      <c r="T235" s="67"/>
      <c r="U235" s="67"/>
      <c r="V235" s="67"/>
      <c r="W235" s="67"/>
      <c r="X235" s="67"/>
      <c r="Y235" s="67"/>
      <c r="Z235" s="67"/>
      <c r="AA235" s="67"/>
      <c r="AB235" s="67"/>
      <c r="AC235" s="67"/>
      <c r="AD235" s="67"/>
      <c r="AE235" s="67"/>
      <c r="AF235" s="67"/>
      <c r="AG235" s="67"/>
      <c r="AH235" s="67"/>
      <c r="AI235" s="67"/>
      <c r="AJ235" s="67"/>
      <c r="AK235" s="67"/>
      <c r="AL235" s="67"/>
      <c r="AM235" s="67"/>
    </row>
    <row r="236" spans="1:39" ht="72" x14ac:dyDescent="0.2">
      <c r="A236" s="67"/>
      <c r="B236" s="100"/>
      <c r="C23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6" s="20" t="str">
        <f ca="1">IFERROR(__xludf.DUMMYFUNCTION("""COMPUTED_VALUE"""),"МинЖКХ")</f>
        <v>МинЖКХ</v>
      </c>
      <c r="E236" s="20" t="str">
        <f ca="1">IFERROR(__xludf.DUMMYFUNCTION("""COMPUTED_VALUE"""),"Реконструкция очистных сооружений   г.п. Солнечногорск, д. Осипово (ПИР)")</f>
        <v>Реконструкция очистных сооружений   г.п. Солнечногорск, д. Осипово (ПИР)</v>
      </c>
      <c r="F236" s="67">
        <f ca="1">IFERROR(__xludf.DUMMYFUNCTION("""COMPUTED_VALUE"""),2020)</f>
        <v>2020</v>
      </c>
      <c r="G236" s="67" t="str">
        <f ca="1">IFERROR(__xludf.DUMMYFUNCTION("""COMPUTED_VALUE"""),"г.о. Солнечногорск")</f>
        <v>г.о. Солнечногорск</v>
      </c>
      <c r="H236" s="67" t="str">
        <f ca="1">IFERROR(__xludf.DUMMYFUNCTION("""COMPUTED_VALUE"""),"ОС")</f>
        <v>ОС</v>
      </c>
      <c r="I236" s="97">
        <f ca="1">IFERROR(__xludf.DUMMYFUNCTION("""COMPUTED_VALUE"""),0)</f>
        <v>0</v>
      </c>
      <c r="J236" s="97">
        <f ca="1">IFERROR(__xludf.DUMMYFUNCTION("""COMPUTED_VALUE"""),17057.25)</f>
        <v>17057.25</v>
      </c>
      <c r="K236" s="97">
        <f ca="1">IFERROR(__xludf.DUMMYFUNCTION("""COMPUTED_VALUE"""),897.75)</f>
        <v>897.75</v>
      </c>
      <c r="L236" s="97">
        <f ca="1">IFERROR(__xludf.DUMMYFUNCTION("""COMPUTED_VALUE"""),0)</f>
        <v>0</v>
      </c>
      <c r="M236" s="97">
        <f ca="1">IFERROR(__xludf.DUMMYFUNCTION("""COMPUTED_VALUE"""),0)</f>
        <v>0</v>
      </c>
      <c r="N236" s="67"/>
      <c r="O236" s="67"/>
      <c r="P236" s="67" t="str">
        <f ca="1">IFERROR(__xludf.DUMMYFUNCTION("""COMPUTED_VALUE"""),"ПИР")</f>
        <v>ПИР</v>
      </c>
      <c r="Q236" s="67">
        <f t="shared" ca="1" si="0"/>
        <v>0</v>
      </c>
      <c r="R236" s="67"/>
      <c r="S236" s="67"/>
      <c r="T236" s="67"/>
      <c r="U236" s="67"/>
      <c r="V236" s="67"/>
      <c r="W236" s="67"/>
      <c r="X236" s="67"/>
      <c r="Y236" s="67"/>
      <c r="Z236" s="67"/>
      <c r="AA236" s="67"/>
      <c r="AB236" s="67"/>
      <c r="AC236" s="67"/>
      <c r="AD236" s="67"/>
      <c r="AE236" s="67"/>
      <c r="AF236" s="67"/>
      <c r="AG236" s="67"/>
      <c r="AH236" s="67"/>
      <c r="AI236" s="67"/>
      <c r="AJ236" s="67"/>
      <c r="AK236" s="67"/>
      <c r="AL236" s="67"/>
      <c r="AM236" s="67"/>
    </row>
    <row r="237" spans="1:39" ht="72" x14ac:dyDescent="0.2">
      <c r="A237" s="67"/>
      <c r="B237" s="100"/>
      <c r="C23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7" s="20" t="str">
        <f ca="1">IFERROR(__xludf.DUMMYFUNCTION("""COMPUTED_VALUE"""),"МинЖКХ")</f>
        <v>МинЖКХ</v>
      </c>
      <c r="E237" s="20" t="str">
        <f ca="1">IFERROR(__xludf.DUMMYFUNCTION("""COMPUTED_VALUE"""),"Строительство очистных сооружений г. Наро-Фоминск ул. Профсоюзная  (ПИР) ")</f>
        <v xml:space="preserve">Строительство очистных сооружений г. Наро-Фоминск ул. Профсоюзная  (ПИР) </v>
      </c>
      <c r="F237" s="67">
        <f ca="1">IFERROR(__xludf.DUMMYFUNCTION("""COMPUTED_VALUE"""),2020)</f>
        <v>2020</v>
      </c>
      <c r="G237" s="67" t="str">
        <f ca="1">IFERROR(__xludf.DUMMYFUNCTION("""COMPUTED_VALUE"""),"г.о. Наро-Фоминск")</f>
        <v>г.о. Наро-Фоминск</v>
      </c>
      <c r="H237" s="67" t="str">
        <f ca="1">IFERROR(__xludf.DUMMYFUNCTION("""COMPUTED_VALUE"""),"ОС")</f>
        <v>ОС</v>
      </c>
      <c r="I237" s="97">
        <f ca="1">IFERROR(__xludf.DUMMYFUNCTION("""COMPUTED_VALUE"""),0)</f>
        <v>0</v>
      </c>
      <c r="J237" s="97">
        <f ca="1">IFERROR(__xludf.DUMMYFUNCTION("""COMPUTED_VALUE"""),32374.99)</f>
        <v>32374.99</v>
      </c>
      <c r="K237" s="97">
        <f ca="1">IFERROR(__xludf.DUMMYFUNCTION("""COMPUTED_VALUE"""),1704.09)</f>
        <v>1704.09</v>
      </c>
      <c r="L237" s="97">
        <f ca="1">IFERROR(__xludf.DUMMYFUNCTION("""COMPUTED_VALUE"""),0)</f>
        <v>0</v>
      </c>
      <c r="M237" s="97">
        <f ca="1">IFERROR(__xludf.DUMMYFUNCTION("""COMPUTED_VALUE"""),0)</f>
        <v>0</v>
      </c>
      <c r="N237" s="67"/>
      <c r="O237" s="67"/>
      <c r="P237" s="67" t="str">
        <f ca="1">IFERROR(__xludf.DUMMYFUNCTION("""COMPUTED_VALUE"""),"ПИР")</f>
        <v>ПИР</v>
      </c>
      <c r="Q237" s="67">
        <f t="shared" ca="1" si="0"/>
        <v>0</v>
      </c>
      <c r="R237" s="67"/>
      <c r="S237" s="67"/>
      <c r="T237" s="67"/>
      <c r="U237" s="67"/>
      <c r="V237" s="67"/>
      <c r="W237" s="67"/>
      <c r="X237" s="67"/>
      <c r="Y237" s="67"/>
      <c r="Z237" s="67"/>
      <c r="AA237" s="67"/>
      <c r="AB237" s="67"/>
      <c r="AC237" s="67"/>
      <c r="AD237" s="67"/>
      <c r="AE237" s="67"/>
      <c r="AF237" s="67"/>
      <c r="AG237" s="67"/>
      <c r="AH237" s="67"/>
      <c r="AI237" s="67"/>
      <c r="AJ237" s="67"/>
      <c r="AK237" s="67"/>
      <c r="AL237" s="67"/>
      <c r="AM237" s="67"/>
    </row>
    <row r="238" spans="1:39" ht="72" x14ac:dyDescent="0.2">
      <c r="A238" s="67"/>
      <c r="B238" s="100"/>
      <c r="C23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8" s="20" t="str">
        <f ca="1">IFERROR(__xludf.DUMMYFUNCTION("""COMPUTED_VALUE"""),"МинЖКХ")</f>
        <v>МинЖКХ</v>
      </c>
      <c r="E238" s="20" t="str">
        <f ca="1">IFERROR(__xludf.DUMMYFUNCTION("""COMPUTED_VALUE"""),"Строительство очистных сооружений канализации г.п. Сергиев-Посад мощностью 40 тыс. куб.м/сут. (ПИР)")</f>
        <v>Строительство очистных сооружений канализации г.п. Сергиев-Посад мощностью 40 тыс. куб.м/сут. (ПИР)</v>
      </c>
      <c r="F238" s="67">
        <f ca="1">IFERROR(__xludf.DUMMYFUNCTION("""COMPUTED_VALUE"""),2020)</f>
        <v>2020</v>
      </c>
      <c r="G238" s="67" t="str">
        <f ca="1">IFERROR(__xludf.DUMMYFUNCTION("""COMPUTED_VALUE"""),"г.о. Сергиев Посад")</f>
        <v>г.о. Сергиев Посад</v>
      </c>
      <c r="H238" s="67" t="str">
        <f ca="1">IFERROR(__xludf.DUMMYFUNCTION("""COMPUTED_VALUE"""),"ОС")</f>
        <v>ОС</v>
      </c>
      <c r="I238" s="67"/>
      <c r="J238" s="97">
        <f ca="1">IFERROR(__xludf.DUMMYFUNCTION("""COMPUTED_VALUE"""),32300)</f>
        <v>32300</v>
      </c>
      <c r="K238" s="97">
        <f ca="1">IFERROR(__xludf.DUMMYFUNCTION("""COMPUTED_VALUE"""),1700)</f>
        <v>1700</v>
      </c>
      <c r="L238" s="97">
        <f ca="1">IFERROR(__xludf.DUMMYFUNCTION("""COMPUTED_VALUE"""),0)</f>
        <v>0</v>
      </c>
      <c r="M238" s="97">
        <f ca="1">IFERROR(__xludf.DUMMYFUNCTION("""COMPUTED_VALUE"""),0)</f>
        <v>0</v>
      </c>
      <c r="N238" s="67"/>
      <c r="O238" s="67"/>
      <c r="P238" s="67" t="str">
        <f ca="1">IFERROR(__xludf.DUMMYFUNCTION("""COMPUTED_VALUE"""),"ПИР")</f>
        <v>ПИР</v>
      </c>
      <c r="Q238" s="67">
        <f t="shared" ca="1" si="0"/>
        <v>0</v>
      </c>
      <c r="R238" s="67"/>
      <c r="S238" s="67"/>
      <c r="T238" s="67"/>
      <c r="U238" s="67"/>
      <c r="V238" s="67"/>
      <c r="W238" s="67"/>
      <c r="X238" s="67"/>
      <c r="Y238" s="67"/>
      <c r="Z238" s="67"/>
      <c r="AA238" s="67"/>
      <c r="AB238" s="67"/>
      <c r="AC238" s="67"/>
      <c r="AD238" s="67"/>
      <c r="AE238" s="67"/>
      <c r="AF238" s="67"/>
      <c r="AG238" s="67"/>
      <c r="AH238" s="67"/>
      <c r="AI238" s="67"/>
      <c r="AJ238" s="67"/>
      <c r="AK238" s="67"/>
      <c r="AL238" s="67"/>
      <c r="AM238" s="67"/>
    </row>
    <row r="239" spans="1:39" ht="108" x14ac:dyDescent="0.2">
      <c r="A239" s="67"/>
      <c r="B239" s="100"/>
      <c r="C23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9" s="20" t="str">
        <f ca="1">IFERROR(__xludf.DUMMYFUNCTION("""COMPUTED_VALUE"""),"МинЖКХ")</f>
        <v>МинЖКХ</v>
      </c>
      <c r="E239" s="20" t="str">
        <f ca="1">IFERROR(__xludf.DUMMYFUNCTION("""COMPUTED_VALUE"""),"Строительство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f>
        <v>Строительство очистных сооружений в Дмитровском г.о. Мощностью 40 тыс. куб.м/сут. (ПИР)в том числе погашение кредиторской задолжености за выполненые  работы но не оплаченые в 2019 году в размере 6 461,81 тыс.руб. средства бюджета г.Москвы</v>
      </c>
      <c r="F239" s="67">
        <f ca="1">IFERROR(__xludf.DUMMYFUNCTION("""COMPUTED_VALUE"""),2020)</f>
        <v>2020</v>
      </c>
      <c r="G239" s="67" t="str">
        <f ca="1">IFERROR(__xludf.DUMMYFUNCTION("""COMPUTED_VALUE"""),"г.о. Дмитровский")</f>
        <v>г.о. Дмитровский</v>
      </c>
      <c r="H239" s="67" t="str">
        <f ca="1">IFERROR(__xludf.DUMMYFUNCTION("""COMPUTED_VALUE"""),"ОС")</f>
        <v>ОС</v>
      </c>
      <c r="I239" s="97">
        <f ca="1">IFERROR(__xludf.DUMMYFUNCTION("""COMPUTED_VALUE"""),0)</f>
        <v>0</v>
      </c>
      <c r="J239" s="97">
        <f ca="1">IFERROR(__xludf.DUMMYFUNCTION("""COMPUTED_VALUE"""),7970.03)</f>
        <v>7970.03</v>
      </c>
      <c r="K239" s="97">
        <f ca="1">IFERROR(__xludf.DUMMYFUNCTION("""COMPUTED_VALUE"""),79.38)</f>
        <v>79.38</v>
      </c>
      <c r="L239" s="97">
        <f ca="1">IFERROR(__xludf.DUMMYFUNCTION("""COMPUTED_VALUE"""),0)</f>
        <v>0</v>
      </c>
      <c r="M239" s="97">
        <f ca="1">IFERROR(__xludf.DUMMYFUNCTION("""COMPUTED_VALUE"""),0)</f>
        <v>0</v>
      </c>
      <c r="N239" s="67"/>
      <c r="O239" s="67"/>
      <c r="P239" s="67" t="str">
        <f ca="1">IFERROR(__xludf.DUMMYFUNCTION("""COMPUTED_VALUE"""),"ПИР")</f>
        <v>ПИР</v>
      </c>
      <c r="Q239" s="67">
        <f t="shared" ca="1" si="0"/>
        <v>0</v>
      </c>
      <c r="R239" s="67"/>
      <c r="S239" s="67"/>
      <c r="T239" s="67"/>
      <c r="U239" s="67"/>
      <c r="V239" s="67"/>
      <c r="W239" s="67"/>
      <c r="X239" s="67"/>
      <c r="Y239" s="67"/>
      <c r="Z239" s="67"/>
      <c r="AA239" s="67"/>
      <c r="AB239" s="67"/>
      <c r="AC239" s="67"/>
      <c r="AD239" s="67"/>
      <c r="AE239" s="67"/>
      <c r="AF239" s="67"/>
      <c r="AG239" s="67"/>
      <c r="AH239" s="67"/>
      <c r="AI239" s="67"/>
      <c r="AJ239" s="67"/>
      <c r="AK239" s="67"/>
      <c r="AL239" s="67"/>
      <c r="AM239" s="67"/>
    </row>
    <row r="240" spans="1:39" ht="72" x14ac:dyDescent="0.2">
      <c r="A240" s="67"/>
      <c r="B240" s="100"/>
      <c r="C24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0" s="20" t="str">
        <f ca="1">IFERROR(__xludf.DUMMYFUNCTION("""COMPUTED_VALUE"""),"МинЖКХ")</f>
        <v>МинЖКХ</v>
      </c>
      <c r="E240" s="20" t="str">
        <f ca="1">IFERROR(__xludf.DUMMYFUNCTION("""COMPUTED_VALUE"""),"Строительство очисных сооружений г. Кашира д. Терново-1 (ПИР)")</f>
        <v>Строительство очисных сооружений г. Кашира д. Терново-1 (ПИР)</v>
      </c>
      <c r="F240" s="67">
        <f ca="1">IFERROR(__xludf.DUMMYFUNCTION("""COMPUTED_VALUE"""),2020)</f>
        <v>2020</v>
      </c>
      <c r="G240" s="67" t="str">
        <f ca="1">IFERROR(__xludf.DUMMYFUNCTION("""COMPUTED_VALUE"""),"г.о. Кашира")</f>
        <v>г.о. Кашира</v>
      </c>
      <c r="H240" s="67" t="str">
        <f ca="1">IFERROR(__xludf.DUMMYFUNCTION("""COMPUTED_VALUE"""),"ОС")</f>
        <v>ОС</v>
      </c>
      <c r="I240" s="67"/>
      <c r="J240" s="97">
        <f ca="1">IFERROR(__xludf.DUMMYFUNCTION("""COMPUTED_VALUE"""),6555)</f>
        <v>6555</v>
      </c>
      <c r="K240" s="97">
        <f ca="1">IFERROR(__xludf.DUMMYFUNCTION("""COMPUTED_VALUE"""),345)</f>
        <v>345</v>
      </c>
      <c r="L240" s="97">
        <f ca="1">IFERROR(__xludf.DUMMYFUNCTION("""COMPUTED_VALUE"""),0)</f>
        <v>0</v>
      </c>
      <c r="M240" s="97">
        <f ca="1">IFERROR(__xludf.DUMMYFUNCTION("""COMPUTED_VALUE"""),0)</f>
        <v>0</v>
      </c>
      <c r="N240" s="67"/>
      <c r="O240" s="67"/>
      <c r="P240" s="67" t="str">
        <f ca="1">IFERROR(__xludf.DUMMYFUNCTION("""COMPUTED_VALUE"""),"ПИР")</f>
        <v>ПИР</v>
      </c>
      <c r="Q240" s="67">
        <f t="shared" ca="1" si="0"/>
        <v>0</v>
      </c>
      <c r="R240" s="67"/>
      <c r="S240" s="67"/>
      <c r="T240" s="67"/>
      <c r="U240" s="67"/>
      <c r="V240" s="67"/>
      <c r="W240" s="67"/>
      <c r="X240" s="67"/>
      <c r="Y240" s="67"/>
      <c r="Z240" s="67"/>
      <c r="AA240" s="67"/>
      <c r="AB240" s="67"/>
      <c r="AC240" s="67"/>
      <c r="AD240" s="67"/>
      <c r="AE240" s="67"/>
      <c r="AF240" s="67"/>
      <c r="AG240" s="67"/>
      <c r="AH240" s="67"/>
      <c r="AI240" s="67"/>
      <c r="AJ240" s="67"/>
      <c r="AK240" s="67"/>
      <c r="AL240" s="67"/>
      <c r="AM240" s="67"/>
    </row>
    <row r="241" spans="1:39" ht="72" x14ac:dyDescent="0.2">
      <c r="A241" s="67"/>
      <c r="B241" s="100"/>
      <c r="C24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1" s="20" t="str">
        <f ca="1">IFERROR(__xludf.DUMMYFUNCTION("""COMPUTED_VALUE"""),"МинЖКХ")</f>
        <v>МинЖКХ</v>
      </c>
      <c r="E241" s="20" t="str">
        <f ca="1">IFERROR(__xludf.DUMMYFUNCTION("""COMPUTED_VALUE"""),"Строительство очистных сооружений,  г. Шатура, ул. Малькина Грива  (ПИР)")</f>
        <v>Строительство очистных сооружений,  г. Шатура, ул. Малькина Грива  (ПИР)</v>
      </c>
      <c r="F241" s="67">
        <f ca="1">IFERROR(__xludf.DUMMYFUNCTION("""COMPUTED_VALUE"""),2020)</f>
        <v>2020</v>
      </c>
      <c r="G241" s="67" t="str">
        <f ca="1">IFERROR(__xludf.DUMMYFUNCTION("""COMPUTED_VALUE"""),"г.о. Шатура")</f>
        <v>г.о. Шатура</v>
      </c>
      <c r="H241" s="67" t="str">
        <f ca="1">IFERROR(__xludf.DUMMYFUNCTION("""COMPUTED_VALUE"""),"ОС")</f>
        <v>ОС</v>
      </c>
      <c r="I241" s="67"/>
      <c r="J241" s="97">
        <f ca="1">IFERROR(__xludf.DUMMYFUNCTION("""COMPUTED_VALUE"""),23950.49)</f>
        <v>23950.49</v>
      </c>
      <c r="K241" s="97">
        <f ca="1">IFERROR(__xludf.DUMMYFUNCTION("""COMPUTED_VALUE"""),0.01)</f>
        <v>0.01</v>
      </c>
      <c r="L241" s="97">
        <f ca="1">IFERROR(__xludf.DUMMYFUNCTION("""COMPUTED_VALUE"""),0)</f>
        <v>0</v>
      </c>
      <c r="M241" s="97">
        <f ca="1">IFERROR(__xludf.DUMMYFUNCTION("""COMPUTED_VALUE"""),0)</f>
        <v>0</v>
      </c>
      <c r="N241" s="67"/>
      <c r="O241" s="67"/>
      <c r="P241" s="67" t="str">
        <f ca="1">IFERROR(__xludf.DUMMYFUNCTION("""COMPUTED_VALUE"""),"ПИР")</f>
        <v>ПИР</v>
      </c>
      <c r="Q241" s="67">
        <f t="shared" ca="1" si="0"/>
        <v>0</v>
      </c>
      <c r="R241" s="67"/>
      <c r="S241" s="67"/>
      <c r="T241" s="67"/>
      <c r="U241" s="67"/>
      <c r="V241" s="67"/>
      <c r="W241" s="67"/>
      <c r="X241" s="67"/>
      <c r="Y241" s="67"/>
      <c r="Z241" s="67"/>
      <c r="AA241" s="67"/>
      <c r="AB241" s="67"/>
      <c r="AC241" s="67"/>
      <c r="AD241" s="67"/>
      <c r="AE241" s="67"/>
      <c r="AF241" s="67"/>
      <c r="AG241" s="67"/>
      <c r="AH241" s="67"/>
      <c r="AI241" s="67"/>
      <c r="AJ241" s="67"/>
      <c r="AK241" s="67"/>
      <c r="AL241" s="67"/>
      <c r="AM241" s="67"/>
    </row>
    <row r="242" spans="1:39" ht="96" x14ac:dyDescent="0.2">
      <c r="A242" s="67"/>
      <c r="B242" s="100"/>
      <c r="C24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2" s="20" t="str">
        <f ca="1">IFERROR(__xludf.DUMMYFUNCTION("""COMPUTED_VALUE"""),"МинЖКХ")</f>
        <v>МинЖКХ</v>
      </c>
      <c r="E242" s="20" t="str">
        <f ca="1">IFERROR(__xludf.DUMMYFUNCTION("""COMPUTED_VALUE"""),"Комплексные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f>
        <v>Комплексные очистные сооружения производительностью 1000 м3/сут. для очистки хозяйственно-бытовых сточных вод», расположенные по адресу: д. Лечищево, городской округ Истра, Московская область</v>
      </c>
      <c r="F242" s="67" t="str">
        <f ca="1">IFERROR(__xludf.DUMMYFUNCTION("""COMPUTED_VALUE"""),"2020-2021")</f>
        <v>2020-2021</v>
      </c>
      <c r="G242" s="67" t="str">
        <f ca="1">IFERROR(__xludf.DUMMYFUNCTION("""COMPUTED_VALUE"""),"г.о. Истра")</f>
        <v>г.о. Истра</v>
      </c>
      <c r="H242" s="67" t="str">
        <f ca="1">IFERROR(__xludf.DUMMYFUNCTION("""COMPUTED_VALUE"""),"ОС")</f>
        <v>ОС</v>
      </c>
      <c r="I242" s="97">
        <f ca="1">IFERROR(__xludf.DUMMYFUNCTION("""COMPUTED_VALUE"""),30827.66)</f>
        <v>30827.66</v>
      </c>
      <c r="J242" s="67"/>
      <c r="K242" s="97">
        <f ca="1">IFERROR(__xludf.DUMMYFUNCTION("""COMPUTED_VALUE"""),71456.85)</f>
        <v>71456.850000000006</v>
      </c>
      <c r="L242" s="97">
        <f ca="1">IFERROR(__xludf.DUMMYFUNCTION("""COMPUTED_VALUE"""),0)</f>
        <v>0</v>
      </c>
      <c r="M242" s="97">
        <f ca="1">IFERROR(__xludf.DUMMYFUNCTION("""COMPUTED_VALUE"""),0)</f>
        <v>0</v>
      </c>
      <c r="N242" s="67"/>
      <c r="O242" s="67"/>
      <c r="P242" s="67" t="str">
        <f ca="1">IFERROR(__xludf.DUMMYFUNCTION("""COMPUTED_VALUE"""),"СМР")</f>
        <v>СМР</v>
      </c>
      <c r="Q242" s="67">
        <f t="shared" ca="1" si="0"/>
        <v>0</v>
      </c>
      <c r="R242" s="67"/>
      <c r="S242" s="67"/>
      <c r="T242" s="67"/>
      <c r="U242" s="67"/>
      <c r="V242" s="67"/>
      <c r="W242" s="67"/>
      <c r="X242" s="67"/>
      <c r="Y242" s="67"/>
      <c r="Z242" s="67"/>
      <c r="AA242" s="67"/>
      <c r="AB242" s="67"/>
      <c r="AC242" s="67"/>
      <c r="AD242" s="67"/>
      <c r="AE242" s="67"/>
      <c r="AF242" s="67"/>
      <c r="AG242" s="67"/>
      <c r="AH242" s="67"/>
      <c r="AI242" s="67"/>
      <c r="AJ242" s="67"/>
      <c r="AK242" s="67"/>
      <c r="AL242" s="67"/>
      <c r="AM242" s="67"/>
    </row>
    <row r="243" spans="1:39" ht="120" x14ac:dyDescent="0.2">
      <c r="A243" s="67"/>
      <c r="B243" s="100"/>
      <c r="C24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3" s="20" t="str">
        <f ca="1">IFERROR(__xludf.DUMMYFUNCTION("""COMPUTED_VALUE"""),"МинЖКХ")</f>
        <v>МинЖКХ</v>
      </c>
      <c r="E243" s="20" t="str">
        <f ca="1">IFERROR(__xludf.DUMMYFUNCTION("""COMPUTED_VALUE"""),"Реконструкция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f>
        <v>Реконструкция комплекса очистных сооружений канализации производительностью 5000 м3/сут с увеличением производительности до 8500 м3/сут в мкр. Пироговский по адресу: Московская область, г.о.Мытищи, мкр.Пироговский, ул.Пролетарская, владение 4В</v>
      </c>
      <c r="F243" s="67" t="str">
        <f ca="1">IFERROR(__xludf.DUMMYFUNCTION("""COMPUTED_VALUE"""),"2020-2021")</f>
        <v>2020-2021</v>
      </c>
      <c r="G243" s="67" t="str">
        <f ca="1">IFERROR(__xludf.DUMMYFUNCTION("""COMPUTED_VALUE"""),"г.о. Мытищи")</f>
        <v>г.о. Мытищи</v>
      </c>
      <c r="H243" s="67" t="str">
        <f ca="1">IFERROR(__xludf.DUMMYFUNCTION("""COMPUTED_VALUE"""),"ОС")</f>
        <v>ОС</v>
      </c>
      <c r="I243" s="97">
        <f ca="1">IFERROR(__xludf.DUMMYFUNCTION("""COMPUTED_VALUE"""),61556.48)</f>
        <v>61556.480000000003</v>
      </c>
      <c r="J243" s="67"/>
      <c r="K243" s="97">
        <f ca="1">IFERROR(__xludf.DUMMYFUNCTION("""COMPUTED_VALUE"""),123581.26)</f>
        <v>123581.26</v>
      </c>
      <c r="L243" s="97">
        <f ca="1">IFERROR(__xludf.DUMMYFUNCTION("""COMPUTED_VALUE"""),0)</f>
        <v>0</v>
      </c>
      <c r="M243" s="97">
        <f ca="1">IFERROR(__xludf.DUMMYFUNCTION("""COMPUTED_VALUE"""),0)</f>
        <v>0</v>
      </c>
      <c r="N243" s="67"/>
      <c r="O243" s="67"/>
      <c r="P243" s="67" t="str">
        <f ca="1">IFERROR(__xludf.DUMMYFUNCTION("""COMPUTED_VALUE"""),"СМР")</f>
        <v>СМР</v>
      </c>
      <c r="Q243" s="67">
        <f t="shared" ca="1" si="0"/>
        <v>0</v>
      </c>
      <c r="R243" s="67"/>
      <c r="S243" s="67"/>
      <c r="T243" s="67"/>
      <c r="U243" s="67"/>
      <c r="V243" s="67"/>
      <c r="W243" s="67"/>
      <c r="X243" s="67"/>
      <c r="Y243" s="67"/>
      <c r="Z243" s="67"/>
      <c r="AA243" s="67"/>
      <c r="AB243" s="67"/>
      <c r="AC243" s="67"/>
      <c r="AD243" s="67"/>
      <c r="AE243" s="67"/>
      <c r="AF243" s="67"/>
      <c r="AG243" s="67"/>
      <c r="AH243" s="67"/>
      <c r="AI243" s="67"/>
      <c r="AJ243" s="67"/>
      <c r="AK243" s="67"/>
      <c r="AL243" s="67"/>
      <c r="AM243" s="67"/>
    </row>
    <row r="244" spans="1:39" ht="96" x14ac:dyDescent="0.2">
      <c r="A244" s="67"/>
      <c r="B244" s="96"/>
      <c r="C244"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4" s="20" t="str">
        <f ca="1">IFERROR(__xludf.DUMMYFUNCTION("""COMPUTED_VALUE"""),"МинЖКХ")</f>
        <v>МинЖКХ</v>
      </c>
      <c r="E244" s="20" t="str">
        <f ca="1">IFERROR(__xludf.DUMMYFUNCTION("""COMPUTED_VALUE"""),"Аварийно-восстановительные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f>
        <v>Аварийно-восстановительные работы (включая установку оборудования) на биологических очистных сооружениях г.о. Зарайск, Московской области  (в том числе погашение кредиторской задолженности)</v>
      </c>
      <c r="F244" s="67">
        <f ca="1">IFERROR(__xludf.DUMMYFUNCTION("""COMPUTED_VALUE"""),2020)</f>
        <v>2020</v>
      </c>
      <c r="G244" s="67" t="str">
        <f ca="1">IFERROR(__xludf.DUMMYFUNCTION("""COMPUTED_VALUE"""),"г.о. Зарайск")</f>
        <v>г.о. Зарайск</v>
      </c>
      <c r="H244" s="67" t="str">
        <f ca="1">IFERROR(__xludf.DUMMYFUNCTION("""COMPUTED_VALUE"""),"ОС")</f>
        <v>ОС</v>
      </c>
      <c r="I244" s="97">
        <f ca="1">IFERROR(__xludf.DUMMYFUNCTION("""COMPUTED_VALUE"""),35860.76)</f>
        <v>35860.76</v>
      </c>
      <c r="J244" s="67"/>
      <c r="K244" s="97">
        <f ca="1">IFERROR(__xludf.DUMMYFUNCTION("""COMPUTED_VALUE"""),3210.48)</f>
        <v>3210.48</v>
      </c>
      <c r="L244" s="97">
        <f ca="1">IFERROR(__xludf.DUMMYFUNCTION("""COMPUTED_VALUE"""),0)</f>
        <v>0</v>
      </c>
      <c r="M244" s="97">
        <f ca="1">IFERROR(__xludf.DUMMYFUNCTION("""COMPUTED_VALUE"""),0)</f>
        <v>0</v>
      </c>
      <c r="N244" s="67"/>
      <c r="O244" s="67"/>
      <c r="P244" s="67" t="str">
        <f ca="1">IFERROR(__xludf.DUMMYFUNCTION("""COMPUTED_VALUE"""),"СМР")</f>
        <v>СМР</v>
      </c>
      <c r="Q244" s="67">
        <f t="shared" ca="1" si="0"/>
        <v>0</v>
      </c>
      <c r="R244" s="67"/>
      <c r="S244" s="67"/>
      <c r="T244" s="67"/>
      <c r="U244" s="67"/>
      <c r="V244" s="67"/>
      <c r="W244" s="67"/>
      <c r="X244" s="67"/>
      <c r="Y244" s="67"/>
      <c r="Z244" s="67"/>
      <c r="AA244" s="67"/>
      <c r="AB244" s="67"/>
      <c r="AC244" s="67"/>
      <c r="AD244" s="67"/>
      <c r="AE244" s="67"/>
      <c r="AF244" s="67"/>
      <c r="AG244" s="67"/>
      <c r="AH244" s="67"/>
      <c r="AI244" s="67"/>
      <c r="AJ244" s="67"/>
      <c r="AK244" s="67"/>
      <c r="AL244" s="67"/>
      <c r="AM244" s="67"/>
    </row>
    <row r="245" spans="1:39" ht="72" hidden="1" x14ac:dyDescent="0.2">
      <c r="A245" s="67"/>
      <c r="B245" s="100"/>
      <c r="C245"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5" s="20" t="str">
        <f ca="1">IFERROR(__xludf.DUMMYFUNCTION("""COMPUTED_VALUE"""),"МинЖКХ")</f>
        <v>МинЖКХ</v>
      </c>
      <c r="E245" s="20" t="str">
        <f ca="1">IFERROR(__xludf.DUMMYFUNCTION("""COMPUTED_VALUE"""),"Капитальный ремонт очистных сооружений канализации пос. Фряново, г.о. Щелково производительностью 3000 тыс. м3/сут. (в т.ч. ПИР)")</f>
        <v>Капитальный ремонт очистных сооружений канализации пос. Фряново, г.о. Щелково производительностью 3000 тыс. м3/сут. (в т.ч. ПИР)</v>
      </c>
      <c r="F245" s="67" t="str">
        <f ca="1">IFERROR(__xludf.DUMMYFUNCTION("""COMPUTED_VALUE"""),"2021-2023")</f>
        <v>2021-2023</v>
      </c>
      <c r="G245" s="67" t="str">
        <f ca="1">IFERROR(__xludf.DUMMYFUNCTION("""COMPUTED_VALUE"""),"г.о. Фряново")</f>
        <v>г.о. Фряново</v>
      </c>
      <c r="H245" s="67" t="str">
        <f ca="1">IFERROR(__xludf.DUMMYFUNCTION("""COMPUTED_VALUE"""),"ОС")</f>
        <v>ОС</v>
      </c>
      <c r="I245" s="67"/>
      <c r="J245" s="67"/>
      <c r="K245" s="97">
        <f ca="1">IFERROR(__xludf.DUMMYFUNCTION("""COMPUTED_VALUE"""),14459.52)</f>
        <v>14459.52</v>
      </c>
      <c r="L245" s="97">
        <f ca="1">IFERROR(__xludf.DUMMYFUNCTION("""COMPUTED_VALUE"""),0)</f>
        <v>0</v>
      </c>
      <c r="M245" s="97">
        <f ca="1">IFERROR(__xludf.DUMMYFUNCTION("""COMPUTED_VALUE"""),0)</f>
        <v>0</v>
      </c>
      <c r="N245" s="67"/>
      <c r="O245" s="67"/>
      <c r="P245" s="67" t="str">
        <f ca="1">IFERROR(__xludf.DUMMYFUNCTION("""COMPUTED_VALUE"""),"СМР")</f>
        <v>СМР</v>
      </c>
      <c r="Q245" s="67">
        <f t="shared" ca="1" si="0"/>
        <v>0</v>
      </c>
      <c r="R245" s="67"/>
      <c r="S245" s="67"/>
      <c r="T245" s="67"/>
      <c r="U245" s="67"/>
      <c r="V245" s="67"/>
      <c r="W245" s="67"/>
      <c r="X245" s="67"/>
      <c r="Y245" s="67"/>
      <c r="Z245" s="67"/>
      <c r="AA245" s="67"/>
      <c r="AB245" s="67"/>
      <c r="AC245" s="67"/>
      <c r="AD245" s="67"/>
      <c r="AE245" s="67"/>
      <c r="AF245" s="67"/>
      <c r="AG245" s="67"/>
      <c r="AH245" s="67"/>
      <c r="AI245" s="67"/>
      <c r="AJ245" s="67"/>
      <c r="AK245" s="67"/>
      <c r="AL245" s="67"/>
      <c r="AM245" s="67"/>
    </row>
    <row r="246" spans="1:39" ht="72" x14ac:dyDescent="0.2">
      <c r="A246" s="67"/>
      <c r="B246" s="100"/>
      <c r="C246" s="20"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6" s="20" t="str">
        <f ca="1">IFERROR(__xludf.DUMMYFUNCTION("""COMPUTED_VALUE"""),"МинЖКХ")</f>
        <v>МинЖКХ</v>
      </c>
      <c r="E246" s="20" t="str">
        <f ca="1">IFERROR(__xludf.DUMMYFUNCTION("""COMPUTED_VALUE"""),"Приобретение, монтаж и ввод в эксплуатацию 2-х воздуходувок на очистных сооружениях в г. Рошаль г.о. Шатура")</f>
        <v>Приобретение, монтаж и ввод в эксплуатацию 2-х воздуходувок на очистных сооружениях в г. Рошаль г.о. Шатура</v>
      </c>
      <c r="F246" s="67">
        <f ca="1">IFERROR(__xludf.DUMMYFUNCTION("""COMPUTED_VALUE"""),2020)</f>
        <v>2020</v>
      </c>
      <c r="G246" s="67" t="str">
        <f ca="1">IFERROR(__xludf.DUMMYFUNCTION("""COMPUTED_VALUE"""),"г.о. Рошаль")</f>
        <v>г.о. Рошаль</v>
      </c>
      <c r="H246" s="67" t="str">
        <f ca="1">IFERROR(__xludf.DUMMYFUNCTION("""COMPUTED_VALUE"""),"ОС")</f>
        <v>ОС</v>
      </c>
      <c r="I246" s="97">
        <f ca="1">IFERROR(__xludf.DUMMYFUNCTION("""COMPUTED_VALUE"""),0)</f>
        <v>0</v>
      </c>
      <c r="J246" s="67"/>
      <c r="K246" s="97">
        <f ca="1">IFERROR(__xludf.DUMMYFUNCTION("""COMPUTED_VALUE"""),180)</f>
        <v>180</v>
      </c>
      <c r="L246" s="97">
        <f ca="1">IFERROR(__xludf.DUMMYFUNCTION("""COMPUTED_VALUE"""),0)</f>
        <v>0</v>
      </c>
      <c r="M246" s="97">
        <f ca="1">IFERROR(__xludf.DUMMYFUNCTION("""COMPUTED_VALUE"""),0)</f>
        <v>0</v>
      </c>
      <c r="N246" s="67"/>
      <c r="O246" s="67"/>
      <c r="P246" s="67" t="str">
        <f ca="1">IFERROR(__xludf.DUMMYFUNCTION("""COMPUTED_VALUE"""),"СМР")</f>
        <v>СМР</v>
      </c>
      <c r="Q246" s="67">
        <f t="shared" ca="1" si="0"/>
        <v>0</v>
      </c>
      <c r="R246" s="67"/>
      <c r="S246" s="67"/>
      <c r="T246" s="67"/>
      <c r="U246" s="67"/>
      <c r="V246" s="67"/>
      <c r="W246" s="67"/>
      <c r="X246" s="67"/>
      <c r="Y246" s="67"/>
      <c r="Z246" s="67"/>
      <c r="AA246" s="67"/>
      <c r="AB246" s="67"/>
      <c r="AC246" s="67"/>
      <c r="AD246" s="67"/>
      <c r="AE246" s="67"/>
      <c r="AF246" s="67"/>
      <c r="AG246" s="67"/>
      <c r="AH246" s="67"/>
      <c r="AI246" s="67"/>
      <c r="AJ246" s="67"/>
      <c r="AK246" s="67"/>
      <c r="AL246" s="67"/>
      <c r="AM246" s="67"/>
    </row>
    <row r="247" spans="1:39" ht="48" x14ac:dyDescent="0.2">
      <c r="A247" s="67"/>
      <c r="B247" s="100"/>
      <c r="C247" s="20" t="str">
        <f ca="1">IFERROR(__xludf.DUMMYFUNCTION("""COMPUTED_VALUE"""),"Мероприятие 4 - Бюджетные инвестиции в объекты капитального строительства государственной собственности Московской области")</f>
        <v>Мероприятие 4 - Бюджетные инвестиции в объекты капитального строительства государственной собственности Московской области</v>
      </c>
      <c r="D247" s="20" t="str">
        <f ca="1">IFERROR(__xludf.DUMMYFUNCTION("""COMPUTED_VALUE"""),"МинЖКХ")</f>
        <v>МинЖКХ</v>
      </c>
      <c r="E247" s="20" t="str">
        <f ca="1">IFERROR(__xludf.DUMMYFUNCTION("""COMPUTED_VALUE"""),"Реконструкция очистных сооружений г. Можайск (в том числе ПИР), кадастровый номер 50:180030307:1016 от 20.11.2018")</f>
        <v>Реконструкция очистных сооружений г. Можайск (в том числе ПИР), кадастровый номер 50:180030307:1016 от 20.11.2018</v>
      </c>
      <c r="F247" s="67">
        <f ca="1">IFERROR(__xludf.DUMMYFUNCTION("""COMPUTED_VALUE"""),2020)</f>
        <v>2020</v>
      </c>
      <c r="G247" s="67" t="str">
        <f ca="1">IFERROR(__xludf.DUMMYFUNCTION("""COMPUTED_VALUE"""),"МинЖКХ г.о. Можайск")</f>
        <v>МинЖКХ г.о. Можайск</v>
      </c>
      <c r="H247" s="67" t="str">
        <f ca="1">IFERROR(__xludf.DUMMYFUNCTION("""COMPUTED_VALUE"""),"ОС")</f>
        <v>ОС</v>
      </c>
      <c r="I247" s="97">
        <f ca="1">IFERROR(__xludf.DUMMYFUNCTION("""COMPUTED_VALUE"""),0)</f>
        <v>0</v>
      </c>
      <c r="J247" s="67"/>
      <c r="K247" s="97">
        <f ca="1">IFERROR(__xludf.DUMMYFUNCTION("""COMPUTED_VALUE"""),0)</f>
        <v>0</v>
      </c>
      <c r="L247" s="97">
        <f ca="1">IFERROR(__xludf.DUMMYFUNCTION("""COMPUTED_VALUE"""),0)</f>
        <v>0</v>
      </c>
      <c r="M247" s="97">
        <f ca="1">IFERROR(__xludf.DUMMYFUNCTION("""COMPUTED_VALUE"""),0)</f>
        <v>0</v>
      </c>
      <c r="N247" s="67"/>
      <c r="O247" s="67"/>
      <c r="P247" s="67" t="str">
        <f ca="1">IFERROR(__xludf.DUMMYFUNCTION("""COMPUTED_VALUE"""),"СМР")</f>
        <v>СМР</v>
      </c>
      <c r="Q247" s="67" t="e">
        <f t="shared" ca="1" si="0"/>
        <v>#DIV/0!</v>
      </c>
      <c r="R247" s="67"/>
      <c r="S247" s="67"/>
      <c r="T247" s="67"/>
      <c r="U247" s="67"/>
      <c r="V247" s="67"/>
      <c r="W247" s="67"/>
      <c r="X247" s="67"/>
      <c r="Y247" s="67"/>
      <c r="Z247" s="67"/>
      <c r="AA247" s="67"/>
      <c r="AB247" s="67"/>
      <c r="AC247" s="67"/>
      <c r="AD247" s="67"/>
      <c r="AE247" s="67"/>
      <c r="AF247" s="67"/>
      <c r="AG247" s="67"/>
      <c r="AH247" s="67"/>
      <c r="AI247" s="67"/>
      <c r="AJ247" s="67"/>
      <c r="AK247" s="67"/>
      <c r="AL247" s="67"/>
      <c r="AM247" s="67"/>
    </row>
    <row r="248" spans="1:39" ht="84" x14ac:dyDescent="0.2">
      <c r="A248" s="67"/>
      <c r="B248" s="100"/>
      <c r="C24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48" s="20" t="str">
        <f ca="1">IFERROR(__xludf.DUMMYFUNCTION("""COMPUTED_VALUE"""),"МинЖКХ")</f>
        <v>МинЖКХ</v>
      </c>
      <c r="E248" s="20" t="str">
        <f ca="1">IFERROR(__xludf.DUMMYFUNCTION("""COMPUTED_VALUE"""),"Реконструкция самотечного канализационного коллектора по адресу: г. Воскресенск, от жилого дома № 23 по ул. Мичурина до КНС, ул. Коломенская, д.10")</f>
        <v>Реконструкция самотечного канализационного коллектора по адресу: г. Воскресенск, от жилого дома № 23 по ул. Мичурина до КНС, ул. Коломенская, д.10</v>
      </c>
      <c r="F248" s="67" t="str">
        <f ca="1">IFERROR(__xludf.DUMMYFUNCTION("""COMPUTED_VALUE"""),"2020-2021")</f>
        <v>2020-2021</v>
      </c>
      <c r="G248" s="67" t="str">
        <f ca="1">IFERROR(__xludf.DUMMYFUNCTION("""COMPUTED_VALUE"""),"г.о. Воскресенск")</f>
        <v>г.о. Воскресенск</v>
      </c>
      <c r="H248" s="67" t="str">
        <f ca="1">IFERROR(__xludf.DUMMYFUNCTION("""COMPUTED_VALUE"""),"КНК")</f>
        <v>КНК</v>
      </c>
      <c r="I248" s="97">
        <f ca="1">IFERROR(__xludf.DUMMYFUNCTION("""COMPUTED_VALUE"""),0)</f>
        <v>0</v>
      </c>
      <c r="J248" s="67"/>
      <c r="K248" s="97">
        <f ca="1">IFERROR(__xludf.DUMMYFUNCTION("""COMPUTED_VALUE"""),1750)</f>
        <v>1750</v>
      </c>
      <c r="L248" s="97">
        <f ca="1">IFERROR(__xludf.DUMMYFUNCTION("""COMPUTED_VALUE"""),0)</f>
        <v>0</v>
      </c>
      <c r="M248" s="97">
        <f ca="1">IFERROR(__xludf.DUMMYFUNCTION("""COMPUTED_VALUE"""),0)</f>
        <v>0</v>
      </c>
      <c r="N248" s="67"/>
      <c r="O248" s="67"/>
      <c r="P248" s="67" t="str">
        <f ca="1">IFERROR(__xludf.DUMMYFUNCTION("""COMPUTED_VALUE"""),"СМР")</f>
        <v>СМР</v>
      </c>
      <c r="Q248" s="67">
        <f t="shared" ca="1" si="0"/>
        <v>0</v>
      </c>
      <c r="R248" s="67"/>
      <c r="S248" s="67"/>
      <c r="T248" s="67"/>
      <c r="U248" s="67"/>
      <c r="V248" s="67"/>
      <c r="W248" s="67"/>
      <c r="X248" s="67"/>
      <c r="Y248" s="67"/>
      <c r="Z248" s="67"/>
      <c r="AA248" s="67"/>
      <c r="AB248" s="67"/>
      <c r="AC248" s="67"/>
      <c r="AD248" s="67"/>
      <c r="AE248" s="67"/>
      <c r="AF248" s="67"/>
      <c r="AG248" s="67"/>
      <c r="AH248" s="67"/>
      <c r="AI248" s="67"/>
      <c r="AJ248" s="67"/>
      <c r="AK248" s="67"/>
      <c r="AL248" s="67"/>
      <c r="AM248" s="67"/>
    </row>
    <row r="249" spans="1:39" ht="84" x14ac:dyDescent="0.2">
      <c r="A249" s="67"/>
      <c r="B249" s="96"/>
      <c r="C24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49" s="20" t="str">
        <f ca="1">IFERROR(__xludf.DUMMYFUNCTION("""COMPUTED_VALUE"""),"МинЖКХ")</f>
        <v>МинЖКХ</v>
      </c>
      <c r="E249" s="20" t="str">
        <f ca="1">IFERROR(__xludf.DUMMYFUNCTION("""COMPUTED_VALUE"""),"Реконструкция самотечного канализационного коллектора по адресу: г. Воскресенск, от жилого дома № 28 ул. Маркина  до КНС, ул. Центральная, д. 32а ")</f>
        <v xml:space="preserve">Реконструкция самотечного канализационного коллектора по адресу: г. Воскресенск, от жилого дома № 28 ул. Маркина  до КНС, ул. Центральная, д. 32а </v>
      </c>
      <c r="F249" s="67" t="str">
        <f ca="1">IFERROR(__xludf.DUMMYFUNCTION("""COMPUTED_VALUE"""),"2020-2021")</f>
        <v>2020-2021</v>
      </c>
      <c r="G249" s="67" t="str">
        <f ca="1">IFERROR(__xludf.DUMMYFUNCTION("""COMPUTED_VALUE"""),"г.о. Воскресенск")</f>
        <v>г.о. Воскресенск</v>
      </c>
      <c r="H249" s="67" t="str">
        <f ca="1">IFERROR(__xludf.DUMMYFUNCTION("""COMPUTED_VALUE"""),"КНК")</f>
        <v>КНК</v>
      </c>
      <c r="I249" s="97">
        <f ca="1">IFERROR(__xludf.DUMMYFUNCTION("""COMPUTED_VALUE"""),17287.54)</f>
        <v>17287.54</v>
      </c>
      <c r="J249" s="67"/>
      <c r="K249" s="97">
        <f ca="1">IFERROR(__xludf.DUMMYFUNCTION("""COMPUTED_VALUE"""),12694.13)</f>
        <v>12694.13</v>
      </c>
      <c r="L249" s="97">
        <f ca="1">IFERROR(__xludf.DUMMYFUNCTION("""COMPUTED_VALUE"""),0)</f>
        <v>0</v>
      </c>
      <c r="M249" s="97">
        <f ca="1">IFERROR(__xludf.DUMMYFUNCTION("""COMPUTED_VALUE"""),0)</f>
        <v>0</v>
      </c>
      <c r="N249" s="67"/>
      <c r="O249" s="67"/>
      <c r="P249" s="67" t="str">
        <f ca="1">IFERROR(__xludf.DUMMYFUNCTION("""COMPUTED_VALUE"""),"СМР")</f>
        <v>СМР</v>
      </c>
      <c r="Q249" s="67">
        <f t="shared" ca="1" si="0"/>
        <v>0</v>
      </c>
      <c r="R249" s="67"/>
      <c r="S249" s="67"/>
      <c r="T249" s="67"/>
      <c r="U249" s="67"/>
      <c r="V249" s="67"/>
      <c r="W249" s="67"/>
      <c r="X249" s="67"/>
      <c r="Y249" s="67"/>
      <c r="Z249" s="67"/>
      <c r="AA249" s="67"/>
      <c r="AB249" s="67"/>
      <c r="AC249" s="67"/>
      <c r="AD249" s="67"/>
      <c r="AE249" s="67"/>
      <c r="AF249" s="67"/>
      <c r="AG249" s="67"/>
      <c r="AH249" s="67"/>
      <c r="AI249" s="67"/>
      <c r="AJ249" s="67"/>
      <c r="AK249" s="67"/>
      <c r="AL249" s="67"/>
      <c r="AM249" s="67"/>
    </row>
    <row r="250" spans="1:39" ht="84" hidden="1" x14ac:dyDescent="0.2">
      <c r="A250" s="67"/>
      <c r="B250" s="96"/>
      <c r="C25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0" s="20" t="str">
        <f ca="1">IFERROR(__xludf.DUMMYFUNCTION("""COMPUTED_VALUE"""),"МинЖКХ")</f>
        <v>МинЖКХ</v>
      </c>
      <c r="E250" s="20" t="str">
        <f ca="1">IFERROR(__xludf.DUMMYFUNCTION("""COMPUTED_VALUE"""),"Реконструкция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f>
        <v xml:space="preserve">Реконструкция самотечного канализационного коллектора по адресу:  г. Воскресенск, от ул. Победы вдоль жилого дома № 1/2 по ул. Октябрьская до КНС, ул. Лермонтова,  д.7а  </v>
      </c>
      <c r="F250" s="67">
        <f ca="1">IFERROR(__xludf.DUMMYFUNCTION("""COMPUTED_VALUE"""),2022)</f>
        <v>2022</v>
      </c>
      <c r="G250" s="67" t="str">
        <f ca="1">IFERROR(__xludf.DUMMYFUNCTION("""COMPUTED_VALUE"""),"г.о. Воскресенск")</f>
        <v>г.о. Воскресенск</v>
      </c>
      <c r="H250" s="67" t="str">
        <f ca="1">IFERROR(__xludf.DUMMYFUNCTION("""COMPUTED_VALUE"""),"КНК")</f>
        <v>КНК</v>
      </c>
      <c r="I250" s="67"/>
      <c r="J250" s="67"/>
      <c r="K250" s="97">
        <f ca="1">IFERROR(__xludf.DUMMYFUNCTION("""COMPUTED_VALUE"""),13608.52)</f>
        <v>13608.52</v>
      </c>
      <c r="L250" s="97">
        <f ca="1">IFERROR(__xludf.DUMMYFUNCTION("""COMPUTED_VALUE"""),0)</f>
        <v>0</v>
      </c>
      <c r="M250" s="97">
        <f ca="1">IFERROR(__xludf.DUMMYFUNCTION("""COMPUTED_VALUE"""),0)</f>
        <v>0</v>
      </c>
      <c r="N250" s="67"/>
      <c r="O250" s="67"/>
      <c r="P250" s="67" t="str">
        <f ca="1">IFERROR(__xludf.DUMMYFUNCTION("""COMPUTED_VALUE"""),"СМР")</f>
        <v>СМР</v>
      </c>
      <c r="Q250" s="67">
        <f t="shared" ca="1" si="0"/>
        <v>0</v>
      </c>
      <c r="R250" s="67"/>
      <c r="S250" s="67"/>
      <c r="T250" s="67"/>
      <c r="U250" s="67"/>
      <c r="V250" s="67"/>
      <c r="W250" s="67"/>
      <c r="X250" s="67"/>
      <c r="Y250" s="67"/>
      <c r="Z250" s="67"/>
      <c r="AA250" s="67"/>
      <c r="AB250" s="67"/>
      <c r="AC250" s="67"/>
      <c r="AD250" s="67"/>
      <c r="AE250" s="67"/>
      <c r="AF250" s="67"/>
      <c r="AG250" s="67"/>
      <c r="AH250" s="67"/>
      <c r="AI250" s="67"/>
      <c r="AJ250" s="67"/>
      <c r="AK250" s="67"/>
      <c r="AL250" s="67"/>
      <c r="AM250" s="67"/>
    </row>
    <row r="251" spans="1:39" ht="84" hidden="1" x14ac:dyDescent="0.2">
      <c r="A251" s="67"/>
      <c r="B251" s="96"/>
      <c r="C251"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1" s="20" t="str">
        <f ca="1">IFERROR(__xludf.DUMMYFUNCTION("""COMPUTED_VALUE"""),"МинЖКХ")</f>
        <v>МинЖКХ</v>
      </c>
      <c r="E251" s="20" t="str">
        <f ca="1">IFERROR(__xludf.DUMMYFUNCTION("""COMPUTED_VALUE"""),"Реконструкция КНС по адресу: г. Воскресенск, ул. Лермонтова, д.7а ")</f>
        <v xml:space="preserve">Реконструкция КНС по адресу: г. Воскресенск, ул. Лермонтова, д.7а </v>
      </c>
      <c r="F251" s="67">
        <f ca="1">IFERROR(__xludf.DUMMYFUNCTION("""COMPUTED_VALUE"""),2023)</f>
        <v>2023</v>
      </c>
      <c r="G251" s="67" t="str">
        <f ca="1">IFERROR(__xludf.DUMMYFUNCTION("""COMPUTED_VALUE"""),"г.о. Воскресенск")</f>
        <v>г.о. Воскресенск</v>
      </c>
      <c r="H251" s="67" t="str">
        <f ca="1">IFERROR(__xludf.DUMMYFUNCTION("""COMPUTED_VALUE"""),"КНС")</f>
        <v>КНС</v>
      </c>
      <c r="I251" s="67"/>
      <c r="J251" s="67"/>
      <c r="K251" s="97">
        <f ca="1">IFERROR(__xludf.DUMMYFUNCTION("""COMPUTED_VALUE"""),8614)</f>
        <v>8614</v>
      </c>
      <c r="L251" s="97">
        <f ca="1">IFERROR(__xludf.DUMMYFUNCTION("""COMPUTED_VALUE"""),0)</f>
        <v>0</v>
      </c>
      <c r="M251" s="97">
        <f ca="1">IFERROR(__xludf.DUMMYFUNCTION("""COMPUTED_VALUE"""),0)</f>
        <v>0</v>
      </c>
      <c r="N251" s="67"/>
      <c r="O251" s="67"/>
      <c r="P251" s="67" t="str">
        <f ca="1">IFERROR(__xludf.DUMMYFUNCTION("""COMPUTED_VALUE"""),"СМР")</f>
        <v>СМР</v>
      </c>
      <c r="Q251" s="67">
        <f t="shared" ca="1" si="0"/>
        <v>0</v>
      </c>
      <c r="R251" s="67"/>
      <c r="S251" s="67"/>
      <c r="T251" s="67"/>
      <c r="U251" s="67"/>
      <c r="V251" s="67"/>
      <c r="W251" s="67"/>
      <c r="X251" s="67"/>
      <c r="Y251" s="67"/>
      <c r="Z251" s="67"/>
      <c r="AA251" s="67"/>
      <c r="AB251" s="67"/>
      <c r="AC251" s="67"/>
      <c r="AD251" s="67"/>
      <c r="AE251" s="67"/>
      <c r="AF251" s="67"/>
      <c r="AG251" s="67"/>
      <c r="AH251" s="67"/>
      <c r="AI251" s="67"/>
      <c r="AJ251" s="67"/>
      <c r="AK251" s="67"/>
      <c r="AL251" s="67"/>
      <c r="AM251" s="67"/>
    </row>
    <row r="252" spans="1:39" ht="96" hidden="1" x14ac:dyDescent="0.2">
      <c r="A252" s="67"/>
      <c r="B252" s="100"/>
      <c r="C252"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2" s="20" t="str">
        <f ca="1">IFERROR(__xludf.DUMMYFUNCTION("""COMPUTED_VALUE"""),"МинЖКХ")</f>
        <v>МинЖКХ</v>
      </c>
      <c r="E252" s="20" t="str">
        <f ca="1">IFERROR(__xludf.DUMMYFUNCTION("""COMPUTED_VALUE"""),"Строительство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f>
        <v>Строительство канализационных насосных станций в г.Электроугли с. Кудиново, г. Старая Купавна и напорного канализационного коллектора г. Электроугли - с. Кудиново - г. Старая Купавна (в том числе ПИР) г.о. Богородский</v>
      </c>
      <c r="F252" s="67" t="str">
        <f ca="1">IFERROR(__xludf.DUMMYFUNCTION("""COMPUTED_VALUE"""),"2021-2023")</f>
        <v>2021-2023</v>
      </c>
      <c r="G252" s="67" t="str">
        <f ca="1">IFERROR(__xludf.DUMMYFUNCTION("""COMPUTED_VALUE"""),"г.о. Богородский")</f>
        <v>г.о. Богородский</v>
      </c>
      <c r="H252" s="67" t="str">
        <f ca="1">IFERROR(__xludf.DUMMYFUNCTION("""COMPUTED_VALUE"""),"КНС")</f>
        <v>КНС</v>
      </c>
      <c r="I252" s="67"/>
      <c r="J252" s="67"/>
      <c r="K252" s="97">
        <f ca="1">IFERROR(__xludf.DUMMYFUNCTION("""COMPUTED_VALUE"""),173484.3)</f>
        <v>173484.3</v>
      </c>
      <c r="L252" s="97">
        <f ca="1">IFERROR(__xludf.DUMMYFUNCTION("""COMPUTED_VALUE"""),0)</f>
        <v>0</v>
      </c>
      <c r="M252" s="97">
        <f ca="1">IFERROR(__xludf.DUMMYFUNCTION("""COMPUTED_VALUE"""),0)</f>
        <v>0</v>
      </c>
      <c r="N252" s="67"/>
      <c r="O252" s="67"/>
      <c r="P252" s="67" t="str">
        <f ca="1">IFERROR(__xludf.DUMMYFUNCTION("""COMPUTED_VALUE"""),"СМР")</f>
        <v>СМР</v>
      </c>
      <c r="Q252" s="67">
        <f t="shared" ca="1" si="0"/>
        <v>0</v>
      </c>
      <c r="R252" s="67"/>
      <c r="S252" s="67"/>
      <c r="T252" s="67"/>
      <c r="U252" s="67"/>
      <c r="V252" s="67"/>
      <c r="W252" s="67"/>
      <c r="X252" s="67"/>
      <c r="Y252" s="67"/>
      <c r="Z252" s="67"/>
      <c r="AA252" s="67"/>
      <c r="AB252" s="67"/>
      <c r="AC252" s="67"/>
      <c r="AD252" s="67"/>
      <c r="AE252" s="67"/>
      <c r="AF252" s="67"/>
      <c r="AG252" s="67"/>
      <c r="AH252" s="67"/>
      <c r="AI252" s="67"/>
      <c r="AJ252" s="67"/>
      <c r="AK252" s="67"/>
      <c r="AL252" s="67"/>
      <c r="AM252" s="67"/>
    </row>
    <row r="253" spans="1:39" ht="84" x14ac:dyDescent="0.2">
      <c r="A253" s="67"/>
      <c r="B253" s="100"/>
      <c r="C253"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3" s="20" t="str">
        <f ca="1">IFERROR(__xludf.DUMMYFUNCTION("""COMPUTED_VALUE"""),"МинЖКХ")</f>
        <v>МинЖКХ</v>
      </c>
      <c r="E253" s="20" t="str">
        <f ca="1">IFERROR(__xludf.DUMMYFUNCTION("""COMPUTED_VALUE"""),"Модернизация КНС ""Соколовская"" г.Щелково, в том числе:")</f>
        <v>Модернизация КНС "Соколовская" г.Щелково, в том числе:</v>
      </c>
      <c r="F253" s="67" t="str">
        <f ca="1">IFERROR(__xludf.DUMMYFUNCTION("""COMPUTED_VALUE"""),"2020-2021")</f>
        <v>2020-2021</v>
      </c>
      <c r="G253" s="67" t="str">
        <f ca="1">IFERROR(__xludf.DUMMYFUNCTION("""COMPUTED_VALUE"""),"г.о. Щелково")</f>
        <v>г.о. Щелково</v>
      </c>
      <c r="H253" s="67" t="str">
        <f ca="1">IFERROR(__xludf.DUMMYFUNCTION("""COMPUTED_VALUE"""),"КНС")</f>
        <v>КНС</v>
      </c>
      <c r="I253" s="97">
        <f ca="1">IFERROR(__xludf.DUMMYFUNCTION("""COMPUTED_VALUE"""),71394)</f>
        <v>71394</v>
      </c>
      <c r="J253" s="97">
        <f ca="1">IFERROR(__xludf.DUMMYFUNCTION("""COMPUTED_VALUE"""),251571.35)</f>
        <v>251571.35</v>
      </c>
      <c r="K253" s="97">
        <f ca="1">IFERROR(__xludf.DUMMYFUNCTION("""COMPUTED_VALUE"""),36469.9)</f>
        <v>36469.9</v>
      </c>
      <c r="L253" s="97">
        <f ca="1">IFERROR(__xludf.DUMMYFUNCTION("""COMPUTED_VALUE"""),0)</f>
        <v>0</v>
      </c>
      <c r="M253" s="97">
        <f ca="1">IFERROR(__xludf.DUMMYFUNCTION("""COMPUTED_VALUE"""),0)</f>
        <v>0</v>
      </c>
      <c r="N253" s="67"/>
      <c r="O253" s="67"/>
      <c r="P253" s="67" t="str">
        <f ca="1">IFERROR(__xludf.DUMMYFUNCTION("""COMPUTED_VALUE"""),"СМР")</f>
        <v>СМР</v>
      </c>
      <c r="Q253" s="67">
        <f t="shared" ca="1" si="0"/>
        <v>0</v>
      </c>
      <c r="R253" s="67"/>
      <c r="S253" s="67"/>
      <c r="T253" s="67"/>
      <c r="U253" s="67"/>
      <c r="V253" s="67"/>
      <c r="W253" s="67"/>
      <c r="X253" s="67"/>
      <c r="Y253" s="67"/>
      <c r="Z253" s="67"/>
      <c r="AA253" s="67"/>
      <c r="AB253" s="67"/>
      <c r="AC253" s="67"/>
      <c r="AD253" s="67"/>
      <c r="AE253" s="67"/>
      <c r="AF253" s="67"/>
      <c r="AG253" s="67"/>
      <c r="AH253" s="67"/>
      <c r="AI253" s="67"/>
      <c r="AJ253" s="67"/>
      <c r="AK253" s="67"/>
      <c r="AL253" s="67"/>
      <c r="AM253" s="67"/>
    </row>
    <row r="254" spans="1:39" ht="84" x14ac:dyDescent="0.2">
      <c r="A254" s="67"/>
      <c r="B254" s="100"/>
      <c r="C254"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4" s="20" t="str">
        <f ca="1">IFERROR(__xludf.DUMMYFUNCTION("""COMPUTED_VALUE"""),"МинЖКХ")</f>
        <v>МинЖКХ</v>
      </c>
      <c r="E254" s="20" t="str">
        <f ca="1">IFERROR(__xludf.DUMMYFUNCTION("""COMPUTED_VALUE"""),"В том числе проектно-изыскательские работы
 (к объекту Модернизация КНС ""Соколовская"" г.Щелково - включено в общую стоимость работ))")</f>
        <v>В том числе проектно-изыскательские работы
 (к объекту Модернизация КНС "Соколовская" г.Щелково - включено в общую стоимость работ))</v>
      </c>
      <c r="F254" s="67" t="str">
        <f ca="1">IFERROR(__xludf.DUMMYFUNCTION("""COMPUTED_VALUE"""),"Н/Л")</f>
        <v>Н/Л</v>
      </c>
      <c r="G254" s="67" t="str">
        <f ca="1">IFERROR(__xludf.DUMMYFUNCTION("""COMPUTED_VALUE"""),"г.о. Щелково")</f>
        <v>г.о. Щелково</v>
      </c>
      <c r="H254" s="67" t="str">
        <f ca="1">IFERROR(__xludf.DUMMYFUNCTION("""COMPUTED_VALUE"""),"КНС")</f>
        <v>КНС</v>
      </c>
      <c r="I254" s="97">
        <f ca="1">IFERROR(__xludf.DUMMYFUNCTION("""COMPUTED_VALUE"""),0)</f>
        <v>0</v>
      </c>
      <c r="J254" s="67"/>
      <c r="K254" s="97">
        <f ca="1">IFERROR(__xludf.DUMMYFUNCTION("""COMPUTED_VALUE"""),0)</f>
        <v>0</v>
      </c>
      <c r="L254" s="97">
        <f ca="1">IFERROR(__xludf.DUMMYFUNCTION("""COMPUTED_VALUE"""),0)</f>
        <v>0</v>
      </c>
      <c r="M254" s="97">
        <f ca="1">IFERROR(__xludf.DUMMYFUNCTION("""COMPUTED_VALUE"""),0)</f>
        <v>0</v>
      </c>
      <c r="N254" s="67"/>
      <c r="O254" s="67"/>
      <c r="P254" s="67" t="str">
        <f ca="1">IFERROR(__xludf.DUMMYFUNCTION("""COMPUTED_VALUE"""),"ПИР")</f>
        <v>ПИР</v>
      </c>
      <c r="Q254" s="67" t="e">
        <f t="shared" ca="1" si="0"/>
        <v>#DIV/0!</v>
      </c>
      <c r="R254" s="67"/>
      <c r="S254" s="67"/>
      <c r="T254" s="67"/>
      <c r="U254" s="67"/>
      <c r="V254" s="67"/>
      <c r="W254" s="67"/>
      <c r="X254" s="67"/>
      <c r="Y254" s="67"/>
      <c r="Z254" s="67"/>
      <c r="AA254" s="67"/>
      <c r="AB254" s="67"/>
      <c r="AC254" s="67"/>
      <c r="AD254" s="67"/>
      <c r="AE254" s="67"/>
      <c r="AF254" s="67"/>
      <c r="AG254" s="67"/>
      <c r="AH254" s="67"/>
      <c r="AI254" s="67"/>
      <c r="AJ254" s="67"/>
      <c r="AK254" s="67"/>
      <c r="AL254" s="67"/>
      <c r="AM254" s="67"/>
    </row>
    <row r="255" spans="1:39" ht="144" x14ac:dyDescent="0.2">
      <c r="A255" s="67"/>
      <c r="B255" s="96"/>
      <c r="C255"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5" s="20" t="str">
        <f ca="1">IFERROR(__xludf.DUMMYFUNCTION("""COMPUTED_VALUE"""),"МинЖКХ")</f>
        <v>МинЖКХ</v>
      </c>
      <c r="E255" s="20" t="str">
        <f ca="1">IFERROR(__xludf.DUMMYFUNCTION("""COMPUTED_VALUE"""),"Реконструкция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пр"&amp;"авом берегу с дюкерным переходом через реку Москву")</f>
        <v>Реконструкция канализационного коллектора 2Ф-1200 мм от КНС-1 Павшино до врезки в Московскую систему канализации на участке от точки "А" в районе вантузной камеры на левом берегу реки Москвы до камеры с регулирующими задвижками у пешеходного моста на правом берегу с дюкерным переходом через реку Москву</v>
      </c>
      <c r="F255" s="67" t="str">
        <f ca="1">IFERROR(__xludf.DUMMYFUNCTION("""COMPUTED_VALUE"""),"2019-2020")</f>
        <v>2019-2020</v>
      </c>
      <c r="G255" s="67" t="str">
        <f ca="1">IFERROR(__xludf.DUMMYFUNCTION("""COMPUTED_VALUE"""),"г.о. Красногорск")</f>
        <v>г.о. Красногорск</v>
      </c>
      <c r="H255" s="67" t="str">
        <f ca="1">IFERROR(__xludf.DUMMYFUNCTION("""COMPUTED_VALUE"""),"КНК")</f>
        <v>КНК</v>
      </c>
      <c r="I255" s="67"/>
      <c r="J255" s="97">
        <f ca="1">IFERROR(__xludf.DUMMYFUNCTION("""COMPUTED_VALUE"""),75061.19)</f>
        <v>75061.19</v>
      </c>
      <c r="K255" s="97">
        <f ca="1">IFERROR(__xludf.DUMMYFUNCTION("""COMPUTED_VALUE"""),38768.43)</f>
        <v>38768.43</v>
      </c>
      <c r="L255" s="97">
        <f ca="1">IFERROR(__xludf.DUMMYFUNCTION("""COMPUTED_VALUE"""),0)</f>
        <v>0</v>
      </c>
      <c r="M255" s="97">
        <f ca="1">IFERROR(__xludf.DUMMYFUNCTION("""COMPUTED_VALUE"""),0)</f>
        <v>0</v>
      </c>
      <c r="N255" s="67"/>
      <c r="O255" s="67"/>
      <c r="P255" s="67" t="str">
        <f ca="1">IFERROR(__xludf.DUMMYFUNCTION("""COMPUTED_VALUE"""),"СМР")</f>
        <v>СМР</v>
      </c>
      <c r="Q255" s="67">
        <f t="shared" ca="1" si="0"/>
        <v>0</v>
      </c>
      <c r="R255" s="67"/>
      <c r="S255" s="67"/>
      <c r="T255" s="67"/>
      <c r="U255" s="67"/>
      <c r="V255" s="67"/>
      <c r="W255" s="67"/>
      <c r="X255" s="67"/>
      <c r="Y255" s="67"/>
      <c r="Z255" s="67"/>
      <c r="AA255" s="67"/>
      <c r="AB255" s="67"/>
      <c r="AC255" s="67"/>
      <c r="AD255" s="67"/>
      <c r="AE255" s="67"/>
      <c r="AF255" s="67"/>
      <c r="AG255" s="67"/>
      <c r="AH255" s="67"/>
      <c r="AI255" s="67"/>
      <c r="AJ255" s="67"/>
      <c r="AK255" s="67"/>
      <c r="AL255" s="67"/>
      <c r="AM255" s="67"/>
    </row>
    <row r="256" spans="1:39" ht="168" hidden="1" x14ac:dyDescent="0.2">
      <c r="A256" s="67"/>
      <c r="B256" s="100"/>
      <c r="C256"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6" s="20" t="str">
        <f ca="1">IFERROR(__xludf.DUMMYFUNCTION("""COMPUTED_VALUE"""),"МинЖКХ")</f>
        <v>МинЖКХ</v>
      </c>
      <c r="E256" s="20" t="str">
        <f ca="1">IFERROR(__xludf.DUMMYFUNCTION("""COMPUTED_VALUE"""),"Строительство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р"&amp;"аботы, выполненные в предшествующие годы: 2015 г. – 14258,99 тыс. руб.), в том числе: корректировка проекта")</f>
        <v>Строительство магистрального коллектора системы ливневой канализации с выпуском в реку Пахра на территории Подольского муниципального района  (в том числе погашение кредиторской задолженности органов местного самоуправления муниципального образования за работы, выполненные в предшествующие годы: 2015 г. – 14258,99 тыс. руб.), в том числе: корректировка проекта</v>
      </c>
      <c r="F256" s="67" t="str">
        <f ca="1">IFERROR(__xludf.DUMMYFUNCTION("""COMPUTED_VALUE"""),"2021-2022")</f>
        <v>2021-2022</v>
      </c>
      <c r="G256" s="67" t="str">
        <f ca="1">IFERROR(__xludf.DUMMYFUNCTION("""COMPUTED_VALUE"""),"г.о. Подольск")</f>
        <v>г.о. Подольск</v>
      </c>
      <c r="H256" s="67" t="str">
        <f ca="1">IFERROR(__xludf.DUMMYFUNCTION("""COMPUTED_VALUE"""),"КНК")</f>
        <v>КНК</v>
      </c>
      <c r="I256" s="67"/>
      <c r="J256" s="67"/>
      <c r="K256" s="97">
        <f ca="1">IFERROR(__xludf.DUMMYFUNCTION("""COMPUTED_VALUE"""),65000)</f>
        <v>65000</v>
      </c>
      <c r="L256" s="97">
        <f ca="1">IFERROR(__xludf.DUMMYFUNCTION("""COMPUTED_VALUE"""),0)</f>
        <v>0</v>
      </c>
      <c r="M256" s="97">
        <f ca="1">IFERROR(__xludf.DUMMYFUNCTION("""COMPUTED_VALUE"""),0)</f>
        <v>0</v>
      </c>
      <c r="N256" s="67"/>
      <c r="O256" s="67"/>
      <c r="P256" s="67" t="str">
        <f ca="1">IFERROR(__xludf.DUMMYFUNCTION("""COMPUTED_VALUE"""),"СМР")</f>
        <v>СМР</v>
      </c>
      <c r="Q256" s="67">
        <f t="shared" ca="1" si="0"/>
        <v>0</v>
      </c>
      <c r="R256" s="67"/>
      <c r="S256" s="67"/>
      <c r="T256" s="67"/>
      <c r="U256" s="67"/>
      <c r="V256" s="67"/>
      <c r="W256" s="67"/>
      <c r="X256" s="67"/>
      <c r="Y256" s="67"/>
      <c r="Z256" s="67"/>
      <c r="AA256" s="67"/>
      <c r="AB256" s="67"/>
      <c r="AC256" s="67"/>
      <c r="AD256" s="67"/>
      <c r="AE256" s="67"/>
      <c r="AF256" s="67"/>
      <c r="AG256" s="67"/>
      <c r="AH256" s="67"/>
      <c r="AI256" s="67"/>
      <c r="AJ256" s="67"/>
      <c r="AK256" s="67"/>
      <c r="AL256" s="67"/>
      <c r="AM256" s="67"/>
    </row>
    <row r="257" spans="1:39" ht="96" x14ac:dyDescent="0.2">
      <c r="A257" s="67"/>
      <c r="B257" s="96"/>
      <c r="C257"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7" s="20" t="str">
        <f ca="1">IFERROR(__xludf.DUMMYFUNCTION("""COMPUTED_VALUE"""),"МинЖКХ")</f>
        <v>МинЖКХ</v>
      </c>
      <c r="E257" s="20" t="str">
        <f ca="1">IFERROR(__xludf.DUMMYFUNCTION("""COMPUTED_VALUE"""),"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f>
        <v xml:space="preserve">
Строительство напорного коллектора от КНС в с. Успенское до ввода в очистные сооружения в п. Горки 10 с реконструкцией КНС в с. Успенское Одинцовского городского округа </v>
      </c>
      <c r="F257" s="67">
        <f ca="1">IFERROR(__xludf.DUMMYFUNCTION("""COMPUTED_VALUE"""),2021)</f>
        <v>2021</v>
      </c>
      <c r="G257" s="67" t="str">
        <f ca="1">IFERROR(__xludf.DUMMYFUNCTION("""COMPUTED_VALUE"""),"г.о. Одинцово")</f>
        <v>г.о. Одинцово</v>
      </c>
      <c r="H257" s="67" t="str">
        <f ca="1">IFERROR(__xludf.DUMMYFUNCTION("""COMPUTED_VALUE"""),"КНК")</f>
        <v>КНК</v>
      </c>
      <c r="I257" s="97">
        <f ca="1">IFERROR(__xludf.DUMMYFUNCTION("""COMPUTED_VALUE"""),0)</f>
        <v>0</v>
      </c>
      <c r="J257" s="67"/>
      <c r="K257" s="97">
        <f ca="1">IFERROR(__xludf.DUMMYFUNCTION("""COMPUTED_VALUE"""),153235)</f>
        <v>153235</v>
      </c>
      <c r="L257" s="97">
        <f ca="1">IFERROR(__xludf.DUMMYFUNCTION("""COMPUTED_VALUE"""),0)</f>
        <v>0</v>
      </c>
      <c r="M257" s="97">
        <f ca="1">IFERROR(__xludf.DUMMYFUNCTION("""COMPUTED_VALUE"""),0)</f>
        <v>0</v>
      </c>
      <c r="N257" s="67"/>
      <c r="O257" s="67"/>
      <c r="P257" s="67" t="str">
        <f ca="1">IFERROR(__xludf.DUMMYFUNCTION("""COMPUTED_VALUE"""),"СМР")</f>
        <v>СМР</v>
      </c>
      <c r="Q257" s="67">
        <f t="shared" ca="1" si="0"/>
        <v>0</v>
      </c>
      <c r="R257" s="67"/>
      <c r="S257" s="67"/>
      <c r="T257" s="67"/>
      <c r="U257" s="67"/>
      <c r="V257" s="67"/>
      <c r="W257" s="67"/>
      <c r="X257" s="67"/>
      <c r="Y257" s="67"/>
      <c r="Z257" s="67"/>
      <c r="AA257" s="67"/>
      <c r="AB257" s="67"/>
      <c r="AC257" s="67"/>
      <c r="AD257" s="67"/>
      <c r="AE257" s="67"/>
      <c r="AF257" s="67"/>
      <c r="AG257" s="67"/>
      <c r="AH257" s="67"/>
      <c r="AI257" s="67"/>
      <c r="AJ257" s="67"/>
      <c r="AK257" s="67"/>
      <c r="AL257" s="67"/>
      <c r="AM257" s="67"/>
    </row>
    <row r="258" spans="1:39" ht="84" hidden="1" x14ac:dyDescent="0.2">
      <c r="A258" s="67"/>
      <c r="B258" s="100"/>
      <c r="C258"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8" s="20" t="str">
        <f ca="1">IFERROR(__xludf.DUMMYFUNCTION("""COMPUTED_VALUE"""),"МинЖКХ")</f>
        <v>МинЖКХ</v>
      </c>
      <c r="E258" s="20" t="str">
        <f ca="1">IFERROR(__xludf.DUMMYFUNCTION("""COMPUTED_VALUE"""),"Реконструкция канализационного коллектора с Д-400 на Д-800 мм, г.п. Солнечногорск (в том числе ПИР)")</f>
        <v>Реконструкция канализационного коллектора с Д-400 на Д-800 мм, г.п. Солнечногорск (в том числе ПИР)</v>
      </c>
      <c r="F258" s="67">
        <f ca="1">IFERROR(__xludf.DUMMYFUNCTION("""COMPUTED_VALUE"""),2022)</f>
        <v>2022</v>
      </c>
      <c r="G258" s="67" t="str">
        <f ca="1">IFERROR(__xludf.DUMMYFUNCTION("""COMPUTED_VALUE"""),"г.о. Солнечногорск")</f>
        <v>г.о. Солнечногорск</v>
      </c>
      <c r="H258" s="67" t="str">
        <f ca="1">IFERROR(__xludf.DUMMYFUNCTION("""COMPUTED_VALUE"""),"КНК")</f>
        <v>КНК</v>
      </c>
      <c r="I258" s="67"/>
      <c r="J258" s="67"/>
      <c r="K258" s="97">
        <f ca="1">IFERROR(__xludf.DUMMYFUNCTION("""COMPUTED_VALUE"""),8100)</f>
        <v>8100</v>
      </c>
      <c r="L258" s="97">
        <f ca="1">IFERROR(__xludf.DUMMYFUNCTION("""COMPUTED_VALUE"""),0)</f>
        <v>0</v>
      </c>
      <c r="M258" s="97">
        <f ca="1">IFERROR(__xludf.DUMMYFUNCTION("""COMPUTED_VALUE"""),0)</f>
        <v>0</v>
      </c>
      <c r="N258" s="67"/>
      <c r="O258" s="67"/>
      <c r="P258" s="67" t="str">
        <f ca="1">IFERROR(__xludf.DUMMYFUNCTION("""COMPUTED_VALUE"""),"СМР")</f>
        <v>СМР</v>
      </c>
      <c r="Q258" s="67">
        <f t="shared" ca="1" si="0"/>
        <v>0</v>
      </c>
      <c r="R258" s="67"/>
      <c r="S258" s="67"/>
      <c r="T258" s="67"/>
      <c r="U258" s="67"/>
      <c r="V258" s="67"/>
      <c r="W258" s="67"/>
      <c r="X258" s="67"/>
      <c r="Y258" s="67"/>
      <c r="Z258" s="67"/>
      <c r="AA258" s="67"/>
      <c r="AB258" s="67"/>
      <c r="AC258" s="67"/>
      <c r="AD258" s="67"/>
      <c r="AE258" s="67"/>
      <c r="AF258" s="67"/>
      <c r="AG258" s="67"/>
      <c r="AH258" s="67"/>
      <c r="AI258" s="67"/>
      <c r="AJ258" s="67"/>
      <c r="AK258" s="67"/>
      <c r="AL258" s="67"/>
      <c r="AM258" s="67"/>
    </row>
    <row r="259" spans="1:39" ht="108" x14ac:dyDescent="0.2">
      <c r="A259" s="67"/>
      <c r="B259" s="96"/>
      <c r="C259"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9" s="20" t="str">
        <f ca="1">IFERROR(__xludf.DUMMYFUNCTION("""COMPUTED_VALUE"""),"МинЖКХ")</f>
        <v>МинЖКХ</v>
      </c>
      <c r="E259" s="20" t="str">
        <f ca="1">IFERROR(__xludf.DUMMYFUNCTION("""COMPUTED_VALUE"""),"Реконструкция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f>
        <v>Реконструкция  городского канализационного коллектора от улицы Ильинской до КНС №1 на ул. Митькина г. Сергиев Посад, от ул. Кооперативная вдоль пр-та Красной Армии до ул. Сергиевская, от КНС № 1 до ул. Клубная (1 этап) (в том числе ПИР)</v>
      </c>
      <c r="F259" s="67" t="str">
        <f ca="1">IFERROR(__xludf.DUMMYFUNCTION("""COMPUTED_VALUE"""),"2020-2021")</f>
        <v>2020-2021</v>
      </c>
      <c r="G259" s="67" t="str">
        <f ca="1">IFERROR(__xludf.DUMMYFUNCTION("""COMPUTED_VALUE"""),"г.о. Сергиев Посад")</f>
        <v>г.о. Сергиев Посад</v>
      </c>
      <c r="H259" s="67" t="str">
        <f ca="1">IFERROR(__xludf.DUMMYFUNCTION("""COMPUTED_VALUE"""),"КНК")</f>
        <v>КНК</v>
      </c>
      <c r="I259" s="67"/>
      <c r="J259" s="97">
        <f ca="1">IFERROR(__xludf.DUMMYFUNCTION("""COMPUTED_VALUE"""),77388.97)</f>
        <v>77388.97</v>
      </c>
      <c r="K259" s="97">
        <f ca="1">IFERROR(__xludf.DUMMYFUNCTION("""COMPUTED_VALUE"""),2042.79)</f>
        <v>2042.79</v>
      </c>
      <c r="L259" s="97">
        <f ca="1">IFERROR(__xludf.DUMMYFUNCTION("""COMPUTED_VALUE"""),0)</f>
        <v>0</v>
      </c>
      <c r="M259" s="97">
        <f ca="1">IFERROR(__xludf.DUMMYFUNCTION("""COMPUTED_VALUE"""),0)</f>
        <v>0</v>
      </c>
      <c r="N259" s="67"/>
      <c r="O259" s="67"/>
      <c r="P259" s="67" t="str">
        <f ca="1">IFERROR(__xludf.DUMMYFUNCTION("""COMPUTED_VALUE"""),"СМР")</f>
        <v>СМР</v>
      </c>
      <c r="Q259" s="67">
        <f t="shared" ca="1" si="0"/>
        <v>0</v>
      </c>
      <c r="R259" s="67"/>
      <c r="S259" s="67"/>
      <c r="T259" s="67"/>
      <c r="U259" s="67"/>
      <c r="V259" s="67"/>
      <c r="W259" s="67"/>
      <c r="X259" s="67"/>
      <c r="Y259" s="67"/>
      <c r="Z259" s="67"/>
      <c r="AA259" s="67"/>
      <c r="AB259" s="67"/>
      <c r="AC259" s="67"/>
      <c r="AD259" s="67"/>
      <c r="AE259" s="67"/>
      <c r="AF259" s="67"/>
      <c r="AG259" s="67"/>
      <c r="AH259" s="67"/>
      <c r="AI259" s="67"/>
      <c r="AJ259" s="67"/>
      <c r="AK259" s="67"/>
      <c r="AL259" s="67"/>
      <c r="AM259" s="67"/>
    </row>
    <row r="260" spans="1:39" ht="108" hidden="1" x14ac:dyDescent="0.2">
      <c r="A260" s="67"/>
      <c r="B260" s="96"/>
      <c r="C260" s="20"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60" s="20" t="str">
        <f ca="1">IFERROR(__xludf.DUMMYFUNCTION("""COMPUTED_VALUE"""),"МинЖКХ")</f>
        <v>МинЖКХ</v>
      </c>
      <c r="E260" s="20" t="str">
        <f ca="1">IFERROR(__xludf.DUMMYFUNCTION("""COMPUTED_VALUE"""),"Строительство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f>
        <v>Строительство инженерных сетей и КНС в мкр. Завидное производительностью 3000 м3/сут. По адресу: Московская область, Ленинский муниципальный район, городское поселение Горки Ленинские, восточнее д. Ермолино</v>
      </c>
      <c r="F260" s="67" t="str">
        <f ca="1">IFERROR(__xludf.DUMMYFUNCTION("""COMPUTED_VALUE"""),"2022-2023")</f>
        <v>2022-2023</v>
      </c>
      <c r="G260" s="67" t="str">
        <f ca="1">IFERROR(__xludf.DUMMYFUNCTION("""COMPUTED_VALUE"""),"г.о. Ленинский")</f>
        <v>г.о. Ленинский</v>
      </c>
      <c r="H260" s="67" t="str">
        <f ca="1">IFERROR(__xludf.DUMMYFUNCTION("""COMPUTED_VALUE"""),"Сети")</f>
        <v>Сети</v>
      </c>
      <c r="I260" s="67"/>
      <c r="J260" s="67"/>
      <c r="K260" s="97">
        <f ca="1">IFERROR(__xludf.DUMMYFUNCTION("""COMPUTED_VALUE"""),23889.44)</f>
        <v>23889.439999999999</v>
      </c>
      <c r="L260" s="97">
        <f ca="1">IFERROR(__xludf.DUMMYFUNCTION("""COMPUTED_VALUE"""),0)</f>
        <v>0</v>
      </c>
      <c r="M260" s="97">
        <f ca="1">IFERROR(__xludf.DUMMYFUNCTION("""COMPUTED_VALUE"""),0)</f>
        <v>0</v>
      </c>
      <c r="N260" s="67"/>
      <c r="O260" s="67"/>
      <c r="P260" s="67" t="str">
        <f ca="1">IFERROR(__xludf.DUMMYFUNCTION("""COMPUTED_VALUE"""),"СМР")</f>
        <v>СМР</v>
      </c>
      <c r="Q260" s="67">
        <f t="shared" ca="1" si="0"/>
        <v>0</v>
      </c>
      <c r="R260" s="67"/>
      <c r="S260" s="67"/>
      <c r="T260" s="67"/>
      <c r="U260" s="67"/>
      <c r="V260" s="67"/>
      <c r="W260" s="67"/>
      <c r="X260" s="67"/>
      <c r="Y260" s="67"/>
      <c r="Z260" s="67"/>
      <c r="AA260" s="67"/>
      <c r="AB260" s="67"/>
      <c r="AC260" s="67"/>
      <c r="AD260" s="67"/>
      <c r="AE260" s="67"/>
      <c r="AF260" s="67"/>
      <c r="AG260" s="67"/>
      <c r="AH260" s="67"/>
      <c r="AI260" s="67"/>
      <c r="AJ260" s="67"/>
      <c r="AK260" s="67"/>
      <c r="AL260" s="67"/>
      <c r="AM260" s="67"/>
    </row>
    <row r="261" spans="1:39" ht="84" hidden="1" x14ac:dyDescent="0.2">
      <c r="A261" s="67"/>
      <c r="B261" s="96"/>
      <c r="C26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1" s="20" t="str">
        <f ca="1">IFERROR(__xludf.DUMMYFUNCTION("""COMPUTED_VALUE"""),"МинЖКХ")</f>
        <v>МинЖКХ</v>
      </c>
      <c r="E261" s="20" t="str">
        <f ca="1">IFERROR(__xludf.DUMMYFUNCTION("""COMPUTED_VALUE"""),"Капитальный ремонт КНС в с. Непецино, Коломенский г.о. (в т.ч. ПИР) ")</f>
        <v xml:space="preserve">Капитальный ремонт КНС в с. Непецино, Коломенский г.о. (в т.ч. ПИР) </v>
      </c>
      <c r="F261" s="67">
        <f ca="1">IFERROR(__xludf.DUMMYFUNCTION("""COMPUTED_VALUE"""),2022)</f>
        <v>2022</v>
      </c>
      <c r="G261" s="67" t="str">
        <f ca="1">IFERROR(__xludf.DUMMYFUNCTION("""COMPUTED_VALUE"""),"г.о. Коломенский")</f>
        <v>г.о. Коломенский</v>
      </c>
      <c r="H261" s="67" t="str">
        <f ca="1">IFERROR(__xludf.DUMMYFUNCTION("""COMPUTED_VALUE"""),"КНС")</f>
        <v>КНС</v>
      </c>
      <c r="I261" s="67"/>
      <c r="J261" s="67"/>
      <c r="K261" s="97">
        <f ca="1">IFERROR(__xludf.DUMMYFUNCTION("""COMPUTED_VALUE"""),223.53)</f>
        <v>223.53</v>
      </c>
      <c r="L261" s="97">
        <f ca="1">IFERROR(__xludf.DUMMYFUNCTION("""COMPUTED_VALUE"""),0)</f>
        <v>0</v>
      </c>
      <c r="M261" s="97">
        <f ca="1">IFERROR(__xludf.DUMMYFUNCTION("""COMPUTED_VALUE"""),0)</f>
        <v>0</v>
      </c>
      <c r="N261" s="67"/>
      <c r="O261" s="67"/>
      <c r="P261" s="67" t="str">
        <f ca="1">IFERROR(__xludf.DUMMYFUNCTION("""COMPUTED_VALUE"""),"СМР")</f>
        <v>СМР</v>
      </c>
      <c r="Q261" s="67">
        <f t="shared" ca="1" si="0"/>
        <v>0</v>
      </c>
      <c r="R261" s="67"/>
      <c r="S261" s="67"/>
      <c r="T261" s="67"/>
      <c r="U261" s="67"/>
      <c r="V261" s="67"/>
      <c r="W261" s="67"/>
      <c r="X261" s="67"/>
      <c r="Y261" s="67"/>
      <c r="Z261" s="67"/>
      <c r="AA261" s="67"/>
      <c r="AB261" s="67"/>
      <c r="AC261" s="67"/>
      <c r="AD261" s="67"/>
      <c r="AE261" s="67"/>
      <c r="AF261" s="67"/>
      <c r="AG261" s="67"/>
      <c r="AH261" s="67"/>
      <c r="AI261" s="67"/>
      <c r="AJ261" s="67"/>
      <c r="AK261" s="67"/>
      <c r="AL261" s="67"/>
      <c r="AM261" s="67"/>
    </row>
    <row r="262" spans="1:39" ht="84" hidden="1" x14ac:dyDescent="0.2">
      <c r="A262" s="67"/>
      <c r="B262" s="100"/>
      <c r="C26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2" s="20" t="str">
        <f ca="1">IFERROR(__xludf.DUMMYFUNCTION("""COMPUTED_VALUE"""),"МинЖКХ")</f>
        <v>МинЖКХ</v>
      </c>
      <c r="E262" s="20" t="str">
        <f ca="1">IFERROR(__xludf.DUMMYFUNCTION("""COMPUTED_VALUE"""),"Капитальный ремонт КНС в с. Непецино ул. Тимохина, Коломенский г.о. (в том числе ПИР) ")</f>
        <v xml:space="preserve">Капитальный ремонт КНС в с. Непецино ул. Тимохина, Коломенский г.о. (в том числе ПИР) </v>
      </c>
      <c r="F262" s="67">
        <f ca="1">IFERROR(__xludf.DUMMYFUNCTION("""COMPUTED_VALUE"""),2022)</f>
        <v>2022</v>
      </c>
      <c r="G262" s="67" t="str">
        <f ca="1">IFERROR(__xludf.DUMMYFUNCTION("""COMPUTED_VALUE"""),"г.о. Коломенский")</f>
        <v>г.о. Коломенский</v>
      </c>
      <c r="H262" s="67" t="str">
        <f ca="1">IFERROR(__xludf.DUMMYFUNCTION("""COMPUTED_VALUE"""),"КНС")</f>
        <v>КНС</v>
      </c>
      <c r="I262" s="67"/>
      <c r="J262" s="67"/>
      <c r="K262" s="97">
        <f ca="1">IFERROR(__xludf.DUMMYFUNCTION("""COMPUTED_VALUE"""),425.05)</f>
        <v>425.05</v>
      </c>
      <c r="L262" s="97">
        <f ca="1">IFERROR(__xludf.DUMMYFUNCTION("""COMPUTED_VALUE"""),0)</f>
        <v>0</v>
      </c>
      <c r="M262" s="97">
        <f ca="1">IFERROR(__xludf.DUMMYFUNCTION("""COMPUTED_VALUE"""),0)</f>
        <v>0</v>
      </c>
      <c r="N262" s="67"/>
      <c r="O262" s="67"/>
      <c r="P262" s="67" t="str">
        <f ca="1">IFERROR(__xludf.DUMMYFUNCTION("""COMPUTED_VALUE"""),"СМР")</f>
        <v>СМР</v>
      </c>
      <c r="Q262" s="67">
        <f t="shared" ca="1" si="0"/>
        <v>0</v>
      </c>
      <c r="R262" s="67"/>
      <c r="S262" s="67"/>
      <c r="T262" s="67"/>
      <c r="U262" s="67"/>
      <c r="V262" s="67"/>
      <c r="W262" s="67"/>
      <c r="X262" s="67"/>
      <c r="Y262" s="67"/>
      <c r="Z262" s="67"/>
      <c r="AA262" s="67"/>
      <c r="AB262" s="67"/>
      <c r="AC262" s="67"/>
      <c r="AD262" s="67"/>
      <c r="AE262" s="67"/>
      <c r="AF262" s="67"/>
      <c r="AG262" s="67"/>
      <c r="AH262" s="67"/>
      <c r="AI262" s="67"/>
      <c r="AJ262" s="67"/>
      <c r="AK262" s="67"/>
      <c r="AL262" s="67"/>
      <c r="AM262" s="67"/>
    </row>
    <row r="263" spans="1:39" ht="84" x14ac:dyDescent="0.2">
      <c r="A263" s="67"/>
      <c r="B263" s="100"/>
      <c r="C263"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3" s="20" t="str">
        <f ca="1">IFERROR(__xludf.DUMMYFUNCTION("""COMPUTED_VALUE"""),"МинЖКХ")</f>
        <v>МинЖКХ</v>
      </c>
      <c r="E263" s="20" t="str">
        <f ca="1">IFERROR(__xludf.DUMMYFUNCTION("""COMPUTED_VALUE"""),"Капитальный ремонт самотечного каналиационного коллектора Д=500мм в п. Оболенск, Серпуховский м.р.")</f>
        <v>Капитальный ремонт самотечного каналиационного коллектора Д=500мм в п. Оболенск, Серпуховский м.р.</v>
      </c>
      <c r="F263" s="67">
        <f ca="1">IFERROR(__xludf.DUMMYFUNCTION("""COMPUTED_VALUE"""),2020)</f>
        <v>2020</v>
      </c>
      <c r="G263" s="67" t="str">
        <f ca="1">IFERROR(__xludf.DUMMYFUNCTION("""COMPUTED_VALUE"""),"г.о. Серпухов")</f>
        <v>г.о. Серпухов</v>
      </c>
      <c r="H263" s="67" t="str">
        <f ca="1">IFERROR(__xludf.DUMMYFUNCTION("""COMPUTED_VALUE"""),"КНК")</f>
        <v>КНК</v>
      </c>
      <c r="I263" s="97">
        <f ca="1">IFERROR(__xludf.DUMMYFUNCTION("""COMPUTED_VALUE"""),1405.76)</f>
        <v>1405.76</v>
      </c>
      <c r="J263" s="67"/>
      <c r="K263" s="97">
        <f ca="1">IFERROR(__xludf.DUMMYFUNCTION("""COMPUTED_VALUE"""),301.49)</f>
        <v>301.49</v>
      </c>
      <c r="L263" s="97">
        <f ca="1">IFERROR(__xludf.DUMMYFUNCTION("""COMPUTED_VALUE"""),0)</f>
        <v>0</v>
      </c>
      <c r="M263" s="97">
        <f ca="1">IFERROR(__xludf.DUMMYFUNCTION("""COMPUTED_VALUE"""),0)</f>
        <v>0</v>
      </c>
      <c r="N263" s="67"/>
      <c r="O263" s="67"/>
      <c r="P263" s="67" t="str">
        <f ca="1">IFERROR(__xludf.DUMMYFUNCTION("""COMPUTED_VALUE"""),"СМР")</f>
        <v>СМР</v>
      </c>
      <c r="Q263" s="67">
        <f t="shared" ca="1" si="0"/>
        <v>0</v>
      </c>
      <c r="R263" s="67"/>
      <c r="S263" s="67"/>
      <c r="T263" s="67"/>
      <c r="U263" s="67"/>
      <c r="V263" s="67"/>
      <c r="W263" s="67"/>
      <c r="X263" s="67"/>
      <c r="Y263" s="67"/>
      <c r="Z263" s="67"/>
      <c r="AA263" s="67"/>
      <c r="AB263" s="67"/>
      <c r="AC263" s="67"/>
      <c r="AD263" s="67"/>
      <c r="AE263" s="67"/>
      <c r="AF263" s="67"/>
      <c r="AG263" s="67"/>
      <c r="AH263" s="67"/>
      <c r="AI263" s="67"/>
      <c r="AJ263" s="67"/>
      <c r="AK263" s="67"/>
      <c r="AL263" s="67"/>
      <c r="AM263" s="67"/>
    </row>
    <row r="264" spans="1:39" ht="84" x14ac:dyDescent="0.2">
      <c r="A264" s="67"/>
      <c r="B264" s="100"/>
      <c r="C264"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4" s="20" t="str">
        <f ca="1">IFERROR(__xludf.DUMMYFUNCTION("""COMPUTED_VALUE"""),"МинЖКХ")</f>
        <v>МинЖКХ</v>
      </c>
      <c r="E264" s="20" t="str">
        <f ca="1">IFERROR(__xludf.DUMMYFUNCTION("""COMPUTED_VALUE"""),"Капитальный ремонт коллектора 2Д=1200мм (две нитки), проходящего в железобетонном дюкере по дну реки Клязьма и в прилегающей береговой зоне,  Щелковский м.р. ")</f>
        <v xml:space="preserve">Капитальный ремонт коллектора 2Д=1200мм (две нитки), проходящего в железобетонном дюкере по дну реки Клязьма и в прилегающей береговой зоне,  Щелковский м.р. </v>
      </c>
      <c r="F264" s="67" t="str">
        <f ca="1">IFERROR(__xludf.DUMMYFUNCTION("""COMPUTED_VALUE"""),"2020-2021")</f>
        <v>2020-2021</v>
      </c>
      <c r="G264" s="67" t="str">
        <f ca="1">IFERROR(__xludf.DUMMYFUNCTION("""COMPUTED_VALUE"""),"г.о. Щелково")</f>
        <v>г.о. Щелково</v>
      </c>
      <c r="H264" s="67" t="str">
        <f ca="1">IFERROR(__xludf.DUMMYFUNCTION("""COMPUTED_VALUE"""),"КНК")</f>
        <v>КНК</v>
      </c>
      <c r="I264" s="97">
        <f ca="1">IFERROR(__xludf.DUMMYFUNCTION("""COMPUTED_VALUE"""),85380.84)</f>
        <v>85380.84</v>
      </c>
      <c r="J264" s="97">
        <f ca="1">IFERROR(__xludf.DUMMYFUNCTION("""COMPUTED_VALUE"""),80892.16)</f>
        <v>80892.160000000003</v>
      </c>
      <c r="K264" s="97">
        <f ca="1">IFERROR(__xludf.DUMMYFUNCTION("""COMPUTED_VALUE"""),9602.92)</f>
        <v>9602.92</v>
      </c>
      <c r="L264" s="97">
        <f ca="1">IFERROR(__xludf.DUMMYFUNCTION("""COMPUTED_VALUE"""),0)</f>
        <v>0</v>
      </c>
      <c r="M264" s="97">
        <f ca="1">IFERROR(__xludf.DUMMYFUNCTION("""COMPUTED_VALUE"""),0)</f>
        <v>0</v>
      </c>
      <c r="N264" s="67"/>
      <c r="O264" s="67"/>
      <c r="P264" s="67" t="str">
        <f ca="1">IFERROR(__xludf.DUMMYFUNCTION("""COMPUTED_VALUE"""),"СМР")</f>
        <v>СМР</v>
      </c>
      <c r="Q264" s="67">
        <f t="shared" ca="1" si="0"/>
        <v>0</v>
      </c>
      <c r="R264" s="67"/>
      <c r="S264" s="67"/>
      <c r="T264" s="67"/>
      <c r="U264" s="67"/>
      <c r="V264" s="67"/>
      <c r="W264" s="67"/>
      <c r="X264" s="67"/>
      <c r="Y264" s="67"/>
      <c r="Z264" s="67"/>
      <c r="AA264" s="67"/>
      <c r="AB264" s="67"/>
      <c r="AC264" s="67"/>
      <c r="AD264" s="67"/>
      <c r="AE264" s="67"/>
      <c r="AF264" s="67"/>
      <c r="AG264" s="67"/>
      <c r="AH264" s="67"/>
      <c r="AI264" s="67"/>
      <c r="AJ264" s="67"/>
      <c r="AK264" s="67"/>
      <c r="AL264" s="67"/>
      <c r="AM264" s="67"/>
    </row>
    <row r="265" spans="1:39" ht="84" x14ac:dyDescent="0.2">
      <c r="A265" s="67"/>
      <c r="B265" s="100"/>
      <c r="C265"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5" s="20" t="str">
        <f ca="1">IFERROR(__xludf.DUMMYFUNCTION("""COMPUTED_VALUE"""),"МинЖКХ")</f>
        <v>МинЖКХ</v>
      </c>
      <c r="E265" s="20" t="str">
        <f ca="1">IFERROR(__xludf.DUMMYFUNCTION("""COMPUTED_VALUE"""),"Капитальный ремонт Фенинской районной канализационной насосной станции, г.о. Балашиха ")</f>
        <v xml:space="preserve">Капитальный ремонт Фенинской районной канализационной насосной станции, г.о. Балашиха </v>
      </c>
      <c r="F265" s="67">
        <f ca="1">IFERROR(__xludf.DUMMYFUNCTION("""COMPUTED_VALUE"""),2020)</f>
        <v>2020</v>
      </c>
      <c r="G265" s="67" t="str">
        <f ca="1">IFERROR(__xludf.DUMMYFUNCTION("""COMPUTED_VALUE"""),"г.о. Балашиха")</f>
        <v>г.о. Балашиха</v>
      </c>
      <c r="H265" s="67" t="str">
        <f ca="1">IFERROR(__xludf.DUMMYFUNCTION("""COMPUTED_VALUE"""),"КНС")</f>
        <v>КНС</v>
      </c>
      <c r="I265" s="97">
        <f ca="1">IFERROR(__xludf.DUMMYFUNCTION("""COMPUTED_VALUE"""),36409.39)</f>
        <v>36409.39</v>
      </c>
      <c r="J265" s="67"/>
      <c r="K265" s="97">
        <f ca="1">IFERROR(__xludf.DUMMYFUNCTION("""COMPUTED_VALUE"""),30461.33)</f>
        <v>30461.33</v>
      </c>
      <c r="L265" s="97">
        <f ca="1">IFERROR(__xludf.DUMMYFUNCTION("""COMPUTED_VALUE"""),0)</f>
        <v>0</v>
      </c>
      <c r="M265" s="97">
        <f ca="1">IFERROR(__xludf.DUMMYFUNCTION("""COMPUTED_VALUE"""),0)</f>
        <v>0</v>
      </c>
      <c r="N265" s="67"/>
      <c r="O265" s="67"/>
      <c r="P265" s="67" t="str">
        <f ca="1">IFERROR(__xludf.DUMMYFUNCTION("""COMPUTED_VALUE"""),"СМР")</f>
        <v>СМР</v>
      </c>
      <c r="Q265" s="67">
        <f t="shared" ca="1" si="0"/>
        <v>0</v>
      </c>
      <c r="R265" s="67"/>
      <c r="S265" s="67"/>
      <c r="T265" s="67"/>
      <c r="U265" s="67"/>
      <c r="V265" s="67"/>
      <c r="W265" s="67"/>
      <c r="X265" s="67"/>
      <c r="Y265" s="67"/>
      <c r="Z265" s="67"/>
      <c r="AA265" s="67"/>
      <c r="AB265" s="67"/>
      <c r="AC265" s="67"/>
      <c r="AD265" s="67"/>
      <c r="AE265" s="67"/>
      <c r="AF265" s="67"/>
      <c r="AG265" s="67"/>
      <c r="AH265" s="67"/>
      <c r="AI265" s="67"/>
      <c r="AJ265" s="67"/>
      <c r="AK265" s="67"/>
      <c r="AL265" s="67"/>
      <c r="AM265" s="67"/>
    </row>
    <row r="266" spans="1:39" ht="84" x14ac:dyDescent="0.2">
      <c r="A266" s="67"/>
      <c r="B266" s="96"/>
      <c r="C266"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6" s="20" t="str">
        <f ca="1">IFERROR(__xludf.DUMMYFUNCTION("""COMPUTED_VALUE"""),"МинЖКХ")</f>
        <v>МинЖКХ</v>
      </c>
      <c r="E266" s="20" t="str">
        <f ca="1">IFERROR(__xludf.DUMMYFUNCTION("""COMPUTED_VALUE"""),"Капитальный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f>
        <v>Капитальный ремонт межрайонного самотечного коллектора от г. Королев (пл. Валентиновская) до г. Щелково (КНС "Соколовская") Д1500 мм, Щелковский муниципальный район (2 этап)</v>
      </c>
      <c r="F266" s="67">
        <f ca="1">IFERROR(__xludf.DUMMYFUNCTION("""COMPUTED_VALUE"""),2020)</f>
        <v>2020</v>
      </c>
      <c r="G266" s="67" t="str">
        <f ca="1">IFERROR(__xludf.DUMMYFUNCTION("""COMPUTED_VALUE"""),"г.о. Щелково")</f>
        <v>г.о. Щелково</v>
      </c>
      <c r="H266" s="67" t="str">
        <f ca="1">IFERROR(__xludf.DUMMYFUNCTION("""COMPUTED_VALUE"""),"КНК")</f>
        <v>КНК</v>
      </c>
      <c r="I266" s="97">
        <f ca="1">IFERROR(__xludf.DUMMYFUNCTION("""COMPUTED_VALUE"""),79752.27)</f>
        <v>79752.27</v>
      </c>
      <c r="J266" s="67"/>
      <c r="K266" s="97">
        <f ca="1">IFERROR(__xludf.DUMMYFUNCTION("""COMPUTED_VALUE"""),8935.6)</f>
        <v>8935.6</v>
      </c>
      <c r="L266" s="97">
        <f ca="1">IFERROR(__xludf.DUMMYFUNCTION("""COMPUTED_VALUE"""),0)</f>
        <v>0</v>
      </c>
      <c r="M266" s="97">
        <f ca="1">IFERROR(__xludf.DUMMYFUNCTION("""COMPUTED_VALUE"""),0)</f>
        <v>0</v>
      </c>
      <c r="N266" s="67"/>
      <c r="O266" s="67"/>
      <c r="P266" s="67" t="str">
        <f ca="1">IFERROR(__xludf.DUMMYFUNCTION("""COMPUTED_VALUE"""),"СМР")</f>
        <v>СМР</v>
      </c>
      <c r="Q266" s="67">
        <f t="shared" ca="1" si="0"/>
        <v>0</v>
      </c>
      <c r="R266" s="67"/>
      <c r="S266" s="67"/>
      <c r="T266" s="67"/>
      <c r="U266" s="67"/>
      <c r="V266" s="67"/>
      <c r="W266" s="67"/>
      <c r="X266" s="67"/>
      <c r="Y266" s="67"/>
      <c r="Z266" s="67"/>
      <c r="AA266" s="67"/>
      <c r="AB266" s="67"/>
      <c r="AC266" s="67"/>
      <c r="AD266" s="67"/>
      <c r="AE266" s="67"/>
      <c r="AF266" s="67"/>
      <c r="AG266" s="67"/>
      <c r="AH266" s="67"/>
      <c r="AI266" s="67"/>
      <c r="AJ266" s="67"/>
      <c r="AK266" s="67"/>
      <c r="AL266" s="67"/>
      <c r="AM266" s="67"/>
    </row>
    <row r="267" spans="1:39" ht="84" hidden="1" x14ac:dyDescent="0.2">
      <c r="A267" s="67"/>
      <c r="B267" s="100"/>
      <c r="C267"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7" s="20" t="str">
        <f ca="1">IFERROR(__xludf.DUMMYFUNCTION("""COMPUTED_VALUE"""),"МинЖКХ")</f>
        <v>МинЖКХ</v>
      </c>
      <c r="E267" s="20" t="str">
        <f ca="1">IFERROR(__xludf.DUMMYFUNCTION("""COMPUTED_VALUE"""),"Капитальный ремонт напорного канализационного коллектора от КНС д. Новое до ОАО ""Куровские очистные сооружения"" (в т.ч. ПИР), Орехово-Зуевский г.о.")</f>
        <v>Капитальный ремонт напорного канализационного коллектора от КНС д. Новое до ОАО "Куровские очистные сооружения" (в т.ч. ПИР), Орехово-Зуевский г.о.</v>
      </c>
      <c r="F267" s="67" t="str">
        <f ca="1">IFERROR(__xludf.DUMMYFUNCTION("""COMPUTED_VALUE"""),"2021-2022")</f>
        <v>2021-2022</v>
      </c>
      <c r="G267" s="67" t="str">
        <f ca="1">IFERROR(__xludf.DUMMYFUNCTION("""COMPUTED_VALUE"""),"г.о. Ликино-Дулево")</f>
        <v>г.о. Ликино-Дулево</v>
      </c>
      <c r="H267" s="67" t="str">
        <f ca="1">IFERROR(__xludf.DUMMYFUNCTION("""COMPUTED_VALUE"""),"КНК")</f>
        <v>КНК</v>
      </c>
      <c r="I267" s="97">
        <f ca="1">IFERROR(__xludf.DUMMYFUNCTION("""COMPUTED_VALUE"""),0)</f>
        <v>0</v>
      </c>
      <c r="J267" s="67"/>
      <c r="K267" s="97">
        <f ca="1">IFERROR(__xludf.DUMMYFUNCTION("""COMPUTED_VALUE"""),9692.42)</f>
        <v>9692.42</v>
      </c>
      <c r="L267" s="97">
        <f ca="1">IFERROR(__xludf.DUMMYFUNCTION("""COMPUTED_VALUE"""),0)</f>
        <v>0</v>
      </c>
      <c r="M267" s="97">
        <f ca="1">IFERROR(__xludf.DUMMYFUNCTION("""COMPUTED_VALUE"""),0)</f>
        <v>0</v>
      </c>
      <c r="N267" s="67"/>
      <c r="O267" s="67"/>
      <c r="P267" s="67" t="str">
        <f ca="1">IFERROR(__xludf.DUMMYFUNCTION("""COMPUTED_VALUE"""),"СМР")</f>
        <v>СМР</v>
      </c>
      <c r="Q267" s="67">
        <f t="shared" ca="1" si="0"/>
        <v>0</v>
      </c>
      <c r="R267" s="67"/>
      <c r="S267" s="67"/>
      <c r="T267" s="67"/>
      <c r="U267" s="67"/>
      <c r="V267" s="67"/>
      <c r="W267" s="67"/>
      <c r="X267" s="67"/>
      <c r="Y267" s="67"/>
      <c r="Z267" s="67"/>
      <c r="AA267" s="67"/>
      <c r="AB267" s="67"/>
      <c r="AC267" s="67"/>
      <c r="AD267" s="67"/>
      <c r="AE267" s="67"/>
      <c r="AF267" s="67"/>
      <c r="AG267" s="67"/>
      <c r="AH267" s="67"/>
      <c r="AI267" s="67"/>
      <c r="AJ267" s="67"/>
      <c r="AK267" s="67"/>
      <c r="AL267" s="67"/>
      <c r="AM267" s="67"/>
    </row>
    <row r="268" spans="1:39" ht="168" x14ac:dyDescent="0.2">
      <c r="A268" s="67"/>
      <c r="B268" s="100"/>
      <c r="C268"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8" s="20" t="str">
        <f ca="1">IFERROR(__xludf.DUMMYFUNCTION("""COMPUTED_VALUE"""),"МинЖКХ")</f>
        <v>МинЖКХ</v>
      </c>
      <c r="E268" s="20" t="str">
        <f ca="1">IFERROR(__xludf.DUMMYFUNCTION("""COMPUTED_VALUE"""),"Капитальный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н"&amp;"их средства бюджета Московской области – 5 500,02 тыс.руб., средства бюджета муниципального образования -2 203,09 тыс.руб.)")</f>
        <v>Капитальный ремонт участка канализационного коллектора Железнодорожный г.о. Балашиха (в том числе ПИР) (в том числе ПИР)  в том числе погашение кредиторской задолженности за выполненные  работы но не оплаченные в 2019 году в размере 7 703.11 тыс.руб. из них средства бюджета Московской области – 5 500,02 тыс.руб., средства бюджета муниципального образования -2 203,09 тыс.руб.)</v>
      </c>
      <c r="F268" s="67">
        <f ca="1">IFERROR(__xludf.DUMMYFUNCTION("""COMPUTED_VALUE"""),2020)</f>
        <v>2020</v>
      </c>
      <c r="G268" s="67" t="str">
        <f ca="1">IFERROR(__xludf.DUMMYFUNCTION("""COMPUTED_VALUE"""),"г.о. Балашиха")</f>
        <v>г.о. Балашиха</v>
      </c>
      <c r="H268" s="67" t="str">
        <f ca="1">IFERROR(__xludf.DUMMYFUNCTION("""COMPUTED_VALUE"""),"КНК")</f>
        <v>КНК</v>
      </c>
      <c r="I268" s="97">
        <f ca="1">IFERROR(__xludf.DUMMYFUNCTION("""COMPUTED_VALUE"""),34612.74)</f>
        <v>34612.74</v>
      </c>
      <c r="J268" s="67"/>
      <c r="K268" s="97">
        <f ca="1">IFERROR(__xludf.DUMMYFUNCTION("""COMPUTED_VALUE"""),13796.47)</f>
        <v>13796.47</v>
      </c>
      <c r="L268" s="97">
        <f ca="1">IFERROR(__xludf.DUMMYFUNCTION("""COMPUTED_VALUE"""),0)</f>
        <v>0</v>
      </c>
      <c r="M268" s="97">
        <f ca="1">IFERROR(__xludf.DUMMYFUNCTION("""COMPUTED_VALUE"""),0)</f>
        <v>0</v>
      </c>
      <c r="N268" s="67"/>
      <c r="O268" s="67"/>
      <c r="P268" s="67" t="str">
        <f ca="1">IFERROR(__xludf.DUMMYFUNCTION("""COMPUTED_VALUE"""),"СМР")</f>
        <v>СМР</v>
      </c>
      <c r="Q268" s="67">
        <f t="shared" ca="1" si="0"/>
        <v>0</v>
      </c>
      <c r="R268" s="67"/>
      <c r="S268" s="67"/>
      <c r="T268" s="67"/>
      <c r="U268" s="67"/>
      <c r="V268" s="67"/>
      <c r="W268" s="67"/>
      <c r="X268" s="67"/>
      <c r="Y268" s="67"/>
      <c r="Z268" s="67"/>
      <c r="AA268" s="67"/>
      <c r="AB268" s="67"/>
      <c r="AC268" s="67"/>
      <c r="AD268" s="67"/>
      <c r="AE268" s="67"/>
      <c r="AF268" s="67"/>
      <c r="AG268" s="67"/>
      <c r="AH268" s="67"/>
      <c r="AI268" s="67"/>
      <c r="AJ268" s="67"/>
      <c r="AK268" s="67"/>
      <c r="AL268" s="67"/>
      <c r="AM268" s="67"/>
    </row>
    <row r="269" spans="1:39" ht="144" x14ac:dyDescent="0.2">
      <c r="A269" s="67"/>
      <c r="B269" s="100"/>
      <c r="C269"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9" s="20" t="str">
        <f ca="1">IFERROR(__xludf.DUMMYFUNCTION("""COMPUTED_VALUE"""),"МинЖКХ")</f>
        <v>МинЖКХ</v>
      </c>
      <c r="E269" s="20" t="str">
        <f ca="1">IFERROR(__xludf.DUMMYFUNCTION("""COMPUTED_VALUE"""),"Капитальный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3"&amp;" 962,00 тыс.руб. средства бюджета Московской области)  ")</f>
        <v xml:space="preserve">Капитальный ремонт КНС для нужд многоквартирных жилых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3 962,00 тыс.руб. средства бюджета Московской области)  </v>
      </c>
      <c r="F269" s="67">
        <f ca="1">IFERROR(__xludf.DUMMYFUNCTION("""COMPUTED_VALUE"""),2020)</f>
        <v>2020</v>
      </c>
      <c r="G269" s="67" t="str">
        <f ca="1">IFERROR(__xludf.DUMMYFUNCTION("""COMPUTED_VALUE"""),"г.о. Раменский")</f>
        <v>г.о. Раменский</v>
      </c>
      <c r="H269" s="67" t="str">
        <f ca="1">IFERROR(__xludf.DUMMYFUNCTION("""COMPUTED_VALUE"""),"КНС")</f>
        <v>КНС</v>
      </c>
      <c r="I269" s="97">
        <f ca="1">IFERROR(__xludf.DUMMYFUNCTION("""COMPUTED_VALUE"""),3962)</f>
        <v>3962</v>
      </c>
      <c r="J269" s="67"/>
      <c r="K269" s="97">
        <f ca="1">IFERROR(__xludf.DUMMYFUNCTION("""COMPUTED_VALUE"""),0)</f>
        <v>0</v>
      </c>
      <c r="L269" s="97">
        <f ca="1">IFERROR(__xludf.DUMMYFUNCTION("""COMPUTED_VALUE"""),0)</f>
        <v>0</v>
      </c>
      <c r="M269" s="97">
        <f ca="1">IFERROR(__xludf.DUMMYFUNCTION("""COMPUTED_VALUE"""),0)</f>
        <v>0</v>
      </c>
      <c r="N269" s="67"/>
      <c r="O269" s="67"/>
      <c r="P269" s="67" t="str">
        <f ca="1">IFERROR(__xludf.DUMMYFUNCTION("""COMPUTED_VALUE"""),"СМР")</f>
        <v>СМР</v>
      </c>
      <c r="Q269" s="67" t="e">
        <f t="shared" ca="1" si="0"/>
        <v>#DIV/0!</v>
      </c>
      <c r="R269" s="67"/>
      <c r="S269" s="67"/>
      <c r="T269" s="67"/>
      <c r="U269" s="67"/>
      <c r="V269" s="67"/>
      <c r="W269" s="67"/>
      <c r="X269" s="67"/>
      <c r="Y269" s="67"/>
      <c r="Z269" s="67"/>
      <c r="AA269" s="67"/>
      <c r="AB269" s="67"/>
      <c r="AC269" s="67"/>
      <c r="AD269" s="67"/>
      <c r="AE269" s="67"/>
      <c r="AF269" s="67"/>
      <c r="AG269" s="67"/>
      <c r="AH269" s="67"/>
      <c r="AI269" s="67"/>
      <c r="AJ269" s="67"/>
      <c r="AK269" s="67"/>
      <c r="AL269" s="67"/>
      <c r="AM269" s="67"/>
    </row>
    <row r="270" spans="1:39" ht="108" x14ac:dyDescent="0.2">
      <c r="A270" s="67"/>
      <c r="B270" s="96"/>
      <c r="C270"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0" s="20" t="str">
        <f ca="1">IFERROR(__xludf.DUMMYFUNCTION("""COMPUTED_VALUE"""),"МинЖКХ")</f>
        <v>МинЖКХ</v>
      </c>
      <c r="E270" s="20" t="str">
        <f ca="1">IFERROR(__xludf.DUMMYFUNCTION("""COMPUTED_VALUE"""),"Капитальный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f>
        <v>Капитальный ремонт главного самотечного канализационного коллектора Д 1500 мм из ж/б труб, расположенного в г. Орехово-Зуево, Московской области, вдоль левого берега р. Клязьма от ул. Карасово, д.8 до ул. Набережная (КНС-6) с пересечением ул. Северная</v>
      </c>
      <c r="F270" s="67" t="str">
        <f ca="1">IFERROR(__xludf.DUMMYFUNCTION("""COMPUTED_VALUE"""),"2020-2021")</f>
        <v>2020-2021</v>
      </c>
      <c r="G270" s="67" t="str">
        <f ca="1">IFERROR(__xludf.DUMMYFUNCTION("""COMPUTED_VALUE"""),"г.о. Орехово-Зуево")</f>
        <v>г.о. Орехово-Зуево</v>
      </c>
      <c r="H270" s="67" t="str">
        <f ca="1">IFERROR(__xludf.DUMMYFUNCTION("""COMPUTED_VALUE"""),"КНК")</f>
        <v>КНК</v>
      </c>
      <c r="I270" s="67"/>
      <c r="J270" s="97">
        <f ca="1">IFERROR(__xludf.DUMMYFUNCTION("""COMPUTED_VALUE"""),119537.64)</f>
        <v>119537.64</v>
      </c>
      <c r="K270" s="97">
        <f ca="1">IFERROR(__xludf.DUMMYFUNCTION("""COMPUTED_VALUE"""),12971.44)</f>
        <v>12971.44</v>
      </c>
      <c r="L270" s="97">
        <f ca="1">IFERROR(__xludf.DUMMYFUNCTION("""COMPUTED_VALUE"""),0)</f>
        <v>0</v>
      </c>
      <c r="M270" s="97">
        <f ca="1">IFERROR(__xludf.DUMMYFUNCTION("""COMPUTED_VALUE"""),0)</f>
        <v>0</v>
      </c>
      <c r="N270" s="67"/>
      <c r="O270" s="67"/>
      <c r="P270" s="67" t="str">
        <f ca="1">IFERROR(__xludf.DUMMYFUNCTION("""COMPUTED_VALUE"""),"СМР")</f>
        <v>СМР</v>
      </c>
      <c r="Q270" s="67">
        <f t="shared" ca="1" si="0"/>
        <v>0</v>
      </c>
      <c r="R270" s="67"/>
      <c r="S270" s="67"/>
      <c r="T270" s="67"/>
      <c r="U270" s="67"/>
      <c r="V270" s="67"/>
      <c r="W270" s="67"/>
      <c r="X270" s="67"/>
      <c r="Y270" s="67"/>
      <c r="Z270" s="67"/>
      <c r="AA270" s="67"/>
      <c r="AB270" s="67"/>
      <c r="AC270" s="67"/>
      <c r="AD270" s="67"/>
      <c r="AE270" s="67"/>
      <c r="AF270" s="67"/>
      <c r="AG270" s="67"/>
      <c r="AH270" s="67"/>
      <c r="AI270" s="67"/>
      <c r="AJ270" s="67"/>
      <c r="AK270" s="67"/>
      <c r="AL270" s="67"/>
      <c r="AM270" s="67"/>
    </row>
    <row r="271" spans="1:39" ht="84" hidden="1" x14ac:dyDescent="0.2">
      <c r="A271" s="67"/>
      <c r="B271" s="100"/>
      <c r="C271"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1" s="20" t="str">
        <f ca="1">IFERROR(__xludf.DUMMYFUNCTION("""COMPUTED_VALUE"""),"МинЖКХ")</f>
        <v>МинЖКХ</v>
      </c>
      <c r="E271" s="20" t="str">
        <f ca="1">IFERROR(__xludf.DUMMYFUNCTION("""COMPUTED_VALUE"""),"Капитальный ремонт самотечного  канализационного коллектора в районе д. Малиновые луга, Орехово-Зувский городской округ (в том числе ПИР)")</f>
        <v>Капитальный ремонт самотечного  канализационного коллектора в районе д. Малиновые луга, Орехово-Зувский городской округ (в том числе ПИР)</v>
      </c>
      <c r="F271" s="67" t="str">
        <f ca="1">IFERROR(__xludf.DUMMYFUNCTION("""COMPUTED_VALUE"""),"2021-2022")</f>
        <v>2021-2022</v>
      </c>
      <c r="G271" s="67" t="str">
        <f ca="1">IFERROR(__xludf.DUMMYFUNCTION("""COMPUTED_VALUE"""),"г.о. Ликино-Дулево")</f>
        <v>г.о. Ликино-Дулево</v>
      </c>
      <c r="H271" s="67" t="str">
        <f ca="1">IFERROR(__xludf.DUMMYFUNCTION("""COMPUTED_VALUE"""),"КНК")</f>
        <v>КНК</v>
      </c>
      <c r="I271" s="67"/>
      <c r="J271" s="67"/>
      <c r="K271" s="97">
        <f ca="1">IFERROR(__xludf.DUMMYFUNCTION("""COMPUTED_VALUE"""),6070.68)</f>
        <v>6070.68</v>
      </c>
      <c r="L271" s="97">
        <f ca="1">IFERROR(__xludf.DUMMYFUNCTION("""COMPUTED_VALUE"""),0)</f>
        <v>0</v>
      </c>
      <c r="M271" s="97">
        <f ca="1">IFERROR(__xludf.DUMMYFUNCTION("""COMPUTED_VALUE"""),0)</f>
        <v>0</v>
      </c>
      <c r="N271" s="67"/>
      <c r="O271" s="67"/>
      <c r="P271" s="67" t="str">
        <f ca="1">IFERROR(__xludf.DUMMYFUNCTION("""COMPUTED_VALUE"""),"СМР")</f>
        <v>СМР</v>
      </c>
      <c r="Q271" s="67">
        <f t="shared" ca="1" si="0"/>
        <v>0</v>
      </c>
      <c r="R271" s="67"/>
      <c r="S271" s="67"/>
      <c r="T271" s="67"/>
      <c r="U271" s="67"/>
      <c r="V271" s="67"/>
      <c r="W271" s="67"/>
      <c r="X271" s="67"/>
      <c r="Y271" s="67"/>
      <c r="Z271" s="67"/>
      <c r="AA271" s="67"/>
      <c r="AB271" s="67"/>
      <c r="AC271" s="67"/>
      <c r="AD271" s="67"/>
      <c r="AE271" s="67"/>
      <c r="AF271" s="67"/>
      <c r="AG271" s="67"/>
      <c r="AH271" s="67"/>
      <c r="AI271" s="67"/>
      <c r="AJ271" s="67"/>
      <c r="AK271" s="67"/>
      <c r="AL271" s="67"/>
      <c r="AM271" s="67"/>
    </row>
    <row r="272" spans="1:39" ht="84" x14ac:dyDescent="0.2">
      <c r="A272" s="67"/>
      <c r="B272" s="100"/>
      <c r="C272" s="20"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2" s="20" t="str">
        <f ca="1">IFERROR(__xludf.DUMMYFUNCTION("""COMPUTED_VALUE"""),"МинЖКХ")</f>
        <v>МинЖКХ</v>
      </c>
      <c r="E272" s="20" t="str">
        <f ca="1">IFERROR(__xludf.DUMMYFUNCTION("""COMPUTED_VALUE"""),"Капитальный ремонт канализационного коллектора мкрн. Березки, д.Жуково, г.о. Солнечногорск")</f>
        <v>Капитальный ремонт канализационного коллектора мкрн. Березки, д.Жуково, г.о. Солнечногорск</v>
      </c>
      <c r="F272" s="67">
        <f ca="1">IFERROR(__xludf.DUMMYFUNCTION("""COMPUTED_VALUE"""),2020)</f>
        <v>2020</v>
      </c>
      <c r="G272" s="67" t="str">
        <f ca="1">IFERROR(__xludf.DUMMYFUNCTION("""COMPUTED_VALUE"""),"г.о. Солнечногорск")</f>
        <v>г.о. Солнечногорск</v>
      </c>
      <c r="H272" s="67" t="str">
        <f ca="1">IFERROR(__xludf.DUMMYFUNCTION("""COMPUTED_VALUE"""),"КНК")</f>
        <v>КНК</v>
      </c>
      <c r="I272" s="97">
        <f ca="1">IFERROR(__xludf.DUMMYFUNCTION("""COMPUTED_VALUE"""),0)</f>
        <v>0</v>
      </c>
      <c r="J272" s="67"/>
      <c r="K272" s="97">
        <f ca="1">IFERROR(__xludf.DUMMYFUNCTION("""COMPUTED_VALUE"""),0)</f>
        <v>0</v>
      </c>
      <c r="L272" s="97">
        <f ca="1">IFERROR(__xludf.DUMMYFUNCTION("""COMPUTED_VALUE"""),0)</f>
        <v>0</v>
      </c>
      <c r="M272" s="97">
        <f ca="1">IFERROR(__xludf.DUMMYFUNCTION("""COMPUTED_VALUE"""),0)</f>
        <v>0</v>
      </c>
      <c r="N272" s="67"/>
      <c r="O272" s="67"/>
      <c r="P272" s="67" t="str">
        <f ca="1">IFERROR(__xludf.DUMMYFUNCTION("""COMPUTED_VALUE"""),"СМР")</f>
        <v>СМР</v>
      </c>
      <c r="Q272" s="67" t="e">
        <f t="shared" ca="1" si="0"/>
        <v>#DIV/0!</v>
      </c>
      <c r="R272" s="67"/>
      <c r="S272" s="67"/>
      <c r="T272" s="67"/>
      <c r="U272" s="67"/>
      <c r="V272" s="67"/>
      <c r="W272" s="67"/>
      <c r="X272" s="67"/>
      <c r="Y272" s="67"/>
      <c r="Z272" s="67"/>
      <c r="AA272" s="67"/>
      <c r="AB272" s="67"/>
      <c r="AC272" s="67"/>
      <c r="AD272" s="67"/>
      <c r="AE272" s="67"/>
      <c r="AF272" s="67"/>
      <c r="AG272" s="67"/>
      <c r="AH272" s="67"/>
      <c r="AI272" s="67"/>
      <c r="AJ272" s="67"/>
      <c r="AK272" s="67"/>
      <c r="AL272" s="67"/>
      <c r="AM272" s="67"/>
    </row>
    <row r="273" spans="1:39" ht="96" x14ac:dyDescent="0.2">
      <c r="A273" s="67"/>
      <c r="B273" s="96"/>
      <c r="C273" s="20" t="str">
        <f ca="1">IFERROR(__xludf.DUMMYFUNCTION("""COMPUTED_VALUE"""),"Мероприятие 3 - Предоставление субсидий государственным унитарным предприятиям Московской области на осуществление строительства (реконструкции) канализационных коллекторов  (участков)")</f>
        <v>Мероприятие 3 - Предоставление субсидий государственным унитарным предприятиям Московской области на осуществление строительства (реконструкции) канализационных коллекторов  (участков)</v>
      </c>
      <c r="D273" s="20" t="str">
        <f ca="1">IFERROR(__xludf.DUMMYFUNCTION("""COMPUTED_VALUE"""),"МинЖКХ")</f>
        <v>МинЖКХ</v>
      </c>
      <c r="E273" s="20" t="str">
        <f ca="1">IFERROR(__xludf.DUMMYFUNCTION("""COMPUTED_VALUE"""),"Реконструкция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f>
        <v xml:space="preserve">Реконструкция участка левой ветки канализационного коллектора Егорьевск-Воскресенск от ГКНС кз-11 протяженностью 14029 п.м. с реконструкцией камеры 
КП-1, КП-2, КП-3 
</v>
      </c>
      <c r="F273" s="67" t="str">
        <f ca="1">IFERROR(__xludf.DUMMYFUNCTION("""COMPUTED_VALUE"""),"2020-2024")</f>
        <v>2020-2024</v>
      </c>
      <c r="G273" s="67" t="str">
        <f ca="1">IFERROR(__xludf.DUMMYFUNCTION("""COMPUTED_VALUE"""),"КСМО")</f>
        <v>КСМО</v>
      </c>
      <c r="H273" s="67" t="str">
        <f ca="1">IFERROR(__xludf.DUMMYFUNCTION("""COMPUTED_VALUE"""),"КНК")</f>
        <v>КНК</v>
      </c>
      <c r="I273" s="97">
        <f ca="1">IFERROR(__xludf.DUMMYFUNCTION("""COMPUTED_VALUE"""),480)</f>
        <v>480</v>
      </c>
      <c r="J273" s="67"/>
      <c r="K273" s="97">
        <f ca="1">IFERROR(__xludf.DUMMYFUNCTION("""COMPUTED_VALUE"""),0)</f>
        <v>0</v>
      </c>
      <c r="L273" s="97">
        <f ca="1">IFERROR(__xludf.DUMMYFUNCTION("""COMPUTED_VALUE"""),0)</f>
        <v>0</v>
      </c>
      <c r="M273" s="97">
        <f ca="1">IFERROR(__xludf.DUMMYFUNCTION("""COMPUTED_VALUE"""),0)</f>
        <v>0</v>
      </c>
      <c r="N273" s="67"/>
      <c r="O273" s="67"/>
      <c r="P273" s="67" t="str">
        <f ca="1">IFERROR(__xludf.DUMMYFUNCTION("""COMPUTED_VALUE"""),"СМР")</f>
        <v>СМР</v>
      </c>
      <c r="Q273" s="67" t="e">
        <f t="shared" ca="1" si="0"/>
        <v>#DIV/0!</v>
      </c>
      <c r="R273" s="67"/>
      <c r="S273" s="67"/>
      <c r="T273" s="67"/>
      <c r="U273" s="67"/>
      <c r="V273" s="67"/>
      <c r="W273" s="67"/>
      <c r="X273" s="67"/>
      <c r="Y273" s="67"/>
      <c r="Z273" s="67"/>
      <c r="AA273" s="67"/>
      <c r="AB273" s="67"/>
      <c r="AC273" s="67"/>
      <c r="AD273" s="67"/>
      <c r="AE273" s="67"/>
      <c r="AF273" s="67"/>
      <c r="AG273" s="67"/>
      <c r="AH273" s="67"/>
      <c r="AI273" s="67"/>
      <c r="AJ273" s="67"/>
      <c r="AK273" s="67"/>
      <c r="AL273" s="67"/>
      <c r="AM273" s="67"/>
    </row>
    <row r="274" spans="1:39" ht="72" hidden="1" x14ac:dyDescent="0.2">
      <c r="A274" s="67"/>
      <c r="B274" s="96"/>
      <c r="C27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4" s="20" t="str">
        <f ca="1">IFERROR(__xludf.DUMMYFUNCTION("""COMPUTED_VALUE"""),"МинЖКХ")</f>
        <v>МинЖКХ</v>
      </c>
      <c r="E274" s="20" t="str">
        <f ca="1">IFERROR(__xludf.DUMMYFUNCTION("""COMPUTED_VALUE"""),"Строительство газовой котельной 20 Мвт в мкр. Ольгино г. Балашиха (в том числе ПИР) ")</f>
        <v xml:space="preserve">Строительство газовой котельной 20 Мвт в мкр. Ольгино г. Балашиха (в том числе ПИР) </v>
      </c>
      <c r="F274" s="67" t="str">
        <f ca="1">IFERROR(__xludf.DUMMYFUNCTION("""COMPUTED_VALUE"""),"2021-2022")</f>
        <v>2021-2022</v>
      </c>
      <c r="G274" s="67" t="str">
        <f ca="1">IFERROR(__xludf.DUMMYFUNCTION("""COMPUTED_VALUE"""),"г.о. Балашиха")</f>
        <v>г.о. Балашиха</v>
      </c>
      <c r="H274" s="67" t="str">
        <f ca="1">IFERROR(__xludf.DUMMYFUNCTION("""COMPUTED_VALUE"""),"Котельная")</f>
        <v>Котельная</v>
      </c>
      <c r="I274" s="67"/>
      <c r="J274" s="67"/>
      <c r="K274" s="97">
        <f ca="1">IFERROR(__xludf.DUMMYFUNCTION("""COMPUTED_VALUE"""),42316.1)</f>
        <v>42316.1</v>
      </c>
      <c r="L274" s="97">
        <f ca="1">IFERROR(__xludf.DUMMYFUNCTION("""COMPUTED_VALUE"""),0)</f>
        <v>0</v>
      </c>
      <c r="M274" s="97">
        <f ca="1">IFERROR(__xludf.DUMMYFUNCTION("""COMPUTED_VALUE"""),0)</f>
        <v>0</v>
      </c>
      <c r="N274" s="67"/>
      <c r="O274" s="67"/>
      <c r="P274" s="67" t="str">
        <f ca="1">IFERROR(__xludf.DUMMYFUNCTION("""COMPUTED_VALUE"""),"СМР")</f>
        <v>СМР</v>
      </c>
      <c r="Q274" s="67">
        <f t="shared" ca="1" si="0"/>
        <v>0</v>
      </c>
      <c r="R274" s="67"/>
      <c r="S274" s="67"/>
      <c r="T274" s="67"/>
      <c r="U274" s="67"/>
      <c r="V274" s="67"/>
      <c r="W274" s="67"/>
      <c r="X274" s="67"/>
      <c r="Y274" s="67"/>
      <c r="Z274" s="67"/>
      <c r="AA274" s="67"/>
      <c r="AB274" s="67"/>
      <c r="AC274" s="67"/>
      <c r="AD274" s="67"/>
      <c r="AE274" s="67"/>
      <c r="AF274" s="67"/>
      <c r="AG274" s="67"/>
      <c r="AH274" s="67"/>
      <c r="AI274" s="67"/>
      <c r="AJ274" s="67"/>
      <c r="AK274" s="67"/>
      <c r="AL274" s="67"/>
      <c r="AM274" s="67"/>
    </row>
    <row r="275" spans="1:39" ht="72" hidden="1" x14ac:dyDescent="0.2">
      <c r="A275" s="67"/>
      <c r="B275" s="96"/>
      <c r="C27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5" s="20" t="str">
        <f ca="1">IFERROR(__xludf.DUMMYFUNCTION("""COMPUTED_VALUE"""),"МинЖКХ")</f>
        <v>МинЖКХ</v>
      </c>
      <c r="E275" s="20" t="str">
        <f ca="1">IFERROR(__xludf.DUMMYFUNCTION("""COMPUTED_VALUE"""),"Строительство сетей водоснабжения по адресу: Московская обл., г. Дзержинский (ПИР)")</f>
        <v>Строительство сетей водоснабжения по адресу: Московская обл., г. Дзержинский (ПИР)</v>
      </c>
      <c r="F275" s="67">
        <f ca="1">IFERROR(__xludf.DUMMYFUNCTION("""COMPUTED_VALUE"""),2021)</f>
        <v>2021</v>
      </c>
      <c r="G275" s="67" t="str">
        <f ca="1">IFERROR(__xludf.DUMMYFUNCTION("""COMPUTED_VALUE"""),"г.о. Дзержинский")</f>
        <v>г.о. Дзержинский</v>
      </c>
      <c r="H275" s="67" t="str">
        <f ca="1">IFERROR(__xludf.DUMMYFUNCTION("""COMPUTED_VALUE"""),"Сети")</f>
        <v>Сети</v>
      </c>
      <c r="I275" s="67"/>
      <c r="J275" s="67"/>
      <c r="K275" s="97">
        <f ca="1">IFERROR(__xludf.DUMMYFUNCTION("""COMPUTED_VALUE"""),4000)</f>
        <v>4000</v>
      </c>
      <c r="L275" s="97">
        <f ca="1">IFERROR(__xludf.DUMMYFUNCTION("""COMPUTED_VALUE"""),0)</f>
        <v>0</v>
      </c>
      <c r="M275" s="97">
        <f ca="1">IFERROR(__xludf.DUMMYFUNCTION("""COMPUTED_VALUE"""),0)</f>
        <v>0</v>
      </c>
      <c r="N275" s="67"/>
      <c r="O275" s="67"/>
      <c r="P275" s="67" t="str">
        <f ca="1">IFERROR(__xludf.DUMMYFUNCTION("""COMPUTED_VALUE"""),"ПИР")</f>
        <v>ПИР</v>
      </c>
      <c r="Q275" s="67">
        <f t="shared" ca="1" si="0"/>
        <v>0</v>
      </c>
      <c r="R275" s="67"/>
      <c r="S275" s="67"/>
      <c r="T275" s="67"/>
      <c r="U275" s="67"/>
      <c r="V275" s="67"/>
      <c r="W275" s="67"/>
      <c r="X275" s="67"/>
      <c r="Y275" s="67"/>
      <c r="Z275" s="67"/>
      <c r="AA275" s="67"/>
      <c r="AB275" s="67"/>
      <c r="AC275" s="67"/>
      <c r="AD275" s="67"/>
      <c r="AE275" s="67"/>
      <c r="AF275" s="67"/>
      <c r="AG275" s="67"/>
      <c r="AH275" s="67"/>
      <c r="AI275" s="67"/>
      <c r="AJ275" s="67"/>
      <c r="AK275" s="67"/>
      <c r="AL275" s="67"/>
      <c r="AM275" s="67"/>
    </row>
    <row r="276" spans="1:39" ht="72" hidden="1" x14ac:dyDescent="0.2">
      <c r="A276" s="67"/>
      <c r="B276" s="96"/>
      <c r="C27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6" s="20" t="str">
        <f ca="1">IFERROR(__xludf.DUMMYFUNCTION("""COMPUTED_VALUE"""),"МинЖКХ")</f>
        <v>МинЖКХ</v>
      </c>
      <c r="E276" s="20" t="str">
        <f ca="1">IFERROR(__xludf.DUMMYFUNCTION("""COMPUTED_VALUE"""),"Строительство сетей водоснабжения, в д. Глазово, Серпуховский м.р. (в т.ч. ПИР)")</f>
        <v>Строительство сетей водоснабжения, в д. Глазово, Серпуховский м.р. (в т.ч. ПИР)</v>
      </c>
      <c r="F276" s="67">
        <f ca="1">IFERROR(__xludf.DUMMYFUNCTION("""COMPUTED_VALUE"""),2023)</f>
        <v>2023</v>
      </c>
      <c r="G276" s="67" t="str">
        <f ca="1">IFERROR(__xludf.DUMMYFUNCTION("""COMPUTED_VALUE"""),"г.о. Серпухов")</f>
        <v>г.о. Серпухов</v>
      </c>
      <c r="H276" s="67" t="str">
        <f ca="1">IFERROR(__xludf.DUMMYFUNCTION("""COMPUTED_VALUE"""),"Сети")</f>
        <v>Сети</v>
      </c>
      <c r="I276" s="67"/>
      <c r="J276" s="67"/>
      <c r="K276" s="97">
        <f ca="1">IFERROR(__xludf.DUMMYFUNCTION("""COMPUTED_VALUE"""),820)</f>
        <v>820</v>
      </c>
      <c r="L276" s="97">
        <f ca="1">IFERROR(__xludf.DUMMYFUNCTION("""COMPUTED_VALUE"""),0)</f>
        <v>0</v>
      </c>
      <c r="M276" s="97">
        <f ca="1">IFERROR(__xludf.DUMMYFUNCTION("""COMPUTED_VALUE"""),0)</f>
        <v>0</v>
      </c>
      <c r="N276" s="67"/>
      <c r="O276" s="67"/>
      <c r="P276" s="67" t="str">
        <f ca="1">IFERROR(__xludf.DUMMYFUNCTION("""COMPUTED_VALUE"""),"СМР")</f>
        <v>СМР</v>
      </c>
      <c r="Q276" s="67">
        <f t="shared" ca="1" si="0"/>
        <v>0</v>
      </c>
      <c r="R276" s="67"/>
      <c r="S276" s="67"/>
      <c r="T276" s="67"/>
      <c r="U276" s="67"/>
      <c r="V276" s="67"/>
      <c r="W276" s="67"/>
      <c r="X276" s="67"/>
      <c r="Y276" s="67"/>
      <c r="Z276" s="67"/>
      <c r="AA276" s="67"/>
      <c r="AB276" s="67"/>
      <c r="AC276" s="67"/>
      <c r="AD276" s="67"/>
      <c r="AE276" s="67"/>
      <c r="AF276" s="67"/>
      <c r="AG276" s="67"/>
      <c r="AH276" s="67"/>
      <c r="AI276" s="67"/>
      <c r="AJ276" s="67"/>
      <c r="AK276" s="67"/>
      <c r="AL276" s="67"/>
      <c r="AM276" s="67"/>
    </row>
    <row r="277" spans="1:39" ht="72" hidden="1" x14ac:dyDescent="0.2">
      <c r="A277" s="67"/>
      <c r="B277" s="96"/>
      <c r="C27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7" s="20" t="str">
        <f ca="1">IFERROR(__xludf.DUMMYFUNCTION("""COMPUTED_VALUE"""),"МинЖКХ")</f>
        <v>МинЖКХ</v>
      </c>
      <c r="E277" s="20" t="str">
        <f ca="1">IFERROR(__xludf.DUMMYFUNCTION("""COMPUTED_VALUE"""),"Строительство  сетей водоснабжения в д. Селино, д. Вечери, Серпуховский м.р. (в т.ч. ПИР)")</f>
        <v>Строительство  сетей водоснабжения в д. Селино, д. Вечери, Серпуховский м.р. (в т.ч. ПИР)</v>
      </c>
      <c r="F277" s="67">
        <f ca="1">IFERROR(__xludf.DUMMYFUNCTION("""COMPUTED_VALUE"""),2023)</f>
        <v>2023</v>
      </c>
      <c r="G277" s="67" t="str">
        <f ca="1">IFERROR(__xludf.DUMMYFUNCTION("""COMPUTED_VALUE"""),"г.о. Серпухов")</f>
        <v>г.о. Серпухов</v>
      </c>
      <c r="H277" s="67" t="str">
        <f ca="1">IFERROR(__xludf.DUMMYFUNCTION("""COMPUTED_VALUE"""),"Сети")</f>
        <v>Сети</v>
      </c>
      <c r="I277" s="67"/>
      <c r="J277" s="67"/>
      <c r="K277" s="97">
        <f ca="1">IFERROR(__xludf.DUMMYFUNCTION("""COMPUTED_VALUE"""),1720)</f>
        <v>1720</v>
      </c>
      <c r="L277" s="97">
        <f ca="1">IFERROR(__xludf.DUMMYFUNCTION("""COMPUTED_VALUE"""),0)</f>
        <v>0</v>
      </c>
      <c r="M277" s="97">
        <f ca="1">IFERROR(__xludf.DUMMYFUNCTION("""COMPUTED_VALUE"""),0)</f>
        <v>0</v>
      </c>
      <c r="N277" s="67"/>
      <c r="O277" s="67"/>
      <c r="P277" s="67" t="str">
        <f ca="1">IFERROR(__xludf.DUMMYFUNCTION("""COMPUTED_VALUE"""),"СМР")</f>
        <v>СМР</v>
      </c>
      <c r="Q277" s="67">
        <f t="shared" ca="1" si="0"/>
        <v>0</v>
      </c>
      <c r="R277" s="67"/>
      <c r="S277" s="67"/>
      <c r="T277" s="67"/>
      <c r="U277" s="67"/>
      <c r="V277" s="67"/>
      <c r="W277" s="67"/>
      <c r="X277" s="67"/>
      <c r="Y277" s="67"/>
      <c r="Z277" s="67"/>
      <c r="AA277" s="67"/>
      <c r="AB277" s="67"/>
      <c r="AC277" s="67"/>
      <c r="AD277" s="67"/>
      <c r="AE277" s="67"/>
      <c r="AF277" s="67"/>
      <c r="AG277" s="67"/>
      <c r="AH277" s="67"/>
      <c r="AI277" s="67"/>
      <c r="AJ277" s="67"/>
      <c r="AK277" s="67"/>
      <c r="AL277" s="67"/>
      <c r="AM277" s="67"/>
    </row>
    <row r="278" spans="1:39" ht="72" hidden="1" x14ac:dyDescent="0.2">
      <c r="A278" s="67"/>
      <c r="B278" s="96"/>
      <c r="C27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8" s="20" t="str">
        <f ca="1">IFERROR(__xludf.DUMMYFUNCTION("""COMPUTED_VALUE"""),"МинЖКХ")</f>
        <v>МинЖКХ</v>
      </c>
      <c r="E278" s="20" t="str">
        <f ca="1">IFERROR(__xludf.DUMMYFUNCTION("""COMPUTED_VALUE"""),"Строительство сетей водоснабжения в д. Б. Грызлово, Серпуховский м.р. (в т.ч. ПИР)")</f>
        <v>Строительство сетей водоснабжения в д. Б. Грызлово, Серпуховский м.р. (в т.ч. ПИР)</v>
      </c>
      <c r="F278" s="67">
        <f ca="1">IFERROR(__xludf.DUMMYFUNCTION("""COMPUTED_VALUE"""),2023)</f>
        <v>2023</v>
      </c>
      <c r="G278" s="67" t="str">
        <f ca="1">IFERROR(__xludf.DUMMYFUNCTION("""COMPUTED_VALUE"""),"г.о. Серпухов")</f>
        <v>г.о. Серпухов</v>
      </c>
      <c r="H278" s="67" t="str">
        <f ca="1">IFERROR(__xludf.DUMMYFUNCTION("""COMPUTED_VALUE"""),"Сети")</f>
        <v>Сети</v>
      </c>
      <c r="I278" s="67"/>
      <c r="J278" s="67"/>
      <c r="K278" s="97">
        <f ca="1">IFERROR(__xludf.DUMMYFUNCTION("""COMPUTED_VALUE"""),1342)</f>
        <v>1342</v>
      </c>
      <c r="L278" s="97">
        <f ca="1">IFERROR(__xludf.DUMMYFUNCTION("""COMPUTED_VALUE"""),0)</f>
        <v>0</v>
      </c>
      <c r="M278" s="97">
        <f ca="1">IFERROR(__xludf.DUMMYFUNCTION("""COMPUTED_VALUE"""),0)</f>
        <v>0</v>
      </c>
      <c r="N278" s="67"/>
      <c r="O278" s="67"/>
      <c r="P278" s="67" t="str">
        <f ca="1">IFERROR(__xludf.DUMMYFUNCTION("""COMPUTED_VALUE"""),"СМР")</f>
        <v>СМР</v>
      </c>
      <c r="Q278" s="67">
        <f t="shared" ca="1" si="0"/>
        <v>0</v>
      </c>
      <c r="R278" s="67"/>
      <c r="S278" s="67"/>
      <c r="T278" s="67"/>
      <c r="U278" s="67"/>
      <c r="V278" s="67"/>
      <c r="W278" s="67"/>
      <c r="X278" s="67"/>
      <c r="Y278" s="67"/>
      <c r="Z278" s="67"/>
      <c r="AA278" s="67"/>
      <c r="AB278" s="67"/>
      <c r="AC278" s="67"/>
      <c r="AD278" s="67"/>
      <c r="AE278" s="67"/>
      <c r="AF278" s="67"/>
      <c r="AG278" s="67"/>
      <c r="AH278" s="67"/>
      <c r="AI278" s="67"/>
      <c r="AJ278" s="67"/>
      <c r="AK278" s="67"/>
      <c r="AL278" s="67"/>
      <c r="AM278" s="67"/>
    </row>
    <row r="279" spans="1:39" ht="72" hidden="1" x14ac:dyDescent="0.2">
      <c r="A279" s="67"/>
      <c r="B279" s="96"/>
      <c r="C27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9" s="20" t="str">
        <f ca="1">IFERROR(__xludf.DUMMYFUNCTION("""COMPUTED_VALUE"""),"МинЖКХ")</f>
        <v>МинЖКХ</v>
      </c>
      <c r="E279" s="20" t="str">
        <f ca="1">IFERROR(__xludf.DUMMYFUNCTION("""COMPUTED_VALUE"""),"Строительство сетей водоснабжения в д. Калугино, Серпуховский м.р. (в т.ч. ПИР)")</f>
        <v>Строительство сетей водоснабжения в д. Калугино, Серпуховский м.р. (в т.ч. ПИР)</v>
      </c>
      <c r="F279" s="67">
        <f ca="1">IFERROR(__xludf.DUMMYFUNCTION("""COMPUTED_VALUE"""),2023)</f>
        <v>2023</v>
      </c>
      <c r="G279" s="67" t="str">
        <f ca="1">IFERROR(__xludf.DUMMYFUNCTION("""COMPUTED_VALUE"""),"г.о. Серпухов")</f>
        <v>г.о. Серпухов</v>
      </c>
      <c r="H279" s="67" t="str">
        <f ca="1">IFERROR(__xludf.DUMMYFUNCTION("""COMPUTED_VALUE"""),"Сети")</f>
        <v>Сети</v>
      </c>
      <c r="I279" s="67"/>
      <c r="J279" s="67"/>
      <c r="K279" s="97">
        <f ca="1">IFERROR(__xludf.DUMMYFUNCTION("""COMPUTED_VALUE"""),826)</f>
        <v>826</v>
      </c>
      <c r="L279" s="97">
        <f ca="1">IFERROR(__xludf.DUMMYFUNCTION("""COMPUTED_VALUE"""),0)</f>
        <v>0</v>
      </c>
      <c r="M279" s="97">
        <f ca="1">IFERROR(__xludf.DUMMYFUNCTION("""COMPUTED_VALUE"""),0)</f>
        <v>0</v>
      </c>
      <c r="N279" s="67"/>
      <c r="O279" s="67"/>
      <c r="P279" s="67" t="str">
        <f ca="1">IFERROR(__xludf.DUMMYFUNCTION("""COMPUTED_VALUE"""),"СМР")</f>
        <v>СМР</v>
      </c>
      <c r="Q279" s="67">
        <f t="shared" ca="1" si="0"/>
        <v>0</v>
      </c>
      <c r="R279" s="67"/>
      <c r="S279" s="67"/>
      <c r="T279" s="67"/>
      <c r="U279" s="67"/>
      <c r="V279" s="67"/>
      <c r="W279" s="67"/>
      <c r="X279" s="67"/>
      <c r="Y279" s="67"/>
      <c r="Z279" s="67"/>
      <c r="AA279" s="67"/>
      <c r="AB279" s="67"/>
      <c r="AC279" s="67"/>
      <c r="AD279" s="67"/>
      <c r="AE279" s="67"/>
      <c r="AF279" s="67"/>
      <c r="AG279" s="67"/>
      <c r="AH279" s="67"/>
      <c r="AI279" s="67"/>
      <c r="AJ279" s="67"/>
      <c r="AK279" s="67"/>
      <c r="AL279" s="67"/>
      <c r="AM279" s="67"/>
    </row>
    <row r="280" spans="1:39" ht="72" hidden="1" x14ac:dyDescent="0.2">
      <c r="A280" s="67"/>
      <c r="B280" s="96"/>
      <c r="C28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0" s="20" t="str">
        <f ca="1">IFERROR(__xludf.DUMMYFUNCTION("""COMPUTED_VALUE"""),"МинЖКХ")</f>
        <v>МинЖКХ</v>
      </c>
      <c r="E280" s="20" t="str">
        <f ca="1">IFERROR(__xludf.DUMMYFUNCTION("""COMPUTED_VALUE"""),"Строительство БМК мощностью 1,2 МВт , д. Щемилово, г.о. Богородский")</f>
        <v>Строительство БМК мощностью 1,2 МВт , д. Щемилово, г.о. Богородский</v>
      </c>
      <c r="F280" s="67">
        <f ca="1">IFERROR(__xludf.DUMMYFUNCTION("""COMPUTED_VALUE"""),2022)</f>
        <v>2022</v>
      </c>
      <c r="G280" s="67" t="str">
        <f ca="1">IFERROR(__xludf.DUMMYFUNCTION("""COMPUTED_VALUE"""),"г.о. Богородский")</f>
        <v>г.о. Богородский</v>
      </c>
      <c r="H280" s="67" t="str">
        <f ca="1">IFERROR(__xludf.DUMMYFUNCTION("""COMPUTED_VALUE"""),"БМК")</f>
        <v>БМК</v>
      </c>
      <c r="I280" s="67"/>
      <c r="J280" s="67"/>
      <c r="K280" s="97">
        <f ca="1">IFERROR(__xludf.DUMMYFUNCTION("""COMPUTED_VALUE"""),4870)</f>
        <v>4870</v>
      </c>
      <c r="L280" s="97">
        <f ca="1">IFERROR(__xludf.DUMMYFUNCTION("""COMPUTED_VALUE"""),0)</f>
        <v>0</v>
      </c>
      <c r="M280" s="97">
        <f ca="1">IFERROR(__xludf.DUMMYFUNCTION("""COMPUTED_VALUE"""),0)</f>
        <v>0</v>
      </c>
      <c r="N280" s="67"/>
      <c r="O280" s="67"/>
      <c r="P280" s="67" t="str">
        <f ca="1">IFERROR(__xludf.DUMMYFUNCTION("""COMPUTED_VALUE"""),"СМР")</f>
        <v>СМР</v>
      </c>
      <c r="Q280" s="67">
        <f t="shared" ca="1" si="0"/>
        <v>0</v>
      </c>
      <c r="R280" s="67"/>
      <c r="S280" s="67"/>
      <c r="T280" s="67"/>
      <c r="U280" s="67"/>
      <c r="V280" s="67"/>
      <c r="W280" s="67"/>
      <c r="X280" s="67"/>
      <c r="Y280" s="67"/>
      <c r="Z280" s="67"/>
      <c r="AA280" s="67"/>
      <c r="AB280" s="67"/>
      <c r="AC280" s="67"/>
      <c r="AD280" s="67"/>
      <c r="AE280" s="67"/>
      <c r="AF280" s="67"/>
      <c r="AG280" s="67"/>
      <c r="AH280" s="67"/>
      <c r="AI280" s="67"/>
      <c r="AJ280" s="67"/>
      <c r="AK280" s="67"/>
      <c r="AL280" s="67"/>
      <c r="AM280" s="67"/>
    </row>
    <row r="281" spans="1:39" ht="72" hidden="1" x14ac:dyDescent="0.2">
      <c r="A281" s="67"/>
      <c r="B281" s="100"/>
      <c r="C28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1" s="20" t="str">
        <f ca="1">IFERROR(__xludf.DUMMYFUNCTION("""COMPUTED_VALUE"""),"МинЖКХ")</f>
        <v>МинЖКХ</v>
      </c>
      <c r="E281" s="20" t="str">
        <f ca="1">IFERROR(__xludf.DUMMYFUNCTION("""COMPUTED_VALUE"""),"Строительство БМК мощностью 1 МВт , д. Щемилово, г.о. Богородский")</f>
        <v>Строительство БМК мощностью 1 МВт , д. Щемилово, г.о. Богородский</v>
      </c>
      <c r="F281" s="67">
        <f ca="1">IFERROR(__xludf.DUMMYFUNCTION("""COMPUTED_VALUE"""),2022)</f>
        <v>2022</v>
      </c>
      <c r="G281" s="67" t="str">
        <f ca="1">IFERROR(__xludf.DUMMYFUNCTION("""COMPUTED_VALUE"""),"г.о. Богородский")</f>
        <v>г.о. Богородский</v>
      </c>
      <c r="H281" s="67" t="str">
        <f ca="1">IFERROR(__xludf.DUMMYFUNCTION("""COMPUTED_VALUE"""),"БМК")</f>
        <v>БМК</v>
      </c>
      <c r="I281" s="67"/>
      <c r="J281" s="67"/>
      <c r="K281" s="97">
        <f ca="1">IFERROR(__xludf.DUMMYFUNCTION("""COMPUTED_VALUE"""),4126)</f>
        <v>4126</v>
      </c>
      <c r="L281" s="97">
        <f ca="1">IFERROR(__xludf.DUMMYFUNCTION("""COMPUTED_VALUE"""),0)</f>
        <v>0</v>
      </c>
      <c r="M281" s="97">
        <f ca="1">IFERROR(__xludf.DUMMYFUNCTION("""COMPUTED_VALUE"""),0)</f>
        <v>0</v>
      </c>
      <c r="N281" s="67"/>
      <c r="O281" s="67"/>
      <c r="P281" s="67" t="str">
        <f ca="1">IFERROR(__xludf.DUMMYFUNCTION("""COMPUTED_VALUE"""),"СМР")</f>
        <v>СМР</v>
      </c>
      <c r="Q281" s="67">
        <f t="shared" ca="1" si="0"/>
        <v>0</v>
      </c>
      <c r="R281" s="67"/>
      <c r="S281" s="67"/>
      <c r="T281" s="67"/>
      <c r="U281" s="67"/>
      <c r="V281" s="67"/>
      <c r="W281" s="67"/>
      <c r="X281" s="67"/>
      <c r="Y281" s="67"/>
      <c r="Z281" s="67"/>
      <c r="AA281" s="67"/>
      <c r="AB281" s="67"/>
      <c r="AC281" s="67"/>
      <c r="AD281" s="67"/>
      <c r="AE281" s="67"/>
      <c r="AF281" s="67"/>
      <c r="AG281" s="67"/>
      <c r="AH281" s="67"/>
      <c r="AI281" s="67"/>
      <c r="AJ281" s="67"/>
      <c r="AK281" s="67"/>
      <c r="AL281" s="67"/>
      <c r="AM281" s="67"/>
    </row>
    <row r="282" spans="1:39" ht="84" x14ac:dyDescent="0.2">
      <c r="A282" s="67"/>
      <c r="B282" s="96"/>
      <c r="C282"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2" s="20" t="str">
        <f ca="1">IFERROR(__xludf.DUMMYFUNCTION("""COMPUTED_VALUE"""),"МинЖКХ")</f>
        <v>МинЖКХ</v>
      </c>
      <c r="E282" s="20" t="str">
        <f ca="1">IFERROR(__xludf.DUMMYFUNCTION("""COMPUTED_VALUE"""),"Капитальный ремонт сетей водоснабжения мкр. Железнодорожный, г.о. Балашиха (1 и 2 этапы) ")</f>
        <v xml:space="preserve">Капитальный ремонт сетей водоснабжения мкр. Железнодорожный, г.о. Балашиха (1 и 2 этапы) </v>
      </c>
      <c r="F282" s="67" t="str">
        <f ca="1">IFERROR(__xludf.DUMMYFUNCTION("""COMPUTED_VALUE"""),"2020-2021")</f>
        <v>2020-2021</v>
      </c>
      <c r="G282" s="67" t="str">
        <f ca="1">IFERROR(__xludf.DUMMYFUNCTION("""COMPUTED_VALUE"""),"г.о. Балашиха")</f>
        <v>г.о. Балашиха</v>
      </c>
      <c r="H282" s="67" t="str">
        <f ca="1">IFERROR(__xludf.DUMMYFUNCTION("""COMPUTED_VALUE"""),"Сети")</f>
        <v>Сети</v>
      </c>
      <c r="I282" s="97">
        <f ca="1">IFERROR(__xludf.DUMMYFUNCTION("""COMPUTED_VALUE"""),0)</f>
        <v>0</v>
      </c>
      <c r="J282" s="97">
        <f ca="1">IFERROR(__xludf.DUMMYFUNCTION("""COMPUTED_VALUE"""),57248.62)</f>
        <v>57248.62</v>
      </c>
      <c r="K282" s="97">
        <f ca="1">IFERROR(__xludf.DUMMYFUNCTION("""COMPUTED_VALUE"""),56106)</f>
        <v>56106</v>
      </c>
      <c r="L282" s="97">
        <f ca="1">IFERROR(__xludf.DUMMYFUNCTION("""COMPUTED_VALUE"""),0)</f>
        <v>0</v>
      </c>
      <c r="M282" s="97">
        <f ca="1">IFERROR(__xludf.DUMMYFUNCTION("""COMPUTED_VALUE"""),0)</f>
        <v>0</v>
      </c>
      <c r="N282" s="67"/>
      <c r="O282" s="67"/>
      <c r="P282" s="67" t="str">
        <f ca="1">IFERROR(__xludf.DUMMYFUNCTION("""COMPUTED_VALUE"""),"СМР")</f>
        <v>СМР</v>
      </c>
      <c r="Q282" s="67">
        <f t="shared" ca="1" si="0"/>
        <v>0</v>
      </c>
      <c r="R282" s="67"/>
      <c r="S282" s="67"/>
      <c r="T282" s="67"/>
      <c r="U282" s="67"/>
      <c r="V282" s="67"/>
      <c r="W282" s="67"/>
      <c r="X282" s="67"/>
      <c r="Y282" s="67"/>
      <c r="Z282" s="67"/>
      <c r="AA282" s="67"/>
      <c r="AB282" s="67"/>
      <c r="AC282" s="67"/>
      <c r="AD282" s="67"/>
      <c r="AE282" s="67"/>
      <c r="AF282" s="67"/>
      <c r="AG282" s="67"/>
      <c r="AH282" s="67"/>
      <c r="AI282" s="67"/>
      <c r="AJ282" s="67"/>
      <c r="AK282" s="67"/>
      <c r="AL282" s="67"/>
      <c r="AM282" s="67"/>
    </row>
    <row r="283" spans="1:39" ht="72" hidden="1" x14ac:dyDescent="0.2">
      <c r="A283" s="67"/>
      <c r="B283" s="100"/>
      <c r="C28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3" s="20" t="str">
        <f ca="1">IFERROR(__xludf.DUMMYFUNCTION("""COMPUTED_VALUE"""),"МинЖКХ")</f>
        <v>МинЖКХ</v>
      </c>
      <c r="E283" s="20" t="str">
        <f ca="1">IFERROR(__xludf.DUMMYFUNCTION("""COMPUTED_VALUE"""),"Реконструкция котельной, расположенной по адресу: г. Долгопрудный, ул. Спортивная, д. 3а  (в т.ч. ПИР) ")</f>
        <v xml:space="preserve">Реконструкция котельной, расположенной по адресу: г. Долгопрудный, ул. Спортивная, д. 3а  (в т.ч. ПИР) </v>
      </c>
      <c r="F283" s="67" t="str">
        <f ca="1">IFERROR(__xludf.DUMMYFUNCTION("""COMPUTED_VALUE"""),"2021-2022")</f>
        <v>2021-2022</v>
      </c>
      <c r="G283" s="67" t="str">
        <f ca="1">IFERROR(__xludf.DUMMYFUNCTION("""COMPUTED_VALUE"""),"г.о. Долгопрудный")</f>
        <v>г.о. Долгопрудный</v>
      </c>
      <c r="H283" s="67" t="str">
        <f ca="1">IFERROR(__xludf.DUMMYFUNCTION("""COMPUTED_VALUE"""),"Котельная")</f>
        <v>Котельная</v>
      </c>
      <c r="I283" s="67"/>
      <c r="J283" s="67"/>
      <c r="K283" s="97">
        <f ca="1">IFERROR(__xludf.DUMMYFUNCTION("""COMPUTED_VALUE"""),58202.43)</f>
        <v>58202.43</v>
      </c>
      <c r="L283" s="97">
        <f ca="1">IFERROR(__xludf.DUMMYFUNCTION("""COMPUTED_VALUE"""),0)</f>
        <v>0</v>
      </c>
      <c r="M283" s="97">
        <f ca="1">IFERROR(__xludf.DUMMYFUNCTION("""COMPUTED_VALUE"""),0)</f>
        <v>0</v>
      </c>
      <c r="N283" s="67"/>
      <c r="O283" s="67"/>
      <c r="P283" s="67" t="str">
        <f ca="1">IFERROR(__xludf.DUMMYFUNCTION("""COMPUTED_VALUE"""),"СМР")</f>
        <v>СМР</v>
      </c>
      <c r="Q283" s="67">
        <f t="shared" ca="1" si="0"/>
        <v>0</v>
      </c>
      <c r="R283" s="67"/>
      <c r="S283" s="67"/>
      <c r="T283" s="67"/>
      <c r="U283" s="67"/>
      <c r="V283" s="67"/>
      <c r="W283" s="67"/>
      <c r="X283" s="67"/>
      <c r="Y283" s="67"/>
      <c r="Z283" s="67"/>
      <c r="AA283" s="67"/>
      <c r="AB283" s="67"/>
      <c r="AC283" s="67"/>
      <c r="AD283" s="67"/>
      <c r="AE283" s="67"/>
      <c r="AF283" s="67"/>
      <c r="AG283" s="67"/>
      <c r="AH283" s="67"/>
      <c r="AI283" s="67"/>
      <c r="AJ283" s="67"/>
      <c r="AK283" s="67"/>
      <c r="AL283" s="67"/>
      <c r="AM283" s="67"/>
    </row>
    <row r="284" spans="1:39" ht="72" x14ac:dyDescent="0.2">
      <c r="A284" s="67"/>
      <c r="B284" s="100"/>
      <c r="C28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4" s="20" t="str">
        <f ca="1">IFERROR(__xludf.DUMMYFUNCTION("""COMPUTED_VALUE"""),"МинЖКХ")</f>
        <v>МинЖКХ</v>
      </c>
      <c r="E284" s="20" t="str">
        <f ca="1">IFERROR(__xludf.DUMMYFUNCTION("""COMPUTED_VALUE"""),"Строительство котельной по адресу: д. Судниково сельского поселения Спасское (в том числе ПИР) ")</f>
        <v xml:space="preserve">Строительство котельной по адресу: д. Судниково сельского поселения Спасское (в том числе ПИР) </v>
      </c>
      <c r="F284" s="67" t="str">
        <f ca="1">IFERROR(__xludf.DUMMYFUNCTION("""COMPUTED_VALUE"""),"2020-2021")</f>
        <v>2020-2021</v>
      </c>
      <c r="G284" s="67" t="str">
        <f ca="1">IFERROR(__xludf.DUMMYFUNCTION("""COMPUTED_VALUE"""),"г.о. Волоколамский")</f>
        <v>г.о. Волоколамский</v>
      </c>
      <c r="H284" s="67" t="str">
        <f ca="1">IFERROR(__xludf.DUMMYFUNCTION("""COMPUTED_VALUE"""),"Котельная")</f>
        <v>Котельная</v>
      </c>
      <c r="I284" s="97">
        <f ca="1">IFERROR(__xludf.DUMMYFUNCTION("""COMPUTED_VALUE"""),0)</f>
        <v>0</v>
      </c>
      <c r="J284" s="67"/>
      <c r="K284" s="97">
        <f ca="1">IFERROR(__xludf.DUMMYFUNCTION("""COMPUTED_VALUE"""),80.04)</f>
        <v>80.040000000000006</v>
      </c>
      <c r="L284" s="97">
        <f ca="1">IFERROR(__xludf.DUMMYFUNCTION("""COMPUTED_VALUE"""),0)</f>
        <v>0</v>
      </c>
      <c r="M284" s="97">
        <f ca="1">IFERROR(__xludf.DUMMYFUNCTION("""COMPUTED_VALUE"""),0)</f>
        <v>0</v>
      </c>
      <c r="N284" s="67"/>
      <c r="O284" s="67"/>
      <c r="P284" s="67" t="str">
        <f ca="1">IFERROR(__xludf.DUMMYFUNCTION("""COMPUTED_VALUE"""),"СМР")</f>
        <v>СМР</v>
      </c>
      <c r="Q284" s="67">
        <f t="shared" ca="1" si="0"/>
        <v>0</v>
      </c>
      <c r="R284" s="67"/>
      <c r="S284" s="67"/>
      <c r="T284" s="67"/>
      <c r="U284" s="67"/>
      <c r="V284" s="67"/>
      <c r="W284" s="67"/>
      <c r="X284" s="67"/>
      <c r="Y284" s="67"/>
      <c r="Z284" s="67"/>
      <c r="AA284" s="67"/>
      <c r="AB284" s="67"/>
      <c r="AC284" s="67"/>
      <c r="AD284" s="67"/>
      <c r="AE284" s="67"/>
      <c r="AF284" s="67"/>
      <c r="AG284" s="67"/>
      <c r="AH284" s="67"/>
      <c r="AI284" s="67"/>
      <c r="AJ284" s="67"/>
      <c r="AK284" s="67"/>
      <c r="AL284" s="67"/>
      <c r="AM284" s="67"/>
    </row>
    <row r="285" spans="1:39" ht="72" x14ac:dyDescent="0.2">
      <c r="A285" s="67"/>
      <c r="B285" s="96"/>
      <c r="C28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5" s="20" t="str">
        <f ca="1">IFERROR(__xludf.DUMMYFUNCTION("""COMPUTED_VALUE"""),"МинЖКХ")</f>
        <v>МинЖКХ</v>
      </c>
      <c r="E285" s="20" t="str">
        <f ca="1">IFERROR(__xludf.DUMMYFUNCTION("""COMPUTED_VALUE"""),"Строительство сетей теплоснабжения от котельной до потребителей в д. Судниково (ПИР)")</f>
        <v>Строительство сетей теплоснабжения от котельной до потребителей в д. Судниково (ПИР)</v>
      </c>
      <c r="F285" s="67">
        <f ca="1">IFERROR(__xludf.DUMMYFUNCTION("""COMPUTED_VALUE"""),2020)</f>
        <v>2020</v>
      </c>
      <c r="G285" s="67" t="str">
        <f ca="1">IFERROR(__xludf.DUMMYFUNCTION("""COMPUTED_VALUE"""),"г.о. Волоколамский")</f>
        <v>г.о. Волоколамский</v>
      </c>
      <c r="H285" s="67" t="str">
        <f ca="1">IFERROR(__xludf.DUMMYFUNCTION("""COMPUTED_VALUE"""),"Сети")</f>
        <v>Сети</v>
      </c>
      <c r="I285" s="97">
        <f ca="1">IFERROR(__xludf.DUMMYFUNCTION("""COMPUTED_VALUE"""),0)</f>
        <v>0</v>
      </c>
      <c r="J285" s="67"/>
      <c r="K285" s="97">
        <f ca="1">IFERROR(__xludf.DUMMYFUNCTION("""COMPUTED_VALUE"""),0)</f>
        <v>0</v>
      </c>
      <c r="L285" s="97">
        <f ca="1">IFERROR(__xludf.DUMMYFUNCTION("""COMPUTED_VALUE"""),0)</f>
        <v>0</v>
      </c>
      <c r="M285" s="97">
        <f ca="1">IFERROR(__xludf.DUMMYFUNCTION("""COMPUTED_VALUE"""),0)</f>
        <v>0</v>
      </c>
      <c r="N285" s="67"/>
      <c r="O285" s="67"/>
      <c r="P285" s="67" t="str">
        <f ca="1">IFERROR(__xludf.DUMMYFUNCTION("""COMPUTED_VALUE"""),"ПИР")</f>
        <v>ПИР</v>
      </c>
      <c r="Q285" s="67" t="e">
        <f t="shared" ca="1" si="0"/>
        <v>#DIV/0!</v>
      </c>
      <c r="R285" s="67"/>
      <c r="S285" s="67"/>
      <c r="T285" s="67"/>
      <c r="U285" s="67"/>
      <c r="V285" s="67"/>
      <c r="W285" s="67"/>
      <c r="X285" s="67"/>
      <c r="Y285" s="67"/>
      <c r="Z285" s="67"/>
      <c r="AA285" s="67"/>
      <c r="AB285" s="67"/>
      <c r="AC285" s="67"/>
      <c r="AD285" s="67"/>
      <c r="AE285" s="67"/>
      <c r="AF285" s="67"/>
      <c r="AG285" s="67"/>
      <c r="AH285" s="67"/>
      <c r="AI285" s="67"/>
      <c r="AJ285" s="67"/>
      <c r="AK285" s="67"/>
      <c r="AL285" s="67"/>
      <c r="AM285" s="67"/>
    </row>
    <row r="286" spans="1:39" ht="84" hidden="1" x14ac:dyDescent="0.2">
      <c r="A286" s="67"/>
      <c r="B286" s="100"/>
      <c r="C28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6" s="20" t="str">
        <f ca="1">IFERROR(__xludf.DUMMYFUNCTION("""COMPUTED_VALUE"""),"МинЖКХ")</f>
        <v>МинЖКХ</v>
      </c>
      <c r="E286" s="20" t="str">
        <f ca="1">IFERROR(__xludf.DUMMYFUNCTION("""COMPUTED_VALUE"""),"Строительство автоматизированной блочно-модульной котельной производительностью 11,0 МВт по адресу: Талдомский район, р.п. Северный, ул. Садовая,  д. 12 ")</f>
        <v xml:space="preserve">Строительство автоматизированной блочно-модульной котельной производительностью 11,0 МВт по адресу: Талдомский район, р.п. Северный, ул. Садовая,  д. 12 </v>
      </c>
      <c r="F286" s="67">
        <f ca="1">IFERROR(__xludf.DUMMYFUNCTION("""COMPUTED_VALUE"""),2022)</f>
        <v>2022</v>
      </c>
      <c r="G286" s="67" t="str">
        <f ca="1">IFERROR(__xludf.DUMMYFUNCTION("""COMPUTED_VALUE"""),"г.о. Талдомский")</f>
        <v>г.о. Талдомский</v>
      </c>
      <c r="H286" s="67" t="str">
        <f ca="1">IFERROR(__xludf.DUMMYFUNCTION("""COMPUTED_VALUE"""),"БМК")</f>
        <v>БМК</v>
      </c>
      <c r="I286" s="67"/>
      <c r="J286" s="67"/>
      <c r="K286" s="97">
        <f ca="1">IFERROR(__xludf.DUMMYFUNCTION("""COMPUTED_VALUE"""),10586.12)</f>
        <v>10586.12</v>
      </c>
      <c r="L286" s="97">
        <f ca="1">IFERROR(__xludf.DUMMYFUNCTION("""COMPUTED_VALUE"""),0)</f>
        <v>0</v>
      </c>
      <c r="M286" s="97">
        <f ca="1">IFERROR(__xludf.DUMMYFUNCTION("""COMPUTED_VALUE"""),0)</f>
        <v>0</v>
      </c>
      <c r="N286" s="67"/>
      <c r="O286" s="67"/>
      <c r="P286" s="67" t="str">
        <f ca="1">IFERROR(__xludf.DUMMYFUNCTION("""COMPUTED_VALUE"""),"СМР")</f>
        <v>СМР</v>
      </c>
      <c r="Q286" s="67">
        <f t="shared" ca="1" si="0"/>
        <v>0</v>
      </c>
      <c r="R286" s="67"/>
      <c r="S286" s="67"/>
      <c r="T286" s="67"/>
      <c r="U286" s="67"/>
      <c r="V286" s="67"/>
      <c r="W286" s="67"/>
      <c r="X286" s="67"/>
      <c r="Y286" s="67"/>
      <c r="Z286" s="67"/>
      <c r="AA286" s="67"/>
      <c r="AB286" s="67"/>
      <c r="AC286" s="67"/>
      <c r="AD286" s="67"/>
      <c r="AE286" s="67"/>
      <c r="AF286" s="67"/>
      <c r="AG286" s="67"/>
      <c r="AH286" s="67"/>
      <c r="AI286" s="67"/>
      <c r="AJ286" s="67"/>
      <c r="AK286" s="67"/>
      <c r="AL286" s="67"/>
      <c r="AM286" s="67"/>
    </row>
    <row r="287" spans="1:39" ht="72" x14ac:dyDescent="0.2">
      <c r="A287" s="67"/>
      <c r="B287" s="100"/>
      <c r="C28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7" s="20" t="str">
        <f ca="1">IFERROR(__xludf.DUMMYFUNCTION("""COMPUTED_VALUE"""),"МинЖКХ")</f>
        <v>МинЖКХ</v>
      </c>
      <c r="E287" s="20" t="str">
        <f ca="1">IFERROR(__xludf.DUMMYFUNCTION("""COMPUTED_VALUE"""),"Строительство сетей водоснабжения от д. Поповская к д. Круги, д. Соломаево и д. Поцелуево г.о. Егорьевск (ПИР)")</f>
        <v>Строительство сетей водоснабжения от д. Поповская к д. Круги, д. Соломаево и д. Поцелуево г.о. Егорьевск (ПИР)</v>
      </c>
      <c r="F287" s="67">
        <f ca="1">IFERROR(__xludf.DUMMYFUNCTION("""COMPUTED_VALUE"""),2020)</f>
        <v>2020</v>
      </c>
      <c r="G287" s="67" t="str">
        <f ca="1">IFERROR(__xludf.DUMMYFUNCTION("""COMPUTED_VALUE"""),"г.о. Егорьевск")</f>
        <v>г.о. Егорьевск</v>
      </c>
      <c r="H287" s="67" t="str">
        <f ca="1">IFERROR(__xludf.DUMMYFUNCTION("""COMPUTED_VALUE"""),"Сети")</f>
        <v>Сети</v>
      </c>
      <c r="I287" s="97">
        <f ca="1">IFERROR(__xludf.DUMMYFUNCTION("""COMPUTED_VALUE"""),0)</f>
        <v>0</v>
      </c>
      <c r="J287" s="67"/>
      <c r="K287" s="97">
        <f ca="1">IFERROR(__xludf.DUMMYFUNCTION("""COMPUTED_VALUE"""),426.12)</f>
        <v>426.12</v>
      </c>
      <c r="L287" s="97">
        <f ca="1">IFERROR(__xludf.DUMMYFUNCTION("""COMPUTED_VALUE"""),0)</f>
        <v>0</v>
      </c>
      <c r="M287" s="97">
        <f ca="1">IFERROR(__xludf.DUMMYFUNCTION("""COMPUTED_VALUE"""),0)</f>
        <v>0</v>
      </c>
      <c r="N287" s="67"/>
      <c r="O287" s="67"/>
      <c r="P287" s="67" t="str">
        <f ca="1">IFERROR(__xludf.DUMMYFUNCTION("""COMPUTED_VALUE"""),"ПИР")</f>
        <v>ПИР</v>
      </c>
      <c r="Q287" s="67">
        <f t="shared" ca="1" si="0"/>
        <v>0</v>
      </c>
      <c r="R287" s="67"/>
      <c r="S287" s="67"/>
      <c r="T287" s="67"/>
      <c r="U287" s="67"/>
      <c r="V287" s="67"/>
      <c r="W287" s="67"/>
      <c r="X287" s="67"/>
      <c r="Y287" s="67"/>
      <c r="Z287" s="67"/>
      <c r="AA287" s="67"/>
      <c r="AB287" s="67"/>
      <c r="AC287" s="67"/>
      <c r="AD287" s="67"/>
      <c r="AE287" s="67"/>
      <c r="AF287" s="67"/>
      <c r="AG287" s="67"/>
      <c r="AH287" s="67"/>
      <c r="AI287" s="67"/>
      <c r="AJ287" s="67"/>
      <c r="AK287" s="67"/>
      <c r="AL287" s="67"/>
      <c r="AM287" s="67"/>
    </row>
    <row r="288" spans="1:39" ht="84" x14ac:dyDescent="0.2">
      <c r="A288" s="67"/>
      <c r="B288" s="100"/>
      <c r="C288"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8" s="20" t="str">
        <f ca="1">IFERROR(__xludf.DUMMYFUNCTION("""COMPUTED_VALUE"""),"МинЖКХ")</f>
        <v>МинЖКХ</v>
      </c>
      <c r="E288" s="20" t="str">
        <f ca="1">IFERROR(__xludf.DUMMYFUNCTION("""COMPUTED_VALUE"""),"Приобретение , монтаж и ввод в эксплуатацию  котельной в д. Козловка г.о. Зарайск")</f>
        <v>Приобретение , монтаж и ввод в эксплуатацию  котельной в д. Козловка г.о. Зарайск</v>
      </c>
      <c r="F288" s="67">
        <f ca="1">IFERROR(__xludf.DUMMYFUNCTION("""COMPUTED_VALUE"""),2020)</f>
        <v>2020</v>
      </c>
      <c r="G288" s="67" t="str">
        <f ca="1">IFERROR(__xludf.DUMMYFUNCTION("""COMPUTED_VALUE"""),"г.о. Зарайск")</f>
        <v>г.о. Зарайск</v>
      </c>
      <c r="H288" s="67" t="str">
        <f ca="1">IFERROR(__xludf.DUMMYFUNCTION("""COMPUTED_VALUE"""),"Котельная")</f>
        <v>Котельная</v>
      </c>
      <c r="I288" s="67"/>
      <c r="J288" s="97">
        <f ca="1">IFERROR(__xludf.DUMMYFUNCTION("""COMPUTED_VALUE"""),1582.02)</f>
        <v>1582.02</v>
      </c>
      <c r="K288" s="97">
        <f ca="1">IFERROR(__xludf.DUMMYFUNCTION("""COMPUTED_VALUE"""),136.14)</f>
        <v>136.13999999999999</v>
      </c>
      <c r="L288" s="97">
        <f ca="1">IFERROR(__xludf.DUMMYFUNCTION("""COMPUTED_VALUE"""),0)</f>
        <v>0</v>
      </c>
      <c r="M288" s="97">
        <f ca="1">IFERROR(__xludf.DUMMYFUNCTION("""COMPUTED_VALUE"""),0)</f>
        <v>0</v>
      </c>
      <c r="N288" s="67"/>
      <c r="O288" s="67"/>
      <c r="P288" s="67" t="str">
        <f ca="1">IFERROR(__xludf.DUMMYFUNCTION("""COMPUTED_VALUE"""),"СМР")</f>
        <v>СМР</v>
      </c>
      <c r="Q288" s="67">
        <f t="shared" ca="1" si="0"/>
        <v>0</v>
      </c>
      <c r="R288" s="67"/>
      <c r="S288" s="67"/>
      <c r="T288" s="67"/>
      <c r="U288" s="67"/>
      <c r="V288" s="67"/>
      <c r="W288" s="67"/>
      <c r="X288" s="67"/>
      <c r="Y288" s="67"/>
      <c r="Z288" s="67"/>
      <c r="AA288" s="67"/>
      <c r="AB288" s="67"/>
      <c r="AC288" s="67"/>
      <c r="AD288" s="67"/>
      <c r="AE288" s="67"/>
      <c r="AF288" s="67"/>
      <c r="AG288" s="67"/>
      <c r="AH288" s="67"/>
      <c r="AI288" s="67"/>
      <c r="AJ288" s="67"/>
      <c r="AK288" s="67"/>
      <c r="AL288" s="67"/>
      <c r="AM288" s="67"/>
    </row>
    <row r="289" spans="1:39" ht="84" x14ac:dyDescent="0.2">
      <c r="A289" s="67"/>
      <c r="B289" s="100"/>
      <c r="C289"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9" s="20" t="str">
        <f ca="1">IFERROR(__xludf.DUMMYFUNCTION("""COMPUTED_VALUE"""),"МинЖКХ")</f>
        <v>МинЖКХ</v>
      </c>
      <c r="E289" s="20" t="str">
        <f ca="1">IFERROR(__xludf.DUMMYFUNCTION("""COMPUTED_VALUE"""),"Приобретение , монтаж и ввод в эксплуатацию котельной д. Новоселки г.о. Зарайск")</f>
        <v>Приобретение , монтаж и ввод в эксплуатацию котельной д. Новоселки г.о. Зарайск</v>
      </c>
      <c r="F289" s="67">
        <f ca="1">IFERROR(__xludf.DUMMYFUNCTION("""COMPUTED_VALUE"""),2020)</f>
        <v>2020</v>
      </c>
      <c r="G289" s="67" t="str">
        <f ca="1">IFERROR(__xludf.DUMMYFUNCTION("""COMPUTED_VALUE"""),"г.о. Зарайск")</f>
        <v>г.о. Зарайск</v>
      </c>
      <c r="H289" s="67" t="str">
        <f ca="1">IFERROR(__xludf.DUMMYFUNCTION("""COMPUTED_VALUE"""),"Котельная")</f>
        <v>Котельная</v>
      </c>
      <c r="I289" s="67"/>
      <c r="J289" s="97">
        <f ca="1">IFERROR(__xludf.DUMMYFUNCTION("""COMPUTED_VALUE"""),1582.02)</f>
        <v>1582.02</v>
      </c>
      <c r="K289" s="97">
        <f ca="1">IFERROR(__xludf.DUMMYFUNCTION("""COMPUTED_VALUE"""),136.14)</f>
        <v>136.13999999999999</v>
      </c>
      <c r="L289" s="97">
        <f ca="1">IFERROR(__xludf.DUMMYFUNCTION("""COMPUTED_VALUE"""),0)</f>
        <v>0</v>
      </c>
      <c r="M289" s="97">
        <f ca="1">IFERROR(__xludf.DUMMYFUNCTION("""COMPUTED_VALUE"""),0)</f>
        <v>0</v>
      </c>
      <c r="N289" s="67"/>
      <c r="O289" s="67"/>
      <c r="P289" s="67" t="str">
        <f ca="1">IFERROR(__xludf.DUMMYFUNCTION("""COMPUTED_VALUE"""),"СМР")</f>
        <v>СМР</v>
      </c>
      <c r="Q289" s="67">
        <f t="shared" ca="1" si="0"/>
        <v>0</v>
      </c>
      <c r="R289" s="67"/>
      <c r="S289" s="67"/>
      <c r="T289" s="67"/>
      <c r="U289" s="67"/>
      <c r="V289" s="67"/>
      <c r="W289" s="67"/>
      <c r="X289" s="67"/>
      <c r="Y289" s="67"/>
      <c r="Z289" s="67"/>
      <c r="AA289" s="67"/>
      <c r="AB289" s="67"/>
      <c r="AC289" s="67"/>
      <c r="AD289" s="67"/>
      <c r="AE289" s="67"/>
      <c r="AF289" s="67"/>
      <c r="AG289" s="67"/>
      <c r="AH289" s="67"/>
      <c r="AI289" s="67"/>
      <c r="AJ289" s="67"/>
      <c r="AK289" s="67"/>
      <c r="AL289" s="67"/>
      <c r="AM289" s="67"/>
    </row>
    <row r="290" spans="1:39" ht="72" x14ac:dyDescent="0.2">
      <c r="A290" s="67"/>
      <c r="B290" s="100"/>
      <c r="C29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0" s="20" t="str">
        <f ca="1">IFERROR(__xludf.DUMMYFUNCTION("""COMPUTED_VALUE"""),"МинЖКХ ""ТОП 5 (1 этап)""")</f>
        <v>МинЖКХ "ТОП 5 (1 этап)"</v>
      </c>
      <c r="E290" s="20" t="str">
        <f ca="1">IFERROR(__xludf.DUMMYFUNCTION("""COMPUTED_VALUE"""),"Строительство блочно-модульной котельной ""ГПТУ"" со снижением мощности в г. Зарайск, г.о. Зарайск (в т.ч. ПИР) ")</f>
        <v xml:space="preserve">Строительство блочно-модульной котельной "ГПТУ" со снижением мощности в г. Зарайск, г.о. Зарайск (в т.ч. ПИР) </v>
      </c>
      <c r="F290" s="67">
        <f ca="1">IFERROR(__xludf.DUMMYFUNCTION("""COMPUTED_VALUE"""),2020)</f>
        <v>2020</v>
      </c>
      <c r="G290" s="67" t="str">
        <f ca="1">IFERROR(__xludf.DUMMYFUNCTION("""COMPUTED_VALUE"""),"г.о. Зарайск")</f>
        <v>г.о. Зарайск</v>
      </c>
      <c r="H290" s="67" t="str">
        <f ca="1">IFERROR(__xludf.DUMMYFUNCTION("""COMPUTED_VALUE"""),"БМК")</f>
        <v>БМК</v>
      </c>
      <c r="I290" s="97">
        <f ca="1">IFERROR(__xludf.DUMMYFUNCTION("""COMPUTED_VALUE"""),0)</f>
        <v>0</v>
      </c>
      <c r="J290" s="67">
        <f ca="1">IFERROR(__xludf.DUMMYFUNCTION("""COMPUTED_VALUE"""),28034.31)</f>
        <v>28034.31</v>
      </c>
      <c r="K290" s="97">
        <f ca="1">IFERROR(__xludf.DUMMYFUNCTION("""COMPUTED_VALUE"""),2337.06)</f>
        <v>2337.06</v>
      </c>
      <c r="L290" s="97">
        <f ca="1">IFERROR(__xludf.DUMMYFUNCTION("""COMPUTED_VALUE"""),0)</f>
        <v>0</v>
      </c>
      <c r="M290" s="97">
        <f ca="1">IFERROR(__xludf.DUMMYFUNCTION("""COMPUTED_VALUE"""),0)</f>
        <v>0</v>
      </c>
      <c r="N290" s="67"/>
      <c r="O290" s="67"/>
      <c r="P290" s="67" t="str">
        <f ca="1">IFERROR(__xludf.DUMMYFUNCTION("""COMPUTED_VALUE"""),"СМР")</f>
        <v>СМР</v>
      </c>
      <c r="Q290" s="67">
        <f t="shared" ca="1" si="0"/>
        <v>0</v>
      </c>
      <c r="R290" s="67"/>
      <c r="S290" s="67"/>
      <c r="T290" s="67"/>
      <c r="U290" s="67"/>
      <c r="V290" s="67"/>
      <c r="W290" s="67"/>
      <c r="X290" s="67"/>
      <c r="Y290" s="67"/>
      <c r="Z290" s="67"/>
      <c r="AA290" s="67"/>
      <c r="AB290" s="67"/>
      <c r="AC290" s="67"/>
      <c r="AD290" s="67"/>
      <c r="AE290" s="67"/>
      <c r="AF290" s="67"/>
      <c r="AG290" s="67"/>
      <c r="AH290" s="67"/>
      <c r="AI290" s="67"/>
      <c r="AJ290" s="67"/>
      <c r="AK290" s="67"/>
      <c r="AL290" s="67"/>
      <c r="AM290" s="67"/>
    </row>
    <row r="291" spans="1:39" ht="72" x14ac:dyDescent="0.2">
      <c r="A291" s="67"/>
      <c r="B291" s="100"/>
      <c r="C29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1" s="20" t="str">
        <f ca="1">IFERROR(__xludf.DUMMYFUNCTION("""COMPUTED_VALUE"""),"МинЖКХ ""ТОП 5 (1 этап)""")</f>
        <v>МинЖКХ "ТОП 5 (1 этап)"</v>
      </c>
      <c r="E291" s="20" t="str">
        <f ca="1">IFERROR(__xludf.DUMMYFUNCTION("""COMPUTED_VALUE"""),"Строительство блочно-модульной котельной ""Струпна"" со снижением мощности в с. Чулки-Соколово, г.о. Зарайск (в т.ч. ПИР) ")</f>
        <v xml:space="preserve">Строительство блочно-модульной котельной "Струпна" со снижением мощности в с. Чулки-Соколово, г.о. Зарайск (в т.ч. ПИР) </v>
      </c>
      <c r="F291" s="67" t="str">
        <f ca="1">IFERROR(__xludf.DUMMYFUNCTION("""COMPUTED_VALUE"""),"2020-2021")</f>
        <v>2020-2021</v>
      </c>
      <c r="G291" s="67" t="str">
        <f ca="1">IFERROR(__xludf.DUMMYFUNCTION("""COMPUTED_VALUE"""),"г.о. Зарайск")</f>
        <v>г.о. Зарайск</v>
      </c>
      <c r="H291" s="67" t="str">
        <f ca="1">IFERROR(__xludf.DUMMYFUNCTION("""COMPUTED_VALUE"""),"БМК")</f>
        <v>БМК</v>
      </c>
      <c r="I291" s="97">
        <f ca="1">IFERROR(__xludf.DUMMYFUNCTION("""COMPUTED_VALUE"""),0)</f>
        <v>0</v>
      </c>
      <c r="J291" s="67"/>
      <c r="K291" s="97">
        <f ca="1">IFERROR(__xludf.DUMMYFUNCTION("""COMPUTED_VALUE"""),1237.42999999999)</f>
        <v>1237.4299999999901</v>
      </c>
      <c r="L291" s="97">
        <f ca="1">IFERROR(__xludf.DUMMYFUNCTION("""COMPUTED_VALUE"""),0)</f>
        <v>0</v>
      </c>
      <c r="M291" s="97">
        <f ca="1">IFERROR(__xludf.DUMMYFUNCTION("""COMPUTED_VALUE"""),0)</f>
        <v>0</v>
      </c>
      <c r="N291" s="67"/>
      <c r="O291" s="67"/>
      <c r="P291" s="67" t="str">
        <f ca="1">IFERROR(__xludf.DUMMYFUNCTION("""COMPUTED_VALUE"""),"ПИР ")</f>
        <v xml:space="preserve">ПИР </v>
      </c>
      <c r="Q291" s="67">
        <f t="shared" ca="1" si="0"/>
        <v>0</v>
      </c>
      <c r="R291" s="67"/>
      <c r="S291" s="67"/>
      <c r="T291" s="67"/>
      <c r="U291" s="67"/>
      <c r="V291" s="67"/>
      <c r="W291" s="67"/>
      <c r="X291" s="67"/>
      <c r="Y291" s="67"/>
      <c r="Z291" s="67"/>
      <c r="AA291" s="67"/>
      <c r="AB291" s="67"/>
      <c r="AC291" s="67"/>
      <c r="AD291" s="67"/>
      <c r="AE291" s="67"/>
      <c r="AF291" s="67"/>
      <c r="AG291" s="67"/>
      <c r="AH291" s="67"/>
      <c r="AI291" s="67"/>
      <c r="AJ291" s="67"/>
      <c r="AK291" s="67"/>
      <c r="AL291" s="67"/>
      <c r="AM291" s="67"/>
    </row>
    <row r="292" spans="1:39" ht="72" x14ac:dyDescent="0.2">
      <c r="A292" s="67"/>
      <c r="B292" s="96"/>
      <c r="C29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2" s="20" t="str">
        <f ca="1">IFERROR(__xludf.DUMMYFUNCTION("""COMPUTED_VALUE"""),"МинЖКХ ""ТОП 5 (1 этап)""")</f>
        <v>МинЖКХ "ТОП 5 (1 этап)"</v>
      </c>
      <c r="E292" s="20" t="str">
        <f ca="1">IFERROR(__xludf.DUMMYFUNCTION("""COMPUTED_VALUE"""),"Строительство блочно-модульной котельной со снижением мощности в г. Зарайск, пос. ПМК-6  г.о. Зарайск (в т.ч. ПИР)")</f>
        <v>Строительство блочно-модульной котельной со снижением мощности в г. Зарайск, пос. ПМК-6  г.о. Зарайск (в т.ч. ПИР)</v>
      </c>
      <c r="F292" s="67" t="str">
        <f ca="1">IFERROR(__xludf.DUMMYFUNCTION("""COMPUTED_VALUE"""),"2020-2021")</f>
        <v>2020-2021</v>
      </c>
      <c r="G292" s="67" t="str">
        <f ca="1">IFERROR(__xludf.DUMMYFUNCTION("""COMPUTED_VALUE"""),"г.о. Зарайск")</f>
        <v>г.о. Зарайск</v>
      </c>
      <c r="H292" s="67" t="str">
        <f ca="1">IFERROR(__xludf.DUMMYFUNCTION("""COMPUTED_VALUE"""),"БМК")</f>
        <v>БМК</v>
      </c>
      <c r="I292" s="97">
        <f ca="1">IFERROR(__xludf.DUMMYFUNCTION("""COMPUTED_VALUE"""),0)</f>
        <v>0</v>
      </c>
      <c r="J292" s="67"/>
      <c r="K292" s="97">
        <f ca="1">IFERROR(__xludf.DUMMYFUNCTION("""COMPUTED_VALUE"""),1188.67999999999)</f>
        <v>1188.6799999999901</v>
      </c>
      <c r="L292" s="97">
        <f ca="1">IFERROR(__xludf.DUMMYFUNCTION("""COMPUTED_VALUE"""),0)</f>
        <v>0</v>
      </c>
      <c r="M292" s="97">
        <f ca="1">IFERROR(__xludf.DUMMYFUNCTION("""COMPUTED_VALUE"""),0)</f>
        <v>0</v>
      </c>
      <c r="N292" s="67"/>
      <c r="O292" s="67"/>
      <c r="P292" s="67" t="str">
        <f ca="1">IFERROR(__xludf.DUMMYFUNCTION("""COMPUTED_VALUE"""),"ПИР ")</f>
        <v xml:space="preserve">ПИР </v>
      </c>
      <c r="Q292" s="67">
        <f t="shared" ca="1" si="0"/>
        <v>0</v>
      </c>
      <c r="R292" s="67"/>
      <c r="S292" s="67"/>
      <c r="T292" s="67"/>
      <c r="U292" s="67"/>
      <c r="V292" s="67"/>
      <c r="W292" s="67"/>
      <c r="X292" s="67"/>
      <c r="Y292" s="67"/>
      <c r="Z292" s="67"/>
      <c r="AA292" s="67"/>
      <c r="AB292" s="67"/>
      <c r="AC292" s="67"/>
      <c r="AD292" s="67"/>
      <c r="AE292" s="67"/>
      <c r="AF292" s="67"/>
      <c r="AG292" s="67"/>
      <c r="AH292" s="67"/>
      <c r="AI292" s="67"/>
      <c r="AJ292" s="67"/>
      <c r="AK292" s="67"/>
      <c r="AL292" s="67"/>
      <c r="AM292" s="67"/>
    </row>
    <row r="293" spans="1:39" ht="120" hidden="1" x14ac:dyDescent="0.2">
      <c r="A293" s="67"/>
      <c r="B293" s="100"/>
      <c r="C29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3" s="20" t="str">
        <f ca="1">IFERROR(__xludf.DUMMYFUNCTION("""COMPUTED_VALUE"""),"МинЖКХ")</f>
        <v>МинЖКХ</v>
      </c>
      <c r="E293" s="20" t="str">
        <f ca="1">IFERROR(__xludf.DUMMYFUNCTION("""COMPUTED_VALUE"""),"Строительство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"&amp;"и электроснабжения) ")</f>
        <v xml:space="preserve">Строительство газовой котельной тепловой мощностью 30 гкал/час для теплоснабжения многоквартирных жилых домов по адресу: городское поселение Раменское, ул. Северное шоссе, мкр. ЖК «Раменский»  (в том числе ПИР и тех присоединение к системам газоснабжения и электроснабжения) </v>
      </c>
      <c r="F293" s="67" t="str">
        <f ca="1">IFERROR(__xludf.DUMMYFUNCTION("""COMPUTED_VALUE"""),"2021-2022")</f>
        <v>2021-2022</v>
      </c>
      <c r="G293" s="67" t="str">
        <f ca="1">IFERROR(__xludf.DUMMYFUNCTION("""COMPUTED_VALUE"""),"г.о. Раменский")</f>
        <v>г.о. Раменский</v>
      </c>
      <c r="H293" s="67" t="str">
        <f ca="1">IFERROR(__xludf.DUMMYFUNCTION("""COMPUTED_VALUE"""),"Котельная")</f>
        <v>Котельная</v>
      </c>
      <c r="I293" s="67"/>
      <c r="J293" s="67"/>
      <c r="K293" s="97">
        <f ca="1">IFERROR(__xludf.DUMMYFUNCTION("""COMPUTED_VALUE"""),13853.96)</f>
        <v>13853.96</v>
      </c>
      <c r="L293" s="97">
        <f ca="1">IFERROR(__xludf.DUMMYFUNCTION("""COMPUTED_VALUE"""),0)</f>
        <v>0</v>
      </c>
      <c r="M293" s="97">
        <f ca="1">IFERROR(__xludf.DUMMYFUNCTION("""COMPUTED_VALUE"""),0)</f>
        <v>0</v>
      </c>
      <c r="N293" s="67"/>
      <c r="O293" s="67"/>
      <c r="P293" s="67" t="str">
        <f ca="1">IFERROR(__xludf.DUMMYFUNCTION("""COMPUTED_VALUE"""),"СМР")</f>
        <v>СМР</v>
      </c>
      <c r="Q293" s="67">
        <f t="shared" ca="1" si="0"/>
        <v>0</v>
      </c>
      <c r="R293" s="67"/>
      <c r="S293" s="67"/>
      <c r="T293" s="67"/>
      <c r="U293" s="67"/>
      <c r="V293" s="67"/>
      <c r="W293" s="67"/>
      <c r="X293" s="67"/>
      <c r="Y293" s="67"/>
      <c r="Z293" s="67"/>
      <c r="AA293" s="67"/>
      <c r="AB293" s="67"/>
      <c r="AC293" s="67"/>
      <c r="AD293" s="67"/>
      <c r="AE293" s="67"/>
      <c r="AF293" s="67"/>
      <c r="AG293" s="67"/>
      <c r="AH293" s="67"/>
      <c r="AI293" s="67"/>
      <c r="AJ293" s="67"/>
      <c r="AK293" s="67"/>
      <c r="AL293" s="67"/>
      <c r="AM293" s="67"/>
    </row>
    <row r="294" spans="1:39" ht="72" x14ac:dyDescent="0.2">
      <c r="A294" s="67"/>
      <c r="B294" s="96"/>
      <c r="C29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4" s="20" t="str">
        <f ca="1">IFERROR(__xludf.DUMMYFUNCTION("""COMPUTED_VALUE"""),"МинЖКХ ""ТОП 5 (1 этап)""")</f>
        <v>МинЖКХ "ТОП 5 (1 этап)"</v>
      </c>
      <c r="E294" s="20" t="str">
        <f ca="1">IFERROR(__xludf.DUMMYFUNCTION("""COMPUTED_VALUE"""),"Строительство блочно-модульной котельной со снижением мощности в д. Авдеево, г.о. Зарайск (в т.ч. ПИР) ")</f>
        <v xml:space="preserve">Строительство блочно-модульной котельной со снижением мощности в д. Авдеево, г.о. Зарайск (в т.ч. ПИР) </v>
      </c>
      <c r="F294" s="67" t="str">
        <f ca="1">IFERROR(__xludf.DUMMYFUNCTION("""COMPUTED_VALUE"""),"2020-2021")</f>
        <v>2020-2021</v>
      </c>
      <c r="G294" s="67" t="str">
        <f ca="1">IFERROR(__xludf.DUMMYFUNCTION("""COMPUTED_VALUE"""),"г.о. Зарайск")</f>
        <v>г.о. Зарайск</v>
      </c>
      <c r="H294" s="67" t="str">
        <f ca="1">IFERROR(__xludf.DUMMYFUNCTION("""COMPUTED_VALUE"""),"БМК")</f>
        <v>БМК</v>
      </c>
      <c r="I294" s="97">
        <f ca="1">IFERROR(__xludf.DUMMYFUNCTION("""COMPUTED_VALUE"""),0)</f>
        <v>0</v>
      </c>
      <c r="J294" s="67"/>
      <c r="K294" s="97">
        <f ca="1">IFERROR(__xludf.DUMMYFUNCTION("""COMPUTED_VALUE"""),1188.67999999999)</f>
        <v>1188.6799999999901</v>
      </c>
      <c r="L294" s="97">
        <f ca="1">IFERROR(__xludf.DUMMYFUNCTION("""COMPUTED_VALUE"""),0)</f>
        <v>0</v>
      </c>
      <c r="M294" s="97">
        <f ca="1">IFERROR(__xludf.DUMMYFUNCTION("""COMPUTED_VALUE"""),0)</f>
        <v>0</v>
      </c>
      <c r="N294" s="67"/>
      <c r="O294" s="67"/>
      <c r="P294" s="67" t="str">
        <f ca="1">IFERROR(__xludf.DUMMYFUNCTION("""COMPUTED_VALUE"""),"ПИР ")</f>
        <v xml:space="preserve">ПИР </v>
      </c>
      <c r="Q294" s="67">
        <f t="shared" ca="1" si="0"/>
        <v>0</v>
      </c>
      <c r="R294" s="67"/>
      <c r="S294" s="67"/>
      <c r="T294" s="67"/>
      <c r="U294" s="67"/>
      <c r="V294" s="67"/>
      <c r="W294" s="67"/>
      <c r="X294" s="67"/>
      <c r="Y294" s="67"/>
      <c r="Z294" s="67"/>
      <c r="AA294" s="67"/>
      <c r="AB294" s="67"/>
      <c r="AC294" s="67"/>
      <c r="AD294" s="67"/>
      <c r="AE294" s="67"/>
      <c r="AF294" s="67"/>
      <c r="AG294" s="67"/>
      <c r="AH294" s="67"/>
      <c r="AI294" s="67"/>
      <c r="AJ294" s="67"/>
      <c r="AK294" s="67"/>
      <c r="AL294" s="67"/>
      <c r="AM294" s="67"/>
    </row>
    <row r="295" spans="1:39" ht="96" hidden="1" x14ac:dyDescent="0.2">
      <c r="A295" s="67"/>
      <c r="B295" s="100"/>
      <c r="C29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5" s="20" t="str">
        <f ca="1">IFERROR(__xludf.DUMMYFUNCTION("""COMPUTED_VALUE"""),"МинЖКХ")</f>
        <v>МинЖКХ</v>
      </c>
      <c r="E295" s="20" t="str">
        <f ca="1">IFERROR(__xludf.DUMMYFUNCTION("""COMPUTED_VALUE"""),"Строительство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f>
        <v>Строительство автоматизированной котельной с переключением существующей нагрузки и увеличением мощности до 60 МВт в пос. Архангельское, городской округ Красногорск ( в том числе ПИР)</v>
      </c>
      <c r="F295" s="67" t="str">
        <f ca="1">IFERROR(__xludf.DUMMYFUNCTION("""COMPUTED_VALUE"""),"2022-2023")</f>
        <v>2022-2023</v>
      </c>
      <c r="G295" s="67" t="str">
        <f ca="1">IFERROR(__xludf.DUMMYFUNCTION("""COMPUTED_VALUE"""),"г.о. Красногорск")</f>
        <v>г.о. Красногорск</v>
      </c>
      <c r="H295" s="67" t="str">
        <f ca="1">IFERROR(__xludf.DUMMYFUNCTION("""COMPUTED_VALUE"""),"Котельная")</f>
        <v>Котельная</v>
      </c>
      <c r="I295" s="67"/>
      <c r="J295" s="67"/>
      <c r="K295" s="97">
        <f ca="1">IFERROR(__xludf.DUMMYFUNCTION("""COMPUTED_VALUE"""),1138.2)</f>
        <v>1138.2</v>
      </c>
      <c r="L295" s="97">
        <f ca="1">IFERROR(__xludf.DUMMYFUNCTION("""COMPUTED_VALUE"""),0)</f>
        <v>0</v>
      </c>
      <c r="M295" s="97">
        <f ca="1">IFERROR(__xludf.DUMMYFUNCTION("""COMPUTED_VALUE"""),0)</f>
        <v>0</v>
      </c>
      <c r="N295" s="67"/>
      <c r="O295" s="67"/>
      <c r="P295" s="67" t="str">
        <f ca="1">IFERROR(__xludf.DUMMYFUNCTION("""COMPUTED_VALUE"""),"СМР")</f>
        <v>СМР</v>
      </c>
      <c r="Q295" s="67">
        <f t="shared" ca="1" si="0"/>
        <v>0</v>
      </c>
      <c r="R295" s="67"/>
      <c r="S295" s="67"/>
      <c r="T295" s="67"/>
      <c r="U295" s="67"/>
      <c r="V295" s="67"/>
      <c r="W295" s="67"/>
      <c r="X295" s="67"/>
      <c r="Y295" s="67"/>
      <c r="Z295" s="67"/>
      <c r="AA295" s="67"/>
      <c r="AB295" s="67"/>
      <c r="AC295" s="67"/>
      <c r="AD295" s="67"/>
      <c r="AE295" s="67"/>
      <c r="AF295" s="67"/>
      <c r="AG295" s="67"/>
      <c r="AH295" s="67"/>
      <c r="AI295" s="67"/>
      <c r="AJ295" s="67"/>
      <c r="AK295" s="67"/>
      <c r="AL295" s="67"/>
      <c r="AM295" s="67"/>
    </row>
    <row r="296" spans="1:39" ht="72" x14ac:dyDescent="0.2">
      <c r="A296" s="67"/>
      <c r="B296" s="96"/>
      <c r="C29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6" s="20" t="str">
        <f ca="1">IFERROR(__xludf.DUMMYFUNCTION("""COMPUTED_VALUE"""),"МинЖКХ ""ТОП 5 (1 этап)""")</f>
        <v>МинЖКХ "ТОП 5 (1 этап)"</v>
      </c>
      <c r="E296" s="20" t="str">
        <f ca="1">IFERROR(__xludf.DUMMYFUNCTION("""COMPUTED_VALUE"""),"Строительство блочно-модульной котельной со снижением мощности в д. Алферьево, г.о. Зарайск (в т.ч. ПИР) ")</f>
        <v xml:space="preserve">Строительство блочно-модульной котельной со снижением мощности в д. Алферьево, г.о. Зарайск (в т.ч. ПИР) </v>
      </c>
      <c r="F296" s="67" t="str">
        <f ca="1">IFERROR(__xludf.DUMMYFUNCTION("""COMPUTED_VALUE"""),"2020-2021")</f>
        <v>2020-2021</v>
      </c>
      <c r="G296" s="67" t="str">
        <f ca="1">IFERROR(__xludf.DUMMYFUNCTION("""COMPUTED_VALUE"""),"г.о. Зарайск")</f>
        <v>г.о. Зарайск</v>
      </c>
      <c r="H296" s="67" t="str">
        <f ca="1">IFERROR(__xludf.DUMMYFUNCTION("""COMPUTED_VALUE"""),"БМК")</f>
        <v>БМК</v>
      </c>
      <c r="I296" s="97">
        <f ca="1">IFERROR(__xludf.DUMMYFUNCTION("""COMPUTED_VALUE"""),0)</f>
        <v>0</v>
      </c>
      <c r="J296" s="67"/>
      <c r="K296" s="97">
        <f ca="1">IFERROR(__xludf.DUMMYFUNCTION("""COMPUTED_VALUE"""),1011.97)</f>
        <v>1011.97</v>
      </c>
      <c r="L296" s="97">
        <f ca="1">IFERROR(__xludf.DUMMYFUNCTION("""COMPUTED_VALUE"""),0)</f>
        <v>0</v>
      </c>
      <c r="M296" s="97">
        <f ca="1">IFERROR(__xludf.DUMMYFUNCTION("""COMPUTED_VALUE"""),0)</f>
        <v>0</v>
      </c>
      <c r="N296" s="67"/>
      <c r="O296" s="67"/>
      <c r="P296" s="67" t="str">
        <f ca="1">IFERROR(__xludf.DUMMYFUNCTION("""COMPUTED_VALUE"""),"ПИР ")</f>
        <v xml:space="preserve">ПИР </v>
      </c>
      <c r="Q296" s="67">
        <f t="shared" ca="1" si="0"/>
        <v>0</v>
      </c>
      <c r="R296" s="67"/>
      <c r="S296" s="67"/>
      <c r="T296" s="67"/>
      <c r="U296" s="67"/>
      <c r="V296" s="67"/>
      <c r="W296" s="67"/>
      <c r="X296" s="67"/>
      <c r="Y296" s="67"/>
      <c r="Z296" s="67"/>
      <c r="AA296" s="67"/>
      <c r="AB296" s="67"/>
      <c r="AC296" s="67"/>
      <c r="AD296" s="67"/>
      <c r="AE296" s="67"/>
      <c r="AF296" s="67"/>
      <c r="AG296" s="67"/>
      <c r="AH296" s="67"/>
      <c r="AI296" s="67"/>
      <c r="AJ296" s="67"/>
      <c r="AK296" s="67"/>
      <c r="AL296" s="67"/>
      <c r="AM296" s="67"/>
    </row>
    <row r="297" spans="1:39" ht="72" hidden="1" x14ac:dyDescent="0.2">
      <c r="A297" s="67"/>
      <c r="B297" s="100"/>
      <c r="C29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7" s="20" t="str">
        <f ca="1">IFERROR(__xludf.DUMMYFUNCTION("""COMPUTED_VALUE"""),"МинЖКХ")</f>
        <v>МинЖКХ</v>
      </c>
      <c r="E297" s="20" t="str">
        <f ca="1">IFERROR(__xludf.DUMMYFUNCTION("""COMPUTED_VALUE"""),"Реконструкция   тепловых сетей отопления и горячего водоснабжения   (в том числе ПИР) по адресу: городской округ Красногорск, пос. Архангельское")</f>
        <v>Реконструкция   тепловых сетей отопления и горячего водоснабжения   (в том числе ПИР) по адресу: городской округ Красногорск, пос. Архангельское</v>
      </c>
      <c r="F297" s="67" t="str">
        <f ca="1">IFERROR(__xludf.DUMMYFUNCTION("""COMPUTED_VALUE"""),"2021-2022")</f>
        <v>2021-2022</v>
      </c>
      <c r="G297" s="67" t="str">
        <f ca="1">IFERROR(__xludf.DUMMYFUNCTION("""COMPUTED_VALUE"""),"г.о. Красногорск")</f>
        <v>г.о. Красногорск</v>
      </c>
      <c r="H297" s="67" t="str">
        <f ca="1">IFERROR(__xludf.DUMMYFUNCTION("""COMPUTED_VALUE"""),"Сети")</f>
        <v>Сети</v>
      </c>
      <c r="I297" s="67"/>
      <c r="J297" s="67"/>
      <c r="K297" s="97">
        <f ca="1">IFERROR(__xludf.DUMMYFUNCTION("""COMPUTED_VALUE"""),7866.88999999999)</f>
        <v>7866.8899999999903</v>
      </c>
      <c r="L297" s="97">
        <f ca="1">IFERROR(__xludf.DUMMYFUNCTION("""COMPUTED_VALUE"""),0)</f>
        <v>0</v>
      </c>
      <c r="M297" s="97">
        <f ca="1">IFERROR(__xludf.DUMMYFUNCTION("""COMPUTED_VALUE"""),0)</f>
        <v>0</v>
      </c>
      <c r="N297" s="67"/>
      <c r="O297" s="67"/>
      <c r="P297" s="67" t="str">
        <f ca="1">IFERROR(__xludf.DUMMYFUNCTION("""COMPUTED_VALUE"""),"СМР")</f>
        <v>СМР</v>
      </c>
      <c r="Q297" s="67">
        <f t="shared" ca="1" si="0"/>
        <v>0</v>
      </c>
      <c r="R297" s="67"/>
      <c r="S297" s="67"/>
      <c r="T297" s="67"/>
      <c r="U297" s="67"/>
      <c r="V297" s="67"/>
      <c r="W297" s="67"/>
      <c r="X297" s="67"/>
      <c r="Y297" s="67"/>
      <c r="Z297" s="67"/>
      <c r="AA297" s="67"/>
      <c r="AB297" s="67"/>
      <c r="AC297" s="67"/>
      <c r="AD297" s="67"/>
      <c r="AE297" s="67"/>
      <c r="AF297" s="67"/>
      <c r="AG297" s="67"/>
      <c r="AH297" s="67"/>
      <c r="AI297" s="67"/>
      <c r="AJ297" s="67"/>
      <c r="AK297" s="67"/>
      <c r="AL297" s="67"/>
      <c r="AM297" s="67"/>
    </row>
    <row r="298" spans="1:39" ht="72" x14ac:dyDescent="0.2">
      <c r="A298" s="67"/>
      <c r="B298" s="96"/>
      <c r="C29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8" s="20" t="str">
        <f ca="1">IFERROR(__xludf.DUMMYFUNCTION("""COMPUTED_VALUE"""),"МинЖКХ ""ТОП 5 (1 этап)""")</f>
        <v>МинЖКХ "ТОП 5 (1 этап)"</v>
      </c>
      <c r="E298" s="20" t="str">
        <f ca="1">IFERROR(__xludf.DUMMYFUNCTION("""COMPUTED_VALUE"""),"Строительство блочно-модульной котельной со снижением мощности в д. Гололобово г.о. Зарайск")</f>
        <v>Строительство блочно-модульной котельной со снижением мощности в д. Гололобово г.о. Зарайск</v>
      </c>
      <c r="F298" s="67">
        <f ca="1">IFERROR(__xludf.DUMMYFUNCTION("""COMPUTED_VALUE"""),2020)</f>
        <v>2020</v>
      </c>
      <c r="G298" s="67" t="str">
        <f ca="1">IFERROR(__xludf.DUMMYFUNCTION("""COMPUTED_VALUE"""),"г.о. Зарайск")</f>
        <v>г.о. Зарайск</v>
      </c>
      <c r="H298" s="67" t="str">
        <f ca="1">IFERROR(__xludf.DUMMYFUNCTION("""COMPUTED_VALUE"""),"БМК")</f>
        <v>БМК</v>
      </c>
      <c r="I298" s="97">
        <f ca="1">IFERROR(__xludf.DUMMYFUNCTION("""COMPUTED_VALUE"""),0)</f>
        <v>0</v>
      </c>
      <c r="J298" s="67">
        <f ca="1">IFERROR(__xludf.DUMMYFUNCTION("""COMPUTED_VALUE"""),10903.94)</f>
        <v>10903.94</v>
      </c>
      <c r="K298" s="97">
        <f ca="1">IFERROR(__xludf.DUMMYFUNCTION("""COMPUTED_VALUE"""),871.37)</f>
        <v>871.37</v>
      </c>
      <c r="L298" s="97">
        <f ca="1">IFERROR(__xludf.DUMMYFUNCTION("""COMPUTED_VALUE"""),0)</f>
        <v>0</v>
      </c>
      <c r="M298" s="97">
        <f ca="1">IFERROR(__xludf.DUMMYFUNCTION("""COMPUTED_VALUE"""),0)</f>
        <v>0</v>
      </c>
      <c r="N298" s="67"/>
      <c r="O298" s="67"/>
      <c r="P298" s="67" t="str">
        <f ca="1">IFERROR(__xludf.DUMMYFUNCTION("""COMPUTED_VALUE"""),"СМР")</f>
        <v>СМР</v>
      </c>
      <c r="Q298" s="67">
        <f t="shared" ca="1" si="0"/>
        <v>0</v>
      </c>
      <c r="R298" s="67"/>
      <c r="S298" s="67"/>
      <c r="T298" s="67"/>
      <c r="U298" s="67"/>
      <c r="V298" s="67"/>
      <c r="W298" s="67"/>
      <c r="X298" s="67"/>
      <c r="Y298" s="67"/>
      <c r="Z298" s="67"/>
      <c r="AA298" s="67"/>
      <c r="AB298" s="67"/>
      <c r="AC298" s="67"/>
      <c r="AD298" s="67"/>
      <c r="AE298" s="67"/>
      <c r="AF298" s="67"/>
      <c r="AG298" s="67"/>
      <c r="AH298" s="67"/>
      <c r="AI298" s="67"/>
      <c r="AJ298" s="67"/>
      <c r="AK298" s="67"/>
      <c r="AL298" s="67"/>
      <c r="AM298" s="67"/>
    </row>
    <row r="299" spans="1:39" ht="96" hidden="1" x14ac:dyDescent="0.2">
      <c r="A299" s="67"/>
      <c r="B299" s="96"/>
      <c r="C29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9" s="20" t="str">
        <f ca="1">IFERROR(__xludf.DUMMYFUNCTION("""COMPUTED_VALUE"""),"МинЖКХ")</f>
        <v>МинЖКХ</v>
      </c>
      <c r="E299" s="20" t="str">
        <f ca="1">IFERROR(__xludf.DUMMYFUNCTION("""COMPUTED_VALUE"""),"Строительство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f>
        <v>Строительство блочно-модульной котельной для теплоснабжения реконструируемого стадиона "Знамя труда", расположенного по адресу: Московская область, г.о. Орехво-Зуево, ул. Торфобрикетная (в т.ч. ПИР)</v>
      </c>
      <c r="F299" s="67">
        <f ca="1">IFERROR(__xludf.DUMMYFUNCTION("""COMPUTED_VALUE"""),2021)</f>
        <v>2021</v>
      </c>
      <c r="G299" s="67" t="str">
        <f ca="1">IFERROR(__xludf.DUMMYFUNCTION("""COMPUTED_VALUE"""),"г.о. Орехово-Зуево")</f>
        <v>г.о. Орехово-Зуево</v>
      </c>
      <c r="H299" s="67" t="str">
        <f ca="1">IFERROR(__xludf.DUMMYFUNCTION("""COMPUTED_VALUE"""),"БМК")</f>
        <v>БМК</v>
      </c>
      <c r="I299" s="67"/>
      <c r="J299" s="67"/>
      <c r="K299" s="97">
        <f ca="1">IFERROR(__xludf.DUMMYFUNCTION("""COMPUTED_VALUE"""),1500)</f>
        <v>1500</v>
      </c>
      <c r="L299" s="97">
        <f ca="1">IFERROR(__xludf.DUMMYFUNCTION("""COMPUTED_VALUE"""),0)</f>
        <v>0</v>
      </c>
      <c r="M299" s="97">
        <f ca="1">IFERROR(__xludf.DUMMYFUNCTION("""COMPUTED_VALUE"""),0)</f>
        <v>0</v>
      </c>
      <c r="N299" s="67"/>
      <c r="O299" s="67"/>
      <c r="P299" s="67" t="str">
        <f ca="1">IFERROR(__xludf.DUMMYFUNCTION("""COMPUTED_VALUE"""),"СМР")</f>
        <v>СМР</v>
      </c>
      <c r="Q299" s="67">
        <f t="shared" ca="1" si="0"/>
        <v>0</v>
      </c>
      <c r="R299" s="67"/>
      <c r="S299" s="67"/>
      <c r="T299" s="67"/>
      <c r="U299" s="67"/>
      <c r="V299" s="67"/>
      <c r="W299" s="67"/>
      <c r="X299" s="67"/>
      <c r="Y299" s="67"/>
      <c r="Z299" s="67"/>
      <c r="AA299" s="67"/>
      <c r="AB299" s="67"/>
      <c r="AC299" s="67"/>
      <c r="AD299" s="67"/>
      <c r="AE299" s="67"/>
      <c r="AF299" s="67"/>
      <c r="AG299" s="67"/>
      <c r="AH299" s="67"/>
      <c r="AI299" s="67"/>
      <c r="AJ299" s="67"/>
      <c r="AK299" s="67"/>
      <c r="AL299" s="67"/>
      <c r="AM299" s="67"/>
    </row>
    <row r="300" spans="1:39" ht="72" hidden="1" x14ac:dyDescent="0.2">
      <c r="A300" s="67"/>
      <c r="B300" s="96"/>
      <c r="C30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0" s="20" t="str">
        <f ca="1">IFERROR(__xludf.DUMMYFUNCTION("""COMPUTED_VALUE"""),"МинЖКХ")</f>
        <v>МинЖКХ</v>
      </c>
      <c r="E300" s="20" t="str">
        <f ca="1">IFERROR(__xludf.DUMMYFUNCTION("""COMPUTED_VALUE"""),"Строительство БМК г. Руза, ул. Говорова, д.1А")</f>
        <v>Строительство БМК г. Руза, ул. Говорова, д.1А</v>
      </c>
      <c r="F300" s="67">
        <f ca="1">IFERROR(__xludf.DUMMYFUNCTION("""COMPUTED_VALUE"""),2021)</f>
        <v>2021</v>
      </c>
      <c r="G300" s="67" t="str">
        <f ca="1">IFERROR(__xludf.DUMMYFUNCTION("""COMPUTED_VALUE"""),"г.о. Рузский")</f>
        <v>г.о. Рузский</v>
      </c>
      <c r="H300" s="67" t="str">
        <f ca="1">IFERROR(__xludf.DUMMYFUNCTION("""COMPUTED_VALUE"""),"БМК")</f>
        <v>БМК</v>
      </c>
      <c r="I300" s="67"/>
      <c r="J300" s="67"/>
      <c r="K300" s="97">
        <f ca="1">IFERROR(__xludf.DUMMYFUNCTION("""COMPUTED_VALUE"""),6175.05)</f>
        <v>6175.05</v>
      </c>
      <c r="L300" s="97">
        <f ca="1">IFERROR(__xludf.DUMMYFUNCTION("""COMPUTED_VALUE"""),0)</f>
        <v>0</v>
      </c>
      <c r="M300" s="97">
        <f ca="1">IFERROR(__xludf.DUMMYFUNCTION("""COMPUTED_VALUE"""),5370.46)</f>
        <v>5370.46</v>
      </c>
      <c r="N300" s="67"/>
      <c r="O300" s="67"/>
      <c r="P300" s="67" t="str">
        <f ca="1">IFERROR(__xludf.DUMMYFUNCTION("""COMPUTED_VALUE"""),"СМР")</f>
        <v>СМР</v>
      </c>
      <c r="Q300" s="67">
        <f t="shared" ca="1" si="0"/>
        <v>0</v>
      </c>
      <c r="R300" s="67"/>
      <c r="S300" s="67"/>
      <c r="T300" s="67"/>
      <c r="U300" s="67"/>
      <c r="V300" s="67"/>
      <c r="W300" s="67"/>
      <c r="X300" s="67"/>
      <c r="Y300" s="67"/>
      <c r="Z300" s="67"/>
      <c r="AA300" s="67"/>
      <c r="AB300" s="67"/>
      <c r="AC300" s="67"/>
      <c r="AD300" s="67"/>
      <c r="AE300" s="67"/>
      <c r="AF300" s="67"/>
      <c r="AG300" s="67"/>
      <c r="AH300" s="67"/>
      <c r="AI300" s="67"/>
      <c r="AJ300" s="67"/>
      <c r="AK300" s="67"/>
      <c r="AL300" s="67"/>
      <c r="AM300" s="67"/>
    </row>
    <row r="301" spans="1:39" ht="72" hidden="1" x14ac:dyDescent="0.2">
      <c r="A301" s="67"/>
      <c r="B301" s="100"/>
      <c r="C30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1" s="20" t="str">
        <f ca="1">IFERROR(__xludf.DUMMYFUNCTION("""COMPUTED_VALUE"""),"МинЖКХ")</f>
        <v>МинЖКХ</v>
      </c>
      <c r="E301" s="20" t="str">
        <f ca="1">IFERROR(__xludf.DUMMYFUNCTION("""COMPUTED_VALUE"""),"Строительсвто БМК г. Руза, Волоколамское шоссе")</f>
        <v>Строительсвто БМК г. Руза, Волоколамское шоссе</v>
      </c>
      <c r="F301" s="67">
        <f ca="1">IFERROR(__xludf.DUMMYFUNCTION("""COMPUTED_VALUE"""),2021)</f>
        <v>2021</v>
      </c>
      <c r="G301" s="67" t="str">
        <f ca="1">IFERROR(__xludf.DUMMYFUNCTION("""COMPUTED_VALUE"""),"г.о. Рузский")</f>
        <v>г.о. Рузский</v>
      </c>
      <c r="H301" s="67" t="str">
        <f ca="1">IFERROR(__xludf.DUMMYFUNCTION("""COMPUTED_VALUE"""),"БМК")</f>
        <v>БМК</v>
      </c>
      <c r="I301" s="67"/>
      <c r="J301" s="67"/>
      <c r="K301" s="97">
        <f ca="1">IFERROR(__xludf.DUMMYFUNCTION("""COMPUTED_VALUE"""),3923.42)</f>
        <v>3923.42</v>
      </c>
      <c r="L301" s="97">
        <f ca="1">IFERROR(__xludf.DUMMYFUNCTION("""COMPUTED_VALUE"""),0)</f>
        <v>0</v>
      </c>
      <c r="M301" s="97">
        <f ca="1">IFERROR(__xludf.DUMMYFUNCTION("""COMPUTED_VALUE"""),2939.97)</f>
        <v>2939.97</v>
      </c>
      <c r="N301" s="67"/>
      <c r="O301" s="67"/>
      <c r="P301" s="67" t="str">
        <f ca="1">IFERROR(__xludf.DUMMYFUNCTION("""COMPUTED_VALUE"""),"СМР")</f>
        <v>СМР</v>
      </c>
      <c r="Q301" s="67">
        <f t="shared" ca="1" si="0"/>
        <v>0</v>
      </c>
      <c r="R301" s="67"/>
      <c r="S301" s="67"/>
      <c r="T301" s="67"/>
      <c r="U301" s="67"/>
      <c r="V301" s="67"/>
      <c r="W301" s="67"/>
      <c r="X301" s="67"/>
      <c r="Y301" s="67"/>
      <c r="Z301" s="67"/>
      <c r="AA301" s="67"/>
      <c r="AB301" s="67"/>
      <c r="AC301" s="67"/>
      <c r="AD301" s="67"/>
      <c r="AE301" s="67"/>
      <c r="AF301" s="67"/>
      <c r="AG301" s="67"/>
      <c r="AH301" s="67"/>
      <c r="AI301" s="67"/>
      <c r="AJ301" s="67"/>
      <c r="AK301" s="67"/>
      <c r="AL301" s="67"/>
      <c r="AM301" s="67"/>
    </row>
    <row r="302" spans="1:39" ht="72" x14ac:dyDescent="0.2">
      <c r="A302" s="67"/>
      <c r="B302" s="100"/>
      <c r="C30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2" s="20" t="str">
        <f ca="1">IFERROR(__xludf.DUMMYFUNCTION("""COMPUTED_VALUE"""),"МинЖКХ ""ТОП 5 (1 этап)""")</f>
        <v>МинЖКХ "ТОП 5 (1 этап)"</v>
      </c>
      <c r="E302" s="20" t="str">
        <f ca="1">IFERROR(__xludf.DUMMYFUNCTION("""COMPUTED_VALUE"""),"Строительство блочно-модульной котельной со снижением мощности в д. Ерново г.о. Зарайск (в т.ч. ПИР)")</f>
        <v>Строительство блочно-модульной котельной со снижением мощности в д. Ерново г.о. Зарайск (в т.ч. ПИР)</v>
      </c>
      <c r="F302" s="67">
        <f ca="1">IFERROR(__xludf.DUMMYFUNCTION("""COMPUTED_VALUE"""),2020)</f>
        <v>2020</v>
      </c>
      <c r="G302" s="67" t="str">
        <f ca="1">IFERROR(__xludf.DUMMYFUNCTION("""COMPUTED_VALUE"""),"г.о. Зарайск")</f>
        <v>г.о. Зарайск</v>
      </c>
      <c r="H302" s="67" t="str">
        <f ca="1">IFERROR(__xludf.DUMMYFUNCTION("""COMPUTED_VALUE"""),"БМК")</f>
        <v>БМК</v>
      </c>
      <c r="I302" s="97">
        <f ca="1">IFERROR(__xludf.DUMMYFUNCTION("""COMPUTED_VALUE"""),0)</f>
        <v>0</v>
      </c>
      <c r="J302" s="67">
        <f ca="1">IFERROR(__xludf.DUMMYFUNCTION("""COMPUTED_VALUE"""),10454.95)</f>
        <v>10454.950000000001</v>
      </c>
      <c r="K302" s="97">
        <f ca="1">IFERROR(__xludf.DUMMYFUNCTION("""COMPUTED_VALUE"""),871.37)</f>
        <v>871.37</v>
      </c>
      <c r="L302" s="97">
        <f ca="1">IFERROR(__xludf.DUMMYFUNCTION("""COMPUTED_VALUE"""),0)</f>
        <v>0</v>
      </c>
      <c r="M302" s="97">
        <f ca="1">IFERROR(__xludf.DUMMYFUNCTION("""COMPUTED_VALUE"""),0)</f>
        <v>0</v>
      </c>
      <c r="N302" s="67"/>
      <c r="O302" s="67"/>
      <c r="P302" s="67" t="str">
        <f ca="1">IFERROR(__xludf.DUMMYFUNCTION("""COMPUTED_VALUE"""),"СМР")</f>
        <v>СМР</v>
      </c>
      <c r="Q302" s="67">
        <f t="shared" ca="1" si="0"/>
        <v>0</v>
      </c>
      <c r="R302" s="67"/>
      <c r="S302" s="67"/>
      <c r="T302" s="67"/>
      <c r="U302" s="67"/>
      <c r="V302" s="67"/>
      <c r="W302" s="67"/>
      <c r="X302" s="67"/>
      <c r="Y302" s="67"/>
      <c r="Z302" s="67"/>
      <c r="AA302" s="67"/>
      <c r="AB302" s="67"/>
      <c r="AC302" s="67"/>
      <c r="AD302" s="67"/>
      <c r="AE302" s="67"/>
      <c r="AF302" s="67"/>
      <c r="AG302" s="67"/>
      <c r="AH302" s="67"/>
      <c r="AI302" s="67"/>
      <c r="AJ302" s="67"/>
      <c r="AK302" s="67"/>
      <c r="AL302" s="67"/>
      <c r="AM302" s="67"/>
    </row>
    <row r="303" spans="1:39" ht="72" x14ac:dyDescent="0.2">
      <c r="A303" s="67"/>
      <c r="B303" s="100"/>
      <c r="C30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3" s="20" t="str">
        <f ca="1">IFERROR(__xludf.DUMMYFUNCTION("""COMPUTED_VALUE"""),"МинЖКХ ""ТОП 5 (1 этап)""")</f>
        <v>МинЖКХ "ТОП 5 (1 этап)"</v>
      </c>
      <c r="E303" s="20" t="str">
        <f ca="1">IFERROR(__xludf.DUMMYFUNCTION("""COMPUTED_VALUE"""),"Строительство блочно-модульной котельной со снижением мощности в д. Летуново  г.о. Зарайск (в т.ч. ПИР)")</f>
        <v>Строительство блочно-модульной котельной со снижением мощности в д. Летуново  г.о. Зарайск (в т.ч. ПИР)</v>
      </c>
      <c r="F303" s="67" t="str">
        <f ca="1">IFERROR(__xludf.DUMMYFUNCTION("""COMPUTED_VALUE"""),"2020-2021")</f>
        <v>2020-2021</v>
      </c>
      <c r="G303" s="67" t="str">
        <f ca="1">IFERROR(__xludf.DUMMYFUNCTION("""COMPUTED_VALUE"""),"г.о. Зарайск")</f>
        <v>г.о. Зарайск</v>
      </c>
      <c r="H303" s="67" t="str">
        <f ca="1">IFERROR(__xludf.DUMMYFUNCTION("""COMPUTED_VALUE"""),"БМК")</f>
        <v>БМК</v>
      </c>
      <c r="I303" s="97">
        <f ca="1">IFERROR(__xludf.DUMMYFUNCTION("""COMPUTED_VALUE"""),0)</f>
        <v>0</v>
      </c>
      <c r="J303" s="67"/>
      <c r="K303" s="97">
        <f ca="1">IFERROR(__xludf.DUMMYFUNCTION("""COMPUTED_VALUE"""),627.63)</f>
        <v>627.63</v>
      </c>
      <c r="L303" s="97">
        <f ca="1">IFERROR(__xludf.DUMMYFUNCTION("""COMPUTED_VALUE"""),0)</f>
        <v>0</v>
      </c>
      <c r="M303" s="97">
        <f ca="1">IFERROR(__xludf.DUMMYFUNCTION("""COMPUTED_VALUE"""),0)</f>
        <v>0</v>
      </c>
      <c r="N303" s="67"/>
      <c r="O303" s="67"/>
      <c r="P303" s="67" t="str">
        <f ca="1">IFERROR(__xludf.DUMMYFUNCTION("""COMPUTED_VALUE"""),"ПИР ")</f>
        <v xml:space="preserve">ПИР </v>
      </c>
      <c r="Q303" s="67">
        <f t="shared" ca="1" si="0"/>
        <v>0</v>
      </c>
      <c r="R303" s="67"/>
      <c r="S303" s="67"/>
      <c r="T303" s="67"/>
      <c r="U303" s="67"/>
      <c r="V303" s="67"/>
      <c r="W303" s="67"/>
      <c r="X303" s="67"/>
      <c r="Y303" s="67"/>
      <c r="Z303" s="67"/>
      <c r="AA303" s="67"/>
      <c r="AB303" s="67"/>
      <c r="AC303" s="67"/>
      <c r="AD303" s="67"/>
      <c r="AE303" s="67"/>
      <c r="AF303" s="67"/>
      <c r="AG303" s="67"/>
      <c r="AH303" s="67"/>
      <c r="AI303" s="67"/>
      <c r="AJ303" s="67"/>
      <c r="AK303" s="67"/>
      <c r="AL303" s="67"/>
      <c r="AM303" s="67"/>
    </row>
    <row r="304" spans="1:39" ht="72" x14ac:dyDescent="0.2">
      <c r="A304" s="67"/>
      <c r="B304" s="100"/>
      <c r="C30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4" s="20" t="str">
        <f ca="1">IFERROR(__xludf.DUMMYFUNCTION("""COMPUTED_VALUE"""),"МинЖКХ ""ТОП 5 (1 этап)""")</f>
        <v>МинЖКХ "ТОП 5 (1 этап)"</v>
      </c>
      <c r="E304" s="20" t="str">
        <f ca="1">IFERROR(__xludf.DUMMYFUNCTION("""COMPUTED_VALUE"""),"Строительство блочно-модульной котельной со снижением мощности в д. Мендюкино, г.о. Зарайск (в т.ч. ПИР) ")</f>
        <v xml:space="preserve">Строительство блочно-модульной котельной со снижением мощности в д. Мендюкино, г.о. Зарайск (в т.ч. ПИР) </v>
      </c>
      <c r="F304" s="67" t="str">
        <f ca="1">IFERROR(__xludf.DUMMYFUNCTION("""COMPUTED_VALUE"""),"2020-2021")</f>
        <v>2020-2021</v>
      </c>
      <c r="G304" s="67" t="str">
        <f ca="1">IFERROR(__xludf.DUMMYFUNCTION("""COMPUTED_VALUE"""),"г.о. Зарайск")</f>
        <v>г.о. Зарайск</v>
      </c>
      <c r="H304" s="67" t="str">
        <f ca="1">IFERROR(__xludf.DUMMYFUNCTION("""COMPUTED_VALUE"""),"БМК")</f>
        <v>БМК</v>
      </c>
      <c r="I304" s="97">
        <f ca="1">IFERROR(__xludf.DUMMYFUNCTION("""COMPUTED_VALUE"""),0)</f>
        <v>0</v>
      </c>
      <c r="J304" s="67"/>
      <c r="K304" s="97">
        <f ca="1">IFERROR(__xludf.DUMMYFUNCTION("""COMPUTED_VALUE"""),1237.42999999999)</f>
        <v>1237.4299999999901</v>
      </c>
      <c r="L304" s="97">
        <f ca="1">IFERROR(__xludf.DUMMYFUNCTION("""COMPUTED_VALUE"""),0)</f>
        <v>0</v>
      </c>
      <c r="M304" s="97">
        <f ca="1">IFERROR(__xludf.DUMMYFUNCTION("""COMPUTED_VALUE"""),0)</f>
        <v>0</v>
      </c>
      <c r="N304" s="67"/>
      <c r="O304" s="67"/>
      <c r="P304" s="67" t="str">
        <f ca="1">IFERROR(__xludf.DUMMYFUNCTION("""COMPUTED_VALUE"""),"ПИР ")</f>
        <v xml:space="preserve">ПИР </v>
      </c>
      <c r="Q304" s="67">
        <f t="shared" ca="1" si="0"/>
        <v>0</v>
      </c>
      <c r="R304" s="67"/>
      <c r="S304" s="67"/>
      <c r="T304" s="67"/>
      <c r="U304" s="67"/>
      <c r="V304" s="67"/>
      <c r="W304" s="67"/>
      <c r="X304" s="67"/>
      <c r="Y304" s="67"/>
      <c r="Z304" s="67"/>
      <c r="AA304" s="67"/>
      <c r="AB304" s="67"/>
      <c r="AC304" s="67"/>
      <c r="AD304" s="67"/>
      <c r="AE304" s="67"/>
      <c r="AF304" s="67"/>
      <c r="AG304" s="67"/>
      <c r="AH304" s="67"/>
      <c r="AI304" s="67"/>
      <c r="AJ304" s="67"/>
      <c r="AK304" s="67"/>
      <c r="AL304" s="67"/>
      <c r="AM304" s="67"/>
    </row>
    <row r="305" spans="1:39" ht="72" x14ac:dyDescent="0.2">
      <c r="A305" s="67"/>
      <c r="B305" s="100"/>
      <c r="C30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5" s="20" t="str">
        <f ca="1">IFERROR(__xludf.DUMMYFUNCTION("""COMPUTED_VALUE"""),"МинЖКХ ""ТОП 5 (1 этап)""")</f>
        <v>МинЖКХ "ТОП 5 (1 этап)"</v>
      </c>
      <c r="E305" s="20" t="str">
        <f ca="1">IFERROR(__xludf.DUMMYFUNCTION("""COMPUTED_VALUE"""),"Строительство блочно-модульной котельной со снижением мощности в д. Протекино, г.о. Зарайск (в т.ч. ПИР) ")</f>
        <v xml:space="preserve">Строительство блочно-модульной котельной со снижением мощности в д. Протекино, г.о. Зарайск (в т.ч. ПИР) </v>
      </c>
      <c r="F305" s="67" t="str">
        <f ca="1">IFERROR(__xludf.DUMMYFUNCTION("""COMPUTED_VALUE"""),"2020-2021")</f>
        <v>2020-2021</v>
      </c>
      <c r="G305" s="67" t="str">
        <f ca="1">IFERROR(__xludf.DUMMYFUNCTION("""COMPUTED_VALUE"""),"г.о. Зарайск")</f>
        <v>г.о. Зарайск</v>
      </c>
      <c r="H305" s="67" t="str">
        <f ca="1">IFERROR(__xludf.DUMMYFUNCTION("""COMPUTED_VALUE"""),"БМК")</f>
        <v>БМК</v>
      </c>
      <c r="I305" s="97">
        <f ca="1">IFERROR(__xludf.DUMMYFUNCTION("""COMPUTED_VALUE"""),0)</f>
        <v>0</v>
      </c>
      <c r="J305" s="67"/>
      <c r="K305" s="97">
        <f ca="1">IFERROR(__xludf.DUMMYFUNCTION("""COMPUTED_VALUE"""),768.9)</f>
        <v>768.9</v>
      </c>
      <c r="L305" s="97">
        <f ca="1">IFERROR(__xludf.DUMMYFUNCTION("""COMPUTED_VALUE"""),0)</f>
        <v>0</v>
      </c>
      <c r="M305" s="97">
        <f ca="1">IFERROR(__xludf.DUMMYFUNCTION("""COMPUTED_VALUE"""),0)</f>
        <v>0</v>
      </c>
      <c r="N305" s="67"/>
      <c r="O305" s="67"/>
      <c r="P305" s="67" t="str">
        <f ca="1">IFERROR(__xludf.DUMMYFUNCTION("""COMPUTED_VALUE"""),"ПИР ")</f>
        <v xml:space="preserve">ПИР </v>
      </c>
      <c r="Q305" s="67">
        <f t="shared" ca="1" si="0"/>
        <v>0</v>
      </c>
      <c r="R305" s="67"/>
      <c r="S305" s="67"/>
      <c r="T305" s="67"/>
      <c r="U305" s="67"/>
      <c r="V305" s="67"/>
      <c r="W305" s="67"/>
      <c r="X305" s="67"/>
      <c r="Y305" s="67"/>
      <c r="Z305" s="67"/>
      <c r="AA305" s="67"/>
      <c r="AB305" s="67"/>
      <c r="AC305" s="67"/>
      <c r="AD305" s="67"/>
      <c r="AE305" s="67"/>
      <c r="AF305" s="67"/>
      <c r="AG305" s="67"/>
      <c r="AH305" s="67"/>
      <c r="AI305" s="67"/>
      <c r="AJ305" s="67"/>
      <c r="AK305" s="67"/>
      <c r="AL305" s="67"/>
      <c r="AM305" s="67"/>
    </row>
    <row r="306" spans="1:39" ht="72" x14ac:dyDescent="0.2">
      <c r="A306" s="67"/>
      <c r="B306" s="96"/>
      <c r="C30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6" s="20" t="str">
        <f ca="1">IFERROR(__xludf.DUMMYFUNCTION("""COMPUTED_VALUE"""),"МинЖКХ ""ТОП 5 (1 этап)""")</f>
        <v>МинЖКХ "ТОП 5 (1 этап)"</v>
      </c>
      <c r="E306" s="20" t="str">
        <f ca="1">IFERROR(__xludf.DUMMYFUNCTION("""COMPUTED_VALUE"""),"Строительство блочно-модульной котельной со снижением мощности в п. Масловский, г.о. Зарайск (в т.ч. ПИР) ")</f>
        <v xml:space="preserve">Строительство блочно-модульной котельной со снижением мощности в п. Масловский, г.о. Зарайск (в т.ч. ПИР) </v>
      </c>
      <c r="F306" s="67" t="str">
        <f ca="1">IFERROR(__xludf.DUMMYFUNCTION("""COMPUTED_VALUE"""),"2020-2021")</f>
        <v>2020-2021</v>
      </c>
      <c r="G306" s="67" t="str">
        <f ca="1">IFERROR(__xludf.DUMMYFUNCTION("""COMPUTED_VALUE"""),"г.о. Зарайск")</f>
        <v>г.о. Зарайск</v>
      </c>
      <c r="H306" s="67" t="str">
        <f ca="1">IFERROR(__xludf.DUMMYFUNCTION("""COMPUTED_VALUE"""),"БМК")</f>
        <v>БМК</v>
      </c>
      <c r="I306" s="97">
        <f ca="1">IFERROR(__xludf.DUMMYFUNCTION("""COMPUTED_VALUE"""),0)</f>
        <v>0</v>
      </c>
      <c r="J306" s="67"/>
      <c r="K306" s="97">
        <f ca="1">IFERROR(__xludf.DUMMYFUNCTION("""COMPUTED_VALUE"""),1188.67999999999)</f>
        <v>1188.6799999999901</v>
      </c>
      <c r="L306" s="97">
        <f ca="1">IFERROR(__xludf.DUMMYFUNCTION("""COMPUTED_VALUE"""),0)</f>
        <v>0</v>
      </c>
      <c r="M306" s="97">
        <f ca="1">IFERROR(__xludf.DUMMYFUNCTION("""COMPUTED_VALUE"""),0)</f>
        <v>0</v>
      </c>
      <c r="N306" s="67"/>
      <c r="O306" s="67"/>
      <c r="P306" s="67" t="str">
        <f ca="1">IFERROR(__xludf.DUMMYFUNCTION("""COMPUTED_VALUE"""),"ПИР ")</f>
        <v xml:space="preserve">ПИР </v>
      </c>
      <c r="Q306" s="67">
        <f t="shared" ca="1" si="0"/>
        <v>0</v>
      </c>
      <c r="R306" s="67"/>
      <c r="S306" s="67"/>
      <c r="T306" s="67"/>
      <c r="U306" s="67"/>
      <c r="V306" s="67"/>
      <c r="W306" s="67"/>
      <c r="X306" s="67"/>
      <c r="Y306" s="67"/>
      <c r="Z306" s="67"/>
      <c r="AA306" s="67"/>
      <c r="AB306" s="67"/>
      <c r="AC306" s="67"/>
      <c r="AD306" s="67"/>
      <c r="AE306" s="67"/>
      <c r="AF306" s="67"/>
      <c r="AG306" s="67"/>
      <c r="AH306" s="67"/>
      <c r="AI306" s="67"/>
      <c r="AJ306" s="67"/>
      <c r="AK306" s="67"/>
      <c r="AL306" s="67"/>
      <c r="AM306" s="67"/>
    </row>
    <row r="307" spans="1:39" ht="72" hidden="1" x14ac:dyDescent="0.2">
      <c r="A307" s="67"/>
      <c r="B307" s="96"/>
      <c r="C30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7" s="20" t="str">
        <f ca="1">IFERROR(__xludf.DUMMYFUNCTION("""COMPUTED_VALUE"""),"МинЖКХ")</f>
        <v>МинЖКХ</v>
      </c>
      <c r="E307" s="20" t="str">
        <f ca="1">IFERROR(__xludf.DUMMYFUNCTION("""COMPUTED_VALUE"""),"Строительство БМК д. Сумароково, д.34  г.о. Рузский")</f>
        <v>Строительство БМК д. Сумароково, д.34  г.о. Рузский</v>
      </c>
      <c r="F307" s="67">
        <f ca="1">IFERROR(__xludf.DUMMYFUNCTION("""COMPUTED_VALUE"""),2021)</f>
        <v>2021</v>
      </c>
      <c r="G307" s="67" t="str">
        <f ca="1">IFERROR(__xludf.DUMMYFUNCTION("""COMPUTED_VALUE"""),"г.о. Рузский")</f>
        <v>г.о. Рузский</v>
      </c>
      <c r="H307" s="67" t="str">
        <f ca="1">IFERROR(__xludf.DUMMYFUNCTION("""COMPUTED_VALUE"""),"БМК")</f>
        <v>БМК</v>
      </c>
      <c r="I307" s="67"/>
      <c r="J307" s="67"/>
      <c r="K307" s="97">
        <f ca="1">IFERROR(__xludf.DUMMYFUNCTION("""COMPUTED_VALUE"""),1605.92)</f>
        <v>1605.92</v>
      </c>
      <c r="L307" s="97">
        <f ca="1">IFERROR(__xludf.DUMMYFUNCTION("""COMPUTED_VALUE"""),0)</f>
        <v>0</v>
      </c>
      <c r="M307" s="97">
        <f ca="1">IFERROR(__xludf.DUMMYFUNCTION("""COMPUTED_VALUE"""),2234.85)</f>
        <v>2234.85</v>
      </c>
      <c r="N307" s="67"/>
      <c r="O307" s="67"/>
      <c r="P307" s="67" t="str">
        <f ca="1">IFERROR(__xludf.DUMMYFUNCTION("""COMPUTED_VALUE"""),"СМР")</f>
        <v>СМР</v>
      </c>
      <c r="Q307" s="67">
        <f t="shared" ca="1" si="0"/>
        <v>0</v>
      </c>
      <c r="R307" s="67"/>
      <c r="S307" s="67"/>
      <c r="T307" s="67"/>
      <c r="U307" s="67"/>
      <c r="V307" s="67"/>
      <c r="W307" s="67"/>
      <c r="X307" s="67"/>
      <c r="Y307" s="67"/>
      <c r="Z307" s="67"/>
      <c r="AA307" s="67"/>
      <c r="AB307" s="67"/>
      <c r="AC307" s="67"/>
      <c r="AD307" s="67"/>
      <c r="AE307" s="67"/>
      <c r="AF307" s="67"/>
      <c r="AG307" s="67"/>
      <c r="AH307" s="67"/>
      <c r="AI307" s="67"/>
      <c r="AJ307" s="67"/>
      <c r="AK307" s="67"/>
      <c r="AL307" s="67"/>
      <c r="AM307" s="67"/>
    </row>
    <row r="308" spans="1:39" ht="72" hidden="1" x14ac:dyDescent="0.2">
      <c r="A308" s="67"/>
      <c r="B308" s="100"/>
      <c r="C30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8" s="20" t="str">
        <f ca="1">IFERROR(__xludf.DUMMYFUNCTION("""COMPUTED_VALUE"""),"МинЖКХ")</f>
        <v>МинЖКХ</v>
      </c>
      <c r="E308" s="20" t="str">
        <f ca="1">IFERROR(__xludf.DUMMYFUNCTION("""COMPUTED_VALUE"""),"Строительсвто БМК д. Старониколаево, д. 195  г.о. Рузский")</f>
        <v>Строительсвто БМК д. Старониколаево, д. 195  г.о. Рузский</v>
      </c>
      <c r="F308" s="67">
        <f ca="1">IFERROR(__xludf.DUMMYFUNCTION("""COMPUTED_VALUE"""),2021)</f>
        <v>2021</v>
      </c>
      <c r="G308" s="67" t="str">
        <f ca="1">IFERROR(__xludf.DUMMYFUNCTION("""COMPUTED_VALUE"""),"г.о. Рузский")</f>
        <v>г.о. Рузский</v>
      </c>
      <c r="H308" s="67" t="str">
        <f ca="1">IFERROR(__xludf.DUMMYFUNCTION("""COMPUTED_VALUE"""),"БМК")</f>
        <v>БМК</v>
      </c>
      <c r="I308" s="67"/>
      <c r="J308" s="67"/>
      <c r="K308" s="97">
        <f ca="1">IFERROR(__xludf.DUMMYFUNCTION("""COMPUTED_VALUE"""),1962.92)</f>
        <v>1962.92</v>
      </c>
      <c r="L308" s="97">
        <f ca="1">IFERROR(__xludf.DUMMYFUNCTION("""COMPUTED_VALUE"""),0)</f>
        <v>0</v>
      </c>
      <c r="M308" s="97">
        <f ca="1">IFERROR(__xludf.DUMMYFUNCTION("""COMPUTED_VALUE"""),2234.85)</f>
        <v>2234.85</v>
      </c>
      <c r="N308" s="67"/>
      <c r="O308" s="67"/>
      <c r="P308" s="67" t="str">
        <f ca="1">IFERROR(__xludf.DUMMYFUNCTION("""COMPUTED_VALUE"""),"СМР")</f>
        <v>СМР</v>
      </c>
      <c r="Q308" s="67">
        <f t="shared" ca="1" si="0"/>
        <v>0</v>
      </c>
      <c r="R308" s="67"/>
      <c r="S308" s="67"/>
      <c r="T308" s="67"/>
      <c r="U308" s="67"/>
      <c r="V308" s="67"/>
      <c r="W308" s="67"/>
      <c r="X308" s="67"/>
      <c r="Y308" s="67"/>
      <c r="Z308" s="67"/>
      <c r="AA308" s="67"/>
      <c r="AB308" s="67"/>
      <c r="AC308" s="67"/>
      <c r="AD308" s="67"/>
      <c r="AE308" s="67"/>
      <c r="AF308" s="67"/>
      <c r="AG308" s="67"/>
      <c r="AH308" s="67"/>
      <c r="AI308" s="67"/>
      <c r="AJ308" s="67"/>
      <c r="AK308" s="67"/>
      <c r="AL308" s="67"/>
      <c r="AM308" s="67"/>
    </row>
    <row r="309" spans="1:39" ht="72" x14ac:dyDescent="0.2">
      <c r="A309" s="67"/>
      <c r="B309" s="100"/>
      <c r="C30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9" s="20" t="str">
        <f ca="1">IFERROR(__xludf.DUMMYFUNCTION("""COMPUTED_VALUE"""),"МинЖКХ ""ТОП 5 (1 этап)""")</f>
        <v>МинЖКХ "ТОП 5 (1 этап)"</v>
      </c>
      <c r="E309" s="20" t="str">
        <f ca="1">IFERROR(__xludf.DUMMYFUNCTION("""COMPUTED_VALUE"""),"Строительство блочно-модульной котельной со снижением мощности в г.о. Зарайск, пос. Зарайский, котельная «Карино» (в т.ч. ПИР)")</f>
        <v>Строительство блочно-модульной котельной со снижением мощности в г.о. Зарайск, пос. Зарайский, котельная «Карино» (в т.ч. ПИР)</v>
      </c>
      <c r="F309" s="67">
        <f ca="1">IFERROR(__xludf.DUMMYFUNCTION("""COMPUTED_VALUE"""),2020)</f>
        <v>2020</v>
      </c>
      <c r="G309" s="67" t="str">
        <f ca="1">IFERROR(__xludf.DUMMYFUNCTION("""COMPUTED_VALUE"""),"г.о. Зарайск")</f>
        <v>г.о. Зарайск</v>
      </c>
      <c r="H309" s="67" t="str">
        <f ca="1">IFERROR(__xludf.DUMMYFUNCTION("""COMPUTED_VALUE"""),"БМК")</f>
        <v>БМК</v>
      </c>
      <c r="I309" s="97">
        <f ca="1">IFERROR(__xludf.DUMMYFUNCTION("""COMPUTED_VALUE"""),0)</f>
        <v>0</v>
      </c>
      <c r="J309" s="67">
        <f ca="1">IFERROR(__xludf.DUMMYFUNCTION("""COMPUTED_VALUE"""),12592.35)</f>
        <v>12592.35</v>
      </c>
      <c r="K309" s="97">
        <f ca="1">IFERROR(__xludf.DUMMYFUNCTION("""COMPUTED_VALUE"""),1048.08)</f>
        <v>1048.08</v>
      </c>
      <c r="L309" s="97">
        <f ca="1">IFERROR(__xludf.DUMMYFUNCTION("""COMPUTED_VALUE"""),0)</f>
        <v>0</v>
      </c>
      <c r="M309" s="97">
        <f ca="1">IFERROR(__xludf.DUMMYFUNCTION("""COMPUTED_VALUE"""),0)</f>
        <v>0</v>
      </c>
      <c r="N309" s="67"/>
      <c r="O309" s="67"/>
      <c r="P309" s="67" t="str">
        <f ca="1">IFERROR(__xludf.DUMMYFUNCTION("""COMPUTED_VALUE"""),"СМР")</f>
        <v>СМР</v>
      </c>
      <c r="Q309" s="67">
        <f t="shared" ca="1" si="0"/>
        <v>0</v>
      </c>
      <c r="R309" s="67"/>
      <c r="S309" s="67"/>
      <c r="T309" s="67"/>
      <c r="U309" s="67"/>
      <c r="V309" s="67"/>
      <c r="W309" s="67"/>
      <c r="X309" s="67"/>
      <c r="Y309" s="67"/>
      <c r="Z309" s="67"/>
      <c r="AA309" s="67"/>
      <c r="AB309" s="67"/>
      <c r="AC309" s="67"/>
      <c r="AD309" s="67"/>
      <c r="AE309" s="67"/>
      <c r="AF309" s="67"/>
      <c r="AG309" s="67"/>
      <c r="AH309" s="67"/>
      <c r="AI309" s="67"/>
      <c r="AJ309" s="67"/>
      <c r="AK309" s="67"/>
      <c r="AL309" s="67"/>
      <c r="AM309" s="67"/>
    </row>
    <row r="310" spans="1:39" ht="72" x14ac:dyDescent="0.2">
      <c r="A310" s="67"/>
      <c r="B310" s="100"/>
      <c r="C31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0" s="20" t="str">
        <f ca="1">IFERROR(__xludf.DUMMYFUNCTION("""COMPUTED_VALUE"""),"МинЖКХ ""ТОП 5 (1 этап)""")</f>
        <v>МинЖКХ "ТОП 5 (1 этап)"</v>
      </c>
      <c r="E310" s="20" t="str">
        <f ca="1">IFERROR(__xludf.DUMMYFUNCTION("""COMPUTED_VALUE"""),"Строительство блочно-модульной котельной со снижением мощности в пос. ц.у. с/х ""40 лет Октября, г.о. Зарайск (в т.ч. ПИР) ")</f>
        <v xml:space="preserve">Строительство блочно-модульной котельной со снижением мощности в пос. ц.у. с/х "40 лет Октября, г.о. Зарайск (в т.ч. ПИР) </v>
      </c>
      <c r="F310" s="67">
        <f ca="1">IFERROR(__xludf.DUMMYFUNCTION("""COMPUTED_VALUE"""),2020)</f>
        <v>2020</v>
      </c>
      <c r="G310" s="67" t="str">
        <f ca="1">IFERROR(__xludf.DUMMYFUNCTION("""COMPUTED_VALUE"""),"г.о. Зарайск")</f>
        <v>г.о. Зарайск</v>
      </c>
      <c r="H310" s="67" t="str">
        <f ca="1">IFERROR(__xludf.DUMMYFUNCTION("""COMPUTED_VALUE"""),"БМК")</f>
        <v>БМК</v>
      </c>
      <c r="I310" s="97">
        <f ca="1">IFERROR(__xludf.DUMMYFUNCTION("""COMPUTED_VALUE"""),0)</f>
        <v>0</v>
      </c>
      <c r="J310" s="67">
        <f ca="1">IFERROR(__xludf.DUMMYFUNCTION("""COMPUTED_VALUE"""),14224.31)</f>
        <v>14224.31</v>
      </c>
      <c r="K310" s="97">
        <f ca="1">IFERROR(__xludf.DUMMYFUNCTION("""COMPUTED_VALUE"""),1188.68)</f>
        <v>1188.68</v>
      </c>
      <c r="L310" s="97">
        <f ca="1">IFERROR(__xludf.DUMMYFUNCTION("""COMPUTED_VALUE"""),0)</f>
        <v>0</v>
      </c>
      <c r="M310" s="97">
        <f ca="1">IFERROR(__xludf.DUMMYFUNCTION("""COMPUTED_VALUE"""),0)</f>
        <v>0</v>
      </c>
      <c r="N310" s="67"/>
      <c r="O310" s="67"/>
      <c r="P310" s="67" t="str">
        <f ca="1">IFERROR(__xludf.DUMMYFUNCTION("""COMPUTED_VALUE"""),"СМР")</f>
        <v>СМР</v>
      </c>
      <c r="Q310" s="67">
        <f t="shared" ca="1" si="0"/>
        <v>0</v>
      </c>
      <c r="R310" s="67"/>
      <c r="S310" s="67"/>
      <c r="T310" s="67"/>
      <c r="U310" s="67"/>
      <c r="V310" s="67"/>
      <c r="W310" s="67"/>
      <c r="X310" s="67"/>
      <c r="Y310" s="67"/>
      <c r="Z310" s="67"/>
      <c r="AA310" s="67"/>
      <c r="AB310" s="67"/>
      <c r="AC310" s="67"/>
      <c r="AD310" s="67"/>
      <c r="AE310" s="67"/>
      <c r="AF310" s="67"/>
      <c r="AG310" s="67"/>
      <c r="AH310" s="67"/>
      <c r="AI310" s="67"/>
      <c r="AJ310" s="67"/>
      <c r="AK310" s="67"/>
      <c r="AL310" s="67"/>
      <c r="AM310" s="67"/>
    </row>
    <row r="311" spans="1:39" ht="72" x14ac:dyDescent="0.2">
      <c r="A311" s="67"/>
      <c r="B311" s="100"/>
      <c r="C31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1" s="20" t="str">
        <f ca="1">IFERROR(__xludf.DUMMYFUNCTION("""COMPUTED_VALUE"""),"МинЖКХ ""ТОП 5 (1 этап)""")</f>
        <v>МинЖКХ "ТОП 5 (1 этап)"</v>
      </c>
      <c r="E311" s="20" t="str">
        <f ca="1">IFERROR(__xludf.DUMMYFUNCTION("""COMPUTED_VALUE"""),"Строительство блочно-модульной котельной со снижением мощности в с. Макеево, г.о. Зарайск (в т.ч. ПИР) ")</f>
        <v xml:space="preserve">Строительство блочно-модульной котельной со снижением мощности в с. Макеево, г.о. Зарайск (в т.ч. ПИР) </v>
      </c>
      <c r="F311" s="67" t="str">
        <f ca="1">IFERROR(__xludf.DUMMYFUNCTION("""COMPUTED_VALUE"""),"2020-2021")</f>
        <v>2020-2021</v>
      </c>
      <c r="G311" s="67" t="str">
        <f ca="1">IFERROR(__xludf.DUMMYFUNCTION("""COMPUTED_VALUE"""),"г.о. Зарайск")</f>
        <v>г.о. Зарайск</v>
      </c>
      <c r="H311" s="67" t="str">
        <f ca="1">IFERROR(__xludf.DUMMYFUNCTION("""COMPUTED_VALUE"""),"БМК")</f>
        <v>БМК</v>
      </c>
      <c r="I311" s="97">
        <f ca="1">IFERROR(__xludf.DUMMYFUNCTION("""COMPUTED_VALUE"""),0)</f>
        <v>0</v>
      </c>
      <c r="J311" s="67"/>
      <c r="K311" s="97">
        <f ca="1">IFERROR(__xludf.DUMMYFUNCTION("""COMPUTED_VALUE"""),1281.83)</f>
        <v>1281.83</v>
      </c>
      <c r="L311" s="97">
        <f ca="1">IFERROR(__xludf.DUMMYFUNCTION("""COMPUTED_VALUE"""),0)</f>
        <v>0</v>
      </c>
      <c r="M311" s="97">
        <f ca="1">IFERROR(__xludf.DUMMYFUNCTION("""COMPUTED_VALUE"""),0)</f>
        <v>0</v>
      </c>
      <c r="N311" s="67"/>
      <c r="O311" s="67"/>
      <c r="P311" s="67" t="str">
        <f ca="1">IFERROR(__xludf.DUMMYFUNCTION("""COMPUTED_VALUE"""),"ПИР ")</f>
        <v xml:space="preserve">ПИР </v>
      </c>
      <c r="Q311" s="67">
        <f t="shared" ca="1" si="0"/>
        <v>0</v>
      </c>
      <c r="R311" s="67"/>
      <c r="S311" s="67"/>
      <c r="T311" s="67"/>
      <c r="U311" s="67"/>
      <c r="V311" s="67"/>
      <c r="W311" s="67"/>
      <c r="X311" s="67"/>
      <c r="Y311" s="67"/>
      <c r="Z311" s="67"/>
      <c r="AA311" s="67"/>
      <c r="AB311" s="67"/>
      <c r="AC311" s="67"/>
      <c r="AD311" s="67"/>
      <c r="AE311" s="67"/>
      <c r="AF311" s="67"/>
      <c r="AG311" s="67"/>
      <c r="AH311" s="67"/>
      <c r="AI311" s="67"/>
      <c r="AJ311" s="67"/>
      <c r="AK311" s="67"/>
      <c r="AL311" s="67"/>
      <c r="AM311" s="67"/>
    </row>
    <row r="312" spans="1:39" ht="84" x14ac:dyDescent="0.2">
      <c r="A312" s="67"/>
      <c r="B312" s="100"/>
      <c r="C312" s="20" t="str">
        <f ca="1">IFERROR(__xludf.DUMMYFUNCTION("""COMPUTED_VALUE"""),"Предоставление иных межбюджетных трансфертов из бюджета Московской области  бюджетам муниципальных образований Московской области  на реализацию проектов государственно - частного партнерства в сфере теплоснабжения")</f>
        <v>Предоставление иных межбюджетных трансфертов из бюджета Московской области  бюджетам муниципальных образований Московской области  на реализацию проектов государственно - частного партнерства в сфере теплоснабжения</v>
      </c>
      <c r="D312" s="20" t="str">
        <f ca="1">IFERROR(__xludf.DUMMYFUNCTION("""COMPUTED_VALUE"""),"МинЖКХ")</f>
        <v>МинЖКХ</v>
      </c>
      <c r="E312" s="20" t="str">
        <f ca="1">IFERROR(__xludf.DUMMYFUNCTION("""COMPUTED_VALUE"""),"Создание и модернизация объектов централизованного теплоснабжения и горячего водоснабжения на территории г.о.  Кашира")</f>
        <v>Создание и модернизация объектов централизованного теплоснабжения и горячего водоснабжения на территории г.о.  Кашира</v>
      </c>
      <c r="F312" s="67">
        <f ca="1">IFERROR(__xludf.DUMMYFUNCTION("""COMPUTED_VALUE"""),2020)</f>
        <v>2020</v>
      </c>
      <c r="G312" s="67" t="str">
        <f ca="1">IFERROR(__xludf.DUMMYFUNCTION("""COMPUTED_VALUE"""),"г.о. Кашира")</f>
        <v>г.о. Кашира</v>
      </c>
      <c r="H312" s="67" t="str">
        <f ca="1">IFERROR(__xludf.DUMMYFUNCTION("""COMPUTED_VALUE"""),"Сети")</f>
        <v>Сети</v>
      </c>
      <c r="I312" s="97">
        <f ca="1">IFERROR(__xludf.DUMMYFUNCTION("""COMPUTED_VALUE"""),230000)</f>
        <v>230000</v>
      </c>
      <c r="J312" s="67"/>
      <c r="K312" s="97">
        <f ca="1">IFERROR(__xludf.DUMMYFUNCTION("""COMPUTED_VALUE"""),0)</f>
        <v>0</v>
      </c>
      <c r="L312" s="97">
        <f ca="1">IFERROR(__xludf.DUMMYFUNCTION("""COMPUTED_VALUE"""),0)</f>
        <v>0</v>
      </c>
      <c r="M312" s="97">
        <f ca="1">IFERROR(__xludf.DUMMYFUNCTION("""COMPUTED_VALUE"""),0)</f>
        <v>0</v>
      </c>
      <c r="N312" s="67"/>
      <c r="O312" s="67"/>
      <c r="P312" s="67" t="str">
        <f ca="1">IFERROR(__xludf.DUMMYFUNCTION("""COMPUTED_VALUE"""),"СМР")</f>
        <v>СМР</v>
      </c>
      <c r="Q312" s="67" t="e">
        <f t="shared" ca="1" si="0"/>
        <v>#DIV/0!</v>
      </c>
      <c r="R312" s="67"/>
      <c r="S312" s="67"/>
      <c r="T312" s="67"/>
      <c r="U312" s="67"/>
      <c r="V312" s="67"/>
      <c r="W312" s="67"/>
      <c r="X312" s="67"/>
      <c r="Y312" s="67"/>
      <c r="Z312" s="67"/>
      <c r="AA312" s="67"/>
      <c r="AB312" s="67"/>
      <c r="AC312" s="67"/>
      <c r="AD312" s="67"/>
      <c r="AE312" s="67"/>
      <c r="AF312" s="67"/>
      <c r="AG312" s="67"/>
      <c r="AH312" s="67"/>
      <c r="AI312" s="67"/>
      <c r="AJ312" s="67"/>
      <c r="AK312" s="67"/>
      <c r="AL312" s="67"/>
      <c r="AM312" s="67"/>
    </row>
    <row r="313" spans="1:39" ht="72" x14ac:dyDescent="0.2">
      <c r="A313" s="67"/>
      <c r="B313" s="100"/>
      <c r="C313" s="20" t="str">
        <f ca="1">IFERROR(__xludf.DUMMYFUNCTION("""COMPUTED_VALUE"""),"Предоставление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v>
      </c>
      <c r="D313" s="20" t="str">
        <f ca="1">IFERROR(__xludf.DUMMYFUNCTION("""COMPUTED_VALUE"""),"МинЖКХ")</f>
        <v>МинЖКХ</v>
      </c>
      <c r="E313" s="20" t="str">
        <f ca="1">IFERROR(__xludf.DUMMYFUNCTION("""COMPUTED_VALUE"""),"Субсидия на приобретение тепловых сетей филиала  ""Каширская ГРЭС"" АО ""Интер РАО -Электрогенерация"".")</f>
        <v>Субсидия на приобретение тепловых сетей филиала  "Каширская ГРЭС" АО "Интер РАО -Электрогенерация".</v>
      </c>
      <c r="F313" s="67">
        <f ca="1">IFERROR(__xludf.DUMMYFUNCTION("""COMPUTED_VALUE"""),2020)</f>
        <v>2020</v>
      </c>
      <c r="G313" s="67" t="str">
        <f ca="1">IFERROR(__xludf.DUMMYFUNCTION("""COMPUTED_VALUE"""),"г.о. Кашира")</f>
        <v>г.о. Кашира</v>
      </c>
      <c r="H313" s="67" t="str">
        <f ca="1">IFERROR(__xludf.DUMMYFUNCTION("""COMPUTED_VALUE"""),"Сети")</f>
        <v>Сети</v>
      </c>
      <c r="I313" s="97">
        <f ca="1">IFERROR(__xludf.DUMMYFUNCTION("""COMPUTED_VALUE"""),52158)</f>
        <v>52158</v>
      </c>
      <c r="J313" s="67"/>
      <c r="K313" s="97">
        <f ca="1">IFERROR(__xludf.DUMMYFUNCTION("""COMPUTED_VALUE"""),11527)</f>
        <v>11527</v>
      </c>
      <c r="L313" s="97">
        <f ca="1">IFERROR(__xludf.DUMMYFUNCTION("""COMPUTED_VALUE"""),0)</f>
        <v>0</v>
      </c>
      <c r="M313" s="97">
        <f ca="1">IFERROR(__xludf.DUMMYFUNCTION("""COMPUTED_VALUE"""),0)</f>
        <v>0</v>
      </c>
      <c r="N313" s="67"/>
      <c r="O313" s="67"/>
      <c r="P313" s="67"/>
      <c r="Q313" s="67">
        <f t="shared" ca="1" si="0"/>
        <v>0</v>
      </c>
      <c r="R313" s="67"/>
      <c r="S313" s="67"/>
      <c r="T313" s="67"/>
      <c r="U313" s="67"/>
      <c r="V313" s="67"/>
      <c r="W313" s="67"/>
      <c r="X313" s="67"/>
      <c r="Y313" s="67"/>
      <c r="Z313" s="67"/>
      <c r="AA313" s="67"/>
      <c r="AB313" s="67"/>
      <c r="AC313" s="67"/>
      <c r="AD313" s="67"/>
      <c r="AE313" s="67"/>
      <c r="AF313" s="67"/>
      <c r="AG313" s="67"/>
      <c r="AH313" s="67"/>
      <c r="AI313" s="67"/>
      <c r="AJ313" s="67"/>
      <c r="AK313" s="67"/>
      <c r="AL313" s="67"/>
      <c r="AM313" s="67"/>
    </row>
    <row r="314" spans="1:39" ht="204" x14ac:dyDescent="0.2">
      <c r="A314" s="67"/>
      <c r="B314" s="100"/>
      <c r="C31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4" s="20" t="str">
        <f ca="1">IFERROR(__xludf.DUMMYFUNCTION("""COMPUTED_VALUE"""),"МинЖКХ")</f>
        <v>МинЖКХ</v>
      </c>
      <c r="E314" s="20" t="str">
        <f ca="1">IFERROR(__xludf.DUMMYFUNCTION("""COMPUTED_VALUE"""),"Реконструкция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"&amp;"выполненные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f>
        <v xml:space="preserve">Реконструкция с увеличением мощности  ЦТП ПДХ  Архангельское, ЦТП № 4,  с отключением и выводом из эксплуатации ЦТП № 3 с последующим его демонтажем по адресу: пос. Архангельское г.о. Красногорск (ПИР), в том числе погашение кредиторской задолженности за выполненные  работы но не оплаченные  в размере 3 268,20 тыс.руб. из них средства бюджета Московской области - 3 268,0 тыс.руб., средства бюджета муниципального образования - 0,20 тыс.руб.   </v>
      </c>
      <c r="F314" s="67">
        <f ca="1">IFERROR(__xludf.DUMMYFUNCTION("""COMPUTED_VALUE"""),2020)</f>
        <v>2020</v>
      </c>
      <c r="G314" s="67" t="str">
        <f ca="1">IFERROR(__xludf.DUMMYFUNCTION("""COMPUTED_VALUE"""),"г.о. Красногорск")</f>
        <v>г.о. Красногорск</v>
      </c>
      <c r="H314" s="67" t="str">
        <f ca="1">IFERROR(__xludf.DUMMYFUNCTION("""COMPUTED_VALUE"""),"ЦТП")</f>
        <v>ЦТП</v>
      </c>
      <c r="I314" s="97">
        <f ca="1">IFERROR(__xludf.DUMMYFUNCTION("""COMPUTED_VALUE"""),4607.3)</f>
        <v>4607.3</v>
      </c>
      <c r="J314" s="67"/>
      <c r="K314" s="97">
        <f ca="1">IFERROR(__xludf.DUMMYFUNCTION("""COMPUTED_VALUE"""),13.73)</f>
        <v>13.73</v>
      </c>
      <c r="L314" s="97">
        <f ca="1">IFERROR(__xludf.DUMMYFUNCTION("""COMPUTED_VALUE"""),0)</f>
        <v>0</v>
      </c>
      <c r="M314" s="97">
        <f ca="1">IFERROR(__xludf.DUMMYFUNCTION("""COMPUTED_VALUE"""),0)</f>
        <v>0</v>
      </c>
      <c r="N314" s="67"/>
      <c r="O314" s="67"/>
      <c r="P314" s="67" t="str">
        <f ca="1">IFERROR(__xludf.DUMMYFUNCTION("""COMPUTED_VALUE"""),"ПИР")</f>
        <v>ПИР</v>
      </c>
      <c r="Q314" s="67">
        <f t="shared" ca="1" si="0"/>
        <v>0</v>
      </c>
      <c r="R314" s="67"/>
      <c r="S314" s="67"/>
      <c r="T314" s="67"/>
      <c r="U314" s="67"/>
      <c r="V314" s="67"/>
      <c r="W314" s="67"/>
      <c r="X314" s="67"/>
      <c r="Y314" s="67"/>
      <c r="Z314" s="67"/>
      <c r="AA314" s="67"/>
      <c r="AB314" s="67"/>
      <c r="AC314" s="67"/>
      <c r="AD314" s="67"/>
      <c r="AE314" s="67"/>
      <c r="AF314" s="67"/>
      <c r="AG314" s="67"/>
      <c r="AH314" s="67"/>
      <c r="AI314" s="67"/>
      <c r="AJ314" s="67"/>
      <c r="AK314" s="67"/>
      <c r="AL314" s="67"/>
      <c r="AM314" s="67"/>
    </row>
    <row r="315" spans="1:39" ht="120" x14ac:dyDescent="0.2">
      <c r="A315" s="67"/>
      <c r="B315" s="100"/>
      <c r="C31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5" s="20" t="str">
        <f ca="1">IFERROR(__xludf.DUMMYFUNCTION("""COMPUTED_VALUE"""),"МинЖКХ")</f>
        <v>МинЖКХ</v>
      </c>
      <c r="E315" s="20" t="str">
        <f ca="1">IFERROR(__xludf.DUMMYFUNCTION("""COMPUTED_VALUE"""),"Строительство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f>
        <v>Строительство котельной с наружными сетями теплоснабжения, по адресу: Московская область, г.Краснознаменск, в районе ул. Индустриальная,  в том числе ПИР и технологическое присоединение , в том числе: проектно-изыскательские работы</v>
      </c>
      <c r="F315" s="67" t="str">
        <f ca="1">IFERROR(__xludf.DUMMYFUNCTION("""COMPUTED_VALUE"""),"2020-2022")</f>
        <v>2020-2022</v>
      </c>
      <c r="G315" s="67" t="str">
        <f ca="1">IFERROR(__xludf.DUMMYFUNCTION("""COMPUTED_VALUE"""),"г.о. Краснознаменск")</f>
        <v>г.о. Краснознаменск</v>
      </c>
      <c r="H315" s="67" t="str">
        <f ca="1">IFERROR(__xludf.DUMMYFUNCTION("""COMPUTED_VALUE"""),"Котельная")</f>
        <v>Котельная</v>
      </c>
      <c r="I315" s="97">
        <f ca="1">IFERROR(__xludf.DUMMYFUNCTION("""COMPUTED_VALUE"""),63300.87)</f>
        <v>63300.87</v>
      </c>
      <c r="J315" s="67"/>
      <c r="K315" s="97">
        <f ca="1">IFERROR(__xludf.DUMMYFUNCTION("""COMPUTED_VALUE"""),32105.44)</f>
        <v>32105.439999999999</v>
      </c>
      <c r="L315" s="97">
        <f ca="1">IFERROR(__xludf.DUMMYFUNCTION("""COMPUTED_VALUE"""),6961.8)</f>
        <v>6961.8</v>
      </c>
      <c r="M315" s="97">
        <f ca="1">IFERROR(__xludf.DUMMYFUNCTION("""COMPUTED_VALUE"""),0)</f>
        <v>0</v>
      </c>
      <c r="N315" s="67"/>
      <c r="O315" s="97">
        <f ca="1">IFERROR(__xludf.DUMMYFUNCTION("""COMPUTED_VALUE"""),6265.62)</f>
        <v>6265.62</v>
      </c>
      <c r="P315" s="67" t="str">
        <f ca="1">IFERROR(__xludf.DUMMYFUNCTION("""COMPUTED_VALUE"""),"СМР")</f>
        <v>СМР</v>
      </c>
      <c r="Q315" s="67">
        <f t="shared" ca="1" si="0"/>
        <v>0</v>
      </c>
      <c r="R315" s="67"/>
      <c r="S315" s="67"/>
      <c r="T315" s="67"/>
      <c r="U315" s="67"/>
      <c r="V315" s="67"/>
      <c r="W315" s="67"/>
      <c r="X315" s="67"/>
      <c r="Y315" s="67"/>
      <c r="Z315" s="67"/>
      <c r="AA315" s="67"/>
      <c r="AB315" s="67"/>
      <c r="AC315" s="67"/>
      <c r="AD315" s="67"/>
      <c r="AE315" s="67"/>
      <c r="AF315" s="67"/>
      <c r="AG315" s="67"/>
      <c r="AH315" s="67"/>
      <c r="AI315" s="67"/>
      <c r="AJ315" s="67"/>
      <c r="AK315" s="67"/>
      <c r="AL315" s="67"/>
      <c r="AM315" s="67"/>
    </row>
    <row r="316" spans="1:39" ht="72" x14ac:dyDescent="0.2">
      <c r="A316" s="67"/>
      <c r="B316" s="100"/>
      <c r="C31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6" s="20" t="str">
        <f ca="1">IFERROR(__xludf.DUMMYFUNCTION("""COMPUTED_VALUE"""),"МинЖКХ ""ТОП 5 (1 этап)""")</f>
        <v>МинЖКХ "ТОП 5 (1 этап)"</v>
      </c>
      <c r="E316" s="20" t="str">
        <f ca="1">IFERROR(__xludf.DUMMYFUNCTION("""COMPUTED_VALUE"""),"Реконструкция котельной ""Школа-интернат"" р.п. Белоомут, ул. Центральная, д.57 (в т.ч. ПИР), г.о. Луховицы")</f>
        <v>Реконструкция котельной "Школа-интернат" р.п. Белоомут, ул. Центральная, д.57 (в т.ч. ПИР), г.о. Луховицы</v>
      </c>
      <c r="F316" s="67" t="str">
        <f ca="1">IFERROR(__xludf.DUMMYFUNCTION("""COMPUTED_VALUE"""),"2020-2021")</f>
        <v>2020-2021</v>
      </c>
      <c r="G316" s="67" t="str">
        <f ca="1">IFERROR(__xludf.DUMMYFUNCTION("""COMPUTED_VALUE"""),"г.о. Луховицы")</f>
        <v>г.о. Луховицы</v>
      </c>
      <c r="H316" s="67" t="str">
        <f ca="1">IFERROR(__xludf.DUMMYFUNCTION("""COMPUTED_VALUE"""),"Котельная")</f>
        <v>Котельная</v>
      </c>
      <c r="I316" s="97">
        <f ca="1">IFERROR(__xludf.DUMMYFUNCTION("""COMPUTED_VALUE"""),0)</f>
        <v>0</v>
      </c>
      <c r="J316" s="67">
        <f ca="1">IFERROR(__xludf.DUMMYFUNCTION("""COMPUTED_VALUE"""),1431.99)</f>
        <v>1431.99</v>
      </c>
      <c r="K316" s="97">
        <f ca="1">IFERROR(__xludf.DUMMYFUNCTION("""COMPUTED_VALUE"""),862.47)</f>
        <v>862.47</v>
      </c>
      <c r="L316" s="97">
        <f ca="1">IFERROR(__xludf.DUMMYFUNCTION("""COMPUTED_VALUE"""),0)</f>
        <v>0</v>
      </c>
      <c r="M316" s="97">
        <f ca="1">IFERROR(__xludf.DUMMYFUNCTION("""COMPUTED_VALUE"""),0)</f>
        <v>0</v>
      </c>
      <c r="N316" s="67"/>
      <c r="O316" s="67"/>
      <c r="P316" s="67" t="str">
        <f ca="1">IFERROR(__xludf.DUMMYFUNCTION("""COMPUTED_VALUE"""),"ПИР")</f>
        <v>ПИР</v>
      </c>
      <c r="Q316" s="67">
        <f t="shared" ca="1" si="0"/>
        <v>0</v>
      </c>
      <c r="R316" s="67"/>
      <c r="S316" s="67"/>
      <c r="T316" s="67"/>
      <c r="U316" s="67"/>
      <c r="V316" s="67"/>
      <c r="W316" s="67"/>
      <c r="X316" s="67"/>
      <c r="Y316" s="67"/>
      <c r="Z316" s="67"/>
      <c r="AA316" s="67"/>
      <c r="AB316" s="67"/>
      <c r="AC316" s="67"/>
      <c r="AD316" s="67"/>
      <c r="AE316" s="67"/>
      <c r="AF316" s="67"/>
      <c r="AG316" s="67"/>
      <c r="AH316" s="67"/>
      <c r="AI316" s="67"/>
      <c r="AJ316" s="67"/>
      <c r="AK316" s="67"/>
      <c r="AL316" s="67"/>
      <c r="AM316" s="67"/>
    </row>
    <row r="317" spans="1:39" ht="72" x14ac:dyDescent="0.2">
      <c r="A317" s="67"/>
      <c r="B317" s="100"/>
      <c r="C317" s="20" t="str">
        <f ca="1">IFERROR(__xludf.DUMMYFUNCTION("""COMPUTED_VALUE"""),"Финансовое обеспечение (возмещение) затрат, связанных с капитальным ремонтом объектов теплоснабжения")</f>
        <v>Финансовое обеспечение (возмещение) затрат, связанных с капитальным ремонтом объектов теплоснабжения</v>
      </c>
      <c r="D317" s="20" t="str">
        <f ca="1">IFERROR(__xludf.DUMMYFUNCTION("""COMPUTED_VALUE"""),"МинЖКХ")</f>
        <v>МинЖКХ</v>
      </c>
      <c r="E317" s="20" t="str">
        <f ca="1">IFERROR(__xludf.DUMMYFUNCTION("""COMPUTED_VALUE"""),"Капитальный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f>
        <v>Капитальный ремонт зданий и сооружений, расположенных на территории котельной по адресу: Московская область, г. Можайск, ул. Мира, д.93, в т.ч. тех. присоединение к эл. Сетям</v>
      </c>
      <c r="F317" s="67" t="str">
        <f ca="1">IFERROR(__xludf.DUMMYFUNCTION("""COMPUTED_VALUE"""),"2020-2021")</f>
        <v>2020-2021</v>
      </c>
      <c r="G317" s="67" t="str">
        <f ca="1">IFERROR(__xludf.DUMMYFUNCTION("""COMPUTED_VALUE"""),"ФПЛК г.о. Можайск")</f>
        <v>ФПЛК г.о. Можайск</v>
      </c>
      <c r="H317" s="67" t="str">
        <f ca="1">IFERROR(__xludf.DUMMYFUNCTION("""COMPUTED_VALUE"""),"Котельная")</f>
        <v>Котельная</v>
      </c>
      <c r="I317" s="67"/>
      <c r="J317" s="97">
        <f ca="1">IFERROR(__xludf.DUMMYFUNCTION("""COMPUTED_VALUE"""),140263)</f>
        <v>140263</v>
      </c>
      <c r="K317" s="97">
        <f ca="1">IFERROR(__xludf.DUMMYFUNCTION("""COMPUTED_VALUE"""),0)</f>
        <v>0</v>
      </c>
      <c r="L317" s="97">
        <f ca="1">IFERROR(__xludf.DUMMYFUNCTION("""COMPUTED_VALUE"""),0)</f>
        <v>0</v>
      </c>
      <c r="M317" s="97">
        <f ca="1">IFERROR(__xludf.DUMMYFUNCTION("""COMPUTED_VALUE"""),0)</f>
        <v>0</v>
      </c>
      <c r="N317" s="67"/>
      <c r="O317" s="67"/>
      <c r="P317" s="67" t="str">
        <f ca="1">IFERROR(__xludf.DUMMYFUNCTION("""COMPUTED_VALUE"""),"СМР")</f>
        <v>СМР</v>
      </c>
      <c r="Q317" s="67" t="e">
        <f t="shared" ca="1" si="0"/>
        <v>#DIV/0!</v>
      </c>
      <c r="R317" s="67"/>
      <c r="S317" s="67"/>
      <c r="T317" s="67"/>
      <c r="U317" s="67"/>
      <c r="V317" s="67"/>
      <c r="W317" s="67"/>
      <c r="X317" s="67"/>
      <c r="Y317" s="67"/>
      <c r="Z317" s="67"/>
      <c r="AA317" s="67"/>
      <c r="AB317" s="67"/>
      <c r="AC317" s="67"/>
      <c r="AD317" s="67"/>
      <c r="AE317" s="67"/>
      <c r="AF317" s="67"/>
      <c r="AG317" s="67"/>
      <c r="AH317" s="67"/>
      <c r="AI317" s="67"/>
      <c r="AJ317" s="67"/>
      <c r="AK317" s="67"/>
      <c r="AL317" s="67"/>
      <c r="AM317" s="67"/>
    </row>
    <row r="318" spans="1:39" ht="48" x14ac:dyDescent="0.2">
      <c r="A318" s="67"/>
      <c r="B318" s="100"/>
      <c r="C318" s="20" t="str">
        <f ca="1">IFERROR(__xludf.DUMMYFUNCTION("""COMPUTED_VALUE"""),"Финансовое обеспечение (возмещение) затрат, связанных с капитальным ремонтом объектов теплоснабжения")</f>
        <v>Финансовое обеспечение (возмещение) затрат, связанных с капитальным ремонтом объектов теплоснабжения</v>
      </c>
      <c r="D318" s="20" t="str">
        <f ca="1">IFERROR(__xludf.DUMMYFUNCTION("""COMPUTED_VALUE"""),"МинЖКХ")</f>
        <v>МинЖКХ</v>
      </c>
      <c r="E318" s="20" t="str">
        <f ca="1">IFERROR(__xludf.DUMMYFUNCTION("""COMPUTED_VALUE"""),"Капитальный ремонт котельной № 40 по адресу: Московская область, г. Можайск, ул. Российская, д. 4а")</f>
        <v>Капитальный ремонт котельной № 40 по адресу: Московская область, г. Можайск, ул. Российская, д. 4а</v>
      </c>
      <c r="F318" s="67">
        <f ca="1">IFERROR(__xludf.DUMMYFUNCTION("""COMPUTED_VALUE"""),2020)</f>
        <v>2020</v>
      </c>
      <c r="G318" s="67" t="str">
        <f ca="1">IFERROR(__xludf.DUMMYFUNCTION("""COMPUTED_VALUE"""),"ФПЛК г.о. Можайск")</f>
        <v>ФПЛК г.о. Можайск</v>
      </c>
      <c r="H318" s="67" t="str">
        <f ca="1">IFERROR(__xludf.DUMMYFUNCTION("""COMPUTED_VALUE"""),"Котельная")</f>
        <v>Котельная</v>
      </c>
      <c r="I318" s="67"/>
      <c r="J318" s="97">
        <f ca="1">IFERROR(__xludf.DUMMYFUNCTION("""COMPUTED_VALUE"""),158072)</f>
        <v>158072</v>
      </c>
      <c r="K318" s="97">
        <f ca="1">IFERROR(__xludf.DUMMYFUNCTION("""COMPUTED_VALUE"""),0)</f>
        <v>0</v>
      </c>
      <c r="L318" s="97">
        <f ca="1">IFERROR(__xludf.DUMMYFUNCTION("""COMPUTED_VALUE"""),0)</f>
        <v>0</v>
      </c>
      <c r="M318" s="97">
        <f ca="1">IFERROR(__xludf.DUMMYFUNCTION("""COMPUTED_VALUE"""),0)</f>
        <v>0</v>
      </c>
      <c r="N318" s="67"/>
      <c r="O318" s="67"/>
      <c r="P318" s="67" t="str">
        <f ca="1">IFERROR(__xludf.DUMMYFUNCTION("""COMPUTED_VALUE"""),"СМР")</f>
        <v>СМР</v>
      </c>
      <c r="Q318" s="67" t="e">
        <f t="shared" ca="1" si="0"/>
        <v>#DIV/0!</v>
      </c>
      <c r="R318" s="67"/>
      <c r="S318" s="67"/>
      <c r="T318" s="67"/>
      <c r="U318" s="67"/>
      <c r="V318" s="67"/>
      <c r="W318" s="67"/>
      <c r="X318" s="67"/>
      <c r="Y318" s="67"/>
      <c r="Z318" s="67"/>
      <c r="AA318" s="67"/>
      <c r="AB318" s="67"/>
      <c r="AC318" s="67"/>
      <c r="AD318" s="67"/>
      <c r="AE318" s="67"/>
      <c r="AF318" s="67"/>
      <c r="AG318" s="67"/>
      <c r="AH318" s="67"/>
      <c r="AI318" s="67"/>
      <c r="AJ318" s="67"/>
      <c r="AK318" s="67"/>
      <c r="AL318" s="67"/>
      <c r="AM318" s="67"/>
    </row>
    <row r="319" spans="1:39" ht="72" x14ac:dyDescent="0.2">
      <c r="A319" s="67"/>
      <c r="B319" s="100"/>
      <c r="C31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9" s="20" t="str">
        <f ca="1">IFERROR(__xludf.DUMMYFUNCTION("""COMPUTED_VALUE"""),"МинЖКХ")</f>
        <v>МинЖКХ</v>
      </c>
      <c r="E319" s="20" t="str">
        <f ca="1">IFERROR(__xludf.DUMMYFUNCTION("""COMPUTED_VALUE"""),"Строительство хозяйственно-бытовой канализации в дер. Раздоры Одинцовского городского округа Московской области»  (в .т.ч. Тех.присоединение )")</f>
        <v>Строительство хозяйственно-бытовой канализации в дер. Раздоры Одинцовского городского округа Московской области»  (в .т.ч. Тех.присоединение )</v>
      </c>
      <c r="F319" s="67" t="str">
        <f ca="1">IFERROR(__xludf.DUMMYFUNCTION("""COMPUTED_VALUE"""),"2020-2021")</f>
        <v>2020-2021</v>
      </c>
      <c r="G319" s="67" t="str">
        <f ca="1">IFERROR(__xludf.DUMMYFUNCTION("""COMPUTED_VALUE"""),"г.о. Одинцово")</f>
        <v>г.о. Одинцово</v>
      </c>
      <c r="H319" s="67" t="str">
        <f ca="1">IFERROR(__xludf.DUMMYFUNCTION("""COMPUTED_VALUE"""),"Сети")</f>
        <v>Сети</v>
      </c>
      <c r="I319" s="97">
        <f ca="1">IFERROR(__xludf.DUMMYFUNCTION("""COMPUTED_VALUE"""),74666.24)</f>
        <v>74666.240000000005</v>
      </c>
      <c r="J319" s="67"/>
      <c r="K319" s="97">
        <f ca="1">IFERROR(__xludf.DUMMYFUNCTION("""COMPUTED_VALUE"""),156466.2)</f>
        <v>156466.20000000001</v>
      </c>
      <c r="L319" s="97">
        <f ca="1">IFERROR(__xludf.DUMMYFUNCTION("""COMPUTED_VALUE"""),0)</f>
        <v>0</v>
      </c>
      <c r="M319" s="97">
        <f ca="1">IFERROR(__xludf.DUMMYFUNCTION("""COMPUTED_VALUE"""),0)</f>
        <v>0</v>
      </c>
      <c r="N319" s="67"/>
      <c r="O319" s="67"/>
      <c r="P319" s="67" t="str">
        <f ca="1">IFERROR(__xludf.DUMMYFUNCTION("""COMPUTED_VALUE"""),"СМР")</f>
        <v>СМР</v>
      </c>
      <c r="Q319" s="67">
        <f t="shared" ca="1" si="0"/>
        <v>0</v>
      </c>
      <c r="R319" s="67"/>
      <c r="S319" s="67"/>
      <c r="T319" s="67"/>
      <c r="U319" s="67"/>
      <c r="V319" s="67"/>
      <c r="W319" s="67"/>
      <c r="X319" s="67"/>
      <c r="Y319" s="67"/>
      <c r="Z319" s="67"/>
      <c r="AA319" s="67"/>
      <c r="AB319" s="67"/>
      <c r="AC319" s="67"/>
      <c r="AD319" s="67"/>
      <c r="AE319" s="67"/>
      <c r="AF319" s="67"/>
      <c r="AG319" s="67"/>
      <c r="AH319" s="67"/>
      <c r="AI319" s="67"/>
      <c r="AJ319" s="67"/>
      <c r="AK319" s="67"/>
      <c r="AL319" s="67"/>
      <c r="AM319" s="67"/>
    </row>
    <row r="320" spans="1:39" ht="72" x14ac:dyDescent="0.2">
      <c r="A320" s="67"/>
      <c r="B320" s="100"/>
      <c r="C32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0" s="20" t="str">
        <f ca="1">IFERROR(__xludf.DUMMYFUNCTION("""COMPUTED_VALUE"""),"МинЖКХ")</f>
        <v>МинЖКХ</v>
      </c>
      <c r="E320" s="20" t="str">
        <f ca="1">IFERROR(__xludf.DUMMYFUNCTION("""COMPUTED_VALUE"""),"Реконструкция газовой котельной №5 в поселке центральной усадьбы совхоза ""Озёры"", г.о. Озёры")</f>
        <v>Реконструкция газовой котельной №5 в поселке центральной усадьбы совхоза "Озёры", г.о. Озёры</v>
      </c>
      <c r="F320" s="67">
        <f ca="1">IFERROR(__xludf.DUMMYFUNCTION("""COMPUTED_VALUE"""),2020)</f>
        <v>2020</v>
      </c>
      <c r="G320" s="67" t="str">
        <f ca="1">IFERROR(__xludf.DUMMYFUNCTION("""COMPUTED_VALUE"""),"г.о. Озеры")</f>
        <v>г.о. Озеры</v>
      </c>
      <c r="H320" s="67" t="str">
        <f ca="1">IFERROR(__xludf.DUMMYFUNCTION("""COMPUTED_VALUE"""),"Котельная")</f>
        <v>Котельная</v>
      </c>
      <c r="I320" s="97">
        <f ca="1">IFERROR(__xludf.DUMMYFUNCTION("""COMPUTED_VALUE"""),35955.06)</f>
        <v>35955.06</v>
      </c>
      <c r="J320" s="67"/>
      <c r="K320" s="97">
        <f ca="1">IFERROR(__xludf.DUMMYFUNCTION("""COMPUTED_VALUE"""),9223.58)</f>
        <v>9223.58</v>
      </c>
      <c r="L320" s="97">
        <f ca="1">IFERROR(__xludf.DUMMYFUNCTION("""COMPUTED_VALUE"""),0)</f>
        <v>0</v>
      </c>
      <c r="M320" s="97">
        <f ca="1">IFERROR(__xludf.DUMMYFUNCTION("""COMPUTED_VALUE"""),0)</f>
        <v>0</v>
      </c>
      <c r="N320" s="67"/>
      <c r="O320" s="67"/>
      <c r="P320" s="67" t="str">
        <f ca="1">IFERROR(__xludf.DUMMYFUNCTION("""COMPUTED_VALUE"""),"СМР")</f>
        <v>СМР</v>
      </c>
      <c r="Q320" s="67">
        <f t="shared" ca="1" si="0"/>
        <v>0</v>
      </c>
      <c r="R320" s="67"/>
      <c r="S320" s="67"/>
      <c r="T320" s="67"/>
      <c r="U320" s="67"/>
      <c r="V320" s="67"/>
      <c r="W320" s="67"/>
      <c r="X320" s="67"/>
      <c r="Y320" s="67"/>
      <c r="Z320" s="67"/>
      <c r="AA320" s="67"/>
      <c r="AB320" s="67"/>
      <c r="AC320" s="67"/>
      <c r="AD320" s="67"/>
      <c r="AE320" s="67"/>
      <c r="AF320" s="67"/>
      <c r="AG320" s="67"/>
      <c r="AH320" s="67"/>
      <c r="AI320" s="67"/>
      <c r="AJ320" s="67"/>
      <c r="AK320" s="67"/>
      <c r="AL320" s="67"/>
      <c r="AM320" s="67"/>
    </row>
    <row r="321" spans="1:39" ht="96" x14ac:dyDescent="0.2">
      <c r="A321" s="67"/>
      <c r="B321" s="100"/>
      <c r="C321"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21" s="20" t="str">
        <f ca="1">IFERROR(__xludf.DUMMYFUNCTION("""COMPUTED_VALUE"""),"МинЖКХ")</f>
        <v>МинЖКХ</v>
      </c>
      <c r="E321" s="20" t="str">
        <f ca="1">IFERROR(__xludf.DUMMYFUNCTION("""COMPUTED_VALUE"""),"Капитальный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f>
        <v xml:space="preserve">Капитальный ремонт инженерных сетей (тепловой сети от ТК 14 до ТК 17 в микр-не "АД" г.Пущино, водопроводной сети от УВ-2 до УВ-5 в микр-не "АБ" г.Пущино, по адресу: Московская область, г. Пущино </v>
      </c>
      <c r="F321" s="67">
        <f ca="1">IFERROR(__xludf.DUMMYFUNCTION("""COMPUTED_VALUE"""),2020)</f>
        <v>2020</v>
      </c>
      <c r="G321" s="67" t="str">
        <f ca="1">IFERROR(__xludf.DUMMYFUNCTION("""COMPUTED_VALUE"""),"г.о. Пущино")</f>
        <v>г.о. Пущино</v>
      </c>
      <c r="H321" s="67" t="str">
        <f ca="1">IFERROR(__xludf.DUMMYFUNCTION("""COMPUTED_VALUE"""),"Сети")</f>
        <v>Сети</v>
      </c>
      <c r="I321" s="97">
        <f ca="1">IFERROR(__xludf.DUMMYFUNCTION("""COMPUTED_VALUE"""),14703.53)</f>
        <v>14703.53</v>
      </c>
      <c r="J321" s="67"/>
      <c r="K321" s="97">
        <f ca="1">IFERROR(__xludf.DUMMYFUNCTION("""COMPUTED_VALUE"""),1150.08)</f>
        <v>1150.08</v>
      </c>
      <c r="L321" s="97">
        <f ca="1">IFERROR(__xludf.DUMMYFUNCTION("""COMPUTED_VALUE"""),0)</f>
        <v>0</v>
      </c>
      <c r="M321" s="97">
        <f ca="1">IFERROR(__xludf.DUMMYFUNCTION("""COMPUTED_VALUE"""),0)</f>
        <v>0</v>
      </c>
      <c r="N321" s="67"/>
      <c r="O321" s="67"/>
      <c r="P321" s="67" t="str">
        <f ca="1">IFERROR(__xludf.DUMMYFUNCTION("""COMPUTED_VALUE"""),"СМР")</f>
        <v>СМР</v>
      </c>
      <c r="Q321" s="67">
        <f t="shared" ca="1" si="0"/>
        <v>0</v>
      </c>
      <c r="R321" s="67"/>
      <c r="S321" s="67"/>
      <c r="T321" s="67"/>
      <c r="U321" s="67"/>
      <c r="V321" s="67"/>
      <c r="W321" s="67"/>
      <c r="X321" s="67"/>
      <c r="Y321" s="67"/>
      <c r="Z321" s="67"/>
      <c r="AA321" s="67"/>
      <c r="AB321" s="67"/>
      <c r="AC321" s="67"/>
      <c r="AD321" s="67"/>
      <c r="AE321" s="67"/>
      <c r="AF321" s="67"/>
      <c r="AG321" s="67"/>
      <c r="AH321" s="67"/>
      <c r="AI321" s="67"/>
      <c r="AJ321" s="67"/>
      <c r="AK321" s="67"/>
      <c r="AL321" s="67"/>
      <c r="AM321" s="67"/>
    </row>
    <row r="322" spans="1:39" ht="180" x14ac:dyDescent="0.2">
      <c r="A322" s="67"/>
      <c r="B322" s="100"/>
      <c r="C32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2" s="20" t="str">
        <f ca="1">IFERROR(__xludf.DUMMYFUNCTION("""COMPUTED_VALUE"""),"МинЖКХ")</f>
        <v>МинЖКХ</v>
      </c>
      <c r="E322" s="20" t="str">
        <f ca="1">IFERROR(__xludf.DUMMYFUNCTION("""COMPUTED_VALUE"""),"Строительство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разме"&amp;"ре 2 047,50 тыс.руб. из них средства бюджета Московской области - 2 047,19 тыс.руб., средства бюджета муниципального образования - 0,31 тыс.руб.  ")</f>
        <v xml:space="preserve">Строительство водопроводных сетей для нужд многоквартирных домов по адресу: городское поселение Раменское, ул. Северное шоссе. мкр. ЖК "Раменский", в том числе погашение кредиторской задолжености за выполненые  работы но не оплаченые в 2019 году в размере 2 047,50 тыс.руб. из них средства бюджета Московской области - 2 047,19 тыс.руб., средства бюджета муниципального образования - 0,31 тыс.руб.  </v>
      </c>
      <c r="F322" s="67">
        <f ca="1">IFERROR(__xludf.DUMMYFUNCTION("""COMPUTED_VALUE"""),2020)</f>
        <v>2020</v>
      </c>
      <c r="G322" s="67" t="str">
        <f ca="1">IFERROR(__xludf.DUMMYFUNCTION("""COMPUTED_VALUE"""),"г.о. Раменский")</f>
        <v>г.о. Раменский</v>
      </c>
      <c r="H322" s="67" t="str">
        <f ca="1">IFERROR(__xludf.DUMMYFUNCTION("""COMPUTED_VALUE"""),"Сети")</f>
        <v>Сети</v>
      </c>
      <c r="I322" s="97">
        <f ca="1">IFERROR(__xludf.DUMMYFUNCTION("""COMPUTED_VALUE"""),2047.19)</f>
        <v>2047.19</v>
      </c>
      <c r="J322" s="67"/>
      <c r="K322" s="97">
        <f ca="1">IFERROR(__xludf.DUMMYFUNCTION("""COMPUTED_VALUE"""),0.31)</f>
        <v>0.31</v>
      </c>
      <c r="L322" s="97">
        <f ca="1">IFERROR(__xludf.DUMMYFUNCTION("""COMPUTED_VALUE"""),0)</f>
        <v>0</v>
      </c>
      <c r="M322" s="97">
        <f ca="1">IFERROR(__xludf.DUMMYFUNCTION("""COMPUTED_VALUE"""),0)</f>
        <v>0</v>
      </c>
      <c r="N322" s="67"/>
      <c r="O322" s="67"/>
      <c r="P322" s="67" t="str">
        <f ca="1">IFERROR(__xludf.DUMMYFUNCTION("""COMPUTED_VALUE"""),"СМР")</f>
        <v>СМР</v>
      </c>
      <c r="Q322" s="67">
        <f t="shared" ca="1" si="0"/>
        <v>0</v>
      </c>
      <c r="R322" s="67"/>
      <c r="S322" s="67"/>
      <c r="T322" s="67"/>
      <c r="U322" s="67"/>
      <c r="V322" s="67"/>
      <c r="W322" s="67"/>
      <c r="X322" s="67"/>
      <c r="Y322" s="67"/>
      <c r="Z322" s="67"/>
      <c r="AA322" s="67"/>
      <c r="AB322" s="67"/>
      <c r="AC322" s="67"/>
      <c r="AD322" s="67"/>
      <c r="AE322" s="67"/>
      <c r="AF322" s="67"/>
      <c r="AG322" s="67"/>
      <c r="AH322" s="67"/>
      <c r="AI322" s="67"/>
      <c r="AJ322" s="67"/>
      <c r="AK322" s="67"/>
      <c r="AL322" s="67"/>
      <c r="AM322" s="67"/>
    </row>
    <row r="323" spans="1:39" ht="96" x14ac:dyDescent="0.2">
      <c r="A323" s="67"/>
      <c r="B323" s="100"/>
      <c r="C32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3" s="20" t="str">
        <f ca="1">IFERROR(__xludf.DUMMYFUNCTION("""COMPUTED_VALUE"""),"МинЖКХ")</f>
        <v>МинЖКХ</v>
      </c>
      <c r="E323" s="20" t="str">
        <f ca="1">IFERROR(__xludf.DUMMYFUNCTION("""COMPUTED_VALUE"""),"Строительство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f>
        <v>Строительство сетей хозяйственно-бытовой и ливневой канализации   для нужд многоквартирных жилых домов  по адресу: городское поселение Раменское,  ул. Северное шоссе, мкр. ЖК «Раменский» (в том числе ПИР)</v>
      </c>
      <c r="F323" s="67">
        <f ca="1">IFERROR(__xludf.DUMMYFUNCTION("""COMPUTED_VALUE"""),2020)</f>
        <v>2020</v>
      </c>
      <c r="G323" s="67" t="str">
        <f ca="1">IFERROR(__xludf.DUMMYFUNCTION("""COMPUTED_VALUE"""),"г.о. Раменский")</f>
        <v>г.о. Раменский</v>
      </c>
      <c r="H323" s="67" t="str">
        <f ca="1">IFERROR(__xludf.DUMMYFUNCTION("""COMPUTED_VALUE"""),"Сети")</f>
        <v>Сети</v>
      </c>
      <c r="I323" s="97">
        <f ca="1">IFERROR(__xludf.DUMMYFUNCTION("""COMPUTED_VALUE"""),665)</f>
        <v>665</v>
      </c>
      <c r="J323" s="67"/>
      <c r="K323" s="97">
        <f ca="1">IFERROR(__xludf.DUMMYFUNCTION("""COMPUTED_VALUE"""),0.2)</f>
        <v>0.2</v>
      </c>
      <c r="L323" s="97">
        <f ca="1">IFERROR(__xludf.DUMMYFUNCTION("""COMPUTED_VALUE"""),0)</f>
        <v>0</v>
      </c>
      <c r="M323" s="97">
        <f ca="1">IFERROR(__xludf.DUMMYFUNCTION("""COMPUTED_VALUE"""),0)</f>
        <v>0</v>
      </c>
      <c r="N323" s="67"/>
      <c r="O323" s="67"/>
      <c r="P323" s="67" t="str">
        <f ca="1">IFERROR(__xludf.DUMMYFUNCTION("""COMPUTED_VALUE"""),"СМР")</f>
        <v>СМР</v>
      </c>
      <c r="Q323" s="67">
        <f t="shared" ca="1" si="0"/>
        <v>0</v>
      </c>
      <c r="R323" s="67"/>
      <c r="S323" s="67"/>
      <c r="T323" s="67"/>
      <c r="U323" s="67"/>
      <c r="V323" s="67"/>
      <c r="W323" s="67"/>
      <c r="X323" s="67"/>
      <c r="Y323" s="67"/>
      <c r="Z323" s="67"/>
      <c r="AA323" s="67"/>
      <c r="AB323" s="67"/>
      <c r="AC323" s="67"/>
      <c r="AD323" s="67"/>
      <c r="AE323" s="67"/>
      <c r="AF323" s="67"/>
      <c r="AG323" s="67"/>
      <c r="AH323" s="67"/>
      <c r="AI323" s="67"/>
      <c r="AJ323" s="67"/>
      <c r="AK323" s="67"/>
      <c r="AL323" s="67"/>
      <c r="AM323" s="67"/>
    </row>
    <row r="324" spans="1:39" ht="72" x14ac:dyDescent="0.2">
      <c r="A324" s="67"/>
      <c r="B324" s="100"/>
      <c r="C32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4" s="20" t="str">
        <f ca="1">IFERROR(__xludf.DUMMYFUNCTION("""COMPUTED_VALUE"""),"МинЖКХ")</f>
        <v>МинЖКХ</v>
      </c>
      <c r="E324" s="20" t="str">
        <f ca="1">IFERROR(__xludf.DUMMYFUNCTION("""COMPUTED_VALUE"""),"Строительство БМК  д. Колодкино, д.10  г.о. Рузский")</f>
        <v>Строительство БМК  д. Колодкино, д.10  г.о. Рузский</v>
      </c>
      <c r="F324" s="67">
        <f ca="1">IFERROR(__xludf.DUMMYFUNCTION("""COMPUTED_VALUE"""),2020)</f>
        <v>2020</v>
      </c>
      <c r="G324" s="67" t="str">
        <f ca="1">IFERROR(__xludf.DUMMYFUNCTION("""COMPUTED_VALUE"""),"г.о. Рузский")</f>
        <v>г.о. Рузский</v>
      </c>
      <c r="H324" s="67" t="str">
        <f ca="1">IFERROR(__xludf.DUMMYFUNCTION("""COMPUTED_VALUE"""),"БМК")</f>
        <v>БМК</v>
      </c>
      <c r="I324" s="97">
        <f ca="1">IFERROR(__xludf.DUMMYFUNCTION("""COMPUTED_VALUE"""),5804.12)</f>
        <v>5804.12</v>
      </c>
      <c r="J324" s="67"/>
      <c r="K324" s="97">
        <f ca="1">IFERROR(__xludf.DUMMYFUNCTION("""COMPUTED_VALUE"""),1309.57)</f>
        <v>1309.57</v>
      </c>
      <c r="L324" s="97">
        <f ca="1">IFERROR(__xludf.DUMMYFUNCTION("""COMPUTED_VALUE"""),0)</f>
        <v>0</v>
      </c>
      <c r="M324" s="97">
        <f ca="1">IFERROR(__xludf.DUMMYFUNCTION("""COMPUTED_VALUE"""),0)</f>
        <v>0</v>
      </c>
      <c r="N324" s="67"/>
      <c r="O324" s="67"/>
      <c r="P324" s="67" t="str">
        <f ca="1">IFERROR(__xludf.DUMMYFUNCTION("""COMPUTED_VALUE"""),"СМР")</f>
        <v>СМР</v>
      </c>
      <c r="Q324" s="67">
        <f t="shared" ca="1" si="0"/>
        <v>0</v>
      </c>
      <c r="R324" s="67"/>
      <c r="S324" s="67"/>
      <c r="T324" s="67"/>
      <c r="U324" s="67"/>
      <c r="V324" s="67"/>
      <c r="W324" s="67"/>
      <c r="X324" s="67"/>
      <c r="Y324" s="67"/>
      <c r="Z324" s="67"/>
      <c r="AA324" s="67"/>
      <c r="AB324" s="67"/>
      <c r="AC324" s="67"/>
      <c r="AD324" s="67"/>
      <c r="AE324" s="67"/>
      <c r="AF324" s="67"/>
      <c r="AG324" s="67"/>
      <c r="AH324" s="67"/>
      <c r="AI324" s="67"/>
      <c r="AJ324" s="67"/>
      <c r="AK324" s="67"/>
      <c r="AL324" s="67"/>
      <c r="AM324" s="67"/>
    </row>
    <row r="325" spans="1:39" ht="72" x14ac:dyDescent="0.2">
      <c r="A325" s="67"/>
      <c r="B325" s="100"/>
      <c r="C32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5" s="20" t="str">
        <f ca="1">IFERROR(__xludf.DUMMYFUNCTION("""COMPUTED_VALUE"""),"МинЖКХ")</f>
        <v>МинЖКХ</v>
      </c>
      <c r="E325" s="20" t="str">
        <f ca="1">IFERROR(__xludf.DUMMYFUNCTION("""COMPUTED_VALUE"""),"Строительство БМК д. Грибцово, ул. Больничная, д.13  г.о. Рузский")</f>
        <v>Строительство БМК д. Грибцово, ул. Больничная, д.13  г.о. Рузский</v>
      </c>
      <c r="F325" s="67">
        <f ca="1">IFERROR(__xludf.DUMMYFUNCTION("""COMPUTED_VALUE"""),2020)</f>
        <v>2020</v>
      </c>
      <c r="G325" s="67" t="str">
        <f ca="1">IFERROR(__xludf.DUMMYFUNCTION("""COMPUTED_VALUE"""),"г.о. Рузский")</f>
        <v>г.о. Рузский</v>
      </c>
      <c r="H325" s="67" t="str">
        <f ca="1">IFERROR(__xludf.DUMMYFUNCTION("""COMPUTED_VALUE"""),"БМК")</f>
        <v>БМК</v>
      </c>
      <c r="I325" s="97">
        <f ca="1">IFERROR(__xludf.DUMMYFUNCTION("""COMPUTED_VALUE"""),6120.53)</f>
        <v>6120.53</v>
      </c>
      <c r="J325" s="67"/>
      <c r="K325" s="97">
        <f ca="1">IFERROR(__xludf.DUMMYFUNCTION("""COMPUTED_VALUE"""),1381.12)</f>
        <v>1381.12</v>
      </c>
      <c r="L325" s="97">
        <f ca="1">IFERROR(__xludf.DUMMYFUNCTION("""COMPUTED_VALUE"""),0)</f>
        <v>0</v>
      </c>
      <c r="M325" s="97">
        <f ca="1">IFERROR(__xludf.DUMMYFUNCTION("""COMPUTED_VALUE"""),0)</f>
        <v>0</v>
      </c>
      <c r="N325" s="67"/>
      <c r="O325" s="67"/>
      <c r="P325" s="67" t="str">
        <f ca="1">IFERROR(__xludf.DUMMYFUNCTION("""COMPUTED_VALUE"""),"СМР")</f>
        <v>СМР</v>
      </c>
      <c r="Q325" s="67">
        <f t="shared" ca="1" si="0"/>
        <v>0</v>
      </c>
      <c r="R325" s="67"/>
      <c r="S325" s="67"/>
      <c r="T325" s="67"/>
      <c r="U325" s="67"/>
      <c r="V325" s="67"/>
      <c r="W325" s="67"/>
      <c r="X325" s="67"/>
      <c r="Y325" s="67"/>
      <c r="Z325" s="67"/>
      <c r="AA325" s="67"/>
      <c r="AB325" s="67"/>
      <c r="AC325" s="67"/>
      <c r="AD325" s="67"/>
      <c r="AE325" s="67"/>
      <c r="AF325" s="67"/>
      <c r="AG325" s="67"/>
      <c r="AH325" s="67"/>
      <c r="AI325" s="67"/>
      <c r="AJ325" s="67"/>
      <c r="AK325" s="67"/>
      <c r="AL325" s="67"/>
      <c r="AM325" s="67"/>
    </row>
    <row r="326" spans="1:39" ht="72" x14ac:dyDescent="0.2">
      <c r="A326" s="67"/>
      <c r="B326" s="100"/>
      <c r="C32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6" s="20" t="str">
        <f ca="1">IFERROR(__xludf.DUMMYFUNCTION("""COMPUTED_VALUE"""),"МинЖКХ")</f>
        <v>МинЖКХ</v>
      </c>
      <c r="E326" s="20" t="str">
        <f ca="1">IFERROR(__xludf.DUMMYFUNCTION("""COMPUTED_VALUE"""),"Строительство БМК д. Ивойлово, д.18  г.о. Рузский")</f>
        <v>Строительство БМК д. Ивойлово, д.18  г.о. Рузский</v>
      </c>
      <c r="F326" s="67">
        <f ca="1">IFERROR(__xludf.DUMMYFUNCTION("""COMPUTED_VALUE"""),2020)</f>
        <v>2020</v>
      </c>
      <c r="G326" s="67" t="str">
        <f ca="1">IFERROR(__xludf.DUMMYFUNCTION("""COMPUTED_VALUE"""),"г.о. Рузский")</f>
        <v>г.о. Рузский</v>
      </c>
      <c r="H326" s="67" t="str">
        <f ca="1">IFERROR(__xludf.DUMMYFUNCTION("""COMPUTED_VALUE"""),"БМК")</f>
        <v>БМК</v>
      </c>
      <c r="I326" s="97">
        <f ca="1">IFERROR(__xludf.DUMMYFUNCTION("""COMPUTED_VALUE"""),6452.61)</f>
        <v>6452.61</v>
      </c>
      <c r="J326" s="67"/>
      <c r="K326" s="97">
        <f ca="1">IFERROR(__xludf.DUMMYFUNCTION("""COMPUTED_VALUE"""),1455.34)</f>
        <v>1455.34</v>
      </c>
      <c r="L326" s="97">
        <f ca="1">IFERROR(__xludf.DUMMYFUNCTION("""COMPUTED_VALUE"""),0)</f>
        <v>0</v>
      </c>
      <c r="M326" s="97">
        <f ca="1">IFERROR(__xludf.DUMMYFUNCTION("""COMPUTED_VALUE"""),0)</f>
        <v>0</v>
      </c>
      <c r="N326" s="67"/>
      <c r="O326" s="67"/>
      <c r="P326" s="67" t="str">
        <f ca="1">IFERROR(__xludf.DUMMYFUNCTION("""COMPUTED_VALUE"""),"СМР")</f>
        <v>СМР</v>
      </c>
      <c r="Q326" s="67">
        <f t="shared" ca="1" si="0"/>
        <v>0</v>
      </c>
      <c r="R326" s="67"/>
      <c r="S326" s="67"/>
      <c r="T326" s="67"/>
      <c r="U326" s="67"/>
      <c r="V326" s="67"/>
      <c r="W326" s="67"/>
      <c r="X326" s="67"/>
      <c r="Y326" s="67"/>
      <c r="Z326" s="67"/>
      <c r="AA326" s="67"/>
      <c r="AB326" s="67"/>
      <c r="AC326" s="67"/>
      <c r="AD326" s="67"/>
      <c r="AE326" s="67"/>
      <c r="AF326" s="67"/>
      <c r="AG326" s="67"/>
      <c r="AH326" s="67"/>
      <c r="AI326" s="67"/>
      <c r="AJ326" s="67"/>
      <c r="AK326" s="67"/>
      <c r="AL326" s="67"/>
      <c r="AM326" s="67"/>
    </row>
    <row r="327" spans="1:39" ht="72" x14ac:dyDescent="0.2">
      <c r="A327" s="67"/>
      <c r="B327" s="100"/>
      <c r="C32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7" s="20" t="str">
        <f ca="1">IFERROR(__xludf.DUMMYFUNCTION("""COMPUTED_VALUE"""),"МинЖКХ")</f>
        <v>МинЖКХ</v>
      </c>
      <c r="E327" s="20" t="str">
        <f ca="1">IFERROR(__xludf.DUMMYFUNCTION("""COMPUTED_VALUE"""),"Строительство БМК д. Лихачево, д.78  г.о. Рузский")</f>
        <v>Строительство БМК д. Лихачево, д.78  г.о. Рузский</v>
      </c>
      <c r="F327" s="67">
        <f ca="1">IFERROR(__xludf.DUMMYFUNCTION("""COMPUTED_VALUE"""),2020)</f>
        <v>2020</v>
      </c>
      <c r="G327" s="67" t="str">
        <f ca="1">IFERROR(__xludf.DUMMYFUNCTION("""COMPUTED_VALUE"""),"г.о. Рузский")</f>
        <v>г.о. Рузский</v>
      </c>
      <c r="H327" s="67" t="str">
        <f ca="1">IFERROR(__xludf.DUMMYFUNCTION("""COMPUTED_VALUE"""),"БМК")</f>
        <v>БМК</v>
      </c>
      <c r="I327" s="97">
        <f ca="1">IFERROR(__xludf.DUMMYFUNCTION("""COMPUTED_VALUE"""),8551.76)</f>
        <v>8551.76</v>
      </c>
      <c r="J327" s="67"/>
      <c r="K327" s="97">
        <f ca="1">IFERROR(__xludf.DUMMYFUNCTION("""COMPUTED_VALUE"""),1858.02)</f>
        <v>1858.02</v>
      </c>
      <c r="L327" s="97">
        <f ca="1">IFERROR(__xludf.DUMMYFUNCTION("""COMPUTED_VALUE"""),0)</f>
        <v>0</v>
      </c>
      <c r="M327" s="97">
        <f ca="1">IFERROR(__xludf.DUMMYFUNCTION("""COMPUTED_VALUE"""),0)</f>
        <v>0</v>
      </c>
      <c r="N327" s="67"/>
      <c r="O327" s="67"/>
      <c r="P327" s="67" t="str">
        <f ca="1">IFERROR(__xludf.DUMMYFUNCTION("""COMPUTED_VALUE"""),"СМР")</f>
        <v>СМР</v>
      </c>
      <c r="Q327" s="67">
        <f t="shared" ca="1" si="0"/>
        <v>0</v>
      </c>
      <c r="R327" s="67"/>
      <c r="S327" s="67"/>
      <c r="T327" s="67"/>
      <c r="U327" s="67"/>
      <c r="V327" s="67"/>
      <c r="W327" s="67"/>
      <c r="X327" s="67"/>
      <c r="Y327" s="67"/>
      <c r="Z327" s="67"/>
      <c r="AA327" s="67"/>
      <c r="AB327" s="67"/>
      <c r="AC327" s="67"/>
      <c r="AD327" s="67"/>
      <c r="AE327" s="67"/>
      <c r="AF327" s="67"/>
      <c r="AG327" s="67"/>
      <c r="AH327" s="67"/>
      <c r="AI327" s="67"/>
      <c r="AJ327" s="67"/>
      <c r="AK327" s="67"/>
      <c r="AL327" s="67"/>
      <c r="AM327" s="67"/>
    </row>
    <row r="328" spans="1:39" ht="72" x14ac:dyDescent="0.2">
      <c r="A328" s="67"/>
      <c r="B328" s="100"/>
      <c r="C32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8" s="20" t="str">
        <f ca="1">IFERROR(__xludf.DUMMYFUNCTION("""COMPUTED_VALUE"""),"МинЖКХ")</f>
        <v>МинЖКХ</v>
      </c>
      <c r="E328" s="20" t="str">
        <f ca="1">IFERROR(__xludf.DUMMYFUNCTION("""COMPUTED_VALUE"""),"Строительство БМК д. Лужки, д.1а, стр.1  г.о. Рузский")</f>
        <v>Строительство БМК д. Лужки, д.1а, стр.1  г.о. Рузский</v>
      </c>
      <c r="F328" s="67">
        <f ca="1">IFERROR(__xludf.DUMMYFUNCTION("""COMPUTED_VALUE"""),2020)</f>
        <v>2020</v>
      </c>
      <c r="G328" s="67" t="str">
        <f ca="1">IFERROR(__xludf.DUMMYFUNCTION("""COMPUTED_VALUE"""),"г.о. Рузский")</f>
        <v>г.о. Рузский</v>
      </c>
      <c r="H328" s="67" t="str">
        <f ca="1">IFERROR(__xludf.DUMMYFUNCTION("""COMPUTED_VALUE"""),"БМК")</f>
        <v>БМК</v>
      </c>
      <c r="I328" s="97">
        <f ca="1">IFERROR(__xludf.DUMMYFUNCTION("""COMPUTED_VALUE"""),7739.06)</f>
        <v>7739.06</v>
      </c>
      <c r="J328" s="67"/>
      <c r="K328" s="97">
        <f ca="1">IFERROR(__xludf.DUMMYFUNCTION("""COMPUTED_VALUE"""),1681.45)</f>
        <v>1681.45</v>
      </c>
      <c r="L328" s="97">
        <f ca="1">IFERROR(__xludf.DUMMYFUNCTION("""COMPUTED_VALUE"""),0)</f>
        <v>0</v>
      </c>
      <c r="M328" s="97">
        <f ca="1">IFERROR(__xludf.DUMMYFUNCTION("""COMPUTED_VALUE"""),0)</f>
        <v>0</v>
      </c>
      <c r="N328" s="67"/>
      <c r="O328" s="67"/>
      <c r="P328" s="67" t="str">
        <f ca="1">IFERROR(__xludf.DUMMYFUNCTION("""COMPUTED_VALUE"""),"СМР")</f>
        <v>СМР</v>
      </c>
      <c r="Q328" s="67">
        <f t="shared" ca="1" si="0"/>
        <v>0</v>
      </c>
      <c r="R328" s="67"/>
      <c r="S328" s="67"/>
      <c r="T328" s="67"/>
      <c r="U328" s="67"/>
      <c r="V328" s="67"/>
      <c r="W328" s="67"/>
      <c r="X328" s="67"/>
      <c r="Y328" s="67"/>
      <c r="Z328" s="67"/>
      <c r="AA328" s="67"/>
      <c r="AB328" s="67"/>
      <c r="AC328" s="67"/>
      <c r="AD328" s="67"/>
      <c r="AE328" s="67"/>
      <c r="AF328" s="67"/>
      <c r="AG328" s="67"/>
      <c r="AH328" s="67"/>
      <c r="AI328" s="67"/>
      <c r="AJ328" s="67"/>
      <c r="AK328" s="67"/>
      <c r="AL328" s="67"/>
      <c r="AM328" s="67"/>
    </row>
    <row r="329" spans="1:39" ht="72" x14ac:dyDescent="0.2">
      <c r="A329" s="67"/>
      <c r="B329" s="100"/>
      <c r="C32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9" s="20" t="str">
        <f ca="1">IFERROR(__xludf.DUMMYFUNCTION("""COMPUTED_VALUE"""),"МинЖКХ")</f>
        <v>МинЖКХ</v>
      </c>
      <c r="E329" s="20" t="str">
        <f ca="1">IFERROR(__xludf.DUMMYFUNCTION("""COMPUTED_VALUE"""),"Строительство БМК д. Старая Руза, ул. ДТК  г.о. Рузский")</f>
        <v>Строительство БМК д. Старая Руза, ул. ДТК  г.о. Рузский</v>
      </c>
      <c r="F329" s="67">
        <f ca="1">IFERROR(__xludf.DUMMYFUNCTION("""COMPUTED_VALUE"""),2020)</f>
        <v>2020</v>
      </c>
      <c r="G329" s="67" t="str">
        <f ca="1">IFERROR(__xludf.DUMMYFUNCTION("""COMPUTED_VALUE"""),"г.о. Рузский")</f>
        <v>г.о. Рузский</v>
      </c>
      <c r="H329" s="67" t="str">
        <f ca="1">IFERROR(__xludf.DUMMYFUNCTION("""COMPUTED_VALUE"""),"БМК")</f>
        <v>БМК</v>
      </c>
      <c r="I329" s="97">
        <f ca="1">IFERROR(__xludf.DUMMYFUNCTION("""COMPUTED_VALUE"""),25487.41)</f>
        <v>25487.41</v>
      </c>
      <c r="J329" s="67"/>
      <c r="K329" s="97">
        <f ca="1">IFERROR(__xludf.DUMMYFUNCTION("""COMPUTED_VALUE"""),5371.13)</f>
        <v>5371.13</v>
      </c>
      <c r="L329" s="97">
        <f ca="1">IFERROR(__xludf.DUMMYFUNCTION("""COMPUTED_VALUE"""),0)</f>
        <v>0</v>
      </c>
      <c r="M329" s="97">
        <f ca="1">IFERROR(__xludf.DUMMYFUNCTION("""COMPUTED_VALUE"""),0)</f>
        <v>0</v>
      </c>
      <c r="N329" s="67"/>
      <c r="O329" s="67"/>
      <c r="P329" s="67" t="str">
        <f ca="1">IFERROR(__xludf.DUMMYFUNCTION("""COMPUTED_VALUE"""),"СМР")</f>
        <v>СМР</v>
      </c>
      <c r="Q329" s="67">
        <f t="shared" ca="1" si="0"/>
        <v>0</v>
      </c>
      <c r="R329" s="67"/>
      <c r="S329" s="67"/>
      <c r="T329" s="67"/>
      <c r="U329" s="67"/>
      <c r="V329" s="67"/>
      <c r="W329" s="67"/>
      <c r="X329" s="67"/>
      <c r="Y329" s="67"/>
      <c r="Z329" s="67"/>
      <c r="AA329" s="67"/>
      <c r="AB329" s="67"/>
      <c r="AC329" s="67"/>
      <c r="AD329" s="67"/>
      <c r="AE329" s="67"/>
      <c r="AF329" s="67"/>
      <c r="AG329" s="67"/>
      <c r="AH329" s="67"/>
      <c r="AI329" s="67"/>
      <c r="AJ329" s="67"/>
      <c r="AK329" s="67"/>
      <c r="AL329" s="67"/>
      <c r="AM329" s="67"/>
    </row>
    <row r="330" spans="1:39" ht="72" x14ac:dyDescent="0.2">
      <c r="A330" s="67"/>
      <c r="B330" s="100"/>
      <c r="C33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0" s="20" t="str">
        <f ca="1">IFERROR(__xludf.DUMMYFUNCTION("""COMPUTED_VALUE"""),"МинЖКХ")</f>
        <v>МинЖКХ</v>
      </c>
      <c r="E330" s="20" t="str">
        <f ca="1">IFERROR(__xludf.DUMMYFUNCTION("""COMPUTED_VALUE"""),"Строительство БМК п. Тучково, ул. Луговая  г.о. Рузский")</f>
        <v>Строительство БМК п. Тучково, ул. Луговая  г.о. Рузский</v>
      </c>
      <c r="F330" s="67" t="str">
        <f ca="1">IFERROR(__xludf.DUMMYFUNCTION("""COMPUTED_VALUE"""),"2020-2021")</f>
        <v>2020-2021</v>
      </c>
      <c r="G330" s="67" t="str">
        <f ca="1">IFERROR(__xludf.DUMMYFUNCTION("""COMPUTED_VALUE"""),"г.о. Рузский")</f>
        <v>г.о. Рузский</v>
      </c>
      <c r="H330" s="67" t="str">
        <f ca="1">IFERROR(__xludf.DUMMYFUNCTION("""COMPUTED_VALUE"""),"БМК")</f>
        <v>БМК</v>
      </c>
      <c r="I330" s="97">
        <f ca="1">IFERROR(__xludf.DUMMYFUNCTION("""COMPUTED_VALUE"""),13152.63)</f>
        <v>13152.63</v>
      </c>
      <c r="J330" s="67"/>
      <c r="K330" s="97">
        <f ca="1">IFERROR(__xludf.DUMMYFUNCTION("""COMPUTED_VALUE"""),5671.4)</f>
        <v>5671.4</v>
      </c>
      <c r="L330" s="97">
        <f ca="1">IFERROR(__xludf.DUMMYFUNCTION("""COMPUTED_VALUE"""),0)</f>
        <v>0</v>
      </c>
      <c r="M330" s="97">
        <f ca="1">IFERROR(__xludf.DUMMYFUNCTION("""COMPUTED_VALUE"""),0)</f>
        <v>0</v>
      </c>
      <c r="N330" s="67"/>
      <c r="O330" s="67"/>
      <c r="P330" s="67" t="str">
        <f ca="1">IFERROR(__xludf.DUMMYFUNCTION("""COMPUTED_VALUE"""),"СМР")</f>
        <v>СМР</v>
      </c>
      <c r="Q330" s="67">
        <f t="shared" ca="1" si="0"/>
        <v>0</v>
      </c>
      <c r="R330" s="67"/>
      <c r="S330" s="67"/>
      <c r="T330" s="67"/>
      <c r="U330" s="67"/>
      <c r="V330" s="67"/>
      <c r="W330" s="67"/>
      <c r="X330" s="67"/>
      <c r="Y330" s="67"/>
      <c r="Z330" s="67"/>
      <c r="AA330" s="67"/>
      <c r="AB330" s="67"/>
      <c r="AC330" s="67"/>
      <c r="AD330" s="67"/>
      <c r="AE330" s="67"/>
      <c r="AF330" s="67"/>
      <c r="AG330" s="67"/>
      <c r="AH330" s="67"/>
      <c r="AI330" s="67"/>
      <c r="AJ330" s="67"/>
      <c r="AK330" s="67"/>
      <c r="AL330" s="67"/>
      <c r="AM330" s="67"/>
    </row>
    <row r="331" spans="1:39" ht="72" x14ac:dyDescent="0.2">
      <c r="A331" s="67"/>
      <c r="B331" s="100"/>
      <c r="C33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1" s="20" t="str">
        <f ca="1">IFERROR(__xludf.DUMMYFUNCTION("""COMPUTED_VALUE"""),"МинЖКХ")</f>
        <v>МинЖКХ</v>
      </c>
      <c r="E331" s="20" t="str">
        <f ca="1">IFERROR(__xludf.DUMMYFUNCTION("""COMPUTED_VALUE"""),"Строительство БМК с. Богородское, д.30  г.о. Рузский")</f>
        <v>Строительство БМК с. Богородское, д.30  г.о. Рузский</v>
      </c>
      <c r="F331" s="67">
        <f ca="1">IFERROR(__xludf.DUMMYFUNCTION("""COMPUTED_VALUE"""),2020)</f>
        <v>2020</v>
      </c>
      <c r="G331" s="67" t="str">
        <f ca="1">IFERROR(__xludf.DUMMYFUNCTION("""COMPUTED_VALUE"""),"г.о. Рузский")</f>
        <v>г.о. Рузский</v>
      </c>
      <c r="H331" s="67" t="str">
        <f ca="1">IFERROR(__xludf.DUMMYFUNCTION("""COMPUTED_VALUE"""),"БМК")</f>
        <v>БМК</v>
      </c>
      <c r="I331" s="97">
        <f ca="1">IFERROR(__xludf.DUMMYFUNCTION("""COMPUTED_VALUE"""),8144.71)</f>
        <v>8144.71</v>
      </c>
      <c r="J331" s="67"/>
      <c r="K331" s="97">
        <f ca="1">IFERROR(__xludf.DUMMYFUNCTION("""COMPUTED_VALUE"""),1836.79)</f>
        <v>1836.79</v>
      </c>
      <c r="L331" s="97">
        <f ca="1">IFERROR(__xludf.DUMMYFUNCTION("""COMPUTED_VALUE"""),0)</f>
        <v>0</v>
      </c>
      <c r="M331" s="97">
        <f ca="1">IFERROR(__xludf.DUMMYFUNCTION("""COMPUTED_VALUE"""),0)</f>
        <v>0</v>
      </c>
      <c r="N331" s="67"/>
      <c r="O331" s="67"/>
      <c r="P331" s="67" t="str">
        <f ca="1">IFERROR(__xludf.DUMMYFUNCTION("""COMPUTED_VALUE"""),"СМР")</f>
        <v>СМР</v>
      </c>
      <c r="Q331" s="67">
        <f t="shared" ca="1" si="0"/>
        <v>0</v>
      </c>
      <c r="R331" s="67"/>
      <c r="S331" s="67"/>
      <c r="T331" s="67"/>
      <c r="U331" s="67"/>
      <c r="V331" s="67"/>
      <c r="W331" s="67"/>
      <c r="X331" s="67"/>
      <c r="Y331" s="67"/>
      <c r="Z331" s="67"/>
      <c r="AA331" s="67"/>
      <c r="AB331" s="67"/>
      <c r="AC331" s="67"/>
      <c r="AD331" s="67"/>
      <c r="AE331" s="67"/>
      <c r="AF331" s="67"/>
      <c r="AG331" s="67"/>
      <c r="AH331" s="67"/>
      <c r="AI331" s="67"/>
      <c r="AJ331" s="67"/>
      <c r="AK331" s="67"/>
      <c r="AL331" s="67"/>
      <c r="AM331" s="67"/>
    </row>
    <row r="332" spans="1:39" ht="72" x14ac:dyDescent="0.2">
      <c r="A332" s="67"/>
      <c r="B332" s="100"/>
      <c r="C33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2" s="20" t="str">
        <f ca="1">IFERROR(__xludf.DUMMYFUNCTION("""COMPUTED_VALUE"""),"МинЖКХ ""ТОП 5 (2 этап)""")</f>
        <v>МинЖКХ "ТОП 5 (2 этап)"</v>
      </c>
      <c r="E332" s="20" t="str">
        <f ca="1">IFERROR(__xludf.DUMMYFUNCTION("""COMPUTED_VALUE"""),"Строительство котельной по адресу: Рузский г.о., п.Тучково, ул. Лебеденко д.36")</f>
        <v>Строительство котельной по адресу: Рузский г.о., п.Тучково, ул. Лебеденко д.36</v>
      </c>
      <c r="F332" s="67" t="str">
        <f ca="1">IFERROR(__xludf.DUMMYFUNCTION("""COMPUTED_VALUE"""),"2020-2021")</f>
        <v>2020-2021</v>
      </c>
      <c r="G332" s="67" t="str">
        <f ca="1">IFERROR(__xludf.DUMMYFUNCTION("""COMPUTED_VALUE"""),"г.о. Рузский")</f>
        <v>г.о. Рузский</v>
      </c>
      <c r="H332" s="67" t="str">
        <f ca="1">IFERROR(__xludf.DUMMYFUNCTION("""COMPUTED_VALUE"""),"Котельная")</f>
        <v>Котельная</v>
      </c>
      <c r="I332" s="97">
        <f ca="1">IFERROR(__xludf.DUMMYFUNCTION("""COMPUTED_VALUE"""),0)</f>
        <v>0</v>
      </c>
      <c r="J332" s="67"/>
      <c r="K332" s="97">
        <f ca="1">IFERROR(__xludf.DUMMYFUNCTION("""COMPUTED_VALUE"""),25519.68)</f>
        <v>25519.68</v>
      </c>
      <c r="L332" s="97">
        <f ca="1">IFERROR(__xludf.DUMMYFUNCTION("""COMPUTED_VALUE"""),0)</f>
        <v>0</v>
      </c>
      <c r="M332" s="97">
        <f ca="1">IFERROR(__xludf.DUMMYFUNCTION("""COMPUTED_VALUE"""),0)</f>
        <v>0</v>
      </c>
      <c r="N332" s="67"/>
      <c r="O332" s="67"/>
      <c r="P332" s="67" t="str">
        <f ca="1">IFERROR(__xludf.DUMMYFUNCTION("""COMPUTED_VALUE"""),"СМР")</f>
        <v>СМР</v>
      </c>
      <c r="Q332" s="67">
        <f t="shared" ca="1" si="0"/>
        <v>0</v>
      </c>
      <c r="R332" s="67"/>
      <c r="S332" s="67"/>
      <c r="T332" s="67"/>
      <c r="U332" s="67"/>
      <c r="V332" s="67"/>
      <c r="W332" s="67"/>
      <c r="X332" s="67"/>
      <c r="Y332" s="67"/>
      <c r="Z332" s="67"/>
      <c r="AA332" s="67"/>
      <c r="AB332" s="67"/>
      <c r="AC332" s="67"/>
      <c r="AD332" s="67"/>
      <c r="AE332" s="67"/>
      <c r="AF332" s="67"/>
      <c r="AG332" s="67"/>
      <c r="AH332" s="67"/>
      <c r="AI332" s="67"/>
      <c r="AJ332" s="67"/>
      <c r="AK332" s="67"/>
      <c r="AL332" s="67"/>
      <c r="AM332" s="67"/>
    </row>
    <row r="333" spans="1:39" ht="72" x14ac:dyDescent="0.2">
      <c r="A333" s="67"/>
      <c r="B333" s="100"/>
      <c r="C33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3" s="20" t="str">
        <f ca="1">IFERROR(__xludf.DUMMYFUNCTION("""COMPUTED_VALUE"""),"МинЖКХ")</f>
        <v>МинЖКХ</v>
      </c>
      <c r="E333" s="20" t="str">
        <f ca="1">IFERROR(__xludf.DUMMYFUNCTION("""COMPUTED_VALUE"""),"Реконструкция объектов инженерной инфраструктуры по ул.Кооперативная, г.Хотьково")</f>
        <v>Реконструкция объектов инженерной инфраструктуры по ул.Кооперативная, г.Хотьково</v>
      </c>
      <c r="F333" s="67" t="str">
        <f ca="1">IFERROR(__xludf.DUMMYFUNCTION("""COMPUTED_VALUE"""),"2020-2021")</f>
        <v>2020-2021</v>
      </c>
      <c r="G333" s="67" t="str">
        <f ca="1">IFERROR(__xludf.DUMMYFUNCTION("""COMPUTED_VALUE"""),"г.о. Сергиев Посад")</f>
        <v>г.о. Сергиев Посад</v>
      </c>
      <c r="H333" s="67" t="str">
        <f ca="1">IFERROR(__xludf.DUMMYFUNCTION("""COMPUTED_VALUE"""),"Сети")</f>
        <v>Сети</v>
      </c>
      <c r="I333" s="97">
        <f ca="1">IFERROR(__xludf.DUMMYFUNCTION("""COMPUTED_VALUE"""),58638.69)</f>
        <v>58638.69</v>
      </c>
      <c r="J333" s="67"/>
      <c r="K333" s="97">
        <f ca="1">IFERROR(__xludf.DUMMYFUNCTION("""COMPUTED_VALUE"""),59558.0099999999)</f>
        <v>59558.0099999999</v>
      </c>
      <c r="L333" s="97">
        <f ca="1">IFERROR(__xludf.DUMMYFUNCTION("""COMPUTED_VALUE"""),0)</f>
        <v>0</v>
      </c>
      <c r="M333" s="97">
        <f ca="1">IFERROR(__xludf.DUMMYFUNCTION("""COMPUTED_VALUE"""),0)</f>
        <v>0</v>
      </c>
      <c r="N333" s="67"/>
      <c r="O333" s="67"/>
      <c r="P333" s="67" t="str">
        <f ca="1">IFERROR(__xludf.DUMMYFUNCTION("""COMPUTED_VALUE"""),"СМР")</f>
        <v>СМР</v>
      </c>
      <c r="Q333" s="67">
        <f t="shared" ca="1" si="0"/>
        <v>0</v>
      </c>
      <c r="R333" s="67"/>
      <c r="S333" s="67"/>
      <c r="T333" s="67"/>
      <c r="U333" s="67"/>
      <c r="V333" s="67"/>
      <c r="W333" s="67"/>
      <c r="X333" s="67"/>
      <c r="Y333" s="67"/>
      <c r="Z333" s="67"/>
      <c r="AA333" s="67"/>
      <c r="AB333" s="67"/>
      <c r="AC333" s="67"/>
      <c r="AD333" s="67"/>
      <c r="AE333" s="67"/>
      <c r="AF333" s="67"/>
      <c r="AG333" s="67"/>
      <c r="AH333" s="67"/>
      <c r="AI333" s="67"/>
      <c r="AJ333" s="67"/>
      <c r="AK333" s="67"/>
      <c r="AL333" s="67"/>
      <c r="AM333" s="67"/>
    </row>
    <row r="334" spans="1:39" ht="156" x14ac:dyDescent="0.2">
      <c r="A334" s="67"/>
      <c r="B334" s="100"/>
      <c r="C33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4" s="20" t="str">
        <f ca="1">IFERROR(__xludf.DUMMYFUNCTION("""COMPUTED_VALUE"""),"МинЖКХ")</f>
        <v>МинЖКХ</v>
      </c>
      <c r="E334" s="20" t="str">
        <f ca="1">IFERROR(__xludf.DUMMYFUNCTION("""COMPUTED_VALUE"""),"Строительство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в"&amp;" 2019 году в размере 699,6 тыс.руб. средства бюджета Московской области)")</f>
        <v>Строительство газовой блочно-модульной котельной  мощностью 4,6 МВт по адресу: д. Самотовино сельское поселение Шеметовское Сергиево-Посадского мунинципального района, в том числе погашение кредиторской задолжености за выполненые  работы но не оплаченые в 2019 году в размере 699,6 тыс.руб. средства бюджета Московской области)</v>
      </c>
      <c r="F334" s="67">
        <f ca="1">IFERROR(__xludf.DUMMYFUNCTION("""COMPUTED_VALUE"""),2020)</f>
        <v>2020</v>
      </c>
      <c r="G334" s="67" t="str">
        <f ca="1">IFERROR(__xludf.DUMMYFUNCTION("""COMPUTED_VALUE"""),"г.о. Сергиев Посад")</f>
        <v>г.о. Сергиев Посад</v>
      </c>
      <c r="H334" s="67" t="str">
        <f ca="1">IFERROR(__xludf.DUMMYFUNCTION("""COMPUTED_VALUE"""),"БМК")</f>
        <v>БМК</v>
      </c>
      <c r="I334" s="97">
        <f ca="1">IFERROR(__xludf.DUMMYFUNCTION("""COMPUTED_VALUE"""),21574.47)</f>
        <v>21574.47</v>
      </c>
      <c r="J334" s="67"/>
      <c r="K334" s="97">
        <f ca="1">IFERROR(__xludf.DUMMYFUNCTION("""COMPUTED_VALUE"""),8412.42)</f>
        <v>8412.42</v>
      </c>
      <c r="L334" s="97">
        <f ca="1">IFERROR(__xludf.DUMMYFUNCTION("""COMPUTED_VALUE"""),0)</f>
        <v>0</v>
      </c>
      <c r="M334" s="97">
        <f ca="1">IFERROR(__xludf.DUMMYFUNCTION("""COMPUTED_VALUE"""),0)</f>
        <v>0</v>
      </c>
      <c r="N334" s="67"/>
      <c r="O334" s="67"/>
      <c r="P334" s="67" t="str">
        <f ca="1">IFERROR(__xludf.DUMMYFUNCTION("""COMPUTED_VALUE"""),"СМР")</f>
        <v>СМР</v>
      </c>
      <c r="Q334" s="67">
        <f t="shared" ca="1" si="0"/>
        <v>0</v>
      </c>
      <c r="R334" s="67"/>
      <c r="S334" s="67"/>
      <c r="T334" s="67"/>
      <c r="U334" s="67"/>
      <c r="V334" s="67"/>
      <c r="W334" s="67"/>
      <c r="X334" s="67"/>
      <c r="Y334" s="67"/>
      <c r="Z334" s="67"/>
      <c r="AA334" s="67"/>
      <c r="AB334" s="67"/>
      <c r="AC334" s="67"/>
      <c r="AD334" s="67"/>
      <c r="AE334" s="67"/>
      <c r="AF334" s="67"/>
      <c r="AG334" s="67"/>
      <c r="AH334" s="67"/>
      <c r="AI334" s="67"/>
      <c r="AJ334" s="67"/>
      <c r="AK334" s="67"/>
      <c r="AL334" s="67"/>
      <c r="AM334" s="67"/>
    </row>
    <row r="335" spans="1:39" ht="72" x14ac:dyDescent="0.2">
      <c r="A335" s="67"/>
      <c r="B335" s="100"/>
      <c r="C33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5" s="20" t="str">
        <f ca="1">IFERROR(__xludf.DUMMYFUNCTION("""COMPUTED_VALUE"""),"МинЖКХ")</f>
        <v>МинЖКХ</v>
      </c>
      <c r="E335" s="20" t="str">
        <f ca="1">IFERROR(__xludf.DUMMYFUNCTION("""COMPUTED_VALUE"""),"Строительство газовой блочно-модульной котельной с. Константиново, сельское поселение Шеметовское Сергиево-Посадского м.р. Московской области")</f>
        <v>Строительство газовой блочно-модульной котельной с. Константиново, сельское поселение Шеметовское Сергиево-Посадского м.р. Московской области</v>
      </c>
      <c r="F335" s="67">
        <f ca="1">IFERROR(__xludf.DUMMYFUNCTION("""COMPUTED_VALUE"""),2020)</f>
        <v>2020</v>
      </c>
      <c r="G335" s="67" t="str">
        <f ca="1">IFERROR(__xludf.DUMMYFUNCTION("""COMPUTED_VALUE"""),"г.о. Сергиев Посад")</f>
        <v>г.о. Сергиев Посад</v>
      </c>
      <c r="H335" s="67" t="str">
        <f ca="1">IFERROR(__xludf.DUMMYFUNCTION("""COMPUTED_VALUE"""),"БМК")</f>
        <v>БМК</v>
      </c>
      <c r="I335" s="97">
        <f ca="1">IFERROR(__xludf.DUMMYFUNCTION("""COMPUTED_VALUE"""),16224.96)</f>
        <v>16224.96</v>
      </c>
      <c r="J335" s="67"/>
      <c r="K335" s="97">
        <f ca="1">IFERROR(__xludf.DUMMYFUNCTION("""COMPUTED_VALUE"""),4815.43)</f>
        <v>4815.43</v>
      </c>
      <c r="L335" s="97">
        <f ca="1">IFERROR(__xludf.DUMMYFUNCTION("""COMPUTED_VALUE"""),0)</f>
        <v>0</v>
      </c>
      <c r="M335" s="97">
        <f ca="1">IFERROR(__xludf.DUMMYFUNCTION("""COMPUTED_VALUE"""),0)</f>
        <v>0</v>
      </c>
      <c r="N335" s="67"/>
      <c r="O335" s="67"/>
      <c r="P335" s="67" t="str">
        <f ca="1">IFERROR(__xludf.DUMMYFUNCTION("""COMPUTED_VALUE"""),"СМР")</f>
        <v>СМР</v>
      </c>
      <c r="Q335" s="67">
        <f t="shared" ca="1" si="0"/>
        <v>0</v>
      </c>
      <c r="R335" s="67"/>
      <c r="S335" s="67"/>
      <c r="T335" s="67"/>
      <c r="U335" s="67"/>
      <c r="V335" s="67"/>
      <c r="W335" s="67"/>
      <c r="X335" s="67"/>
      <c r="Y335" s="67"/>
      <c r="Z335" s="67"/>
      <c r="AA335" s="67"/>
      <c r="AB335" s="67"/>
      <c r="AC335" s="67"/>
      <c r="AD335" s="67"/>
      <c r="AE335" s="67"/>
      <c r="AF335" s="67"/>
      <c r="AG335" s="67"/>
      <c r="AH335" s="67"/>
      <c r="AI335" s="67"/>
      <c r="AJ335" s="67"/>
      <c r="AK335" s="67"/>
      <c r="AL335" s="67"/>
      <c r="AM335" s="67"/>
    </row>
    <row r="336" spans="1:39" ht="84" x14ac:dyDescent="0.2">
      <c r="A336" s="67"/>
      <c r="B336" s="100"/>
      <c r="C336"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36" s="20" t="str">
        <f ca="1">IFERROR(__xludf.DUMMYFUNCTION("""COMPUTED_VALUE"""),"МинЖКХ")</f>
        <v>МинЖКХ</v>
      </c>
      <c r="E336" s="20" t="str">
        <f ca="1">IFERROR(__xludf.DUMMYFUNCTION("""COMPUTED_VALUE"""),"Капитальный ремонт котельной №14 с. Петрово мощностью 4,0 МВт г.о. Серебрянные Пруды")</f>
        <v>Капитальный ремонт котельной №14 с. Петрово мощностью 4,0 МВт г.о. Серебрянные Пруды</v>
      </c>
      <c r="F336" s="67">
        <f ca="1">IFERROR(__xludf.DUMMYFUNCTION("""COMPUTED_VALUE"""),2020)</f>
        <v>2020</v>
      </c>
      <c r="G336" s="67" t="str">
        <f ca="1">IFERROR(__xludf.DUMMYFUNCTION("""COMPUTED_VALUE"""),"г.о. Серебряные Пруды")</f>
        <v>г.о. Серебряные Пруды</v>
      </c>
      <c r="H336" s="67" t="str">
        <f ca="1">IFERROR(__xludf.DUMMYFUNCTION("""COMPUTED_VALUE"""),"Котельная")</f>
        <v>Котельная</v>
      </c>
      <c r="I336" s="67"/>
      <c r="J336" s="97">
        <f ca="1">IFERROR(__xludf.DUMMYFUNCTION("""COMPUTED_VALUE"""),3839.85)</f>
        <v>3839.85</v>
      </c>
      <c r="K336" s="97">
        <f ca="1">IFERROR(__xludf.DUMMYFUNCTION("""COMPUTED_VALUE"""),649)</f>
        <v>649</v>
      </c>
      <c r="L336" s="97">
        <f ca="1">IFERROR(__xludf.DUMMYFUNCTION("""COMPUTED_VALUE"""),0)</f>
        <v>0</v>
      </c>
      <c r="M336" s="97">
        <f ca="1">IFERROR(__xludf.DUMMYFUNCTION("""COMPUTED_VALUE"""),0)</f>
        <v>0</v>
      </c>
      <c r="N336" s="67"/>
      <c r="O336" s="67"/>
      <c r="P336" s="67" t="str">
        <f ca="1">IFERROR(__xludf.DUMMYFUNCTION("""COMPUTED_VALUE"""),"СМР")</f>
        <v>СМР</v>
      </c>
      <c r="Q336" s="67">
        <f t="shared" ca="1" si="0"/>
        <v>0</v>
      </c>
      <c r="R336" s="67"/>
      <c r="S336" s="67"/>
      <c r="T336" s="67"/>
      <c r="U336" s="67"/>
      <c r="V336" s="67"/>
      <c r="W336" s="67"/>
      <c r="X336" s="67"/>
      <c r="Y336" s="67"/>
      <c r="Z336" s="67"/>
      <c r="AA336" s="67"/>
      <c r="AB336" s="67"/>
      <c r="AC336" s="67"/>
      <c r="AD336" s="67"/>
      <c r="AE336" s="67"/>
      <c r="AF336" s="67"/>
      <c r="AG336" s="67"/>
      <c r="AH336" s="67"/>
      <c r="AI336" s="67"/>
      <c r="AJ336" s="67"/>
      <c r="AK336" s="67"/>
      <c r="AL336" s="67"/>
      <c r="AM336" s="67"/>
    </row>
    <row r="337" spans="1:39" ht="72" x14ac:dyDescent="0.2">
      <c r="A337" s="67"/>
      <c r="B337" s="100"/>
      <c r="C33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7" s="20" t="str">
        <f ca="1">IFERROR(__xludf.DUMMYFUNCTION("""COMPUTED_VALUE"""),"МинЖКХ ""ТОП 5 (1 этап)""")</f>
        <v>МинЖКХ "ТОП 5 (1 этап)"</v>
      </c>
      <c r="E337" s="20" t="str">
        <f ca="1">IFERROR(__xludf.DUMMYFUNCTION("""COMPUTED_VALUE"""),"Строительство блочно-модульной котельной (БМК) в п. Дмитриевский мощностью 2,1 МВт, г.о. Серебряные Пруды (в т.ч. ПИР) ")</f>
        <v xml:space="preserve">Строительство блочно-модульной котельной (БМК) в п. Дмитриевский мощностью 2,1 МВт, г.о. Серебряные Пруды (в т.ч. ПИР) </v>
      </c>
      <c r="F337" s="67">
        <f ca="1">IFERROR(__xludf.DUMMYFUNCTION("""COMPUTED_VALUE"""),2020)</f>
        <v>2020</v>
      </c>
      <c r="G337" s="67" t="str">
        <f ca="1">IFERROR(__xludf.DUMMYFUNCTION("""COMPUTED_VALUE"""),"г.о. Серебряные Пруды")</f>
        <v>г.о. Серебряные Пруды</v>
      </c>
      <c r="H337" s="67" t="str">
        <f ca="1">IFERROR(__xludf.DUMMYFUNCTION("""COMPUTED_VALUE"""),"БМК")</f>
        <v>БМК</v>
      </c>
      <c r="I337" s="97">
        <f ca="1">IFERROR(__xludf.DUMMYFUNCTION("""COMPUTED_VALUE"""),0)</f>
        <v>0</v>
      </c>
      <c r="J337" s="67"/>
      <c r="K337" s="97">
        <f ca="1">IFERROR(__xludf.DUMMYFUNCTION("""COMPUTED_VALUE"""),4299.03)</f>
        <v>4299.03</v>
      </c>
      <c r="L337" s="97">
        <f ca="1">IFERROR(__xludf.DUMMYFUNCTION("""COMPUTED_VALUE"""),0)</f>
        <v>0</v>
      </c>
      <c r="M337" s="97">
        <f ca="1">IFERROR(__xludf.DUMMYFUNCTION("""COMPUTED_VALUE"""),0)</f>
        <v>0</v>
      </c>
      <c r="N337" s="67"/>
      <c r="O337" s="67"/>
      <c r="P337" s="67" t="str">
        <f ca="1">IFERROR(__xludf.DUMMYFUNCTION("""COMPUTED_VALUE"""),"СМР")</f>
        <v>СМР</v>
      </c>
      <c r="Q337" s="67">
        <f t="shared" ca="1" si="0"/>
        <v>0</v>
      </c>
      <c r="R337" s="67"/>
      <c r="S337" s="67"/>
      <c r="T337" s="67"/>
      <c r="U337" s="67"/>
      <c r="V337" s="67"/>
      <c r="W337" s="67"/>
      <c r="X337" s="67"/>
      <c r="Y337" s="67"/>
      <c r="Z337" s="67"/>
      <c r="AA337" s="67"/>
      <c r="AB337" s="67"/>
      <c r="AC337" s="67"/>
      <c r="AD337" s="67"/>
      <c r="AE337" s="67"/>
      <c r="AF337" s="67"/>
      <c r="AG337" s="67"/>
      <c r="AH337" s="67"/>
      <c r="AI337" s="67"/>
      <c r="AJ337" s="67"/>
      <c r="AK337" s="67"/>
      <c r="AL337" s="67"/>
      <c r="AM337" s="67"/>
    </row>
    <row r="338" spans="1:39" ht="72" x14ac:dyDescent="0.2">
      <c r="A338" s="67"/>
      <c r="B338" s="100"/>
      <c r="C33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8" s="20" t="str">
        <f ca="1">IFERROR(__xludf.DUMMYFUNCTION("""COMPUTED_VALUE"""),"МинЖКХ ""ТОП 5 (1 этап)""")</f>
        <v>МинЖКХ "ТОП 5 (1 этап)"</v>
      </c>
      <c r="E338" s="20" t="str">
        <f ca="1">IFERROR(__xludf.DUMMYFUNCTION("""COMPUTED_VALUE"""),"Строительство блочно-модульной котельной в с. Глубокое мощностью 2,2 МВт, г.о. Серебряные Пруды (в т.ч. ПИР) ")</f>
        <v xml:space="preserve">Строительство блочно-модульной котельной в с. Глубокое мощностью 2,2 МВт, г.о. Серебряные Пруды (в т.ч. ПИР) </v>
      </c>
      <c r="F338" s="67" t="str">
        <f ca="1">IFERROR(__xludf.DUMMYFUNCTION("""COMPUTED_VALUE"""),"2020-2021")</f>
        <v>2020-2021</v>
      </c>
      <c r="G338" s="67" t="str">
        <f ca="1">IFERROR(__xludf.DUMMYFUNCTION("""COMPUTED_VALUE"""),"г.о. Серебряные Пруды")</f>
        <v>г.о. Серебряные Пруды</v>
      </c>
      <c r="H338" s="67" t="str">
        <f ca="1">IFERROR(__xludf.DUMMYFUNCTION("""COMPUTED_VALUE"""),"БМК")</f>
        <v>БМК</v>
      </c>
      <c r="I338" s="97">
        <f ca="1">IFERROR(__xludf.DUMMYFUNCTION("""COMPUTED_VALUE"""),0)</f>
        <v>0</v>
      </c>
      <c r="J338" s="67"/>
      <c r="K338" s="97">
        <f ca="1">IFERROR(__xludf.DUMMYFUNCTION("""COMPUTED_VALUE"""),2806.75)</f>
        <v>2806.75</v>
      </c>
      <c r="L338" s="97">
        <f ca="1">IFERROR(__xludf.DUMMYFUNCTION("""COMPUTED_VALUE"""),0)</f>
        <v>0</v>
      </c>
      <c r="M338" s="97">
        <f ca="1">IFERROR(__xludf.DUMMYFUNCTION("""COMPUTED_VALUE"""),0)</f>
        <v>0</v>
      </c>
      <c r="N338" s="67"/>
      <c r="O338" s="67"/>
      <c r="P338" s="67" t="str">
        <f ca="1">IFERROR(__xludf.DUMMYFUNCTION("""COMPUTED_VALUE"""),"СМР")</f>
        <v>СМР</v>
      </c>
      <c r="Q338" s="67">
        <f t="shared" ca="1" si="0"/>
        <v>0</v>
      </c>
      <c r="R338" s="67"/>
      <c r="S338" s="67"/>
      <c r="T338" s="67"/>
      <c r="U338" s="67"/>
      <c r="V338" s="67"/>
      <c r="W338" s="67"/>
      <c r="X338" s="67"/>
      <c r="Y338" s="67"/>
      <c r="Z338" s="67"/>
      <c r="AA338" s="67"/>
      <c r="AB338" s="67"/>
      <c r="AC338" s="67"/>
      <c r="AD338" s="67"/>
      <c r="AE338" s="67"/>
      <c r="AF338" s="67"/>
      <c r="AG338" s="67"/>
      <c r="AH338" s="67"/>
      <c r="AI338" s="67"/>
      <c r="AJ338" s="67"/>
      <c r="AK338" s="67"/>
      <c r="AL338" s="67"/>
      <c r="AM338" s="67"/>
    </row>
    <row r="339" spans="1:39" ht="72" x14ac:dyDescent="0.2">
      <c r="A339" s="67"/>
      <c r="B339" s="100"/>
      <c r="C33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9" s="20" t="str">
        <f ca="1">IFERROR(__xludf.DUMMYFUNCTION("""COMPUTED_VALUE"""),"МинЖКХ ""ТОП 5 (1 этап)""")</f>
        <v>МинЖКХ "ТОП 5 (1 этап)"</v>
      </c>
      <c r="E339" s="20" t="str">
        <f ca="1">IFERROR(__xludf.DUMMYFUNCTION("""COMPUTED_VALUE"""),"Строительство блочно-модульной котельной р.п. Серебряные Пруды, ул. ПТУ, мощностью 2,1 МВт , г.о. Серебряные Пруды (в т.ч. ПИР) ")</f>
        <v xml:space="preserve">Строительство блочно-модульной котельной р.п. Серебряные Пруды, ул. ПТУ, мощностью 2,1 МВт , г.о. Серебряные Пруды (в т.ч. ПИР) </v>
      </c>
      <c r="F339" s="67" t="str">
        <f ca="1">IFERROR(__xludf.DUMMYFUNCTION("""COMPUTED_VALUE"""),"2020-2021")</f>
        <v>2020-2021</v>
      </c>
      <c r="G339" s="67" t="str">
        <f ca="1">IFERROR(__xludf.DUMMYFUNCTION("""COMPUTED_VALUE"""),"г.о. Серебряные Пруды")</f>
        <v>г.о. Серебряные Пруды</v>
      </c>
      <c r="H339" s="67" t="str">
        <f ca="1">IFERROR(__xludf.DUMMYFUNCTION("""COMPUTED_VALUE"""),"БМК")</f>
        <v>БМК</v>
      </c>
      <c r="I339" s="97">
        <f ca="1">IFERROR(__xludf.DUMMYFUNCTION("""COMPUTED_VALUE"""),0)</f>
        <v>0</v>
      </c>
      <c r="J339" s="67"/>
      <c r="K339" s="97">
        <f ca="1">IFERROR(__xludf.DUMMYFUNCTION("""COMPUTED_VALUE"""),4509.06)</f>
        <v>4509.0600000000004</v>
      </c>
      <c r="L339" s="97">
        <f ca="1">IFERROR(__xludf.DUMMYFUNCTION("""COMPUTED_VALUE"""),0)</f>
        <v>0</v>
      </c>
      <c r="M339" s="97">
        <f ca="1">IFERROR(__xludf.DUMMYFUNCTION("""COMPUTED_VALUE"""),0)</f>
        <v>0</v>
      </c>
      <c r="N339" s="67"/>
      <c r="O339" s="67"/>
      <c r="P339" s="67" t="str">
        <f ca="1">IFERROR(__xludf.DUMMYFUNCTION("""COMPUTED_VALUE"""),"СМР")</f>
        <v>СМР</v>
      </c>
      <c r="Q339" s="67">
        <f t="shared" ca="1" si="0"/>
        <v>0</v>
      </c>
      <c r="R339" s="67"/>
      <c r="S339" s="67"/>
      <c r="T339" s="67"/>
      <c r="U339" s="67"/>
      <c r="V339" s="67"/>
      <c r="W339" s="67"/>
      <c r="X339" s="67"/>
      <c r="Y339" s="67"/>
      <c r="Z339" s="67"/>
      <c r="AA339" s="67"/>
      <c r="AB339" s="67"/>
      <c r="AC339" s="67"/>
      <c r="AD339" s="67"/>
      <c r="AE339" s="67"/>
      <c r="AF339" s="67"/>
      <c r="AG339" s="67"/>
      <c r="AH339" s="67"/>
      <c r="AI339" s="67"/>
      <c r="AJ339" s="67"/>
      <c r="AK339" s="67"/>
      <c r="AL339" s="67"/>
      <c r="AM339" s="67"/>
    </row>
    <row r="340" spans="1:39" ht="72" x14ac:dyDescent="0.2">
      <c r="A340" s="67"/>
      <c r="B340" s="100"/>
      <c r="C34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0" s="20" t="str">
        <f ca="1">IFERROR(__xludf.DUMMYFUNCTION("""COMPUTED_VALUE"""),"МинЖКХ ""ТОП 5 (1 этап)""")</f>
        <v>МинЖКХ "ТОП 5 (1 этап)"</v>
      </c>
      <c r="E340" s="20" t="str">
        <f ca="1">IFERROR(__xludf.DUMMYFUNCTION("""COMPUTED_VALUE"""),"Строительство блочно-модульной котельной №2 р.п. Серебряные Пруды, ул.Комсомольская, г.о. Серебряные Пруды (в т.ч. ПИР) ")</f>
        <v xml:space="preserve">Строительство блочно-модульной котельной №2 р.п. Серебряные Пруды, ул.Комсомольская, г.о. Серебряные Пруды (в т.ч. ПИР) </v>
      </c>
      <c r="F340" s="67" t="str">
        <f ca="1">IFERROR(__xludf.DUMMYFUNCTION("""COMPUTED_VALUE"""),"2020-2021")</f>
        <v>2020-2021</v>
      </c>
      <c r="G340" s="67" t="str">
        <f ca="1">IFERROR(__xludf.DUMMYFUNCTION("""COMPUTED_VALUE"""),"г.о. Серебряные Пруды")</f>
        <v>г.о. Серебряные Пруды</v>
      </c>
      <c r="H340" s="67" t="str">
        <f ca="1">IFERROR(__xludf.DUMMYFUNCTION("""COMPUTED_VALUE"""),"БМК")</f>
        <v>БМК</v>
      </c>
      <c r="I340" s="97">
        <f ca="1">IFERROR(__xludf.DUMMYFUNCTION("""COMPUTED_VALUE"""),0)</f>
        <v>0</v>
      </c>
      <c r="J340" s="67"/>
      <c r="K340" s="97">
        <f ca="1">IFERROR(__xludf.DUMMYFUNCTION("""COMPUTED_VALUE"""),5147.30999999999)</f>
        <v>5147.3099999999904</v>
      </c>
      <c r="L340" s="97">
        <f ca="1">IFERROR(__xludf.DUMMYFUNCTION("""COMPUTED_VALUE"""),0)</f>
        <v>0</v>
      </c>
      <c r="M340" s="97">
        <f ca="1">IFERROR(__xludf.DUMMYFUNCTION("""COMPUTED_VALUE"""),0)</f>
        <v>0</v>
      </c>
      <c r="N340" s="67"/>
      <c r="O340" s="67"/>
      <c r="P340" s="67" t="str">
        <f ca="1">IFERROR(__xludf.DUMMYFUNCTION("""COMPUTED_VALUE"""),"СМР")</f>
        <v>СМР</v>
      </c>
      <c r="Q340" s="67">
        <f t="shared" ca="1" si="0"/>
        <v>0</v>
      </c>
      <c r="R340" s="67"/>
      <c r="S340" s="67"/>
      <c r="T340" s="67"/>
      <c r="U340" s="67"/>
      <c r="V340" s="67"/>
      <c r="W340" s="67"/>
      <c r="X340" s="67"/>
      <c r="Y340" s="67"/>
      <c r="Z340" s="67"/>
      <c r="AA340" s="67"/>
      <c r="AB340" s="67"/>
      <c r="AC340" s="67"/>
      <c r="AD340" s="67"/>
      <c r="AE340" s="67"/>
      <c r="AF340" s="67"/>
      <c r="AG340" s="67"/>
      <c r="AH340" s="67"/>
      <c r="AI340" s="67"/>
      <c r="AJ340" s="67"/>
      <c r="AK340" s="67"/>
      <c r="AL340" s="67"/>
      <c r="AM340" s="67"/>
    </row>
    <row r="341" spans="1:39" ht="72" x14ac:dyDescent="0.2">
      <c r="A341" s="67"/>
      <c r="B341" s="100"/>
      <c r="C34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1" s="20" t="str">
        <f ca="1">IFERROR(__xludf.DUMMYFUNCTION("""COMPUTED_VALUE"""),"МинЖКХ ""ТОП 5 (1 этап)""")</f>
        <v>МинЖКХ "ТОП 5 (1 этап)"</v>
      </c>
      <c r="E341" s="20" t="str">
        <f ca="1">IFERROR(__xludf.DUMMYFUNCTION("""COMPUTED_VALUE"""),"Строительство блочно-модульной котельной №4 с. Подхожее, г.о. Серебряные Пруды (в т.ч. ПИР) ")</f>
        <v xml:space="preserve">Строительство блочно-модульной котельной №4 с. Подхожее, г.о. Серебряные Пруды (в т.ч. ПИР) </v>
      </c>
      <c r="F341" s="67" t="str">
        <f ca="1">IFERROR(__xludf.DUMMYFUNCTION("""COMPUTED_VALUE"""),"2020-2021")</f>
        <v>2020-2021</v>
      </c>
      <c r="G341" s="67" t="str">
        <f ca="1">IFERROR(__xludf.DUMMYFUNCTION("""COMPUTED_VALUE"""),"г.о. Серебряные Пруды")</f>
        <v>г.о. Серебряные Пруды</v>
      </c>
      <c r="H341" s="67" t="str">
        <f ca="1">IFERROR(__xludf.DUMMYFUNCTION("""COMPUTED_VALUE"""),"БМК")</f>
        <v>БМК</v>
      </c>
      <c r="I341" s="97">
        <f ca="1">IFERROR(__xludf.DUMMYFUNCTION("""COMPUTED_VALUE"""),0)</f>
        <v>0</v>
      </c>
      <c r="J341" s="67"/>
      <c r="K341" s="97">
        <f ca="1">IFERROR(__xludf.DUMMYFUNCTION("""COMPUTED_VALUE"""),3079.55)</f>
        <v>3079.55</v>
      </c>
      <c r="L341" s="97">
        <f ca="1">IFERROR(__xludf.DUMMYFUNCTION("""COMPUTED_VALUE"""),0)</f>
        <v>0</v>
      </c>
      <c r="M341" s="97">
        <f ca="1">IFERROR(__xludf.DUMMYFUNCTION("""COMPUTED_VALUE"""),0)</f>
        <v>0</v>
      </c>
      <c r="N341" s="67"/>
      <c r="O341" s="67"/>
      <c r="P341" s="67" t="str">
        <f ca="1">IFERROR(__xludf.DUMMYFUNCTION("""COMPUTED_VALUE"""),"СМР")</f>
        <v>СМР</v>
      </c>
      <c r="Q341" s="67">
        <f t="shared" ca="1" si="0"/>
        <v>0</v>
      </c>
      <c r="R341" s="67"/>
      <c r="S341" s="67"/>
      <c r="T341" s="67"/>
      <c r="U341" s="67"/>
      <c r="V341" s="67"/>
      <c r="W341" s="67"/>
      <c r="X341" s="67"/>
      <c r="Y341" s="67"/>
      <c r="Z341" s="67"/>
      <c r="AA341" s="67"/>
      <c r="AB341" s="67"/>
      <c r="AC341" s="67"/>
      <c r="AD341" s="67"/>
      <c r="AE341" s="67"/>
      <c r="AF341" s="67"/>
      <c r="AG341" s="67"/>
      <c r="AH341" s="67"/>
      <c r="AI341" s="67"/>
      <c r="AJ341" s="67"/>
      <c r="AK341" s="67"/>
      <c r="AL341" s="67"/>
      <c r="AM341" s="67"/>
    </row>
    <row r="342" spans="1:39" ht="72" x14ac:dyDescent="0.2">
      <c r="A342" s="67"/>
      <c r="B342" s="100"/>
      <c r="C34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2" s="20" t="str">
        <f ca="1">IFERROR(__xludf.DUMMYFUNCTION("""COMPUTED_VALUE"""),"МинЖКХ ""ТОП 5 (1 этап)""")</f>
        <v>МинЖКХ "ТОП 5 (1 этап)"</v>
      </c>
      <c r="E342" s="20" t="str">
        <f ca="1">IFERROR(__xludf.DUMMYFUNCTION("""COMPUTED_VALUE"""),"Строительство блочно-модульной котельной №5 с. Мочилы, г.о. Серебряные Пруды (в т.ч. ПИР) ")</f>
        <v xml:space="preserve">Строительство блочно-модульной котельной №5 с. Мочилы, г.о. Серебряные Пруды (в т.ч. ПИР) </v>
      </c>
      <c r="F342" s="67" t="str">
        <f ca="1">IFERROR(__xludf.DUMMYFUNCTION("""COMPUTED_VALUE"""),"2020-2021")</f>
        <v>2020-2021</v>
      </c>
      <c r="G342" s="67" t="str">
        <f ca="1">IFERROR(__xludf.DUMMYFUNCTION("""COMPUTED_VALUE"""),"г.о. Серебряные Пруды")</f>
        <v>г.о. Серебряные Пруды</v>
      </c>
      <c r="H342" s="67" t="str">
        <f ca="1">IFERROR(__xludf.DUMMYFUNCTION("""COMPUTED_VALUE"""),"БМК")</f>
        <v>БМК</v>
      </c>
      <c r="I342" s="97">
        <f ca="1">IFERROR(__xludf.DUMMYFUNCTION("""COMPUTED_VALUE"""),0)</f>
        <v>0</v>
      </c>
      <c r="J342" s="67"/>
      <c r="K342" s="97">
        <f ca="1">IFERROR(__xludf.DUMMYFUNCTION("""COMPUTED_VALUE"""),2828.5)</f>
        <v>2828.5</v>
      </c>
      <c r="L342" s="97">
        <f ca="1">IFERROR(__xludf.DUMMYFUNCTION("""COMPUTED_VALUE"""),0)</f>
        <v>0</v>
      </c>
      <c r="M342" s="97">
        <f ca="1">IFERROR(__xludf.DUMMYFUNCTION("""COMPUTED_VALUE"""),0)</f>
        <v>0</v>
      </c>
      <c r="N342" s="67"/>
      <c r="O342" s="67"/>
      <c r="P342" s="67" t="str">
        <f ca="1">IFERROR(__xludf.DUMMYFUNCTION("""COMPUTED_VALUE"""),"СМР")</f>
        <v>СМР</v>
      </c>
      <c r="Q342" s="67">
        <f t="shared" ca="1" si="0"/>
        <v>0</v>
      </c>
      <c r="R342" s="67"/>
      <c r="S342" s="67"/>
      <c r="T342" s="67"/>
      <c r="U342" s="67"/>
      <c r="V342" s="67"/>
      <c r="W342" s="67"/>
      <c r="X342" s="67"/>
      <c r="Y342" s="67"/>
      <c r="Z342" s="67"/>
      <c r="AA342" s="67"/>
      <c r="AB342" s="67"/>
      <c r="AC342" s="67"/>
      <c r="AD342" s="67"/>
      <c r="AE342" s="67"/>
      <c r="AF342" s="67"/>
      <c r="AG342" s="67"/>
      <c r="AH342" s="67"/>
      <c r="AI342" s="67"/>
      <c r="AJ342" s="67"/>
      <c r="AK342" s="67"/>
      <c r="AL342" s="67"/>
      <c r="AM342" s="67"/>
    </row>
    <row r="343" spans="1:39" ht="72" x14ac:dyDescent="0.2">
      <c r="A343" s="67"/>
      <c r="B343" s="100"/>
      <c r="C34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3" s="20" t="str">
        <f ca="1">IFERROR(__xludf.DUMMYFUNCTION("""COMPUTED_VALUE"""),"МинЖКХ ""ТОП 5 (1 этап)""")</f>
        <v>МинЖКХ "ТОП 5 (1 этап)"</v>
      </c>
      <c r="E343" s="20" t="str">
        <f ca="1">IFERROR(__xludf.DUMMYFUNCTION("""COMPUTED_VALUE"""),"Строительство блочно-модульной котельной №8 д. Шеметово, г.о. Серебряные Пруды (в т.ч. ПИР) ")</f>
        <v xml:space="preserve">Строительство блочно-модульной котельной №8 д. Шеметово, г.о. Серебряные Пруды (в т.ч. ПИР) </v>
      </c>
      <c r="F343" s="67" t="str">
        <f ca="1">IFERROR(__xludf.DUMMYFUNCTION("""COMPUTED_VALUE"""),"2020-2021")</f>
        <v>2020-2021</v>
      </c>
      <c r="G343" s="67" t="str">
        <f ca="1">IFERROR(__xludf.DUMMYFUNCTION("""COMPUTED_VALUE"""),"г.о. Серебряные Пруды")</f>
        <v>г.о. Серебряные Пруды</v>
      </c>
      <c r="H343" s="67" t="str">
        <f ca="1">IFERROR(__xludf.DUMMYFUNCTION("""COMPUTED_VALUE"""),"БМК")</f>
        <v>БМК</v>
      </c>
      <c r="I343" s="97">
        <f ca="1">IFERROR(__xludf.DUMMYFUNCTION("""COMPUTED_VALUE"""),0)</f>
        <v>0</v>
      </c>
      <c r="J343" s="67"/>
      <c r="K343" s="97">
        <f ca="1">IFERROR(__xludf.DUMMYFUNCTION("""COMPUTED_VALUE"""),3365.49)</f>
        <v>3365.49</v>
      </c>
      <c r="L343" s="97">
        <f ca="1">IFERROR(__xludf.DUMMYFUNCTION("""COMPUTED_VALUE"""),0)</f>
        <v>0</v>
      </c>
      <c r="M343" s="97">
        <f ca="1">IFERROR(__xludf.DUMMYFUNCTION("""COMPUTED_VALUE"""),0)</f>
        <v>0</v>
      </c>
      <c r="N343" s="67"/>
      <c r="O343" s="67"/>
      <c r="P343" s="67" t="str">
        <f ca="1">IFERROR(__xludf.DUMMYFUNCTION("""COMPUTED_VALUE"""),"СМР")</f>
        <v>СМР</v>
      </c>
      <c r="Q343" s="67">
        <f t="shared" ca="1" si="0"/>
        <v>0</v>
      </c>
      <c r="R343" s="67"/>
      <c r="S343" s="67"/>
      <c r="T343" s="67"/>
      <c r="U343" s="67"/>
      <c r="V343" s="67"/>
      <c r="W343" s="67"/>
      <c r="X343" s="67"/>
      <c r="Y343" s="67"/>
      <c r="Z343" s="67"/>
      <c r="AA343" s="67"/>
      <c r="AB343" s="67"/>
      <c r="AC343" s="67"/>
      <c r="AD343" s="67"/>
      <c r="AE343" s="67"/>
      <c r="AF343" s="67"/>
      <c r="AG343" s="67"/>
      <c r="AH343" s="67"/>
      <c r="AI343" s="67"/>
      <c r="AJ343" s="67"/>
      <c r="AK343" s="67"/>
      <c r="AL343" s="67"/>
      <c r="AM343" s="67"/>
    </row>
    <row r="344" spans="1:39" ht="84" x14ac:dyDescent="0.2">
      <c r="A344" s="67"/>
      <c r="B344" s="100"/>
      <c r="C344"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44" s="20" t="str">
        <f ca="1">IFERROR(__xludf.DUMMYFUNCTION("""COMPUTED_VALUE"""),"МинЖКХ")</f>
        <v>МинЖКХ</v>
      </c>
      <c r="E344" s="20" t="str">
        <f ca="1">IFERROR(__xludf.DUMMYFUNCTION("""COMPUTED_VALUE"""),"Капитальный ремонт  здания котельной, д. Новая Солнечногорский м.р. ")</f>
        <v xml:space="preserve">Капитальный ремонт  здания котельной, д. Новая Солнечногорский м.р. </v>
      </c>
      <c r="F344" s="67">
        <f ca="1">IFERROR(__xludf.DUMMYFUNCTION("""COMPUTED_VALUE"""),2020)</f>
        <v>2020</v>
      </c>
      <c r="G344" s="67" t="str">
        <f ca="1">IFERROR(__xludf.DUMMYFUNCTION("""COMPUTED_VALUE"""),"г.о. Солнечногорск")</f>
        <v>г.о. Солнечногорск</v>
      </c>
      <c r="H344" s="67" t="str">
        <f ca="1">IFERROR(__xludf.DUMMYFUNCTION("""COMPUTED_VALUE"""),"Котельная")</f>
        <v>Котельная</v>
      </c>
      <c r="I344" s="97">
        <f ca="1">IFERROR(__xludf.DUMMYFUNCTION("""COMPUTED_VALUE"""),1405.9)</f>
        <v>1405.9</v>
      </c>
      <c r="J344" s="67"/>
      <c r="K344" s="97">
        <f ca="1">IFERROR(__xludf.DUMMYFUNCTION("""COMPUTED_VALUE"""),2474)</f>
        <v>2474</v>
      </c>
      <c r="L344" s="97">
        <f ca="1">IFERROR(__xludf.DUMMYFUNCTION("""COMPUTED_VALUE"""),0)</f>
        <v>0</v>
      </c>
      <c r="M344" s="97">
        <f ca="1">IFERROR(__xludf.DUMMYFUNCTION("""COMPUTED_VALUE"""),0)</f>
        <v>0</v>
      </c>
      <c r="N344" s="67"/>
      <c r="O344" s="67"/>
      <c r="P344" s="67" t="str">
        <f ca="1">IFERROR(__xludf.DUMMYFUNCTION("""COMPUTED_VALUE"""),"СМР")</f>
        <v>СМР</v>
      </c>
      <c r="Q344" s="67">
        <f t="shared" ca="1" si="0"/>
        <v>0</v>
      </c>
      <c r="R344" s="67"/>
      <c r="S344" s="67"/>
      <c r="T344" s="67"/>
      <c r="U344" s="67"/>
      <c r="V344" s="67"/>
      <c r="W344" s="67"/>
      <c r="X344" s="67"/>
      <c r="Y344" s="67"/>
      <c r="Z344" s="67"/>
      <c r="AA344" s="67"/>
      <c r="AB344" s="67"/>
      <c r="AC344" s="67"/>
      <c r="AD344" s="67"/>
      <c r="AE344" s="67"/>
      <c r="AF344" s="67"/>
      <c r="AG344" s="67"/>
      <c r="AH344" s="67"/>
      <c r="AI344" s="67"/>
      <c r="AJ344" s="67"/>
      <c r="AK344" s="67"/>
      <c r="AL344" s="67"/>
      <c r="AM344" s="67"/>
    </row>
    <row r="345" spans="1:39" ht="84" x14ac:dyDescent="0.2">
      <c r="A345" s="67"/>
      <c r="B345" s="96"/>
      <c r="C345"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45" s="20" t="str">
        <f ca="1">IFERROR(__xludf.DUMMYFUNCTION("""COMPUTED_VALUE"""),"МинЖКХ")</f>
        <v>МинЖКХ</v>
      </c>
      <c r="E345" s="20" t="str">
        <f ca="1">IFERROR(__xludf.DUMMYFUNCTION("""COMPUTED_VALUE"""),"Капитальный ремонт  тепловых сетей,  д. Новая, Солнечногорский м.р.")</f>
        <v>Капитальный ремонт  тепловых сетей,  д. Новая, Солнечногорский м.р.</v>
      </c>
      <c r="F345" s="67">
        <f ca="1">IFERROR(__xludf.DUMMYFUNCTION("""COMPUTED_VALUE"""),2020)</f>
        <v>2020</v>
      </c>
      <c r="G345" s="67" t="str">
        <f ca="1">IFERROR(__xludf.DUMMYFUNCTION("""COMPUTED_VALUE"""),"г.о. Солнечногорск")</f>
        <v>г.о. Солнечногорск</v>
      </c>
      <c r="H345" s="67" t="str">
        <f ca="1">IFERROR(__xludf.DUMMYFUNCTION("""COMPUTED_VALUE"""),"Сети")</f>
        <v>Сети</v>
      </c>
      <c r="I345" s="97">
        <f ca="1">IFERROR(__xludf.DUMMYFUNCTION("""COMPUTED_VALUE"""),19816)</f>
        <v>19816</v>
      </c>
      <c r="J345" s="67"/>
      <c r="K345" s="97">
        <f ca="1">IFERROR(__xludf.DUMMYFUNCTION("""COMPUTED_VALUE"""),7217.43)</f>
        <v>7217.43</v>
      </c>
      <c r="L345" s="97">
        <f ca="1">IFERROR(__xludf.DUMMYFUNCTION("""COMPUTED_VALUE"""),0)</f>
        <v>0</v>
      </c>
      <c r="M345" s="97">
        <f ca="1">IFERROR(__xludf.DUMMYFUNCTION("""COMPUTED_VALUE"""),0)</f>
        <v>0</v>
      </c>
      <c r="N345" s="67"/>
      <c r="O345" s="67"/>
      <c r="P345" s="67" t="str">
        <f ca="1">IFERROR(__xludf.DUMMYFUNCTION("""COMPUTED_VALUE"""),"СМР")</f>
        <v>СМР</v>
      </c>
      <c r="Q345" s="67">
        <f t="shared" ca="1" si="0"/>
        <v>0</v>
      </c>
      <c r="R345" s="67"/>
      <c r="S345" s="67"/>
      <c r="T345" s="67"/>
      <c r="U345" s="67"/>
      <c r="V345" s="67"/>
      <c r="W345" s="67"/>
      <c r="X345" s="67"/>
      <c r="Y345" s="67"/>
      <c r="Z345" s="67"/>
      <c r="AA345" s="67"/>
      <c r="AB345" s="67"/>
      <c r="AC345" s="67"/>
      <c r="AD345" s="67"/>
      <c r="AE345" s="67"/>
      <c r="AF345" s="67"/>
      <c r="AG345" s="67"/>
      <c r="AH345" s="67"/>
      <c r="AI345" s="67"/>
      <c r="AJ345" s="67"/>
      <c r="AK345" s="67"/>
      <c r="AL345" s="67"/>
      <c r="AM345" s="67"/>
    </row>
    <row r="346" spans="1:39" ht="72" hidden="1" x14ac:dyDescent="0.2">
      <c r="A346" s="67"/>
      <c r="B346" s="96"/>
      <c r="C34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6" s="20" t="str">
        <f ca="1">IFERROR(__xludf.DUMMYFUNCTION("""COMPUTED_VALUE"""),"МинЖКХ ""ТОП 5 (2 этап)""")</f>
        <v>МинЖКХ "ТОП 5 (2 этап)"</v>
      </c>
      <c r="E346" s="20" t="str">
        <f ca="1">IFERROR(__xludf.DUMMYFUNCTION("""COMPUTED_VALUE"""),"Строительство котельной по адресу г. Наро-Фоминск, ул. Маршала Куркоткина, Наро-Фоминский г.о")</f>
        <v>Строительство котельной по адресу г. Наро-Фоминск, ул. Маршала Куркоткина, Наро-Фоминский г.о</v>
      </c>
      <c r="F346" s="67" t="str">
        <f ca="1">IFERROR(__xludf.DUMMYFUNCTION("""COMPUTED_VALUE"""),"2021-2022")</f>
        <v>2021-2022</v>
      </c>
      <c r="G346" s="67" t="str">
        <f ca="1">IFERROR(__xludf.DUMMYFUNCTION("""COMPUTED_VALUE"""),"г.о. Наро-Фоминск")</f>
        <v>г.о. Наро-Фоминск</v>
      </c>
      <c r="H346" s="67" t="str">
        <f ca="1">IFERROR(__xludf.DUMMYFUNCTION("""COMPUTED_VALUE"""),"Котельная")</f>
        <v>Котельная</v>
      </c>
      <c r="I346" s="67"/>
      <c r="J346" s="67"/>
      <c r="K346" s="97">
        <f ca="1">IFERROR(__xludf.DUMMYFUNCTION("""COMPUTED_VALUE"""),48802.5)</f>
        <v>48802.5</v>
      </c>
      <c r="L346" s="97">
        <f ca="1">IFERROR(__xludf.DUMMYFUNCTION("""COMPUTED_VALUE"""),0)</f>
        <v>0</v>
      </c>
      <c r="M346" s="97">
        <f ca="1">IFERROR(__xludf.DUMMYFUNCTION("""COMPUTED_VALUE"""),0)</f>
        <v>0</v>
      </c>
      <c r="N346" s="67"/>
      <c r="O346" s="67"/>
      <c r="P346" s="67" t="str">
        <f ca="1">IFERROR(__xludf.DUMMYFUNCTION("""COMPUTED_VALUE"""),"СМР")</f>
        <v>СМР</v>
      </c>
      <c r="Q346" s="67">
        <f t="shared" ca="1" si="0"/>
        <v>0</v>
      </c>
      <c r="R346" s="67"/>
      <c r="S346" s="67"/>
      <c r="T346" s="67"/>
      <c r="U346" s="67"/>
      <c r="V346" s="67"/>
      <c r="W346" s="67"/>
      <c r="X346" s="67"/>
      <c r="Y346" s="67"/>
      <c r="Z346" s="67"/>
      <c r="AA346" s="67"/>
      <c r="AB346" s="67"/>
      <c r="AC346" s="67"/>
      <c r="AD346" s="67"/>
      <c r="AE346" s="67"/>
      <c r="AF346" s="67"/>
      <c r="AG346" s="67"/>
      <c r="AH346" s="67"/>
      <c r="AI346" s="67"/>
      <c r="AJ346" s="67"/>
      <c r="AK346" s="67"/>
      <c r="AL346" s="67"/>
      <c r="AM346" s="67"/>
    </row>
    <row r="347" spans="1:39" ht="72" hidden="1" x14ac:dyDescent="0.2">
      <c r="A347" s="67"/>
      <c r="B347" s="96"/>
      <c r="C34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7" s="20" t="str">
        <f ca="1">IFERROR(__xludf.DUMMYFUNCTION("""COMPUTED_VALUE"""),"МинЖКХ ""ТОП 5 (2 этап)""")</f>
        <v>МинЖКХ "ТОП 5 (2 этап)"</v>
      </c>
      <c r="E347" s="20" t="str">
        <f ca="1">IFERROR(__xludf.DUMMYFUNCTION("""COMPUTED_VALUE"""),"Реконструкция котельной № 74, д. Назарьево, Наро-Фоминский г.о. (в т.ч. ТП)")</f>
        <v>Реконструкция котельной № 74, д. Назарьево, Наро-Фоминский г.о. (в т.ч. ТП)</v>
      </c>
      <c r="F347" s="67">
        <f ca="1">IFERROR(__xludf.DUMMYFUNCTION("""COMPUTED_VALUE"""),2021)</f>
        <v>2021</v>
      </c>
      <c r="G347" s="67" t="str">
        <f ca="1">IFERROR(__xludf.DUMMYFUNCTION("""COMPUTED_VALUE"""),"г.о. Наро-Фоминск")</f>
        <v>г.о. Наро-Фоминск</v>
      </c>
      <c r="H347" s="67" t="str">
        <f ca="1">IFERROR(__xludf.DUMMYFUNCTION("""COMPUTED_VALUE"""),"Котельная")</f>
        <v>Котельная</v>
      </c>
      <c r="I347" s="67"/>
      <c r="J347" s="67"/>
      <c r="K347" s="97">
        <f ca="1">IFERROR(__xludf.DUMMYFUNCTION("""COMPUTED_VALUE"""),2217.2)</f>
        <v>2217.1999999999998</v>
      </c>
      <c r="L347" s="97">
        <f ca="1">IFERROR(__xludf.DUMMYFUNCTION("""COMPUTED_VALUE"""),0)</f>
        <v>0</v>
      </c>
      <c r="M347" s="97">
        <f ca="1">IFERROR(__xludf.DUMMYFUNCTION("""COMPUTED_VALUE"""),0)</f>
        <v>0</v>
      </c>
      <c r="N347" s="67"/>
      <c r="O347" s="67"/>
      <c r="P347" s="67" t="str">
        <f ca="1">IFERROR(__xludf.DUMMYFUNCTION("""COMPUTED_VALUE"""),"СМР")</f>
        <v>СМР</v>
      </c>
      <c r="Q347" s="67">
        <f t="shared" ca="1" si="0"/>
        <v>0</v>
      </c>
      <c r="R347" s="67"/>
      <c r="S347" s="67"/>
      <c r="T347" s="67"/>
      <c r="U347" s="67"/>
      <c r="V347" s="67"/>
      <c r="W347" s="67"/>
      <c r="X347" s="67"/>
      <c r="Y347" s="67"/>
      <c r="Z347" s="67"/>
      <c r="AA347" s="67"/>
      <c r="AB347" s="67"/>
      <c r="AC347" s="67"/>
      <c r="AD347" s="67"/>
      <c r="AE347" s="67"/>
      <c r="AF347" s="67"/>
      <c r="AG347" s="67"/>
      <c r="AH347" s="67"/>
      <c r="AI347" s="67"/>
      <c r="AJ347" s="67"/>
      <c r="AK347" s="67"/>
      <c r="AL347" s="67"/>
      <c r="AM347" s="67"/>
    </row>
    <row r="348" spans="1:39" ht="72" hidden="1" x14ac:dyDescent="0.2">
      <c r="A348" s="67"/>
      <c r="B348" s="96"/>
      <c r="C34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8" s="20" t="str">
        <f ca="1">IFERROR(__xludf.DUMMYFUNCTION("""COMPUTED_VALUE"""),"МинЖКХ ""ТОП 5 (2 этап)""")</f>
        <v>МинЖКХ "ТОП 5 (2 этап)"</v>
      </c>
      <c r="E348" s="20" t="str">
        <f ca="1">IFERROR(__xludf.DUMMYFUNCTION("""COMPUTED_VALUE"""),"Реконструкция котельной № 79, г. Верея, ул. Боровская, Наро-Фоминский г.о. (в т.ч. ТП)")</f>
        <v>Реконструкция котельной № 79, г. Верея, ул. Боровская, Наро-Фоминский г.о. (в т.ч. ТП)</v>
      </c>
      <c r="F348" s="67">
        <f ca="1">IFERROR(__xludf.DUMMYFUNCTION("""COMPUTED_VALUE"""),2021)</f>
        <v>2021</v>
      </c>
      <c r="G348" s="67" t="str">
        <f ca="1">IFERROR(__xludf.DUMMYFUNCTION("""COMPUTED_VALUE"""),"г.о. Наро-Фоминск")</f>
        <v>г.о. Наро-Фоминск</v>
      </c>
      <c r="H348" s="67" t="str">
        <f ca="1">IFERROR(__xludf.DUMMYFUNCTION("""COMPUTED_VALUE"""),"Котельная")</f>
        <v>Котельная</v>
      </c>
      <c r="I348" s="67"/>
      <c r="J348" s="67"/>
      <c r="K348" s="97">
        <f ca="1">IFERROR(__xludf.DUMMYFUNCTION("""COMPUTED_VALUE"""),4868.2)</f>
        <v>4868.2</v>
      </c>
      <c r="L348" s="97">
        <f ca="1">IFERROR(__xludf.DUMMYFUNCTION("""COMPUTED_VALUE"""),0)</f>
        <v>0</v>
      </c>
      <c r="M348" s="97">
        <f ca="1">IFERROR(__xludf.DUMMYFUNCTION("""COMPUTED_VALUE"""),0)</f>
        <v>0</v>
      </c>
      <c r="N348" s="67"/>
      <c r="O348" s="67"/>
      <c r="P348" s="67" t="str">
        <f ca="1">IFERROR(__xludf.DUMMYFUNCTION("""COMPUTED_VALUE"""),"СМР")</f>
        <v>СМР</v>
      </c>
      <c r="Q348" s="67">
        <f t="shared" ca="1" si="0"/>
        <v>0</v>
      </c>
      <c r="R348" s="67"/>
      <c r="S348" s="67"/>
      <c r="T348" s="67"/>
      <c r="U348" s="67"/>
      <c r="V348" s="67"/>
      <c r="W348" s="67"/>
      <c r="X348" s="67"/>
      <c r="Y348" s="67"/>
      <c r="Z348" s="67"/>
      <c r="AA348" s="67"/>
      <c r="AB348" s="67"/>
      <c r="AC348" s="67"/>
      <c r="AD348" s="67"/>
      <c r="AE348" s="67"/>
      <c r="AF348" s="67"/>
      <c r="AG348" s="67"/>
      <c r="AH348" s="67"/>
      <c r="AI348" s="67"/>
      <c r="AJ348" s="67"/>
      <c r="AK348" s="67"/>
      <c r="AL348" s="67"/>
      <c r="AM348" s="67"/>
    </row>
    <row r="349" spans="1:39" ht="72" hidden="1" x14ac:dyDescent="0.2">
      <c r="A349" s="67"/>
      <c r="B349" s="96"/>
      <c r="C34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9" s="20" t="str">
        <f ca="1">IFERROR(__xludf.DUMMYFUNCTION("""COMPUTED_VALUE"""),"МинЖКХ ""ТОП 5 (2 этап)""")</f>
        <v>МинЖКХ "ТОП 5 (2 этап)"</v>
      </c>
      <c r="E349" s="20" t="str">
        <f ca="1">IFERROR(__xludf.DUMMYFUNCTION("""COMPUTED_VALUE"""),"Реконструкция котельной №7 по адресу р.п.Шаховская, ул.Солнечная д.8, г.о. Шаховская (в т.ч. ПИР, ТП)")</f>
        <v>Реконструкция котельной №7 по адресу р.п.Шаховская, ул.Солнечная д.8, г.о. Шаховская (в т.ч. ПИР, ТП)</v>
      </c>
      <c r="F349" s="67" t="str">
        <f ca="1">IFERROR(__xludf.DUMMYFUNCTION("""COMPUTED_VALUE"""),"2021-2022")</f>
        <v>2021-2022</v>
      </c>
      <c r="G349" s="67" t="str">
        <f ca="1">IFERROR(__xludf.DUMMYFUNCTION("""COMPUTED_VALUE"""),"г.о. Шаховская")</f>
        <v>г.о. Шаховская</v>
      </c>
      <c r="H349" s="67" t="str">
        <f ca="1">IFERROR(__xludf.DUMMYFUNCTION("""COMPUTED_VALUE"""),"Котельная")</f>
        <v>Котельная</v>
      </c>
      <c r="I349" s="67"/>
      <c r="J349" s="67"/>
      <c r="K349" s="97">
        <f ca="1">IFERROR(__xludf.DUMMYFUNCTION("""COMPUTED_VALUE"""),4692.29)</f>
        <v>4692.29</v>
      </c>
      <c r="L349" s="97">
        <f ca="1">IFERROR(__xludf.DUMMYFUNCTION("""COMPUTED_VALUE"""),0)</f>
        <v>0</v>
      </c>
      <c r="M349" s="97">
        <f ca="1">IFERROR(__xludf.DUMMYFUNCTION("""COMPUTED_VALUE"""),0)</f>
        <v>0</v>
      </c>
      <c r="N349" s="67"/>
      <c r="O349" s="67"/>
      <c r="P349" s="67" t="str">
        <f ca="1">IFERROR(__xludf.DUMMYFUNCTION("""COMPUTED_VALUE"""),"СМР")</f>
        <v>СМР</v>
      </c>
      <c r="Q349" s="67">
        <f t="shared" ca="1" si="0"/>
        <v>0</v>
      </c>
      <c r="R349" s="67"/>
      <c r="S349" s="67"/>
      <c r="T349" s="67"/>
      <c r="U349" s="67"/>
      <c r="V349" s="67"/>
      <c r="W349" s="67"/>
      <c r="X349" s="67"/>
      <c r="Y349" s="67"/>
      <c r="Z349" s="67"/>
      <c r="AA349" s="67"/>
      <c r="AB349" s="67"/>
      <c r="AC349" s="67"/>
      <c r="AD349" s="67"/>
      <c r="AE349" s="67"/>
      <c r="AF349" s="67"/>
      <c r="AG349" s="67"/>
      <c r="AH349" s="67"/>
      <c r="AI349" s="67"/>
      <c r="AJ349" s="67"/>
      <c r="AK349" s="67"/>
      <c r="AL349" s="67"/>
      <c r="AM349" s="67"/>
    </row>
    <row r="350" spans="1:39" ht="72" hidden="1" x14ac:dyDescent="0.2">
      <c r="A350" s="67"/>
      <c r="B350" s="96"/>
      <c r="C35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0" s="20" t="str">
        <f ca="1">IFERROR(__xludf.DUMMYFUNCTION("""COMPUTED_VALUE"""),"МинЖКХ ""ТОП 5 (2 этап)""")</f>
        <v>МинЖКХ "ТОП 5 (2 этап)"</v>
      </c>
      <c r="E350" s="20" t="str">
        <f ca="1">IFERROR(__xludf.DUMMYFUNCTION("""COMPUTED_VALUE"""),"Реконструкция котельной ""Григорово"", д. Григорово,  и тепловых сетей, г.о. Талдомский (в т.ч. ПИР, ТП) ")</f>
        <v xml:space="preserve">Реконструкция котельной "Григорово", д. Григорово,  и тепловых сетей, г.о. Талдомский (в т.ч. ПИР, ТП) </v>
      </c>
      <c r="F350" s="67" t="str">
        <f ca="1">IFERROR(__xludf.DUMMYFUNCTION("""COMPUTED_VALUE"""),"2023-2024")</f>
        <v>2023-2024</v>
      </c>
      <c r="G350" s="67" t="str">
        <f ca="1">IFERROR(__xludf.DUMMYFUNCTION("""COMPUTED_VALUE"""),"г.о. Талдомский")</f>
        <v>г.о. Талдомский</v>
      </c>
      <c r="H350" s="67" t="str">
        <f ca="1">IFERROR(__xludf.DUMMYFUNCTION("""COMPUTED_VALUE"""),"Котельная")</f>
        <v>Котельная</v>
      </c>
      <c r="I350" s="67"/>
      <c r="J350" s="67"/>
      <c r="K350" s="97">
        <f ca="1">IFERROR(__xludf.DUMMYFUNCTION("""COMPUTED_VALUE"""),463.89)</f>
        <v>463.89</v>
      </c>
      <c r="L350" s="97">
        <f ca="1">IFERROR(__xludf.DUMMYFUNCTION("""COMPUTED_VALUE"""),0)</f>
        <v>0</v>
      </c>
      <c r="M350" s="97">
        <f ca="1">IFERROR(__xludf.DUMMYFUNCTION("""COMPUTED_VALUE"""),0)</f>
        <v>0</v>
      </c>
      <c r="N350" s="67"/>
      <c r="O350" s="67"/>
      <c r="P350" s="67" t="str">
        <f ca="1">IFERROR(__xludf.DUMMYFUNCTION("""COMPUTED_VALUE"""),"СМР")</f>
        <v>СМР</v>
      </c>
      <c r="Q350" s="67">
        <f t="shared" ca="1" si="0"/>
        <v>0</v>
      </c>
      <c r="R350" s="67"/>
      <c r="S350" s="67"/>
      <c r="T350" s="67"/>
      <c r="U350" s="67"/>
      <c r="V350" s="67"/>
      <c r="W350" s="67"/>
      <c r="X350" s="67"/>
      <c r="Y350" s="67"/>
      <c r="Z350" s="67"/>
      <c r="AA350" s="67"/>
      <c r="AB350" s="67"/>
      <c r="AC350" s="67"/>
      <c r="AD350" s="67"/>
      <c r="AE350" s="67"/>
      <c r="AF350" s="67"/>
      <c r="AG350" s="67"/>
      <c r="AH350" s="67"/>
      <c r="AI350" s="67"/>
      <c r="AJ350" s="67"/>
      <c r="AK350" s="67"/>
      <c r="AL350" s="67"/>
      <c r="AM350" s="67"/>
    </row>
    <row r="351" spans="1:39" ht="72" hidden="1" x14ac:dyDescent="0.2">
      <c r="A351" s="67"/>
      <c r="B351" s="96"/>
      <c r="C35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1" s="20" t="str">
        <f ca="1">IFERROR(__xludf.DUMMYFUNCTION("""COMPUTED_VALUE"""),"МинЖКХ ""ТОП 5 (2 этап)""")</f>
        <v>МинЖКХ "ТОП 5 (2 этап)"</v>
      </c>
      <c r="E351" s="20" t="str">
        <f ca="1">IFERROR(__xludf.DUMMYFUNCTION("""COMPUTED_VALUE"""),"Реконструкция котельной ""Пановка"", д. Пановка, д.47, и тепловых сетей, г.о. Талдомский (в т.ч. ПИР, ТП) ")</f>
        <v xml:space="preserve">Реконструкция котельной "Пановка", д. Пановка, д.47, и тепловых сетей, г.о. Талдомский (в т.ч. ПИР, ТП) </v>
      </c>
      <c r="F351" s="67" t="str">
        <f ca="1">IFERROR(__xludf.DUMMYFUNCTION("""COMPUTED_VALUE"""),"2023-2024")</f>
        <v>2023-2024</v>
      </c>
      <c r="G351" s="67" t="str">
        <f ca="1">IFERROR(__xludf.DUMMYFUNCTION("""COMPUTED_VALUE"""),"г.о. Талдомский")</f>
        <v>г.о. Талдомский</v>
      </c>
      <c r="H351" s="67" t="str">
        <f ca="1">IFERROR(__xludf.DUMMYFUNCTION("""COMPUTED_VALUE"""),"Котельная")</f>
        <v>Котельная</v>
      </c>
      <c r="I351" s="67"/>
      <c r="J351" s="67"/>
      <c r="K351" s="97">
        <f ca="1">IFERROR(__xludf.DUMMYFUNCTION("""COMPUTED_VALUE"""),463.89)</f>
        <v>463.89</v>
      </c>
      <c r="L351" s="97">
        <f ca="1">IFERROR(__xludf.DUMMYFUNCTION("""COMPUTED_VALUE"""),0)</f>
        <v>0</v>
      </c>
      <c r="M351" s="97">
        <f ca="1">IFERROR(__xludf.DUMMYFUNCTION("""COMPUTED_VALUE"""),0)</f>
        <v>0</v>
      </c>
      <c r="N351" s="67"/>
      <c r="O351" s="67"/>
      <c r="P351" s="67" t="str">
        <f ca="1">IFERROR(__xludf.DUMMYFUNCTION("""COMPUTED_VALUE"""),"СМР")</f>
        <v>СМР</v>
      </c>
      <c r="Q351" s="67">
        <f t="shared" ca="1" si="0"/>
        <v>0</v>
      </c>
      <c r="R351" s="67"/>
      <c r="S351" s="67"/>
      <c r="T351" s="67"/>
      <c r="U351" s="67"/>
      <c r="V351" s="67"/>
      <c r="W351" s="67"/>
      <c r="X351" s="67"/>
      <c r="Y351" s="67"/>
      <c r="Z351" s="67"/>
      <c r="AA351" s="67"/>
      <c r="AB351" s="67"/>
      <c r="AC351" s="67"/>
      <c r="AD351" s="67"/>
      <c r="AE351" s="67"/>
      <c r="AF351" s="67"/>
      <c r="AG351" s="67"/>
      <c r="AH351" s="67"/>
      <c r="AI351" s="67"/>
      <c r="AJ351" s="67"/>
      <c r="AK351" s="67"/>
      <c r="AL351" s="67"/>
      <c r="AM351" s="67"/>
    </row>
    <row r="352" spans="1:39" ht="72" hidden="1" x14ac:dyDescent="0.2">
      <c r="A352" s="67"/>
      <c r="B352" s="96"/>
      <c r="C35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2" s="20" t="str">
        <f ca="1">IFERROR(__xludf.DUMMYFUNCTION("""COMPUTED_VALUE"""),"МинЖКХ ""ТОП 5 (2 этап)""")</f>
        <v>МинЖКХ "ТОП 5 (2 этап)"</v>
      </c>
      <c r="E352" s="20" t="str">
        <f ca="1">IFERROR(__xludf.DUMMYFUNCTION("""COMPUTED_VALUE"""),"Строительство котельной №37, п. Сычево, Школьный пр., д.4, г.о. Волоколамский (в т.ч. ПИР, ТП)")</f>
        <v>Строительство котельной №37, п. Сычево, Школьный пр., д.4, г.о. Волоколамский (в т.ч. ПИР, ТП)</v>
      </c>
      <c r="F352" s="67" t="str">
        <f ca="1">IFERROR(__xludf.DUMMYFUNCTION("""COMPUTED_VALUE"""),"2022-2023")</f>
        <v>2022-2023</v>
      </c>
      <c r="G352" s="67" t="str">
        <f ca="1">IFERROR(__xludf.DUMMYFUNCTION("""COMPUTED_VALUE"""),"г.о. Волоколамский")</f>
        <v>г.о. Волоколамский</v>
      </c>
      <c r="H352" s="67" t="str">
        <f ca="1">IFERROR(__xludf.DUMMYFUNCTION("""COMPUTED_VALUE"""),"Котельная")</f>
        <v>Котельная</v>
      </c>
      <c r="I352" s="67"/>
      <c r="J352" s="67"/>
      <c r="K352" s="97">
        <f ca="1">IFERROR(__xludf.DUMMYFUNCTION("""COMPUTED_VALUE"""),3681.7)</f>
        <v>3681.7</v>
      </c>
      <c r="L352" s="97">
        <f ca="1">IFERROR(__xludf.DUMMYFUNCTION("""COMPUTED_VALUE"""),0)</f>
        <v>0</v>
      </c>
      <c r="M352" s="97">
        <f ca="1">IFERROR(__xludf.DUMMYFUNCTION("""COMPUTED_VALUE"""),0)</f>
        <v>0</v>
      </c>
      <c r="N352" s="67"/>
      <c r="O352" s="67"/>
      <c r="P352" s="67" t="str">
        <f ca="1">IFERROR(__xludf.DUMMYFUNCTION("""COMPUTED_VALUE"""),"СМР")</f>
        <v>СМР</v>
      </c>
      <c r="Q352" s="67">
        <f t="shared" ca="1" si="0"/>
        <v>0</v>
      </c>
      <c r="R352" s="67"/>
      <c r="S352" s="67"/>
      <c r="T352" s="67"/>
      <c r="U352" s="67"/>
      <c r="V352" s="67"/>
      <c r="W352" s="67"/>
      <c r="X352" s="67"/>
      <c r="Y352" s="67"/>
      <c r="Z352" s="67"/>
      <c r="AA352" s="67"/>
      <c r="AB352" s="67"/>
      <c r="AC352" s="67"/>
      <c r="AD352" s="67"/>
      <c r="AE352" s="67"/>
      <c r="AF352" s="67"/>
      <c r="AG352" s="67"/>
      <c r="AH352" s="67"/>
      <c r="AI352" s="67"/>
      <c r="AJ352" s="67"/>
      <c r="AK352" s="67"/>
      <c r="AL352" s="67"/>
      <c r="AM352" s="67"/>
    </row>
    <row r="353" spans="1:39" ht="72" hidden="1" x14ac:dyDescent="0.2">
      <c r="A353" s="67"/>
      <c r="B353" s="96"/>
      <c r="C35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3" s="20" t="str">
        <f ca="1">IFERROR(__xludf.DUMMYFUNCTION("""COMPUTED_VALUE"""),"МинЖКХ ""ТОП 5 (2 этап)""")</f>
        <v>МинЖКХ "ТОП 5 (2 этап)"</v>
      </c>
      <c r="E353" s="20" t="str">
        <f ca="1">IFERROR(__xludf.DUMMYFUNCTION("""COMPUTED_VALUE"""),"Реконструкция котельной №4 по адресу п. Лотошино, ул. Спортивная, д. 9 и тепловых сетей, г.о. Лотошино (в т.ч. ПИР)")</f>
        <v>Реконструкция котельной №4 по адресу п. Лотошино, ул. Спортивная, д. 9 и тепловых сетей, г.о. Лотошино (в т.ч. ПИР)</v>
      </c>
      <c r="F353" s="67" t="str">
        <f ca="1">IFERROR(__xludf.DUMMYFUNCTION("""COMPUTED_VALUE"""),"2022-2023")</f>
        <v>2022-2023</v>
      </c>
      <c r="G353" s="67" t="str">
        <f ca="1">IFERROR(__xludf.DUMMYFUNCTION("""COMPUTED_VALUE"""),"г.о. Лотошино")</f>
        <v>г.о. Лотошино</v>
      </c>
      <c r="H353" s="67" t="str">
        <f ca="1">IFERROR(__xludf.DUMMYFUNCTION("""COMPUTED_VALUE"""),"Котельная")</f>
        <v>Котельная</v>
      </c>
      <c r="I353" s="67"/>
      <c r="J353" s="67"/>
      <c r="K353" s="97">
        <f ca="1">IFERROR(__xludf.DUMMYFUNCTION("""COMPUTED_VALUE"""),2246.49)</f>
        <v>2246.4899999999998</v>
      </c>
      <c r="L353" s="97">
        <f ca="1">IFERROR(__xludf.DUMMYFUNCTION("""COMPUTED_VALUE"""),0)</f>
        <v>0</v>
      </c>
      <c r="M353" s="97">
        <f ca="1">IFERROR(__xludf.DUMMYFUNCTION("""COMPUTED_VALUE"""),0)</f>
        <v>0</v>
      </c>
      <c r="N353" s="67"/>
      <c r="O353" s="67"/>
      <c r="P353" s="67" t="str">
        <f ca="1">IFERROR(__xludf.DUMMYFUNCTION("""COMPUTED_VALUE"""),"СМР")</f>
        <v>СМР</v>
      </c>
      <c r="Q353" s="67">
        <f t="shared" ca="1" si="0"/>
        <v>0</v>
      </c>
      <c r="R353" s="67"/>
      <c r="S353" s="67"/>
      <c r="T353" s="67"/>
      <c r="U353" s="67"/>
      <c r="V353" s="67"/>
      <c r="W353" s="67"/>
      <c r="X353" s="67"/>
      <c r="Y353" s="67"/>
      <c r="Z353" s="67"/>
      <c r="AA353" s="67"/>
      <c r="AB353" s="67"/>
      <c r="AC353" s="67"/>
      <c r="AD353" s="67"/>
      <c r="AE353" s="67"/>
      <c r="AF353" s="67"/>
      <c r="AG353" s="67"/>
      <c r="AH353" s="67"/>
      <c r="AI353" s="67"/>
      <c r="AJ353" s="67"/>
      <c r="AK353" s="67"/>
      <c r="AL353" s="67"/>
      <c r="AM353" s="67"/>
    </row>
    <row r="354" spans="1:39" ht="72" hidden="1" x14ac:dyDescent="0.2">
      <c r="A354" s="67"/>
      <c r="B354" s="96"/>
      <c r="C35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4" s="20" t="str">
        <f ca="1">IFERROR(__xludf.DUMMYFUNCTION("""COMPUTED_VALUE"""),"МинЖКХ ""ТОП 5 (2 этап)""")</f>
        <v>МинЖКХ "ТОП 5 (2 этап)"</v>
      </c>
      <c r="E354" s="20" t="str">
        <f ca="1">IFERROR(__xludf.DUMMYFUNCTION("""COMPUTED_VALUE"""),"Реконструкция котельной №5 по адресу с. Микулино, ул. Школьная д.18 и тепловых сетей, г.о. Лотошино (в т.ч. ПИР)")</f>
        <v>Реконструкция котельной №5 по адресу с. Микулино, ул. Школьная д.18 и тепловых сетей, г.о. Лотошино (в т.ч. ПИР)</v>
      </c>
      <c r="F354" s="67" t="str">
        <f ca="1">IFERROR(__xludf.DUMMYFUNCTION("""COMPUTED_VALUE"""),"2022-2023")</f>
        <v>2022-2023</v>
      </c>
      <c r="G354" s="67" t="str">
        <f ca="1">IFERROR(__xludf.DUMMYFUNCTION("""COMPUTED_VALUE"""),"г.о. Лотошино")</f>
        <v>г.о. Лотошино</v>
      </c>
      <c r="H354" s="67" t="str">
        <f ca="1">IFERROR(__xludf.DUMMYFUNCTION("""COMPUTED_VALUE"""),"Котельная")</f>
        <v>Котельная</v>
      </c>
      <c r="I354" s="67"/>
      <c r="J354" s="67"/>
      <c r="K354" s="97">
        <f ca="1">IFERROR(__xludf.DUMMYFUNCTION("""COMPUTED_VALUE"""),2033)</f>
        <v>2033</v>
      </c>
      <c r="L354" s="97">
        <f ca="1">IFERROR(__xludf.DUMMYFUNCTION("""COMPUTED_VALUE"""),0)</f>
        <v>0</v>
      </c>
      <c r="M354" s="97">
        <f ca="1">IFERROR(__xludf.DUMMYFUNCTION("""COMPUTED_VALUE"""),0)</f>
        <v>0</v>
      </c>
      <c r="N354" s="67"/>
      <c r="O354" s="67"/>
      <c r="P354" s="67" t="str">
        <f ca="1">IFERROR(__xludf.DUMMYFUNCTION("""COMPUTED_VALUE"""),"СМР")</f>
        <v>СМР</v>
      </c>
      <c r="Q354" s="67">
        <f t="shared" ca="1" si="0"/>
        <v>0</v>
      </c>
      <c r="R354" s="67"/>
      <c r="S354" s="67"/>
      <c r="T354" s="67"/>
      <c r="U354" s="67"/>
      <c r="V354" s="67"/>
      <c r="W354" s="67"/>
      <c r="X354" s="67"/>
      <c r="Y354" s="67"/>
      <c r="Z354" s="67"/>
      <c r="AA354" s="67"/>
      <c r="AB354" s="67"/>
      <c r="AC354" s="67"/>
      <c r="AD354" s="67"/>
      <c r="AE354" s="67"/>
      <c r="AF354" s="67"/>
      <c r="AG354" s="67"/>
      <c r="AH354" s="67"/>
      <c r="AI354" s="67"/>
      <c r="AJ354" s="67"/>
      <c r="AK354" s="67"/>
      <c r="AL354" s="67"/>
      <c r="AM354" s="67"/>
    </row>
    <row r="355" spans="1:39" ht="72" hidden="1" x14ac:dyDescent="0.2">
      <c r="A355" s="67"/>
      <c r="B355" s="96"/>
      <c r="C35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5" s="20" t="str">
        <f ca="1">IFERROR(__xludf.DUMMYFUNCTION("""COMPUTED_VALUE"""),"МинЖКХ ""ТОП 5 (2 этап)""")</f>
        <v>МинЖКХ "ТОП 5 (2 этап)"</v>
      </c>
      <c r="E355" s="20" t="str">
        <f ca="1">IFERROR(__xludf.DUMMYFUNCTION("""COMPUTED_VALUE"""),"Реконструкция котельной №6 по адресу п.Лотошино, ул 2-я Ветеринарная, д.23 и тепловых сетей, г.о. Лотошино (в т.ч. ПИР)")</f>
        <v>Реконструкция котельной №6 по адресу п.Лотошино, ул 2-я Ветеринарная, д.23 и тепловых сетей, г.о. Лотошино (в т.ч. ПИР)</v>
      </c>
      <c r="F355" s="67" t="str">
        <f ca="1">IFERROR(__xludf.DUMMYFUNCTION("""COMPUTED_VALUE"""),"2022-2023")</f>
        <v>2022-2023</v>
      </c>
      <c r="G355" s="67" t="str">
        <f ca="1">IFERROR(__xludf.DUMMYFUNCTION("""COMPUTED_VALUE"""),"г.о. Лотошино")</f>
        <v>г.о. Лотошино</v>
      </c>
      <c r="H355" s="67" t="str">
        <f ca="1">IFERROR(__xludf.DUMMYFUNCTION("""COMPUTED_VALUE"""),"Котельная")</f>
        <v>Котельная</v>
      </c>
      <c r="I355" s="67"/>
      <c r="J355" s="67"/>
      <c r="K355" s="97">
        <f ca="1">IFERROR(__xludf.DUMMYFUNCTION("""COMPUTED_VALUE"""),2032)</f>
        <v>2032</v>
      </c>
      <c r="L355" s="97">
        <f ca="1">IFERROR(__xludf.DUMMYFUNCTION("""COMPUTED_VALUE"""),0)</f>
        <v>0</v>
      </c>
      <c r="M355" s="97">
        <f ca="1">IFERROR(__xludf.DUMMYFUNCTION("""COMPUTED_VALUE"""),0)</f>
        <v>0</v>
      </c>
      <c r="N355" s="67"/>
      <c r="O355" s="67"/>
      <c r="P355" s="67" t="str">
        <f ca="1">IFERROR(__xludf.DUMMYFUNCTION("""COMPUTED_VALUE"""),"СМР")</f>
        <v>СМР</v>
      </c>
      <c r="Q355" s="67">
        <f t="shared" ca="1" si="0"/>
        <v>0</v>
      </c>
      <c r="R355" s="67"/>
      <c r="S355" s="67"/>
      <c r="T355" s="67"/>
      <c r="U355" s="67"/>
      <c r="V355" s="67"/>
      <c r="W355" s="67"/>
      <c r="X355" s="67"/>
      <c r="Y355" s="67"/>
      <c r="Z355" s="67"/>
      <c r="AA355" s="67"/>
      <c r="AB355" s="67"/>
      <c r="AC355" s="67"/>
      <c r="AD355" s="67"/>
      <c r="AE355" s="67"/>
      <c r="AF355" s="67"/>
      <c r="AG355" s="67"/>
      <c r="AH355" s="67"/>
      <c r="AI355" s="67"/>
      <c r="AJ355" s="67"/>
      <c r="AK355" s="67"/>
      <c r="AL355" s="67"/>
      <c r="AM355" s="67"/>
    </row>
    <row r="356" spans="1:39" ht="72" hidden="1" x14ac:dyDescent="0.2">
      <c r="A356" s="67"/>
      <c r="B356" s="96"/>
      <c r="C35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6" s="20" t="str">
        <f ca="1">IFERROR(__xludf.DUMMYFUNCTION("""COMPUTED_VALUE"""),"МинЖКХ ""ТОП 5 (2 этап)""")</f>
        <v>МинЖКХ "ТОП 5 (2 этап)"</v>
      </c>
      <c r="E356" s="20" t="str">
        <f ca="1">IFERROR(__xludf.DUMMYFUNCTION("""COMPUTED_VALUE"""),"Реконструкция тепловых сетей котельной д. Степаньково, г.о. Шаховская (в т.ч. ПИР)")</f>
        <v>Реконструкция тепловых сетей котельной д. Степаньково, г.о. Шаховская (в т.ч. ПИР)</v>
      </c>
      <c r="F356" s="67" t="str">
        <f ca="1">IFERROR(__xludf.DUMMYFUNCTION("""COMPUTED_VALUE"""),"2022-2023")</f>
        <v>2022-2023</v>
      </c>
      <c r="G356" s="67" t="str">
        <f ca="1">IFERROR(__xludf.DUMMYFUNCTION("""COMPUTED_VALUE"""),"г.о. Шаховская")</f>
        <v>г.о. Шаховская</v>
      </c>
      <c r="H356" s="67" t="str">
        <f ca="1">IFERROR(__xludf.DUMMYFUNCTION("""COMPUTED_VALUE"""),"Сети")</f>
        <v>Сети</v>
      </c>
      <c r="I356" s="67"/>
      <c r="J356" s="67"/>
      <c r="K356" s="97">
        <f ca="1">IFERROR(__xludf.DUMMYFUNCTION("""COMPUTED_VALUE"""),1795.63999999999)</f>
        <v>1795.6399999999901</v>
      </c>
      <c r="L356" s="97">
        <f ca="1">IFERROR(__xludf.DUMMYFUNCTION("""COMPUTED_VALUE"""),0)</f>
        <v>0</v>
      </c>
      <c r="M356" s="97">
        <f ca="1">IFERROR(__xludf.DUMMYFUNCTION("""COMPUTED_VALUE"""),0)</f>
        <v>0</v>
      </c>
      <c r="N356" s="67"/>
      <c r="O356" s="67"/>
      <c r="P356" s="67" t="str">
        <f ca="1">IFERROR(__xludf.DUMMYFUNCTION("""COMPUTED_VALUE"""),"СМР")</f>
        <v>СМР</v>
      </c>
      <c r="Q356" s="67">
        <f t="shared" ca="1" si="0"/>
        <v>0</v>
      </c>
      <c r="R356" s="67"/>
      <c r="S356" s="67"/>
      <c r="T356" s="67"/>
      <c r="U356" s="67"/>
      <c r="V356" s="67"/>
      <c r="W356" s="67"/>
      <c r="X356" s="67"/>
      <c r="Y356" s="67"/>
      <c r="Z356" s="67"/>
      <c r="AA356" s="67"/>
      <c r="AB356" s="67"/>
      <c r="AC356" s="67"/>
      <c r="AD356" s="67"/>
      <c r="AE356" s="67"/>
      <c r="AF356" s="67"/>
      <c r="AG356" s="67"/>
      <c r="AH356" s="67"/>
      <c r="AI356" s="67"/>
      <c r="AJ356" s="67"/>
      <c r="AK356" s="67"/>
      <c r="AL356" s="67"/>
      <c r="AM356" s="67"/>
    </row>
    <row r="357" spans="1:39" ht="72" hidden="1" x14ac:dyDescent="0.2">
      <c r="A357" s="67"/>
      <c r="B357" s="96"/>
      <c r="C35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7" s="20" t="str">
        <f ca="1">IFERROR(__xludf.DUMMYFUNCTION("""COMPUTED_VALUE"""),"МинЖКХ ""ТОП 5 (2 этап)""")</f>
        <v>МинЖКХ "ТОП 5 (2 этап)"</v>
      </c>
      <c r="E357" s="20" t="str">
        <f ca="1">IFERROR(__xludf.DUMMYFUNCTION("""COMPUTED_VALUE"""),"Реконструкция тепловых сетей котельной с. Б-Колпь, д.63, г.о. Шаховская (в т.ч. ПИР)")</f>
        <v>Реконструкция тепловых сетей котельной с. Б-Колпь, д.63, г.о. Шаховская (в т.ч. ПИР)</v>
      </c>
      <c r="F357" s="67" t="str">
        <f ca="1">IFERROR(__xludf.DUMMYFUNCTION("""COMPUTED_VALUE"""),"2022-2023")</f>
        <v>2022-2023</v>
      </c>
      <c r="G357" s="67" t="str">
        <f ca="1">IFERROR(__xludf.DUMMYFUNCTION("""COMPUTED_VALUE"""),"г.о. Шаховская")</f>
        <v>г.о. Шаховская</v>
      </c>
      <c r="H357" s="67" t="str">
        <f ca="1">IFERROR(__xludf.DUMMYFUNCTION("""COMPUTED_VALUE"""),"Сети")</f>
        <v>Сети</v>
      </c>
      <c r="I357" s="67"/>
      <c r="J357" s="67"/>
      <c r="K357" s="97">
        <f ca="1">IFERROR(__xludf.DUMMYFUNCTION("""COMPUTED_VALUE"""),1170.24)</f>
        <v>1170.24</v>
      </c>
      <c r="L357" s="97">
        <f ca="1">IFERROR(__xludf.DUMMYFUNCTION("""COMPUTED_VALUE"""),0)</f>
        <v>0</v>
      </c>
      <c r="M357" s="97">
        <f ca="1">IFERROR(__xludf.DUMMYFUNCTION("""COMPUTED_VALUE"""),0)</f>
        <v>0</v>
      </c>
      <c r="N357" s="67"/>
      <c r="O357" s="67"/>
      <c r="P357" s="67" t="str">
        <f ca="1">IFERROR(__xludf.DUMMYFUNCTION("""COMPUTED_VALUE"""),"СМР")</f>
        <v>СМР</v>
      </c>
      <c r="Q357" s="67">
        <f t="shared" ca="1" si="0"/>
        <v>0</v>
      </c>
      <c r="R357" s="67"/>
      <c r="S357" s="67"/>
      <c r="T357" s="67"/>
      <c r="U357" s="67"/>
      <c r="V357" s="67"/>
      <c r="W357" s="67"/>
      <c r="X357" s="67"/>
      <c r="Y357" s="67"/>
      <c r="Z357" s="67"/>
      <c r="AA357" s="67"/>
      <c r="AB357" s="67"/>
      <c r="AC357" s="67"/>
      <c r="AD357" s="67"/>
      <c r="AE357" s="67"/>
      <c r="AF357" s="67"/>
      <c r="AG357" s="67"/>
      <c r="AH357" s="67"/>
      <c r="AI357" s="67"/>
      <c r="AJ357" s="67"/>
      <c r="AK357" s="67"/>
      <c r="AL357" s="67"/>
      <c r="AM357" s="67"/>
    </row>
    <row r="358" spans="1:39" ht="72" hidden="1" x14ac:dyDescent="0.2">
      <c r="A358" s="67"/>
      <c r="B358" s="96"/>
      <c r="C35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8" s="20" t="str">
        <f ca="1">IFERROR(__xludf.DUMMYFUNCTION("""COMPUTED_VALUE"""),"МинЖКХ ""ТОП 5 (2 этап)""")</f>
        <v>МинЖКХ "ТОП 5 (2 этап)"</v>
      </c>
      <c r="E358" s="20" t="str">
        <f ca="1">IFERROR(__xludf.DUMMYFUNCTION("""COMPUTED_VALUE"""),"Реконструкция тепловых сетей котельной д. Муриково, г.о. Шаховская (в т.ч. ПИР)")</f>
        <v>Реконструкция тепловых сетей котельной д. Муриково, г.о. Шаховская (в т.ч. ПИР)</v>
      </c>
      <c r="F358" s="67" t="str">
        <f ca="1">IFERROR(__xludf.DUMMYFUNCTION("""COMPUTED_VALUE"""),"2022-2023")</f>
        <v>2022-2023</v>
      </c>
      <c r="G358" s="67" t="str">
        <f ca="1">IFERROR(__xludf.DUMMYFUNCTION("""COMPUTED_VALUE"""),"г.о. Шаховская")</f>
        <v>г.о. Шаховская</v>
      </c>
      <c r="H358" s="67" t="str">
        <f ca="1">IFERROR(__xludf.DUMMYFUNCTION("""COMPUTED_VALUE"""),"Сети")</f>
        <v>Сети</v>
      </c>
      <c r="I358" s="67"/>
      <c r="J358" s="67"/>
      <c r="K358" s="97">
        <f ca="1">IFERROR(__xludf.DUMMYFUNCTION("""COMPUTED_VALUE"""),1673.74)</f>
        <v>1673.74</v>
      </c>
      <c r="L358" s="97">
        <f ca="1">IFERROR(__xludf.DUMMYFUNCTION("""COMPUTED_VALUE"""),0)</f>
        <v>0</v>
      </c>
      <c r="M358" s="97">
        <f ca="1">IFERROR(__xludf.DUMMYFUNCTION("""COMPUTED_VALUE"""),0)</f>
        <v>0</v>
      </c>
      <c r="N358" s="67"/>
      <c r="O358" s="67"/>
      <c r="P358" s="67" t="str">
        <f ca="1">IFERROR(__xludf.DUMMYFUNCTION("""COMPUTED_VALUE"""),"СМР")</f>
        <v>СМР</v>
      </c>
      <c r="Q358" s="67">
        <f t="shared" ca="1" si="0"/>
        <v>0</v>
      </c>
      <c r="R358" s="67"/>
      <c r="S358" s="67"/>
      <c r="T358" s="67"/>
      <c r="U358" s="67"/>
      <c r="V358" s="67"/>
      <c r="W358" s="67"/>
      <c r="X358" s="67"/>
      <c r="Y358" s="67"/>
      <c r="Z358" s="67"/>
      <c r="AA358" s="67"/>
      <c r="AB358" s="67"/>
      <c r="AC358" s="67"/>
      <c r="AD358" s="67"/>
      <c r="AE358" s="67"/>
      <c r="AF358" s="67"/>
      <c r="AG358" s="67"/>
      <c r="AH358" s="67"/>
      <c r="AI358" s="67"/>
      <c r="AJ358" s="67"/>
      <c r="AK358" s="67"/>
      <c r="AL358" s="67"/>
      <c r="AM358" s="67"/>
    </row>
    <row r="359" spans="1:39" ht="72" hidden="1" x14ac:dyDescent="0.2">
      <c r="A359" s="67"/>
      <c r="B359" s="96"/>
      <c r="C35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9" s="20" t="str">
        <f ca="1">IFERROR(__xludf.DUMMYFUNCTION("""COMPUTED_VALUE"""),"МинЖКХ ""ТОП 5 (2 этап)""")</f>
        <v>МинЖКХ "ТОП 5 (2 этап)"</v>
      </c>
      <c r="E359" s="20" t="str">
        <f ca="1">IFERROR(__xludf.DUMMYFUNCTION("""COMPUTED_VALUE"""),"Реконструкция тепловых сетей котельной с. Ивашково, г.о. Шаховская (в т.ч. ПИР)")</f>
        <v>Реконструкция тепловых сетей котельной с. Ивашково, г.о. Шаховская (в т.ч. ПИР)</v>
      </c>
      <c r="F359" s="67" t="str">
        <f ca="1">IFERROR(__xludf.DUMMYFUNCTION("""COMPUTED_VALUE"""),"2022-2023")</f>
        <v>2022-2023</v>
      </c>
      <c r="G359" s="67" t="str">
        <f ca="1">IFERROR(__xludf.DUMMYFUNCTION("""COMPUTED_VALUE"""),"г.о. Шаховская")</f>
        <v>г.о. Шаховская</v>
      </c>
      <c r="H359" s="67" t="str">
        <f ca="1">IFERROR(__xludf.DUMMYFUNCTION("""COMPUTED_VALUE"""),"Сети")</f>
        <v>Сети</v>
      </c>
      <c r="I359" s="67"/>
      <c r="J359" s="67"/>
      <c r="K359" s="97">
        <f ca="1">IFERROR(__xludf.DUMMYFUNCTION("""COMPUTED_VALUE"""),2125.3)</f>
        <v>2125.3000000000002</v>
      </c>
      <c r="L359" s="97">
        <f ca="1">IFERROR(__xludf.DUMMYFUNCTION("""COMPUTED_VALUE"""),0)</f>
        <v>0</v>
      </c>
      <c r="M359" s="97">
        <f ca="1">IFERROR(__xludf.DUMMYFUNCTION("""COMPUTED_VALUE"""),0)</f>
        <v>0</v>
      </c>
      <c r="N359" s="67"/>
      <c r="O359" s="67"/>
      <c r="P359" s="67" t="str">
        <f ca="1">IFERROR(__xludf.DUMMYFUNCTION("""COMPUTED_VALUE"""),"СМР")</f>
        <v>СМР</v>
      </c>
      <c r="Q359" s="67">
        <f t="shared" ca="1" si="0"/>
        <v>0</v>
      </c>
      <c r="R359" s="67"/>
      <c r="S359" s="67"/>
      <c r="T359" s="67"/>
      <c r="U359" s="67"/>
      <c r="V359" s="67"/>
      <c r="W359" s="67"/>
      <c r="X359" s="67"/>
      <c r="Y359" s="67"/>
      <c r="Z359" s="67"/>
      <c r="AA359" s="67"/>
      <c r="AB359" s="67"/>
      <c r="AC359" s="67"/>
      <c r="AD359" s="67"/>
      <c r="AE359" s="67"/>
      <c r="AF359" s="67"/>
      <c r="AG359" s="67"/>
      <c r="AH359" s="67"/>
      <c r="AI359" s="67"/>
      <c r="AJ359" s="67"/>
      <c r="AK359" s="67"/>
      <c r="AL359" s="67"/>
      <c r="AM359" s="67"/>
    </row>
    <row r="360" spans="1:39" ht="72" hidden="1" x14ac:dyDescent="0.2">
      <c r="A360" s="67"/>
      <c r="B360" s="96"/>
      <c r="C36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0" s="20" t="str">
        <f ca="1">IFERROR(__xludf.DUMMYFUNCTION("""COMPUTED_VALUE"""),"МинЖКХ ""ТОП 5 (2 этап)""")</f>
        <v>МинЖКХ "ТОП 5 (2 этап)"</v>
      </c>
      <c r="E360" s="20" t="str">
        <f ca="1">IFERROR(__xludf.DUMMYFUNCTION("""COMPUTED_VALUE"""),"Реконструкция тепловых сетей котельной д. Дубранивка, ул. Совхозная, д. 7, г.о. Шаховская (в т.ч. ПИР)")</f>
        <v>Реконструкция тепловых сетей котельной д. Дубранивка, ул. Совхозная, д. 7, г.о. Шаховская (в т.ч. ПИР)</v>
      </c>
      <c r="F360" s="67" t="str">
        <f ca="1">IFERROR(__xludf.DUMMYFUNCTION("""COMPUTED_VALUE"""),"2022-2023")</f>
        <v>2022-2023</v>
      </c>
      <c r="G360" s="67" t="str">
        <f ca="1">IFERROR(__xludf.DUMMYFUNCTION("""COMPUTED_VALUE"""),"г.о. Шаховская")</f>
        <v>г.о. Шаховская</v>
      </c>
      <c r="H360" s="67" t="str">
        <f ca="1">IFERROR(__xludf.DUMMYFUNCTION("""COMPUTED_VALUE"""),"Сети")</f>
        <v>Сети</v>
      </c>
      <c r="I360" s="67"/>
      <c r="J360" s="67"/>
      <c r="K360" s="97">
        <f ca="1">IFERROR(__xludf.DUMMYFUNCTION("""COMPUTED_VALUE"""),1102.4)</f>
        <v>1102.4000000000001</v>
      </c>
      <c r="L360" s="97">
        <f ca="1">IFERROR(__xludf.DUMMYFUNCTION("""COMPUTED_VALUE"""),0)</f>
        <v>0</v>
      </c>
      <c r="M360" s="97">
        <f ca="1">IFERROR(__xludf.DUMMYFUNCTION("""COMPUTED_VALUE"""),0)</f>
        <v>0</v>
      </c>
      <c r="N360" s="67"/>
      <c r="O360" s="67"/>
      <c r="P360" s="67" t="str">
        <f ca="1">IFERROR(__xludf.DUMMYFUNCTION("""COMPUTED_VALUE"""),"СМР")</f>
        <v>СМР</v>
      </c>
      <c r="Q360" s="67">
        <f t="shared" ca="1" si="0"/>
        <v>0</v>
      </c>
      <c r="R360" s="67"/>
      <c r="S360" s="67"/>
      <c r="T360" s="67"/>
      <c r="U360" s="67"/>
      <c r="V360" s="67"/>
      <c r="W360" s="67"/>
      <c r="X360" s="67"/>
      <c r="Y360" s="67"/>
      <c r="Z360" s="67"/>
      <c r="AA360" s="67"/>
      <c r="AB360" s="67"/>
      <c r="AC360" s="67"/>
      <c r="AD360" s="67"/>
      <c r="AE360" s="67"/>
      <c r="AF360" s="67"/>
      <c r="AG360" s="67"/>
      <c r="AH360" s="67"/>
      <c r="AI360" s="67"/>
      <c r="AJ360" s="67"/>
      <c r="AK360" s="67"/>
      <c r="AL360" s="67"/>
      <c r="AM360" s="67"/>
    </row>
    <row r="361" spans="1:39" ht="72" hidden="1" x14ac:dyDescent="0.2">
      <c r="A361" s="67"/>
      <c r="B361" s="96"/>
      <c r="C36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1" s="20" t="str">
        <f ca="1">IFERROR(__xludf.DUMMYFUNCTION("""COMPUTED_VALUE"""),"МинЖКХ ""ТОП 5 (2 этап)""")</f>
        <v>МинЖКХ "ТОП 5 (2 этап)"</v>
      </c>
      <c r="E361" s="20" t="str">
        <f ca="1">IFERROR(__xludf.DUMMYFUNCTION("""COMPUTED_VALUE"""),"Реконструкция котельной №3 (перевод котельной в режим ЦТП) по адресу г. Наро-Фоминск, ул. Калинина, Наро-Фоминский г.о.")</f>
        <v>Реконструкция котельной №3 (перевод котельной в режим ЦТП) по адресу г. Наро-Фоминск, ул. Калинина, Наро-Фоминский г.о.</v>
      </c>
      <c r="F361" s="67">
        <f ca="1">IFERROR(__xludf.DUMMYFUNCTION("""COMPUTED_VALUE"""),2022)</f>
        <v>2022</v>
      </c>
      <c r="G361" s="67" t="str">
        <f ca="1">IFERROR(__xludf.DUMMYFUNCTION("""COMPUTED_VALUE"""),"г.о. Наро-Фоминск")</f>
        <v>г.о. Наро-Фоминск</v>
      </c>
      <c r="H361" s="67" t="str">
        <f ca="1">IFERROR(__xludf.DUMMYFUNCTION("""COMPUTED_VALUE"""),"Котельная")</f>
        <v>Котельная</v>
      </c>
      <c r="I361" s="67"/>
      <c r="J361" s="67"/>
      <c r="K361" s="97">
        <f ca="1">IFERROR(__xludf.DUMMYFUNCTION("""COMPUTED_VALUE"""),4338)</f>
        <v>4338</v>
      </c>
      <c r="L361" s="97">
        <f ca="1">IFERROR(__xludf.DUMMYFUNCTION("""COMPUTED_VALUE"""),0)</f>
        <v>0</v>
      </c>
      <c r="M361" s="97">
        <f ca="1">IFERROR(__xludf.DUMMYFUNCTION("""COMPUTED_VALUE"""),0)</f>
        <v>0</v>
      </c>
      <c r="N361" s="67"/>
      <c r="O361" s="67"/>
      <c r="P361" s="67" t="str">
        <f ca="1">IFERROR(__xludf.DUMMYFUNCTION("""COMPUTED_VALUE"""),"СМР")</f>
        <v>СМР</v>
      </c>
      <c r="Q361" s="67">
        <f t="shared" ca="1" si="0"/>
        <v>0</v>
      </c>
      <c r="R361" s="67"/>
      <c r="S361" s="67"/>
      <c r="T361" s="67"/>
      <c r="U361" s="67"/>
      <c r="V361" s="67"/>
      <c r="W361" s="67"/>
      <c r="X361" s="67"/>
      <c r="Y361" s="67"/>
      <c r="Z361" s="67"/>
      <c r="AA361" s="67"/>
      <c r="AB361" s="67"/>
      <c r="AC361" s="67"/>
      <c r="AD361" s="67"/>
      <c r="AE361" s="67"/>
      <c r="AF361" s="67"/>
      <c r="AG361" s="67"/>
      <c r="AH361" s="67"/>
      <c r="AI361" s="67"/>
      <c r="AJ361" s="67"/>
      <c r="AK361" s="67"/>
      <c r="AL361" s="67"/>
      <c r="AM361" s="67"/>
    </row>
    <row r="362" spans="1:39" ht="72" hidden="1" x14ac:dyDescent="0.2">
      <c r="A362" s="67"/>
      <c r="B362" s="96"/>
      <c r="C36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2" s="20" t="str">
        <f ca="1">IFERROR(__xludf.DUMMYFUNCTION("""COMPUTED_VALUE"""),"МинЖКХ ""ТОП 5 (2 этап)""")</f>
        <v>МинЖКХ "ТОП 5 (2 этап)"</v>
      </c>
      <c r="E362" s="20" t="str">
        <f ca="1">IFERROR(__xludf.DUMMYFUNCTION("""COMPUTED_VALUE"""),"Строительство тепловых сетей к котельной № 5 по адресу г. Наро-Фоминск, ул. Новикова, Наро-Фоминский г.о.")</f>
        <v>Строительство тепловых сетей к котельной № 5 по адресу г. Наро-Фоминск, ул. Новикова, Наро-Фоминский г.о.</v>
      </c>
      <c r="F362" s="67">
        <f ca="1">IFERROR(__xludf.DUMMYFUNCTION("""COMPUTED_VALUE"""),2022)</f>
        <v>2022</v>
      </c>
      <c r="G362" s="67" t="str">
        <f ca="1">IFERROR(__xludf.DUMMYFUNCTION("""COMPUTED_VALUE"""),"г.о. Наро-Фоминск")</f>
        <v>г.о. Наро-Фоминск</v>
      </c>
      <c r="H362" s="67" t="str">
        <f ca="1">IFERROR(__xludf.DUMMYFUNCTION("""COMPUTED_VALUE"""),"Сети")</f>
        <v>Сети</v>
      </c>
      <c r="I362" s="67"/>
      <c r="J362" s="67"/>
      <c r="K362" s="97">
        <f ca="1">IFERROR(__xludf.DUMMYFUNCTION("""COMPUTED_VALUE"""),2063.18)</f>
        <v>2063.1799999999998</v>
      </c>
      <c r="L362" s="97">
        <f ca="1">IFERROR(__xludf.DUMMYFUNCTION("""COMPUTED_VALUE"""),0)</f>
        <v>0</v>
      </c>
      <c r="M362" s="97">
        <f ca="1">IFERROR(__xludf.DUMMYFUNCTION("""COMPUTED_VALUE"""),0)</f>
        <v>0</v>
      </c>
      <c r="N362" s="67"/>
      <c r="O362" s="67"/>
      <c r="P362" s="67" t="str">
        <f ca="1">IFERROR(__xludf.DUMMYFUNCTION("""COMPUTED_VALUE"""),"СМР")</f>
        <v>СМР</v>
      </c>
      <c r="Q362" s="67">
        <f t="shared" ca="1" si="0"/>
        <v>0</v>
      </c>
      <c r="R362" s="67"/>
      <c r="S362" s="67"/>
      <c r="T362" s="67"/>
      <c r="U362" s="67"/>
      <c r="V362" s="67"/>
      <c r="W362" s="67"/>
      <c r="X362" s="67"/>
      <c r="Y362" s="67"/>
      <c r="Z362" s="67"/>
      <c r="AA362" s="67"/>
      <c r="AB362" s="67"/>
      <c r="AC362" s="67"/>
      <c r="AD362" s="67"/>
      <c r="AE362" s="67"/>
      <c r="AF362" s="67"/>
      <c r="AG362" s="67"/>
      <c r="AH362" s="67"/>
      <c r="AI362" s="67"/>
      <c r="AJ362" s="67"/>
      <c r="AK362" s="67"/>
      <c r="AL362" s="67"/>
      <c r="AM362" s="67"/>
    </row>
    <row r="363" spans="1:39" ht="72" hidden="1" x14ac:dyDescent="0.2">
      <c r="A363" s="67"/>
      <c r="B363" s="96"/>
      <c r="C36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3" s="20" t="str">
        <f ca="1">IFERROR(__xludf.DUMMYFUNCTION("""COMPUTED_VALUE"""),"МинЖКХ ""ТОП 5 (2 этап)""")</f>
        <v>МинЖКХ "ТОП 5 (2 этап)"</v>
      </c>
      <c r="E363" s="20" t="str">
        <f ca="1">IFERROR(__xludf.DUMMYFUNCTION("""COMPUTED_VALUE"""),"Реконструкция котельной №1 по адресу г. Талдом, мкр. р-н ""Юбилейный"", д.24а, г.о. Талдомский
 (в т.ч. ПИР, ТП)")</f>
        <v>Реконструкция котельной №1 по адресу г. Талдом, мкр. р-н "Юбилейный", д.24а, г.о. Талдомский
 (в т.ч. ПИР, ТП)</v>
      </c>
      <c r="F363" s="67" t="str">
        <f ca="1">IFERROR(__xludf.DUMMYFUNCTION("""COMPUTED_VALUE"""),"2022-2024")</f>
        <v>2022-2024</v>
      </c>
      <c r="G363" s="67" t="str">
        <f ca="1">IFERROR(__xludf.DUMMYFUNCTION("""COMPUTED_VALUE"""),"г.о. Талдомский")</f>
        <v>г.о. Талдомский</v>
      </c>
      <c r="H363" s="67" t="str">
        <f ca="1">IFERROR(__xludf.DUMMYFUNCTION("""COMPUTED_VALUE"""),"Котельная")</f>
        <v>Котельная</v>
      </c>
      <c r="I363" s="67"/>
      <c r="J363" s="67"/>
      <c r="K363" s="97">
        <f ca="1">IFERROR(__xludf.DUMMYFUNCTION("""COMPUTED_VALUE"""),4572.7)</f>
        <v>4572.7</v>
      </c>
      <c r="L363" s="97">
        <f ca="1">IFERROR(__xludf.DUMMYFUNCTION("""COMPUTED_VALUE"""),0)</f>
        <v>0</v>
      </c>
      <c r="M363" s="97">
        <f ca="1">IFERROR(__xludf.DUMMYFUNCTION("""COMPUTED_VALUE"""),0)</f>
        <v>0</v>
      </c>
      <c r="N363" s="67"/>
      <c r="O363" s="67"/>
      <c r="P363" s="67" t="str">
        <f ca="1">IFERROR(__xludf.DUMMYFUNCTION("""COMPUTED_VALUE"""),"СМР")</f>
        <v>СМР</v>
      </c>
      <c r="Q363" s="67">
        <f t="shared" ca="1" si="0"/>
        <v>0</v>
      </c>
      <c r="R363" s="67"/>
      <c r="S363" s="67"/>
      <c r="T363" s="67"/>
      <c r="U363" s="67"/>
      <c r="V363" s="67"/>
      <c r="W363" s="67"/>
      <c r="X363" s="67"/>
      <c r="Y363" s="67"/>
      <c r="Z363" s="67"/>
      <c r="AA363" s="67"/>
      <c r="AB363" s="67"/>
      <c r="AC363" s="67"/>
      <c r="AD363" s="67"/>
      <c r="AE363" s="67"/>
      <c r="AF363" s="67"/>
      <c r="AG363" s="67"/>
      <c r="AH363" s="67"/>
      <c r="AI363" s="67"/>
      <c r="AJ363" s="67"/>
      <c r="AK363" s="67"/>
      <c r="AL363" s="67"/>
      <c r="AM363" s="67"/>
    </row>
    <row r="364" spans="1:39" ht="72" hidden="1" x14ac:dyDescent="0.2">
      <c r="A364" s="67"/>
      <c r="B364" s="96"/>
      <c r="C36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4" s="20" t="str">
        <f ca="1">IFERROR(__xludf.DUMMYFUNCTION("""COMPUTED_VALUE"""),"МинЖКХ ""ТОП 5 (2 этап)""")</f>
        <v>МинЖКХ "ТОП 5 (2 этап)"</v>
      </c>
      <c r="E364" s="20" t="str">
        <f ca="1">IFERROR(__xludf.DUMMYFUNCTION("""COMPUTED_VALUE"""),"Реконструкция котельной №3 по адресу г. Талдом, ул. Мичурина, д.3а, г.о. Талдомский (в т.ч. ПИР, ТП)")</f>
        <v>Реконструкция котельной №3 по адресу г. Талдом, ул. Мичурина, д.3а, г.о. Талдомский (в т.ч. ПИР, ТП)</v>
      </c>
      <c r="F364" s="67" t="str">
        <f ca="1">IFERROR(__xludf.DUMMYFUNCTION("""COMPUTED_VALUE"""),"2022-2024")</f>
        <v>2022-2024</v>
      </c>
      <c r="G364" s="67" t="str">
        <f ca="1">IFERROR(__xludf.DUMMYFUNCTION("""COMPUTED_VALUE"""),"г.о. Талдомский")</f>
        <v>г.о. Талдомский</v>
      </c>
      <c r="H364" s="67" t="str">
        <f ca="1">IFERROR(__xludf.DUMMYFUNCTION("""COMPUTED_VALUE"""),"Котельная")</f>
        <v>Котельная</v>
      </c>
      <c r="I364" s="67"/>
      <c r="J364" s="67"/>
      <c r="K364" s="97">
        <f ca="1">IFERROR(__xludf.DUMMYFUNCTION("""COMPUTED_VALUE"""),5879.16)</f>
        <v>5879.16</v>
      </c>
      <c r="L364" s="97">
        <f ca="1">IFERROR(__xludf.DUMMYFUNCTION("""COMPUTED_VALUE"""),0)</f>
        <v>0</v>
      </c>
      <c r="M364" s="97">
        <f ca="1">IFERROR(__xludf.DUMMYFUNCTION("""COMPUTED_VALUE"""),0)</f>
        <v>0</v>
      </c>
      <c r="N364" s="67"/>
      <c r="O364" s="67"/>
      <c r="P364" s="67" t="str">
        <f ca="1">IFERROR(__xludf.DUMMYFUNCTION("""COMPUTED_VALUE"""),"СМР")</f>
        <v>СМР</v>
      </c>
      <c r="Q364" s="67">
        <f t="shared" ca="1" si="0"/>
        <v>0</v>
      </c>
      <c r="R364" s="67"/>
      <c r="S364" s="67"/>
      <c r="T364" s="67"/>
      <c r="U364" s="67"/>
      <c r="V364" s="67"/>
      <c r="W364" s="67"/>
      <c r="X364" s="67"/>
      <c r="Y364" s="67"/>
      <c r="Z364" s="67"/>
      <c r="AA364" s="67"/>
      <c r="AB364" s="67"/>
      <c r="AC364" s="67"/>
      <c r="AD364" s="67"/>
      <c r="AE364" s="67"/>
      <c r="AF364" s="67"/>
      <c r="AG364" s="67"/>
      <c r="AH364" s="67"/>
      <c r="AI364" s="67"/>
      <c r="AJ364" s="67"/>
      <c r="AK364" s="67"/>
      <c r="AL364" s="67"/>
      <c r="AM364" s="67"/>
    </row>
    <row r="365" spans="1:39" ht="72" hidden="1" x14ac:dyDescent="0.2">
      <c r="A365" s="67"/>
      <c r="B365" s="96"/>
      <c r="C36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5" s="20" t="str">
        <f ca="1">IFERROR(__xludf.DUMMYFUNCTION("""COMPUTED_VALUE"""),"МинЖКХ ""ТОП 5 (2 этап)""")</f>
        <v>МинЖКХ "ТОП 5 (2 этап)"</v>
      </c>
      <c r="E365" s="20" t="str">
        <f ca="1">IFERROR(__xludf.DUMMYFUNCTION("""COMPUTED_VALUE"""),"Реконструкция котельной ""Вербилки"", п. Вербилки, ул. Якотская, д.6, г.о. Талдомский (в т.ч. ПИР)")</f>
        <v>Реконструкция котельной "Вербилки", п. Вербилки, ул. Якотская, д.6, г.о. Талдомский (в т.ч. ПИР)</v>
      </c>
      <c r="F365" s="67" t="str">
        <f ca="1">IFERROR(__xludf.DUMMYFUNCTION("""COMPUTED_VALUE"""),"2022-2024")</f>
        <v>2022-2024</v>
      </c>
      <c r="G365" s="67" t="str">
        <f ca="1">IFERROR(__xludf.DUMMYFUNCTION("""COMPUTED_VALUE"""),"г.о. Талдомский")</f>
        <v>г.о. Талдомский</v>
      </c>
      <c r="H365" s="67" t="str">
        <f ca="1">IFERROR(__xludf.DUMMYFUNCTION("""COMPUTED_VALUE"""),"Котельная")</f>
        <v>Котельная</v>
      </c>
      <c r="I365" s="67"/>
      <c r="J365" s="67"/>
      <c r="K365" s="97">
        <f ca="1">IFERROR(__xludf.DUMMYFUNCTION("""COMPUTED_VALUE"""),4035.45)</f>
        <v>4035.45</v>
      </c>
      <c r="L365" s="97">
        <f ca="1">IFERROR(__xludf.DUMMYFUNCTION("""COMPUTED_VALUE"""),0)</f>
        <v>0</v>
      </c>
      <c r="M365" s="97">
        <f ca="1">IFERROR(__xludf.DUMMYFUNCTION("""COMPUTED_VALUE"""),0)</f>
        <v>0</v>
      </c>
      <c r="N365" s="67"/>
      <c r="O365" s="67"/>
      <c r="P365" s="67" t="str">
        <f ca="1">IFERROR(__xludf.DUMMYFUNCTION("""COMPUTED_VALUE"""),"СМР")</f>
        <v>СМР</v>
      </c>
      <c r="Q365" s="67">
        <f t="shared" ca="1" si="0"/>
        <v>0</v>
      </c>
      <c r="R365" s="67"/>
      <c r="S365" s="67"/>
      <c r="T365" s="67"/>
      <c r="U365" s="67"/>
      <c r="V365" s="67"/>
      <c r="W365" s="67"/>
      <c r="X365" s="67"/>
      <c r="Y365" s="67"/>
      <c r="Z365" s="67"/>
      <c r="AA365" s="67"/>
      <c r="AB365" s="67"/>
      <c r="AC365" s="67"/>
      <c r="AD365" s="67"/>
      <c r="AE365" s="67"/>
      <c r="AF365" s="67"/>
      <c r="AG365" s="67"/>
      <c r="AH365" s="67"/>
      <c r="AI365" s="67"/>
      <c r="AJ365" s="67"/>
      <c r="AK365" s="67"/>
      <c r="AL365" s="67"/>
      <c r="AM365" s="67"/>
    </row>
    <row r="366" spans="1:39" ht="72" hidden="1" x14ac:dyDescent="0.2">
      <c r="A366" s="67"/>
      <c r="B366" s="96"/>
      <c r="C36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6" s="20" t="str">
        <f ca="1">IFERROR(__xludf.DUMMYFUNCTION("""COMPUTED_VALUE"""),"МинЖКХ ""ТОП 5 (2 этап)""")</f>
        <v>МинЖКХ "ТОП 5 (2 этап)"</v>
      </c>
      <c r="E366" s="20" t="str">
        <f ca="1">IFERROR(__xludf.DUMMYFUNCTION("""COMPUTED_VALUE"""),"Реконструкция котельной ""РУС"", г. Талдом, ул. Собцова, д.1а, г.о. Талдомский (в т.ч. ПИР, ТП)")</f>
        <v>Реконструкция котельной "РУС", г. Талдом, ул. Собцова, д.1а, г.о. Талдомский (в т.ч. ПИР, ТП)</v>
      </c>
      <c r="F366" s="67" t="str">
        <f ca="1">IFERROR(__xludf.DUMMYFUNCTION("""COMPUTED_VALUE"""),"2023-2024")</f>
        <v>2023-2024</v>
      </c>
      <c r="G366" s="67" t="str">
        <f ca="1">IFERROR(__xludf.DUMMYFUNCTION("""COMPUTED_VALUE"""),"г.о. Талдомский")</f>
        <v>г.о. Талдомский</v>
      </c>
      <c r="H366" s="67" t="str">
        <f ca="1">IFERROR(__xludf.DUMMYFUNCTION("""COMPUTED_VALUE"""),"Котельная")</f>
        <v>Котельная</v>
      </c>
      <c r="I366" s="67"/>
      <c r="J366" s="67"/>
      <c r="K366" s="97">
        <f ca="1">IFERROR(__xludf.DUMMYFUNCTION("""COMPUTED_VALUE"""),1402.63)</f>
        <v>1402.63</v>
      </c>
      <c r="L366" s="97">
        <f ca="1">IFERROR(__xludf.DUMMYFUNCTION("""COMPUTED_VALUE"""),0)</f>
        <v>0</v>
      </c>
      <c r="M366" s="97">
        <f ca="1">IFERROR(__xludf.DUMMYFUNCTION("""COMPUTED_VALUE"""),0)</f>
        <v>0</v>
      </c>
      <c r="N366" s="67"/>
      <c r="O366" s="67"/>
      <c r="P366" s="67" t="str">
        <f ca="1">IFERROR(__xludf.DUMMYFUNCTION("""COMPUTED_VALUE"""),"СМР")</f>
        <v>СМР</v>
      </c>
      <c r="Q366" s="67">
        <f t="shared" ca="1" si="0"/>
        <v>0</v>
      </c>
      <c r="R366" s="67"/>
      <c r="S366" s="67"/>
      <c r="T366" s="67"/>
      <c r="U366" s="67"/>
      <c r="V366" s="67"/>
      <c r="W366" s="67"/>
      <c r="X366" s="67"/>
      <c r="Y366" s="67"/>
      <c r="Z366" s="67"/>
      <c r="AA366" s="67"/>
      <c r="AB366" s="67"/>
      <c r="AC366" s="67"/>
      <c r="AD366" s="67"/>
      <c r="AE366" s="67"/>
      <c r="AF366" s="67"/>
      <c r="AG366" s="67"/>
      <c r="AH366" s="67"/>
      <c r="AI366" s="67"/>
      <c r="AJ366" s="67"/>
      <c r="AK366" s="67"/>
      <c r="AL366" s="67"/>
      <c r="AM366" s="67"/>
    </row>
    <row r="367" spans="1:39" ht="72" hidden="1" x14ac:dyDescent="0.2">
      <c r="A367" s="67"/>
      <c r="B367" s="96"/>
      <c r="C36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7" s="20" t="str">
        <f ca="1">IFERROR(__xludf.DUMMYFUNCTION("""COMPUTED_VALUE"""),"МинЖКХ ""ТОП 5 (2 этап)""")</f>
        <v>МинЖКХ "ТОП 5 (2 этап)"</v>
      </c>
      <c r="E367" s="20" t="str">
        <f ca="1">IFERROR(__xludf.DUMMYFUNCTION("""COMPUTED_VALUE"""),"Реконструкция котельной № 15 по адресу г. Апрелевка, ул. Ленина, Наро-Фоминский г.о. (в т.ч. ПИР)")</f>
        <v>Реконструкция котельной № 15 по адресу г. Апрелевка, ул. Ленина, Наро-Фоминский г.о. (в т.ч. ПИР)</v>
      </c>
      <c r="F367" s="67" t="str">
        <f ca="1">IFERROR(__xludf.DUMMYFUNCTION("""COMPUTED_VALUE"""),"2022-2023")</f>
        <v>2022-2023</v>
      </c>
      <c r="G367" s="67" t="str">
        <f ca="1">IFERROR(__xludf.DUMMYFUNCTION("""COMPUTED_VALUE"""),"г.о. Наро-Фоминск")</f>
        <v>г.о. Наро-Фоминск</v>
      </c>
      <c r="H367" s="67" t="str">
        <f ca="1">IFERROR(__xludf.DUMMYFUNCTION("""COMPUTED_VALUE"""),"Котельная")</f>
        <v>Котельная</v>
      </c>
      <c r="I367" s="67"/>
      <c r="J367" s="67"/>
      <c r="K367" s="97">
        <f ca="1">IFERROR(__xludf.DUMMYFUNCTION("""COMPUTED_VALUE"""),6145.5)</f>
        <v>6145.5</v>
      </c>
      <c r="L367" s="97">
        <f ca="1">IFERROR(__xludf.DUMMYFUNCTION("""COMPUTED_VALUE"""),0)</f>
        <v>0</v>
      </c>
      <c r="M367" s="97">
        <f ca="1">IFERROR(__xludf.DUMMYFUNCTION("""COMPUTED_VALUE"""),0)</f>
        <v>0</v>
      </c>
      <c r="N367" s="67"/>
      <c r="O367" s="67"/>
      <c r="P367" s="67" t="str">
        <f ca="1">IFERROR(__xludf.DUMMYFUNCTION("""COMPUTED_VALUE"""),"СМР")</f>
        <v>СМР</v>
      </c>
      <c r="Q367" s="67">
        <f t="shared" ca="1" si="0"/>
        <v>0</v>
      </c>
      <c r="R367" s="67"/>
      <c r="S367" s="67"/>
      <c r="T367" s="67"/>
      <c r="U367" s="67"/>
      <c r="V367" s="67"/>
      <c r="W367" s="67"/>
      <c r="X367" s="67"/>
      <c r="Y367" s="67"/>
      <c r="Z367" s="67"/>
      <c r="AA367" s="67"/>
      <c r="AB367" s="67"/>
      <c r="AC367" s="67"/>
      <c r="AD367" s="67"/>
      <c r="AE367" s="67"/>
      <c r="AF367" s="67"/>
      <c r="AG367" s="67"/>
      <c r="AH367" s="67"/>
      <c r="AI367" s="67"/>
      <c r="AJ367" s="67"/>
      <c r="AK367" s="67"/>
      <c r="AL367" s="67"/>
      <c r="AM367" s="67"/>
    </row>
    <row r="368" spans="1:39" ht="72" hidden="1" x14ac:dyDescent="0.2">
      <c r="A368" s="67"/>
      <c r="B368" s="96"/>
      <c r="C36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8" s="20" t="str">
        <f ca="1">IFERROR(__xludf.DUMMYFUNCTION("""COMPUTED_VALUE"""),"МинЖКХ ""ТОП 5 (2 этап)""")</f>
        <v>МинЖКХ "ТОП 5 (2 этап)"</v>
      </c>
      <c r="E368" s="20" t="str">
        <f ca="1">IFERROR(__xludf.DUMMYFUNCTION("""COMPUTED_VALUE"""),"Реконструкция котельной №14 по адресу д. Михалёво, Микрорайон, д.28, г.о. Лотошино (в т.ч. ПИР)")</f>
        <v>Реконструкция котельной №14 по адресу д. Михалёво, Микрорайон, д.28, г.о. Лотошино (в т.ч. ПИР)</v>
      </c>
      <c r="F368" s="67" t="str">
        <f ca="1">IFERROR(__xludf.DUMMYFUNCTION("""COMPUTED_VALUE"""),"2022-2023")</f>
        <v>2022-2023</v>
      </c>
      <c r="G368" s="67" t="str">
        <f ca="1">IFERROR(__xludf.DUMMYFUNCTION("""COMPUTED_VALUE"""),"г.о. Лотошино")</f>
        <v>г.о. Лотошино</v>
      </c>
      <c r="H368" s="67" t="str">
        <f ca="1">IFERROR(__xludf.DUMMYFUNCTION("""COMPUTED_VALUE"""),"Котельная")</f>
        <v>Котельная</v>
      </c>
      <c r="I368" s="67"/>
      <c r="J368" s="67"/>
      <c r="K368" s="97">
        <f ca="1">IFERROR(__xludf.DUMMYFUNCTION("""COMPUTED_VALUE"""),2212.49)</f>
        <v>2212.4899999999998</v>
      </c>
      <c r="L368" s="97">
        <f ca="1">IFERROR(__xludf.DUMMYFUNCTION("""COMPUTED_VALUE"""),0)</f>
        <v>0</v>
      </c>
      <c r="M368" s="97">
        <f ca="1">IFERROR(__xludf.DUMMYFUNCTION("""COMPUTED_VALUE"""),0)</f>
        <v>0</v>
      </c>
      <c r="N368" s="67"/>
      <c r="O368" s="67"/>
      <c r="P368" s="67" t="str">
        <f ca="1">IFERROR(__xludf.DUMMYFUNCTION("""COMPUTED_VALUE"""),"СМР")</f>
        <v>СМР</v>
      </c>
      <c r="Q368" s="67">
        <f t="shared" ca="1" si="0"/>
        <v>0</v>
      </c>
      <c r="R368" s="67"/>
      <c r="S368" s="67"/>
      <c r="T368" s="67"/>
      <c r="U368" s="67"/>
      <c r="V368" s="67"/>
      <c r="W368" s="67"/>
      <c r="X368" s="67"/>
      <c r="Y368" s="67"/>
      <c r="Z368" s="67"/>
      <c r="AA368" s="67"/>
      <c r="AB368" s="67"/>
      <c r="AC368" s="67"/>
      <c r="AD368" s="67"/>
      <c r="AE368" s="67"/>
      <c r="AF368" s="67"/>
      <c r="AG368" s="67"/>
      <c r="AH368" s="67"/>
      <c r="AI368" s="67"/>
      <c r="AJ368" s="67"/>
      <c r="AK368" s="67"/>
      <c r="AL368" s="67"/>
      <c r="AM368" s="67"/>
    </row>
    <row r="369" spans="1:39" ht="72" hidden="1" x14ac:dyDescent="0.2">
      <c r="A369" s="67"/>
      <c r="B369" s="96"/>
      <c r="C36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9" s="20" t="str">
        <f ca="1">IFERROR(__xludf.DUMMYFUNCTION("""COMPUTED_VALUE"""),"МинЖКХ ""ТОП 5 (2 этап)""")</f>
        <v>МинЖКХ "ТОП 5 (2 этап)"</v>
      </c>
      <c r="E369" s="20" t="str">
        <f ca="1">IFERROR(__xludf.DUMMYFUNCTION("""COMPUTED_VALUE"""),"Реконструкция котельной №16 по адресу с. Микулино, Микрорайон, д.19, г.о. Лотошино (в т.ч. ПИР)")</f>
        <v>Реконструкция котельной №16 по адресу с. Микулино, Микрорайон, д.19, г.о. Лотошино (в т.ч. ПИР)</v>
      </c>
      <c r="F369" s="67" t="str">
        <f ca="1">IFERROR(__xludf.DUMMYFUNCTION("""COMPUTED_VALUE"""),"2022-2023")</f>
        <v>2022-2023</v>
      </c>
      <c r="G369" s="67" t="str">
        <f ca="1">IFERROR(__xludf.DUMMYFUNCTION("""COMPUTED_VALUE"""),"г.о. Лотошино")</f>
        <v>г.о. Лотошино</v>
      </c>
      <c r="H369" s="67" t="str">
        <f ca="1">IFERROR(__xludf.DUMMYFUNCTION("""COMPUTED_VALUE"""),"Котельная")</f>
        <v>Котельная</v>
      </c>
      <c r="I369" s="67"/>
      <c r="J369" s="67"/>
      <c r="K369" s="97">
        <f ca="1">IFERROR(__xludf.DUMMYFUNCTION("""COMPUTED_VALUE"""),2263)</f>
        <v>2263</v>
      </c>
      <c r="L369" s="97">
        <f ca="1">IFERROR(__xludf.DUMMYFUNCTION("""COMPUTED_VALUE"""),0)</f>
        <v>0</v>
      </c>
      <c r="M369" s="97">
        <f ca="1">IFERROR(__xludf.DUMMYFUNCTION("""COMPUTED_VALUE"""),0)</f>
        <v>0</v>
      </c>
      <c r="N369" s="67"/>
      <c r="O369" s="67"/>
      <c r="P369" s="67" t="str">
        <f ca="1">IFERROR(__xludf.DUMMYFUNCTION("""COMPUTED_VALUE"""),"СМР")</f>
        <v>СМР</v>
      </c>
      <c r="Q369" s="67">
        <f t="shared" ca="1" si="0"/>
        <v>0</v>
      </c>
      <c r="R369" s="67"/>
      <c r="S369" s="67"/>
      <c r="T369" s="67"/>
      <c r="U369" s="67"/>
      <c r="V369" s="67"/>
      <c r="W369" s="67"/>
      <c r="X369" s="67"/>
      <c r="Y369" s="67"/>
      <c r="Z369" s="67"/>
      <c r="AA369" s="67"/>
      <c r="AB369" s="67"/>
      <c r="AC369" s="67"/>
      <c r="AD369" s="67"/>
      <c r="AE369" s="67"/>
      <c r="AF369" s="67"/>
      <c r="AG369" s="67"/>
      <c r="AH369" s="67"/>
      <c r="AI369" s="67"/>
      <c r="AJ369" s="67"/>
      <c r="AK369" s="67"/>
      <c r="AL369" s="67"/>
      <c r="AM369" s="67"/>
    </row>
    <row r="370" spans="1:39" ht="72" hidden="1" x14ac:dyDescent="0.2">
      <c r="A370" s="67"/>
      <c r="B370" s="96"/>
      <c r="C37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0" s="20" t="str">
        <f ca="1">IFERROR(__xludf.DUMMYFUNCTION("""COMPUTED_VALUE"""),"МинЖКХ ""ТОП 5 (2 этап)""")</f>
        <v>МинЖКХ "ТОП 5 (2 этап)"</v>
      </c>
      <c r="E370" s="20" t="str">
        <f ca="1">IFERROR(__xludf.DUMMYFUNCTION("""COMPUTED_VALUE"""),"Реконструкция котельной №2 по адресу г. Талдом, Промышленный проезд, д.12, г.о. Талдомский (в т.ч. ПИР, ТП)")</f>
        <v>Реконструкция котельной №2 по адресу г. Талдом, Промышленный проезд, д.12, г.о. Талдомский (в т.ч. ПИР, ТП)</v>
      </c>
      <c r="F370" s="67" t="str">
        <f ca="1">IFERROR(__xludf.DUMMYFUNCTION("""COMPUTED_VALUE"""),"2022-2023")</f>
        <v>2022-2023</v>
      </c>
      <c r="G370" s="67" t="str">
        <f ca="1">IFERROR(__xludf.DUMMYFUNCTION("""COMPUTED_VALUE"""),"г.о. Талдомский")</f>
        <v>г.о. Талдомский</v>
      </c>
      <c r="H370" s="67" t="str">
        <f ca="1">IFERROR(__xludf.DUMMYFUNCTION("""COMPUTED_VALUE"""),"Котельная")</f>
        <v>Котельная</v>
      </c>
      <c r="I370" s="67"/>
      <c r="J370" s="67"/>
      <c r="K370" s="97">
        <f ca="1">IFERROR(__xludf.DUMMYFUNCTION("""COMPUTED_VALUE"""),4194.36)</f>
        <v>4194.3599999999997</v>
      </c>
      <c r="L370" s="97">
        <f ca="1">IFERROR(__xludf.DUMMYFUNCTION("""COMPUTED_VALUE"""),0)</f>
        <v>0</v>
      </c>
      <c r="M370" s="97">
        <f ca="1">IFERROR(__xludf.DUMMYFUNCTION("""COMPUTED_VALUE"""),0)</f>
        <v>0</v>
      </c>
      <c r="N370" s="67"/>
      <c r="O370" s="67"/>
      <c r="P370" s="67" t="str">
        <f ca="1">IFERROR(__xludf.DUMMYFUNCTION("""COMPUTED_VALUE"""),"СМР")</f>
        <v>СМР</v>
      </c>
      <c r="Q370" s="67">
        <f t="shared" ca="1" si="0"/>
        <v>0</v>
      </c>
      <c r="R370" s="67"/>
      <c r="S370" s="67"/>
      <c r="T370" s="67"/>
      <c r="U370" s="67"/>
      <c r="V370" s="67"/>
      <c r="W370" s="67"/>
      <c r="X370" s="67"/>
      <c r="Y370" s="67"/>
      <c r="Z370" s="67"/>
      <c r="AA370" s="67"/>
      <c r="AB370" s="67"/>
      <c r="AC370" s="67"/>
      <c r="AD370" s="67"/>
      <c r="AE370" s="67"/>
      <c r="AF370" s="67"/>
      <c r="AG370" s="67"/>
      <c r="AH370" s="67"/>
      <c r="AI370" s="67"/>
      <c r="AJ370" s="67"/>
      <c r="AK370" s="67"/>
      <c r="AL370" s="67"/>
      <c r="AM370" s="67"/>
    </row>
    <row r="371" spans="1:39" ht="72" hidden="1" x14ac:dyDescent="0.2">
      <c r="A371" s="67"/>
      <c r="B371" s="96"/>
      <c r="C37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1" s="20" t="str">
        <f ca="1">IFERROR(__xludf.DUMMYFUNCTION("""COMPUTED_VALUE"""),"МинЖКХ ""ТОП 5 (2 этап)""")</f>
        <v>МинЖКХ "ТОП 5 (2 этап)"</v>
      </c>
      <c r="E371" s="20" t="str">
        <f ca="1">IFERROR(__xludf.DUMMYFUNCTION("""COMPUTED_VALUE"""),"Реконструкция котельной ""Баня"", г. Талдом, ул. Садовая, д.17, г.о. Талдомский (в т.ч. ПИР, ТП)")</f>
        <v>Реконструкция котельной "Баня", г. Талдом, ул. Садовая, д.17, г.о. Талдомский (в т.ч. ПИР, ТП)</v>
      </c>
      <c r="F371" s="67" t="str">
        <f ca="1">IFERROR(__xludf.DUMMYFUNCTION("""COMPUTED_VALUE"""),"2023-2024")</f>
        <v>2023-2024</v>
      </c>
      <c r="G371" s="67" t="str">
        <f ca="1">IFERROR(__xludf.DUMMYFUNCTION("""COMPUTED_VALUE"""),"г.о. Талдомский")</f>
        <v>г.о. Талдомский</v>
      </c>
      <c r="H371" s="67" t="str">
        <f ca="1">IFERROR(__xludf.DUMMYFUNCTION("""COMPUTED_VALUE"""),"Котельная")</f>
        <v>Котельная</v>
      </c>
      <c r="I371" s="67"/>
      <c r="J371" s="67"/>
      <c r="K371" s="97">
        <f ca="1">IFERROR(__xludf.DUMMYFUNCTION("""COMPUTED_VALUE"""),456.09)</f>
        <v>456.09</v>
      </c>
      <c r="L371" s="97">
        <f ca="1">IFERROR(__xludf.DUMMYFUNCTION("""COMPUTED_VALUE"""),0)</f>
        <v>0</v>
      </c>
      <c r="M371" s="97">
        <f ca="1">IFERROR(__xludf.DUMMYFUNCTION("""COMPUTED_VALUE"""),0)</f>
        <v>0</v>
      </c>
      <c r="N371" s="67"/>
      <c r="O371" s="67"/>
      <c r="P371" s="67" t="str">
        <f ca="1">IFERROR(__xludf.DUMMYFUNCTION("""COMPUTED_VALUE"""),"СМР")</f>
        <v>СМР</v>
      </c>
      <c r="Q371" s="67">
        <f t="shared" ca="1" si="0"/>
        <v>0</v>
      </c>
      <c r="R371" s="67"/>
      <c r="S371" s="67"/>
      <c r="T371" s="67"/>
      <c r="U371" s="67"/>
      <c r="V371" s="67"/>
      <c r="W371" s="67"/>
      <c r="X371" s="67"/>
      <c r="Y371" s="67"/>
      <c r="Z371" s="67"/>
      <c r="AA371" s="67"/>
      <c r="AB371" s="67"/>
      <c r="AC371" s="67"/>
      <c r="AD371" s="67"/>
      <c r="AE371" s="67"/>
      <c r="AF371" s="67"/>
      <c r="AG371" s="67"/>
      <c r="AH371" s="67"/>
      <c r="AI371" s="67"/>
      <c r="AJ371" s="67"/>
      <c r="AK371" s="67"/>
      <c r="AL371" s="67"/>
      <c r="AM371" s="67"/>
    </row>
    <row r="372" spans="1:39" ht="72" hidden="1" x14ac:dyDescent="0.2">
      <c r="A372" s="67"/>
      <c r="B372" s="96"/>
      <c r="C37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2" s="20" t="str">
        <f ca="1">IFERROR(__xludf.DUMMYFUNCTION("""COMPUTED_VALUE"""),"МинЖКХ ""ТОП 5 (2 этап)""")</f>
        <v>МинЖКХ "ТОП 5 (2 этап)"</v>
      </c>
      <c r="E372" s="20" t="str">
        <f ca="1">IFERROR(__xludf.DUMMYFUNCTION("""COMPUTED_VALUE"""),"Реконструкция котельной ""Юркино"", д. Юркино, г.о. Талдомский (в т.ч. ПИР, ТП)")</f>
        <v>Реконструкция котельной "Юркино", д. Юркино, г.о. Талдомский (в т.ч. ПИР, ТП)</v>
      </c>
      <c r="F372" s="67" t="str">
        <f ca="1">IFERROR(__xludf.DUMMYFUNCTION("""COMPUTED_VALUE"""),"2023-2024")</f>
        <v>2023-2024</v>
      </c>
      <c r="G372" s="67" t="str">
        <f ca="1">IFERROR(__xludf.DUMMYFUNCTION("""COMPUTED_VALUE"""),"г.о. Талдомский")</f>
        <v>г.о. Талдомский</v>
      </c>
      <c r="H372" s="67" t="str">
        <f ca="1">IFERROR(__xludf.DUMMYFUNCTION("""COMPUTED_VALUE"""),"Котельная")</f>
        <v>Котельная</v>
      </c>
      <c r="I372" s="67"/>
      <c r="J372" s="67"/>
      <c r="K372" s="97">
        <f ca="1">IFERROR(__xludf.DUMMYFUNCTION("""COMPUTED_VALUE"""),1324.63)</f>
        <v>1324.63</v>
      </c>
      <c r="L372" s="97">
        <f ca="1">IFERROR(__xludf.DUMMYFUNCTION("""COMPUTED_VALUE"""),0)</f>
        <v>0</v>
      </c>
      <c r="M372" s="97">
        <f ca="1">IFERROR(__xludf.DUMMYFUNCTION("""COMPUTED_VALUE"""),0)</f>
        <v>0</v>
      </c>
      <c r="N372" s="67"/>
      <c r="O372" s="67"/>
      <c r="P372" s="67" t="str">
        <f ca="1">IFERROR(__xludf.DUMMYFUNCTION("""COMPUTED_VALUE"""),"СМР")</f>
        <v>СМР</v>
      </c>
      <c r="Q372" s="67">
        <f t="shared" ca="1" si="0"/>
        <v>0</v>
      </c>
      <c r="R372" s="67"/>
      <c r="S372" s="67"/>
      <c r="T372" s="67"/>
      <c r="U372" s="67"/>
      <c r="V372" s="67"/>
      <c r="W372" s="67"/>
      <c r="X372" s="67"/>
      <c r="Y372" s="67"/>
      <c r="Z372" s="67"/>
      <c r="AA372" s="67"/>
      <c r="AB372" s="67"/>
      <c r="AC372" s="67"/>
      <c r="AD372" s="67"/>
      <c r="AE372" s="67"/>
      <c r="AF372" s="67"/>
      <c r="AG372" s="67"/>
      <c r="AH372" s="67"/>
      <c r="AI372" s="67"/>
      <c r="AJ372" s="67"/>
      <c r="AK372" s="67"/>
      <c r="AL372" s="67"/>
      <c r="AM372" s="67"/>
    </row>
    <row r="373" spans="1:39" ht="72" hidden="1" x14ac:dyDescent="0.2">
      <c r="A373" s="67"/>
      <c r="B373" s="96"/>
      <c r="C37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3" s="20" t="str">
        <f ca="1">IFERROR(__xludf.DUMMYFUNCTION("""COMPUTED_VALUE"""),"МинЖКХ ""ТОП 5 (2 этап)""")</f>
        <v>МинЖКХ "ТОП 5 (2 этап)"</v>
      </c>
      <c r="E373" s="20" t="str">
        <f ca="1">IFERROR(__xludf.DUMMYFUNCTION("""COMPUTED_VALUE"""),"Реконструкция котельной ""Очистные сооружения"", г. Талдом, ул. Загородная, д.24а, г.о. Талдомский (в т.ч. ПИР, ТП)")</f>
        <v>Реконструкция котельной "Очистные сооружения", г. Талдом, ул. Загородная, д.24а, г.о. Талдомский (в т.ч. ПИР, ТП)</v>
      </c>
      <c r="F373" s="67" t="str">
        <f ca="1">IFERROR(__xludf.DUMMYFUNCTION("""COMPUTED_VALUE"""),"2023-2024")</f>
        <v>2023-2024</v>
      </c>
      <c r="G373" s="67" t="str">
        <f ca="1">IFERROR(__xludf.DUMMYFUNCTION("""COMPUTED_VALUE"""),"г.о. Талдомский")</f>
        <v>г.о. Талдомский</v>
      </c>
      <c r="H373" s="67" t="str">
        <f ca="1">IFERROR(__xludf.DUMMYFUNCTION("""COMPUTED_VALUE"""),"Котельная")</f>
        <v>Котельная</v>
      </c>
      <c r="I373" s="67"/>
      <c r="J373" s="67"/>
      <c r="K373" s="97">
        <f ca="1">IFERROR(__xludf.DUMMYFUNCTION("""COMPUTED_VALUE"""),495.09)</f>
        <v>495.09</v>
      </c>
      <c r="L373" s="97">
        <f ca="1">IFERROR(__xludf.DUMMYFUNCTION("""COMPUTED_VALUE"""),0)</f>
        <v>0</v>
      </c>
      <c r="M373" s="97">
        <f ca="1">IFERROR(__xludf.DUMMYFUNCTION("""COMPUTED_VALUE"""),0)</f>
        <v>0</v>
      </c>
      <c r="N373" s="67"/>
      <c r="O373" s="67"/>
      <c r="P373" s="67" t="str">
        <f ca="1">IFERROR(__xludf.DUMMYFUNCTION("""COMPUTED_VALUE"""),"СМР")</f>
        <v>СМР</v>
      </c>
      <c r="Q373" s="67">
        <f t="shared" ca="1" si="0"/>
        <v>0</v>
      </c>
      <c r="R373" s="67"/>
      <c r="S373" s="67"/>
      <c r="T373" s="67"/>
      <c r="U373" s="67"/>
      <c r="V373" s="67"/>
      <c r="W373" s="67"/>
      <c r="X373" s="67"/>
      <c r="Y373" s="67"/>
      <c r="Z373" s="67"/>
      <c r="AA373" s="67"/>
      <c r="AB373" s="67"/>
      <c r="AC373" s="67"/>
      <c r="AD373" s="67"/>
      <c r="AE373" s="67"/>
      <c r="AF373" s="67"/>
      <c r="AG373" s="67"/>
      <c r="AH373" s="67"/>
      <c r="AI373" s="67"/>
      <c r="AJ373" s="67"/>
      <c r="AK373" s="67"/>
      <c r="AL373" s="67"/>
      <c r="AM373" s="67"/>
    </row>
    <row r="374" spans="1:39" ht="72" hidden="1" x14ac:dyDescent="0.2">
      <c r="A374" s="67"/>
      <c r="B374" s="96"/>
      <c r="C37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4" s="20" t="str">
        <f ca="1">IFERROR(__xludf.DUMMYFUNCTION("""COMPUTED_VALUE"""),"МинЖКХ ""ТОП 5 (2 этап)""")</f>
        <v>МинЖКХ "ТОП 5 (2 этап)"</v>
      </c>
      <c r="E374" s="20" t="str">
        <f ca="1">IFERROR(__xludf.DUMMYFUNCTION("""COMPUTED_VALUE"""),"Реконструкция котельной ""Темпы"", п. Темпы. ул. Шоссейная, д.9Б, г.о. Талдомский (в т.ч. ПИР, ТП) ")</f>
        <v xml:space="preserve">Реконструкция котельной "Темпы", п. Темпы. ул. Шоссейная, д.9Б, г.о. Талдомский (в т.ч. ПИР, ТП) </v>
      </c>
      <c r="F374" s="67" t="str">
        <f ca="1">IFERROR(__xludf.DUMMYFUNCTION("""COMPUTED_VALUE"""),"2023-2024")</f>
        <v>2023-2024</v>
      </c>
      <c r="G374" s="67" t="str">
        <f ca="1">IFERROR(__xludf.DUMMYFUNCTION("""COMPUTED_VALUE"""),"г.о. Талдомский")</f>
        <v>г.о. Талдомский</v>
      </c>
      <c r="H374" s="67" t="str">
        <f ca="1">IFERROR(__xludf.DUMMYFUNCTION("""COMPUTED_VALUE"""),"КОтельная")</f>
        <v>КОтельная</v>
      </c>
      <c r="I374" s="67"/>
      <c r="J374" s="67"/>
      <c r="K374" s="97">
        <f ca="1">IFERROR(__xludf.DUMMYFUNCTION("""COMPUTED_VALUE"""),573.09)</f>
        <v>573.09</v>
      </c>
      <c r="L374" s="97">
        <f ca="1">IFERROR(__xludf.DUMMYFUNCTION("""COMPUTED_VALUE"""),0)</f>
        <v>0</v>
      </c>
      <c r="M374" s="97">
        <f ca="1">IFERROR(__xludf.DUMMYFUNCTION("""COMPUTED_VALUE"""),0)</f>
        <v>0</v>
      </c>
      <c r="N374" s="67"/>
      <c r="O374" s="67"/>
      <c r="P374" s="67" t="str">
        <f ca="1">IFERROR(__xludf.DUMMYFUNCTION("""COMPUTED_VALUE"""),"СМР")</f>
        <v>СМР</v>
      </c>
      <c r="Q374" s="67">
        <f t="shared" ca="1" si="0"/>
        <v>0</v>
      </c>
      <c r="R374" s="67"/>
      <c r="S374" s="67"/>
      <c r="T374" s="67"/>
      <c r="U374" s="67"/>
      <c r="V374" s="67"/>
      <c r="W374" s="67"/>
      <c r="X374" s="67"/>
      <c r="Y374" s="67"/>
      <c r="Z374" s="67"/>
      <c r="AA374" s="67"/>
      <c r="AB374" s="67"/>
      <c r="AC374" s="67"/>
      <c r="AD374" s="67"/>
      <c r="AE374" s="67"/>
      <c r="AF374" s="67"/>
      <c r="AG374" s="67"/>
      <c r="AH374" s="67"/>
      <c r="AI374" s="67"/>
      <c r="AJ374" s="67"/>
      <c r="AK374" s="67"/>
      <c r="AL374" s="67"/>
      <c r="AM374" s="67"/>
    </row>
    <row r="375" spans="1:39" ht="72" hidden="1" x14ac:dyDescent="0.2">
      <c r="A375" s="67"/>
      <c r="B375" s="96"/>
      <c r="C37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5" s="20" t="str">
        <f ca="1">IFERROR(__xludf.DUMMYFUNCTION("""COMPUTED_VALUE"""),"МинЖКХ ""ТОП 5 (2 этап)""")</f>
        <v>МинЖКХ "ТОП 5 (2 этап)"</v>
      </c>
      <c r="E375" s="20" t="str">
        <f ca="1">IFERROR(__xludf.DUMMYFUNCTION("""COMPUTED_VALUE"""),"Реконструкция котельной ""Топочная"", г. Талдом, ул. Первомайская, д.43а, г.о. Талдомский (в т.ч. ПИР, ТП)  ")</f>
        <v xml:space="preserve">Реконструкция котельной "Топочная", г. Талдом, ул. Первомайская, д.43а, г.о. Талдомский (в т.ч. ПИР, ТП)  </v>
      </c>
      <c r="F375" s="67" t="str">
        <f ca="1">IFERROR(__xludf.DUMMYFUNCTION("""COMPUTED_VALUE"""),"2023-2024")</f>
        <v>2023-2024</v>
      </c>
      <c r="G375" s="67" t="str">
        <f ca="1">IFERROR(__xludf.DUMMYFUNCTION("""COMPUTED_VALUE"""),"г.о. Талдомский")</f>
        <v>г.о. Талдомский</v>
      </c>
      <c r="H375" s="67" t="str">
        <f ca="1">IFERROR(__xludf.DUMMYFUNCTION("""COMPUTED_VALUE"""),"Котельная")</f>
        <v>Котельная</v>
      </c>
      <c r="I375" s="67"/>
      <c r="J375" s="67"/>
      <c r="K375" s="97">
        <f ca="1">IFERROR(__xludf.DUMMYFUNCTION("""COMPUTED_VALUE"""),249.48)</f>
        <v>249.48</v>
      </c>
      <c r="L375" s="97">
        <f ca="1">IFERROR(__xludf.DUMMYFUNCTION("""COMPUTED_VALUE"""),0)</f>
        <v>0</v>
      </c>
      <c r="M375" s="97">
        <f ca="1">IFERROR(__xludf.DUMMYFUNCTION("""COMPUTED_VALUE"""),0)</f>
        <v>0</v>
      </c>
      <c r="N375" s="67"/>
      <c r="O375" s="67"/>
      <c r="P375" s="67" t="str">
        <f ca="1">IFERROR(__xludf.DUMMYFUNCTION("""COMPUTED_VALUE"""),"СМР")</f>
        <v>СМР</v>
      </c>
      <c r="Q375" s="67">
        <f t="shared" ca="1" si="0"/>
        <v>0</v>
      </c>
      <c r="R375" s="67"/>
      <c r="S375" s="67"/>
      <c r="T375" s="67"/>
      <c r="U375" s="67"/>
      <c r="V375" s="67"/>
      <c r="W375" s="67"/>
      <c r="X375" s="67"/>
      <c r="Y375" s="67"/>
      <c r="Z375" s="67"/>
      <c r="AA375" s="67"/>
      <c r="AB375" s="67"/>
      <c r="AC375" s="67"/>
      <c r="AD375" s="67"/>
      <c r="AE375" s="67"/>
      <c r="AF375" s="67"/>
      <c r="AG375" s="67"/>
      <c r="AH375" s="67"/>
      <c r="AI375" s="67"/>
      <c r="AJ375" s="67"/>
      <c r="AK375" s="67"/>
      <c r="AL375" s="67"/>
      <c r="AM375" s="67"/>
    </row>
    <row r="376" spans="1:39" ht="72" hidden="1" x14ac:dyDescent="0.2">
      <c r="A376" s="67"/>
      <c r="B376" s="96"/>
      <c r="C37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6" s="20" t="str">
        <f ca="1">IFERROR(__xludf.DUMMYFUNCTION("""COMPUTED_VALUE"""),"МинЖКХ ""ТОП 5 (2 этап)""")</f>
        <v>МинЖКХ "ТОП 5 (2 этап)"</v>
      </c>
      <c r="E376" s="20" t="str">
        <f ca="1">IFERROR(__xludf.DUMMYFUNCTION("""COMPUTED_VALUE"""),"Реконструкция котельной и ЦТП по адресу г.Егорьевск, ул. Меланжистов д.3б, г.о. Егорьевск (в т.ч. ПИР)")</f>
        <v>Реконструкция котельной и ЦТП по адресу г.Егорьевск, ул. Меланжистов д.3б, г.о. Егорьевск (в т.ч. ПИР)</v>
      </c>
      <c r="F376" s="67" t="str">
        <f ca="1">IFERROR(__xludf.DUMMYFUNCTION("""COMPUTED_VALUE"""),"2022-2024")</f>
        <v>2022-2024</v>
      </c>
      <c r="G376" s="67" t="str">
        <f ca="1">IFERROR(__xludf.DUMMYFUNCTION("""COMPUTED_VALUE"""),"г.о. Егорьевск")</f>
        <v>г.о. Егорьевск</v>
      </c>
      <c r="H376" s="67" t="str">
        <f ca="1">IFERROR(__xludf.DUMMYFUNCTION("""COMPUTED_VALUE"""),"Котельная")</f>
        <v>Котельная</v>
      </c>
      <c r="I376" s="67"/>
      <c r="J376" s="67"/>
      <c r="K376" s="97">
        <f ca="1">IFERROR(__xludf.DUMMYFUNCTION("""COMPUTED_VALUE"""),14310)</f>
        <v>14310</v>
      </c>
      <c r="L376" s="97">
        <f ca="1">IFERROR(__xludf.DUMMYFUNCTION("""COMPUTED_VALUE"""),0)</f>
        <v>0</v>
      </c>
      <c r="M376" s="97">
        <f ca="1">IFERROR(__xludf.DUMMYFUNCTION("""COMPUTED_VALUE"""),0)</f>
        <v>0</v>
      </c>
      <c r="N376" s="67"/>
      <c r="O376" s="67"/>
      <c r="P376" s="67" t="str">
        <f ca="1">IFERROR(__xludf.DUMMYFUNCTION("""COMPUTED_VALUE"""),"СМР")</f>
        <v>СМР</v>
      </c>
      <c r="Q376" s="67">
        <f t="shared" ca="1" si="0"/>
        <v>0</v>
      </c>
      <c r="R376" s="67"/>
      <c r="S376" s="67"/>
      <c r="T376" s="67"/>
      <c r="U376" s="67"/>
      <c r="V376" s="67"/>
      <c r="W376" s="67"/>
      <c r="X376" s="67"/>
      <c r="Y376" s="67"/>
      <c r="Z376" s="67"/>
      <c r="AA376" s="67"/>
      <c r="AB376" s="67"/>
      <c r="AC376" s="67"/>
      <c r="AD376" s="67"/>
      <c r="AE376" s="67"/>
      <c r="AF376" s="67"/>
      <c r="AG376" s="67"/>
      <c r="AH376" s="67"/>
      <c r="AI376" s="67"/>
      <c r="AJ376" s="67"/>
      <c r="AK376" s="67"/>
      <c r="AL376" s="67"/>
      <c r="AM376" s="67"/>
    </row>
    <row r="377" spans="1:39" ht="72" hidden="1" x14ac:dyDescent="0.2">
      <c r="A377" s="67"/>
      <c r="B377" s="96"/>
      <c r="C37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7" s="20" t="str">
        <f ca="1">IFERROR(__xludf.DUMMYFUNCTION("""COMPUTED_VALUE"""),"МинЖКХ ""ТОП 5 (2 этап)""")</f>
        <v>МинЖКХ "ТОП 5 (2 этап)"</v>
      </c>
      <c r="E377" s="20" t="str">
        <f ca="1">IFERROR(__xludf.DUMMYFUNCTION("""COMPUTED_VALUE"""),"Реконструкция  котельной и ЦТП по адресу г.Егорьевск, ул. Жукова гора, д. 19б, г.о. Егорьевск (в т.ч. ПИР)")</f>
        <v>Реконструкция  котельной и ЦТП по адресу г.Егорьевск, ул. Жукова гора, д. 19б, г.о. Егорьевск (в т.ч. ПИР)</v>
      </c>
      <c r="F377" s="67" t="str">
        <f ca="1">IFERROR(__xludf.DUMMYFUNCTION("""COMPUTED_VALUE"""),"2022-2024")</f>
        <v>2022-2024</v>
      </c>
      <c r="G377" s="67" t="str">
        <f ca="1">IFERROR(__xludf.DUMMYFUNCTION("""COMPUTED_VALUE"""),"г.о. Егорьевск")</f>
        <v>г.о. Егорьевск</v>
      </c>
      <c r="H377" s="67" t="str">
        <f ca="1">IFERROR(__xludf.DUMMYFUNCTION("""COMPUTED_VALUE"""),"Котельная")</f>
        <v>Котельная</v>
      </c>
      <c r="I377" s="67"/>
      <c r="J377" s="67"/>
      <c r="K377" s="97">
        <f ca="1">IFERROR(__xludf.DUMMYFUNCTION("""COMPUTED_VALUE"""),4054.5)</f>
        <v>4054.5</v>
      </c>
      <c r="L377" s="97">
        <f ca="1">IFERROR(__xludf.DUMMYFUNCTION("""COMPUTED_VALUE"""),0)</f>
        <v>0</v>
      </c>
      <c r="M377" s="97">
        <f ca="1">IFERROR(__xludf.DUMMYFUNCTION("""COMPUTED_VALUE"""),0)</f>
        <v>0</v>
      </c>
      <c r="N377" s="67"/>
      <c r="O377" s="67"/>
      <c r="P377" s="67" t="str">
        <f ca="1">IFERROR(__xludf.DUMMYFUNCTION("""COMPUTED_VALUE"""),"СМР")</f>
        <v>СМР</v>
      </c>
      <c r="Q377" s="67">
        <f t="shared" ca="1" si="0"/>
        <v>0</v>
      </c>
      <c r="R377" s="67"/>
      <c r="S377" s="67"/>
      <c r="T377" s="67"/>
      <c r="U377" s="67"/>
      <c r="V377" s="67"/>
      <c r="W377" s="67"/>
      <c r="X377" s="67"/>
      <c r="Y377" s="67"/>
      <c r="Z377" s="67"/>
      <c r="AA377" s="67"/>
      <c r="AB377" s="67"/>
      <c r="AC377" s="67"/>
      <c r="AD377" s="67"/>
      <c r="AE377" s="67"/>
      <c r="AF377" s="67"/>
      <c r="AG377" s="67"/>
      <c r="AH377" s="67"/>
      <c r="AI377" s="67"/>
      <c r="AJ377" s="67"/>
      <c r="AK377" s="67"/>
      <c r="AL377" s="67"/>
      <c r="AM377" s="67"/>
    </row>
    <row r="378" spans="1:39" ht="72" hidden="1" x14ac:dyDescent="0.2">
      <c r="A378" s="67"/>
      <c r="B378" s="96"/>
      <c r="C37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8" s="20" t="str">
        <f ca="1">IFERROR(__xludf.DUMMYFUNCTION("""COMPUTED_VALUE"""),"МинЖКХ ""ТОП 5 (2 этап)""")</f>
        <v>МинЖКХ "ТОП 5 (2 этап)"</v>
      </c>
      <c r="E378" s="20" t="str">
        <f ca="1">IFERROR(__xludf.DUMMYFUNCTION("""COMPUTED_VALUE"""),"Реконструкция котельной и ЦТП по адресу г.Егорьевск, ул. Парижской коммуны, д. 1б, г.о. Егорьевск (в т.ч. ПИР)")</f>
        <v>Реконструкция котельной и ЦТП по адресу г.Егорьевск, ул. Парижской коммуны, д. 1б, г.о. Егорьевск (в т.ч. ПИР)</v>
      </c>
      <c r="F378" s="67" t="str">
        <f ca="1">IFERROR(__xludf.DUMMYFUNCTION("""COMPUTED_VALUE"""),"2022-2024")</f>
        <v>2022-2024</v>
      </c>
      <c r="G378" s="67" t="str">
        <f ca="1">IFERROR(__xludf.DUMMYFUNCTION("""COMPUTED_VALUE"""),"г.о. Егорьевск")</f>
        <v>г.о. Егорьевск</v>
      </c>
      <c r="H378" s="67" t="str">
        <f ca="1">IFERROR(__xludf.DUMMYFUNCTION("""COMPUTED_VALUE"""),"Котельная")</f>
        <v>Котельная</v>
      </c>
      <c r="I378" s="67"/>
      <c r="J378" s="67"/>
      <c r="K378" s="97">
        <f ca="1">IFERROR(__xludf.DUMMYFUNCTION("""COMPUTED_VALUE"""),14310)</f>
        <v>14310</v>
      </c>
      <c r="L378" s="97">
        <f ca="1">IFERROR(__xludf.DUMMYFUNCTION("""COMPUTED_VALUE"""),0)</f>
        <v>0</v>
      </c>
      <c r="M378" s="97">
        <f ca="1">IFERROR(__xludf.DUMMYFUNCTION("""COMPUTED_VALUE"""),0)</f>
        <v>0</v>
      </c>
      <c r="N378" s="67"/>
      <c r="O378" s="67"/>
      <c r="P378" s="67" t="str">
        <f ca="1">IFERROR(__xludf.DUMMYFUNCTION("""COMPUTED_VALUE"""),"СМР")</f>
        <v>СМР</v>
      </c>
      <c r="Q378" s="67">
        <f t="shared" ca="1" si="0"/>
        <v>0</v>
      </c>
      <c r="R378" s="67"/>
      <c r="S378" s="67"/>
      <c r="T378" s="67"/>
      <c r="U378" s="67"/>
      <c r="V378" s="67"/>
      <c r="W378" s="67"/>
      <c r="X378" s="67"/>
      <c r="Y378" s="67"/>
      <c r="Z378" s="67"/>
      <c r="AA378" s="67"/>
      <c r="AB378" s="67"/>
      <c r="AC378" s="67"/>
      <c r="AD378" s="67"/>
      <c r="AE378" s="67"/>
      <c r="AF378" s="67"/>
      <c r="AG378" s="67"/>
      <c r="AH378" s="67"/>
      <c r="AI378" s="67"/>
      <c r="AJ378" s="67"/>
      <c r="AK378" s="67"/>
      <c r="AL378" s="67"/>
      <c r="AM378" s="67"/>
    </row>
    <row r="379" spans="1:39" ht="72" hidden="1" x14ac:dyDescent="0.2">
      <c r="A379" s="67"/>
      <c r="B379" s="96"/>
      <c r="C37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9" s="20" t="str">
        <f ca="1">IFERROR(__xludf.DUMMYFUNCTION("""COMPUTED_VALUE"""),"МинЖКХ ""ТОП 5 (2 этап)""")</f>
        <v>МинЖКХ "ТОП 5 (2 этап)"</v>
      </c>
      <c r="E379" s="20" t="str">
        <f ca="1">IFERROR(__xludf.DUMMYFUNCTION("""COMPUTED_VALUE"""),"Строительство котельной №34, с. Ярополец, ул. Пушкинская, г.о. Волоколамский (в т.ч. ПИР, ТП)")</f>
        <v>Строительство котельной №34, с. Ярополец, ул. Пушкинская, г.о. Волоколамский (в т.ч. ПИР, ТП)</v>
      </c>
      <c r="F379" s="67" t="str">
        <f ca="1">IFERROR(__xludf.DUMMYFUNCTION("""COMPUTED_VALUE"""),"2022-2023")</f>
        <v>2022-2023</v>
      </c>
      <c r="G379" s="67" t="str">
        <f ca="1">IFERROR(__xludf.DUMMYFUNCTION("""COMPUTED_VALUE"""),"г.о. Волоколамский")</f>
        <v>г.о. Волоколамский</v>
      </c>
      <c r="H379" s="67" t="str">
        <f ca="1">IFERROR(__xludf.DUMMYFUNCTION("""COMPUTED_VALUE"""),"Котельная")</f>
        <v>Котельная</v>
      </c>
      <c r="I379" s="67"/>
      <c r="J379" s="67"/>
      <c r="K379" s="97">
        <f ca="1">IFERROR(__xludf.DUMMYFUNCTION("""COMPUTED_VALUE"""),1200)</f>
        <v>1200</v>
      </c>
      <c r="L379" s="97">
        <f ca="1">IFERROR(__xludf.DUMMYFUNCTION("""COMPUTED_VALUE"""),0)</f>
        <v>0</v>
      </c>
      <c r="M379" s="97">
        <f ca="1">IFERROR(__xludf.DUMMYFUNCTION("""COMPUTED_VALUE"""),0)</f>
        <v>0</v>
      </c>
      <c r="N379" s="67"/>
      <c r="O379" s="67"/>
      <c r="P379" s="67" t="str">
        <f ca="1">IFERROR(__xludf.DUMMYFUNCTION("""COMPUTED_VALUE"""),"СМР")</f>
        <v>СМР</v>
      </c>
      <c r="Q379" s="67">
        <f t="shared" ca="1" si="0"/>
        <v>0</v>
      </c>
      <c r="R379" s="67"/>
      <c r="S379" s="67"/>
      <c r="T379" s="67"/>
      <c r="U379" s="67"/>
      <c r="V379" s="67"/>
      <c r="W379" s="67"/>
      <c r="X379" s="67"/>
      <c r="Y379" s="67"/>
      <c r="Z379" s="67"/>
      <c r="AA379" s="67"/>
      <c r="AB379" s="67"/>
      <c r="AC379" s="67"/>
      <c r="AD379" s="67"/>
      <c r="AE379" s="67"/>
      <c r="AF379" s="67"/>
      <c r="AG379" s="67"/>
      <c r="AH379" s="67"/>
      <c r="AI379" s="67"/>
      <c r="AJ379" s="67"/>
      <c r="AK379" s="67"/>
      <c r="AL379" s="67"/>
      <c r="AM379" s="67"/>
    </row>
    <row r="380" spans="1:39" ht="72" hidden="1" x14ac:dyDescent="0.2">
      <c r="A380" s="67"/>
      <c r="B380" s="96"/>
      <c r="C38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0" s="20" t="str">
        <f ca="1">IFERROR(__xludf.DUMMYFUNCTION("""COMPUTED_VALUE"""),"МинЖКХ ""ТОП 5 (2 этап)""")</f>
        <v>МинЖКХ "ТОП 5 (2 этап)"</v>
      </c>
      <c r="E380" s="20" t="str">
        <f ca="1">IFERROR(__xludf.DUMMYFUNCTION("""COMPUTED_VALUE"""),"Строительство котельной по адресу г. Электроугли,  ул. Маяковского, д. 25,  Богородский г.о. (в т.ч. ПИР)")</f>
        <v>Строительство котельной по адресу г. Электроугли,  ул. Маяковского, д. 25,  Богородский г.о. (в т.ч. ПИР)</v>
      </c>
      <c r="F380" s="67" t="str">
        <f ca="1">IFERROR(__xludf.DUMMYFUNCTION("""COMPUTED_VALUE"""),"2022-2024")</f>
        <v>2022-2024</v>
      </c>
      <c r="G380" s="67" t="str">
        <f ca="1">IFERROR(__xludf.DUMMYFUNCTION("""COMPUTED_VALUE"""),"г.о. Богородский")</f>
        <v>г.о. Богородский</v>
      </c>
      <c r="H380" s="67" t="str">
        <f ca="1">IFERROR(__xludf.DUMMYFUNCTION("""COMPUTED_VALUE"""),"Котельная")</f>
        <v>Котельная</v>
      </c>
      <c r="I380" s="67"/>
      <c r="J380" s="67"/>
      <c r="K380" s="97">
        <f ca="1">IFERROR(__xludf.DUMMYFUNCTION("""COMPUTED_VALUE"""),343128.35)</f>
        <v>343128.35</v>
      </c>
      <c r="L380" s="97">
        <f ca="1">IFERROR(__xludf.DUMMYFUNCTION("""COMPUTED_VALUE"""),0)</f>
        <v>0</v>
      </c>
      <c r="M380" s="97">
        <f ca="1">IFERROR(__xludf.DUMMYFUNCTION("""COMPUTED_VALUE"""),0)</f>
        <v>0</v>
      </c>
      <c r="N380" s="67"/>
      <c r="O380" s="67"/>
      <c r="P380" s="67" t="str">
        <f ca="1">IFERROR(__xludf.DUMMYFUNCTION("""COMPUTED_VALUE"""),"СМР")</f>
        <v>СМР</v>
      </c>
      <c r="Q380" s="67">
        <f t="shared" ca="1" si="0"/>
        <v>0</v>
      </c>
      <c r="R380" s="67"/>
      <c r="S380" s="67"/>
      <c r="T380" s="67"/>
      <c r="U380" s="67"/>
      <c r="V380" s="67"/>
      <c r="W380" s="67"/>
      <c r="X380" s="67"/>
      <c r="Y380" s="67"/>
      <c r="Z380" s="67"/>
      <c r="AA380" s="67"/>
      <c r="AB380" s="67"/>
      <c r="AC380" s="67"/>
      <c r="AD380" s="67"/>
      <c r="AE380" s="67"/>
      <c r="AF380" s="67"/>
      <c r="AG380" s="67"/>
      <c r="AH380" s="67"/>
      <c r="AI380" s="67"/>
      <c r="AJ380" s="67"/>
      <c r="AK380" s="67"/>
      <c r="AL380" s="67"/>
      <c r="AM380" s="67"/>
    </row>
    <row r="381" spans="1:39" ht="72" hidden="1" x14ac:dyDescent="0.2">
      <c r="A381" s="67"/>
      <c r="B381" s="100"/>
      <c r="C38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1" s="20" t="str">
        <f ca="1">IFERROR(__xludf.DUMMYFUNCTION("""COMPUTED_VALUE"""),"МинЖКХ ""ТОП 5 (2 этап)""")</f>
        <v>МинЖКХ "ТОП 5 (2 этап)"</v>
      </c>
      <c r="E381" s="20" t="str">
        <f ca="1">IFERROR(__xludf.DUMMYFUNCTION("""COMPUTED_VALUE"""),"Реконструкция котельной ""Заречье"", г.Ногинск, ул. Соединительная, д. 5,  Богородский г.о. (в т.ч. ПИР, ТП)")</f>
        <v>Реконструкция котельной "Заречье", г.Ногинск, ул. Соединительная, д. 5,  Богородский г.о. (в т.ч. ПИР, ТП)</v>
      </c>
      <c r="F381" s="67" t="str">
        <f ca="1">IFERROR(__xludf.DUMMYFUNCTION("""COMPUTED_VALUE"""),"2022-2024")</f>
        <v>2022-2024</v>
      </c>
      <c r="G381" s="67" t="str">
        <f ca="1">IFERROR(__xludf.DUMMYFUNCTION("""COMPUTED_VALUE"""),"г.о. Богородский")</f>
        <v>г.о. Богородский</v>
      </c>
      <c r="H381" s="67" t="str">
        <f ca="1">IFERROR(__xludf.DUMMYFUNCTION("""COMPUTED_VALUE"""),"Котельная")</f>
        <v>Котельная</v>
      </c>
      <c r="I381" s="67"/>
      <c r="J381" s="67"/>
      <c r="K381" s="97">
        <f ca="1">IFERROR(__xludf.DUMMYFUNCTION("""COMPUTED_VALUE"""),176142)</f>
        <v>176142</v>
      </c>
      <c r="L381" s="97">
        <f ca="1">IFERROR(__xludf.DUMMYFUNCTION("""COMPUTED_VALUE"""),0)</f>
        <v>0</v>
      </c>
      <c r="M381" s="97">
        <f ca="1">IFERROR(__xludf.DUMMYFUNCTION("""COMPUTED_VALUE"""),0)</f>
        <v>0</v>
      </c>
      <c r="N381" s="67"/>
      <c r="O381" s="67"/>
      <c r="P381" s="67" t="str">
        <f ca="1">IFERROR(__xludf.DUMMYFUNCTION("""COMPUTED_VALUE"""),"СМР")</f>
        <v>СМР</v>
      </c>
      <c r="Q381" s="67">
        <f t="shared" ca="1" si="0"/>
        <v>0</v>
      </c>
      <c r="R381" s="67"/>
      <c r="S381" s="67"/>
      <c r="T381" s="67"/>
      <c r="U381" s="67"/>
      <c r="V381" s="67"/>
      <c r="W381" s="67"/>
      <c r="X381" s="67"/>
      <c r="Y381" s="67"/>
      <c r="Z381" s="67"/>
      <c r="AA381" s="67"/>
      <c r="AB381" s="67"/>
      <c r="AC381" s="67"/>
      <c r="AD381" s="67"/>
      <c r="AE381" s="67"/>
      <c r="AF381" s="67"/>
      <c r="AG381" s="67"/>
      <c r="AH381" s="67"/>
      <c r="AI381" s="67"/>
      <c r="AJ381" s="67"/>
      <c r="AK381" s="67"/>
      <c r="AL381" s="67"/>
      <c r="AM381" s="67"/>
    </row>
    <row r="382" spans="1:39" ht="228" x14ac:dyDescent="0.2">
      <c r="A382" s="67"/>
      <c r="B382" s="96"/>
      <c r="C38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2" s="20" t="str">
        <f ca="1">IFERROR(__xludf.DUMMYFUNCTION("""COMPUTED_VALUE"""),"МинЖКХ")</f>
        <v>МинЖКХ</v>
      </c>
      <c r="E382" s="20" t="str">
        <f ca="1">IFERROR(__xludf.DUMMYFUNCTION("""COMPUTED_VALUE"""),"""Строительство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11"&amp;" 508,00 тыс.руб. из них средства бюджета Московской области - 11 507,63 тыс.руб., средства бюджета муниципального образования - 0,37 тыс.руб. ""
")</f>
        <v xml:space="preserve">"Строительство блочно-модульной котельной по адресу: д. Толстяково, с.п. Смирновское, Солнечногорский муниципальный район  (в том числе ПИР),  в том числе погашение кредиторской задолжености за выполненые  работы но не оплаченые в 2019 году в размере 
11 508,00 тыс.руб. из них средства бюджета Московской области - 11 507,63 тыс.руб., средства бюджета муниципального образования - 0,37 тыс.руб. "
</v>
      </c>
      <c r="F382" s="67">
        <f ca="1">IFERROR(__xludf.DUMMYFUNCTION("""COMPUTED_VALUE"""),2020)</f>
        <v>2020</v>
      </c>
      <c r="G382" s="67" t="str">
        <f ca="1">IFERROR(__xludf.DUMMYFUNCTION("""COMPUTED_VALUE"""),"г.о. Солнечногорск")</f>
        <v>г.о. Солнечногорск</v>
      </c>
      <c r="H382" s="67" t="str">
        <f ca="1">IFERROR(__xludf.DUMMYFUNCTION("""COMPUTED_VALUE"""),"БМК")</f>
        <v>БМК</v>
      </c>
      <c r="I382" s="97">
        <f ca="1">IFERROR(__xludf.DUMMYFUNCTION("""COMPUTED_VALUE"""),11507.63)</f>
        <v>11507.63</v>
      </c>
      <c r="J382" s="67"/>
      <c r="K382" s="97">
        <f ca="1">IFERROR(__xludf.DUMMYFUNCTION("""COMPUTED_VALUE"""),0.37)</f>
        <v>0.37</v>
      </c>
      <c r="L382" s="97">
        <f ca="1">IFERROR(__xludf.DUMMYFUNCTION("""COMPUTED_VALUE"""),0)</f>
        <v>0</v>
      </c>
      <c r="M382" s="97">
        <f ca="1">IFERROR(__xludf.DUMMYFUNCTION("""COMPUTED_VALUE"""),0)</f>
        <v>0</v>
      </c>
      <c r="N382" s="67"/>
      <c r="O382" s="67"/>
      <c r="P382" s="67" t="str">
        <f ca="1">IFERROR(__xludf.DUMMYFUNCTION("""COMPUTED_VALUE"""),"СМР")</f>
        <v>СМР</v>
      </c>
      <c r="Q382" s="67">
        <f t="shared" ca="1" si="0"/>
        <v>0</v>
      </c>
      <c r="R382" s="67"/>
      <c r="S382" s="67"/>
      <c r="T382" s="67"/>
      <c r="U382" s="67"/>
      <c r="V382" s="67"/>
      <c r="W382" s="67"/>
      <c r="X382" s="67"/>
      <c r="Y382" s="67"/>
      <c r="Z382" s="67"/>
      <c r="AA382" s="67"/>
      <c r="AB382" s="67"/>
      <c r="AC382" s="67"/>
      <c r="AD382" s="67"/>
      <c r="AE382" s="67"/>
      <c r="AF382" s="67"/>
      <c r="AG382" s="67"/>
      <c r="AH382" s="67"/>
      <c r="AI382" s="67"/>
      <c r="AJ382" s="67"/>
      <c r="AK382" s="67"/>
      <c r="AL382" s="67"/>
      <c r="AM382" s="67"/>
    </row>
    <row r="383" spans="1:39" ht="72" hidden="1" x14ac:dyDescent="0.2">
      <c r="A383" s="67"/>
      <c r="B383" s="96"/>
      <c r="C38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3" s="20" t="str">
        <f ca="1">IFERROR(__xludf.DUMMYFUNCTION("""COMPUTED_VALUE"""),"МинЖКХ")</f>
        <v>МинЖКХ</v>
      </c>
      <c r="E383" s="20" t="str">
        <f ca="1">IFERROR(__xludf.DUMMYFUNCTION("""COMPUTED_VALUE"""),"Строительство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f>
        <v>Строительство наружной сети водопровода для соединения ул. Техническая с ул. Центральная по адресу: Московская область, городской округ Черноголовка, г. Черноголовка</v>
      </c>
      <c r="F383" s="67" t="str">
        <f ca="1">IFERROR(__xludf.DUMMYFUNCTION("""COMPUTED_VALUE"""),"2022-2023")</f>
        <v>2022-2023</v>
      </c>
      <c r="G383" s="67" t="str">
        <f ca="1">IFERROR(__xludf.DUMMYFUNCTION("""COMPUTED_VALUE"""),"г.о. Черноголовка")</f>
        <v>г.о. Черноголовка</v>
      </c>
      <c r="H383" s="67" t="str">
        <f ca="1">IFERROR(__xludf.DUMMYFUNCTION("""COMPUTED_VALUE"""),"Сети")</f>
        <v>Сети</v>
      </c>
      <c r="I383" s="67"/>
      <c r="J383" s="67"/>
      <c r="K383" s="97">
        <f ca="1">IFERROR(__xludf.DUMMYFUNCTION("""COMPUTED_VALUE"""),3403.16)</f>
        <v>3403.16</v>
      </c>
      <c r="L383" s="97">
        <f ca="1">IFERROR(__xludf.DUMMYFUNCTION("""COMPUTED_VALUE"""),0)</f>
        <v>0</v>
      </c>
      <c r="M383" s="97">
        <f ca="1">IFERROR(__xludf.DUMMYFUNCTION("""COMPUTED_VALUE"""),0)</f>
        <v>0</v>
      </c>
      <c r="N383" s="67"/>
      <c r="O383" s="67"/>
      <c r="P383" s="67" t="str">
        <f ca="1">IFERROR(__xludf.DUMMYFUNCTION("""COMPUTED_VALUE"""),"СМР")</f>
        <v>СМР</v>
      </c>
      <c r="Q383" s="67">
        <f t="shared" ca="1" si="0"/>
        <v>0</v>
      </c>
      <c r="R383" s="67"/>
      <c r="S383" s="67"/>
      <c r="T383" s="67"/>
      <c r="U383" s="67"/>
      <c r="V383" s="67"/>
      <c r="W383" s="67"/>
      <c r="X383" s="67"/>
      <c r="Y383" s="67"/>
      <c r="Z383" s="67"/>
      <c r="AA383" s="67"/>
      <c r="AB383" s="67"/>
      <c r="AC383" s="67"/>
      <c r="AD383" s="67"/>
      <c r="AE383" s="67"/>
      <c r="AF383" s="67"/>
      <c r="AG383" s="67"/>
      <c r="AH383" s="67"/>
      <c r="AI383" s="67"/>
      <c r="AJ383" s="67"/>
      <c r="AK383" s="67"/>
      <c r="AL383" s="67"/>
      <c r="AM383" s="67"/>
    </row>
    <row r="384" spans="1:39" ht="72" hidden="1" x14ac:dyDescent="0.2">
      <c r="A384" s="67"/>
      <c r="B384" s="100"/>
      <c r="C38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4" s="20" t="str">
        <f ca="1">IFERROR(__xludf.DUMMYFUNCTION("""COMPUTED_VALUE"""),"МинЖКХ")</f>
        <v>МинЖКХ</v>
      </c>
      <c r="E384" s="20" t="str">
        <f ca="1">IFERROR(__xludf.DUMMYFUNCTION("""COMPUTED_VALUE"""),"Строительство сетей водоснбжения р.п. Андреевка, г.о. Солнечногорск")</f>
        <v>Строительство сетей водоснбжения р.п. Андреевка, г.о. Солнечногорск</v>
      </c>
      <c r="F384" s="67">
        <f ca="1">IFERROR(__xludf.DUMMYFUNCTION("""COMPUTED_VALUE"""),2022)</f>
        <v>2022</v>
      </c>
      <c r="G384" s="67" t="str">
        <f ca="1">IFERROR(__xludf.DUMMYFUNCTION("""COMPUTED_VALUE"""),"г.о. Солнечногорск")</f>
        <v>г.о. Солнечногорск</v>
      </c>
      <c r="H384" s="67" t="str">
        <f ca="1">IFERROR(__xludf.DUMMYFUNCTION("""COMPUTED_VALUE"""),"Сети")</f>
        <v>Сети</v>
      </c>
      <c r="I384" s="67"/>
      <c r="J384" s="67"/>
      <c r="K384" s="97">
        <f ca="1">IFERROR(__xludf.DUMMYFUNCTION("""COMPUTED_VALUE"""),2924)</f>
        <v>2924</v>
      </c>
      <c r="L384" s="97">
        <f ca="1">IFERROR(__xludf.DUMMYFUNCTION("""COMPUTED_VALUE"""),0)</f>
        <v>0</v>
      </c>
      <c r="M384" s="97">
        <f ca="1">IFERROR(__xludf.DUMMYFUNCTION("""COMPUTED_VALUE"""),0)</f>
        <v>0</v>
      </c>
      <c r="N384" s="67"/>
      <c r="O384" s="67"/>
      <c r="P384" s="67" t="str">
        <f ca="1">IFERROR(__xludf.DUMMYFUNCTION("""COMPUTED_VALUE"""),"СМР")</f>
        <v>СМР</v>
      </c>
      <c r="Q384" s="67">
        <f t="shared" ca="1" si="0"/>
        <v>0</v>
      </c>
      <c r="R384" s="67"/>
      <c r="S384" s="67"/>
      <c r="T384" s="67"/>
      <c r="U384" s="67"/>
      <c r="V384" s="67"/>
      <c r="W384" s="67"/>
      <c r="X384" s="67"/>
      <c r="Y384" s="67"/>
      <c r="Z384" s="67"/>
      <c r="AA384" s="67"/>
      <c r="AB384" s="67"/>
      <c r="AC384" s="67"/>
      <c r="AD384" s="67"/>
      <c r="AE384" s="67"/>
      <c r="AF384" s="67"/>
      <c r="AG384" s="67"/>
      <c r="AH384" s="67"/>
      <c r="AI384" s="67"/>
      <c r="AJ384" s="67"/>
      <c r="AK384" s="67"/>
      <c r="AL384" s="67"/>
      <c r="AM384" s="67"/>
    </row>
    <row r="385" spans="1:39" ht="72" x14ac:dyDescent="0.2">
      <c r="A385" s="67"/>
      <c r="B385" s="96"/>
      <c r="C38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5" s="20" t="str">
        <f ca="1">IFERROR(__xludf.DUMMYFUNCTION("""COMPUTED_VALUE"""),"МинЖКХ")</f>
        <v>МинЖКХ</v>
      </c>
      <c r="E385" s="20" t="str">
        <f ca="1">IFERROR(__xludf.DUMMYFUNCTION("""COMPUTED_VALUE"""),"Строительство дренажной системы (в т.ч. ПИР)  в рп. Запрудня, Талдомский г.о.")</f>
        <v>Строительство дренажной системы (в т.ч. ПИР)  в рп. Запрудня, Талдомский г.о.</v>
      </c>
      <c r="F385" s="67" t="str">
        <f ca="1">IFERROR(__xludf.DUMMYFUNCTION("""COMPUTED_VALUE"""),"2020-2022")</f>
        <v>2020-2022</v>
      </c>
      <c r="G385" s="67" t="str">
        <f ca="1">IFERROR(__xludf.DUMMYFUNCTION("""COMPUTED_VALUE"""),"г.о. Талдомский")</f>
        <v>г.о. Талдомский</v>
      </c>
      <c r="H385" s="67" t="str">
        <f ca="1">IFERROR(__xludf.DUMMYFUNCTION("""COMPUTED_VALUE"""),"Сети")</f>
        <v>Сети</v>
      </c>
      <c r="I385" s="97">
        <f ca="1">IFERROR(__xludf.DUMMYFUNCTION("""COMPUTED_VALUE"""),3928)</f>
        <v>3928</v>
      </c>
      <c r="J385" s="67"/>
      <c r="K385" s="97">
        <f ca="1">IFERROR(__xludf.DUMMYFUNCTION("""COMPUTED_VALUE"""),4655.21)</f>
        <v>4655.21</v>
      </c>
      <c r="L385" s="97">
        <f ca="1">IFERROR(__xludf.DUMMYFUNCTION("""COMPUTED_VALUE"""),0)</f>
        <v>0</v>
      </c>
      <c r="M385" s="97">
        <f ca="1">IFERROR(__xludf.DUMMYFUNCTION("""COMPUTED_VALUE"""),0)</f>
        <v>0</v>
      </c>
      <c r="N385" s="67"/>
      <c r="O385" s="67"/>
      <c r="P385" s="67" t="str">
        <f ca="1">IFERROR(__xludf.DUMMYFUNCTION("""COMPUTED_VALUE"""),"СМР")</f>
        <v>СМР</v>
      </c>
      <c r="Q385" s="67">
        <f t="shared" ca="1" si="0"/>
        <v>0</v>
      </c>
      <c r="R385" s="67"/>
      <c r="S385" s="67"/>
      <c r="T385" s="67"/>
      <c r="U385" s="67"/>
      <c r="V385" s="67"/>
      <c r="W385" s="67"/>
      <c r="X385" s="67"/>
      <c r="Y385" s="67"/>
      <c r="Z385" s="67"/>
      <c r="AA385" s="67"/>
      <c r="AB385" s="67"/>
      <c r="AC385" s="67"/>
      <c r="AD385" s="67"/>
      <c r="AE385" s="67"/>
      <c r="AF385" s="67"/>
      <c r="AG385" s="67"/>
      <c r="AH385" s="67"/>
      <c r="AI385" s="67"/>
      <c r="AJ385" s="67"/>
      <c r="AK385" s="67"/>
      <c r="AL385" s="67"/>
      <c r="AM385" s="67"/>
    </row>
    <row r="386" spans="1:39" ht="72" hidden="1" x14ac:dyDescent="0.2">
      <c r="A386" s="67"/>
      <c r="B386" s="96"/>
      <c r="C38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6" s="20" t="str">
        <f ca="1">IFERROR(__xludf.DUMMYFUNCTION("""COMPUTED_VALUE"""),"МинЖКХ")</f>
        <v>МинЖКХ</v>
      </c>
      <c r="E386" s="20" t="str">
        <f ca="1">IFERROR(__xludf.DUMMYFUNCTION("""COMPUTED_VALUE"""),"Внеплощадочные сети для очистных сооружений по адресу: Московская обл., городской округ Кашира, г.Кашира, д. Терново-1 (ПИР)")</f>
        <v>Внеплощадочные сети для очистных сооружений по адресу: Московская обл., городской округ Кашира, г.Кашира, д. Терново-1 (ПИР)</v>
      </c>
      <c r="F386" s="67">
        <f ca="1">IFERROR(__xludf.DUMMYFUNCTION("""COMPUTED_VALUE"""),2022)</f>
        <v>2022</v>
      </c>
      <c r="G386" s="67" t="str">
        <f ca="1">IFERROR(__xludf.DUMMYFUNCTION("""COMPUTED_VALUE"""),"г.о. Кашира")</f>
        <v>г.о. Кашира</v>
      </c>
      <c r="H386" s="67" t="str">
        <f ca="1">IFERROR(__xludf.DUMMYFUNCTION("""COMPUTED_VALUE"""),"Сети")</f>
        <v>Сети</v>
      </c>
      <c r="I386" s="67"/>
      <c r="J386" s="67"/>
      <c r="K386" s="97">
        <f ca="1">IFERROR(__xludf.DUMMYFUNCTION("""COMPUTED_VALUE"""),6534.82)</f>
        <v>6534.82</v>
      </c>
      <c r="L386" s="97">
        <f ca="1">IFERROR(__xludf.DUMMYFUNCTION("""COMPUTED_VALUE"""),0)</f>
        <v>0</v>
      </c>
      <c r="M386" s="97">
        <f ca="1">IFERROR(__xludf.DUMMYFUNCTION("""COMPUTED_VALUE"""),0)</f>
        <v>0</v>
      </c>
      <c r="N386" s="67"/>
      <c r="O386" s="67"/>
      <c r="P386" s="67" t="str">
        <f ca="1">IFERROR(__xludf.DUMMYFUNCTION("""COMPUTED_VALUE"""),"ПИР")</f>
        <v>ПИР</v>
      </c>
      <c r="Q386" s="67">
        <f t="shared" ca="1" si="0"/>
        <v>0</v>
      </c>
      <c r="R386" s="67"/>
      <c r="S386" s="67"/>
      <c r="T386" s="67"/>
      <c r="U386" s="67"/>
      <c r="V386" s="67"/>
      <c r="W386" s="67"/>
      <c r="X386" s="67"/>
      <c r="Y386" s="67"/>
      <c r="Z386" s="67"/>
      <c r="AA386" s="67"/>
      <c r="AB386" s="67"/>
      <c r="AC386" s="67"/>
      <c r="AD386" s="67"/>
      <c r="AE386" s="67"/>
      <c r="AF386" s="67"/>
      <c r="AG386" s="67"/>
      <c r="AH386" s="67"/>
      <c r="AI386" s="67"/>
      <c r="AJ386" s="67"/>
      <c r="AK386" s="67"/>
      <c r="AL386" s="67"/>
      <c r="AM386" s="67"/>
    </row>
    <row r="387" spans="1:39" ht="72" hidden="1" x14ac:dyDescent="0.2">
      <c r="A387" s="67"/>
      <c r="B387" s="96"/>
      <c r="C38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7" s="20" t="str">
        <f ca="1">IFERROR(__xludf.DUMMYFUNCTION("""COMPUTED_VALUE"""),"МинЖКХ")</f>
        <v>МинЖКХ</v>
      </c>
      <c r="E387" s="20" t="str">
        <f ca="1">IFERROR(__xludf.DUMMYFUNCTION("""COMPUTED_VALUE"""),"Строительство наружный сетей водоснабжения, водоотведеиня и теплоснабжения  г.о. Шатура (бывшая территория г.о. Рошаль) ПИР")</f>
        <v>Строительство наружный сетей водоснабжения, водоотведеиня и теплоснабжения  г.о. Шатура (бывшая территория г.о. Рошаль) ПИР</v>
      </c>
      <c r="F387" s="67" t="str">
        <f ca="1">IFERROR(__xludf.DUMMYFUNCTION("""COMPUTED_VALUE"""),"2023-2024")</f>
        <v>2023-2024</v>
      </c>
      <c r="G387" s="67" t="str">
        <f ca="1">IFERROR(__xludf.DUMMYFUNCTION("""COMPUTED_VALUE"""),"г.о. Шатура")</f>
        <v>г.о. Шатура</v>
      </c>
      <c r="H387" s="67" t="str">
        <f ca="1">IFERROR(__xludf.DUMMYFUNCTION("""COMPUTED_VALUE"""),"Сети")</f>
        <v>Сети</v>
      </c>
      <c r="I387" s="67"/>
      <c r="J387" s="67"/>
      <c r="K387" s="97">
        <f ca="1">IFERROR(__xludf.DUMMYFUNCTION("""COMPUTED_VALUE"""),8184.24)</f>
        <v>8184.24</v>
      </c>
      <c r="L387" s="97">
        <f ca="1">IFERROR(__xludf.DUMMYFUNCTION("""COMPUTED_VALUE"""),0)</f>
        <v>0</v>
      </c>
      <c r="M387" s="97">
        <f ca="1">IFERROR(__xludf.DUMMYFUNCTION("""COMPUTED_VALUE"""),0)</f>
        <v>0</v>
      </c>
      <c r="N387" s="67"/>
      <c r="O387" s="67"/>
      <c r="P387" s="67" t="str">
        <f ca="1">IFERROR(__xludf.DUMMYFUNCTION("""COMPUTED_VALUE"""),"ПИР")</f>
        <v>ПИР</v>
      </c>
      <c r="Q387" s="67">
        <f t="shared" ca="1" si="0"/>
        <v>0</v>
      </c>
      <c r="R387" s="67"/>
      <c r="S387" s="67"/>
      <c r="T387" s="67"/>
      <c r="U387" s="67"/>
      <c r="V387" s="67"/>
      <c r="W387" s="67"/>
      <c r="X387" s="67"/>
      <c r="Y387" s="67"/>
      <c r="Z387" s="67"/>
      <c r="AA387" s="67"/>
      <c r="AB387" s="67"/>
      <c r="AC387" s="67"/>
      <c r="AD387" s="67"/>
      <c r="AE387" s="67"/>
      <c r="AF387" s="67"/>
      <c r="AG387" s="67"/>
      <c r="AH387" s="67"/>
      <c r="AI387" s="67"/>
      <c r="AJ387" s="67"/>
      <c r="AK387" s="67"/>
      <c r="AL387" s="67"/>
      <c r="AM387" s="67"/>
    </row>
    <row r="388" spans="1:39" ht="72" hidden="1" x14ac:dyDescent="0.2">
      <c r="A388" s="67"/>
      <c r="B388" s="100"/>
      <c r="C38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8" s="20" t="str">
        <f ca="1">IFERROR(__xludf.DUMMYFUNCTION("""COMPUTED_VALUE"""),"МинЖКХ")</f>
        <v>МинЖКХ</v>
      </c>
      <c r="E388" s="20" t="str">
        <f ca="1">IFERROR(__xludf.DUMMYFUNCTION("""COMPUTED_VALUE"""),"Строительство сетей водоснабжения и водоотведения в д. Подушкино, Одинцово г.о.")</f>
        <v>Строительство сетей водоснабжения и водоотведения в д. Подушкино, Одинцово г.о.</v>
      </c>
      <c r="F388" s="67">
        <f ca="1">IFERROR(__xludf.DUMMYFUNCTION("""COMPUTED_VALUE"""),2022)</f>
        <v>2022</v>
      </c>
      <c r="G388" s="67" t="str">
        <f ca="1">IFERROR(__xludf.DUMMYFUNCTION("""COMPUTED_VALUE"""),"г.о. Одинцово")</f>
        <v>г.о. Одинцово</v>
      </c>
      <c r="H388" s="67" t="str">
        <f ca="1">IFERROR(__xludf.DUMMYFUNCTION("""COMPUTED_VALUE"""),"Сети")</f>
        <v>Сети</v>
      </c>
      <c r="I388" s="67"/>
      <c r="J388" s="67"/>
      <c r="K388" s="97">
        <f ca="1">IFERROR(__xludf.DUMMYFUNCTION("""COMPUTED_VALUE"""),40057.5)</f>
        <v>40057.5</v>
      </c>
      <c r="L388" s="97">
        <f ca="1">IFERROR(__xludf.DUMMYFUNCTION("""COMPUTED_VALUE"""),0)</f>
        <v>0</v>
      </c>
      <c r="M388" s="97">
        <f ca="1">IFERROR(__xludf.DUMMYFUNCTION("""COMPUTED_VALUE"""),0)</f>
        <v>0</v>
      </c>
      <c r="N388" s="67"/>
      <c r="O388" s="67"/>
      <c r="P388" s="67" t="str">
        <f ca="1">IFERROR(__xludf.DUMMYFUNCTION("""COMPUTED_VALUE"""),"СМР")</f>
        <v>СМР</v>
      </c>
      <c r="Q388" s="67">
        <f t="shared" ca="1" si="0"/>
        <v>0</v>
      </c>
      <c r="R388" s="67"/>
      <c r="S388" s="67"/>
      <c r="T388" s="67"/>
      <c r="U388" s="67"/>
      <c r="V388" s="67"/>
      <c r="W388" s="67"/>
      <c r="X388" s="67"/>
      <c r="Y388" s="67"/>
      <c r="Z388" s="67"/>
      <c r="AA388" s="67"/>
      <c r="AB388" s="67"/>
      <c r="AC388" s="67"/>
      <c r="AD388" s="67"/>
      <c r="AE388" s="67"/>
      <c r="AF388" s="67"/>
      <c r="AG388" s="67"/>
      <c r="AH388" s="67"/>
      <c r="AI388" s="67"/>
      <c r="AJ388" s="67"/>
      <c r="AK388" s="67"/>
      <c r="AL388" s="67"/>
      <c r="AM388" s="67"/>
    </row>
    <row r="389" spans="1:39" ht="72" x14ac:dyDescent="0.2">
      <c r="A389" s="67"/>
      <c r="B389" s="100"/>
      <c r="C38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9" s="20" t="str">
        <f ca="1">IFERROR(__xludf.DUMMYFUNCTION("""COMPUTED_VALUE"""),"МинЖКХ")</f>
        <v>МинЖКХ</v>
      </c>
      <c r="E389" s="20" t="str">
        <f ca="1">IFERROR(__xludf.DUMMYFUNCTION("""COMPUTED_VALUE"""),"Реконструкция участка магистральной тепловой сети Ду 700 от центральной котельной до тепловой камеры ТК-3 по адресу: Московская область, г. Черноголовка")</f>
        <v>Реконструкция участка магистральной тепловой сети Ду 700 от центральной котельной до тепловой камеры ТК-3 по адресу: Московская область, г. Черноголовка</v>
      </c>
      <c r="F389" s="67">
        <f ca="1">IFERROR(__xludf.DUMMYFUNCTION("""COMPUTED_VALUE"""),2020)</f>
        <v>2020</v>
      </c>
      <c r="G389" s="67" t="str">
        <f ca="1">IFERROR(__xludf.DUMMYFUNCTION("""COMPUTED_VALUE"""),"г.о. Черноголовка")</f>
        <v>г.о. Черноголовка</v>
      </c>
      <c r="H389" s="67" t="str">
        <f ca="1">IFERROR(__xludf.DUMMYFUNCTION("""COMPUTED_VALUE"""),"Сети")</f>
        <v>Сети</v>
      </c>
      <c r="I389" s="97">
        <f ca="1">IFERROR(__xludf.DUMMYFUNCTION("""COMPUTED_VALUE"""),0)</f>
        <v>0</v>
      </c>
      <c r="J389" s="67"/>
      <c r="K389" s="97">
        <f ca="1">IFERROR(__xludf.DUMMYFUNCTION("""COMPUTED_VALUE"""),63528.07)</f>
        <v>63528.07</v>
      </c>
      <c r="L389" s="97">
        <f ca="1">IFERROR(__xludf.DUMMYFUNCTION("""COMPUTED_VALUE"""),0)</f>
        <v>0</v>
      </c>
      <c r="M389" s="97">
        <f ca="1">IFERROR(__xludf.DUMMYFUNCTION("""COMPUTED_VALUE"""),0)</f>
        <v>0</v>
      </c>
      <c r="N389" s="67"/>
      <c r="O389" s="67"/>
      <c r="P389" s="67" t="str">
        <f ca="1">IFERROR(__xludf.DUMMYFUNCTION("""COMPUTED_VALUE"""),"СМР")</f>
        <v>СМР</v>
      </c>
      <c r="Q389" s="67">
        <f t="shared" ca="1" si="0"/>
        <v>0</v>
      </c>
      <c r="R389" s="67"/>
      <c r="S389" s="67"/>
      <c r="T389" s="67"/>
      <c r="U389" s="67"/>
      <c r="V389" s="67"/>
      <c r="W389" s="67"/>
      <c r="X389" s="67"/>
      <c r="Y389" s="67"/>
      <c r="Z389" s="67"/>
      <c r="AA389" s="67"/>
      <c r="AB389" s="67"/>
      <c r="AC389" s="67"/>
      <c r="AD389" s="67"/>
      <c r="AE389" s="67"/>
      <c r="AF389" s="67"/>
      <c r="AG389" s="67"/>
      <c r="AH389" s="67"/>
      <c r="AI389" s="67"/>
      <c r="AJ389" s="67"/>
      <c r="AK389" s="67"/>
      <c r="AL389" s="67"/>
      <c r="AM389" s="67"/>
    </row>
    <row r="390" spans="1:39" ht="72" x14ac:dyDescent="0.2">
      <c r="A390" s="67"/>
      <c r="B390" s="100"/>
      <c r="C390"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0" s="20" t="str">
        <f ca="1">IFERROR(__xludf.DUMMYFUNCTION("""COMPUTED_VALUE"""),"МинЖКХ ""ТОП 5 (1 этап)""")</f>
        <v>МинЖКХ "ТОП 5 (1 этап)"</v>
      </c>
      <c r="E390" s="20" t="str">
        <f ca="1">IFERROR(__xludf.DUMMYFUNCTION("""COMPUTED_VALUE""")," Модернизация (реконструкция) котельной на электрокотлах (перевод на газ) д. Бордуки (в т.ч. ПИР, ТП) г.о. Шатура")</f>
        <v xml:space="preserve"> Модернизация (реконструкция) котельной на электрокотлах (перевод на газ) д. Бордуки (в т.ч. ПИР, ТП) г.о. Шатура</v>
      </c>
      <c r="F390" s="67" t="str">
        <f ca="1">IFERROR(__xludf.DUMMYFUNCTION("""COMPUTED_VALUE"""),"2020-2021")</f>
        <v>2020-2021</v>
      </c>
      <c r="G390" s="67" t="str">
        <f ca="1">IFERROR(__xludf.DUMMYFUNCTION("""COMPUTED_VALUE"""),"г.о. Шатура")</f>
        <v>г.о. Шатура</v>
      </c>
      <c r="H390" s="67" t="str">
        <f ca="1">IFERROR(__xludf.DUMMYFUNCTION("""COMPUTED_VALUE"""),"Котельная")</f>
        <v>Котельная</v>
      </c>
      <c r="I390" s="97">
        <f ca="1">IFERROR(__xludf.DUMMYFUNCTION("""COMPUTED_VALUE"""),0)</f>
        <v>0</v>
      </c>
      <c r="J390" s="67">
        <f ca="1">IFERROR(__xludf.DUMMYFUNCTION("""COMPUTED_VALUE"""),150.59)</f>
        <v>150.59</v>
      </c>
      <c r="K390" s="97">
        <f ca="1">IFERROR(__xludf.DUMMYFUNCTION("""COMPUTED_VALUE"""),226.8)</f>
        <v>226.8</v>
      </c>
      <c r="L390" s="97">
        <f ca="1">IFERROR(__xludf.DUMMYFUNCTION("""COMPUTED_VALUE"""),0)</f>
        <v>0</v>
      </c>
      <c r="M390" s="97">
        <f ca="1">IFERROR(__xludf.DUMMYFUNCTION("""COMPUTED_VALUE"""),0)</f>
        <v>0</v>
      </c>
      <c r="N390" s="67"/>
      <c r="O390" s="67"/>
      <c r="P390" s="67" t="str">
        <f ca="1">IFERROR(__xludf.DUMMYFUNCTION("""COMPUTED_VALUE"""),"СМР")</f>
        <v>СМР</v>
      </c>
      <c r="Q390" s="67">
        <f t="shared" ca="1" si="0"/>
        <v>0</v>
      </c>
      <c r="R390" s="67"/>
      <c r="S390" s="67"/>
      <c r="T390" s="67"/>
      <c r="U390" s="67"/>
      <c r="V390" s="67"/>
      <c r="W390" s="67"/>
      <c r="X390" s="67"/>
      <c r="Y390" s="67"/>
      <c r="Z390" s="67"/>
      <c r="AA390" s="67"/>
      <c r="AB390" s="67"/>
      <c r="AC390" s="67"/>
      <c r="AD390" s="67"/>
      <c r="AE390" s="67"/>
      <c r="AF390" s="67"/>
      <c r="AG390" s="67"/>
      <c r="AH390" s="67"/>
      <c r="AI390" s="67"/>
      <c r="AJ390" s="67"/>
      <c r="AK390" s="67"/>
      <c r="AL390" s="67"/>
      <c r="AM390" s="67"/>
    </row>
    <row r="391" spans="1:39" ht="72" x14ac:dyDescent="0.2">
      <c r="A391" s="67"/>
      <c r="B391" s="100"/>
      <c r="C391"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1" s="20" t="str">
        <f ca="1">IFERROR(__xludf.DUMMYFUNCTION("""COMPUTED_VALUE"""),"МинЖКХ ""ТОП 5 (1 этап)""")</f>
        <v>МинЖКХ "ТОП 5 (1 этап)"</v>
      </c>
      <c r="E391" s="20" t="str">
        <f ca="1">IFERROR(__xludf.DUMMYFUNCTION("""COMPUTED_VALUE"""),"Модернизация (реконструкция) дизельной котельной (перевод на газ) п. Мещерский Бор (в т.ч. ПИР, ТП) г.о. Шатура")</f>
        <v>Модернизация (реконструкция) дизельной котельной (перевод на газ) п. Мещерский Бор (в т.ч. ПИР, ТП) г.о. Шатура</v>
      </c>
      <c r="F391" s="67" t="str">
        <f ca="1">IFERROR(__xludf.DUMMYFUNCTION("""COMPUTED_VALUE"""),"2020-2021")</f>
        <v>2020-2021</v>
      </c>
      <c r="G391" s="67" t="str">
        <f ca="1">IFERROR(__xludf.DUMMYFUNCTION("""COMPUTED_VALUE"""),"г.о. Шатура")</f>
        <v>г.о. Шатура</v>
      </c>
      <c r="H391" s="67" t="str">
        <f ca="1">IFERROR(__xludf.DUMMYFUNCTION("""COMPUTED_VALUE"""),"Котельная")</f>
        <v>Котельная</v>
      </c>
      <c r="I391" s="97">
        <f ca="1">IFERROR(__xludf.DUMMYFUNCTION("""COMPUTED_VALUE"""),0)</f>
        <v>0</v>
      </c>
      <c r="J391" s="67">
        <f ca="1">IFERROR(__xludf.DUMMYFUNCTION("""COMPUTED_VALUE"""),621.81)</f>
        <v>621.80999999999995</v>
      </c>
      <c r="K391" s="97">
        <f ca="1">IFERROR(__xludf.DUMMYFUNCTION("""COMPUTED_VALUE"""),772.8)</f>
        <v>772.8</v>
      </c>
      <c r="L391" s="97">
        <f ca="1">IFERROR(__xludf.DUMMYFUNCTION("""COMPUTED_VALUE"""),0)</f>
        <v>0</v>
      </c>
      <c r="M391" s="97">
        <f ca="1">IFERROR(__xludf.DUMMYFUNCTION("""COMPUTED_VALUE"""),0)</f>
        <v>0</v>
      </c>
      <c r="N391" s="67"/>
      <c r="O391" s="67"/>
      <c r="P391" s="67" t="str">
        <f ca="1">IFERROR(__xludf.DUMMYFUNCTION("""COMPUTED_VALUE"""),"СМР")</f>
        <v>СМР</v>
      </c>
      <c r="Q391" s="67">
        <f t="shared" ca="1" si="0"/>
        <v>0</v>
      </c>
      <c r="R391" s="67"/>
      <c r="S391" s="67"/>
      <c r="T391" s="67"/>
      <c r="U391" s="67"/>
      <c r="V391" s="67"/>
      <c r="W391" s="67"/>
      <c r="X391" s="67"/>
      <c r="Y391" s="67"/>
      <c r="Z391" s="67"/>
      <c r="AA391" s="67"/>
      <c r="AB391" s="67"/>
      <c r="AC391" s="67"/>
      <c r="AD391" s="67"/>
      <c r="AE391" s="67"/>
      <c r="AF391" s="67"/>
      <c r="AG391" s="67"/>
      <c r="AH391" s="67"/>
      <c r="AI391" s="67"/>
      <c r="AJ391" s="67"/>
      <c r="AK391" s="67"/>
      <c r="AL391" s="67"/>
      <c r="AM391" s="67"/>
    </row>
    <row r="392" spans="1:39" ht="72" x14ac:dyDescent="0.2">
      <c r="A392" s="67"/>
      <c r="B392" s="100"/>
      <c r="C392"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2" s="20" t="str">
        <f ca="1">IFERROR(__xludf.DUMMYFUNCTION("""COMPUTED_VALUE"""),"МинЖКХ ""ТОП 5 (1 этап)""")</f>
        <v>МинЖКХ "ТОП 5 (1 этап)"</v>
      </c>
      <c r="E392" s="20" t="str">
        <f ca="1">IFERROR(__xludf.DUMMYFUNCTION("""COMPUTED_VALUE"""),"Модернизация (реконструкция) котельной на электрокотлах (перевод на газ) д. Новосидориха (в т.ч. ПИР, ТП) г.о. Шатура")</f>
        <v>Модернизация (реконструкция) котельной на электрокотлах (перевод на газ) д. Новосидориха (в т.ч. ПИР, ТП) г.о. Шатура</v>
      </c>
      <c r="F392" s="67" t="str">
        <f ca="1">IFERROR(__xludf.DUMMYFUNCTION("""COMPUTED_VALUE"""),"2020-2021")</f>
        <v>2020-2021</v>
      </c>
      <c r="G392" s="67" t="str">
        <f ca="1">IFERROR(__xludf.DUMMYFUNCTION("""COMPUTED_VALUE"""),"г.о. Шатура")</f>
        <v>г.о. Шатура</v>
      </c>
      <c r="H392" s="67" t="str">
        <f ca="1">IFERROR(__xludf.DUMMYFUNCTION("""COMPUTED_VALUE"""),"Котельная")</f>
        <v>Котельная</v>
      </c>
      <c r="I392" s="97">
        <f ca="1">IFERROR(__xludf.DUMMYFUNCTION("""COMPUTED_VALUE"""),0)</f>
        <v>0</v>
      </c>
      <c r="J392" s="67">
        <f ca="1">IFERROR(__xludf.DUMMYFUNCTION("""COMPUTED_VALUE"""),609.78)</f>
        <v>609.78</v>
      </c>
      <c r="K392" s="97">
        <f ca="1">IFERROR(__xludf.DUMMYFUNCTION("""COMPUTED_VALUE"""),310.8)</f>
        <v>310.8</v>
      </c>
      <c r="L392" s="97">
        <f ca="1">IFERROR(__xludf.DUMMYFUNCTION("""COMPUTED_VALUE"""),0)</f>
        <v>0</v>
      </c>
      <c r="M392" s="97">
        <f ca="1">IFERROR(__xludf.DUMMYFUNCTION("""COMPUTED_VALUE"""),0)</f>
        <v>0</v>
      </c>
      <c r="N392" s="67"/>
      <c r="O392" s="67"/>
      <c r="P392" s="67" t="str">
        <f ca="1">IFERROR(__xludf.DUMMYFUNCTION("""COMPUTED_VALUE"""),"СМР")</f>
        <v>СМР</v>
      </c>
      <c r="Q392" s="67">
        <f t="shared" ca="1" si="0"/>
        <v>0</v>
      </c>
      <c r="R392" s="67"/>
      <c r="S392" s="67"/>
      <c r="T392" s="67"/>
      <c r="U392" s="67"/>
      <c r="V392" s="67"/>
      <c r="W392" s="67"/>
      <c r="X392" s="67"/>
      <c r="Y392" s="67"/>
      <c r="Z392" s="67"/>
      <c r="AA392" s="67"/>
      <c r="AB392" s="67"/>
      <c r="AC392" s="67"/>
      <c r="AD392" s="67"/>
      <c r="AE392" s="67"/>
      <c r="AF392" s="67"/>
      <c r="AG392" s="67"/>
      <c r="AH392" s="67"/>
      <c r="AI392" s="67"/>
      <c r="AJ392" s="67"/>
      <c r="AK392" s="67"/>
      <c r="AL392" s="67"/>
      <c r="AM392" s="67"/>
    </row>
    <row r="393" spans="1:39" ht="72" x14ac:dyDescent="0.2">
      <c r="A393" s="67"/>
      <c r="B393" s="100"/>
      <c r="C393"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3" s="20" t="str">
        <f ca="1">IFERROR(__xludf.DUMMYFUNCTION("""COMPUTED_VALUE"""),"МинЖКХ ""ТОП 5 (1 этап)""")</f>
        <v>МинЖКХ "ТОП 5 (1 этап)"</v>
      </c>
      <c r="E393" s="20" t="str">
        <f ca="1">IFERROR(__xludf.DUMMYFUNCTION("""COMPUTED_VALUE"""),"Строительство газовой блочно-модульной котельной (БМК) пос. Санатория Озеро Белое (в т.ч. ПИР, ТП) г.о. Шатура")</f>
        <v>Строительство газовой блочно-модульной котельной (БМК) пос. Санатория Озеро Белое (в т.ч. ПИР, ТП) г.о. Шатура</v>
      </c>
      <c r="F393" s="67" t="str">
        <f ca="1">IFERROR(__xludf.DUMMYFUNCTION("""COMPUTED_VALUE"""),"2020-2021")</f>
        <v>2020-2021</v>
      </c>
      <c r="G393" s="67" t="str">
        <f ca="1">IFERROR(__xludf.DUMMYFUNCTION("""COMPUTED_VALUE"""),"г.о. Шатура")</f>
        <v>г.о. Шатура</v>
      </c>
      <c r="H393" s="67" t="str">
        <f ca="1">IFERROR(__xludf.DUMMYFUNCTION("""COMPUTED_VALUE"""),"БМК")</f>
        <v>БМК</v>
      </c>
      <c r="I393" s="97">
        <f ca="1">IFERROR(__xludf.DUMMYFUNCTION("""COMPUTED_VALUE"""),0)</f>
        <v>0</v>
      </c>
      <c r="J393" s="67">
        <f ca="1">IFERROR(__xludf.DUMMYFUNCTION("""COMPUTED_VALUE"""),2235.13)</f>
        <v>2235.13</v>
      </c>
      <c r="K393" s="97">
        <f ca="1">IFERROR(__xludf.DUMMYFUNCTION("""COMPUTED_VALUE"""),2394)</f>
        <v>2394</v>
      </c>
      <c r="L393" s="97">
        <f ca="1">IFERROR(__xludf.DUMMYFUNCTION("""COMPUTED_VALUE"""),0)</f>
        <v>0</v>
      </c>
      <c r="M393" s="97">
        <f ca="1">IFERROR(__xludf.DUMMYFUNCTION("""COMPUTED_VALUE"""),0)</f>
        <v>0</v>
      </c>
      <c r="N393" s="67"/>
      <c r="O393" s="67"/>
      <c r="P393" s="67" t="str">
        <f ca="1">IFERROR(__xludf.DUMMYFUNCTION("""COMPUTED_VALUE"""),"СМР")</f>
        <v>СМР</v>
      </c>
      <c r="Q393" s="67">
        <f t="shared" ca="1" si="0"/>
        <v>0</v>
      </c>
      <c r="R393" s="67"/>
      <c r="S393" s="67"/>
      <c r="T393" s="67"/>
      <c r="U393" s="67"/>
      <c r="V393" s="67"/>
      <c r="W393" s="67"/>
      <c r="X393" s="67"/>
      <c r="Y393" s="67"/>
      <c r="Z393" s="67"/>
      <c r="AA393" s="67"/>
      <c r="AB393" s="67"/>
      <c r="AC393" s="67"/>
      <c r="AD393" s="67"/>
      <c r="AE393" s="67"/>
      <c r="AF393" s="67"/>
      <c r="AG393" s="67"/>
      <c r="AH393" s="67"/>
      <c r="AI393" s="67"/>
      <c r="AJ393" s="67"/>
      <c r="AK393" s="67"/>
      <c r="AL393" s="67"/>
      <c r="AM393" s="67"/>
    </row>
    <row r="394" spans="1:39" ht="72" x14ac:dyDescent="0.2">
      <c r="A394" s="67"/>
      <c r="B394" s="100"/>
      <c r="C394"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4" s="20" t="str">
        <f ca="1">IFERROR(__xludf.DUMMYFUNCTION("""COMPUTED_VALUE"""),"МинЖКХ ""ТОП 5 (1 этап)""")</f>
        <v>МинЖКХ "ТОП 5 (1 этап)"</v>
      </c>
      <c r="E394" s="20" t="str">
        <f ca="1">IFERROR(__xludf.DUMMYFUNCTION("""COMPUTED_VALUE"""),"Строительство сдвоенного газового котла наружного размещения (КНР)  с. Кривандино, ул. Центральная, д. 36 (в т.ч. ПИР, ТП) г.о. Шатура")</f>
        <v>Строительство сдвоенного газового котла наружного размещения (КНР)  с. Кривандино, ул. Центральная, д. 36 (в т.ч. ПИР, ТП) г.о. Шатура</v>
      </c>
      <c r="F394" s="67" t="str">
        <f ca="1">IFERROR(__xludf.DUMMYFUNCTION("""COMPUTED_VALUE"""),"2020-2021")</f>
        <v>2020-2021</v>
      </c>
      <c r="G394" s="67" t="str">
        <f ca="1">IFERROR(__xludf.DUMMYFUNCTION("""COMPUTED_VALUE"""),"г.о. Шатура")</f>
        <v>г.о. Шатура</v>
      </c>
      <c r="H394" s="67" t="str">
        <f ca="1">IFERROR(__xludf.DUMMYFUNCTION("""COMPUTED_VALUE"""),"Котельная")</f>
        <v>Котельная</v>
      </c>
      <c r="I394" s="97">
        <f ca="1">IFERROR(__xludf.DUMMYFUNCTION("""COMPUTED_VALUE"""),0)</f>
        <v>0</v>
      </c>
      <c r="J394" s="67">
        <f ca="1">IFERROR(__xludf.DUMMYFUNCTION("""COMPUTED_VALUE"""),458)</f>
        <v>458</v>
      </c>
      <c r="K394" s="97">
        <f ca="1">IFERROR(__xludf.DUMMYFUNCTION("""COMPUTED_VALUE"""),294)</f>
        <v>294</v>
      </c>
      <c r="L394" s="97">
        <f ca="1">IFERROR(__xludf.DUMMYFUNCTION("""COMPUTED_VALUE"""),0)</f>
        <v>0</v>
      </c>
      <c r="M394" s="97">
        <f ca="1">IFERROR(__xludf.DUMMYFUNCTION("""COMPUTED_VALUE"""),0)</f>
        <v>0</v>
      </c>
      <c r="N394" s="67"/>
      <c r="O394" s="67"/>
      <c r="P394" s="67" t="str">
        <f ca="1">IFERROR(__xludf.DUMMYFUNCTION("""COMPUTED_VALUE"""),"СМР")</f>
        <v>СМР</v>
      </c>
      <c r="Q394" s="67">
        <f t="shared" ca="1" si="0"/>
        <v>0</v>
      </c>
      <c r="R394" s="67"/>
      <c r="S394" s="67"/>
      <c r="T394" s="67"/>
      <c r="U394" s="67"/>
      <c r="V394" s="67"/>
      <c r="W394" s="67"/>
      <c r="X394" s="67"/>
      <c r="Y394" s="67"/>
      <c r="Z394" s="67"/>
      <c r="AA394" s="67"/>
      <c r="AB394" s="67"/>
      <c r="AC394" s="67"/>
      <c r="AD394" s="67"/>
      <c r="AE394" s="67"/>
      <c r="AF394" s="67"/>
      <c r="AG394" s="67"/>
      <c r="AH394" s="67"/>
      <c r="AI394" s="67"/>
      <c r="AJ394" s="67"/>
      <c r="AK394" s="67"/>
      <c r="AL394" s="67"/>
      <c r="AM394" s="67"/>
    </row>
    <row r="395" spans="1:39" ht="72" x14ac:dyDescent="0.2">
      <c r="A395" s="67"/>
      <c r="B395" s="100"/>
      <c r="C395"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5" s="20" t="str">
        <f ca="1">IFERROR(__xludf.DUMMYFUNCTION("""COMPUTED_VALUE"""),"МинЖКХ ""ТОП 5 (1 этап)""")</f>
        <v>МинЖКХ "ТОП 5 (1 этап)"</v>
      </c>
      <c r="E395" s="20" t="str">
        <f ca="1">IFERROR(__xludf.DUMMYFUNCTION("""COMPUTED_VALUE"""),"Строительство сдвоенного газового котла наружного размещения (КНР) д. Голыгино (в т.ч. ПИР, ТП) г.о. Шатура")</f>
        <v>Строительство сдвоенного газового котла наружного размещения (КНР) д. Голыгино (в т.ч. ПИР, ТП) г.о. Шатура</v>
      </c>
      <c r="F395" s="67" t="str">
        <f ca="1">IFERROR(__xludf.DUMMYFUNCTION("""COMPUTED_VALUE"""),"2020-2021")</f>
        <v>2020-2021</v>
      </c>
      <c r="G395" s="67" t="str">
        <f ca="1">IFERROR(__xludf.DUMMYFUNCTION("""COMPUTED_VALUE"""),"г.о. Шатура")</f>
        <v>г.о. Шатура</v>
      </c>
      <c r="H395" s="67" t="str">
        <f ca="1">IFERROR(__xludf.DUMMYFUNCTION("""COMPUTED_VALUE"""),"Котельная")</f>
        <v>Котельная</v>
      </c>
      <c r="I395" s="97">
        <f ca="1">IFERROR(__xludf.DUMMYFUNCTION("""COMPUTED_VALUE"""),0)</f>
        <v>0</v>
      </c>
      <c r="J395" s="67">
        <f ca="1">IFERROR(__xludf.DUMMYFUNCTION("""COMPUTED_VALUE"""),1154.83)</f>
        <v>1154.83</v>
      </c>
      <c r="K395" s="97">
        <f ca="1">IFERROR(__xludf.DUMMYFUNCTION("""COMPUTED_VALUE"""),663.6)</f>
        <v>663.6</v>
      </c>
      <c r="L395" s="97">
        <f ca="1">IFERROR(__xludf.DUMMYFUNCTION("""COMPUTED_VALUE"""),0)</f>
        <v>0</v>
      </c>
      <c r="M395" s="97">
        <f ca="1">IFERROR(__xludf.DUMMYFUNCTION("""COMPUTED_VALUE"""),0)</f>
        <v>0</v>
      </c>
      <c r="N395" s="67"/>
      <c r="O395" s="67"/>
      <c r="P395" s="67" t="str">
        <f ca="1">IFERROR(__xludf.DUMMYFUNCTION("""COMPUTED_VALUE"""),"СМР")</f>
        <v>СМР</v>
      </c>
      <c r="Q395" s="67">
        <f t="shared" ca="1" si="0"/>
        <v>0</v>
      </c>
      <c r="R395" s="67"/>
      <c r="S395" s="67"/>
      <c r="T395" s="67"/>
      <c r="U395" s="67"/>
      <c r="V395" s="67"/>
      <c r="W395" s="67"/>
      <c r="X395" s="67"/>
      <c r="Y395" s="67"/>
      <c r="Z395" s="67"/>
      <c r="AA395" s="67"/>
      <c r="AB395" s="67"/>
      <c r="AC395" s="67"/>
      <c r="AD395" s="67"/>
      <c r="AE395" s="67"/>
      <c r="AF395" s="67"/>
      <c r="AG395" s="67"/>
      <c r="AH395" s="67"/>
      <c r="AI395" s="67"/>
      <c r="AJ395" s="67"/>
      <c r="AK395" s="67"/>
      <c r="AL395" s="67"/>
      <c r="AM395" s="67"/>
    </row>
    <row r="396" spans="1:39" ht="72" x14ac:dyDescent="0.2">
      <c r="A396" s="67"/>
      <c r="B396" s="100"/>
      <c r="C396"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6" s="20" t="str">
        <f ca="1">IFERROR(__xludf.DUMMYFUNCTION("""COMPUTED_VALUE"""),"МинЖКХ ""ТОП 5 (1 этап)""")</f>
        <v>МинЖКХ "ТОП 5 (1 этап)"</v>
      </c>
      <c r="E396" s="20" t="str">
        <f ca="1">IFERROR(__xludf.DUMMYFUNCTION("""COMPUTED_VALUE"""),"Строительство сдвоенного газового котла наружного размещения (КНР) рп. Черусти, Пионерский пр. (в т.ч. ПИР, ТП г.о. Шатура")</f>
        <v>Строительство сдвоенного газового котла наружного размещения (КНР) рп. Черусти, Пионерский пр. (в т.ч. ПИР, ТП г.о. Шатура</v>
      </c>
      <c r="F396" s="67" t="str">
        <f ca="1">IFERROR(__xludf.DUMMYFUNCTION("""COMPUTED_VALUE"""),"2020-2021")</f>
        <v>2020-2021</v>
      </c>
      <c r="G396" s="67" t="str">
        <f ca="1">IFERROR(__xludf.DUMMYFUNCTION("""COMPUTED_VALUE"""),"г.о. Шатура")</f>
        <v>г.о. Шатура</v>
      </c>
      <c r="H396" s="67" t="str">
        <f ca="1">IFERROR(__xludf.DUMMYFUNCTION("""COMPUTED_VALUE"""),"Котельная")</f>
        <v>Котельная</v>
      </c>
      <c r="I396" s="97">
        <f ca="1">IFERROR(__xludf.DUMMYFUNCTION("""COMPUTED_VALUE"""),0)</f>
        <v>0</v>
      </c>
      <c r="J396" s="67">
        <f ca="1">IFERROR(__xludf.DUMMYFUNCTION("""COMPUTED_VALUE"""),823.76)</f>
        <v>823.76</v>
      </c>
      <c r="K396" s="97">
        <f ca="1">IFERROR(__xludf.DUMMYFUNCTION("""COMPUTED_VALUE"""),613.2)</f>
        <v>613.20000000000005</v>
      </c>
      <c r="L396" s="97">
        <f ca="1">IFERROR(__xludf.DUMMYFUNCTION("""COMPUTED_VALUE"""),0)</f>
        <v>0</v>
      </c>
      <c r="M396" s="97">
        <f ca="1">IFERROR(__xludf.DUMMYFUNCTION("""COMPUTED_VALUE"""),0)</f>
        <v>0</v>
      </c>
      <c r="N396" s="67"/>
      <c r="O396" s="67"/>
      <c r="P396" s="67" t="str">
        <f ca="1">IFERROR(__xludf.DUMMYFUNCTION("""COMPUTED_VALUE"""),"СМР")</f>
        <v>СМР</v>
      </c>
      <c r="Q396" s="67">
        <f t="shared" ca="1" si="0"/>
        <v>0</v>
      </c>
      <c r="R396" s="67"/>
      <c r="S396" s="67"/>
      <c r="T396" s="67"/>
      <c r="U396" s="67"/>
      <c r="V396" s="67"/>
      <c r="W396" s="67"/>
      <c r="X396" s="67"/>
      <c r="Y396" s="67"/>
      <c r="Z396" s="67"/>
      <c r="AA396" s="67"/>
      <c r="AB396" s="67"/>
      <c r="AC396" s="67"/>
      <c r="AD396" s="67"/>
      <c r="AE396" s="67"/>
      <c r="AF396" s="67"/>
      <c r="AG396" s="67"/>
      <c r="AH396" s="67"/>
      <c r="AI396" s="67"/>
      <c r="AJ396" s="67"/>
      <c r="AK396" s="67"/>
      <c r="AL396" s="67"/>
      <c r="AM396" s="67"/>
    </row>
    <row r="397" spans="1:39" ht="72" x14ac:dyDescent="0.2">
      <c r="A397" s="67"/>
      <c r="B397" s="100"/>
      <c r="C397"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7" s="20" t="str">
        <f ca="1">IFERROR(__xludf.DUMMYFUNCTION("""COMPUTED_VALUE"""),"МинЖКХ ""ТОП 5 (1 этап)""")</f>
        <v>МинЖКХ "ТОП 5 (1 этап)"</v>
      </c>
      <c r="E397" s="20" t="str">
        <f ca="1">IFERROR(__xludf.DUMMYFUNCTION("""COMPUTED_VALUE"""),"Строительство сдвоенного газового котла наружного размещения (КНР) рп. Черусти, ул. Вокзальная, д.12 (в т.ч. ПИР, ТП) г.о. Шатура")</f>
        <v>Строительство сдвоенного газового котла наружного размещения (КНР) рп. Черусти, ул. Вокзальная, д.12 (в т.ч. ПИР, ТП) г.о. Шатура</v>
      </c>
      <c r="F397" s="67" t="str">
        <f ca="1">IFERROR(__xludf.DUMMYFUNCTION("""COMPUTED_VALUE"""),"2020-2021")</f>
        <v>2020-2021</v>
      </c>
      <c r="G397" s="67" t="str">
        <f ca="1">IFERROR(__xludf.DUMMYFUNCTION("""COMPUTED_VALUE"""),"г.о. Шатура")</f>
        <v>г.о. Шатура</v>
      </c>
      <c r="H397" s="67" t="str">
        <f ca="1">IFERROR(__xludf.DUMMYFUNCTION("""COMPUTED_VALUE"""),"Котельная")</f>
        <v>Котельная</v>
      </c>
      <c r="I397" s="97">
        <f ca="1">IFERROR(__xludf.DUMMYFUNCTION("""COMPUTED_VALUE"""),0)</f>
        <v>0</v>
      </c>
      <c r="J397" s="67">
        <f ca="1">IFERROR(__xludf.DUMMYFUNCTION("""COMPUTED_VALUE"""),633.89)</f>
        <v>633.89</v>
      </c>
      <c r="K397" s="97">
        <f ca="1">IFERROR(__xludf.DUMMYFUNCTION("""COMPUTED_VALUE"""),277.2)</f>
        <v>277.2</v>
      </c>
      <c r="L397" s="97">
        <f ca="1">IFERROR(__xludf.DUMMYFUNCTION("""COMPUTED_VALUE"""),0)</f>
        <v>0</v>
      </c>
      <c r="M397" s="97">
        <f ca="1">IFERROR(__xludf.DUMMYFUNCTION("""COMPUTED_VALUE"""),0)</f>
        <v>0</v>
      </c>
      <c r="N397" s="67"/>
      <c r="O397" s="67"/>
      <c r="P397" s="67" t="str">
        <f ca="1">IFERROR(__xludf.DUMMYFUNCTION("""COMPUTED_VALUE"""),"СМР")</f>
        <v>СМР</v>
      </c>
      <c r="Q397" s="67">
        <f t="shared" ca="1" si="0"/>
        <v>0</v>
      </c>
      <c r="R397" s="67"/>
      <c r="S397" s="67"/>
      <c r="T397" s="67"/>
      <c r="U397" s="67"/>
      <c r="V397" s="67"/>
      <c r="W397" s="67"/>
      <c r="X397" s="67"/>
      <c r="Y397" s="67"/>
      <c r="Z397" s="67"/>
      <c r="AA397" s="67"/>
      <c r="AB397" s="67"/>
      <c r="AC397" s="67"/>
      <c r="AD397" s="67"/>
      <c r="AE397" s="67"/>
      <c r="AF397" s="67"/>
      <c r="AG397" s="67"/>
      <c r="AH397" s="67"/>
      <c r="AI397" s="67"/>
      <c r="AJ397" s="67"/>
      <c r="AK397" s="67"/>
      <c r="AL397" s="67"/>
      <c r="AM397" s="67"/>
    </row>
    <row r="398" spans="1:39" ht="72" x14ac:dyDescent="0.2">
      <c r="A398" s="67"/>
      <c r="B398" s="100"/>
      <c r="C398"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8" s="20" t="str">
        <f ca="1">IFERROR(__xludf.DUMMYFUNCTION("""COMPUTED_VALUE"""),"МинЖКХ ""ТОП 5 (1 этап)""")</f>
        <v>МинЖКХ "ТОП 5 (1 этап)"</v>
      </c>
      <c r="E398" s="20" t="str">
        <f ca="1">IFERROR(__xludf.DUMMYFUNCTION("""COMPUTED_VALUE"""),"Строительство сдвоенного газового котла наружного размещения (КНР) рп. Черусти, ул. М.Горького 3 (в т.ч. ПИР, ТП)  г.о. Шатура")</f>
        <v>Строительство сдвоенного газового котла наружного размещения (КНР) рп. Черусти, ул. М.Горького 3 (в т.ч. ПИР, ТП)  г.о. Шатура</v>
      </c>
      <c r="F398" s="67" t="str">
        <f ca="1">IFERROR(__xludf.DUMMYFUNCTION("""COMPUTED_VALUE"""),"2020-2021")</f>
        <v>2020-2021</v>
      </c>
      <c r="G398" s="67" t="str">
        <f ca="1">IFERROR(__xludf.DUMMYFUNCTION("""COMPUTED_VALUE"""),"г.о. Шатура")</f>
        <v>г.о. Шатура</v>
      </c>
      <c r="H398" s="67" t="str">
        <f ca="1">IFERROR(__xludf.DUMMYFUNCTION("""COMPUTED_VALUE"""),"Котельная")</f>
        <v>Котельная</v>
      </c>
      <c r="I398" s="97">
        <f ca="1">IFERROR(__xludf.DUMMYFUNCTION("""COMPUTED_VALUE"""),0)</f>
        <v>0</v>
      </c>
      <c r="J398" s="67">
        <f ca="1">IFERROR(__xludf.DUMMYFUNCTION("""COMPUTED_VALUE"""),591.88)</f>
        <v>591.88</v>
      </c>
      <c r="K398" s="97">
        <f ca="1">IFERROR(__xludf.DUMMYFUNCTION("""COMPUTED_VALUE"""),277.2)</f>
        <v>277.2</v>
      </c>
      <c r="L398" s="97">
        <f ca="1">IFERROR(__xludf.DUMMYFUNCTION("""COMPUTED_VALUE"""),0)</f>
        <v>0</v>
      </c>
      <c r="M398" s="97">
        <f ca="1">IFERROR(__xludf.DUMMYFUNCTION("""COMPUTED_VALUE"""),0)</f>
        <v>0</v>
      </c>
      <c r="N398" s="67"/>
      <c r="O398" s="67"/>
      <c r="P398" s="67" t="str">
        <f ca="1">IFERROR(__xludf.DUMMYFUNCTION("""COMPUTED_VALUE"""),"СМР")</f>
        <v>СМР</v>
      </c>
      <c r="Q398" s="67">
        <f t="shared" ca="1" si="0"/>
        <v>0</v>
      </c>
      <c r="R398" s="67"/>
      <c r="S398" s="67"/>
      <c r="T398" s="67"/>
      <c r="U398" s="67"/>
      <c r="V398" s="67"/>
      <c r="W398" s="67"/>
      <c r="X398" s="67"/>
      <c r="Y398" s="67"/>
      <c r="Z398" s="67"/>
      <c r="AA398" s="67"/>
      <c r="AB398" s="67"/>
      <c r="AC398" s="67"/>
      <c r="AD398" s="67"/>
      <c r="AE398" s="67"/>
      <c r="AF398" s="67"/>
      <c r="AG398" s="67"/>
      <c r="AH398" s="67"/>
      <c r="AI398" s="67"/>
      <c r="AJ398" s="67"/>
      <c r="AK398" s="67"/>
      <c r="AL398" s="67"/>
      <c r="AM398" s="67"/>
    </row>
    <row r="399" spans="1:39" ht="72" x14ac:dyDescent="0.2">
      <c r="A399" s="67"/>
      <c r="B399" s="100"/>
      <c r="C399" s="20"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9" s="20" t="str">
        <f ca="1">IFERROR(__xludf.DUMMYFUNCTION("""COMPUTED_VALUE"""),"МинЖКХ ""ТОП 5 (1 этап)""")</f>
        <v>МинЖКХ "ТОП 5 (1 этап)"</v>
      </c>
      <c r="E399" s="20" t="str">
        <f ca="1">IFERROR(__xludf.DUMMYFUNCTION("""COMPUTED_VALUE"""),"Строительство сдвоенного газового котла наружного размещения (КНР) с. Власово (в т.ч. ПИР, ТП) г.о. Шатура")</f>
        <v>Строительство сдвоенного газового котла наружного размещения (КНР) с. Власово (в т.ч. ПИР, ТП) г.о. Шатура</v>
      </c>
      <c r="F399" s="67" t="str">
        <f ca="1">IFERROR(__xludf.DUMMYFUNCTION("""COMPUTED_VALUE"""),"2020-2021")</f>
        <v>2020-2021</v>
      </c>
      <c r="G399" s="67" t="str">
        <f ca="1">IFERROR(__xludf.DUMMYFUNCTION("""COMPUTED_VALUE"""),"г.о. Шатура")</f>
        <v>г.о. Шатура</v>
      </c>
      <c r="H399" s="67" t="str">
        <f ca="1">IFERROR(__xludf.DUMMYFUNCTION("""COMPUTED_VALUE"""),"Котельная")</f>
        <v>Котельная</v>
      </c>
      <c r="I399" s="97">
        <f ca="1">IFERROR(__xludf.DUMMYFUNCTION("""COMPUTED_VALUE"""),0)</f>
        <v>0</v>
      </c>
      <c r="J399" s="67">
        <f ca="1">IFERROR(__xludf.DUMMYFUNCTION("""COMPUTED_VALUE"""),1274.84)</f>
        <v>1274.8399999999999</v>
      </c>
      <c r="K399" s="97">
        <f ca="1">IFERROR(__xludf.DUMMYFUNCTION("""COMPUTED_VALUE"""),655.2)</f>
        <v>655.20000000000005</v>
      </c>
      <c r="L399" s="97">
        <f ca="1">IFERROR(__xludf.DUMMYFUNCTION("""COMPUTED_VALUE"""),0)</f>
        <v>0</v>
      </c>
      <c r="M399" s="97">
        <f ca="1">IFERROR(__xludf.DUMMYFUNCTION("""COMPUTED_VALUE"""),0)</f>
        <v>0</v>
      </c>
      <c r="N399" s="67"/>
      <c r="O399" s="67"/>
      <c r="P399" s="67" t="str">
        <f ca="1">IFERROR(__xludf.DUMMYFUNCTION("""COMPUTED_VALUE"""),"СМР")</f>
        <v>СМР</v>
      </c>
      <c r="Q399" s="67">
        <f t="shared" ca="1" si="0"/>
        <v>0</v>
      </c>
      <c r="R399" s="67"/>
      <c r="S399" s="67"/>
      <c r="T399" s="67"/>
      <c r="U399" s="67"/>
      <c r="V399" s="67"/>
      <c r="W399" s="67"/>
      <c r="X399" s="67"/>
      <c r="Y399" s="67"/>
      <c r="Z399" s="67"/>
      <c r="AA399" s="67"/>
      <c r="AB399" s="67"/>
      <c r="AC399" s="67"/>
      <c r="AD399" s="67"/>
      <c r="AE399" s="67"/>
      <c r="AF399" s="67"/>
      <c r="AG399" s="67"/>
      <c r="AH399" s="67"/>
      <c r="AI399" s="67"/>
      <c r="AJ399" s="67"/>
      <c r="AK399" s="67"/>
      <c r="AL399" s="67"/>
      <c r="AM399" s="67"/>
    </row>
    <row r="400" spans="1:39" ht="84" x14ac:dyDescent="0.2">
      <c r="A400" s="67"/>
      <c r="B400" s="100"/>
      <c r="C400"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00" s="20" t="str">
        <f ca="1">IFERROR(__xludf.DUMMYFUNCTION("""COMPUTED_VALUE"""),"МинЖКХ")</f>
        <v>МинЖКХ</v>
      </c>
      <c r="E400" s="20" t="str">
        <f ca="1">IFERROR(__xludf.DUMMYFUNCTION("""COMPUTED_VALUE"""),"Капитальный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f>
        <v xml:space="preserve">Капитальный ремонт системы водоснабжения г.о. Орехово-Зуево для потребления из источников "Восточной Системы Водоснабжения" филиала ГУП МО "Коммунальные системы Московской области" </v>
      </c>
      <c r="F400" s="67">
        <f ca="1">IFERROR(__xludf.DUMMYFUNCTION("""COMPUTED_VALUE"""),2020)</f>
        <v>2020</v>
      </c>
      <c r="G400" s="67" t="str">
        <f ca="1">IFERROR(__xludf.DUMMYFUNCTION("""COMPUTED_VALUE"""),"г.о. Орехово-Зуево")</f>
        <v>г.о. Орехово-Зуево</v>
      </c>
      <c r="H400" s="67" t="str">
        <f ca="1">IFERROR(__xludf.DUMMYFUNCTION("""COMPUTED_VALUE"""),"Сети")</f>
        <v>Сети</v>
      </c>
      <c r="I400" s="97">
        <f ca="1">IFERROR(__xludf.DUMMYFUNCTION("""COMPUTED_VALUE"""),0)</f>
        <v>0</v>
      </c>
      <c r="J400" s="97">
        <f ca="1">IFERROR(__xludf.DUMMYFUNCTION("""COMPUTED_VALUE"""),265835.15)</f>
        <v>265835.15000000002</v>
      </c>
      <c r="K400" s="97">
        <f ca="1">IFERROR(__xludf.DUMMYFUNCTION("""COMPUTED_VALUE"""),15302.32)</f>
        <v>15302.32</v>
      </c>
      <c r="L400" s="97">
        <f ca="1">IFERROR(__xludf.DUMMYFUNCTION("""COMPUTED_VALUE"""),0)</f>
        <v>0</v>
      </c>
      <c r="M400" s="97">
        <f ca="1">IFERROR(__xludf.DUMMYFUNCTION("""COMPUTED_VALUE"""),0)</f>
        <v>0</v>
      </c>
      <c r="N400" s="67"/>
      <c r="O400" s="67"/>
      <c r="P400" s="67" t="str">
        <f ca="1">IFERROR(__xludf.DUMMYFUNCTION("""COMPUTED_VALUE"""),"СМР")</f>
        <v>СМР</v>
      </c>
      <c r="Q400" s="67">
        <f t="shared" ca="1" si="0"/>
        <v>0</v>
      </c>
      <c r="R400" s="67"/>
      <c r="S400" s="67"/>
      <c r="T400" s="67"/>
      <c r="U400" s="67"/>
      <c r="V400" s="67"/>
      <c r="W400" s="67"/>
      <c r="X400" s="67"/>
      <c r="Y400" s="67"/>
      <c r="Z400" s="67"/>
      <c r="AA400" s="67"/>
      <c r="AB400" s="67"/>
      <c r="AC400" s="67"/>
      <c r="AD400" s="67"/>
      <c r="AE400" s="67"/>
      <c r="AF400" s="67"/>
      <c r="AG400" s="67"/>
      <c r="AH400" s="67"/>
      <c r="AI400" s="67"/>
      <c r="AJ400" s="67"/>
      <c r="AK400" s="67"/>
      <c r="AL400" s="67"/>
      <c r="AM400" s="67"/>
    </row>
    <row r="401" spans="1:39" ht="96" x14ac:dyDescent="0.2">
      <c r="A401" s="67"/>
      <c r="B401" s="100"/>
      <c r="C401"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1" s="20" t="str">
        <f ca="1">IFERROR(__xludf.DUMMYFUNCTION("""COMPUTED_VALUE"""),"МинЖКХ")</f>
        <v>МинЖКХ</v>
      </c>
      <c r="E401" s="20" t="str">
        <f ca="1">IFERROR(__xludf.DUMMYFUNCTION("""COMPUTED_VALUE"""),"Строительство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f>
        <v>Строительство блочно-модульной котельной для ГАУ СО МО "Ступинский комплексный центр социального обслуживания населения" по адресу: Ступинский муниципальный район, с. Липитино, ул. Клубная  (ПИР)</v>
      </c>
      <c r="F401" s="67" t="str">
        <f ca="1">IFERROR(__xludf.DUMMYFUNCTION("""COMPUTED_VALUE"""),"2020-2021")</f>
        <v>2020-2021</v>
      </c>
      <c r="G401" s="67" t="str">
        <f ca="1">IFERROR(__xludf.DUMMYFUNCTION("""COMPUTED_VALUE"""),"МОС АВС")</f>
        <v>МОС АВС</v>
      </c>
      <c r="H401" s="67" t="str">
        <f ca="1">IFERROR(__xludf.DUMMYFUNCTION("""COMPUTED_VALUE"""),"БМК")</f>
        <v>БМК</v>
      </c>
      <c r="I401" s="97">
        <f ca="1">IFERROR(__xludf.DUMMYFUNCTION("""COMPUTED_VALUE"""),0)</f>
        <v>0</v>
      </c>
      <c r="J401" s="67"/>
      <c r="K401" s="97">
        <f ca="1">IFERROR(__xludf.DUMMYFUNCTION("""COMPUTED_VALUE"""),0)</f>
        <v>0</v>
      </c>
      <c r="L401" s="97">
        <f ca="1">IFERROR(__xludf.DUMMYFUNCTION("""COMPUTED_VALUE"""),0)</f>
        <v>0</v>
      </c>
      <c r="M401" s="97">
        <f ca="1">IFERROR(__xludf.DUMMYFUNCTION("""COMPUTED_VALUE"""),0)</f>
        <v>0</v>
      </c>
      <c r="N401" s="67"/>
      <c r="O401" s="67"/>
      <c r="P401" s="67" t="str">
        <f ca="1">IFERROR(__xludf.DUMMYFUNCTION("""COMPUTED_VALUE"""),"ПИР")</f>
        <v>ПИР</v>
      </c>
      <c r="Q401" s="67" t="e">
        <f t="shared" ca="1" si="0"/>
        <v>#DIV/0!</v>
      </c>
      <c r="R401" s="67"/>
      <c r="S401" s="67"/>
      <c r="T401" s="67"/>
      <c r="U401" s="67"/>
      <c r="V401" s="67"/>
      <c r="W401" s="67"/>
      <c r="X401" s="67"/>
      <c r="Y401" s="67"/>
      <c r="Z401" s="67"/>
      <c r="AA401" s="67"/>
      <c r="AB401" s="67"/>
      <c r="AC401" s="67"/>
      <c r="AD401" s="67"/>
      <c r="AE401" s="67"/>
      <c r="AF401" s="67"/>
      <c r="AG401" s="67"/>
      <c r="AH401" s="67"/>
      <c r="AI401" s="67"/>
      <c r="AJ401" s="67"/>
      <c r="AK401" s="67"/>
      <c r="AL401" s="67"/>
      <c r="AM401" s="67"/>
    </row>
    <row r="402" spans="1:39" ht="144" x14ac:dyDescent="0.2">
      <c r="A402" s="67"/>
      <c r="B402" s="100"/>
      <c r="C402"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2" s="20" t="str">
        <f ca="1">IFERROR(__xludf.DUMMYFUNCTION("""COMPUTED_VALUE"""),"МинЖКХ")</f>
        <v>МинЖКХ</v>
      </c>
      <c r="E402" s="20" t="str">
        <f ca="1">IFERROR(__xludf.DUMMYFUNCTION("""COMPUTED_VALUE"""),"Строительство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(городско"&amp;"й округ Егорьевск)  (в том числе ПИР)")</f>
        <v>Строительство блочно-модульной котельной для ГБСУ СО МО "Колычевский психоневрологический интернат" и ГБУ СО МО "Егорьевский дом-интернат для престарелых и инвалидов" по адресу: Егорьевский муниципальный район, д. Колычево, ул. З. Самсоновой (городской округ Егорьевск)  (в том числе ПИР)</v>
      </c>
      <c r="F402" s="67" t="str">
        <f ca="1">IFERROR(__xludf.DUMMYFUNCTION("""COMPUTED_VALUE"""),"2020-2021")</f>
        <v>2020-2021</v>
      </c>
      <c r="G402" s="67" t="str">
        <f ca="1">IFERROR(__xludf.DUMMYFUNCTION("""COMPUTED_VALUE"""),"МОС АВС")</f>
        <v>МОС АВС</v>
      </c>
      <c r="H402" s="67" t="str">
        <f ca="1">IFERROR(__xludf.DUMMYFUNCTION("""COMPUTED_VALUE"""),"БМК")</f>
        <v>БМК</v>
      </c>
      <c r="I402" s="97">
        <f ca="1">IFERROR(__xludf.DUMMYFUNCTION("""COMPUTED_VALUE"""),36215.89)</f>
        <v>36215.89</v>
      </c>
      <c r="J402" s="67"/>
      <c r="K402" s="97">
        <f ca="1">IFERROR(__xludf.DUMMYFUNCTION("""COMPUTED_VALUE"""),0)</f>
        <v>0</v>
      </c>
      <c r="L402" s="97">
        <f ca="1">IFERROR(__xludf.DUMMYFUNCTION("""COMPUTED_VALUE"""),0)</f>
        <v>0</v>
      </c>
      <c r="M402" s="97">
        <f ca="1">IFERROR(__xludf.DUMMYFUNCTION("""COMPUTED_VALUE"""),0)</f>
        <v>0</v>
      </c>
      <c r="N402" s="67"/>
      <c r="O402" s="67"/>
      <c r="P402" s="67" t="str">
        <f ca="1">IFERROR(__xludf.DUMMYFUNCTION("""COMPUTED_VALUE"""),"СМР")</f>
        <v>СМР</v>
      </c>
      <c r="Q402" s="67" t="e">
        <f t="shared" ca="1" si="0"/>
        <v>#DIV/0!</v>
      </c>
      <c r="R402" s="67"/>
      <c r="S402" s="67"/>
      <c r="T402" s="67"/>
      <c r="U402" s="67"/>
      <c r="V402" s="67"/>
      <c r="W402" s="67"/>
      <c r="X402" s="67"/>
      <c r="Y402" s="67"/>
      <c r="Z402" s="67"/>
      <c r="AA402" s="67"/>
      <c r="AB402" s="67"/>
      <c r="AC402" s="67"/>
      <c r="AD402" s="67"/>
      <c r="AE402" s="67"/>
      <c r="AF402" s="67"/>
      <c r="AG402" s="67"/>
      <c r="AH402" s="67"/>
      <c r="AI402" s="67"/>
      <c r="AJ402" s="67"/>
      <c r="AK402" s="67"/>
      <c r="AL402" s="67"/>
      <c r="AM402" s="67"/>
    </row>
    <row r="403" spans="1:39" ht="108" x14ac:dyDescent="0.2">
      <c r="A403" s="67"/>
      <c r="B403" s="100"/>
      <c r="C403"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3" s="20" t="str">
        <f ca="1">IFERROR(__xludf.DUMMYFUNCTION("""COMPUTED_VALUE"""),"МинЖКХ")</f>
        <v>МинЖКХ</v>
      </c>
      <c r="E403" s="20" t="str">
        <f ca="1">IFERROR(__xludf.DUMMYFUNCTION("""COMPUTED_VALUE"""),"Строительство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f>
        <v>Строительство блочно-модульной котельной для ГБСУ СО МО "Талдомский дом-интернат малой вместимости для граждан пожилого возраста и инвалидов "Березка" по адресу: Талдомский муниципальный район, п. Вербилки, ул. Пушкина, д. 18  (ПИР)</v>
      </c>
      <c r="F403" s="67" t="str">
        <f ca="1">IFERROR(__xludf.DUMMYFUNCTION("""COMPUTED_VALUE"""),"2020-2022")</f>
        <v>2020-2022</v>
      </c>
      <c r="G403" s="67" t="str">
        <f ca="1">IFERROR(__xludf.DUMMYFUNCTION("""COMPUTED_VALUE"""),"МОС АВС")</f>
        <v>МОС АВС</v>
      </c>
      <c r="H403" s="67" t="str">
        <f ca="1">IFERROR(__xludf.DUMMYFUNCTION("""COMPUTED_VALUE"""),"БМК")</f>
        <v>БМК</v>
      </c>
      <c r="I403" s="97">
        <f ca="1">IFERROR(__xludf.DUMMYFUNCTION("""COMPUTED_VALUE"""),66.23)</f>
        <v>66.23</v>
      </c>
      <c r="J403" s="67"/>
      <c r="K403" s="97">
        <f ca="1">IFERROR(__xludf.DUMMYFUNCTION("""COMPUTED_VALUE"""),0)</f>
        <v>0</v>
      </c>
      <c r="L403" s="97">
        <f ca="1">IFERROR(__xludf.DUMMYFUNCTION("""COMPUTED_VALUE"""),0)</f>
        <v>0</v>
      </c>
      <c r="M403" s="97">
        <f ca="1">IFERROR(__xludf.DUMMYFUNCTION("""COMPUTED_VALUE"""),0)</f>
        <v>0</v>
      </c>
      <c r="N403" s="67"/>
      <c r="O403" s="67"/>
      <c r="P403" s="67" t="str">
        <f ca="1">IFERROR(__xludf.DUMMYFUNCTION("""COMPUTED_VALUE"""),"ПИР")</f>
        <v>ПИР</v>
      </c>
      <c r="Q403" s="67" t="e">
        <f t="shared" ca="1" si="0"/>
        <v>#DIV/0!</v>
      </c>
      <c r="R403" s="67"/>
      <c r="S403" s="67"/>
      <c r="T403" s="67"/>
      <c r="U403" s="67"/>
      <c r="V403" s="67"/>
      <c r="W403" s="67"/>
      <c r="X403" s="67"/>
      <c r="Y403" s="67"/>
      <c r="Z403" s="67"/>
      <c r="AA403" s="67"/>
      <c r="AB403" s="67"/>
      <c r="AC403" s="67"/>
      <c r="AD403" s="67"/>
      <c r="AE403" s="67"/>
      <c r="AF403" s="67"/>
      <c r="AG403" s="67"/>
      <c r="AH403" s="67"/>
      <c r="AI403" s="67"/>
      <c r="AJ403" s="67"/>
      <c r="AK403" s="67"/>
      <c r="AL403" s="67"/>
      <c r="AM403" s="67"/>
    </row>
    <row r="404" spans="1:39" ht="96" x14ac:dyDescent="0.2">
      <c r="A404" s="67"/>
      <c r="B404" s="100"/>
      <c r="C404"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4" s="20" t="str">
        <f ca="1">IFERROR(__xludf.DUMMYFUNCTION("""COMPUTED_VALUE"""),"МинЖКХ")</f>
        <v>МинЖКХ</v>
      </c>
      <c r="E404" s="20" t="str">
        <f ca="1">IFERROR(__xludf.DUMMYFUNCTION("""COMPUTED_VALUE"""),"Строительство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f>
        <v>Строительство блочно-модульной котельной для ГБСУ СО Московской области "Островский психоневрологический интернат" по адресу: Ленинский муниципальный район, п/о Молоково, с. Остров  (ПИР)</v>
      </c>
      <c r="F404" s="67" t="str">
        <f ca="1">IFERROR(__xludf.DUMMYFUNCTION("""COMPUTED_VALUE"""),"2020-2021")</f>
        <v>2020-2021</v>
      </c>
      <c r="G404" s="67" t="str">
        <f ca="1">IFERROR(__xludf.DUMMYFUNCTION("""COMPUTED_VALUE"""),"МОС АВС")</f>
        <v>МОС АВС</v>
      </c>
      <c r="H404" s="67" t="str">
        <f ca="1">IFERROR(__xludf.DUMMYFUNCTION("""COMPUTED_VALUE"""),"БМК")</f>
        <v>БМК</v>
      </c>
      <c r="I404" s="97">
        <f ca="1">IFERROR(__xludf.DUMMYFUNCTION("""COMPUTED_VALUE"""),99.88)</f>
        <v>99.88</v>
      </c>
      <c r="J404" s="67"/>
      <c r="K404" s="97">
        <f ca="1">IFERROR(__xludf.DUMMYFUNCTION("""COMPUTED_VALUE"""),0)</f>
        <v>0</v>
      </c>
      <c r="L404" s="97">
        <f ca="1">IFERROR(__xludf.DUMMYFUNCTION("""COMPUTED_VALUE"""),0)</f>
        <v>0</v>
      </c>
      <c r="M404" s="97">
        <f ca="1">IFERROR(__xludf.DUMMYFUNCTION("""COMPUTED_VALUE"""),0)</f>
        <v>0</v>
      </c>
      <c r="N404" s="67"/>
      <c r="O404" s="67"/>
      <c r="P404" s="67" t="str">
        <f ca="1">IFERROR(__xludf.DUMMYFUNCTION("""COMPUTED_VALUE"""),"ПИР")</f>
        <v>ПИР</v>
      </c>
      <c r="Q404" s="67" t="e">
        <f t="shared" ca="1" si="0"/>
        <v>#DIV/0!</v>
      </c>
      <c r="R404" s="67"/>
      <c r="S404" s="67"/>
      <c r="T404" s="67"/>
      <c r="U404" s="67"/>
      <c r="V404" s="67"/>
      <c r="W404" s="67"/>
      <c r="X404" s="67"/>
      <c r="Y404" s="67"/>
      <c r="Z404" s="67"/>
      <c r="AA404" s="67"/>
      <c r="AB404" s="67"/>
      <c r="AC404" s="67"/>
      <c r="AD404" s="67"/>
      <c r="AE404" s="67"/>
      <c r="AF404" s="67"/>
      <c r="AG404" s="67"/>
      <c r="AH404" s="67"/>
      <c r="AI404" s="67"/>
      <c r="AJ404" s="67"/>
      <c r="AK404" s="67"/>
      <c r="AL404" s="67"/>
      <c r="AM404" s="67"/>
    </row>
    <row r="405" spans="1:39" ht="84" x14ac:dyDescent="0.2">
      <c r="A405" s="67"/>
      <c r="B405" s="100"/>
      <c r="C405"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5" s="20" t="str">
        <f ca="1">IFERROR(__xludf.DUMMYFUNCTION("""COMPUTED_VALUE"""),"МинЖКХ")</f>
        <v>МинЖКХ</v>
      </c>
      <c r="E405" s="20" t="str">
        <f ca="1">IFERROR(__xludf.DUMMYFUNCTION("""COMPUTED_VALUE"""),"Строительство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f>
        <v>Строительство блочно-модульной котельной для ГБСУ СОН МО "Денежниковский психоневрологический интернат" по адресу: Раменский муниципальный район, п. Денежниково, д. 24  ( ПИР)</v>
      </c>
      <c r="F405" s="67" t="str">
        <f ca="1">IFERROR(__xludf.DUMMYFUNCTION("""COMPUTED_VALUE"""),"2020-2021")</f>
        <v>2020-2021</v>
      </c>
      <c r="G405" s="67" t="str">
        <f ca="1">IFERROR(__xludf.DUMMYFUNCTION("""COMPUTED_VALUE"""),"МОС АВС")</f>
        <v>МОС АВС</v>
      </c>
      <c r="H405" s="67" t="str">
        <f ca="1">IFERROR(__xludf.DUMMYFUNCTION("""COMPUTED_VALUE"""),"БМК")</f>
        <v>БМК</v>
      </c>
      <c r="I405" s="97">
        <f ca="1">IFERROR(__xludf.DUMMYFUNCTION("""COMPUTED_VALUE"""),0)</f>
        <v>0</v>
      </c>
      <c r="J405" s="67"/>
      <c r="K405" s="97">
        <f ca="1">IFERROR(__xludf.DUMMYFUNCTION("""COMPUTED_VALUE"""),0)</f>
        <v>0</v>
      </c>
      <c r="L405" s="97">
        <f ca="1">IFERROR(__xludf.DUMMYFUNCTION("""COMPUTED_VALUE"""),0)</f>
        <v>0</v>
      </c>
      <c r="M405" s="97">
        <f ca="1">IFERROR(__xludf.DUMMYFUNCTION("""COMPUTED_VALUE"""),0)</f>
        <v>0</v>
      </c>
      <c r="N405" s="67"/>
      <c r="O405" s="67"/>
      <c r="P405" s="67" t="str">
        <f ca="1">IFERROR(__xludf.DUMMYFUNCTION("""COMPUTED_VALUE"""),"ПИР")</f>
        <v>ПИР</v>
      </c>
      <c r="Q405" s="67" t="e">
        <f t="shared" ca="1" si="0"/>
        <v>#DIV/0!</v>
      </c>
      <c r="R405" s="67"/>
      <c r="S405" s="67"/>
      <c r="T405" s="67"/>
      <c r="U405" s="67"/>
      <c r="V405" s="67"/>
      <c r="W405" s="67"/>
      <c r="X405" s="67"/>
      <c r="Y405" s="67"/>
      <c r="Z405" s="67"/>
      <c r="AA405" s="67"/>
      <c r="AB405" s="67"/>
      <c r="AC405" s="67"/>
      <c r="AD405" s="67"/>
      <c r="AE405" s="67"/>
      <c r="AF405" s="67"/>
      <c r="AG405" s="67"/>
      <c r="AH405" s="67"/>
      <c r="AI405" s="67"/>
      <c r="AJ405" s="67"/>
      <c r="AK405" s="67"/>
      <c r="AL405" s="67"/>
      <c r="AM405" s="67"/>
    </row>
    <row r="406" spans="1:39" ht="120" x14ac:dyDescent="0.2">
      <c r="A406" s="67"/>
      <c r="B406" s="96"/>
      <c r="C406"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6" s="20" t="str">
        <f ca="1">IFERROR(__xludf.DUMMYFUNCTION("""COMPUTED_VALUE"""),"МинЖКХ")</f>
        <v>МинЖКХ</v>
      </c>
      <c r="E406" s="20" t="str">
        <f ca="1">IFERROR(__xludf.DUMMYFUNCTION("""COMPUTED_VALUE"""),"Строительство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f>
        <v>Строительство блочно-модульной котельной для ГБУЗ МО "Можайская центральная районная больница" филиал "Клементьевская участковая больница" по адресу: Можайский муниципальный район, Клементьевское сельское поселение, д. Клементьево  (в том числе ПИР)</v>
      </c>
      <c r="F406" s="67" t="str">
        <f ca="1">IFERROR(__xludf.DUMMYFUNCTION("""COMPUTED_VALUE"""),"2020-2022")</f>
        <v>2020-2022</v>
      </c>
      <c r="G406" s="67" t="str">
        <f ca="1">IFERROR(__xludf.DUMMYFUNCTION("""COMPUTED_VALUE"""),"МОС АВС")</f>
        <v>МОС АВС</v>
      </c>
      <c r="H406" s="67" t="str">
        <f ca="1">IFERROR(__xludf.DUMMYFUNCTION("""COMPUTED_VALUE"""),"БМК")</f>
        <v>БМК</v>
      </c>
      <c r="I406" s="97">
        <f ca="1">IFERROR(__xludf.DUMMYFUNCTION("""COMPUTED_VALUE"""),0)</f>
        <v>0</v>
      </c>
      <c r="J406" s="67"/>
      <c r="K406" s="97">
        <f ca="1">IFERROR(__xludf.DUMMYFUNCTION("""COMPUTED_VALUE"""),0)</f>
        <v>0</v>
      </c>
      <c r="L406" s="97">
        <f ca="1">IFERROR(__xludf.DUMMYFUNCTION("""COMPUTED_VALUE"""),0)</f>
        <v>0</v>
      </c>
      <c r="M406" s="97">
        <f ca="1">IFERROR(__xludf.DUMMYFUNCTION("""COMPUTED_VALUE"""),0)</f>
        <v>0</v>
      </c>
      <c r="N406" s="67"/>
      <c r="O406" s="67"/>
      <c r="P406" s="67" t="str">
        <f ca="1">IFERROR(__xludf.DUMMYFUNCTION("""COMPUTED_VALUE"""),"ПИР")</f>
        <v>ПИР</v>
      </c>
      <c r="Q406" s="67" t="e">
        <f t="shared" ca="1" si="0"/>
        <v>#DIV/0!</v>
      </c>
      <c r="R406" s="67"/>
      <c r="S406" s="67"/>
      <c r="T406" s="67"/>
      <c r="U406" s="67"/>
      <c r="V406" s="67"/>
      <c r="W406" s="67"/>
      <c r="X406" s="67"/>
      <c r="Y406" s="67"/>
      <c r="Z406" s="67"/>
      <c r="AA406" s="67"/>
      <c r="AB406" s="67"/>
      <c r="AC406" s="67"/>
      <c r="AD406" s="67"/>
      <c r="AE406" s="67"/>
      <c r="AF406" s="67"/>
      <c r="AG406" s="67"/>
      <c r="AH406" s="67"/>
      <c r="AI406" s="67"/>
      <c r="AJ406" s="67"/>
      <c r="AK406" s="67"/>
      <c r="AL406" s="67"/>
      <c r="AM406" s="67"/>
    </row>
    <row r="407" spans="1:39" ht="84" hidden="1" x14ac:dyDescent="0.2">
      <c r="A407" s="67"/>
      <c r="B407" s="100"/>
      <c r="C407"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07" s="20" t="str">
        <f ca="1">IFERROR(__xludf.DUMMYFUNCTION("""COMPUTED_VALUE"""),"МинЖКХ")</f>
        <v>МинЖКХ</v>
      </c>
      <c r="E407" s="20" t="str">
        <f ca="1">IFERROR(__xludf.DUMMYFUNCTION("""COMPUTED_VALUE"""),"Капитальный ремонт канализационных сетей в посёлке Станция Непецино, Коломенский г.о. (в т.ч. ПИР) ")</f>
        <v xml:space="preserve">Капитальный ремонт канализационных сетей в посёлке Станция Непецино, Коломенский г.о. (в т.ч. ПИР) </v>
      </c>
      <c r="F407" s="67">
        <f ca="1">IFERROR(__xludf.DUMMYFUNCTION("""COMPUTED_VALUE"""),2021)</f>
        <v>2021</v>
      </c>
      <c r="G407" s="67" t="str">
        <f ca="1">IFERROR(__xludf.DUMMYFUNCTION("""COMPUTED_VALUE"""),"г.о. Коломенский")</f>
        <v>г.о. Коломенский</v>
      </c>
      <c r="H407" s="67" t="str">
        <f ca="1">IFERROR(__xludf.DUMMYFUNCTION("""COMPUTED_VALUE"""),"Сети")</f>
        <v>Сети</v>
      </c>
      <c r="I407" s="67"/>
      <c r="J407" s="67"/>
      <c r="K407" s="97">
        <f ca="1">IFERROR(__xludf.DUMMYFUNCTION("""COMPUTED_VALUE"""),58.77)</f>
        <v>58.77</v>
      </c>
      <c r="L407" s="97">
        <f ca="1">IFERROR(__xludf.DUMMYFUNCTION("""COMPUTED_VALUE"""),0)</f>
        <v>0</v>
      </c>
      <c r="M407" s="97">
        <f ca="1">IFERROR(__xludf.DUMMYFUNCTION("""COMPUTED_VALUE"""),0)</f>
        <v>0</v>
      </c>
      <c r="N407" s="67"/>
      <c r="O407" s="67"/>
      <c r="P407" s="67" t="str">
        <f ca="1">IFERROR(__xludf.DUMMYFUNCTION("""COMPUTED_VALUE"""),"СМР")</f>
        <v>СМР</v>
      </c>
      <c r="Q407" s="67">
        <f t="shared" ca="1" si="0"/>
        <v>0</v>
      </c>
      <c r="R407" s="67"/>
      <c r="S407" s="67"/>
      <c r="T407" s="67"/>
      <c r="U407" s="67"/>
      <c r="V407" s="67"/>
      <c r="W407" s="67"/>
      <c r="X407" s="67"/>
      <c r="Y407" s="67"/>
      <c r="Z407" s="67"/>
      <c r="AA407" s="67"/>
      <c r="AB407" s="67"/>
      <c r="AC407" s="67"/>
      <c r="AD407" s="67"/>
      <c r="AE407" s="67"/>
      <c r="AF407" s="67"/>
      <c r="AG407" s="67"/>
      <c r="AH407" s="67"/>
      <c r="AI407" s="67"/>
      <c r="AJ407" s="67"/>
      <c r="AK407" s="67"/>
      <c r="AL407" s="67"/>
      <c r="AM407" s="67"/>
    </row>
    <row r="408" spans="1:39" ht="108" x14ac:dyDescent="0.2">
      <c r="A408" s="67"/>
      <c r="B408" s="100"/>
      <c r="C408"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8" s="20" t="str">
        <f ca="1">IFERROR(__xludf.DUMMYFUNCTION("""COMPUTED_VALUE"""),"МинЖКХ")</f>
        <v>МинЖКХ</v>
      </c>
      <c r="E408" s="20" t="str">
        <f ca="1">IFERROR(__xludf.DUMMYFUNCTION("""COMPUTED_VALUE"""),"Строительство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f>
        <v>Строительство блочно-модульной котельной для ГБУЗ МО "Московский областной противотуберкулезный диспансер "Стационар "Алешино", д. Алешино, г. Пушкино, Пушкинский муниципальный район  (в том числе ПИР)</v>
      </c>
      <c r="F408" s="67" t="str">
        <f ca="1">IFERROR(__xludf.DUMMYFUNCTION("""COMPUTED_VALUE"""),"2020-2021")</f>
        <v>2020-2021</v>
      </c>
      <c r="G408" s="67" t="str">
        <f ca="1">IFERROR(__xludf.DUMMYFUNCTION("""COMPUTED_VALUE"""),"МОС АВС")</f>
        <v>МОС АВС</v>
      </c>
      <c r="H408" s="67" t="str">
        <f ca="1">IFERROR(__xludf.DUMMYFUNCTION("""COMPUTED_VALUE"""),"БМК")</f>
        <v>БМК</v>
      </c>
      <c r="I408" s="97">
        <f ca="1">IFERROR(__xludf.DUMMYFUNCTION("""COMPUTED_VALUE"""),7861.6)</f>
        <v>7861.6</v>
      </c>
      <c r="J408" s="67"/>
      <c r="K408" s="97">
        <f ca="1">IFERROR(__xludf.DUMMYFUNCTION("""COMPUTED_VALUE"""),0)</f>
        <v>0</v>
      </c>
      <c r="L408" s="97">
        <f ca="1">IFERROR(__xludf.DUMMYFUNCTION("""COMPUTED_VALUE"""),0)</f>
        <v>0</v>
      </c>
      <c r="M408" s="97">
        <f ca="1">IFERROR(__xludf.DUMMYFUNCTION("""COMPUTED_VALUE"""),0)</f>
        <v>0</v>
      </c>
      <c r="N408" s="67"/>
      <c r="O408" s="67"/>
      <c r="P408" s="67" t="str">
        <f ca="1">IFERROR(__xludf.DUMMYFUNCTION("""COMPUTED_VALUE"""),"СМР")</f>
        <v>СМР</v>
      </c>
      <c r="Q408" s="67" t="e">
        <f t="shared" ca="1" si="0"/>
        <v>#DIV/0!</v>
      </c>
      <c r="R408" s="67"/>
      <c r="S408" s="67"/>
      <c r="T408" s="67"/>
      <c r="U408" s="67"/>
      <c r="V408" s="67"/>
      <c r="W408" s="67"/>
      <c r="X408" s="67"/>
      <c r="Y408" s="67"/>
      <c r="Z408" s="67"/>
      <c r="AA408" s="67"/>
      <c r="AB408" s="67"/>
      <c r="AC408" s="67"/>
      <c r="AD408" s="67"/>
      <c r="AE408" s="67"/>
      <c r="AF408" s="67"/>
      <c r="AG408" s="67"/>
      <c r="AH408" s="67"/>
      <c r="AI408" s="67"/>
      <c r="AJ408" s="67"/>
      <c r="AK408" s="67"/>
      <c r="AL408" s="67"/>
      <c r="AM408" s="67"/>
    </row>
    <row r="409" spans="1:39" ht="84" x14ac:dyDescent="0.2">
      <c r="A409" s="67"/>
      <c r="B409" s="96"/>
      <c r="C409"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9" s="20" t="str">
        <f ca="1">IFERROR(__xludf.DUMMYFUNCTION("""COMPUTED_VALUE"""),"МинЖКХ")</f>
        <v>МинЖКХ</v>
      </c>
      <c r="E409" s="20" t="str">
        <f ca="1">IFERROR(__xludf.DUMMYFUNCTION("""COMPUTED_VALUE"""),"Строительство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f>
        <v>Строительство блочно-модульной котельной для ГБУЗ МО "Психиатрическая больница N 4" по адресу: Рузский муниципальный район, с. Покровское (Рузский городской округ)  (ПИР)</v>
      </c>
      <c r="F409" s="67" t="str">
        <f ca="1">IFERROR(__xludf.DUMMYFUNCTION("""COMPUTED_VALUE"""),"2020-2022")</f>
        <v>2020-2022</v>
      </c>
      <c r="G409" s="67" t="str">
        <f ca="1">IFERROR(__xludf.DUMMYFUNCTION("""COMPUTED_VALUE"""),"МОС АВС")</f>
        <v>МОС АВС</v>
      </c>
      <c r="H409" s="67" t="str">
        <f ca="1">IFERROR(__xludf.DUMMYFUNCTION("""COMPUTED_VALUE"""),"БМК")</f>
        <v>БМК</v>
      </c>
      <c r="I409" s="97">
        <f ca="1">IFERROR(__xludf.DUMMYFUNCTION("""COMPUTED_VALUE"""),0)</f>
        <v>0</v>
      </c>
      <c r="J409" s="67"/>
      <c r="K409" s="97">
        <f ca="1">IFERROR(__xludf.DUMMYFUNCTION("""COMPUTED_VALUE"""),0)</f>
        <v>0</v>
      </c>
      <c r="L409" s="97">
        <f ca="1">IFERROR(__xludf.DUMMYFUNCTION("""COMPUTED_VALUE"""),0)</f>
        <v>0</v>
      </c>
      <c r="M409" s="97">
        <f ca="1">IFERROR(__xludf.DUMMYFUNCTION("""COMPUTED_VALUE"""),0)</f>
        <v>0</v>
      </c>
      <c r="N409" s="67"/>
      <c r="O409" s="67"/>
      <c r="P409" s="67" t="str">
        <f ca="1">IFERROR(__xludf.DUMMYFUNCTION("""COMPUTED_VALUE"""),"ПИР")</f>
        <v>ПИР</v>
      </c>
      <c r="Q409" s="67" t="e">
        <f t="shared" ca="1" si="0"/>
        <v>#DIV/0!</v>
      </c>
      <c r="R409" s="67"/>
      <c r="S409" s="67"/>
      <c r="T409" s="67"/>
      <c r="U409" s="67"/>
      <c r="V409" s="67"/>
      <c r="W409" s="67"/>
      <c r="X409" s="67"/>
      <c r="Y409" s="67"/>
      <c r="Z409" s="67"/>
      <c r="AA409" s="67"/>
      <c r="AB409" s="67"/>
      <c r="AC409" s="67"/>
      <c r="AD409" s="67"/>
      <c r="AE409" s="67"/>
      <c r="AF409" s="67"/>
      <c r="AG409" s="67"/>
      <c r="AH409" s="67"/>
      <c r="AI409" s="67"/>
      <c r="AJ409" s="67"/>
      <c r="AK409" s="67"/>
      <c r="AL409" s="67"/>
      <c r="AM409" s="67"/>
    </row>
    <row r="410" spans="1:39" ht="84" hidden="1" x14ac:dyDescent="0.2">
      <c r="A410" s="67"/>
      <c r="B410" s="100"/>
      <c r="C410" s="20"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10" s="20" t="str">
        <f ca="1">IFERROR(__xludf.DUMMYFUNCTION("""COMPUTED_VALUE"""),"МинЖКХ")</f>
        <v>МинЖКХ</v>
      </c>
      <c r="E410" s="20" t="str">
        <f ca="1">IFERROR(__xludf.DUMMYFUNCTION("""COMPUTED_VALUE"""),"Капитальный ремонт  водопроводных сетей,  д. Новая, Солнечногорский м.р. ")</f>
        <v xml:space="preserve">Капитальный ремонт  водопроводных сетей,  д. Новая, Солнечногорский м.р. </v>
      </c>
      <c r="F410" s="67">
        <f ca="1">IFERROR(__xludf.DUMMYFUNCTION("""COMPUTED_VALUE"""),2022)</f>
        <v>2022</v>
      </c>
      <c r="G410" s="67" t="str">
        <f ca="1">IFERROR(__xludf.DUMMYFUNCTION("""COMPUTED_VALUE"""),"г.о. Солнечногорск")</f>
        <v>г.о. Солнечногорск</v>
      </c>
      <c r="H410" s="67" t="str">
        <f ca="1">IFERROR(__xludf.DUMMYFUNCTION("""COMPUTED_VALUE"""),"Сети")</f>
        <v>Сети</v>
      </c>
      <c r="I410" s="67"/>
      <c r="J410" s="67"/>
      <c r="K410" s="97">
        <f ca="1">IFERROR(__xludf.DUMMYFUNCTION("""COMPUTED_VALUE"""),3825)</f>
        <v>3825</v>
      </c>
      <c r="L410" s="97">
        <f ca="1">IFERROR(__xludf.DUMMYFUNCTION("""COMPUTED_VALUE"""),0)</f>
        <v>0</v>
      </c>
      <c r="M410" s="97">
        <f ca="1">IFERROR(__xludf.DUMMYFUNCTION("""COMPUTED_VALUE"""),0)</f>
        <v>0</v>
      </c>
      <c r="N410" s="67"/>
      <c r="O410" s="67"/>
      <c r="P410" s="67" t="str">
        <f ca="1">IFERROR(__xludf.DUMMYFUNCTION("""COMPUTED_VALUE"""),"СМР")</f>
        <v>СМР</v>
      </c>
      <c r="Q410" s="67">
        <f t="shared" ca="1" si="0"/>
        <v>0</v>
      </c>
      <c r="R410" s="67"/>
      <c r="S410" s="67"/>
      <c r="T410" s="67"/>
      <c r="U410" s="67"/>
      <c r="V410" s="67"/>
      <c r="W410" s="67"/>
      <c r="X410" s="67"/>
      <c r="Y410" s="67"/>
      <c r="Z410" s="67"/>
      <c r="AA410" s="67"/>
      <c r="AB410" s="67"/>
      <c r="AC410" s="67"/>
      <c r="AD410" s="67"/>
      <c r="AE410" s="67"/>
      <c r="AF410" s="67"/>
      <c r="AG410" s="67"/>
      <c r="AH410" s="67"/>
      <c r="AI410" s="67"/>
      <c r="AJ410" s="67"/>
      <c r="AK410" s="67"/>
      <c r="AL410" s="67"/>
      <c r="AM410" s="67"/>
    </row>
    <row r="411" spans="1:39" ht="72" x14ac:dyDescent="0.2">
      <c r="A411" s="67"/>
      <c r="B411" s="100"/>
      <c r="C411"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1" s="20" t="str">
        <f ca="1">IFERROR(__xludf.DUMMYFUNCTION("""COMPUTED_VALUE"""),"МинЖКХ")</f>
        <v>МинЖКХ</v>
      </c>
      <c r="E411" s="20" t="str">
        <f ca="1">IFERROR(__xludf.DUMMYFUNCTION("""COMPUTED_VALUE"""),"Строительство блочно-модульной котельной для ГБУЗ МО ""Пушкинская поликлиника микрорайона Клязьма"" по адресу: ул. Лермонтовская, д. 25  (в том числе ПИР)")</f>
        <v>Строительство блочно-модульной котельной для ГБУЗ МО "Пушкинская поликлиника микрорайона Клязьма" по адресу: ул. Лермонтовская, д. 25  (в том числе ПИР)</v>
      </c>
      <c r="F411" s="67" t="str">
        <f ca="1">IFERROR(__xludf.DUMMYFUNCTION("""COMPUTED_VALUE"""),"2020-2021")</f>
        <v>2020-2021</v>
      </c>
      <c r="G411" s="67" t="str">
        <f ca="1">IFERROR(__xludf.DUMMYFUNCTION("""COMPUTED_VALUE"""),"МОС АВС")</f>
        <v>МОС АВС</v>
      </c>
      <c r="H411" s="67" t="str">
        <f ca="1">IFERROR(__xludf.DUMMYFUNCTION("""COMPUTED_VALUE"""),"БМК")</f>
        <v>БМК</v>
      </c>
      <c r="I411" s="97">
        <f ca="1">IFERROR(__xludf.DUMMYFUNCTION("""COMPUTED_VALUE"""),889.7)</f>
        <v>889.7</v>
      </c>
      <c r="J411" s="67"/>
      <c r="K411" s="97">
        <f ca="1">IFERROR(__xludf.DUMMYFUNCTION("""COMPUTED_VALUE"""),0)</f>
        <v>0</v>
      </c>
      <c r="L411" s="97">
        <f ca="1">IFERROR(__xludf.DUMMYFUNCTION("""COMPUTED_VALUE"""),0)</f>
        <v>0</v>
      </c>
      <c r="M411" s="97">
        <f ca="1">IFERROR(__xludf.DUMMYFUNCTION("""COMPUTED_VALUE"""),0)</f>
        <v>0</v>
      </c>
      <c r="N411" s="67"/>
      <c r="O411" s="67"/>
      <c r="P411" s="67" t="str">
        <f ca="1">IFERROR(__xludf.DUMMYFUNCTION("""COMPUTED_VALUE"""),"СМР")</f>
        <v>СМР</v>
      </c>
      <c r="Q411" s="67" t="e">
        <f t="shared" ca="1" si="0"/>
        <v>#DIV/0!</v>
      </c>
      <c r="R411" s="67"/>
      <c r="S411" s="67"/>
      <c r="T411" s="67"/>
      <c r="U411" s="67"/>
      <c r="V411" s="67"/>
      <c r="W411" s="67"/>
      <c r="X411" s="67"/>
      <c r="Y411" s="67"/>
      <c r="Z411" s="67"/>
      <c r="AA411" s="67"/>
      <c r="AB411" s="67"/>
      <c r="AC411" s="67"/>
      <c r="AD411" s="67"/>
      <c r="AE411" s="67"/>
      <c r="AF411" s="67"/>
      <c r="AG411" s="67"/>
      <c r="AH411" s="67"/>
      <c r="AI411" s="67"/>
      <c r="AJ411" s="67"/>
      <c r="AK411" s="67"/>
      <c r="AL411" s="67"/>
      <c r="AM411" s="67"/>
    </row>
    <row r="412" spans="1:39" ht="84" x14ac:dyDescent="0.2">
      <c r="A412" s="67"/>
      <c r="B412" s="100"/>
      <c r="C412"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2" s="20" t="str">
        <f ca="1">IFERROR(__xludf.DUMMYFUNCTION("""COMPUTED_VALUE"""),"МинЖКХ")</f>
        <v>МинЖКХ</v>
      </c>
      <c r="E412" s="20"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f>
        <v>Строительство блочно-модульной котельной для ГБУЗ МО «Московский областной клинический противотуберкулезный диспансер», МО, г. Коломна, ул. 2-я Ленинская, д. 11а (ПИР)</v>
      </c>
      <c r="F412" s="67">
        <f ca="1">IFERROR(__xludf.DUMMYFUNCTION("""COMPUTED_VALUE"""),2020)</f>
        <v>2020</v>
      </c>
      <c r="G412" s="67" t="str">
        <f ca="1">IFERROR(__xludf.DUMMYFUNCTION("""COMPUTED_VALUE"""),"МОС АВС")</f>
        <v>МОС АВС</v>
      </c>
      <c r="H412" s="67" t="str">
        <f ca="1">IFERROR(__xludf.DUMMYFUNCTION("""COMPUTED_VALUE"""),"БМК")</f>
        <v>БМК</v>
      </c>
      <c r="I412" s="97">
        <f ca="1">IFERROR(__xludf.DUMMYFUNCTION("""COMPUTED_VALUE"""),0)</f>
        <v>0</v>
      </c>
      <c r="J412" s="67"/>
      <c r="K412" s="97">
        <f ca="1">IFERROR(__xludf.DUMMYFUNCTION("""COMPUTED_VALUE"""),0)</f>
        <v>0</v>
      </c>
      <c r="L412" s="97">
        <f ca="1">IFERROR(__xludf.DUMMYFUNCTION("""COMPUTED_VALUE"""),0)</f>
        <v>0</v>
      </c>
      <c r="M412" s="97">
        <f ca="1">IFERROR(__xludf.DUMMYFUNCTION("""COMPUTED_VALUE"""),0)</f>
        <v>0</v>
      </c>
      <c r="N412" s="67"/>
      <c r="O412" s="67"/>
      <c r="P412" s="67" t="str">
        <f ca="1">IFERROR(__xludf.DUMMYFUNCTION("""COMPUTED_VALUE"""),"ПИР")</f>
        <v>ПИР</v>
      </c>
      <c r="Q412" s="67" t="e">
        <f t="shared" ca="1" si="0"/>
        <v>#DIV/0!</v>
      </c>
      <c r="R412" s="67"/>
      <c r="S412" s="67"/>
      <c r="T412" s="67"/>
      <c r="U412" s="67"/>
      <c r="V412" s="67"/>
      <c r="W412" s="67"/>
      <c r="X412" s="67"/>
      <c r="Y412" s="67"/>
      <c r="Z412" s="67"/>
      <c r="AA412" s="67"/>
      <c r="AB412" s="67"/>
      <c r="AC412" s="67"/>
      <c r="AD412" s="67"/>
      <c r="AE412" s="67"/>
      <c r="AF412" s="67"/>
      <c r="AG412" s="67"/>
      <c r="AH412" s="67"/>
      <c r="AI412" s="67"/>
      <c r="AJ412" s="67"/>
      <c r="AK412" s="67"/>
      <c r="AL412" s="67"/>
      <c r="AM412" s="67"/>
    </row>
    <row r="413" spans="1:39" ht="108" x14ac:dyDescent="0.2">
      <c r="A413" s="67"/>
      <c r="B413" s="100"/>
      <c r="C413"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3" s="20" t="str">
        <f ca="1">IFERROR(__xludf.DUMMYFUNCTION("""COMPUTED_VALUE"""),"МинЖКХ")</f>
        <v>МинЖКХ</v>
      </c>
      <c r="E413" s="20" t="str">
        <f ca="1">IFERROR(__xludf.DUMMYFUNCTION("""COMPUTED_VALUE"""),"Строительство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f>
        <v xml:space="preserve">Строительство блочно-модульной котельной для ГБУЗ МО «Московский областной клинический противотуберкулезный диспансер», МО, г. Одинцово, ул. Луначарского, д. 16 
(ПИР)
</v>
      </c>
      <c r="F413" s="67">
        <f ca="1">IFERROR(__xludf.DUMMYFUNCTION("""COMPUTED_VALUE"""),2020)</f>
        <v>2020</v>
      </c>
      <c r="G413" s="67" t="str">
        <f ca="1">IFERROR(__xludf.DUMMYFUNCTION("""COMPUTED_VALUE"""),"МОС АВС")</f>
        <v>МОС АВС</v>
      </c>
      <c r="H413" s="67" t="str">
        <f ca="1">IFERROR(__xludf.DUMMYFUNCTION("""COMPUTED_VALUE"""),"БМК")</f>
        <v>БМК</v>
      </c>
      <c r="I413" s="97">
        <f ca="1">IFERROR(__xludf.DUMMYFUNCTION("""COMPUTED_VALUE"""),0)</f>
        <v>0</v>
      </c>
      <c r="J413" s="67"/>
      <c r="K413" s="97">
        <f ca="1">IFERROR(__xludf.DUMMYFUNCTION("""COMPUTED_VALUE"""),0)</f>
        <v>0</v>
      </c>
      <c r="L413" s="97">
        <f ca="1">IFERROR(__xludf.DUMMYFUNCTION("""COMPUTED_VALUE"""),0)</f>
        <v>0</v>
      </c>
      <c r="M413" s="97">
        <f ca="1">IFERROR(__xludf.DUMMYFUNCTION("""COMPUTED_VALUE"""),0)</f>
        <v>0</v>
      </c>
      <c r="N413" s="67"/>
      <c r="O413" s="67"/>
      <c r="P413" s="67" t="str">
        <f ca="1">IFERROR(__xludf.DUMMYFUNCTION("""COMPUTED_VALUE"""),"ПИР")</f>
        <v>ПИР</v>
      </c>
      <c r="Q413" s="67" t="e">
        <f t="shared" ca="1" si="0"/>
        <v>#DIV/0!</v>
      </c>
      <c r="R413" s="67"/>
      <c r="S413" s="67"/>
      <c r="T413" s="67"/>
      <c r="U413" s="67"/>
      <c r="V413" s="67"/>
      <c r="W413" s="67"/>
      <c r="X413" s="67"/>
      <c r="Y413" s="67"/>
      <c r="Z413" s="67"/>
      <c r="AA413" s="67"/>
      <c r="AB413" s="67"/>
      <c r="AC413" s="67"/>
      <c r="AD413" s="67"/>
      <c r="AE413" s="67"/>
      <c r="AF413" s="67"/>
      <c r="AG413" s="67"/>
      <c r="AH413" s="67"/>
      <c r="AI413" s="67"/>
      <c r="AJ413" s="67"/>
      <c r="AK413" s="67"/>
      <c r="AL413" s="67"/>
      <c r="AM413" s="67"/>
    </row>
    <row r="414" spans="1:39" ht="84" x14ac:dyDescent="0.2">
      <c r="A414" s="67"/>
      <c r="B414" s="100"/>
      <c r="C414"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4" s="20" t="str">
        <f ca="1">IFERROR(__xludf.DUMMYFUNCTION("""COMPUTED_VALUE"""),"МинЖКХ")</f>
        <v>МинЖКХ</v>
      </c>
      <c r="E414" s="20" t="str">
        <f ca="1">IFERROR(__xludf.DUMMYFUNCTION("""COMPUTED_VALUE"""),"Строительство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f>
        <v>Строительство блочно-модульной котельной для ГКОУ МО "Доверие" по адресу: Московская область, Щелковский район, с/п Медвежье-Озерское, д. Алмазово (в том числе ПИР)</v>
      </c>
      <c r="F414" s="67" t="str">
        <f ca="1">IFERROR(__xludf.DUMMYFUNCTION("""COMPUTED_VALUE"""),"2020-2021")</f>
        <v>2020-2021</v>
      </c>
      <c r="G414" s="67" t="str">
        <f ca="1">IFERROR(__xludf.DUMMYFUNCTION("""COMPUTED_VALUE"""),"МОС АВС")</f>
        <v>МОС АВС</v>
      </c>
      <c r="H414" s="67" t="str">
        <f ca="1">IFERROR(__xludf.DUMMYFUNCTION("""COMPUTED_VALUE"""),"БМК")</f>
        <v>БМК</v>
      </c>
      <c r="I414" s="97">
        <f ca="1">IFERROR(__xludf.DUMMYFUNCTION("""COMPUTED_VALUE"""),15341.62)</f>
        <v>15341.62</v>
      </c>
      <c r="J414" s="67"/>
      <c r="K414" s="97">
        <f ca="1">IFERROR(__xludf.DUMMYFUNCTION("""COMPUTED_VALUE"""),0)</f>
        <v>0</v>
      </c>
      <c r="L414" s="97">
        <f ca="1">IFERROR(__xludf.DUMMYFUNCTION("""COMPUTED_VALUE"""),0)</f>
        <v>0</v>
      </c>
      <c r="M414" s="97">
        <f ca="1">IFERROR(__xludf.DUMMYFUNCTION("""COMPUTED_VALUE"""),0)</f>
        <v>0</v>
      </c>
      <c r="N414" s="67"/>
      <c r="O414" s="67"/>
      <c r="P414" s="67" t="str">
        <f ca="1">IFERROR(__xludf.DUMMYFUNCTION("""COMPUTED_VALUE"""),"СМР")</f>
        <v>СМР</v>
      </c>
      <c r="Q414" s="67" t="e">
        <f t="shared" ca="1" si="0"/>
        <v>#DIV/0!</v>
      </c>
      <c r="R414" s="67"/>
      <c r="S414" s="67"/>
      <c r="T414" s="67"/>
      <c r="U414" s="67"/>
      <c r="V414" s="67"/>
      <c r="W414" s="67"/>
      <c r="X414" s="67"/>
      <c r="Y414" s="67"/>
      <c r="Z414" s="67"/>
      <c r="AA414" s="67"/>
      <c r="AB414" s="67"/>
      <c r="AC414" s="67"/>
      <c r="AD414" s="67"/>
      <c r="AE414" s="67"/>
      <c r="AF414" s="67"/>
      <c r="AG414" s="67"/>
      <c r="AH414" s="67"/>
      <c r="AI414" s="67"/>
      <c r="AJ414" s="67"/>
      <c r="AK414" s="67"/>
      <c r="AL414" s="67"/>
      <c r="AM414" s="67"/>
    </row>
    <row r="415" spans="1:39" ht="108" x14ac:dyDescent="0.2">
      <c r="A415" s="67"/>
      <c r="B415" s="100"/>
      <c r="C415"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5" s="20" t="str">
        <f ca="1">IFERROR(__xludf.DUMMYFUNCTION("""COMPUTED_VALUE"""),"МинЖКХ")</f>
        <v>МинЖКХ</v>
      </c>
      <c r="E415" s="20" t="str">
        <f ca="1">IFERROR(__xludf.DUMMYFUNCTION("""COMPUTED_VALUE"""),"Строительство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f>
        <v>Строительство блочно-модульной котельной для ГКУ СО Московской области "Серпуховский (районный) социально-реабилитационный центр для несовершеннолетних" по адресу: Серпуховский муниципальный район, д. Пущино  ( ПИР)</v>
      </c>
      <c r="F415" s="67" t="str">
        <f ca="1">IFERROR(__xludf.DUMMYFUNCTION("""COMPUTED_VALUE"""),"2020-2021")</f>
        <v>2020-2021</v>
      </c>
      <c r="G415" s="67" t="str">
        <f ca="1">IFERROR(__xludf.DUMMYFUNCTION("""COMPUTED_VALUE"""),"МОС АВС")</f>
        <v>МОС АВС</v>
      </c>
      <c r="H415" s="67" t="str">
        <f ca="1">IFERROR(__xludf.DUMMYFUNCTION("""COMPUTED_VALUE"""),"БМК")</f>
        <v>БМК</v>
      </c>
      <c r="I415" s="97">
        <f ca="1">IFERROR(__xludf.DUMMYFUNCTION("""COMPUTED_VALUE"""),0)</f>
        <v>0</v>
      </c>
      <c r="J415" s="67"/>
      <c r="K415" s="97">
        <f ca="1">IFERROR(__xludf.DUMMYFUNCTION("""COMPUTED_VALUE"""),0)</f>
        <v>0</v>
      </c>
      <c r="L415" s="97">
        <f ca="1">IFERROR(__xludf.DUMMYFUNCTION("""COMPUTED_VALUE"""),0)</f>
        <v>0</v>
      </c>
      <c r="M415" s="97">
        <f ca="1">IFERROR(__xludf.DUMMYFUNCTION("""COMPUTED_VALUE"""),0)</f>
        <v>0</v>
      </c>
      <c r="N415" s="67"/>
      <c r="O415" s="67"/>
      <c r="P415" s="67" t="str">
        <f ca="1">IFERROR(__xludf.DUMMYFUNCTION("""COMPUTED_VALUE"""),"ПИР")</f>
        <v>ПИР</v>
      </c>
      <c r="Q415" s="67" t="e">
        <f t="shared" ca="1" si="0"/>
        <v>#DIV/0!</v>
      </c>
      <c r="R415" s="67"/>
      <c r="S415" s="67"/>
      <c r="T415" s="67"/>
      <c r="U415" s="67"/>
      <c r="V415" s="67"/>
      <c r="W415" s="67"/>
      <c r="X415" s="67"/>
      <c r="Y415" s="67"/>
      <c r="Z415" s="67"/>
      <c r="AA415" s="67"/>
      <c r="AB415" s="67"/>
      <c r="AC415" s="67"/>
      <c r="AD415" s="67"/>
      <c r="AE415" s="67"/>
      <c r="AF415" s="67"/>
      <c r="AG415" s="67"/>
      <c r="AH415" s="67"/>
      <c r="AI415" s="67"/>
      <c r="AJ415" s="67"/>
      <c r="AK415" s="67"/>
      <c r="AL415" s="67"/>
      <c r="AM415" s="67"/>
    </row>
    <row r="416" spans="1:39" ht="84" x14ac:dyDescent="0.2">
      <c r="A416" s="67"/>
      <c r="B416" s="96"/>
      <c r="C416"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6" s="20" t="str">
        <f ca="1">IFERROR(__xludf.DUMMYFUNCTION("""COMPUTED_VALUE"""),"МинЖКХ")</f>
        <v>МинЖКХ</v>
      </c>
      <c r="E416" s="20"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f>
        <v>Строительство блочно-модульной котельной для ГКУЗ  Московской области "Детский бронхолегочный санаторий "Озерский" по адресу: Озерский район, ул. Крюкова, д. 26  (ПИР)</v>
      </c>
      <c r="F416" s="67" t="str">
        <f ca="1">IFERROR(__xludf.DUMMYFUNCTION("""COMPUTED_VALUE"""),"2020-2022")</f>
        <v>2020-2022</v>
      </c>
      <c r="G416" s="67" t="str">
        <f ca="1">IFERROR(__xludf.DUMMYFUNCTION("""COMPUTED_VALUE"""),"МОС АВС")</f>
        <v>МОС АВС</v>
      </c>
      <c r="H416" s="67" t="str">
        <f ca="1">IFERROR(__xludf.DUMMYFUNCTION("""COMPUTED_VALUE"""),"БМК")</f>
        <v>БМК</v>
      </c>
      <c r="I416" s="97">
        <f ca="1">IFERROR(__xludf.DUMMYFUNCTION("""COMPUTED_VALUE"""),0)</f>
        <v>0</v>
      </c>
      <c r="J416" s="67"/>
      <c r="K416" s="97">
        <f ca="1">IFERROR(__xludf.DUMMYFUNCTION("""COMPUTED_VALUE"""),0)</f>
        <v>0</v>
      </c>
      <c r="L416" s="97">
        <f ca="1">IFERROR(__xludf.DUMMYFUNCTION("""COMPUTED_VALUE"""),0)</f>
        <v>0</v>
      </c>
      <c r="M416" s="97">
        <f ca="1">IFERROR(__xludf.DUMMYFUNCTION("""COMPUTED_VALUE"""),0)</f>
        <v>0</v>
      </c>
      <c r="N416" s="67"/>
      <c r="O416" s="67"/>
      <c r="P416" s="67" t="str">
        <f ca="1">IFERROR(__xludf.DUMMYFUNCTION("""COMPUTED_VALUE"""),"ПИР")</f>
        <v>ПИР</v>
      </c>
      <c r="Q416" s="67" t="e">
        <f t="shared" ca="1" si="0"/>
        <v>#DIV/0!</v>
      </c>
      <c r="R416" s="67"/>
      <c r="S416" s="67"/>
      <c r="T416" s="67"/>
      <c r="U416" s="67"/>
      <c r="V416" s="67"/>
      <c r="W416" s="67"/>
      <c r="X416" s="67"/>
      <c r="Y416" s="67"/>
      <c r="Z416" s="67"/>
      <c r="AA416" s="67"/>
      <c r="AB416" s="67"/>
      <c r="AC416" s="67"/>
      <c r="AD416" s="67"/>
      <c r="AE416" s="67"/>
      <c r="AF416" s="67"/>
      <c r="AG416" s="67"/>
      <c r="AH416" s="67"/>
      <c r="AI416" s="67"/>
      <c r="AJ416" s="67"/>
      <c r="AK416" s="67"/>
      <c r="AL416" s="67"/>
      <c r="AM416" s="67"/>
    </row>
    <row r="417" spans="1:39" ht="72" hidden="1" x14ac:dyDescent="0.2">
      <c r="A417" s="67"/>
      <c r="B417" s="100"/>
      <c r="C417" s="20" t="str">
        <f ca="1">IFERROR(__xludf.DUMMYFUNCTION("""COMPUTED_VALUE"""),"Предоставление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v>
      </c>
      <c r="D417" s="20" t="str">
        <f ca="1">IFERROR(__xludf.DUMMYFUNCTION("""COMPUTED_VALUE"""),"МинЖКХ")</f>
        <v>МинЖКХ</v>
      </c>
      <c r="E417" s="20" t="str">
        <f ca="1">IFERROR(__xludf.DUMMYFUNCTION("""COMPUTED_VALUE"""),"Приобретение  объектов теплоснабжения на территории  г.п. Деденево, Дмитровский муниципальный район ")</f>
        <v xml:space="preserve">Приобретение  объектов теплоснабжения на территории  г.п. Деденево, Дмитровский муниципальный район </v>
      </c>
      <c r="F417" s="67">
        <f ca="1">IFERROR(__xludf.DUMMYFUNCTION("""COMPUTED_VALUE"""),2021)</f>
        <v>2021</v>
      </c>
      <c r="G417" s="67" t="str">
        <f ca="1">IFERROR(__xludf.DUMMYFUNCTION("""COMPUTED_VALUE"""),"г.о. Дмитровский")</f>
        <v>г.о. Дмитровский</v>
      </c>
      <c r="H417" s="67" t="str">
        <f ca="1">IFERROR(__xludf.DUMMYFUNCTION("""COMPUTED_VALUE"""),"Сети")</f>
        <v>Сети</v>
      </c>
      <c r="I417" s="67"/>
      <c r="J417" s="67"/>
      <c r="K417" s="97">
        <f ca="1">IFERROR(__xludf.DUMMYFUNCTION("""COMPUTED_VALUE"""),13280)</f>
        <v>13280</v>
      </c>
      <c r="L417" s="97">
        <f ca="1">IFERROR(__xludf.DUMMYFUNCTION("""COMPUTED_VALUE"""),0)</f>
        <v>0</v>
      </c>
      <c r="M417" s="97">
        <f ca="1">IFERROR(__xludf.DUMMYFUNCTION("""COMPUTED_VALUE"""),0)</f>
        <v>0</v>
      </c>
      <c r="N417" s="67"/>
      <c r="O417" s="67"/>
      <c r="P417" s="67" t="str">
        <f ca="1">IFERROR(__xludf.DUMMYFUNCTION("""COMPUTED_VALUE"""),"СМР")</f>
        <v>СМР</v>
      </c>
      <c r="Q417" s="67">
        <f t="shared" ca="1" si="0"/>
        <v>0</v>
      </c>
      <c r="R417" s="67"/>
      <c r="S417" s="67"/>
      <c r="T417" s="67"/>
      <c r="U417" s="67"/>
      <c r="V417" s="67"/>
      <c r="W417" s="67"/>
      <c r="X417" s="67"/>
      <c r="Y417" s="67"/>
      <c r="Z417" s="67"/>
      <c r="AA417" s="67"/>
      <c r="AB417" s="67"/>
      <c r="AC417" s="67"/>
      <c r="AD417" s="67"/>
      <c r="AE417" s="67"/>
      <c r="AF417" s="67"/>
      <c r="AG417" s="67"/>
      <c r="AH417" s="67"/>
      <c r="AI417" s="67"/>
      <c r="AJ417" s="67"/>
      <c r="AK417" s="67"/>
      <c r="AL417" s="67"/>
      <c r="AM417" s="67"/>
    </row>
    <row r="418" spans="1:39" ht="84" x14ac:dyDescent="0.2">
      <c r="A418" s="67"/>
      <c r="B418" s="100"/>
      <c r="C418"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8" s="20" t="str">
        <f ca="1">IFERROR(__xludf.DUMMYFUNCTION("""COMPUTED_VALUE"""),"МинЖКХ")</f>
        <v>МинЖКХ</v>
      </c>
      <c r="E418" s="20" t="str">
        <f ca="1">IFERROR(__xludf.DUMMYFUNCTION("""COMPUTED_VALUE"""),"Строительство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f>
        <v>Строительство блочно-модульной котельной для ГКУЗ Московской области "Детский бронхолегочный санаторий "Озерский" по адресу: Озерский район, пл. Карла Маркса, д. 11 (ПИР)</v>
      </c>
      <c r="F418" s="67" t="str">
        <f ca="1">IFERROR(__xludf.DUMMYFUNCTION("""COMPUTED_VALUE"""),"2020-2022")</f>
        <v>2020-2022</v>
      </c>
      <c r="G418" s="67" t="str">
        <f ca="1">IFERROR(__xludf.DUMMYFUNCTION("""COMPUTED_VALUE"""),"МОС АВС")</f>
        <v>МОС АВС</v>
      </c>
      <c r="H418" s="67" t="str">
        <f ca="1">IFERROR(__xludf.DUMMYFUNCTION("""COMPUTED_VALUE"""),"БМК")</f>
        <v>БМК</v>
      </c>
      <c r="I418" s="97">
        <f ca="1">IFERROR(__xludf.DUMMYFUNCTION("""COMPUTED_VALUE"""),0)</f>
        <v>0</v>
      </c>
      <c r="J418" s="67"/>
      <c r="K418" s="97">
        <f ca="1">IFERROR(__xludf.DUMMYFUNCTION("""COMPUTED_VALUE"""),0)</f>
        <v>0</v>
      </c>
      <c r="L418" s="97">
        <f ca="1">IFERROR(__xludf.DUMMYFUNCTION("""COMPUTED_VALUE"""),0)</f>
        <v>0</v>
      </c>
      <c r="M418" s="97">
        <f ca="1">IFERROR(__xludf.DUMMYFUNCTION("""COMPUTED_VALUE"""),0)</f>
        <v>0</v>
      </c>
      <c r="N418" s="67"/>
      <c r="O418" s="67"/>
      <c r="P418" s="67" t="str">
        <f ca="1">IFERROR(__xludf.DUMMYFUNCTION("""COMPUTED_VALUE"""),"ПИР")</f>
        <v>ПИР</v>
      </c>
      <c r="Q418" s="67" t="e">
        <f t="shared" ca="1" si="0"/>
        <v>#DIV/0!</v>
      </c>
      <c r="R418" s="67"/>
      <c r="S418" s="67"/>
      <c r="T418" s="67"/>
      <c r="U418" s="67"/>
      <c r="V418" s="67"/>
      <c r="W418" s="67"/>
      <c r="X418" s="67"/>
      <c r="Y418" s="67"/>
      <c r="Z418" s="67"/>
      <c r="AA418" s="67"/>
      <c r="AB418" s="67"/>
      <c r="AC418" s="67"/>
      <c r="AD418" s="67"/>
      <c r="AE418" s="67"/>
      <c r="AF418" s="67"/>
      <c r="AG418" s="67"/>
      <c r="AH418" s="67"/>
      <c r="AI418" s="67"/>
      <c r="AJ418" s="67"/>
      <c r="AK418" s="67"/>
      <c r="AL418" s="67"/>
      <c r="AM418" s="67"/>
    </row>
    <row r="419" spans="1:39" ht="72" x14ac:dyDescent="0.2">
      <c r="A419" s="67"/>
      <c r="B419" s="100"/>
      <c r="C419"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9" s="20" t="str">
        <f ca="1">IFERROR(__xludf.DUMMYFUNCTION("""COMPUTED_VALUE"""),"МинЖКХ")</f>
        <v>МинЖКХ</v>
      </c>
      <c r="E419" s="20" t="str">
        <f ca="1">IFERROR(__xludf.DUMMYFUNCTION("""COMPUTED_VALUE"""),"Строительство блочно-модульной котельной для Клеменовская участковая больница ГБУЗ МО ""Егорьевская ЦРБ"" по адресу: д. Овчагино  (в том числе ПИР)")</f>
        <v>Строительство блочно-модульной котельной для Клеменовская участковая больница ГБУЗ МО "Егорьевская ЦРБ" по адресу: д. Овчагино  (в том числе ПИР)</v>
      </c>
      <c r="F419" s="67" t="str">
        <f ca="1">IFERROR(__xludf.DUMMYFUNCTION("""COMPUTED_VALUE"""),"2020-2021")</f>
        <v>2020-2021</v>
      </c>
      <c r="G419" s="67" t="str">
        <f ca="1">IFERROR(__xludf.DUMMYFUNCTION("""COMPUTED_VALUE"""),"МОС АВС")</f>
        <v>МОС АВС</v>
      </c>
      <c r="H419" s="67" t="str">
        <f ca="1">IFERROR(__xludf.DUMMYFUNCTION("""COMPUTED_VALUE"""),"БМК")</f>
        <v>БМК</v>
      </c>
      <c r="I419" s="97">
        <f ca="1">IFERROR(__xludf.DUMMYFUNCTION("""COMPUTED_VALUE"""),1566.29)</f>
        <v>1566.29</v>
      </c>
      <c r="J419" s="67"/>
      <c r="K419" s="97">
        <f ca="1">IFERROR(__xludf.DUMMYFUNCTION("""COMPUTED_VALUE"""),0)</f>
        <v>0</v>
      </c>
      <c r="L419" s="97">
        <f ca="1">IFERROR(__xludf.DUMMYFUNCTION("""COMPUTED_VALUE"""),0)</f>
        <v>0</v>
      </c>
      <c r="M419" s="97">
        <f ca="1">IFERROR(__xludf.DUMMYFUNCTION("""COMPUTED_VALUE"""),0)</f>
        <v>0</v>
      </c>
      <c r="N419" s="67"/>
      <c r="O419" s="67"/>
      <c r="P419" s="67" t="str">
        <f ca="1">IFERROR(__xludf.DUMMYFUNCTION("""COMPUTED_VALUE"""),"СМР")</f>
        <v>СМР</v>
      </c>
      <c r="Q419" s="67" t="e">
        <f t="shared" ca="1" si="0"/>
        <v>#DIV/0!</v>
      </c>
      <c r="R419" s="67"/>
      <c r="S419" s="67"/>
      <c r="T419" s="67"/>
      <c r="U419" s="67"/>
      <c r="V419" s="67"/>
      <c r="W419" s="67"/>
      <c r="X419" s="67"/>
      <c r="Y419" s="67"/>
      <c r="Z419" s="67"/>
      <c r="AA419" s="67"/>
      <c r="AB419" s="67"/>
      <c r="AC419" s="67"/>
      <c r="AD419" s="67"/>
      <c r="AE419" s="67"/>
      <c r="AF419" s="67"/>
      <c r="AG419" s="67"/>
      <c r="AH419" s="67"/>
      <c r="AI419" s="67"/>
      <c r="AJ419" s="67"/>
      <c r="AK419" s="67"/>
      <c r="AL419" s="67"/>
      <c r="AM419" s="67"/>
    </row>
    <row r="420" spans="1:39" ht="120" x14ac:dyDescent="0.2">
      <c r="A420" s="67"/>
      <c r="B420" s="96"/>
      <c r="C420" s="20"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20" s="20" t="str">
        <f ca="1">IFERROR(__xludf.DUMMYFUNCTION("""COMPUTED_VALUE"""),"МинЖКХ")</f>
        <v>МинЖКХ</v>
      </c>
      <c r="E420" s="20" t="str">
        <f ca="1">IFERROR(__xludf.DUMMYFUNCTION("""COMPUTED_VALUE"""),"Строительство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f>
        <v>Строительство блочно-модульной котельной для теплоснабжения и ГВС зданий ГКОУ МО "Чеховская специальная учебно-воспитательная школа для обучающихся с девиантным (общественно-опасным) поведением закрытого типа" (ПИР)</v>
      </c>
      <c r="F420" s="67" t="str">
        <f ca="1">IFERROR(__xludf.DUMMYFUNCTION("""COMPUTED_VALUE"""),"2020-2022")</f>
        <v>2020-2022</v>
      </c>
      <c r="G420" s="67" t="str">
        <f ca="1">IFERROR(__xludf.DUMMYFUNCTION("""COMPUTED_VALUE"""),"МОС АВС")</f>
        <v>МОС АВС</v>
      </c>
      <c r="H420" s="67" t="str">
        <f ca="1">IFERROR(__xludf.DUMMYFUNCTION("""COMPUTED_VALUE"""),"БМК")</f>
        <v>БМК</v>
      </c>
      <c r="I420" s="97">
        <f ca="1">IFERROR(__xludf.DUMMYFUNCTION("""COMPUTED_VALUE"""),0)</f>
        <v>0</v>
      </c>
      <c r="J420" s="67"/>
      <c r="K420" s="97">
        <f ca="1">IFERROR(__xludf.DUMMYFUNCTION("""COMPUTED_VALUE"""),0)</f>
        <v>0</v>
      </c>
      <c r="L420" s="97">
        <f ca="1">IFERROR(__xludf.DUMMYFUNCTION("""COMPUTED_VALUE"""),0)</f>
        <v>0</v>
      </c>
      <c r="M420" s="97">
        <f ca="1">IFERROR(__xludf.DUMMYFUNCTION("""COMPUTED_VALUE"""),0)</f>
        <v>0</v>
      </c>
      <c r="N420" s="67"/>
      <c r="O420" s="67"/>
      <c r="P420" s="67" t="str">
        <f ca="1">IFERROR(__xludf.DUMMYFUNCTION("""COMPUTED_VALUE"""),"СМР")</f>
        <v>СМР</v>
      </c>
      <c r="Q420" s="67" t="e">
        <f t="shared" ca="1" si="0"/>
        <v>#DIV/0!</v>
      </c>
      <c r="R420" s="67"/>
      <c r="S420" s="67"/>
      <c r="T420" s="67"/>
      <c r="U420" s="67"/>
      <c r="V420" s="67"/>
      <c r="W420" s="67"/>
      <c r="X420" s="67"/>
      <c r="Y420" s="67"/>
      <c r="Z420" s="67"/>
      <c r="AA420" s="67"/>
      <c r="AB420" s="67"/>
      <c r="AC420" s="67"/>
      <c r="AD420" s="67"/>
      <c r="AE420" s="67"/>
      <c r="AF420" s="67"/>
      <c r="AG420" s="67"/>
      <c r="AH420" s="67"/>
      <c r="AI420" s="67"/>
      <c r="AJ420" s="67"/>
      <c r="AK420" s="67"/>
      <c r="AL420" s="67"/>
      <c r="AM420" s="67"/>
    </row>
    <row r="421" spans="1:39" ht="144" hidden="1" x14ac:dyDescent="0.2">
      <c r="A421" s="67"/>
      <c r="B421" s="96"/>
      <c r="C42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1" s="24" t="str">
        <f ca="1">IFERROR(__xludf.DUMMYFUNCTION("""COMPUTED_VALUE"""),"Минобр")</f>
        <v>Минобр</v>
      </c>
      <c r="E421" s="20" t="str">
        <f ca="1">IFERROR(__xludf.DUMMYFUNCTION("""COMPUTED_VALUE"""),"Капитальный ремонт МБОУ «Мещеринская СОШ № 1», пос. Мещерино-1, г.о. Ступино,  военный городок № 1, в/ч 03770")</f>
        <v>Капитальный ремонт МБОУ «Мещеринская СОШ № 1», пос. Мещерино-1, г.о. Ступино,  военный городок № 1, в/ч 03770</v>
      </c>
      <c r="F421" s="67">
        <f ca="1">IFERROR(__xludf.DUMMYFUNCTION("""COMPUTED_VALUE"""),2020)</f>
        <v>2020</v>
      </c>
      <c r="G421" s="67" t="str">
        <f ca="1">IFERROR(__xludf.DUMMYFUNCTION("""COMPUTED_VALUE"""),"г.о. Ступино")</f>
        <v>г.о. Ступино</v>
      </c>
      <c r="H421" s="67"/>
      <c r="I421" s="67">
        <f ca="1">IFERROR(__xludf.DUMMYFUNCTION("""COMPUTED_VALUE"""),33193.68)</f>
        <v>33193.68</v>
      </c>
      <c r="J421" s="67"/>
      <c r="K421" s="97">
        <f ca="1">IFERROR(__xludf.DUMMYFUNCTION("""COMPUTED_VALUE"""),2563)</f>
        <v>2563</v>
      </c>
      <c r="L421" s="97">
        <f ca="1">IFERROR(__xludf.DUMMYFUNCTION("""COMPUTED_VALUE"""),0)</f>
        <v>0</v>
      </c>
      <c r="M421" s="97">
        <f ca="1">IFERROR(__xludf.DUMMYFUNCTION("""COMPUTED_VALUE"""),0)</f>
        <v>0</v>
      </c>
      <c r="N421" s="67"/>
      <c r="O421" s="97">
        <f ca="1">IFERROR(__xludf.DUMMYFUNCTION("""COMPUTED_VALUE"""),0)</f>
        <v>0</v>
      </c>
      <c r="P421" s="97" t="str">
        <f ca="1">IFERROR(__xludf.DUMMYFUNCTION("""COMPUTED_VALUE"""),"Вып")</f>
        <v>Вып</v>
      </c>
      <c r="Q421" s="67">
        <f t="shared" ca="1" si="0"/>
        <v>0</v>
      </c>
      <c r="R421" s="67"/>
      <c r="S421" s="67"/>
      <c r="T421" s="67"/>
      <c r="U421" s="67"/>
      <c r="V421" s="67"/>
      <c r="W421" s="67"/>
      <c r="X421" s="67"/>
      <c r="Y421" s="67"/>
      <c r="Z421" s="67"/>
      <c r="AA421" s="67"/>
      <c r="AB421" s="67"/>
      <c r="AC421" s="67"/>
      <c r="AD421" s="67"/>
      <c r="AE421" s="67"/>
      <c r="AF421" s="67"/>
      <c r="AG421" s="67"/>
      <c r="AH421" s="67"/>
      <c r="AI421" s="67"/>
      <c r="AJ421" s="67"/>
      <c r="AK421" s="67"/>
      <c r="AL421" s="67"/>
      <c r="AM421" s="67"/>
    </row>
    <row r="422" spans="1:39" ht="144" x14ac:dyDescent="0.2">
      <c r="A422" s="67"/>
      <c r="B422" s="96"/>
      <c r="C42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2" s="24" t="str">
        <f ca="1">IFERROR(__xludf.DUMMYFUNCTION("""COMPUTED_VALUE"""),"МинЖКХ ")</f>
        <v xml:space="preserve">МинЖКХ </v>
      </c>
      <c r="E422" s="20" t="str">
        <f ca="1">IFERROR(__xludf.DUMMYFUNCTION("""COMPUTED_VALUE"""),"Капитальный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облас"&amp;"ти – 3 662,00 тыс.руб.)")</f>
        <v>Капитальный ремонт тепловых сетей г.о. Балашиха, мкр. Северный, военный городок № 417,   в том числе погашение кредиторской задолжености за выполненые  работы но не оплаченые в 2019 году в размере 4 067,79 тыс.руб. из них средства бюджета Московской области – 3 662,00 тыс.руб.)</v>
      </c>
      <c r="F422" s="67" t="str">
        <f ca="1">IFERROR(__xludf.DUMMYFUNCTION("""COMPUTED_VALUE"""),"2019-2020")</f>
        <v>2019-2020</v>
      </c>
      <c r="G422" s="67" t="str">
        <f ca="1">IFERROR(__xludf.DUMMYFUNCTION("""COMPUTED_VALUE"""),"г.о. Балашиха")</f>
        <v>г.о. Балашиха</v>
      </c>
      <c r="H422" s="67" t="str">
        <f ca="1">IFERROR(__xludf.DUMMYFUNCTION("""COMPUTED_VALUE"""),"Сети")</f>
        <v>Сети</v>
      </c>
      <c r="I422" s="97">
        <f ca="1">IFERROR(__xludf.DUMMYFUNCTION("""COMPUTED_VALUE"""),82579.25)</f>
        <v>82579.25</v>
      </c>
      <c r="J422" s="67"/>
      <c r="K422" s="97">
        <f ca="1">IFERROR(__xludf.DUMMYFUNCTION("""COMPUTED_VALUE"""),10417.3)</f>
        <v>10417.299999999999</v>
      </c>
      <c r="L422" s="97">
        <f ca="1">IFERROR(__xludf.DUMMYFUNCTION("""COMPUTED_VALUE"""),0)</f>
        <v>0</v>
      </c>
      <c r="M422" s="97">
        <f ca="1">IFERROR(__xludf.DUMMYFUNCTION("""COMPUTED_VALUE"""),0)</f>
        <v>0</v>
      </c>
      <c r="N422" s="67"/>
      <c r="O422" s="97">
        <f ca="1">IFERROR(__xludf.DUMMYFUNCTION("""COMPUTED_VALUE"""),0)</f>
        <v>0</v>
      </c>
      <c r="P422" s="97" t="str">
        <f ca="1">IFERROR(__xludf.DUMMYFUNCTION("""COMPUTED_VALUE"""),"Вып")</f>
        <v>Вып</v>
      </c>
      <c r="Q422" s="67">
        <f t="shared" ca="1" si="0"/>
        <v>0</v>
      </c>
      <c r="R422" s="67"/>
      <c r="S422" s="67"/>
      <c r="T422" s="67"/>
      <c r="U422" s="67"/>
      <c r="V422" s="67"/>
      <c r="W422" s="67"/>
      <c r="X422" s="67"/>
      <c r="Y422" s="67"/>
      <c r="Z422" s="67"/>
      <c r="AA422" s="67"/>
      <c r="AB422" s="67"/>
      <c r="AC422" s="67"/>
      <c r="AD422" s="67"/>
      <c r="AE422" s="67"/>
      <c r="AF422" s="67"/>
      <c r="AG422" s="67"/>
      <c r="AH422" s="67"/>
      <c r="AI422" s="67"/>
      <c r="AJ422" s="67"/>
      <c r="AK422" s="67"/>
      <c r="AL422" s="67"/>
      <c r="AM422" s="67"/>
    </row>
    <row r="423" spans="1:39" ht="144" x14ac:dyDescent="0.2">
      <c r="A423" s="67"/>
      <c r="B423" s="100"/>
      <c r="C42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3" s="24" t="str">
        <f ca="1">IFERROR(__xludf.DUMMYFUNCTION("""COMPUTED_VALUE"""),"МинЖКХ ")</f>
        <v xml:space="preserve">МинЖКХ </v>
      </c>
      <c r="E423" s="20" t="str">
        <f ca="1">IFERROR(__xludf.DUMMYFUNCTION("""COMPUTED_VALUE"""),"Капитальный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2"&amp;"22,0 тыс.руб.)
")</f>
        <v xml:space="preserve">Капитальный ремонт тепловых сетей г.о. Балашиха,
мкр. Заря, военный городок № 413,   в том числе погашение кредиторской задолжености за выполненые  работы но не оплаченые в 2019 году в размере 246,64 тыс.руб. из них средства бюджета Московской области – 222,0 тыс.руб.)
</v>
      </c>
      <c r="F423" s="67" t="str">
        <f ca="1">IFERROR(__xludf.DUMMYFUNCTION("""COMPUTED_VALUE"""),"2019-2020")</f>
        <v>2019-2020</v>
      </c>
      <c r="G423" s="67" t="str">
        <f ca="1">IFERROR(__xludf.DUMMYFUNCTION("""COMPUTED_VALUE"""),"г.о. Балашиха")</f>
        <v>г.о. Балашиха</v>
      </c>
      <c r="H423" s="67" t="str">
        <f ca="1">IFERROR(__xludf.DUMMYFUNCTION("""COMPUTED_VALUE"""),"Сети")</f>
        <v>Сети</v>
      </c>
      <c r="I423" s="97">
        <f ca="1">IFERROR(__xludf.DUMMYFUNCTION("""COMPUTED_VALUE"""),172120.6)</f>
        <v>172120.6</v>
      </c>
      <c r="J423" s="67"/>
      <c r="K423" s="97">
        <f ca="1">IFERROR(__xludf.DUMMYFUNCTION("""COMPUTED_VALUE"""),24859.35)</f>
        <v>24859.35</v>
      </c>
      <c r="L423" s="97">
        <f ca="1">IFERROR(__xludf.DUMMYFUNCTION("""COMPUTED_VALUE"""),0)</f>
        <v>0</v>
      </c>
      <c r="M423" s="97">
        <f ca="1">IFERROR(__xludf.DUMMYFUNCTION("""COMPUTED_VALUE"""),0)</f>
        <v>0</v>
      </c>
      <c r="N423" s="67"/>
      <c r="O423" s="97">
        <f ca="1">IFERROR(__xludf.DUMMYFUNCTION("""COMPUTED_VALUE"""),0)</f>
        <v>0</v>
      </c>
      <c r="P423" s="97" t="str">
        <f ca="1">IFERROR(__xludf.DUMMYFUNCTION("""COMPUTED_VALUE"""),"СМР")</f>
        <v>СМР</v>
      </c>
      <c r="Q423" s="67">
        <f t="shared" ca="1" si="0"/>
        <v>0</v>
      </c>
      <c r="R423" s="67"/>
      <c r="S423" s="67"/>
      <c r="T423" s="67"/>
      <c r="U423" s="67"/>
      <c r="V423" s="67"/>
      <c r="W423" s="67"/>
      <c r="X423" s="67"/>
      <c r="Y423" s="67"/>
      <c r="Z423" s="67"/>
      <c r="AA423" s="67"/>
      <c r="AB423" s="67"/>
      <c r="AC423" s="67"/>
      <c r="AD423" s="67"/>
      <c r="AE423" s="67"/>
      <c r="AF423" s="67"/>
      <c r="AG423" s="67"/>
      <c r="AH423" s="67"/>
      <c r="AI423" s="67"/>
      <c r="AJ423" s="67"/>
      <c r="AK423" s="67"/>
      <c r="AL423" s="67"/>
      <c r="AM423" s="67"/>
    </row>
    <row r="424" spans="1:39" ht="144" hidden="1" x14ac:dyDescent="0.2">
      <c r="A424" s="67"/>
      <c r="B424" s="100"/>
      <c r="C42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4" s="24" t="str">
        <f ca="1">IFERROR(__xludf.DUMMYFUNCTION("""COMPUTED_VALUE"""),"Минкульт")</f>
        <v>Минкульт</v>
      </c>
      <c r="E424" s="20" t="str">
        <f ca="1">IFERROR(__xludf.DUMMYFUNCTION("""COMPUTED_VALUE"""),"Капитальный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f>
        <v>Капитальный ремонт и техническое переоснащение здания Дома культуры «Северный» МБУК городского округа Балашиха «Культурно-досуговый центр «Заря» г.о. Балашиха, мкр. Северный, д. 9, военный городок № 417</v>
      </c>
      <c r="F424" s="67" t="str">
        <f ca="1">IFERROR(__xludf.DUMMYFUNCTION("""COMPUTED_VALUE"""),"2018-2020")</f>
        <v>2018-2020</v>
      </c>
      <c r="G424" s="67" t="str">
        <f ca="1">IFERROR(__xludf.DUMMYFUNCTION("""COMPUTED_VALUE"""),"г.о. Балашиха")</f>
        <v>г.о. Балашиха</v>
      </c>
      <c r="H424" s="67"/>
      <c r="I424" s="67"/>
      <c r="J424" s="67"/>
      <c r="K424" s="97">
        <f ca="1">IFERROR(__xludf.DUMMYFUNCTION("""COMPUTED_VALUE"""),6218.65)</f>
        <v>6218.65</v>
      </c>
      <c r="L424" s="97">
        <f ca="1">IFERROR(__xludf.DUMMYFUNCTION("""COMPUTED_VALUE"""),1128.3)</f>
        <v>1128.3</v>
      </c>
      <c r="M424" s="97">
        <f ca="1">IFERROR(__xludf.DUMMYFUNCTION("""COMPUTED_VALUE"""),0)</f>
        <v>0</v>
      </c>
      <c r="N424" s="67"/>
      <c r="O424" s="97">
        <f ca="1">IFERROR(__xludf.DUMMYFUNCTION("""COMPUTED_VALUE"""),0)</f>
        <v>0</v>
      </c>
      <c r="P424" s="67"/>
      <c r="Q424" s="67">
        <f t="shared" ca="1" si="0"/>
        <v>0</v>
      </c>
      <c r="R424" s="67"/>
      <c r="S424" s="67"/>
      <c r="T424" s="67"/>
      <c r="U424" s="67"/>
      <c r="V424" s="67"/>
      <c r="W424" s="67"/>
      <c r="X424" s="67"/>
      <c r="Y424" s="67"/>
      <c r="Z424" s="67"/>
      <c r="AA424" s="67"/>
      <c r="AB424" s="67"/>
      <c r="AC424" s="67"/>
      <c r="AD424" s="67"/>
      <c r="AE424" s="67"/>
      <c r="AF424" s="67"/>
      <c r="AG424" s="67"/>
      <c r="AH424" s="67"/>
      <c r="AI424" s="67"/>
      <c r="AJ424" s="67"/>
      <c r="AK424" s="67"/>
      <c r="AL424" s="67"/>
      <c r="AM424" s="67"/>
    </row>
    <row r="425" spans="1:39" ht="96" hidden="1" x14ac:dyDescent="0.2">
      <c r="A425" s="67"/>
      <c r="B425" s="96"/>
      <c r="C425"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25" s="24" t="str">
        <f ca="1">IFERROR(__xludf.DUMMYFUNCTION("""COMPUTED_VALUE"""),"МинЖКХ ")</f>
        <v xml:space="preserve">МинЖКХ </v>
      </c>
      <c r="E425" s="20" t="str">
        <f ca="1">IFERROR(__xludf.DUMMYFUNCTION("""COMPUTED_VALUE"""),"Строительство газовой котельной 20МВт по адресу: городской округ Балашиха, мкр. Северный, в том числе:: ПИР")</f>
        <v>Строительство газовой котельной 20МВт по адресу: городской округ Балашиха, мкр. Северный, в том числе:: ПИР</v>
      </c>
      <c r="F425" s="97" t="str">
        <f ca="1">IFERROR(__xludf.DUMMYFUNCTION("""COMPUTED_VALUE"""),"2018, 2021, 2022")</f>
        <v>2018, 2021, 2022</v>
      </c>
      <c r="G425" s="67" t="str">
        <f ca="1">IFERROR(__xludf.DUMMYFUNCTION("""COMPUTED_VALUE"""),"г.о. Балашиха")</f>
        <v>г.о. Балашиха</v>
      </c>
      <c r="H425" s="97" t="str">
        <f ca="1">IFERROR(__xludf.DUMMYFUNCTION("""COMPUTED_VALUE"""),"Котельная")</f>
        <v>Котельная</v>
      </c>
      <c r="I425" s="97">
        <f ca="1">IFERROR(__xludf.DUMMYFUNCTION("""COMPUTED_VALUE"""),0)</f>
        <v>0</v>
      </c>
      <c r="J425" s="67"/>
      <c r="K425" s="97">
        <f ca="1">IFERROR(__xludf.DUMMYFUNCTION("""COMPUTED_VALUE"""),29946.8799999999)</f>
        <v>29946.879999999899</v>
      </c>
      <c r="L425" s="97">
        <f ca="1">IFERROR(__xludf.DUMMYFUNCTION("""COMPUTED_VALUE"""),8000)</f>
        <v>8000</v>
      </c>
      <c r="M425" s="97">
        <f ca="1">IFERROR(__xludf.DUMMYFUNCTION("""COMPUTED_VALUE"""),0)</f>
        <v>0</v>
      </c>
      <c r="N425" s="67"/>
      <c r="O425" s="97">
        <f ca="1">IFERROR(__xludf.DUMMYFUNCTION("""COMPUTED_VALUE"""),0)</f>
        <v>0</v>
      </c>
      <c r="P425" s="97" t="str">
        <f ca="1">IFERROR(__xludf.DUMMYFUNCTION("""COMPUTED_VALUE"""),"ПИР")</f>
        <v>ПИР</v>
      </c>
      <c r="Q425" s="67">
        <f t="shared" ca="1" si="0"/>
        <v>0</v>
      </c>
      <c r="R425" s="67"/>
      <c r="S425" s="67"/>
      <c r="T425" s="67"/>
      <c r="U425" s="67"/>
      <c r="V425" s="67"/>
      <c r="W425" s="67"/>
      <c r="X425" s="67"/>
      <c r="Y425" s="67"/>
      <c r="Z425" s="67"/>
      <c r="AA425" s="67"/>
      <c r="AB425" s="67"/>
      <c r="AC425" s="67"/>
      <c r="AD425" s="67"/>
      <c r="AE425" s="67"/>
      <c r="AF425" s="67"/>
      <c r="AG425" s="67"/>
      <c r="AH425" s="67"/>
      <c r="AI425" s="67"/>
      <c r="AJ425" s="67"/>
      <c r="AK425" s="67"/>
      <c r="AL425" s="67"/>
      <c r="AM425" s="67"/>
    </row>
    <row r="426" spans="1:39" ht="96" x14ac:dyDescent="0.2">
      <c r="A426" s="67"/>
      <c r="B426" s="96"/>
      <c r="C42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26" s="24" t="str">
        <f ca="1">IFERROR(__xludf.DUMMYFUNCTION("""COMPUTED_VALUE"""),"МинЖКХ ")</f>
        <v xml:space="preserve">МинЖКХ </v>
      </c>
      <c r="E426" s="20" t="str">
        <f ca="1">IFERROR(__xludf.DUMMYFUNCTION("""COMPUTED_VALUE"""),"Реконструкция котельной № 123 по адресу: Ногинский муниципальный район, с.п. Мамонтовское, военный городок Ногинск-9, в том числе:проектно-изыскательские работы")</f>
        <v>Реконструкция котельной № 123 по адресу: Ногинский муниципальный район, с.п. Мамонтовское, военный городок Ногинск-9, в том числе:проектно-изыскательские работы</v>
      </c>
      <c r="F426" s="67" t="str">
        <f ca="1">IFERROR(__xludf.DUMMYFUNCTION("""COMPUTED_VALUE"""),"2018-2020")</f>
        <v>2018-2020</v>
      </c>
      <c r="G426" s="67" t="str">
        <f ca="1">IFERROR(__xludf.DUMMYFUNCTION("""COMPUTED_VALUE"""),"г.о. Богородский")</f>
        <v>г.о. Богородский</v>
      </c>
      <c r="H426" s="67" t="str">
        <f ca="1">IFERROR(__xludf.DUMMYFUNCTION("""COMPUTED_VALUE"""),"Котельная")</f>
        <v>Котельная</v>
      </c>
      <c r="I426" s="97">
        <f ca="1">IFERROR(__xludf.DUMMYFUNCTION("""COMPUTED_VALUE"""),11702.79)</f>
        <v>11702.79</v>
      </c>
      <c r="J426" s="97">
        <f ca="1">IFERROR(__xludf.DUMMYFUNCTION("""COMPUTED_VALUE"""),182162)</f>
        <v>182162</v>
      </c>
      <c r="K426" s="97">
        <f ca="1">IFERROR(__xludf.DUMMYFUNCTION("""COMPUTED_VALUE"""),17457.16)</f>
        <v>17457.16</v>
      </c>
      <c r="L426" s="97">
        <f ca="1">IFERROR(__xludf.DUMMYFUNCTION("""COMPUTED_VALUE"""),23793.5)</f>
        <v>23793.5</v>
      </c>
      <c r="M426" s="97">
        <f ca="1">IFERROR(__xludf.DUMMYFUNCTION("""COMPUTED_VALUE"""),0)</f>
        <v>0</v>
      </c>
      <c r="N426" s="67"/>
      <c r="O426" s="97">
        <f ca="1">IFERROR(__xludf.DUMMYFUNCTION("""COMPUTED_VALUE"""),21631.83)</f>
        <v>21631.83</v>
      </c>
      <c r="P426" s="97" t="str">
        <f ca="1">IFERROR(__xludf.DUMMYFUNCTION("""COMPUTED_VALUE"""),"Вып")</f>
        <v>Вып</v>
      </c>
      <c r="Q426" s="67">
        <f t="shared" ca="1" si="0"/>
        <v>0</v>
      </c>
      <c r="R426" s="67"/>
      <c r="S426" s="67"/>
      <c r="T426" s="67"/>
      <c r="U426" s="67"/>
      <c r="V426" s="67"/>
      <c r="W426" s="67"/>
      <c r="X426" s="67"/>
      <c r="Y426" s="67"/>
      <c r="Z426" s="67"/>
      <c r="AA426" s="67"/>
      <c r="AB426" s="67"/>
      <c r="AC426" s="67"/>
      <c r="AD426" s="67"/>
      <c r="AE426" s="67"/>
      <c r="AF426" s="67"/>
      <c r="AG426" s="67"/>
      <c r="AH426" s="67"/>
      <c r="AI426" s="67"/>
      <c r="AJ426" s="67"/>
      <c r="AK426" s="67"/>
      <c r="AL426" s="67"/>
      <c r="AM426" s="67"/>
    </row>
    <row r="427" spans="1:39" ht="144" hidden="1" x14ac:dyDescent="0.2">
      <c r="A427" s="67"/>
      <c r="B427" s="100"/>
      <c r="C427"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7" s="24" t="str">
        <f ca="1">IFERROR(__xludf.DUMMYFUNCTION("""COMPUTED_VALUE"""),"МинЖКХ ")</f>
        <v xml:space="preserve">МинЖКХ </v>
      </c>
      <c r="E427" s="20" t="str">
        <f ca="1">IFERROR(__xludf.DUMMYFUNCTION("""COMPUTED_VALUE"""),"Капитальный ремонт наружных тепловых сетей и ГВС в в/г Ногинск-9 Богородского городского округа Московской области")</f>
        <v>Капитальный ремонт наружных тепловых сетей и ГВС в в/г Ногинск-9 Богородского городского округа Московской области</v>
      </c>
      <c r="F427" s="67">
        <f ca="1">IFERROR(__xludf.DUMMYFUNCTION("""COMPUTED_VALUE"""),2021)</f>
        <v>2021</v>
      </c>
      <c r="G427" s="67" t="str">
        <f ca="1">IFERROR(__xludf.DUMMYFUNCTION("""COMPUTED_VALUE"""),"г.о. Богородский")</f>
        <v>г.о. Богородский</v>
      </c>
      <c r="H427" s="67" t="str">
        <f ca="1">IFERROR(__xludf.DUMMYFUNCTION("""COMPUTED_VALUE"""),"Сети")</f>
        <v>Сети</v>
      </c>
      <c r="I427" s="97">
        <f ca="1">IFERROR(__xludf.DUMMYFUNCTION("""COMPUTED_VALUE"""),0)</f>
        <v>0</v>
      </c>
      <c r="J427" s="67"/>
      <c r="K427" s="97">
        <f ca="1">IFERROR(__xludf.DUMMYFUNCTION("""COMPUTED_VALUE"""),1819.48)</f>
        <v>1819.48</v>
      </c>
      <c r="L427" s="97">
        <f ca="1">IFERROR(__xludf.DUMMYFUNCTION("""COMPUTED_VALUE"""),0)</f>
        <v>0</v>
      </c>
      <c r="M427" s="97">
        <f ca="1">IFERROR(__xludf.DUMMYFUNCTION("""COMPUTED_VALUE"""),0)</f>
        <v>0</v>
      </c>
      <c r="N427" s="67"/>
      <c r="O427" s="97">
        <f ca="1">IFERROR(__xludf.DUMMYFUNCTION("""COMPUTED_VALUE"""),0)</f>
        <v>0</v>
      </c>
      <c r="P427" s="67"/>
      <c r="Q427" s="67">
        <f t="shared" ca="1" si="0"/>
        <v>0</v>
      </c>
      <c r="R427" s="67"/>
      <c r="S427" s="67"/>
      <c r="T427" s="67"/>
      <c r="U427" s="67"/>
      <c r="V427" s="67"/>
      <c r="W427" s="67"/>
      <c r="X427" s="67"/>
      <c r="Y427" s="67"/>
      <c r="Z427" s="67"/>
      <c r="AA427" s="67"/>
      <c r="AB427" s="67"/>
      <c r="AC427" s="67"/>
      <c r="AD427" s="67"/>
      <c r="AE427" s="67"/>
      <c r="AF427" s="67"/>
      <c r="AG427" s="67"/>
      <c r="AH427" s="67"/>
      <c r="AI427" s="67"/>
      <c r="AJ427" s="67"/>
      <c r="AK427" s="67"/>
      <c r="AL427" s="67"/>
      <c r="AM427" s="67"/>
    </row>
    <row r="428" spans="1:39" ht="144" hidden="1" x14ac:dyDescent="0.2">
      <c r="A428" s="67"/>
      <c r="B428" s="96"/>
      <c r="C428"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8" s="24" t="str">
        <f ca="1">IFERROR(__xludf.DUMMYFUNCTION("""COMPUTED_VALUE"""),"МинЖКХ ")</f>
        <v xml:space="preserve">МинЖКХ </v>
      </c>
      <c r="E428" s="20" t="str">
        <f ca="1">IFERROR(__xludf.DUMMYFUNCTION("""COMPUTED_VALUE"""),"Капитальный ремонт наружных водопроводных сетей в в/г Ногинск-9 Богородского городского округа Московской области")</f>
        <v>Капитальный ремонт наружных водопроводных сетей в в/г Ногинск-9 Богородского городского округа Московской области</v>
      </c>
      <c r="F428" s="67">
        <f ca="1">IFERROR(__xludf.DUMMYFUNCTION("""COMPUTED_VALUE"""),2021)</f>
        <v>2021</v>
      </c>
      <c r="G428" s="67" t="str">
        <f ca="1">IFERROR(__xludf.DUMMYFUNCTION("""COMPUTED_VALUE"""),"г.о. Богородский")</f>
        <v>г.о. Богородский</v>
      </c>
      <c r="H428" s="67" t="str">
        <f ca="1">IFERROR(__xludf.DUMMYFUNCTION("""COMPUTED_VALUE"""),"Сети")</f>
        <v>Сети</v>
      </c>
      <c r="I428" s="97">
        <f ca="1">IFERROR(__xludf.DUMMYFUNCTION("""COMPUTED_VALUE"""),0)</f>
        <v>0</v>
      </c>
      <c r="J428" s="67"/>
      <c r="K428" s="97">
        <f ca="1">IFERROR(__xludf.DUMMYFUNCTION("""COMPUTED_VALUE"""),1720.26)</f>
        <v>1720.26</v>
      </c>
      <c r="L428" s="97">
        <f ca="1">IFERROR(__xludf.DUMMYFUNCTION("""COMPUTED_VALUE"""),0)</f>
        <v>0</v>
      </c>
      <c r="M428" s="97">
        <f ca="1">IFERROR(__xludf.DUMMYFUNCTION("""COMPUTED_VALUE"""),0)</f>
        <v>0</v>
      </c>
      <c r="N428" s="67"/>
      <c r="O428" s="97">
        <f ca="1">IFERROR(__xludf.DUMMYFUNCTION("""COMPUTED_VALUE"""),0)</f>
        <v>0</v>
      </c>
      <c r="P428" s="67"/>
      <c r="Q428" s="67">
        <f t="shared" ca="1" si="0"/>
        <v>0</v>
      </c>
      <c r="R428" s="67"/>
      <c r="S428" s="67"/>
      <c r="T428" s="67"/>
      <c r="U428" s="67"/>
      <c r="V428" s="67"/>
      <c r="W428" s="67"/>
      <c r="X428" s="67"/>
      <c r="Y428" s="67"/>
      <c r="Z428" s="67"/>
      <c r="AA428" s="67"/>
      <c r="AB428" s="67"/>
      <c r="AC428" s="67"/>
      <c r="AD428" s="67"/>
      <c r="AE428" s="67"/>
      <c r="AF428" s="67"/>
      <c r="AG428" s="67"/>
      <c r="AH428" s="67"/>
      <c r="AI428" s="67"/>
      <c r="AJ428" s="67"/>
      <c r="AK428" s="67"/>
      <c r="AL428" s="67"/>
      <c r="AM428" s="67"/>
    </row>
    <row r="429" spans="1:39" ht="144" hidden="1" x14ac:dyDescent="0.2">
      <c r="A429" s="67"/>
      <c r="B429" s="96"/>
      <c r="C42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9" s="24" t="str">
        <f ca="1">IFERROR(__xludf.DUMMYFUNCTION("""COMPUTED_VALUE"""),"МинЖКХ ")</f>
        <v xml:space="preserve">МинЖКХ </v>
      </c>
      <c r="E429" s="20" t="str">
        <f ca="1">IFERROR(__xludf.DUMMYFUNCTION("""COMPUTED_VALUE"""),"Капитальный ремонт наружных сетей канализации сельское поселение Степановское, село Всеволодово военный городок Ногинск-5")</f>
        <v>Капитальный ремонт наружных сетей канализации сельское поселение Степановское, село Всеволодово военный городок Ногинск-5</v>
      </c>
      <c r="F429" s="67">
        <f ca="1">IFERROR(__xludf.DUMMYFUNCTION("""COMPUTED_VALUE"""),2019)</f>
        <v>2019</v>
      </c>
      <c r="G429" s="67" t="str">
        <f ca="1">IFERROR(__xludf.DUMMYFUNCTION("""COMPUTED_VALUE"""),"г.о. Электросталь")</f>
        <v>г.о. Электросталь</v>
      </c>
      <c r="H429" s="67" t="str">
        <f ca="1">IFERROR(__xludf.DUMMYFUNCTION("""COMPUTED_VALUE"""),"Сети")</f>
        <v>Сети</v>
      </c>
      <c r="I429" s="67"/>
      <c r="J429" s="67"/>
      <c r="K429" s="97">
        <f ca="1">IFERROR(__xludf.DUMMYFUNCTION("""COMPUTED_VALUE"""),4474.38)</f>
        <v>4474.38</v>
      </c>
      <c r="L429" s="97">
        <f ca="1">IFERROR(__xludf.DUMMYFUNCTION("""COMPUTED_VALUE"""),0)</f>
        <v>0</v>
      </c>
      <c r="M429" s="97">
        <f ca="1">IFERROR(__xludf.DUMMYFUNCTION("""COMPUTED_VALUE"""),0)</f>
        <v>0</v>
      </c>
      <c r="N429" s="67"/>
      <c r="O429" s="97">
        <f ca="1">IFERROR(__xludf.DUMMYFUNCTION("""COMPUTED_VALUE"""),0)</f>
        <v>0</v>
      </c>
      <c r="P429" s="67"/>
      <c r="Q429" s="67">
        <f t="shared" ca="1" si="0"/>
        <v>0</v>
      </c>
      <c r="R429" s="67"/>
      <c r="S429" s="67"/>
      <c r="T429" s="67"/>
      <c r="U429" s="67"/>
      <c r="V429" s="67"/>
      <c r="W429" s="67"/>
      <c r="X429" s="67"/>
      <c r="Y429" s="67"/>
      <c r="Z429" s="67"/>
      <c r="AA429" s="67"/>
      <c r="AB429" s="67"/>
      <c r="AC429" s="67"/>
      <c r="AD429" s="67"/>
      <c r="AE429" s="67"/>
      <c r="AF429" s="67"/>
      <c r="AG429" s="67"/>
      <c r="AH429" s="67"/>
      <c r="AI429" s="67"/>
      <c r="AJ429" s="67"/>
      <c r="AK429" s="67"/>
      <c r="AL429" s="67"/>
      <c r="AM429" s="67"/>
    </row>
    <row r="430" spans="1:39" ht="96" hidden="1" x14ac:dyDescent="0.2">
      <c r="A430" s="67"/>
      <c r="B430" s="96"/>
      <c r="C430"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0" s="24" t="str">
        <f ca="1">IFERROR(__xludf.DUMMYFUNCTION("""COMPUTED_VALUE"""),"МинЖКХ ")</f>
        <v xml:space="preserve">МинЖКХ </v>
      </c>
      <c r="E430" s="20" t="str">
        <f ca="1">IFERROR(__xludf.DUMMYFUNCTION("""COMPUTED_VALUE"""),"Реконструкция тепловой сети в подземном исполнении по адресу: Московская область, городской округ Власиха, п. Власиха, ул. Цветной бульвар")</f>
        <v>Реконструкция тепловой сети в подземном исполнении по адресу: Московская область, городской округ Власиха, п. Власиха, ул. Цветной бульвар</v>
      </c>
      <c r="F430" s="97" t="str">
        <f ca="1">IFERROR(__xludf.DUMMYFUNCTION("""COMPUTED_VALUE"""),"2021-2022")</f>
        <v>2021-2022</v>
      </c>
      <c r="G430" s="67" t="str">
        <f ca="1">IFERROR(__xludf.DUMMYFUNCTION("""COMPUTED_VALUE"""),"ЗАТО Власиха")</f>
        <v>ЗАТО Власиха</v>
      </c>
      <c r="H430" s="97" t="str">
        <f ca="1">IFERROR(__xludf.DUMMYFUNCTION("""COMPUTED_VALUE"""),"Сети")</f>
        <v>Сети</v>
      </c>
      <c r="I430" s="97">
        <f ca="1">IFERROR(__xludf.DUMMYFUNCTION("""COMPUTED_VALUE"""),0)</f>
        <v>0</v>
      </c>
      <c r="J430" s="67"/>
      <c r="K430" s="97">
        <f ca="1">IFERROR(__xludf.DUMMYFUNCTION("""COMPUTED_VALUE"""),6861.08)</f>
        <v>6861.08</v>
      </c>
      <c r="L430" s="97">
        <f ca="1">IFERROR(__xludf.DUMMYFUNCTION("""COMPUTED_VALUE"""),0)</f>
        <v>0</v>
      </c>
      <c r="M430" s="97">
        <f ca="1">IFERROR(__xludf.DUMMYFUNCTION("""COMPUTED_VALUE"""),0)</f>
        <v>0</v>
      </c>
      <c r="N430" s="67"/>
      <c r="O430" s="97">
        <f ca="1">IFERROR(__xludf.DUMMYFUNCTION("""COMPUTED_VALUE"""),0)</f>
        <v>0</v>
      </c>
      <c r="P430" s="67"/>
      <c r="Q430" s="67">
        <f t="shared" ca="1" si="0"/>
        <v>0</v>
      </c>
      <c r="R430" s="67"/>
      <c r="S430" s="67"/>
      <c r="T430" s="67"/>
      <c r="U430" s="67"/>
      <c r="V430" s="67"/>
      <c r="W430" s="67"/>
      <c r="X430" s="67"/>
      <c r="Y430" s="67"/>
      <c r="Z430" s="67"/>
      <c r="AA430" s="67"/>
      <c r="AB430" s="67"/>
      <c r="AC430" s="67"/>
      <c r="AD430" s="67"/>
      <c r="AE430" s="67"/>
      <c r="AF430" s="67"/>
      <c r="AG430" s="67"/>
      <c r="AH430" s="67"/>
      <c r="AI430" s="67"/>
      <c r="AJ430" s="67"/>
      <c r="AK430" s="67"/>
      <c r="AL430" s="67"/>
      <c r="AM430" s="67"/>
    </row>
    <row r="431" spans="1:39" ht="144" hidden="1" x14ac:dyDescent="0.2">
      <c r="A431" s="67"/>
      <c r="B431" s="96"/>
      <c r="C43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1" s="24" t="str">
        <f ca="1">IFERROR(__xludf.DUMMYFUNCTION("""COMPUTED_VALUE"""),"Минкульт")</f>
        <v>Минкульт</v>
      </c>
      <c r="E431" s="20" t="str">
        <f ca="1">IFERROR(__xludf.DUMMYFUNCTION("""COMPUTED_VALUE"""),"Капитальный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f>
        <v xml:space="preserve">Капитальный ремонт здания МБУК городского округа Балашиха «Культурно-досуговый центр» Дом культуры «Заря» г.о. Балашиха, мкр. Заря, ул. Ленина, д. 6 военный городок № 413
</v>
      </c>
      <c r="F431" s="67" t="str">
        <f ca="1">IFERROR(__xludf.DUMMYFUNCTION("""COMPUTED_VALUE"""),"2019-2020")</f>
        <v>2019-2020</v>
      </c>
      <c r="G431" s="67" t="str">
        <f ca="1">IFERROR(__xludf.DUMMYFUNCTION("""COMPUTED_VALUE"""),"г.о. Балашиха")</f>
        <v>г.о. Балашиха</v>
      </c>
      <c r="H431" s="67"/>
      <c r="I431" s="67"/>
      <c r="J431" s="67"/>
      <c r="K431" s="97">
        <f ca="1">IFERROR(__xludf.DUMMYFUNCTION("""COMPUTED_VALUE"""),1163)</f>
        <v>1163</v>
      </c>
      <c r="L431" s="97">
        <f ca="1">IFERROR(__xludf.DUMMYFUNCTION("""COMPUTED_VALUE"""),0)</f>
        <v>0</v>
      </c>
      <c r="M431" s="97">
        <f ca="1">IFERROR(__xludf.DUMMYFUNCTION("""COMPUTED_VALUE"""),0)</f>
        <v>0</v>
      </c>
      <c r="N431" s="67"/>
      <c r="O431" s="97">
        <f ca="1">IFERROR(__xludf.DUMMYFUNCTION("""COMPUTED_VALUE"""),0)</f>
        <v>0</v>
      </c>
      <c r="P431" s="67"/>
      <c r="Q431" s="67">
        <f t="shared" ca="1" si="0"/>
        <v>0</v>
      </c>
      <c r="R431" s="67"/>
      <c r="S431" s="67"/>
      <c r="T431" s="67"/>
      <c r="U431" s="67"/>
      <c r="V431" s="67"/>
      <c r="W431" s="67"/>
      <c r="X431" s="67"/>
      <c r="Y431" s="67"/>
      <c r="Z431" s="67"/>
      <c r="AA431" s="67"/>
      <c r="AB431" s="67"/>
      <c r="AC431" s="67"/>
      <c r="AD431" s="67"/>
      <c r="AE431" s="67"/>
      <c r="AF431" s="67"/>
      <c r="AG431" s="67"/>
      <c r="AH431" s="67"/>
      <c r="AI431" s="67"/>
      <c r="AJ431" s="67"/>
      <c r="AK431" s="67"/>
      <c r="AL431" s="67"/>
      <c r="AM431" s="67"/>
    </row>
    <row r="432" spans="1:39" ht="96" hidden="1" x14ac:dyDescent="0.2">
      <c r="A432" s="67"/>
      <c r="B432" s="96"/>
      <c r="C432"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2" s="24" t="str">
        <f ca="1">IFERROR(__xludf.DUMMYFUNCTION("""COMPUTED_VALUE"""),"МинЖКХ ")</f>
        <v xml:space="preserve">МинЖКХ </v>
      </c>
      <c r="E432" s="20" t="str">
        <f ca="1">IFERROR(__xludf.DUMMYFUNCTION("""COMPUTED_VALUE"""),"Реконструкция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f>
        <v>Реконструкция котельной № 2 с демонтажем дымовой трубы в п. Власиха (в том числе ПИР) ( в том числе погашение кредиторской задолженности - 14779,28 тыс.руб., из них бюджет Московской области - 14779 тыс.руб.)</v>
      </c>
      <c r="F432" s="101" t="str">
        <f ca="1">IFERROR(__xludf.DUMMYFUNCTION("""COMPUTED_VALUE"""),"2019")</f>
        <v>2019</v>
      </c>
      <c r="G432" s="67" t="str">
        <f ca="1">IFERROR(__xludf.DUMMYFUNCTION("""COMPUTED_VALUE"""),"ЗАТО Власиха")</f>
        <v>ЗАТО Власиха</v>
      </c>
      <c r="H432" s="101" t="str">
        <f ca="1">IFERROR(__xludf.DUMMYFUNCTION("""COMPUTED_VALUE"""),"Котельная")</f>
        <v>Котельная</v>
      </c>
      <c r="I432" s="67"/>
      <c r="J432" s="67"/>
      <c r="K432" s="97">
        <f ca="1">IFERROR(__xludf.DUMMYFUNCTION("""COMPUTED_VALUE"""),0.28)</f>
        <v>0.28000000000000003</v>
      </c>
      <c r="L432" s="97">
        <f ca="1">IFERROR(__xludf.DUMMYFUNCTION("""COMPUTED_VALUE"""),0)</f>
        <v>0</v>
      </c>
      <c r="M432" s="97">
        <f ca="1">IFERROR(__xludf.DUMMYFUNCTION("""COMPUTED_VALUE"""),0)</f>
        <v>0</v>
      </c>
      <c r="N432" s="67"/>
      <c r="O432" s="97">
        <f ca="1">IFERROR(__xludf.DUMMYFUNCTION("""COMPUTED_VALUE"""),0)</f>
        <v>0</v>
      </c>
      <c r="P432" s="67"/>
      <c r="Q432" s="67">
        <f t="shared" ca="1" si="0"/>
        <v>0</v>
      </c>
      <c r="R432" s="67"/>
      <c r="S432" s="67"/>
      <c r="T432" s="67"/>
      <c r="U432" s="67"/>
      <c r="V432" s="67"/>
      <c r="W432" s="67"/>
      <c r="X432" s="67"/>
      <c r="Y432" s="67"/>
      <c r="Z432" s="67"/>
      <c r="AA432" s="67"/>
      <c r="AB432" s="67"/>
      <c r="AC432" s="67"/>
      <c r="AD432" s="67"/>
      <c r="AE432" s="67"/>
      <c r="AF432" s="67"/>
      <c r="AG432" s="67"/>
      <c r="AH432" s="67"/>
      <c r="AI432" s="67"/>
      <c r="AJ432" s="67"/>
      <c r="AK432" s="67"/>
      <c r="AL432" s="67"/>
      <c r="AM432" s="67"/>
    </row>
    <row r="433" spans="1:39" ht="144" hidden="1" x14ac:dyDescent="0.2">
      <c r="A433" s="67"/>
      <c r="B433" s="96"/>
      <c r="C43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3" s="24" t="str">
        <f ca="1">IFERROR(__xludf.DUMMYFUNCTION("""COMPUTED_VALUE"""),"МинЖКХ ")</f>
        <v xml:space="preserve">МинЖКХ </v>
      </c>
      <c r="E433" s="20" t="str">
        <f ca="1">IFERROR(__xludf.DUMMYFUNCTION("""COMPUTED_VALUE"""),"Капитальный ремонт сетей водоснабжения п. Власиха военный городок № 22/1 (г.Одинцово-10)
")</f>
        <v xml:space="preserve">Капитальный ремонт сетей водоснабжения п. Власиха военный городок № 22/1 (г.Одинцово-10)
</v>
      </c>
      <c r="F433" s="67">
        <f ca="1">IFERROR(__xludf.DUMMYFUNCTION("""COMPUTED_VALUE"""),2019)</f>
        <v>2019</v>
      </c>
      <c r="G433" s="67" t="str">
        <f ca="1">IFERROR(__xludf.DUMMYFUNCTION("""COMPUTED_VALUE"""),"ЗАТО Власиха")</f>
        <v>ЗАТО Власиха</v>
      </c>
      <c r="H433" s="67" t="str">
        <f ca="1">IFERROR(__xludf.DUMMYFUNCTION("""COMPUTED_VALUE"""),"Сети")</f>
        <v>Сети</v>
      </c>
      <c r="I433" s="67"/>
      <c r="J433" s="67"/>
      <c r="K433" s="97">
        <f ca="1">IFERROR(__xludf.DUMMYFUNCTION("""COMPUTED_VALUE"""),1887.27)</f>
        <v>1887.27</v>
      </c>
      <c r="L433" s="97">
        <f ca="1">IFERROR(__xludf.DUMMYFUNCTION("""COMPUTED_VALUE"""),0)</f>
        <v>0</v>
      </c>
      <c r="M433" s="97">
        <f ca="1">IFERROR(__xludf.DUMMYFUNCTION("""COMPUTED_VALUE"""),0)</f>
        <v>0</v>
      </c>
      <c r="N433" s="67"/>
      <c r="O433" s="97">
        <f ca="1">IFERROR(__xludf.DUMMYFUNCTION("""COMPUTED_VALUE"""),0)</f>
        <v>0</v>
      </c>
      <c r="P433" s="67"/>
      <c r="Q433" s="67">
        <f t="shared" ca="1" si="0"/>
        <v>0</v>
      </c>
      <c r="R433" s="67"/>
      <c r="S433" s="67"/>
      <c r="T433" s="67"/>
      <c r="U433" s="67"/>
      <c r="V433" s="67"/>
      <c r="W433" s="67"/>
      <c r="X433" s="67"/>
      <c r="Y433" s="67"/>
      <c r="Z433" s="67"/>
      <c r="AA433" s="67"/>
      <c r="AB433" s="67"/>
      <c r="AC433" s="67"/>
      <c r="AD433" s="67"/>
      <c r="AE433" s="67"/>
      <c r="AF433" s="67"/>
      <c r="AG433" s="67"/>
      <c r="AH433" s="67"/>
      <c r="AI433" s="67"/>
      <c r="AJ433" s="67"/>
      <c r="AK433" s="67"/>
      <c r="AL433" s="67"/>
      <c r="AM433" s="67"/>
    </row>
    <row r="434" spans="1:39" ht="144" hidden="1" x14ac:dyDescent="0.2">
      <c r="A434" s="67"/>
      <c r="B434" s="96"/>
      <c r="C43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4" s="24" t="str">
        <f ca="1">IFERROR(__xludf.DUMMYFUNCTION("""COMPUTED_VALUE"""),"Минкульт")</f>
        <v>Минкульт</v>
      </c>
      <c r="E434" s="20" t="str">
        <f ca="1">IFERROR(__xludf.DUMMYFUNCTION("""COMPUTED_VALUE"""),"Капитальный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f>
        <v xml:space="preserve">Капитальный ремонт и техническое переоснащение  здания МУК «Дворец культуры» городского округа Власиха Московской области п. Власиха, ул. Маршала Жукова, д. 9 военный городок № 22/1 (г.Одинцово-10)
</v>
      </c>
      <c r="F434" s="67" t="str">
        <f ca="1">IFERROR(__xludf.DUMMYFUNCTION("""COMPUTED_VALUE"""),"2018-2020")</f>
        <v>2018-2020</v>
      </c>
      <c r="G434" s="67" t="str">
        <f ca="1">IFERROR(__xludf.DUMMYFUNCTION("""COMPUTED_VALUE"""),"ЗАТО Власиха")</f>
        <v>ЗАТО Власиха</v>
      </c>
      <c r="H434" s="67"/>
      <c r="I434" s="67"/>
      <c r="J434" s="67"/>
      <c r="K434" s="97">
        <f ca="1">IFERROR(__xludf.DUMMYFUNCTION("""COMPUTED_VALUE"""),6664.48)</f>
        <v>6664.48</v>
      </c>
      <c r="L434" s="97">
        <f ca="1">IFERROR(__xludf.DUMMYFUNCTION("""COMPUTED_VALUE"""),16418.11)</f>
        <v>16418.11</v>
      </c>
      <c r="M434" s="97">
        <f ca="1">IFERROR(__xludf.DUMMYFUNCTION("""COMPUTED_VALUE"""),0)</f>
        <v>0</v>
      </c>
      <c r="N434" s="67"/>
      <c r="O434" s="97">
        <f ca="1">IFERROR(__xludf.DUMMYFUNCTION("""COMPUTED_VALUE"""),15517.41)</f>
        <v>15517.41</v>
      </c>
      <c r="P434" s="67"/>
      <c r="Q434" s="67">
        <f t="shared" ca="1" si="0"/>
        <v>0</v>
      </c>
      <c r="R434" s="67"/>
      <c r="S434" s="67"/>
      <c r="T434" s="67"/>
      <c r="U434" s="67"/>
      <c r="V434" s="67"/>
      <c r="W434" s="67"/>
      <c r="X434" s="67"/>
      <c r="Y434" s="67"/>
      <c r="Z434" s="67"/>
      <c r="AA434" s="67"/>
      <c r="AB434" s="67"/>
      <c r="AC434" s="67"/>
      <c r="AD434" s="67"/>
      <c r="AE434" s="67"/>
      <c r="AF434" s="67"/>
      <c r="AG434" s="67"/>
      <c r="AH434" s="67"/>
      <c r="AI434" s="67"/>
      <c r="AJ434" s="67"/>
      <c r="AK434" s="67"/>
      <c r="AL434" s="67"/>
      <c r="AM434" s="67"/>
    </row>
    <row r="435" spans="1:39" ht="96" hidden="1" x14ac:dyDescent="0.2">
      <c r="A435" s="67"/>
      <c r="B435" s="96"/>
      <c r="C435"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5" s="24" t="str">
        <f ca="1">IFERROR(__xludf.DUMMYFUNCTION("""COMPUTED_VALUE"""),"МинЖКХ ")</f>
        <v xml:space="preserve">МинЖКХ </v>
      </c>
      <c r="E435" s="20" t="str">
        <f ca="1">IFERROR(__xludf.DUMMYFUNCTION("""COMPUTED_VALUE"""),"Канализационные очистные сооружения хозяйственно-бытовых сточных вод производительностью 1500 куб.м/сут. по адресу: п. Молодежный (в том числе ПИР)")</f>
        <v>Канализационные очистные сооружения хозяйственно-бытовых сточных вод производительностью 1500 куб.м/сут. по адресу: п. Молодежный (в том числе ПИР)</v>
      </c>
      <c r="F435" s="67" t="str">
        <f ca="1">IFERROR(__xludf.DUMMYFUNCTION("""COMPUTED_VALUE"""),"2016, 2022")</f>
        <v>2016, 2022</v>
      </c>
      <c r="G435" s="67" t="str">
        <f ca="1">IFERROR(__xludf.DUMMYFUNCTION("""COMPUTED_VALUE"""),"ЗАТО Молодежный")</f>
        <v>ЗАТО Молодежный</v>
      </c>
      <c r="H435" s="67" t="str">
        <f ca="1">IFERROR(__xludf.DUMMYFUNCTION("""COMPUTED_VALUE"""),"ОС")</f>
        <v>ОС</v>
      </c>
      <c r="I435" s="97">
        <f ca="1">IFERROR(__xludf.DUMMYFUNCTION("""COMPUTED_VALUE"""),0)</f>
        <v>0</v>
      </c>
      <c r="J435" s="67"/>
      <c r="K435" s="97">
        <f ca="1">IFERROR(__xludf.DUMMYFUNCTION("""COMPUTED_VALUE"""),5587.52)</f>
        <v>5587.52</v>
      </c>
      <c r="L435" s="97">
        <f ca="1">IFERROR(__xludf.DUMMYFUNCTION("""COMPUTED_VALUE"""),50840.57)</f>
        <v>50840.57</v>
      </c>
      <c r="M435" s="97">
        <f ca="1">IFERROR(__xludf.DUMMYFUNCTION("""COMPUTED_VALUE"""),0)</f>
        <v>0</v>
      </c>
      <c r="N435" s="67"/>
      <c r="O435" s="97">
        <f ca="1">IFERROR(__xludf.DUMMYFUNCTION("""COMPUTED_VALUE"""),48298.54)</f>
        <v>48298.54</v>
      </c>
      <c r="P435" s="67"/>
      <c r="Q435" s="67">
        <f t="shared" ca="1" si="0"/>
        <v>0</v>
      </c>
      <c r="R435" s="67"/>
      <c r="S435" s="67"/>
      <c r="T435" s="67"/>
      <c r="U435" s="67"/>
      <c r="V435" s="67"/>
      <c r="W435" s="67"/>
      <c r="X435" s="67"/>
      <c r="Y435" s="67"/>
      <c r="Z435" s="67"/>
      <c r="AA435" s="67"/>
      <c r="AB435" s="67"/>
      <c r="AC435" s="67"/>
      <c r="AD435" s="67"/>
      <c r="AE435" s="67"/>
      <c r="AF435" s="67"/>
      <c r="AG435" s="67"/>
      <c r="AH435" s="67"/>
      <c r="AI435" s="67"/>
      <c r="AJ435" s="67"/>
      <c r="AK435" s="67"/>
      <c r="AL435" s="67"/>
      <c r="AM435" s="67"/>
    </row>
    <row r="436" spans="1:39" ht="96" hidden="1" x14ac:dyDescent="0.2">
      <c r="A436" s="67"/>
      <c r="B436" s="96"/>
      <c r="C43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6" s="24" t="str">
        <f ca="1">IFERROR(__xludf.DUMMYFUNCTION("""COMPUTED_VALUE"""),"Минстрой")</f>
        <v>Минстрой</v>
      </c>
      <c r="E436" s="20" t="str">
        <f ca="1">IFERROR(__xludf.DUMMYFUNCTION("""COMPUTED_VALUE"""),"Физкультурно-оздоровительный комплекс с универсальным спортивным залом (ПИР и строительство) в ЗАТО Молодежный")</f>
        <v>Физкультурно-оздоровительный комплекс с универсальным спортивным залом (ПИР и строительство) в ЗАТО Молодежный</v>
      </c>
      <c r="F436" s="67" t="str">
        <f ca="1">IFERROR(__xludf.DUMMYFUNCTION("""COMPUTED_VALUE"""),"2018-2020")</f>
        <v>2018-2020</v>
      </c>
      <c r="G436" s="67" t="str">
        <f ca="1">IFERROR(__xludf.DUMMYFUNCTION("""COMPUTED_VALUE"""),"ЗАТО Молодежный")</f>
        <v>ЗАТО Молодежный</v>
      </c>
      <c r="H436" s="67"/>
      <c r="I436" s="67"/>
      <c r="J436" s="67"/>
      <c r="K436" s="97">
        <f ca="1">IFERROR(__xludf.DUMMYFUNCTION("""COMPUTED_VALUE"""),750)</f>
        <v>750</v>
      </c>
      <c r="L436" s="97">
        <f ca="1">IFERROR(__xludf.DUMMYFUNCTION("""COMPUTED_VALUE"""),15000)</f>
        <v>15000</v>
      </c>
      <c r="M436" s="97">
        <f ca="1">IFERROR(__xludf.DUMMYFUNCTION("""COMPUTED_VALUE"""),0)</f>
        <v>0</v>
      </c>
      <c r="N436" s="67"/>
      <c r="O436" s="97">
        <f ca="1">IFERROR(__xludf.DUMMYFUNCTION("""COMPUTED_VALUE"""),14250)</f>
        <v>14250</v>
      </c>
      <c r="P436" s="67"/>
      <c r="Q436" s="67">
        <f t="shared" ca="1" si="0"/>
        <v>0</v>
      </c>
      <c r="R436" s="67"/>
      <c r="S436" s="67"/>
      <c r="T436" s="67"/>
      <c r="U436" s="67"/>
      <c r="V436" s="67"/>
      <c r="W436" s="67"/>
      <c r="X436" s="67"/>
      <c r="Y436" s="67"/>
      <c r="Z436" s="67"/>
      <c r="AA436" s="67"/>
      <c r="AB436" s="67"/>
      <c r="AC436" s="67"/>
      <c r="AD436" s="67"/>
      <c r="AE436" s="67"/>
      <c r="AF436" s="67"/>
      <c r="AG436" s="67"/>
      <c r="AH436" s="67"/>
      <c r="AI436" s="67"/>
      <c r="AJ436" s="67"/>
      <c r="AK436" s="67"/>
      <c r="AL436" s="67"/>
      <c r="AM436" s="67"/>
    </row>
    <row r="437" spans="1:39" ht="108" x14ac:dyDescent="0.2">
      <c r="A437" s="67"/>
      <c r="B437" s="96"/>
      <c r="C43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7" s="24" t="str">
        <f ca="1">IFERROR(__xludf.DUMMYFUNCTION("""COMPUTED_VALUE"""),"МинЖКХ ")</f>
        <v xml:space="preserve">МинЖКХ </v>
      </c>
      <c r="E437" s="20" t="str">
        <f ca="1">IFERROR(__xludf.DUMMYFUNCTION("""COMPUTED_VALUE"""),"Реконструкция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f>
        <v>Реконструкция тепловых сетей военный городок Сосновый бор,  в/ч 17204 (в том числе ПИР), в том числе погашение кредиторской задолженность - 377,72  т.р., средства бюджета Московской области за счет средств поступивших из города Москвы</v>
      </c>
      <c r="F437" s="101" t="str">
        <f ca="1">IFERROR(__xludf.DUMMYFUNCTION("""COMPUTED_VALUE"""),"2019-2020")</f>
        <v>2019-2020</v>
      </c>
      <c r="G437" s="67" t="str">
        <f ca="1">IFERROR(__xludf.DUMMYFUNCTION("""COMPUTED_VALUE"""),"г.о. Коломенский")</f>
        <v>г.о. Коломенский</v>
      </c>
      <c r="H437" s="101" t="str">
        <f ca="1">IFERROR(__xludf.DUMMYFUNCTION("""COMPUTED_VALUE"""),"Сети")</f>
        <v>Сети</v>
      </c>
      <c r="I437" s="67"/>
      <c r="J437" s="97">
        <f ca="1">IFERROR(__xludf.DUMMYFUNCTION("""COMPUTED_VALUE"""),40322.18)</f>
        <v>40322.18</v>
      </c>
      <c r="K437" s="97">
        <f ca="1">IFERROR(__xludf.DUMMYFUNCTION("""COMPUTED_VALUE"""),3195.50999999999)</f>
        <v>3195.5099999999902</v>
      </c>
      <c r="L437" s="97">
        <f ca="1">IFERROR(__xludf.DUMMYFUNCTION("""COMPUTED_VALUE"""),0)</f>
        <v>0</v>
      </c>
      <c r="M437" s="97">
        <f ca="1">IFERROR(__xludf.DUMMYFUNCTION("""COMPUTED_VALUE"""),0)</f>
        <v>0</v>
      </c>
      <c r="N437" s="67"/>
      <c r="O437" s="97">
        <f ca="1">IFERROR(__xludf.DUMMYFUNCTION("""COMPUTED_VALUE"""),0)</f>
        <v>0</v>
      </c>
      <c r="P437" s="97" t="str">
        <f ca="1">IFERROR(__xludf.DUMMYFUNCTION("""COMPUTED_VALUE"""),"Вып")</f>
        <v>Вып</v>
      </c>
      <c r="Q437" s="67">
        <f t="shared" ca="1" si="0"/>
        <v>0</v>
      </c>
      <c r="R437" s="67"/>
      <c r="S437" s="67"/>
      <c r="T437" s="67"/>
      <c r="U437" s="67"/>
      <c r="V437" s="67"/>
      <c r="W437" s="67"/>
      <c r="X437" s="67"/>
      <c r="Y437" s="67"/>
      <c r="Z437" s="67"/>
      <c r="AA437" s="67"/>
      <c r="AB437" s="67"/>
      <c r="AC437" s="67"/>
      <c r="AD437" s="67"/>
      <c r="AE437" s="67"/>
      <c r="AF437" s="67"/>
      <c r="AG437" s="67"/>
      <c r="AH437" s="67"/>
      <c r="AI437" s="67"/>
      <c r="AJ437" s="67"/>
      <c r="AK437" s="67"/>
      <c r="AL437" s="67"/>
      <c r="AM437" s="67"/>
    </row>
    <row r="438" spans="1:39" ht="84" hidden="1" x14ac:dyDescent="0.2">
      <c r="A438" s="67"/>
      <c r="B438" s="100"/>
      <c r="C438"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38" s="24" t="str">
        <f ca="1">IFERROR(__xludf.DUMMYFUNCTION("""COMPUTED_VALUE"""),"МинЖКХ ")</f>
        <v xml:space="preserve">МинЖКХ </v>
      </c>
      <c r="E438" s="20" t="str">
        <f ca="1">IFERROR(__xludf.DUMMYFUNCTION("""COMPUTED_VALUE"""),"Реконструкция инженерных сетей на территории городского округа Звездный городок Московской области
 ")</f>
        <v xml:space="preserve">Реконструкция инженерных сетей на территории городского округа Звездный городок Московской области
 </v>
      </c>
      <c r="F438" s="67">
        <f ca="1">IFERROR(__xludf.DUMMYFUNCTION("""COMPUTED_VALUE"""),2019)</f>
        <v>2019</v>
      </c>
      <c r="G438" s="67" t="str">
        <f ca="1">IFERROR(__xludf.DUMMYFUNCTION("""COMPUTED_VALUE"""),"г.о. Звездный городок")</f>
        <v>г.о. Звездный городок</v>
      </c>
      <c r="H438" s="67" t="str">
        <f ca="1">IFERROR(__xludf.DUMMYFUNCTION("""COMPUTED_VALUE"""),"Сети")</f>
        <v>Сети</v>
      </c>
      <c r="I438" s="67"/>
      <c r="J438" s="67"/>
      <c r="K438" s="97">
        <f ca="1">IFERROR(__xludf.DUMMYFUNCTION("""COMPUTED_VALUE"""),1494.67)</f>
        <v>1494.67</v>
      </c>
      <c r="L438" s="97">
        <f ca="1">IFERROR(__xludf.DUMMYFUNCTION("""COMPUTED_VALUE"""),0)</f>
        <v>0</v>
      </c>
      <c r="M438" s="97">
        <f ca="1">IFERROR(__xludf.DUMMYFUNCTION("""COMPUTED_VALUE"""),0)</f>
        <v>0</v>
      </c>
      <c r="N438" s="67"/>
      <c r="O438" s="97">
        <f ca="1">IFERROR(__xludf.DUMMYFUNCTION("""COMPUTED_VALUE"""),0)</f>
        <v>0</v>
      </c>
      <c r="P438" s="67"/>
      <c r="Q438" s="67">
        <f t="shared" ca="1" si="0"/>
        <v>0</v>
      </c>
      <c r="R438" s="67"/>
      <c r="S438" s="67"/>
      <c r="T438" s="67"/>
      <c r="U438" s="67"/>
      <c r="V438" s="67"/>
      <c r="W438" s="67"/>
      <c r="X438" s="67"/>
      <c r="Y438" s="67"/>
      <c r="Z438" s="67"/>
      <c r="AA438" s="67"/>
      <c r="AB438" s="67"/>
      <c r="AC438" s="67"/>
      <c r="AD438" s="67"/>
      <c r="AE438" s="67"/>
      <c r="AF438" s="67"/>
      <c r="AG438" s="67"/>
      <c r="AH438" s="67"/>
      <c r="AI438" s="67"/>
      <c r="AJ438" s="67"/>
      <c r="AK438" s="67"/>
      <c r="AL438" s="67"/>
      <c r="AM438" s="67"/>
    </row>
    <row r="439" spans="1:39" ht="144" hidden="1" x14ac:dyDescent="0.2">
      <c r="A439" s="67"/>
      <c r="B439" s="96"/>
      <c r="C43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9" s="24" t="str">
        <f ca="1">IFERROR(__xludf.DUMMYFUNCTION("""COMPUTED_VALUE"""),"МинЖКХ")</f>
        <v>МинЖКХ</v>
      </c>
      <c r="E439" s="20" t="str">
        <f ca="1">IFERROR(__xludf.DUMMYFUNCTION("""COMPUTED_VALUE"""),"Капитальный ремонт тепловых сетей и сетей горячего водоснабжения, поселок Звёздный городок, военный городок № 1, в/ч 26266
")</f>
        <v xml:space="preserve">Капитальный ремонт тепловых сетей и сетей горячего водоснабжения, поселок Звёздный городок, военный городок № 1, в/ч 26266
</v>
      </c>
      <c r="F439" s="67" t="str">
        <f ca="1">IFERROR(__xludf.DUMMYFUNCTION("""COMPUTED_VALUE"""),"2018-2019")</f>
        <v>2018-2019</v>
      </c>
      <c r="G439" s="67" t="str">
        <f ca="1">IFERROR(__xludf.DUMMYFUNCTION("""COMPUTED_VALUE"""),"г.о. Звездный городок")</f>
        <v>г.о. Звездный городок</v>
      </c>
      <c r="H439" s="67" t="str">
        <f ca="1">IFERROR(__xludf.DUMMYFUNCTION("""COMPUTED_VALUE"""),"Сети")</f>
        <v>Сети</v>
      </c>
      <c r="I439" s="67"/>
      <c r="J439" s="67"/>
      <c r="K439" s="97">
        <f ca="1">IFERROR(__xludf.DUMMYFUNCTION("""COMPUTED_VALUE"""),1550.45)</f>
        <v>1550.45</v>
      </c>
      <c r="L439" s="97">
        <f ca="1">IFERROR(__xludf.DUMMYFUNCTION("""COMPUTED_VALUE"""),27125)</f>
        <v>27125</v>
      </c>
      <c r="M439" s="97">
        <f ca="1">IFERROR(__xludf.DUMMYFUNCTION("""COMPUTED_VALUE"""),0)</f>
        <v>0</v>
      </c>
      <c r="N439" s="67"/>
      <c r="O439" s="97">
        <f ca="1">IFERROR(__xludf.DUMMYFUNCTION("""COMPUTED_VALUE"""),25768.76)</f>
        <v>25768.76</v>
      </c>
      <c r="P439" s="67"/>
      <c r="Q439" s="67">
        <f t="shared" ca="1" si="0"/>
        <v>0</v>
      </c>
      <c r="R439" s="67"/>
      <c r="S439" s="67"/>
      <c r="T439" s="67"/>
      <c r="U439" s="67"/>
      <c r="V439" s="67"/>
      <c r="W439" s="67"/>
      <c r="X439" s="67"/>
      <c r="Y439" s="67"/>
      <c r="Z439" s="67"/>
      <c r="AA439" s="67"/>
      <c r="AB439" s="67"/>
      <c r="AC439" s="67"/>
      <c r="AD439" s="67"/>
      <c r="AE439" s="67"/>
      <c r="AF439" s="67"/>
      <c r="AG439" s="67"/>
      <c r="AH439" s="67"/>
      <c r="AI439" s="67"/>
      <c r="AJ439" s="67"/>
      <c r="AK439" s="67"/>
      <c r="AL439" s="67"/>
      <c r="AM439" s="67"/>
    </row>
    <row r="440" spans="1:39" ht="144" hidden="1" x14ac:dyDescent="0.2">
      <c r="A440" s="67"/>
      <c r="B440" s="96"/>
      <c r="C440"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0" s="24" t="str">
        <f ca="1">IFERROR(__xludf.DUMMYFUNCTION("""COMPUTED_VALUE"""),"МинЖКХ ")</f>
        <v xml:space="preserve">МинЖКХ </v>
      </c>
      <c r="E440" s="20" t="str">
        <f ca="1">IFERROR(__xludf.DUMMYFUNCTION("""COMPUTED_VALUE"""),"Приобретение, монтаж и ввод в эксплуатациюблочно-модульной станции обезжелезивания воды в Клин-9")</f>
        <v>Приобретение, монтаж и ввод в эксплуатациюблочно-модульной станции обезжелезивания воды в Клин-9</v>
      </c>
      <c r="F440" s="67">
        <f ca="1">IFERROR(__xludf.DUMMYFUNCTION("""COMPUTED_VALUE"""),2019)</f>
        <v>2019</v>
      </c>
      <c r="G440" s="67" t="str">
        <f ca="1">IFERROR(__xludf.DUMMYFUNCTION("""COMPUTED_VALUE"""),"г.о. Клин")</f>
        <v>г.о. Клин</v>
      </c>
      <c r="H440" s="67" t="str">
        <f ca="1">IFERROR(__xludf.DUMMYFUNCTION("""COMPUTED_VALUE"""),"ВЗУ")</f>
        <v>ВЗУ</v>
      </c>
      <c r="I440" s="67"/>
      <c r="J440" s="67"/>
      <c r="K440" s="97">
        <f ca="1">IFERROR(__xludf.DUMMYFUNCTION("""COMPUTED_VALUE"""),539.47)</f>
        <v>539.47</v>
      </c>
      <c r="L440" s="97">
        <f ca="1">IFERROR(__xludf.DUMMYFUNCTION("""COMPUTED_VALUE"""),0)</f>
        <v>0</v>
      </c>
      <c r="M440" s="97">
        <f ca="1">IFERROR(__xludf.DUMMYFUNCTION("""COMPUTED_VALUE"""),0)</f>
        <v>0</v>
      </c>
      <c r="N440" s="67"/>
      <c r="O440" s="97">
        <f ca="1">IFERROR(__xludf.DUMMYFUNCTION("""COMPUTED_VALUE"""),0)</f>
        <v>0</v>
      </c>
      <c r="P440" s="67"/>
      <c r="Q440" s="67">
        <f t="shared" ca="1" si="0"/>
        <v>0</v>
      </c>
      <c r="R440" s="67"/>
      <c r="S440" s="67"/>
      <c r="T440" s="67"/>
      <c r="U440" s="67"/>
      <c r="V440" s="67"/>
      <c r="W440" s="67"/>
      <c r="X440" s="67"/>
      <c r="Y440" s="67"/>
      <c r="Z440" s="67"/>
      <c r="AA440" s="67"/>
      <c r="AB440" s="67"/>
      <c r="AC440" s="67"/>
      <c r="AD440" s="67"/>
      <c r="AE440" s="67"/>
      <c r="AF440" s="67"/>
      <c r="AG440" s="67"/>
      <c r="AH440" s="67"/>
      <c r="AI440" s="67"/>
      <c r="AJ440" s="67"/>
      <c r="AK440" s="67"/>
      <c r="AL440" s="67"/>
      <c r="AM440" s="67"/>
    </row>
    <row r="441" spans="1:39" ht="96" x14ac:dyDescent="0.2">
      <c r="A441" s="67"/>
      <c r="B441" s="96"/>
      <c r="C441"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1" s="24" t="str">
        <f ca="1">IFERROR(__xludf.DUMMYFUNCTION("""COMPUTED_VALUE"""),"МинЖКХ ")</f>
        <v xml:space="preserve">МинЖКХ </v>
      </c>
      <c r="E441" s="20" t="str">
        <f ca="1">IFERROR(__xludf.DUMMYFUNCTION("""COMPUTED_VALUE"""),"Строительство БМК, г. Коломна-1, военный городок Сосновый бор,  в/ч 17204 (в том числе ПИР) ")</f>
        <v xml:space="preserve">Строительство БМК, г. Коломна-1, военный городок Сосновый бор,  в/ч 17204 (в том числе ПИР) </v>
      </c>
      <c r="F441" s="101" t="str">
        <f ca="1">IFERROR(__xludf.DUMMYFUNCTION("""COMPUTED_VALUE"""),"2020-2022")</f>
        <v>2020-2022</v>
      </c>
      <c r="G441" s="67" t="str">
        <f ca="1">IFERROR(__xludf.DUMMYFUNCTION("""COMPUTED_VALUE"""),"г.о. Коломенский")</f>
        <v>г.о. Коломенский</v>
      </c>
      <c r="H441" s="101" t="str">
        <f ca="1">IFERROR(__xludf.DUMMYFUNCTION("""COMPUTED_VALUE"""),"БМК")</f>
        <v>БМК</v>
      </c>
      <c r="I441" s="67"/>
      <c r="J441" s="97">
        <f ca="1">IFERROR(__xludf.DUMMYFUNCTION("""COMPUTED_VALUE"""),3752.5)</f>
        <v>3752.5</v>
      </c>
      <c r="K441" s="97">
        <f ca="1">IFERROR(__xludf.DUMMYFUNCTION("""COMPUTED_VALUE"""),3882.02999999999)</f>
        <v>3882.0299999999902</v>
      </c>
      <c r="L441" s="97">
        <f ca="1">IFERROR(__xludf.DUMMYFUNCTION("""COMPUTED_VALUE"""),0)</f>
        <v>0</v>
      </c>
      <c r="M441" s="97">
        <f ca="1">IFERROR(__xludf.DUMMYFUNCTION("""COMPUTED_VALUE"""),0)</f>
        <v>0</v>
      </c>
      <c r="N441" s="67"/>
      <c r="O441" s="97">
        <f ca="1">IFERROR(__xludf.DUMMYFUNCTION("""COMPUTED_VALUE"""),0)</f>
        <v>0</v>
      </c>
      <c r="P441" s="97" t="str">
        <f ca="1">IFERROR(__xludf.DUMMYFUNCTION("""COMPUTED_VALUE"""),"ПИР")</f>
        <v>ПИР</v>
      </c>
      <c r="Q441" s="67">
        <f t="shared" ca="1" si="0"/>
        <v>0</v>
      </c>
      <c r="R441" s="67"/>
      <c r="S441" s="67"/>
      <c r="T441" s="67"/>
      <c r="U441" s="67"/>
      <c r="V441" s="67"/>
      <c r="W441" s="67"/>
      <c r="X441" s="67"/>
      <c r="Y441" s="67"/>
      <c r="Z441" s="67"/>
      <c r="AA441" s="67"/>
      <c r="AB441" s="67"/>
      <c r="AC441" s="67"/>
      <c r="AD441" s="67"/>
      <c r="AE441" s="67"/>
      <c r="AF441" s="67"/>
      <c r="AG441" s="67"/>
      <c r="AH441" s="67"/>
      <c r="AI441" s="67"/>
      <c r="AJ441" s="67"/>
      <c r="AK441" s="67"/>
      <c r="AL441" s="67"/>
      <c r="AM441" s="67"/>
    </row>
    <row r="442" spans="1:39" ht="96" hidden="1" x14ac:dyDescent="0.2">
      <c r="A442" s="67"/>
      <c r="B442" s="100"/>
      <c r="C442"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2" s="24" t="str">
        <f ca="1">IFERROR(__xludf.DUMMYFUNCTION("""COMPUTED_VALUE"""),"МинЖКХ ")</f>
        <v xml:space="preserve">МинЖКХ </v>
      </c>
      <c r="E442" s="20" t="str">
        <f ca="1">IFERROR(__xludf.DUMMYFUNCTION("""COMPUTED_VALUE"""),"Строительство скважины в п. Военный городок, Орехово-Зуевский городской округ")</f>
        <v>Строительство скважины в п. Военный городок, Орехово-Зуевский городской округ</v>
      </c>
      <c r="F442" s="67">
        <f ca="1">IFERROR(__xludf.DUMMYFUNCTION("""COMPUTED_VALUE"""),2023)</f>
        <v>2023</v>
      </c>
      <c r="G442" s="67" t="str">
        <f ca="1">IFERROR(__xludf.DUMMYFUNCTION("""COMPUTED_VALUE"""),"г.о. Орехово-Зуево")</f>
        <v>г.о. Орехово-Зуево</v>
      </c>
      <c r="H442" s="67" t="str">
        <f ca="1">IFERROR(__xludf.DUMMYFUNCTION("""COMPUTED_VALUE"""),"ВЗУ")</f>
        <v>ВЗУ</v>
      </c>
      <c r="I442" s="97">
        <f ca="1">IFERROR(__xludf.DUMMYFUNCTION("""COMPUTED_VALUE"""),0)</f>
        <v>0</v>
      </c>
      <c r="J442" s="67"/>
      <c r="K442" s="97">
        <f ca="1">IFERROR(__xludf.DUMMYFUNCTION("""COMPUTED_VALUE"""),175)</f>
        <v>175</v>
      </c>
      <c r="L442" s="97">
        <f ca="1">IFERROR(__xludf.DUMMYFUNCTION("""COMPUTED_VALUE"""),0)</f>
        <v>0</v>
      </c>
      <c r="M442" s="97">
        <f ca="1">IFERROR(__xludf.DUMMYFUNCTION("""COMPUTED_VALUE"""),0)</f>
        <v>0</v>
      </c>
      <c r="N442" s="67"/>
      <c r="O442" s="97">
        <f ca="1">IFERROR(__xludf.DUMMYFUNCTION("""COMPUTED_VALUE"""),0)</f>
        <v>0</v>
      </c>
      <c r="P442" s="67"/>
      <c r="Q442" s="67">
        <f t="shared" ca="1" si="0"/>
        <v>0</v>
      </c>
      <c r="R442" s="67"/>
      <c r="S442" s="67"/>
      <c r="T442" s="67"/>
      <c r="U442" s="67"/>
      <c r="V442" s="67"/>
      <c r="W442" s="67"/>
      <c r="X442" s="67"/>
      <c r="Y442" s="67"/>
      <c r="Z442" s="67"/>
      <c r="AA442" s="67"/>
      <c r="AB442" s="67"/>
      <c r="AC442" s="67"/>
      <c r="AD442" s="67"/>
      <c r="AE442" s="67"/>
      <c r="AF442" s="67"/>
      <c r="AG442" s="67"/>
      <c r="AH442" s="67"/>
      <c r="AI442" s="67"/>
      <c r="AJ442" s="67"/>
      <c r="AK442" s="67"/>
      <c r="AL442" s="67"/>
      <c r="AM442" s="67"/>
    </row>
    <row r="443" spans="1:39" ht="144" hidden="1" x14ac:dyDescent="0.2">
      <c r="A443" s="67"/>
      <c r="B443" s="96"/>
      <c r="C443"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3" s="24" t="str">
        <f ca="1">IFERROR(__xludf.DUMMYFUNCTION("""COMPUTED_VALUE"""),"Минкульт")</f>
        <v>Минкульт</v>
      </c>
      <c r="E443" s="20" t="str">
        <f ca="1">IFERROR(__xludf.DUMMYFUNCTION("""COMPUTED_VALUE"""),"
Капитальный ремонт техническое переоснащение здания МБУК «Дом офицеров» Московская область, г. Краснознаменск, ул. Молодёжная, д. 2")</f>
        <v xml:space="preserve">
Капитальный ремонт техническое переоснащение здания МБУК «Дом офицеров» Московская область, г. Краснознаменск, ул. Молодёжная, д. 2</v>
      </c>
      <c r="F443" s="67" t="str">
        <f ca="1">IFERROR(__xludf.DUMMYFUNCTION("""COMPUTED_VALUE"""),"2017-2020")</f>
        <v>2017-2020</v>
      </c>
      <c r="G443" s="67" t="str">
        <f ca="1">IFERROR(__xludf.DUMMYFUNCTION("""COMPUTED_VALUE"""),"г.о. Краснознаменск")</f>
        <v>г.о. Краснознаменск</v>
      </c>
      <c r="H443" s="67"/>
      <c r="I443" s="67"/>
      <c r="J443" s="67"/>
      <c r="K443" s="97">
        <f ca="1">IFERROR(__xludf.DUMMYFUNCTION("""COMPUTED_VALUE"""),10887.3)</f>
        <v>10887.3</v>
      </c>
      <c r="L443" s="97">
        <f ca="1">IFERROR(__xludf.DUMMYFUNCTION("""COMPUTED_VALUE"""),94742.86)</f>
        <v>94742.86</v>
      </c>
      <c r="M443" s="97">
        <f ca="1">IFERROR(__xludf.DUMMYFUNCTION("""COMPUTED_VALUE"""),0)</f>
        <v>0</v>
      </c>
      <c r="N443" s="67"/>
      <c r="O443" s="97">
        <f ca="1">IFERROR(__xludf.DUMMYFUNCTION("""COMPUTED_VALUE"""),89534.26)</f>
        <v>89534.26</v>
      </c>
      <c r="P443" s="67"/>
      <c r="Q443" s="67">
        <f t="shared" ca="1" si="0"/>
        <v>0</v>
      </c>
      <c r="R443" s="67"/>
      <c r="S443" s="67"/>
      <c r="T443" s="67"/>
      <c r="U443" s="67"/>
      <c r="V443" s="67"/>
      <c r="W443" s="67"/>
      <c r="X443" s="67"/>
      <c r="Y443" s="67"/>
      <c r="Z443" s="67"/>
      <c r="AA443" s="67"/>
      <c r="AB443" s="67"/>
      <c r="AC443" s="67"/>
      <c r="AD443" s="67"/>
      <c r="AE443" s="67"/>
      <c r="AF443" s="67"/>
      <c r="AG443" s="67"/>
      <c r="AH443" s="67"/>
      <c r="AI443" s="67"/>
      <c r="AJ443" s="67"/>
      <c r="AK443" s="67"/>
      <c r="AL443" s="67"/>
      <c r="AM443" s="67"/>
    </row>
    <row r="444" spans="1:39" ht="144" hidden="1" x14ac:dyDescent="0.2">
      <c r="A444" s="67"/>
      <c r="B444" s="96"/>
      <c r="C44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4" s="24" t="str">
        <f ca="1">IFERROR(__xludf.DUMMYFUNCTION("""COMPUTED_VALUE"""),"Минобр")</f>
        <v>Минобр</v>
      </c>
      <c r="E444" s="20" t="str">
        <f ca="1">IFERROR(__xludf.DUMMYFUNCTION("""COMPUTED_VALUE"""),"Капитальный ремонт здания клуба ""Искатель"" для размещения детского сада Новый городок Кубинка-7 Одинцовский м.р.                 ")</f>
        <v xml:space="preserve">Капитальный ремонт здания клуба "Искатель" для размещения детского сада Новый городок Кубинка-7 Одинцовский м.р.                 </v>
      </c>
      <c r="F444" s="67">
        <f ca="1">IFERROR(__xludf.DUMMYFUNCTION("""COMPUTED_VALUE"""),2020)</f>
        <v>2020</v>
      </c>
      <c r="G444" s="67" t="str">
        <f ca="1">IFERROR(__xludf.DUMMYFUNCTION("""COMPUTED_VALUE"""),"г.о. Одинцово")</f>
        <v>г.о. Одинцово</v>
      </c>
      <c r="H444" s="67"/>
      <c r="I444" s="67"/>
      <c r="J444" s="67"/>
      <c r="K444" s="97">
        <f ca="1">IFERROR(__xludf.DUMMYFUNCTION("""COMPUTED_VALUE"""),7476)</f>
        <v>7476</v>
      </c>
      <c r="L444" s="97">
        <f ca="1">IFERROR(__xludf.DUMMYFUNCTION("""COMPUTED_VALUE"""),0)</f>
        <v>0</v>
      </c>
      <c r="M444" s="97">
        <f ca="1">IFERROR(__xludf.DUMMYFUNCTION("""COMPUTED_VALUE"""),0)</f>
        <v>0</v>
      </c>
      <c r="N444" s="67"/>
      <c r="O444" s="97">
        <f ca="1">IFERROR(__xludf.DUMMYFUNCTION("""COMPUTED_VALUE"""),0)</f>
        <v>0</v>
      </c>
      <c r="P444" s="97" t="str">
        <f ca="1">IFERROR(__xludf.DUMMYFUNCTION("""COMPUTED_VALUE"""),"Вып")</f>
        <v>Вып</v>
      </c>
      <c r="Q444" s="67">
        <f t="shared" ca="1" si="0"/>
        <v>0</v>
      </c>
      <c r="R444" s="67"/>
      <c r="S444" s="67"/>
      <c r="T444" s="67"/>
      <c r="U444" s="67"/>
      <c r="V444" s="67"/>
      <c r="W444" s="67"/>
      <c r="X444" s="67"/>
      <c r="Y444" s="67"/>
      <c r="Z444" s="67"/>
      <c r="AA444" s="67"/>
      <c r="AB444" s="67"/>
      <c r="AC444" s="67"/>
      <c r="AD444" s="67"/>
      <c r="AE444" s="67"/>
      <c r="AF444" s="67"/>
      <c r="AG444" s="67"/>
      <c r="AH444" s="67"/>
      <c r="AI444" s="67"/>
      <c r="AJ444" s="67"/>
      <c r="AK444" s="67"/>
      <c r="AL444" s="67"/>
      <c r="AM444" s="67"/>
    </row>
    <row r="445" spans="1:39" ht="144" hidden="1" x14ac:dyDescent="0.2">
      <c r="A445" s="67"/>
      <c r="B445" s="96"/>
      <c r="C445"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5" s="24" t="str">
        <f ca="1">IFERROR(__xludf.DUMMYFUNCTION("""COMPUTED_VALUE"""),"Минобр")</f>
        <v>Минобр</v>
      </c>
      <c r="E445" s="20" t="str">
        <f ca="1">IFERROR(__xludf.DUMMYFUNCTION("""COMPUTED_VALUE"""),"Капитальный ремонт МБОУ Новогородковская городская средняя образовательная школа с.п. Никольское, пос. Новый Городок военный городок Кубинка-7")</f>
        <v>Капитальный ремонт МБОУ Новогородковская городская средняя образовательная школа с.п. Никольское, пос. Новый Городок военный городок Кубинка-7</v>
      </c>
      <c r="F445" s="67" t="str">
        <f ca="1">IFERROR(__xludf.DUMMYFUNCTION("""COMPUTED_VALUE"""),"2019-2020")</f>
        <v>2019-2020</v>
      </c>
      <c r="G445" s="67" t="str">
        <f ca="1">IFERROR(__xludf.DUMMYFUNCTION("""COMPUTED_VALUE"""),"г.о. Одинцово")</f>
        <v>г.о. Одинцово</v>
      </c>
      <c r="H445" s="67"/>
      <c r="I445" s="67"/>
      <c r="J445" s="67"/>
      <c r="K445" s="97">
        <f ca="1">IFERROR(__xludf.DUMMYFUNCTION("""COMPUTED_VALUE"""),30693)</f>
        <v>30693</v>
      </c>
      <c r="L445" s="97">
        <f ca="1">IFERROR(__xludf.DUMMYFUNCTION("""COMPUTED_VALUE"""),0)</f>
        <v>0</v>
      </c>
      <c r="M445" s="97">
        <f ca="1">IFERROR(__xludf.DUMMYFUNCTION("""COMPUTED_VALUE"""),0)</f>
        <v>0</v>
      </c>
      <c r="N445" s="67"/>
      <c r="O445" s="97">
        <f ca="1">IFERROR(__xludf.DUMMYFUNCTION("""COMPUTED_VALUE"""),0)</f>
        <v>0</v>
      </c>
      <c r="P445" s="97" t="str">
        <f ca="1">IFERROR(__xludf.DUMMYFUNCTION("""COMPUTED_VALUE"""),"Вып")</f>
        <v>Вып</v>
      </c>
      <c r="Q445" s="67">
        <f t="shared" ca="1" si="0"/>
        <v>0</v>
      </c>
      <c r="R445" s="67"/>
      <c r="S445" s="67"/>
      <c r="T445" s="67"/>
      <c r="U445" s="67"/>
      <c r="V445" s="67"/>
      <c r="W445" s="67"/>
      <c r="X445" s="67"/>
      <c r="Y445" s="67"/>
      <c r="Z445" s="67"/>
      <c r="AA445" s="67"/>
      <c r="AB445" s="67"/>
      <c r="AC445" s="67"/>
      <c r="AD445" s="67"/>
      <c r="AE445" s="67"/>
      <c r="AF445" s="67"/>
      <c r="AG445" s="67"/>
      <c r="AH445" s="67"/>
      <c r="AI445" s="67"/>
      <c r="AJ445" s="67"/>
      <c r="AK445" s="67"/>
      <c r="AL445" s="67"/>
      <c r="AM445" s="67"/>
    </row>
    <row r="446" spans="1:39" ht="96" hidden="1" x14ac:dyDescent="0.2">
      <c r="A446" s="67"/>
      <c r="B446" s="96"/>
      <c r="C44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6" s="24" t="str">
        <f ca="1">IFERROR(__xludf.DUMMYFUNCTION("""COMPUTED_VALUE"""),"МинЖКХ ")</f>
        <v xml:space="preserve">МинЖКХ </v>
      </c>
      <c r="E446" s="20" t="str">
        <f ca="1">IFERROR(__xludf.DUMMYFUNCTION("""COMPUTED_VALUE"""),"Строительство локальных очистных сооружений п. Военный городок объемом до 30 куб.м.  Орехово-Зуевский городской округ")</f>
        <v>Строительство локальных очистных сооружений п. Военный городок объемом до 30 куб.м.  Орехово-Зуевский городской округ</v>
      </c>
      <c r="F446" s="67">
        <f ca="1">IFERROR(__xludf.DUMMYFUNCTION("""COMPUTED_VALUE"""),2023)</f>
        <v>2023</v>
      </c>
      <c r="G446" s="67" t="str">
        <f ca="1">IFERROR(__xludf.DUMMYFUNCTION("""COMPUTED_VALUE"""),"г.о. Орехово-Зуево")</f>
        <v>г.о. Орехово-Зуево</v>
      </c>
      <c r="H446" s="67" t="str">
        <f ca="1">IFERROR(__xludf.DUMMYFUNCTION("""COMPUTED_VALUE"""),"ОС")</f>
        <v>ОС</v>
      </c>
      <c r="I446" s="97">
        <f ca="1">IFERROR(__xludf.DUMMYFUNCTION("""COMPUTED_VALUE"""),0)</f>
        <v>0</v>
      </c>
      <c r="J446" s="67"/>
      <c r="K446" s="97">
        <f ca="1">IFERROR(__xludf.DUMMYFUNCTION("""COMPUTED_VALUE"""),250.24)</f>
        <v>250.24</v>
      </c>
      <c r="L446" s="97">
        <f ca="1">IFERROR(__xludf.DUMMYFUNCTION("""COMPUTED_VALUE"""),0)</f>
        <v>0</v>
      </c>
      <c r="M446" s="97">
        <f ca="1">IFERROR(__xludf.DUMMYFUNCTION("""COMPUTED_VALUE"""),0)</f>
        <v>0</v>
      </c>
      <c r="N446" s="67"/>
      <c r="O446" s="97">
        <f ca="1">IFERROR(__xludf.DUMMYFUNCTION("""COMPUTED_VALUE"""),0)</f>
        <v>0</v>
      </c>
      <c r="P446" s="67"/>
      <c r="Q446" s="67">
        <f t="shared" ca="1" si="0"/>
        <v>0</v>
      </c>
      <c r="R446" s="67"/>
      <c r="S446" s="67"/>
      <c r="T446" s="67"/>
      <c r="U446" s="67"/>
      <c r="V446" s="67"/>
      <c r="W446" s="67"/>
      <c r="X446" s="67"/>
      <c r="Y446" s="67"/>
      <c r="Z446" s="67"/>
      <c r="AA446" s="67"/>
      <c r="AB446" s="67"/>
      <c r="AC446" s="67"/>
      <c r="AD446" s="67"/>
      <c r="AE446" s="67"/>
      <c r="AF446" s="67"/>
      <c r="AG446" s="67"/>
      <c r="AH446" s="67"/>
      <c r="AI446" s="67"/>
      <c r="AJ446" s="67"/>
      <c r="AK446" s="67"/>
      <c r="AL446" s="67"/>
      <c r="AM446" s="67"/>
    </row>
    <row r="447" spans="1:39" ht="96" x14ac:dyDescent="0.2">
      <c r="A447" s="67"/>
      <c r="B447" s="96"/>
      <c r="C44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7" s="24" t="str">
        <f ca="1">IFERROR(__xludf.DUMMYFUNCTION("""COMPUTED_VALUE"""),"МинЖКХ ")</f>
        <v xml:space="preserve">МинЖКХ </v>
      </c>
      <c r="E447" s="20" t="str">
        <f ca="1">IFERROR(__xludf.DUMMYFUNCTION("""COMPUTED_VALUE"""),"Строительство блочно-модульной котельной в военном городке № 112 Михнево-3 Ступинский муниципальный район (в том числе ПИР)")</f>
        <v>Строительство блочно-модульной котельной в военном городке № 112 Михнево-3 Ступинский муниципальный район (в том числе ПИР)</v>
      </c>
      <c r="F447" s="101" t="str">
        <f ca="1">IFERROR(__xludf.DUMMYFUNCTION("""COMPUTED_VALUE"""),"2020")</f>
        <v>2020</v>
      </c>
      <c r="G447" s="67" t="str">
        <f ca="1">IFERROR(__xludf.DUMMYFUNCTION("""COMPUTED_VALUE"""),"г.о. Ступино")</f>
        <v>г.о. Ступино</v>
      </c>
      <c r="H447" s="101" t="str">
        <f ca="1">IFERROR(__xludf.DUMMYFUNCTION("""COMPUTED_VALUE"""),"БМК")</f>
        <v>БМК</v>
      </c>
      <c r="I447" s="97">
        <f ca="1">IFERROR(__xludf.DUMMYFUNCTION("""COMPUTED_VALUE"""),0)</f>
        <v>0</v>
      </c>
      <c r="J447" s="67"/>
      <c r="K447" s="97">
        <f ca="1">IFERROR(__xludf.DUMMYFUNCTION("""COMPUTED_VALUE"""),3736.46)</f>
        <v>3736.46</v>
      </c>
      <c r="L447" s="97">
        <f ca="1">IFERROR(__xludf.DUMMYFUNCTION("""COMPUTED_VALUE"""),2617.55)</f>
        <v>2617.5500000000002</v>
      </c>
      <c r="M447" s="97">
        <f ca="1">IFERROR(__xludf.DUMMYFUNCTION("""COMPUTED_VALUE"""),0)</f>
        <v>0</v>
      </c>
      <c r="N447" s="67"/>
      <c r="O447" s="97">
        <f ca="1">IFERROR(__xludf.DUMMYFUNCTION("""COMPUTED_VALUE"""),2010.28)</f>
        <v>2010.28</v>
      </c>
      <c r="P447" s="97" t="str">
        <f ca="1">IFERROR(__xludf.DUMMYFUNCTION("""COMPUTED_VALUE"""),"СМР")</f>
        <v>СМР</v>
      </c>
      <c r="Q447" s="67" t="e">
        <f t="shared" ca="1" si="0"/>
        <v>#VALUE!</v>
      </c>
      <c r="R447" s="126" t="str">
        <f ca="1">IFERROR(__xludf.DUMMYFUNCTION("""COMPUTED_VALUE"""),"https://drive.google.com/drive/folders/17oRbTRK7o2kb9erkQxxvOOq4dqZ-KsxI?usp=sharing")</f>
        <v>https://drive.google.com/drive/folders/17oRbTRK7o2kb9erkQxxvOOq4dqZ-KsxI?usp=sharing</v>
      </c>
      <c r="S447" s="67"/>
      <c r="T447" s="67"/>
      <c r="U447" s="67"/>
      <c r="V447" s="67"/>
      <c r="W447" s="67"/>
      <c r="X447" s="67"/>
      <c r="Y447" s="67"/>
      <c r="Z447" s="67"/>
      <c r="AA447" s="67"/>
      <c r="AB447" s="67"/>
      <c r="AC447" s="67"/>
      <c r="AD447" s="67"/>
      <c r="AE447" s="67"/>
      <c r="AF447" s="67"/>
      <c r="AG447" s="67"/>
      <c r="AH447" s="67"/>
      <c r="AI447" s="67"/>
      <c r="AJ447" s="67"/>
      <c r="AK447" s="67"/>
      <c r="AL447" s="67"/>
      <c r="AM447" s="67"/>
    </row>
    <row r="448" spans="1:39" ht="144" hidden="1" x14ac:dyDescent="0.2">
      <c r="A448" s="67"/>
      <c r="B448" s="100"/>
      <c r="C448"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8" s="24" t="str">
        <f ca="1">IFERROR(__xludf.DUMMYFUNCTION("""COMPUTED_VALUE"""),"Минобр")</f>
        <v>Минобр</v>
      </c>
      <c r="E448" s="20" t="str">
        <f ca="1">IFERROR(__xludf.DUMMYFUNCTION("""COMPUTED_VALUE"""),"Капитальный ремонт МДОУ детский сад № 39 «Золотой ключик» по адресу: г. Серпухов, Московское шоссе, д. 62 ")</f>
        <v xml:space="preserve">Капитальный ремонт МДОУ детский сад № 39 «Золотой ключик» по адресу: г. Серпухов, Московское шоссе, д. 62 </v>
      </c>
      <c r="F448" s="67" t="str">
        <f ca="1">IFERROR(__xludf.DUMMYFUNCTION("""COMPUTED_VALUE"""),"2019-2020")</f>
        <v>2019-2020</v>
      </c>
      <c r="G448" s="67" t="str">
        <f ca="1">IFERROR(__xludf.DUMMYFUNCTION("""COMPUTED_VALUE"""),"г.о. Серпухов")</f>
        <v>г.о. Серпухов</v>
      </c>
      <c r="H448" s="67"/>
      <c r="I448" s="67"/>
      <c r="J448" s="67"/>
      <c r="K448" s="97">
        <f ca="1">IFERROR(__xludf.DUMMYFUNCTION("""COMPUTED_VALUE"""),10836.83)</f>
        <v>10836.83</v>
      </c>
      <c r="L448" s="97">
        <f ca="1">IFERROR(__xludf.DUMMYFUNCTION("""COMPUTED_VALUE"""),0)</f>
        <v>0</v>
      </c>
      <c r="M448" s="97">
        <f ca="1">IFERROR(__xludf.DUMMYFUNCTION("""COMPUTED_VALUE"""),0)</f>
        <v>0</v>
      </c>
      <c r="N448" s="67"/>
      <c r="O448" s="97">
        <f ca="1">IFERROR(__xludf.DUMMYFUNCTION("""COMPUTED_VALUE"""),0)</f>
        <v>0</v>
      </c>
      <c r="P448" s="97" t="str">
        <f ca="1">IFERROR(__xludf.DUMMYFUNCTION("""COMPUTED_VALUE"""),"Вып")</f>
        <v>Вып</v>
      </c>
      <c r="Q448" s="67">
        <f t="shared" ca="1" si="0"/>
        <v>0</v>
      </c>
      <c r="R448" s="67"/>
      <c r="S448" s="67"/>
      <c r="T448" s="67"/>
      <c r="U448" s="67"/>
      <c r="V448" s="67"/>
      <c r="W448" s="67"/>
      <c r="X448" s="67"/>
      <c r="Y448" s="67"/>
      <c r="Z448" s="67"/>
      <c r="AA448" s="67"/>
      <c r="AB448" s="67"/>
      <c r="AC448" s="67"/>
      <c r="AD448" s="67"/>
      <c r="AE448" s="67"/>
      <c r="AF448" s="67"/>
      <c r="AG448" s="67"/>
      <c r="AH448" s="67"/>
      <c r="AI448" s="67"/>
      <c r="AJ448" s="67"/>
      <c r="AK448" s="67"/>
      <c r="AL448" s="67"/>
      <c r="AM448" s="67"/>
    </row>
    <row r="449" spans="1:39" ht="144" hidden="1" x14ac:dyDescent="0.2">
      <c r="A449" s="67"/>
      <c r="B449" s="96"/>
      <c r="C44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9" s="24" t="str">
        <f ca="1">IFERROR(__xludf.DUMMYFUNCTION("""COMPUTED_VALUE"""),"Минкульт")</f>
        <v>Минкульт</v>
      </c>
      <c r="E449" s="20" t="str">
        <f ca="1">IFERROR(__xludf.DUMMYFUNCTION("""COMPUTED_VALUE"""),"Капитальный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f>
        <v>Капитальный ремонт техническое переоснащение здания муниципального учреждения культуры Дом культуры "Выстрел" г.п. Солнечногорск, ул. Д.А. Драгунского, д.1 военный городок Выстрел</v>
      </c>
      <c r="F449" s="67" t="str">
        <f ca="1">IFERROR(__xludf.DUMMYFUNCTION("""COMPUTED_VALUE"""),"2019-2020")</f>
        <v>2019-2020</v>
      </c>
      <c r="G449" s="67" t="str">
        <f ca="1">IFERROR(__xludf.DUMMYFUNCTION("""COMPUTED_VALUE"""),"г.о. Солнечногорск")</f>
        <v>г.о. Солнечногорск</v>
      </c>
      <c r="H449" s="67"/>
      <c r="I449" s="67"/>
      <c r="J449" s="67"/>
      <c r="K449" s="97">
        <f ca="1">IFERROR(__xludf.DUMMYFUNCTION("""COMPUTED_VALUE"""),9258.07)</f>
        <v>9258.07</v>
      </c>
      <c r="L449" s="97">
        <f ca="1">IFERROR(__xludf.DUMMYFUNCTION("""COMPUTED_VALUE"""),0)</f>
        <v>0</v>
      </c>
      <c r="M449" s="97">
        <f ca="1">IFERROR(__xludf.DUMMYFUNCTION("""COMPUTED_VALUE"""),0)</f>
        <v>0</v>
      </c>
      <c r="N449" s="67"/>
      <c r="O449" s="97">
        <f ca="1">IFERROR(__xludf.DUMMYFUNCTION("""COMPUTED_VALUE"""),0)</f>
        <v>0</v>
      </c>
      <c r="P449" s="67"/>
      <c r="Q449" s="67">
        <f t="shared" ca="1" si="0"/>
        <v>0</v>
      </c>
      <c r="R449" s="67"/>
      <c r="S449" s="67"/>
      <c r="T449" s="67"/>
      <c r="U449" s="67"/>
      <c r="V449" s="67"/>
      <c r="W449" s="67"/>
      <c r="X449" s="67"/>
      <c r="Y449" s="67"/>
      <c r="Z449" s="67"/>
      <c r="AA449" s="67"/>
      <c r="AB449" s="67"/>
      <c r="AC449" s="67"/>
      <c r="AD449" s="67"/>
      <c r="AE449" s="67"/>
      <c r="AF449" s="67"/>
      <c r="AG449" s="67"/>
      <c r="AH449" s="67"/>
      <c r="AI449" s="67"/>
      <c r="AJ449" s="67"/>
      <c r="AK449" s="67"/>
      <c r="AL449" s="67"/>
      <c r="AM449" s="67"/>
    </row>
    <row r="450" spans="1:39" ht="96" x14ac:dyDescent="0.2">
      <c r="A450" s="67"/>
      <c r="B450" s="96"/>
      <c r="C450"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50" s="24" t="str">
        <f ca="1">IFERROR(__xludf.DUMMYFUNCTION("""COMPUTED_VALUE"""),"МинЖКХ ")</f>
        <v xml:space="preserve">МинЖКХ </v>
      </c>
      <c r="E450" s="20" t="str">
        <f ca="1">IFERROR(__xludf.DUMMYFUNCTION("""COMPUTED_VALUE"""),"Строительство канализационных очистных сооружений, по адресу: военный городок Ногинск-4,
с. Макарово, городской округ Черноголовка (в т.ч. ПИР)    
")</f>
        <v xml:space="preserve">Строительство канализационных очистных сооружений, по адресу: военный городок Ногинск-4,
с. Макарово, городской округ Черноголовка (в т.ч. ПИР)    
</v>
      </c>
      <c r="F450" s="101" t="str">
        <f ca="1">IFERROR(__xludf.DUMMYFUNCTION("""COMPUTED_VALUE"""),"2020-2021")</f>
        <v>2020-2021</v>
      </c>
      <c r="G450" s="67" t="str">
        <f ca="1">IFERROR(__xludf.DUMMYFUNCTION("""COMPUTED_VALUE"""),"г.о. Черноголовка")</f>
        <v>г.о. Черноголовка</v>
      </c>
      <c r="H450" s="101" t="str">
        <f ca="1">IFERROR(__xludf.DUMMYFUNCTION("""COMPUTED_VALUE"""),"ОС")</f>
        <v>ОС</v>
      </c>
      <c r="I450" s="97">
        <f ca="1">IFERROR(__xludf.DUMMYFUNCTION("""COMPUTED_VALUE"""),0)</f>
        <v>0</v>
      </c>
      <c r="J450" s="67"/>
      <c r="K450" s="97">
        <f ca="1">IFERROR(__xludf.DUMMYFUNCTION("""COMPUTED_VALUE"""),4985)</f>
        <v>4985</v>
      </c>
      <c r="L450" s="97">
        <f ca="1">IFERROR(__xludf.DUMMYFUNCTION("""COMPUTED_VALUE"""),0)</f>
        <v>0</v>
      </c>
      <c r="M450" s="97">
        <f ca="1">IFERROR(__xludf.DUMMYFUNCTION("""COMPUTED_VALUE"""),0)</f>
        <v>0</v>
      </c>
      <c r="N450" s="67"/>
      <c r="O450" s="97">
        <f ca="1">IFERROR(__xludf.DUMMYFUNCTION("""COMPUTED_VALUE"""),0)</f>
        <v>0</v>
      </c>
      <c r="P450" s="97" t="str">
        <f ca="1">IFERROR(__xludf.DUMMYFUNCTION("""COMPUTED_VALUE"""),"ПИР")</f>
        <v>ПИР</v>
      </c>
      <c r="Q450" s="67">
        <f t="shared" ca="1" si="0"/>
        <v>0</v>
      </c>
      <c r="R450" s="67"/>
      <c r="S450" s="67"/>
      <c r="T450" s="67"/>
      <c r="U450" s="67"/>
      <c r="V450" s="67"/>
      <c r="W450" s="67"/>
      <c r="X450" s="67"/>
      <c r="Y450" s="67"/>
      <c r="Z450" s="67"/>
      <c r="AA450" s="67"/>
      <c r="AB450" s="67"/>
      <c r="AC450" s="67"/>
      <c r="AD450" s="67"/>
      <c r="AE450" s="67"/>
      <c r="AF450" s="67"/>
      <c r="AG450" s="67"/>
      <c r="AH450" s="67"/>
      <c r="AI450" s="67"/>
      <c r="AJ450" s="67"/>
      <c r="AK450" s="67"/>
      <c r="AL450" s="67"/>
      <c r="AM450" s="67"/>
    </row>
    <row r="451" spans="1:39" ht="144" hidden="1" x14ac:dyDescent="0.2">
      <c r="A451" s="67"/>
      <c r="B451" s="100"/>
      <c r="C45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1" s="24" t="str">
        <f ca="1">IFERROR(__xludf.DUMMYFUNCTION("""COMPUTED_VALUE"""),"Минобр")</f>
        <v>Минобр</v>
      </c>
      <c r="E451" s="20" t="str">
        <f ca="1">IFERROR(__xludf.DUMMYFUNCTION("""COMPUTED_VALUE"""),"Капитальный ремонт МАДОУ «Мещеринский детский сад комбинированного вида «Солнышко» г.о. Ступино, в/ч 03770")</f>
        <v>Капитальный ремонт МАДОУ «Мещеринский детский сад комбинированного вида «Солнышко» г.о. Ступино, в/ч 03770</v>
      </c>
      <c r="F451" s="67">
        <f ca="1">IFERROR(__xludf.DUMMYFUNCTION("""COMPUTED_VALUE"""),2020)</f>
        <v>2020</v>
      </c>
      <c r="G451" s="67" t="str">
        <f ca="1">IFERROR(__xludf.DUMMYFUNCTION("""COMPUTED_VALUE"""),"г.о. Ступино")</f>
        <v>г.о. Ступино</v>
      </c>
      <c r="H451" s="67"/>
      <c r="I451" s="67"/>
      <c r="J451" s="67"/>
      <c r="K451" s="97">
        <f ca="1">IFERROR(__xludf.DUMMYFUNCTION("""COMPUTED_VALUE"""),1344)</f>
        <v>1344</v>
      </c>
      <c r="L451" s="97">
        <f ca="1">IFERROR(__xludf.DUMMYFUNCTION("""COMPUTED_VALUE"""),0)</f>
        <v>0</v>
      </c>
      <c r="M451" s="97">
        <f ca="1">IFERROR(__xludf.DUMMYFUNCTION("""COMPUTED_VALUE"""),0)</f>
        <v>0</v>
      </c>
      <c r="N451" s="67"/>
      <c r="O451" s="97">
        <f ca="1">IFERROR(__xludf.DUMMYFUNCTION("""COMPUTED_VALUE"""),0)</f>
        <v>0</v>
      </c>
      <c r="P451" s="97" t="str">
        <f ca="1">IFERROR(__xludf.DUMMYFUNCTION("""COMPUTED_VALUE"""),"Вып")</f>
        <v>Вып</v>
      </c>
      <c r="Q451" s="67">
        <f t="shared" ca="1" si="0"/>
        <v>0</v>
      </c>
      <c r="R451" s="67"/>
      <c r="S451" s="67"/>
      <c r="T451" s="67"/>
      <c r="U451" s="67"/>
      <c r="V451" s="67"/>
      <c r="W451" s="67"/>
      <c r="X451" s="67"/>
      <c r="Y451" s="67"/>
      <c r="Z451" s="67"/>
      <c r="AA451" s="67"/>
      <c r="AB451" s="67"/>
      <c r="AC451" s="67"/>
      <c r="AD451" s="67"/>
      <c r="AE451" s="67"/>
      <c r="AF451" s="67"/>
      <c r="AG451" s="67"/>
      <c r="AH451" s="67"/>
      <c r="AI451" s="67"/>
      <c r="AJ451" s="67"/>
      <c r="AK451" s="67"/>
      <c r="AL451" s="67"/>
      <c r="AM451" s="67"/>
    </row>
    <row r="452" spans="1:39" ht="144" hidden="1" x14ac:dyDescent="0.2">
      <c r="A452" s="67"/>
      <c r="B452" s="96"/>
      <c r="C45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2" s="24" t="str">
        <f ca="1">IFERROR(__xludf.DUMMYFUNCTION("""COMPUTED_VALUE"""),"Минобр")</f>
        <v>Минобр</v>
      </c>
      <c r="E452" s="20" t="str">
        <f ca="1">IFERROR(__xludf.DUMMYFUNCTION("""COMPUTED_VALUE"""),"Капитальный ремонт МАДОУ «Мещеринский детский сад общеразвивающего вида «Светлячок» г.о. Ступино, в/ч 92551")</f>
        <v>Капитальный ремонт МАДОУ «Мещеринский детский сад общеразвивающего вида «Светлячок» г.о. Ступино, в/ч 92551</v>
      </c>
      <c r="F452" s="67">
        <f ca="1">IFERROR(__xludf.DUMMYFUNCTION("""COMPUTED_VALUE"""),2020)</f>
        <v>2020</v>
      </c>
      <c r="G452" s="67" t="str">
        <f ca="1">IFERROR(__xludf.DUMMYFUNCTION("""COMPUTED_VALUE"""),"г.о. Ступино")</f>
        <v>г.о. Ступино</v>
      </c>
      <c r="H452" s="67"/>
      <c r="I452" s="67"/>
      <c r="J452" s="67"/>
      <c r="K452" s="97">
        <f ca="1">IFERROR(__xludf.DUMMYFUNCTION("""COMPUTED_VALUE"""),1137)</f>
        <v>1137</v>
      </c>
      <c r="L452" s="97">
        <f ca="1">IFERROR(__xludf.DUMMYFUNCTION("""COMPUTED_VALUE"""),0)</f>
        <v>0</v>
      </c>
      <c r="M452" s="97">
        <f ca="1">IFERROR(__xludf.DUMMYFUNCTION("""COMPUTED_VALUE"""),0)</f>
        <v>0</v>
      </c>
      <c r="N452" s="67"/>
      <c r="O452" s="97">
        <f ca="1">IFERROR(__xludf.DUMMYFUNCTION("""COMPUTED_VALUE"""),0)</f>
        <v>0</v>
      </c>
      <c r="P452" s="67"/>
      <c r="Q452" s="67">
        <f t="shared" ca="1" si="0"/>
        <v>0</v>
      </c>
      <c r="R452" s="67"/>
      <c r="S452" s="67"/>
      <c r="T452" s="67"/>
      <c r="U452" s="67"/>
      <c r="V452" s="67"/>
      <c r="W452" s="67"/>
      <c r="X452" s="67"/>
      <c r="Y452" s="67"/>
      <c r="Z452" s="67"/>
      <c r="AA452" s="67"/>
      <c r="AB452" s="67"/>
      <c r="AC452" s="67"/>
      <c r="AD452" s="67"/>
      <c r="AE452" s="67"/>
      <c r="AF452" s="67"/>
      <c r="AG452" s="67"/>
      <c r="AH452" s="67"/>
      <c r="AI452" s="67"/>
      <c r="AJ452" s="67"/>
      <c r="AK452" s="67"/>
      <c r="AL452" s="67"/>
      <c r="AM452" s="67"/>
    </row>
    <row r="453" spans="1:39" ht="84" x14ac:dyDescent="0.2">
      <c r="A453" s="67"/>
      <c r="B453" s="96"/>
      <c r="C453"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3" s="24" t="str">
        <f ca="1">IFERROR(__xludf.DUMMYFUNCTION("""COMPUTED_VALUE"""),"МинЖКХ ")</f>
        <v xml:space="preserve">МинЖКХ </v>
      </c>
      <c r="E453" s="20" t="str">
        <f ca="1">IFERROR(__xludf.DUMMYFUNCTION("""COMPUTED_VALUE"""),"Реконструкция очистных сооружений канализации по адресу: пос.Чернецкое, г. Чехов-7, ул. Победы, военный городок №  18, в том числе: проектно-изыскательские работы")</f>
        <v>Реконструкция очистных сооружений канализации по адресу: пос.Чернецкое, г. Чехов-7, ул. Победы, военный городок №  18, в том числе: проектно-изыскательские работы</v>
      </c>
      <c r="F453" s="67" t="str">
        <f ca="1">IFERROR(__xludf.DUMMYFUNCTION("""COMPUTED_VALUE"""),"2019-2022")</f>
        <v>2019-2022</v>
      </c>
      <c r="G453" s="67" t="str">
        <f ca="1">IFERROR(__xludf.DUMMYFUNCTION("""COMPUTED_VALUE"""),"г.о. Чехов")</f>
        <v>г.о. Чехов</v>
      </c>
      <c r="H453" s="67" t="str">
        <f ca="1">IFERROR(__xludf.DUMMYFUNCTION("""COMPUTED_VALUE"""),"ОС")</f>
        <v>ОС</v>
      </c>
      <c r="I453" s="97">
        <f ca="1">IFERROR(__xludf.DUMMYFUNCTION("""COMPUTED_VALUE"""),0)</f>
        <v>0</v>
      </c>
      <c r="J453" s="97">
        <f ca="1">IFERROR(__xludf.DUMMYFUNCTION("""COMPUTED_VALUE"""),29863.29)</f>
        <v>29863.29</v>
      </c>
      <c r="K453" s="97">
        <f ca="1">IFERROR(__xludf.DUMMYFUNCTION("""COMPUTED_VALUE"""),14793.05)</f>
        <v>14793.05</v>
      </c>
      <c r="L453" s="97">
        <f ca="1">IFERROR(__xludf.DUMMYFUNCTION("""COMPUTED_VALUE"""),0)</f>
        <v>0</v>
      </c>
      <c r="M453" s="97">
        <f ca="1">IFERROR(__xludf.DUMMYFUNCTION("""COMPUTED_VALUE"""),0)</f>
        <v>0</v>
      </c>
      <c r="N453" s="67"/>
      <c r="O453" s="97">
        <f ca="1">IFERROR(__xludf.DUMMYFUNCTION("""COMPUTED_VALUE"""),0)</f>
        <v>0</v>
      </c>
      <c r="P453" s="97" t="str">
        <f ca="1">IFERROR(__xludf.DUMMYFUNCTION("""COMPUTED_VALUE"""),"СМР")</f>
        <v>СМР</v>
      </c>
      <c r="Q453" s="67" t="e">
        <f t="shared" ca="1" si="0"/>
        <v>#VALUE!</v>
      </c>
      <c r="R453" s="126" t="str">
        <f ca="1">IFERROR(__xludf.DUMMYFUNCTION("""COMPUTED_VALUE"""),"https://drive.google.com/drive/folders/1c614LYlV-DyKK8fYuzo9TOyjm5_GcfPa?usp=sharing")</f>
        <v>https://drive.google.com/drive/folders/1c614LYlV-DyKK8fYuzo9TOyjm5_GcfPa?usp=sharing</v>
      </c>
      <c r="S453" s="67"/>
      <c r="T453" s="67"/>
      <c r="U453" s="67"/>
      <c r="V453" s="67"/>
      <c r="W453" s="67"/>
      <c r="X453" s="67"/>
      <c r="Y453" s="67"/>
      <c r="Z453" s="67"/>
      <c r="AA453" s="67"/>
      <c r="AB453" s="67"/>
      <c r="AC453" s="67"/>
      <c r="AD453" s="67"/>
      <c r="AE453" s="67"/>
      <c r="AF453" s="67"/>
      <c r="AG453" s="67"/>
      <c r="AH453" s="67"/>
      <c r="AI453" s="67"/>
      <c r="AJ453" s="67"/>
      <c r="AK453" s="67"/>
      <c r="AL453" s="67"/>
      <c r="AM453" s="67"/>
    </row>
    <row r="454" spans="1:39" ht="84" x14ac:dyDescent="0.2">
      <c r="A454" s="67"/>
      <c r="B454" s="100"/>
      <c r="C454"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4" s="24" t="str">
        <f ca="1">IFERROR(__xludf.DUMMYFUNCTION("""COMPUTED_VALUE"""),"МинЖКХ ")</f>
        <v xml:space="preserve">МинЖКХ </v>
      </c>
      <c r="E454" s="20" t="str">
        <f ca="1">IFERROR(__xludf.DUMMYFUNCTION("""COMPUTED_VALUE"""),"Реконструкция котельной № 6 по адресу: пос.Чернецкое, г. Чехов-7, ул. Победы, военный городок №  18 (в том числе ПИР)")</f>
        <v>Реконструкция котельной № 6 по адресу: пос.Чернецкое, г. Чехов-7, ул. Победы, военный городок №  18 (в том числе ПИР)</v>
      </c>
      <c r="F454" s="67" t="str">
        <f ca="1">IFERROR(__xludf.DUMMYFUNCTION("""COMPUTED_VALUE"""),"2019-2022")</f>
        <v>2019-2022</v>
      </c>
      <c r="G454" s="67" t="str">
        <f ca="1">IFERROR(__xludf.DUMMYFUNCTION("""COMPUTED_VALUE"""),"г.о. Чехов")</f>
        <v>г.о. Чехов</v>
      </c>
      <c r="H454" s="67" t="str">
        <f ca="1">IFERROR(__xludf.DUMMYFUNCTION("""COMPUTED_VALUE"""),"Котельная")</f>
        <v>Котельная</v>
      </c>
      <c r="I454" s="97">
        <f ca="1">IFERROR(__xludf.DUMMYFUNCTION("""COMPUTED_VALUE"""),0)</f>
        <v>0</v>
      </c>
      <c r="J454" s="97">
        <f ca="1">IFERROR(__xludf.DUMMYFUNCTION("""COMPUTED_VALUE"""),6978.66)</f>
        <v>6978.66</v>
      </c>
      <c r="K454" s="97">
        <f ca="1">IFERROR(__xludf.DUMMYFUNCTION("""COMPUTED_VALUE"""),6740.06)</f>
        <v>6740.06</v>
      </c>
      <c r="L454" s="97">
        <f ca="1">IFERROR(__xludf.DUMMYFUNCTION("""COMPUTED_VALUE"""),0)</f>
        <v>0</v>
      </c>
      <c r="M454" s="97">
        <f ca="1">IFERROR(__xludf.DUMMYFUNCTION("""COMPUTED_VALUE"""),0)</f>
        <v>0</v>
      </c>
      <c r="N454" s="67"/>
      <c r="O454" s="97">
        <f ca="1">IFERROR(__xludf.DUMMYFUNCTION("""COMPUTED_VALUE"""),0)</f>
        <v>0</v>
      </c>
      <c r="P454" s="97" t="str">
        <f ca="1">IFERROR(__xludf.DUMMYFUNCTION("""COMPUTED_VALUE"""),"СМР")</f>
        <v>СМР</v>
      </c>
      <c r="Q454" s="67" t="e">
        <f t="shared" ca="1" si="0"/>
        <v>#VALUE!</v>
      </c>
      <c r="R454" s="126" t="str">
        <f ca="1">IFERROR(__xludf.DUMMYFUNCTION("""COMPUTED_VALUE"""),"https://drive.google.com/drive/folders/1CD6P0gNQl0u0Fvx95N33zFIHzjAiGPSp?usp=sharing")</f>
        <v>https://drive.google.com/drive/folders/1CD6P0gNQl0u0Fvx95N33zFIHzjAiGPSp?usp=sharing</v>
      </c>
      <c r="S454" s="67"/>
      <c r="T454" s="67"/>
      <c r="U454" s="67"/>
      <c r="V454" s="67"/>
      <c r="W454" s="67"/>
      <c r="X454" s="67"/>
      <c r="Y454" s="67"/>
      <c r="Z454" s="67"/>
      <c r="AA454" s="67"/>
      <c r="AB454" s="67"/>
      <c r="AC454" s="67"/>
      <c r="AD454" s="67"/>
      <c r="AE454" s="67"/>
      <c r="AF454" s="67"/>
      <c r="AG454" s="67"/>
      <c r="AH454" s="67"/>
      <c r="AI454" s="67"/>
      <c r="AJ454" s="67"/>
      <c r="AK454" s="67"/>
      <c r="AL454" s="67"/>
      <c r="AM454" s="67"/>
    </row>
    <row r="455" spans="1:39" ht="144" x14ac:dyDescent="0.2">
      <c r="A455" s="67"/>
      <c r="B455" s="100"/>
      <c r="C455"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5" s="24" t="str">
        <f ca="1">IFERROR(__xludf.DUMMYFUNCTION("""COMPUTED_VALUE"""),"МинЖКХ ")</f>
        <v xml:space="preserve">МинЖКХ </v>
      </c>
      <c r="E455" s="20" t="str">
        <f ca="1">IFERROR(__xludf.DUMMYFUNCTION("""COMPUTED_VALUE"""),"Реконструкция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- 17 992,0"&amp;"  т.р. за счет средств поступивших из города Москвы) в том числе:")</f>
        <v>Реконструкция ВЗУ с установкой станций обезжелезивания и УФ-обеззараживание по адресу: пос. Чернецкое, г. Чехов-7, ул. Победы, военный городок №  18, (в том числе кредиторская задолженность - 17 992,28 т.р., из них их бюджета Московской области - 17 992,0  т.р. за счет средств поступивших из города Москвы) в том числе:</v>
      </c>
      <c r="F455" s="67" t="str">
        <f ca="1">IFERROR(__xludf.DUMMYFUNCTION("""COMPUTED_VALUE"""),"2018-2020")</f>
        <v>2018-2020</v>
      </c>
      <c r="G455" s="67" t="str">
        <f ca="1">IFERROR(__xludf.DUMMYFUNCTION("""COMPUTED_VALUE"""),"г.о. Чехов")</f>
        <v>г.о. Чехов</v>
      </c>
      <c r="H455" s="67" t="str">
        <f ca="1">IFERROR(__xludf.DUMMYFUNCTION("""COMPUTED_VALUE"""),"ВЗУ")</f>
        <v>ВЗУ</v>
      </c>
      <c r="I455" s="67"/>
      <c r="J455" s="97">
        <f ca="1">IFERROR(__xludf.DUMMYFUNCTION("""COMPUTED_VALUE"""),17992)</f>
        <v>17992</v>
      </c>
      <c r="K455" s="97">
        <f ca="1">IFERROR(__xludf.DUMMYFUNCTION("""COMPUTED_VALUE"""),1112.24)</f>
        <v>1112.24</v>
      </c>
      <c r="L455" s="97">
        <f ca="1">IFERROR(__xludf.DUMMYFUNCTION("""COMPUTED_VALUE"""),165)</f>
        <v>165</v>
      </c>
      <c r="M455" s="97">
        <f ca="1">IFERROR(__xludf.DUMMYFUNCTION("""COMPUTED_VALUE"""),0)</f>
        <v>0</v>
      </c>
      <c r="N455" s="67"/>
      <c r="O455" s="97">
        <f ca="1">IFERROR(__xludf.DUMMYFUNCTION("""COMPUTED_VALUE"""),0)</f>
        <v>0</v>
      </c>
      <c r="P455" s="97" t="str">
        <f ca="1">IFERROR(__xludf.DUMMYFUNCTION("""COMPUTED_VALUE"""),"Вып")</f>
        <v>Вып</v>
      </c>
      <c r="Q455" s="67">
        <f t="shared" ca="1" si="0"/>
        <v>0</v>
      </c>
      <c r="R455" s="67"/>
      <c r="S455" s="67"/>
      <c r="T455" s="67"/>
      <c r="U455" s="67"/>
      <c r="V455" s="67"/>
      <c r="W455" s="67"/>
      <c r="X455" s="67"/>
      <c r="Y455" s="67"/>
      <c r="Z455" s="67"/>
      <c r="AA455" s="67"/>
      <c r="AB455" s="67"/>
      <c r="AC455" s="67"/>
      <c r="AD455" s="67"/>
      <c r="AE455" s="67"/>
      <c r="AF455" s="67"/>
      <c r="AG455" s="67"/>
      <c r="AH455" s="67"/>
      <c r="AI455" s="67"/>
      <c r="AJ455" s="67"/>
      <c r="AK455" s="67"/>
      <c r="AL455" s="67"/>
      <c r="AM455" s="67"/>
    </row>
    <row r="456" spans="1:39" ht="132" x14ac:dyDescent="0.2">
      <c r="A456" s="67"/>
      <c r="B456" s="100"/>
      <c r="C456"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6" s="24" t="str">
        <f ca="1">IFERROR(__xludf.DUMMYFUNCTION("""COMPUTED_VALUE"""),"МинЖКХ ")</f>
        <v xml:space="preserve">МинЖКХ </v>
      </c>
      <c r="E456" s="20" t="str">
        <f ca="1">IFERROR(__xludf.DUMMYFUNCTION("""COMPUTED_VALUE"""),"Реконструкция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поступивших"&amp;" из города Москвы
 ")</f>
        <v xml:space="preserve">Реконструкция тепловых сетей   по адресу: пос.Чернецкое,  г. Чехов-7, ул. Победы, военный городок №  18 (в том числе ПИР), в том числе погашение кредиторской задолженность - 
26 366,86  т.р., средства бюджета Московской области за счет средств поступивших из города Москвы
 </v>
      </c>
      <c r="F456" s="67" t="str">
        <f ca="1">IFERROR(__xludf.DUMMYFUNCTION("""COMPUTED_VALUE"""),"2019-2020")</f>
        <v>2019-2020</v>
      </c>
      <c r="G456" s="67" t="str">
        <f ca="1">IFERROR(__xludf.DUMMYFUNCTION("""COMPUTED_VALUE"""),"г.о. Чехов")</f>
        <v>г.о. Чехов</v>
      </c>
      <c r="H456" s="67" t="str">
        <f ca="1">IFERROR(__xludf.DUMMYFUNCTION("""COMPUTED_VALUE"""),"Сети")</f>
        <v>Сети</v>
      </c>
      <c r="I456" s="67"/>
      <c r="J456" s="97">
        <f ca="1">IFERROR(__xludf.DUMMYFUNCTION("""COMPUTED_VALUE"""),65700.56)</f>
        <v>65700.56</v>
      </c>
      <c r="K456" s="97">
        <f ca="1">IFERROR(__xludf.DUMMYFUNCTION("""COMPUTED_VALUE"""),5244.07)</f>
        <v>5244.07</v>
      </c>
      <c r="L456" s="97">
        <f ca="1">IFERROR(__xludf.DUMMYFUNCTION("""COMPUTED_VALUE"""),0)</f>
        <v>0</v>
      </c>
      <c r="M456" s="97">
        <f ca="1">IFERROR(__xludf.DUMMYFUNCTION("""COMPUTED_VALUE"""),0)</f>
        <v>0</v>
      </c>
      <c r="N456" s="67"/>
      <c r="O456" s="97">
        <f ca="1">IFERROR(__xludf.DUMMYFUNCTION("""COMPUTED_VALUE"""),0)</f>
        <v>0</v>
      </c>
      <c r="P456" s="97" t="str">
        <f ca="1">IFERROR(__xludf.DUMMYFUNCTION("""COMPUTED_VALUE"""),"Вып")</f>
        <v>Вып</v>
      </c>
      <c r="Q456" s="67" t="e">
        <f t="shared" ca="1" si="0"/>
        <v>#VALUE!</v>
      </c>
      <c r="R456" s="126" t="str">
        <f ca="1">IFERROR(__xludf.DUMMYFUNCTION("""COMPUTED_VALUE"""),"https://drive.google.com/drive/folders/1BKhtX24QMmvAokCE7UM1jBbROzdlDhk-?usp=sharing")</f>
        <v>https://drive.google.com/drive/folders/1BKhtX24QMmvAokCE7UM1jBbROzdlDhk-?usp=sharing</v>
      </c>
      <c r="S456" s="67"/>
      <c r="T456" s="67"/>
      <c r="U456" s="67"/>
      <c r="V456" s="67"/>
      <c r="W456" s="67"/>
      <c r="X456" s="67"/>
      <c r="Y456" s="67"/>
      <c r="Z456" s="67"/>
      <c r="AA456" s="67"/>
      <c r="AB456" s="67"/>
      <c r="AC456" s="67"/>
      <c r="AD456" s="67"/>
      <c r="AE456" s="67"/>
      <c r="AF456" s="67"/>
      <c r="AG456" s="67"/>
      <c r="AH456" s="67"/>
      <c r="AI456" s="67"/>
      <c r="AJ456" s="67"/>
      <c r="AK456" s="67"/>
      <c r="AL456" s="67"/>
      <c r="AM456" s="67"/>
    </row>
    <row r="457" spans="1:39" ht="96" hidden="1" x14ac:dyDescent="0.2">
      <c r="A457" s="67"/>
      <c r="B457" s="100"/>
      <c r="C457"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57" s="24" t="str">
        <f ca="1">IFERROR(__xludf.DUMMYFUNCTION("""COMPUTED_VALUE"""),"МинЖКХ ")</f>
        <v xml:space="preserve">МинЖКХ </v>
      </c>
      <c r="E457" s="20" t="str">
        <f ca="1">IFERROR(__xludf.DUMMYFUNCTION("""COMPUTED_VALUE"""),"Строительство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f>
        <v>Строительство котельной по адресу: г.п. Щелково, Щелково-4, ул. Беляева, мощность – 25,4 МВт, в том числе: технологическое присоединение к инженерным сетям и, в том числе проектно-изыскательские работы</v>
      </c>
      <c r="F457" s="97" t="str">
        <f ca="1">IFERROR(__xludf.DUMMYFUNCTION("""COMPUTED_VALUE"""),"2021-2022")</f>
        <v>2021-2022</v>
      </c>
      <c r="G457" s="67" t="str">
        <f ca="1">IFERROR(__xludf.DUMMYFUNCTION("""COMPUTED_VALUE"""),"г.о. Щелково")</f>
        <v>г.о. Щелково</v>
      </c>
      <c r="H457" s="97" t="str">
        <f ca="1">IFERROR(__xludf.DUMMYFUNCTION("""COMPUTED_VALUE"""),"Котельная")</f>
        <v>Котельная</v>
      </c>
      <c r="I457" s="97">
        <f ca="1">IFERROR(__xludf.DUMMYFUNCTION("""COMPUTED_VALUE"""),0)</f>
        <v>0</v>
      </c>
      <c r="J457" s="67"/>
      <c r="K457" s="97">
        <f ca="1">IFERROR(__xludf.DUMMYFUNCTION("""COMPUTED_VALUE"""),16983.66)</f>
        <v>16983.66</v>
      </c>
      <c r="L457" s="97">
        <f ca="1">IFERROR(__xludf.DUMMYFUNCTION("""COMPUTED_VALUE"""),0)</f>
        <v>0</v>
      </c>
      <c r="M457" s="97">
        <f ca="1">IFERROR(__xludf.DUMMYFUNCTION("""COMPUTED_VALUE"""),0)</f>
        <v>0</v>
      </c>
      <c r="N457" s="67"/>
      <c r="O457" s="97">
        <f ca="1">IFERROR(__xludf.DUMMYFUNCTION("""COMPUTED_VALUE"""),0)</f>
        <v>0</v>
      </c>
      <c r="P457" s="67"/>
      <c r="Q457" s="67">
        <f t="shared" ca="1" si="0"/>
        <v>0</v>
      </c>
      <c r="R457" s="67"/>
      <c r="S457" s="67"/>
      <c r="T457" s="67"/>
      <c r="U457" s="67"/>
      <c r="V457" s="67"/>
      <c r="W457" s="67"/>
      <c r="X457" s="67"/>
      <c r="Y457" s="67"/>
      <c r="Z457" s="67"/>
      <c r="AA457" s="67"/>
      <c r="AB457" s="67"/>
      <c r="AC457" s="67"/>
      <c r="AD457" s="67"/>
      <c r="AE457" s="67"/>
      <c r="AF457" s="67"/>
      <c r="AG457" s="67"/>
      <c r="AH457" s="67"/>
      <c r="AI457" s="67"/>
      <c r="AJ457" s="67"/>
      <c r="AK457" s="67"/>
      <c r="AL457" s="67"/>
      <c r="AM457" s="67"/>
    </row>
    <row r="458" spans="1:39" ht="156" hidden="1" x14ac:dyDescent="0.2">
      <c r="A458" s="67"/>
      <c r="B458" s="96"/>
      <c r="C458"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8" s="24" t="str">
        <f ca="1">IFERROR(__xludf.DUMMYFUNCTION("""COMPUTED_VALUE"""),"Минкульт")</f>
        <v>Минкульт</v>
      </c>
      <c r="E458" s="20" t="str">
        <f ca="1">IFERROR(__xludf.DUMMYFUNCTION("""COMPUTED_VALUE"""),"Капитальный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f>
        <v xml:space="preserve">Капитальный ремонт техническое переоснащение здания МБУ городского поселения Монино «Культурно-досуговый центр «Дом офицеров» Городское поселение Монино Щёлковского муниципального района г.п. Монино, ул. Авиационная, д. 2а военный городок № 21/1
</v>
      </c>
      <c r="F458" s="67" t="str">
        <f ca="1">IFERROR(__xludf.DUMMYFUNCTION("""COMPUTED_VALUE"""),"2016-2022")</f>
        <v>2016-2022</v>
      </c>
      <c r="G458" s="67" t="str">
        <f ca="1">IFERROR(__xludf.DUMMYFUNCTION("""COMPUTED_VALUE"""),"г.о. Щелково ")</f>
        <v xml:space="preserve">г.о. Щелково </v>
      </c>
      <c r="H458" s="67"/>
      <c r="I458" s="67"/>
      <c r="J458" s="67"/>
      <c r="K458" s="97">
        <f ca="1">IFERROR(__xludf.DUMMYFUNCTION("""COMPUTED_VALUE"""),13339.2)</f>
        <v>13339.2</v>
      </c>
      <c r="L458" s="97">
        <f ca="1">IFERROR(__xludf.DUMMYFUNCTION("""COMPUTED_VALUE"""),93638.19)</f>
        <v>93638.19</v>
      </c>
      <c r="M458" s="97">
        <f ca="1">IFERROR(__xludf.DUMMYFUNCTION("""COMPUTED_VALUE"""),0)</f>
        <v>0</v>
      </c>
      <c r="N458" s="67"/>
      <c r="O458" s="97">
        <f ca="1">IFERROR(__xludf.DUMMYFUNCTION("""COMPUTED_VALUE"""),88609.69)</f>
        <v>88609.69</v>
      </c>
      <c r="P458" s="67"/>
      <c r="Q458" s="67">
        <f t="shared" ca="1" si="0"/>
        <v>0</v>
      </c>
      <c r="R458" s="67"/>
      <c r="S458" s="67"/>
      <c r="T458" s="67"/>
      <c r="U458" s="67"/>
      <c r="V458" s="67"/>
      <c r="W458" s="67"/>
      <c r="X458" s="67"/>
      <c r="Y458" s="67"/>
      <c r="Z458" s="67"/>
      <c r="AA458" s="67"/>
      <c r="AB458" s="67"/>
      <c r="AC458" s="67"/>
      <c r="AD458" s="67"/>
      <c r="AE458" s="67"/>
      <c r="AF458" s="67"/>
      <c r="AG458" s="67"/>
      <c r="AH458" s="67"/>
      <c r="AI458" s="67"/>
      <c r="AJ458" s="67"/>
      <c r="AK458" s="67"/>
      <c r="AL458" s="67"/>
      <c r="AM458" s="67"/>
    </row>
    <row r="459" spans="1:39" ht="144" hidden="1" x14ac:dyDescent="0.2">
      <c r="A459" s="67"/>
      <c r="B459" s="96"/>
      <c r="C459"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9" s="24" t="str">
        <f ca="1">IFERROR(__xludf.DUMMYFUNCTION("""COMPUTED_VALUE"""),"Минкульт")</f>
        <v>Минкульт</v>
      </c>
      <c r="E459" s="20" t="str">
        <f ca="1">IFERROR(__xludf.DUMMYFUNCTION("""COMPUTED_VALUE"""),"Капитальный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f>
        <v xml:space="preserve">Капитальный ремонт и техническое переоснащение здания муниципального автономного учреждения культуры городского поселения Щелково «Дворец культуры им. В.П. Чкалова» г. Щелково, ул. Супруна, д. 3 военный городок Щелково 3-4
</v>
      </c>
      <c r="F459" s="67" t="str">
        <f ca="1">IFERROR(__xludf.DUMMYFUNCTION("""COMPUTED_VALUE"""),"2019-2021")</f>
        <v>2019-2021</v>
      </c>
      <c r="G459" s="67" t="str">
        <f ca="1">IFERROR(__xludf.DUMMYFUNCTION("""COMPUTED_VALUE"""),"г.о. Щелково ")</f>
        <v xml:space="preserve">г.о. Щелково </v>
      </c>
      <c r="H459" s="67"/>
      <c r="I459" s="67"/>
      <c r="J459" s="67"/>
      <c r="K459" s="97">
        <f ca="1">IFERROR(__xludf.DUMMYFUNCTION("""COMPUTED_VALUE"""),9708.48)</f>
        <v>9708.48</v>
      </c>
      <c r="L459" s="97">
        <f ca="1">IFERROR(__xludf.DUMMYFUNCTION("""COMPUTED_VALUE"""),0)</f>
        <v>0</v>
      </c>
      <c r="M459" s="97">
        <f ca="1">IFERROR(__xludf.DUMMYFUNCTION("""COMPUTED_VALUE"""),0)</f>
        <v>0</v>
      </c>
      <c r="N459" s="67"/>
      <c r="O459" s="97">
        <f ca="1">IFERROR(__xludf.DUMMYFUNCTION("""COMPUTED_VALUE"""),0)</f>
        <v>0</v>
      </c>
      <c r="P459" s="67"/>
      <c r="Q459" s="67">
        <f t="shared" ca="1" si="0"/>
        <v>0</v>
      </c>
      <c r="R459" s="67"/>
      <c r="S459" s="67"/>
      <c r="T459" s="67"/>
      <c r="U459" s="67"/>
      <c r="V459" s="67"/>
      <c r="W459" s="67"/>
      <c r="X459" s="67"/>
      <c r="Y459" s="67"/>
      <c r="Z459" s="67"/>
      <c r="AA459" s="67"/>
      <c r="AB459" s="67"/>
      <c r="AC459" s="67"/>
      <c r="AD459" s="67"/>
      <c r="AE459" s="67"/>
      <c r="AF459" s="67"/>
      <c r="AG459" s="67"/>
      <c r="AH459" s="67"/>
      <c r="AI459" s="67"/>
      <c r="AJ459" s="67"/>
      <c r="AK459" s="67"/>
      <c r="AL459" s="67"/>
      <c r="AM459" s="67"/>
    </row>
    <row r="460" spans="1:39" ht="180" x14ac:dyDescent="0.2">
      <c r="A460" s="67"/>
      <c r="B460" s="96"/>
      <c r="C460"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0" s="24" t="str">
        <f ca="1">IFERROR(__xludf.DUMMYFUNCTION("""COMPUTED_VALUE"""),"МинЖКХ")</f>
        <v>МинЖКХ</v>
      </c>
      <c r="E460" s="20" t="str">
        <f ca="1">IFERROR(__xludf.DUMMYFUNCTION("""COMPUTED_VALUE"""),"Проведение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Щ"&amp;"елковский район, г. Щелково (Щелково-4, ул. Беляева) - с.п. Анискинское (д. Леониха) - г. Щелково (Щелково-3),военный городок Щелково 3-4")</f>
        <v>Проведение аварийно-восстановительных работ на коллекторе диаметром 400, 600 мм, поврежденного (разрушенного) в результате обрушения сводов трубопровода, полного износа конструктивных элементов трубопровода, расположенного по адресу: Московская область, Щелковский район, г. Щелково (Щелково-4, ул. Беляева) - с.п. Анискинское (д. Леониха) - г. Щелково (Щелково-3),военный городок Щелково 3-4</v>
      </c>
      <c r="F460" s="67" t="str">
        <f ca="1">IFERROR(__xludf.DUMMYFUNCTION("""COMPUTED_VALUE"""),"2019-2020")</f>
        <v>2019-2020</v>
      </c>
      <c r="G460" s="67" t="str">
        <f ca="1">IFERROR(__xludf.DUMMYFUNCTION("""COMPUTED_VALUE"""),"г.о. Щелково")</f>
        <v>г.о. Щелково</v>
      </c>
      <c r="H460" s="67" t="str">
        <f ca="1">IFERROR(__xludf.DUMMYFUNCTION("""COMPUTED_VALUE"""),"КНК")</f>
        <v>КНК</v>
      </c>
      <c r="I460" s="97">
        <f ca="1">IFERROR(__xludf.DUMMYFUNCTION("""COMPUTED_VALUE"""),78165.32)</f>
        <v>78165.320000000007</v>
      </c>
      <c r="J460" s="67"/>
      <c r="K460" s="97">
        <f ca="1">IFERROR(__xludf.DUMMYFUNCTION("""COMPUTED_VALUE"""),12688.49)</f>
        <v>12688.49</v>
      </c>
      <c r="L460" s="97">
        <f ca="1">IFERROR(__xludf.DUMMYFUNCTION("""COMPUTED_VALUE"""),0)</f>
        <v>0</v>
      </c>
      <c r="M460" s="97">
        <f ca="1">IFERROR(__xludf.DUMMYFUNCTION("""COMPUTED_VALUE"""),0)</f>
        <v>0</v>
      </c>
      <c r="N460" s="67"/>
      <c r="O460" s="97">
        <f ca="1">IFERROR(__xludf.DUMMYFUNCTION("""COMPUTED_VALUE"""),0)</f>
        <v>0</v>
      </c>
      <c r="P460" s="97" t="str">
        <f ca="1">IFERROR(__xludf.DUMMYFUNCTION("""COMPUTED_VALUE"""),"Вып")</f>
        <v>Вып</v>
      </c>
      <c r="Q460" s="67">
        <f t="shared" ca="1" si="0"/>
        <v>0</v>
      </c>
      <c r="R460" s="67"/>
      <c r="S460" s="67"/>
      <c r="T460" s="67"/>
      <c r="U460" s="67"/>
      <c r="V460" s="67"/>
      <c r="W460" s="67"/>
      <c r="X460" s="67"/>
      <c r="Y460" s="67"/>
      <c r="Z460" s="67"/>
      <c r="AA460" s="67"/>
      <c r="AB460" s="67"/>
      <c r="AC460" s="67"/>
      <c r="AD460" s="67"/>
      <c r="AE460" s="67"/>
      <c r="AF460" s="67"/>
      <c r="AG460" s="67"/>
      <c r="AH460" s="67"/>
      <c r="AI460" s="67"/>
      <c r="AJ460" s="67"/>
      <c r="AK460" s="67"/>
      <c r="AL460" s="67"/>
      <c r="AM460" s="67"/>
    </row>
    <row r="461" spans="1:39" ht="144" hidden="1" x14ac:dyDescent="0.2">
      <c r="A461" s="67"/>
      <c r="B461" s="100"/>
      <c r="C461"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1" s="24" t="str">
        <f ca="1">IFERROR(__xludf.DUMMYFUNCTION("""COMPUTED_VALUE"""),"МинЖКХ ")</f>
        <v xml:space="preserve">МинЖКХ </v>
      </c>
      <c r="E461" s="20" t="str">
        <f ca="1">IFERROR(__xludf.DUMMYFUNCTION("""COMPUTED_VALUE"""),"Капитальный ремонт теплообменников и насосного оборудования на ЦТП сельское поселение Степановское, село
Всеволодово, военный городок Ногинск-5
")</f>
        <v xml:space="preserve">Капитальный ремонт теплообменников и насосного оборудования на ЦТП сельское поселение Степановское, село
Всеволодово, военный городок Ногинск-5
</v>
      </c>
      <c r="F461" s="67">
        <f ca="1">IFERROR(__xludf.DUMMYFUNCTION("""COMPUTED_VALUE"""),2022)</f>
        <v>2022</v>
      </c>
      <c r="G461" s="67" t="str">
        <f ca="1">IFERROR(__xludf.DUMMYFUNCTION("""COMPUTED_VALUE"""),"г.о. Электросталь ")</f>
        <v xml:space="preserve">г.о. Электросталь </v>
      </c>
      <c r="H461" s="67" t="str">
        <f ca="1">IFERROR(__xludf.DUMMYFUNCTION("""COMPUTED_VALUE"""),"Сети")</f>
        <v>Сети</v>
      </c>
      <c r="I461" s="97">
        <f ca="1">IFERROR(__xludf.DUMMYFUNCTION("""COMPUTED_VALUE"""),0)</f>
        <v>0</v>
      </c>
      <c r="J461" s="67"/>
      <c r="K461" s="97">
        <f ca="1">IFERROR(__xludf.DUMMYFUNCTION("""COMPUTED_VALUE"""),545.03)</f>
        <v>545.03</v>
      </c>
      <c r="L461" s="97">
        <f ca="1">IFERROR(__xludf.DUMMYFUNCTION("""COMPUTED_VALUE"""),0)</f>
        <v>0</v>
      </c>
      <c r="M461" s="97">
        <f ca="1">IFERROR(__xludf.DUMMYFUNCTION("""COMPUTED_VALUE"""),0)</f>
        <v>0</v>
      </c>
      <c r="N461" s="67"/>
      <c r="O461" s="97">
        <f ca="1">IFERROR(__xludf.DUMMYFUNCTION("""COMPUTED_VALUE"""),0)</f>
        <v>0</v>
      </c>
      <c r="P461" s="67"/>
      <c r="Q461" s="67">
        <f t="shared" ca="1" si="0"/>
        <v>0</v>
      </c>
      <c r="R461" s="67"/>
      <c r="S461" s="67"/>
      <c r="T461" s="67"/>
      <c r="U461" s="67"/>
      <c r="V461" s="67"/>
      <c r="W461" s="67"/>
      <c r="X461" s="67"/>
      <c r="Y461" s="67"/>
      <c r="Z461" s="67"/>
      <c r="AA461" s="67"/>
      <c r="AB461" s="67"/>
      <c r="AC461" s="67"/>
      <c r="AD461" s="67"/>
      <c r="AE461" s="67"/>
      <c r="AF461" s="67"/>
      <c r="AG461" s="67"/>
      <c r="AH461" s="67"/>
      <c r="AI461" s="67"/>
      <c r="AJ461" s="67"/>
      <c r="AK461" s="67"/>
      <c r="AL461" s="67"/>
      <c r="AM461" s="67"/>
    </row>
    <row r="462" spans="1:39" ht="144" hidden="1" x14ac:dyDescent="0.2">
      <c r="A462" s="67"/>
      <c r="B462" s="96"/>
      <c r="C462"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2" s="24" t="str">
        <f ca="1">IFERROR(__xludf.DUMMYFUNCTION("""COMPUTED_VALUE"""),"Минкульт")</f>
        <v>Минкульт</v>
      </c>
      <c r="E462" s="20" t="str">
        <f ca="1">IFERROR(__xludf.DUMMYFUNCTION("""COMPUTED_VALUE"""),"Капитальный ремонт и техническое переоснащение здания Дома культуры «Всеволодово» ф-л МБУК «СДК «Елизаветино» д. Всеволодово, д. 90, военный городок Ногинск-5")</f>
        <v>Капитальный ремонт и техническое переоснащение здания Дома культуры «Всеволодово» ф-л МБУК «СДК «Елизаветино» д. Всеволодово, д. 90, военный городок Ногинск-5</v>
      </c>
      <c r="F462" s="67" t="str">
        <f ca="1">IFERROR(__xludf.DUMMYFUNCTION("""COMPUTED_VALUE"""),"2018-2020")</f>
        <v>2018-2020</v>
      </c>
      <c r="G462" s="67" t="str">
        <f ca="1">IFERROR(__xludf.DUMMYFUNCTION("""COMPUTED_VALUE""")," г.о. Электросталь")</f>
        <v xml:space="preserve"> г.о. Электросталь</v>
      </c>
      <c r="H462" s="67"/>
      <c r="I462" s="67"/>
      <c r="J462" s="67"/>
      <c r="K462" s="97">
        <f ca="1">IFERROR(__xludf.DUMMYFUNCTION("""COMPUTED_VALUE"""),5745.38999999999)</f>
        <v>5745.3899999999903</v>
      </c>
      <c r="L462" s="97">
        <f ca="1">IFERROR(__xludf.DUMMYFUNCTION("""COMPUTED_VALUE"""),490.1)</f>
        <v>490.1</v>
      </c>
      <c r="M462" s="97">
        <f ca="1">IFERROR(__xludf.DUMMYFUNCTION("""COMPUTED_VALUE"""),0)</f>
        <v>0</v>
      </c>
      <c r="N462" s="67"/>
      <c r="O462" s="97">
        <f ca="1">IFERROR(__xludf.DUMMYFUNCTION("""COMPUTED_VALUE"""),0)</f>
        <v>0</v>
      </c>
      <c r="P462" s="67"/>
      <c r="Q462" s="67">
        <f t="shared" ca="1" si="0"/>
        <v>0</v>
      </c>
      <c r="R462" s="67"/>
      <c r="S462" s="67"/>
      <c r="T462" s="67"/>
      <c r="U462" s="67"/>
      <c r="V462" s="67"/>
      <c r="W462" s="67"/>
      <c r="X462" s="67"/>
      <c r="Y462" s="67"/>
      <c r="Z462" s="67"/>
      <c r="AA462" s="67"/>
      <c r="AB462" s="67"/>
      <c r="AC462" s="67"/>
      <c r="AD462" s="67"/>
      <c r="AE462" s="67"/>
      <c r="AF462" s="67"/>
      <c r="AG462" s="67"/>
      <c r="AH462" s="67"/>
      <c r="AI462" s="67"/>
      <c r="AJ462" s="67"/>
      <c r="AK462" s="67"/>
      <c r="AL462" s="67"/>
      <c r="AM462" s="67"/>
    </row>
    <row r="463" spans="1:39" ht="84" x14ac:dyDescent="0.2">
      <c r="A463" s="67"/>
      <c r="B463" s="96"/>
      <c r="C463" s="20"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63" s="24" t="str">
        <f ca="1">IFERROR(__xludf.DUMMYFUNCTION("""COMPUTED_VALUE"""),"МинЖКХ ")</f>
        <v xml:space="preserve">МинЖКХ </v>
      </c>
      <c r="E463" s="20" t="str">
        <f ca="1">IFERROR(__xludf.DUMMYFUNCTION("""COMPUTED_VALUE"""),"Реконструкция очистных сооружений, в/г Ногинск-5, д. Всеволодово, Электросталь г.о. ")</f>
        <v xml:space="preserve">Реконструкция очистных сооружений, в/г Ногинск-5, д. Всеволодово, Электросталь г.о. </v>
      </c>
      <c r="F463" s="101" t="str">
        <f ca="1">IFERROR(__xludf.DUMMYFUNCTION("""COMPUTED_VALUE"""),"2019-2022")</f>
        <v>2019-2022</v>
      </c>
      <c r="G463" s="67" t="str">
        <f ca="1">IFERROR(__xludf.DUMMYFUNCTION("""COMPUTED_VALUE"""),"г.о. Электросталь ")</f>
        <v xml:space="preserve">г.о. Электросталь </v>
      </c>
      <c r="H463" s="101" t="str">
        <f ca="1">IFERROR(__xludf.DUMMYFUNCTION("""COMPUTED_VALUE"""),"ОС")</f>
        <v>ОС</v>
      </c>
      <c r="I463" s="97">
        <f ca="1">IFERROR(__xludf.DUMMYFUNCTION("""COMPUTED_VALUE"""),0)</f>
        <v>0</v>
      </c>
      <c r="J463" s="97">
        <f ca="1">IFERROR(__xludf.DUMMYFUNCTION("""COMPUTED_VALUE"""),17584)</f>
        <v>17584</v>
      </c>
      <c r="K463" s="97">
        <f ca="1">IFERROR(__xludf.DUMMYFUNCTION("""COMPUTED_VALUE"""),11974.18)</f>
        <v>11974.18</v>
      </c>
      <c r="L463" s="97">
        <f ca="1">IFERROR(__xludf.DUMMYFUNCTION("""COMPUTED_VALUE"""),0)</f>
        <v>0</v>
      </c>
      <c r="M463" s="97">
        <f ca="1">IFERROR(__xludf.DUMMYFUNCTION("""COMPUTED_VALUE"""),0)</f>
        <v>0</v>
      </c>
      <c r="N463" s="67"/>
      <c r="O463" s="97">
        <f ca="1">IFERROR(__xludf.DUMMYFUNCTION("""COMPUTED_VALUE"""),0)</f>
        <v>0</v>
      </c>
      <c r="P463" s="97" t="str">
        <f ca="1">IFERROR(__xludf.DUMMYFUNCTION("""COMPUTED_VALUE"""),"ПИР")</f>
        <v>ПИР</v>
      </c>
      <c r="Q463" s="67">
        <f t="shared" ca="1" si="0"/>
        <v>0</v>
      </c>
      <c r="R463" s="67"/>
      <c r="S463" s="67"/>
      <c r="T463" s="67"/>
      <c r="U463" s="67"/>
      <c r="V463" s="67"/>
      <c r="W463" s="67"/>
      <c r="X463" s="67"/>
      <c r="Y463" s="67"/>
      <c r="Z463" s="67"/>
      <c r="AA463" s="67"/>
      <c r="AB463" s="67"/>
      <c r="AC463" s="67"/>
      <c r="AD463" s="67"/>
      <c r="AE463" s="67"/>
      <c r="AF463" s="67"/>
      <c r="AG463" s="67"/>
      <c r="AH463" s="67"/>
      <c r="AI463" s="67"/>
      <c r="AJ463" s="67"/>
      <c r="AK463" s="67"/>
      <c r="AL463" s="67"/>
      <c r="AM463" s="67"/>
    </row>
    <row r="464" spans="1:39" ht="144" hidden="1" x14ac:dyDescent="0.2">
      <c r="A464" s="67"/>
      <c r="B464" s="100"/>
      <c r="C464"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4" s="24" t="str">
        <f ca="1">IFERROR(__xludf.DUMMYFUNCTION("""COMPUTED_VALUE"""),"МинЖКХ ")</f>
        <v xml:space="preserve">МинЖКХ </v>
      </c>
      <c r="E464" s="20" t="str">
        <f ca="1">IFERROR(__xludf.DUMMYFUNCTION("""COMPUTED_VALUE"""),"Капитальный ремонт напорного коллектора сельское поселение Степановское, село Всеволодово военный городок Ногинск-5")</f>
        <v>Капитальный ремонт напорного коллектора сельское поселение Степановское, село Всеволодово военный городок Ногинск-5</v>
      </c>
      <c r="F464" s="67">
        <f ca="1">IFERROR(__xludf.DUMMYFUNCTION("""COMPUTED_VALUE"""),2019)</f>
        <v>2019</v>
      </c>
      <c r="G464" s="67" t="str">
        <f ca="1">IFERROR(__xludf.DUMMYFUNCTION("""COMPUTED_VALUE"""),"г.о. Электросталь ")</f>
        <v xml:space="preserve">г.о. Электросталь </v>
      </c>
      <c r="H464" s="67" t="str">
        <f ca="1">IFERROR(__xludf.DUMMYFUNCTION("""COMPUTED_VALUE"""),"КНК")</f>
        <v>КНК</v>
      </c>
      <c r="I464" s="67"/>
      <c r="J464" s="67"/>
      <c r="K464" s="97">
        <f ca="1">IFERROR(__xludf.DUMMYFUNCTION("""COMPUTED_VALUE"""),4469.75)</f>
        <v>4469.75</v>
      </c>
      <c r="L464" s="97">
        <f ca="1">IFERROR(__xludf.DUMMYFUNCTION("""COMPUTED_VALUE"""),0)</f>
        <v>0</v>
      </c>
      <c r="M464" s="97">
        <f ca="1">IFERROR(__xludf.DUMMYFUNCTION("""COMPUTED_VALUE"""),0)</f>
        <v>0</v>
      </c>
      <c r="N464" s="67"/>
      <c r="O464" s="97">
        <f ca="1">IFERROR(__xludf.DUMMYFUNCTION("""COMPUTED_VALUE"""),0)</f>
        <v>0</v>
      </c>
      <c r="P464" s="67"/>
      <c r="Q464" s="67">
        <f t="shared" ca="1" si="0"/>
        <v>0</v>
      </c>
      <c r="R464" s="67"/>
      <c r="S464" s="67"/>
      <c r="T464" s="67"/>
      <c r="U464" s="67"/>
      <c r="V464" s="67"/>
      <c r="W464" s="67"/>
      <c r="X464" s="67"/>
      <c r="Y464" s="67"/>
      <c r="Z464" s="67"/>
      <c r="AA464" s="67"/>
      <c r="AB464" s="67"/>
      <c r="AC464" s="67"/>
      <c r="AD464" s="67"/>
      <c r="AE464" s="67"/>
      <c r="AF464" s="67"/>
      <c r="AG464" s="67"/>
      <c r="AH464" s="67"/>
      <c r="AI464" s="67"/>
      <c r="AJ464" s="67"/>
      <c r="AK464" s="67"/>
      <c r="AL464" s="67"/>
      <c r="AM464" s="67"/>
    </row>
    <row r="465" spans="1:39" ht="144" hidden="1" x14ac:dyDescent="0.2">
      <c r="A465" s="67"/>
      <c r="B465" s="96"/>
      <c r="C465" s="2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5" s="24" t="str">
        <f ca="1">IFERROR(__xludf.DUMMYFUNCTION("""COMPUTED_VALUE"""),"МинЖКХ ")</f>
        <v xml:space="preserve">МинЖКХ </v>
      </c>
      <c r="E465" s="20" t="str">
        <f ca="1">IFERROR(__xludf.DUMMYFUNCTION("""COMPUTED_VALUE"""),"Капитальный ремонт котельной (2-й этап)  по адресу: Московская область, г.о. Электросталь, военный городок Ногинск-5")</f>
        <v>Капитальный ремонт котельной (2-й этап)  по адресу: Московская область, г.о. Электросталь, военный городок Ногинск-5</v>
      </c>
      <c r="F465" s="67">
        <f ca="1">IFERROR(__xludf.DUMMYFUNCTION("""COMPUTED_VALUE"""),2022)</f>
        <v>2022</v>
      </c>
      <c r="G465" s="67" t="str">
        <f ca="1">IFERROR(__xludf.DUMMYFUNCTION("""COMPUTED_VALUE"""),"г.о. Электросталь ")</f>
        <v xml:space="preserve">г.о. Электросталь </v>
      </c>
      <c r="H465" s="67" t="str">
        <f ca="1">IFERROR(__xludf.DUMMYFUNCTION("""COMPUTED_VALUE"""),"Котельная")</f>
        <v>Котельная</v>
      </c>
      <c r="I465" s="97">
        <f ca="1">IFERROR(__xludf.DUMMYFUNCTION("""COMPUTED_VALUE"""),0)</f>
        <v>0</v>
      </c>
      <c r="J465" s="67"/>
      <c r="K465" s="97">
        <f ca="1">IFERROR(__xludf.DUMMYFUNCTION("""COMPUTED_VALUE"""),868.74)</f>
        <v>868.74</v>
      </c>
      <c r="L465" s="97">
        <f ca="1">IFERROR(__xludf.DUMMYFUNCTION("""COMPUTED_VALUE"""),0)</f>
        <v>0</v>
      </c>
      <c r="M465" s="97">
        <f ca="1">IFERROR(__xludf.DUMMYFUNCTION("""COMPUTED_VALUE"""),0)</f>
        <v>0</v>
      </c>
      <c r="N465" s="67"/>
      <c r="O465" s="97">
        <f ca="1">IFERROR(__xludf.DUMMYFUNCTION("""COMPUTED_VALUE"""),0)</f>
        <v>0</v>
      </c>
      <c r="P465" s="67"/>
      <c r="Q465" s="67">
        <f t="shared" ca="1" si="0"/>
        <v>0</v>
      </c>
      <c r="R465" s="67"/>
      <c r="S465" s="67"/>
      <c r="T465" s="67"/>
      <c r="U465" s="67"/>
      <c r="V465" s="67"/>
      <c r="W465" s="67"/>
      <c r="X465" s="67"/>
      <c r="Y465" s="67"/>
      <c r="Z465" s="67"/>
      <c r="AA465" s="67"/>
      <c r="AB465" s="67"/>
      <c r="AC465" s="67"/>
      <c r="AD465" s="67"/>
      <c r="AE465" s="67"/>
      <c r="AF465" s="67"/>
      <c r="AG465" s="67"/>
      <c r="AH465" s="67"/>
      <c r="AI465" s="67"/>
      <c r="AJ465" s="67"/>
      <c r="AK465" s="67"/>
      <c r="AL465" s="67"/>
      <c r="AM465" s="67"/>
    </row>
    <row r="466" spans="1:39" ht="14.25" x14ac:dyDescent="0.2">
      <c r="A466" s="102"/>
      <c r="B466" s="102"/>
      <c r="C466" s="1"/>
      <c r="D466" s="1"/>
      <c r="E466" s="1"/>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row>
    <row r="467" spans="1:39" ht="14.25" x14ac:dyDescent="0.2">
      <c r="A467" s="102"/>
      <c r="B467" s="102"/>
      <c r="C467" s="1"/>
      <c r="D467" s="1"/>
      <c r="E467" s="1"/>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row>
    <row r="468" spans="1:39" ht="14.25" x14ac:dyDescent="0.2">
      <c r="A468" s="102"/>
      <c r="B468" s="102"/>
      <c r="C468" s="1"/>
      <c r="D468" s="1"/>
      <c r="E468" s="1"/>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row>
    <row r="469" spans="1:39" ht="14.25" x14ac:dyDescent="0.2">
      <c r="A469" s="102"/>
      <c r="B469" s="102"/>
      <c r="C469" s="1"/>
      <c r="D469" s="1"/>
      <c r="E469" s="1"/>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row>
    <row r="470" spans="1:39" ht="14.25" x14ac:dyDescent="0.2">
      <c r="A470" s="102"/>
      <c r="B470" s="102"/>
      <c r="C470" s="1"/>
      <c r="D470" s="1"/>
      <c r="E470" s="1"/>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row>
    <row r="471" spans="1:39" ht="14.25" x14ac:dyDescent="0.2">
      <c r="A471" s="102"/>
      <c r="B471" s="102"/>
      <c r="C471" s="1"/>
      <c r="D471" s="1"/>
      <c r="E471" s="1"/>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row>
    <row r="472" spans="1:39" ht="14.25" x14ac:dyDescent="0.2">
      <c r="A472" s="102"/>
      <c r="B472" s="102"/>
      <c r="C472" s="1"/>
      <c r="D472" s="1"/>
      <c r="E472" s="1"/>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row>
    <row r="473" spans="1:39" ht="14.25" x14ac:dyDescent="0.2">
      <c r="A473" s="102"/>
      <c r="B473" s="102"/>
      <c r="C473" s="1"/>
      <c r="D473" s="1"/>
      <c r="E473" s="1"/>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row>
    <row r="474" spans="1:39" ht="14.25" x14ac:dyDescent="0.2">
      <c r="A474" s="102"/>
      <c r="B474" s="102"/>
      <c r="C474" s="1"/>
      <c r="D474" s="1"/>
      <c r="E474" s="1"/>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row>
    <row r="475" spans="1:39" ht="14.25" x14ac:dyDescent="0.2">
      <c r="A475" s="102"/>
      <c r="B475" s="102"/>
      <c r="C475" s="1"/>
      <c r="D475" s="1"/>
      <c r="E475" s="1"/>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row>
    <row r="476" spans="1:39" ht="14.25" x14ac:dyDescent="0.2">
      <c r="A476" s="102"/>
      <c r="B476" s="102"/>
      <c r="C476" s="1"/>
      <c r="D476" s="1"/>
      <c r="E476" s="1"/>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row>
    <row r="477" spans="1:39" ht="14.25" x14ac:dyDescent="0.2">
      <c r="A477" s="102"/>
      <c r="B477" s="102"/>
      <c r="C477" s="1"/>
      <c r="D477" s="1"/>
      <c r="E477" s="1"/>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row>
    <row r="478" spans="1:39" ht="14.25" x14ac:dyDescent="0.2">
      <c r="A478" s="102"/>
      <c r="B478" s="102"/>
      <c r="C478" s="1"/>
      <c r="D478" s="1"/>
      <c r="E478" s="1"/>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row>
    <row r="479" spans="1:39" ht="14.25" x14ac:dyDescent="0.2">
      <c r="A479" s="102"/>
      <c r="B479" s="102"/>
      <c r="C479" s="1"/>
      <c r="D479" s="1"/>
      <c r="E479" s="1"/>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row>
    <row r="480" spans="1:39" ht="14.25" x14ac:dyDescent="0.2">
      <c r="A480" s="102"/>
      <c r="B480" s="102"/>
      <c r="C480" s="1"/>
      <c r="D480" s="1"/>
      <c r="E480" s="1"/>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row>
    <row r="481" spans="1:39" ht="14.25" x14ac:dyDescent="0.2">
      <c r="A481" s="102"/>
      <c r="B481" s="102"/>
      <c r="C481" s="1"/>
      <c r="D481" s="1"/>
      <c r="E481" s="1"/>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row>
    <row r="482" spans="1:39" ht="14.25" x14ac:dyDescent="0.2">
      <c r="A482" s="102"/>
      <c r="B482" s="102"/>
      <c r="C482" s="1"/>
      <c r="D482" s="1"/>
      <c r="E482" s="1"/>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row>
    <row r="483" spans="1:39" ht="14.25" x14ac:dyDescent="0.2">
      <c r="A483" s="102"/>
      <c r="B483" s="102"/>
      <c r="C483" s="1"/>
      <c r="D483" s="1"/>
      <c r="E483" s="1"/>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row>
    <row r="484" spans="1:39" ht="14.25" x14ac:dyDescent="0.2">
      <c r="A484" s="102"/>
      <c r="B484" s="102"/>
      <c r="C484" s="1"/>
      <c r="D484" s="1"/>
      <c r="E484" s="1"/>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row>
    <row r="485" spans="1:39" ht="14.25" x14ac:dyDescent="0.2">
      <c r="A485" s="102"/>
      <c r="B485" s="102"/>
      <c r="C485" s="1"/>
      <c r="D485" s="1"/>
      <c r="E485" s="1"/>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row>
    <row r="486" spans="1:39" ht="14.25" x14ac:dyDescent="0.2">
      <c r="A486" s="102"/>
      <c r="B486" s="102"/>
      <c r="C486" s="1"/>
      <c r="D486" s="1"/>
      <c r="E486" s="1"/>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row>
    <row r="487" spans="1:39" ht="14.25" x14ac:dyDescent="0.2">
      <c r="A487" s="102"/>
      <c r="B487" s="102"/>
      <c r="C487" s="1"/>
      <c r="D487" s="1"/>
      <c r="E487" s="1"/>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row>
    <row r="488" spans="1:39" ht="14.25" x14ac:dyDescent="0.2">
      <c r="A488" s="102"/>
      <c r="B488" s="102"/>
      <c r="C488" s="1"/>
      <c r="D488" s="1"/>
      <c r="E488" s="1"/>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row>
    <row r="489" spans="1:39" ht="14.25" x14ac:dyDescent="0.2">
      <c r="A489" s="102"/>
      <c r="B489" s="102"/>
      <c r="C489" s="1"/>
      <c r="D489" s="1"/>
      <c r="E489" s="1"/>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row>
    <row r="490" spans="1:39" ht="14.25" x14ac:dyDescent="0.2">
      <c r="A490" s="102"/>
      <c r="B490" s="102"/>
      <c r="C490" s="1"/>
      <c r="D490" s="1"/>
      <c r="E490" s="1"/>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row>
    <row r="491" spans="1:39" ht="14.25" x14ac:dyDescent="0.2">
      <c r="A491" s="102"/>
      <c r="B491" s="102"/>
      <c r="C491" s="1"/>
      <c r="D491" s="1"/>
      <c r="E491" s="1"/>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row>
    <row r="492" spans="1:39" ht="14.25" x14ac:dyDescent="0.2">
      <c r="A492" s="102"/>
      <c r="B492" s="102"/>
      <c r="C492" s="1"/>
      <c r="D492" s="1"/>
      <c r="E492" s="1"/>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row>
    <row r="493" spans="1:39" ht="14.25" x14ac:dyDescent="0.2">
      <c r="A493" s="102"/>
      <c r="B493" s="102"/>
      <c r="C493" s="1"/>
      <c r="D493" s="1"/>
      <c r="E493" s="1"/>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row>
    <row r="494" spans="1:39" ht="14.25" x14ac:dyDescent="0.2">
      <c r="A494" s="102"/>
      <c r="B494" s="102"/>
      <c r="C494" s="1"/>
      <c r="D494" s="1"/>
      <c r="E494" s="1"/>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row>
    <row r="495" spans="1:39" ht="14.25" x14ac:dyDescent="0.2">
      <c r="A495" s="102"/>
      <c r="B495" s="102"/>
      <c r="C495" s="1"/>
      <c r="D495" s="1"/>
      <c r="E495" s="1"/>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row>
    <row r="496" spans="1:39" ht="14.25" x14ac:dyDescent="0.2">
      <c r="A496" s="102"/>
      <c r="B496" s="102"/>
      <c r="C496" s="1"/>
      <c r="D496" s="1"/>
      <c r="E496" s="1"/>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row>
    <row r="497" spans="1:39" ht="14.25" x14ac:dyDescent="0.2">
      <c r="A497" s="102"/>
      <c r="B497" s="102"/>
      <c r="C497" s="1"/>
      <c r="D497" s="1"/>
      <c r="E497" s="1"/>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row>
    <row r="498" spans="1:39" ht="14.25" x14ac:dyDescent="0.2">
      <c r="A498" s="102"/>
      <c r="B498" s="102"/>
      <c r="C498" s="1"/>
      <c r="D498" s="1"/>
      <c r="E498" s="1"/>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row>
    <row r="499" spans="1:39" ht="14.25" x14ac:dyDescent="0.2">
      <c r="A499" s="102"/>
      <c r="B499" s="102"/>
      <c r="C499" s="1"/>
      <c r="D499" s="1"/>
      <c r="E499" s="1"/>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row>
    <row r="500" spans="1:39" ht="14.25" x14ac:dyDescent="0.2">
      <c r="A500" s="102"/>
      <c r="B500" s="102"/>
      <c r="C500" s="1"/>
      <c r="D500" s="1"/>
      <c r="E500" s="1"/>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row>
    <row r="501" spans="1:39" ht="14.25" x14ac:dyDescent="0.2">
      <c r="A501" s="102"/>
      <c r="B501" s="102"/>
      <c r="C501" s="1"/>
      <c r="D501" s="1"/>
      <c r="E501" s="1"/>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row>
    <row r="502" spans="1:39" ht="14.25" x14ac:dyDescent="0.2">
      <c r="A502" s="102"/>
      <c r="B502" s="102"/>
      <c r="C502" s="1"/>
      <c r="D502" s="1"/>
      <c r="E502" s="1"/>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row>
    <row r="503" spans="1:39" ht="14.25" x14ac:dyDescent="0.2">
      <c r="A503" s="102"/>
      <c r="B503" s="102"/>
      <c r="C503" s="1"/>
      <c r="D503" s="1"/>
      <c r="E503" s="1"/>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row>
    <row r="504" spans="1:39" ht="14.25" x14ac:dyDescent="0.2">
      <c r="A504" s="102"/>
      <c r="B504" s="102"/>
      <c r="C504" s="1"/>
      <c r="D504" s="1"/>
      <c r="E504" s="1"/>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row>
    <row r="505" spans="1:39" ht="14.25" x14ac:dyDescent="0.2">
      <c r="A505" s="102"/>
      <c r="B505" s="102"/>
      <c r="C505" s="1"/>
      <c r="D505" s="1"/>
      <c r="E505" s="1"/>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row>
    <row r="506" spans="1:39" ht="14.25" x14ac:dyDescent="0.2">
      <c r="A506" s="102"/>
      <c r="B506" s="102"/>
      <c r="C506" s="1"/>
      <c r="D506" s="1"/>
      <c r="E506" s="1"/>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row>
    <row r="507" spans="1:39" ht="14.25" x14ac:dyDescent="0.2">
      <c r="A507" s="102"/>
      <c r="B507" s="102"/>
      <c r="C507" s="1"/>
      <c r="D507" s="1"/>
      <c r="E507" s="1"/>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row>
    <row r="508" spans="1:39" ht="14.25" x14ac:dyDescent="0.2">
      <c r="A508" s="102"/>
      <c r="B508" s="102"/>
      <c r="C508" s="1"/>
      <c r="D508" s="1"/>
      <c r="E508" s="1"/>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row>
    <row r="509" spans="1:39" ht="14.25" x14ac:dyDescent="0.2">
      <c r="A509" s="102"/>
      <c r="B509" s="102"/>
      <c r="C509" s="1"/>
      <c r="D509" s="1"/>
      <c r="E509" s="1"/>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row>
    <row r="510" spans="1:39" ht="14.25" x14ac:dyDescent="0.2">
      <c r="A510" s="102"/>
      <c r="B510" s="102"/>
      <c r="C510" s="1"/>
      <c r="D510" s="1"/>
      <c r="E510" s="1"/>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row>
    <row r="511" spans="1:39" ht="14.25" x14ac:dyDescent="0.2">
      <c r="A511" s="102"/>
      <c r="B511" s="102"/>
      <c r="C511" s="1"/>
      <c r="D511" s="1"/>
      <c r="E511" s="1"/>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row>
    <row r="512" spans="1:39" ht="14.25" x14ac:dyDescent="0.2">
      <c r="A512" s="102"/>
      <c r="B512" s="102"/>
      <c r="C512" s="1"/>
      <c r="D512" s="1"/>
      <c r="E512" s="1"/>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row>
    <row r="513" spans="1:39" ht="14.25" x14ac:dyDescent="0.2">
      <c r="A513" s="102"/>
      <c r="B513" s="102"/>
      <c r="C513" s="1"/>
      <c r="D513" s="1"/>
      <c r="E513" s="1"/>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row>
    <row r="514" spans="1:39" ht="14.25" x14ac:dyDescent="0.2">
      <c r="A514" s="102"/>
      <c r="B514" s="102"/>
      <c r="C514" s="1"/>
      <c r="D514" s="1"/>
      <c r="E514" s="1"/>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row>
    <row r="515" spans="1:39" ht="14.25" x14ac:dyDescent="0.2">
      <c r="A515" s="102"/>
      <c r="B515" s="102"/>
      <c r="C515" s="1"/>
      <c r="D515" s="1"/>
      <c r="E515" s="1"/>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row>
    <row r="516" spans="1:39" ht="14.25" x14ac:dyDescent="0.2">
      <c r="A516" s="102"/>
      <c r="B516" s="102"/>
      <c r="C516" s="1"/>
      <c r="D516" s="1"/>
      <c r="E516" s="1"/>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row>
    <row r="517" spans="1:39" ht="14.25" x14ac:dyDescent="0.2">
      <c r="A517" s="102"/>
      <c r="B517" s="102"/>
      <c r="C517" s="1"/>
      <c r="D517" s="1"/>
      <c r="E517" s="1"/>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row>
    <row r="518" spans="1:39" ht="14.25" x14ac:dyDescent="0.2">
      <c r="A518" s="102"/>
      <c r="B518" s="102"/>
      <c r="C518" s="1"/>
      <c r="D518" s="1"/>
      <c r="E518" s="1"/>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row>
    <row r="519" spans="1:39" ht="14.25" x14ac:dyDescent="0.2">
      <c r="A519" s="102"/>
      <c r="B519" s="102"/>
      <c r="C519" s="1"/>
      <c r="D519" s="1"/>
      <c r="E519" s="1"/>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row>
    <row r="520" spans="1:39" ht="14.25" x14ac:dyDescent="0.2">
      <c r="A520" s="102"/>
      <c r="B520" s="102"/>
      <c r="C520" s="1"/>
      <c r="D520" s="1"/>
      <c r="E520" s="1"/>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row>
    <row r="521" spans="1:39" ht="14.25" x14ac:dyDescent="0.2">
      <c r="A521" s="102"/>
      <c r="B521" s="102"/>
      <c r="C521" s="1"/>
      <c r="D521" s="1"/>
      <c r="E521" s="1"/>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row>
    <row r="522" spans="1:39" ht="14.25" x14ac:dyDescent="0.2">
      <c r="A522" s="102"/>
      <c r="B522" s="102"/>
      <c r="C522" s="1"/>
      <c r="D522" s="1"/>
      <c r="E522" s="1"/>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row>
    <row r="523" spans="1:39" ht="14.25" x14ac:dyDescent="0.2">
      <c r="A523" s="102"/>
      <c r="B523" s="102"/>
      <c r="C523" s="1"/>
      <c r="D523" s="1"/>
      <c r="E523" s="1"/>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row>
    <row r="524" spans="1:39" ht="14.25" x14ac:dyDescent="0.2">
      <c r="A524" s="102"/>
      <c r="B524" s="102"/>
      <c r="C524" s="1"/>
      <c r="D524" s="1"/>
      <c r="E524" s="1"/>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row>
    <row r="525" spans="1:39" ht="14.25" x14ac:dyDescent="0.2">
      <c r="A525" s="102"/>
      <c r="B525" s="102"/>
      <c r="C525" s="1"/>
      <c r="D525" s="1"/>
      <c r="E525" s="1"/>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row>
    <row r="526" spans="1:39" ht="14.25" x14ac:dyDescent="0.2">
      <c r="A526" s="102"/>
      <c r="B526" s="102"/>
      <c r="C526" s="1"/>
      <c r="D526" s="1"/>
      <c r="E526" s="1"/>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row>
    <row r="527" spans="1:39" ht="14.25" x14ac:dyDescent="0.2">
      <c r="A527" s="102"/>
      <c r="B527" s="102"/>
      <c r="C527" s="1"/>
      <c r="D527" s="1"/>
      <c r="E527" s="1"/>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row>
    <row r="528" spans="1:39" ht="14.25" x14ac:dyDescent="0.2">
      <c r="A528" s="102"/>
      <c r="B528" s="102"/>
      <c r="C528" s="1"/>
      <c r="D528" s="1"/>
      <c r="E528" s="1"/>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row>
    <row r="529" spans="1:39" ht="14.25" x14ac:dyDescent="0.2">
      <c r="A529" s="102"/>
      <c r="B529" s="102"/>
      <c r="C529" s="1"/>
      <c r="D529" s="1"/>
      <c r="E529" s="1"/>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row>
    <row r="530" spans="1:39" ht="14.25" x14ac:dyDescent="0.2">
      <c r="A530" s="102"/>
      <c r="B530" s="102"/>
      <c r="C530" s="1"/>
      <c r="D530" s="1"/>
      <c r="E530" s="1"/>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row>
    <row r="531" spans="1:39" ht="14.25" x14ac:dyDescent="0.2">
      <c r="A531" s="102"/>
      <c r="B531" s="102"/>
      <c r="C531" s="1"/>
      <c r="D531" s="1"/>
      <c r="E531" s="1"/>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row>
    <row r="532" spans="1:39" ht="14.25" x14ac:dyDescent="0.2">
      <c r="A532" s="102"/>
      <c r="B532" s="102"/>
      <c r="C532" s="1"/>
      <c r="D532" s="1"/>
      <c r="E532" s="1"/>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row>
    <row r="533" spans="1:39" ht="14.25" x14ac:dyDescent="0.2">
      <c r="A533" s="102"/>
      <c r="B533" s="102"/>
      <c r="C533" s="1"/>
      <c r="D533" s="1"/>
      <c r="E533" s="1"/>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row>
    <row r="534" spans="1:39" ht="14.25" x14ac:dyDescent="0.2">
      <c r="A534" s="102"/>
      <c r="B534" s="102"/>
      <c r="C534" s="1"/>
      <c r="D534" s="1"/>
      <c r="E534" s="1"/>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row>
    <row r="535" spans="1:39" ht="14.25" x14ac:dyDescent="0.2">
      <c r="A535" s="102"/>
      <c r="B535" s="102"/>
      <c r="C535" s="1"/>
      <c r="D535" s="1"/>
      <c r="E535" s="1"/>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c r="AJ535" s="102"/>
      <c r="AK535" s="102"/>
      <c r="AL535" s="102"/>
      <c r="AM535" s="102"/>
    </row>
    <row r="536" spans="1:39" ht="14.25" x14ac:dyDescent="0.2">
      <c r="A536" s="102"/>
      <c r="B536" s="102"/>
      <c r="C536" s="1"/>
      <c r="D536" s="1"/>
      <c r="E536" s="1"/>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row>
    <row r="537" spans="1:39" ht="14.25" x14ac:dyDescent="0.2">
      <c r="A537" s="102"/>
      <c r="B537" s="102"/>
      <c r="C537" s="1"/>
      <c r="D537" s="1"/>
      <c r="E537" s="1"/>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c r="AJ537" s="102"/>
      <c r="AK537" s="102"/>
      <c r="AL537" s="102"/>
      <c r="AM537" s="102"/>
    </row>
    <row r="538" spans="1:39" ht="14.25" x14ac:dyDescent="0.2">
      <c r="A538" s="102"/>
      <c r="B538" s="102"/>
      <c r="C538" s="1"/>
      <c r="D538" s="1"/>
      <c r="E538" s="1"/>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c r="AJ538" s="102"/>
      <c r="AK538" s="102"/>
      <c r="AL538" s="102"/>
      <c r="AM538" s="102"/>
    </row>
    <row r="539" spans="1:39" ht="14.25" x14ac:dyDescent="0.2">
      <c r="A539" s="102"/>
      <c r="B539" s="102"/>
      <c r="C539" s="1"/>
      <c r="D539" s="1"/>
      <c r="E539" s="1"/>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row>
    <row r="540" spans="1:39" ht="14.25" x14ac:dyDescent="0.2">
      <c r="A540" s="102"/>
      <c r="B540" s="102"/>
      <c r="C540" s="1"/>
      <c r="D540" s="1"/>
      <c r="E540" s="1"/>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row>
    <row r="541" spans="1:39" ht="14.25" x14ac:dyDescent="0.2">
      <c r="A541" s="102"/>
      <c r="B541" s="102"/>
      <c r="C541" s="1"/>
      <c r="D541" s="1"/>
      <c r="E541" s="1"/>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row>
    <row r="542" spans="1:39" ht="14.25" x14ac:dyDescent="0.2">
      <c r="A542" s="102"/>
      <c r="B542" s="102"/>
      <c r="C542" s="1"/>
      <c r="D542" s="1"/>
      <c r="E542" s="1"/>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row>
    <row r="543" spans="1:39" ht="14.25" x14ac:dyDescent="0.2">
      <c r="A543" s="102"/>
      <c r="B543" s="102"/>
      <c r="C543" s="1"/>
      <c r="D543" s="1"/>
      <c r="E543" s="1"/>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row>
    <row r="544" spans="1:39" ht="14.25" x14ac:dyDescent="0.2">
      <c r="A544" s="102"/>
      <c r="B544" s="102"/>
      <c r="C544" s="1"/>
      <c r="D544" s="1"/>
      <c r="E544" s="1"/>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c r="AJ544" s="102"/>
      <c r="AK544" s="102"/>
      <c r="AL544" s="102"/>
      <c r="AM544" s="102"/>
    </row>
    <row r="545" spans="1:39" ht="14.25" x14ac:dyDescent="0.2">
      <c r="A545" s="102"/>
      <c r="B545" s="102"/>
      <c r="C545" s="1"/>
      <c r="D545" s="1"/>
      <c r="E545" s="1"/>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row>
    <row r="546" spans="1:39" ht="14.25" x14ac:dyDescent="0.2">
      <c r="A546" s="102"/>
      <c r="B546" s="102"/>
      <c r="C546" s="1"/>
      <c r="D546" s="1"/>
      <c r="E546" s="1"/>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row>
    <row r="547" spans="1:39" ht="14.25" x14ac:dyDescent="0.2">
      <c r="A547" s="102"/>
      <c r="B547" s="102"/>
      <c r="C547" s="1"/>
      <c r="D547" s="1"/>
      <c r="E547" s="1"/>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row>
    <row r="548" spans="1:39" ht="14.25" x14ac:dyDescent="0.2">
      <c r="A548" s="102"/>
      <c r="B548" s="102"/>
      <c r="C548" s="1"/>
      <c r="D548" s="1"/>
      <c r="E548" s="1"/>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row>
    <row r="549" spans="1:39" ht="14.25" x14ac:dyDescent="0.2">
      <c r="A549" s="102"/>
      <c r="B549" s="102"/>
      <c r="C549" s="1"/>
      <c r="D549" s="1"/>
      <c r="E549" s="1"/>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c r="AJ549" s="102"/>
      <c r="AK549" s="102"/>
      <c r="AL549" s="102"/>
      <c r="AM549" s="102"/>
    </row>
    <row r="550" spans="1:39" ht="14.25" x14ac:dyDescent="0.2">
      <c r="A550" s="102"/>
      <c r="B550" s="102"/>
      <c r="C550" s="1"/>
      <c r="D550" s="1"/>
      <c r="E550" s="1"/>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c r="AJ550" s="102"/>
      <c r="AK550" s="102"/>
      <c r="AL550" s="102"/>
      <c r="AM550" s="102"/>
    </row>
    <row r="551" spans="1:39" ht="14.25" x14ac:dyDescent="0.2">
      <c r="A551" s="102"/>
      <c r="B551" s="102"/>
      <c r="C551" s="1"/>
      <c r="D551" s="1"/>
      <c r="E551" s="1"/>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row>
    <row r="552" spans="1:39" ht="14.25" x14ac:dyDescent="0.2">
      <c r="A552" s="102"/>
      <c r="B552" s="102"/>
      <c r="C552" s="1"/>
      <c r="D552" s="1"/>
      <c r="E552" s="1"/>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c r="AJ552" s="102"/>
      <c r="AK552" s="102"/>
      <c r="AL552" s="102"/>
      <c r="AM552" s="102"/>
    </row>
    <row r="553" spans="1:39" ht="14.25" x14ac:dyDescent="0.2">
      <c r="A553" s="102"/>
      <c r="B553" s="102"/>
      <c r="C553" s="1"/>
      <c r="D553" s="1"/>
      <c r="E553" s="1"/>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row>
    <row r="554" spans="1:39" ht="14.25" x14ac:dyDescent="0.2">
      <c r="A554" s="102"/>
      <c r="B554" s="102"/>
      <c r="C554" s="1"/>
      <c r="D554" s="1"/>
      <c r="E554" s="1"/>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c r="AJ554" s="102"/>
      <c r="AK554" s="102"/>
      <c r="AL554" s="102"/>
      <c r="AM554" s="102"/>
    </row>
    <row r="555" spans="1:39" ht="14.25" x14ac:dyDescent="0.2">
      <c r="A555" s="102"/>
      <c r="B555" s="102"/>
      <c r="C555" s="1"/>
      <c r="D555" s="1"/>
      <c r="E555" s="1"/>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row>
    <row r="556" spans="1:39" ht="14.25" x14ac:dyDescent="0.2">
      <c r="A556" s="102"/>
      <c r="B556" s="102"/>
      <c r="C556" s="1"/>
      <c r="D556" s="1"/>
      <c r="E556" s="1"/>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row>
    <row r="557" spans="1:39" ht="14.25" x14ac:dyDescent="0.2">
      <c r="A557" s="102"/>
      <c r="B557" s="102"/>
      <c r="C557" s="1"/>
      <c r="D557" s="1"/>
      <c r="E557" s="1"/>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row>
    <row r="558" spans="1:39" ht="14.25" x14ac:dyDescent="0.2">
      <c r="A558" s="102"/>
      <c r="B558" s="102"/>
      <c r="C558" s="1"/>
      <c r="D558" s="1"/>
      <c r="E558" s="1"/>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row>
    <row r="559" spans="1:39" ht="14.25" x14ac:dyDescent="0.2">
      <c r="A559" s="102"/>
      <c r="B559" s="102"/>
      <c r="C559" s="1"/>
      <c r="D559" s="1"/>
      <c r="E559" s="1"/>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row>
    <row r="560" spans="1:39" ht="14.25" x14ac:dyDescent="0.2">
      <c r="A560" s="102"/>
      <c r="B560" s="102"/>
      <c r="C560" s="1"/>
      <c r="D560" s="1"/>
      <c r="E560" s="1"/>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row>
    <row r="561" spans="1:39" ht="14.25" x14ac:dyDescent="0.2">
      <c r="A561" s="102"/>
      <c r="B561" s="102"/>
      <c r="C561" s="1"/>
      <c r="D561" s="1"/>
      <c r="E561" s="1"/>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row>
    <row r="562" spans="1:39" ht="14.25" x14ac:dyDescent="0.2">
      <c r="A562" s="102"/>
      <c r="B562" s="102"/>
      <c r="C562" s="1"/>
      <c r="D562" s="1"/>
      <c r="E562" s="1"/>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row>
    <row r="563" spans="1:39" ht="14.25" x14ac:dyDescent="0.2">
      <c r="A563" s="102"/>
      <c r="B563" s="102"/>
      <c r="C563" s="1"/>
      <c r="D563" s="1"/>
      <c r="E563" s="1"/>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row>
    <row r="564" spans="1:39" ht="14.25" x14ac:dyDescent="0.2">
      <c r="A564" s="102"/>
      <c r="B564" s="102"/>
      <c r="C564" s="1"/>
      <c r="D564" s="1"/>
      <c r="E564" s="1"/>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c r="AJ564" s="102"/>
      <c r="AK564" s="102"/>
      <c r="AL564" s="102"/>
      <c r="AM564" s="102"/>
    </row>
    <row r="565" spans="1:39" ht="14.25" x14ac:dyDescent="0.2">
      <c r="A565" s="102"/>
      <c r="B565" s="102"/>
      <c r="C565" s="1"/>
      <c r="D565" s="1"/>
      <c r="E565" s="1"/>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row>
    <row r="566" spans="1:39" ht="14.25" x14ac:dyDescent="0.2">
      <c r="A566" s="102"/>
      <c r="B566" s="102"/>
      <c r="C566" s="1"/>
      <c r="D566" s="1"/>
      <c r="E566" s="1"/>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row>
    <row r="567" spans="1:39" ht="14.25" x14ac:dyDescent="0.2">
      <c r="A567" s="102"/>
      <c r="B567" s="102"/>
      <c r="C567" s="1"/>
      <c r="D567" s="1"/>
      <c r="E567" s="1"/>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row>
    <row r="568" spans="1:39" ht="14.25" x14ac:dyDescent="0.2">
      <c r="A568" s="102"/>
      <c r="B568" s="102"/>
      <c r="C568" s="1"/>
      <c r="D568" s="1"/>
      <c r="E568" s="1"/>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row>
    <row r="569" spans="1:39" ht="14.25" x14ac:dyDescent="0.2">
      <c r="A569" s="102"/>
      <c r="B569" s="102"/>
      <c r="C569" s="1"/>
      <c r="D569" s="1"/>
      <c r="E569" s="1"/>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row>
    <row r="570" spans="1:39" ht="14.25" x14ac:dyDescent="0.2">
      <c r="A570" s="102"/>
      <c r="B570" s="102"/>
      <c r="C570" s="1"/>
      <c r="D570" s="1"/>
      <c r="E570" s="1"/>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row>
    <row r="571" spans="1:39" ht="14.25" x14ac:dyDescent="0.2">
      <c r="A571" s="102"/>
      <c r="B571" s="102"/>
      <c r="C571" s="1"/>
      <c r="D571" s="1"/>
      <c r="E571" s="1"/>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row>
    <row r="572" spans="1:39" ht="14.25" x14ac:dyDescent="0.2">
      <c r="A572" s="102"/>
      <c r="B572" s="102"/>
      <c r="C572" s="1"/>
      <c r="D572" s="1"/>
      <c r="E572" s="1"/>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row>
    <row r="573" spans="1:39" ht="14.25" x14ac:dyDescent="0.2">
      <c r="A573" s="102"/>
      <c r="B573" s="102"/>
      <c r="C573" s="1"/>
      <c r="D573" s="1"/>
      <c r="E573" s="1"/>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row>
    <row r="574" spans="1:39" ht="14.25" x14ac:dyDescent="0.2">
      <c r="A574" s="102"/>
      <c r="B574" s="102"/>
      <c r="C574" s="1"/>
      <c r="D574" s="1"/>
      <c r="E574" s="1"/>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c r="AJ574" s="102"/>
      <c r="AK574" s="102"/>
      <c r="AL574" s="102"/>
      <c r="AM574" s="102"/>
    </row>
    <row r="575" spans="1:39" ht="14.25" x14ac:dyDescent="0.2">
      <c r="A575" s="102"/>
      <c r="B575" s="102"/>
      <c r="C575" s="1"/>
      <c r="D575" s="1"/>
      <c r="E575" s="1"/>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c r="AJ575" s="102"/>
      <c r="AK575" s="102"/>
      <c r="AL575" s="102"/>
      <c r="AM575" s="102"/>
    </row>
    <row r="576" spans="1:39" ht="14.25" x14ac:dyDescent="0.2">
      <c r="A576" s="102"/>
      <c r="B576" s="102"/>
      <c r="C576" s="1"/>
      <c r="D576" s="1"/>
      <c r="E576" s="1"/>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row>
    <row r="577" spans="1:39" ht="14.25" x14ac:dyDescent="0.2">
      <c r="A577" s="102"/>
      <c r="B577" s="102"/>
      <c r="C577" s="1"/>
      <c r="D577" s="1"/>
      <c r="E577" s="1"/>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c r="AJ577" s="102"/>
      <c r="AK577" s="102"/>
      <c r="AL577" s="102"/>
      <c r="AM577" s="102"/>
    </row>
    <row r="578" spans="1:39" ht="14.25" x14ac:dyDescent="0.2">
      <c r="A578" s="102"/>
      <c r="B578" s="102"/>
      <c r="C578" s="1"/>
      <c r="D578" s="1"/>
      <c r="E578" s="1"/>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c r="AJ578" s="102"/>
      <c r="AK578" s="102"/>
      <c r="AL578" s="102"/>
      <c r="AM578" s="102"/>
    </row>
    <row r="579" spans="1:39" ht="14.25" x14ac:dyDescent="0.2">
      <c r="A579" s="102"/>
      <c r="B579" s="102"/>
      <c r="C579" s="1"/>
      <c r="D579" s="1"/>
      <c r="E579" s="1"/>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row>
    <row r="580" spans="1:39" ht="14.25" x14ac:dyDescent="0.2">
      <c r="A580" s="102"/>
      <c r="B580" s="102"/>
      <c r="C580" s="1"/>
      <c r="D580" s="1"/>
      <c r="E580" s="1"/>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row>
    <row r="581" spans="1:39" ht="14.25" x14ac:dyDescent="0.2">
      <c r="A581" s="102"/>
      <c r="B581" s="102"/>
      <c r="C581" s="1"/>
      <c r="D581" s="1"/>
      <c r="E581" s="1"/>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row>
    <row r="582" spans="1:39" ht="14.25" x14ac:dyDescent="0.2">
      <c r="A582" s="102"/>
      <c r="B582" s="102"/>
      <c r="C582" s="1"/>
      <c r="D582" s="1"/>
      <c r="E582" s="1"/>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row>
    <row r="583" spans="1:39" ht="14.25" x14ac:dyDescent="0.2">
      <c r="A583" s="102"/>
      <c r="B583" s="102"/>
      <c r="C583" s="1"/>
      <c r="D583" s="1"/>
      <c r="E583" s="1"/>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row>
    <row r="584" spans="1:39" ht="14.25" x14ac:dyDescent="0.2">
      <c r="A584" s="102"/>
      <c r="B584" s="102"/>
      <c r="C584" s="1"/>
      <c r="D584" s="1"/>
      <c r="E584" s="1"/>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row>
    <row r="585" spans="1:39" ht="14.25" x14ac:dyDescent="0.2">
      <c r="A585" s="102"/>
      <c r="B585" s="102"/>
      <c r="C585" s="1"/>
      <c r="D585" s="1"/>
      <c r="E585" s="1"/>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row>
    <row r="586" spans="1:39" ht="14.25" x14ac:dyDescent="0.2">
      <c r="A586" s="102"/>
      <c r="B586" s="102"/>
      <c r="C586" s="1"/>
      <c r="D586" s="1"/>
      <c r="E586" s="1"/>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c r="AJ586" s="102"/>
      <c r="AK586" s="102"/>
      <c r="AL586" s="102"/>
      <c r="AM586" s="102"/>
    </row>
    <row r="587" spans="1:39" ht="14.25" x14ac:dyDescent="0.2">
      <c r="A587" s="102"/>
      <c r="B587" s="102"/>
      <c r="C587" s="1"/>
      <c r="D587" s="1"/>
      <c r="E587" s="1"/>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row>
    <row r="588" spans="1:39" ht="14.25" x14ac:dyDescent="0.2">
      <c r="A588" s="102"/>
      <c r="B588" s="102"/>
      <c r="C588" s="1"/>
      <c r="D588" s="1"/>
      <c r="E588" s="1"/>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row>
    <row r="589" spans="1:39" ht="14.25" x14ac:dyDescent="0.2">
      <c r="A589" s="102"/>
      <c r="B589" s="102"/>
      <c r="C589" s="1"/>
      <c r="D589" s="1"/>
      <c r="E589" s="1"/>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row>
    <row r="590" spans="1:39" ht="14.25" x14ac:dyDescent="0.2">
      <c r="A590" s="102"/>
      <c r="B590" s="102"/>
      <c r="C590" s="1"/>
      <c r="D590" s="1"/>
      <c r="E590" s="1"/>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row>
    <row r="591" spans="1:39" ht="14.25" x14ac:dyDescent="0.2">
      <c r="A591" s="102"/>
      <c r="B591" s="102"/>
      <c r="C591" s="1"/>
      <c r="D591" s="1"/>
      <c r="E591" s="1"/>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row>
    <row r="592" spans="1:39" ht="14.25" x14ac:dyDescent="0.2">
      <c r="A592" s="102"/>
      <c r="B592" s="102"/>
      <c r="C592" s="1"/>
      <c r="D592" s="1"/>
      <c r="E592" s="1"/>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row>
    <row r="593" spans="1:39" ht="14.25" x14ac:dyDescent="0.2">
      <c r="A593" s="102"/>
      <c r="B593" s="102"/>
      <c r="C593" s="1"/>
      <c r="D593" s="1"/>
      <c r="E593" s="1"/>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row>
    <row r="594" spans="1:39" ht="14.25" x14ac:dyDescent="0.2">
      <c r="A594" s="102"/>
      <c r="B594" s="102"/>
      <c r="C594" s="1"/>
      <c r="D594" s="1"/>
      <c r="E594" s="1"/>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row>
    <row r="595" spans="1:39" ht="14.25" x14ac:dyDescent="0.2">
      <c r="A595" s="102"/>
      <c r="B595" s="102"/>
      <c r="C595" s="1"/>
      <c r="D595" s="1"/>
      <c r="E595" s="1"/>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row>
    <row r="596" spans="1:39" ht="14.25" x14ac:dyDescent="0.2">
      <c r="A596" s="102"/>
      <c r="B596" s="102"/>
      <c r="C596" s="1"/>
      <c r="D596" s="1"/>
      <c r="E596" s="1"/>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row>
    <row r="597" spans="1:39" ht="14.25" x14ac:dyDescent="0.2">
      <c r="A597" s="102"/>
      <c r="B597" s="102"/>
      <c r="C597" s="1"/>
      <c r="D597" s="1"/>
      <c r="E597" s="1"/>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row>
    <row r="598" spans="1:39" ht="14.25" x14ac:dyDescent="0.2">
      <c r="A598" s="102"/>
      <c r="B598" s="102"/>
      <c r="C598" s="1"/>
      <c r="D598" s="1"/>
      <c r="E598" s="1"/>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c r="AJ598" s="102"/>
      <c r="AK598" s="102"/>
      <c r="AL598" s="102"/>
      <c r="AM598" s="102"/>
    </row>
    <row r="599" spans="1:39" ht="14.25" x14ac:dyDescent="0.2">
      <c r="A599" s="102"/>
      <c r="B599" s="102"/>
      <c r="C599" s="1"/>
      <c r="D599" s="1"/>
      <c r="E599" s="1"/>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c r="AJ599" s="102"/>
      <c r="AK599" s="102"/>
      <c r="AL599" s="102"/>
      <c r="AM599" s="102"/>
    </row>
    <row r="600" spans="1:39" ht="14.25" x14ac:dyDescent="0.2">
      <c r="A600" s="102"/>
      <c r="B600" s="102"/>
      <c r="C600" s="1"/>
      <c r="D600" s="1"/>
      <c r="E600" s="1"/>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c r="AJ600" s="102"/>
      <c r="AK600" s="102"/>
      <c r="AL600" s="102"/>
      <c r="AM600" s="102"/>
    </row>
    <row r="601" spans="1:39" ht="14.25" x14ac:dyDescent="0.2">
      <c r="A601" s="102"/>
      <c r="B601" s="102"/>
      <c r="C601" s="1"/>
      <c r="D601" s="1"/>
      <c r="E601" s="1"/>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c r="AJ601" s="102"/>
      <c r="AK601" s="102"/>
      <c r="AL601" s="102"/>
      <c r="AM601" s="102"/>
    </row>
    <row r="602" spans="1:39" ht="14.25" x14ac:dyDescent="0.2">
      <c r="A602" s="102"/>
      <c r="B602" s="102"/>
      <c r="C602" s="1"/>
      <c r="D602" s="1"/>
      <c r="E602" s="1"/>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row>
    <row r="603" spans="1:39" ht="14.25" x14ac:dyDescent="0.2">
      <c r="A603" s="102"/>
      <c r="B603" s="102"/>
      <c r="C603" s="1"/>
      <c r="D603" s="1"/>
      <c r="E603" s="1"/>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row>
    <row r="604" spans="1:39" ht="14.25" x14ac:dyDescent="0.2">
      <c r="A604" s="102"/>
      <c r="B604" s="102"/>
      <c r="C604" s="1"/>
      <c r="D604" s="1"/>
      <c r="E604" s="1"/>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row>
    <row r="605" spans="1:39" ht="14.25" x14ac:dyDescent="0.2">
      <c r="A605" s="102"/>
      <c r="B605" s="102"/>
      <c r="C605" s="1"/>
      <c r="D605" s="1"/>
      <c r="E605" s="1"/>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row>
    <row r="606" spans="1:39" ht="14.25" x14ac:dyDescent="0.2">
      <c r="A606" s="102"/>
      <c r="B606" s="102"/>
      <c r="C606" s="1"/>
      <c r="D606" s="1"/>
      <c r="E606" s="1"/>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c r="AJ606" s="102"/>
      <c r="AK606" s="102"/>
      <c r="AL606" s="102"/>
      <c r="AM606" s="102"/>
    </row>
    <row r="607" spans="1:39" ht="14.25" x14ac:dyDescent="0.2">
      <c r="A607" s="102"/>
      <c r="B607" s="102"/>
      <c r="C607" s="1"/>
      <c r="D607" s="1"/>
      <c r="E607" s="1"/>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row>
    <row r="608" spans="1:39" ht="14.25" x14ac:dyDescent="0.2">
      <c r="A608" s="102"/>
      <c r="B608" s="102"/>
      <c r="C608" s="1"/>
      <c r="D608" s="1"/>
      <c r="E608" s="1"/>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c r="AJ608" s="102"/>
      <c r="AK608" s="102"/>
      <c r="AL608" s="102"/>
      <c r="AM608" s="102"/>
    </row>
    <row r="609" spans="1:39" ht="14.25" x14ac:dyDescent="0.2">
      <c r="A609" s="102"/>
      <c r="B609" s="102"/>
      <c r="C609" s="1"/>
      <c r="D609" s="1"/>
      <c r="E609" s="1"/>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c r="AJ609" s="102"/>
      <c r="AK609" s="102"/>
      <c r="AL609" s="102"/>
      <c r="AM609" s="102"/>
    </row>
    <row r="610" spans="1:39" ht="14.25" x14ac:dyDescent="0.2">
      <c r="A610" s="102"/>
      <c r="B610" s="102"/>
      <c r="C610" s="1"/>
      <c r="D610" s="1"/>
      <c r="E610" s="1"/>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c r="AJ610" s="102"/>
      <c r="AK610" s="102"/>
      <c r="AL610" s="102"/>
      <c r="AM610" s="102"/>
    </row>
    <row r="611" spans="1:39" ht="14.25" x14ac:dyDescent="0.2">
      <c r="A611" s="102"/>
      <c r="B611" s="102"/>
      <c r="C611" s="1"/>
      <c r="D611" s="1"/>
      <c r="E611" s="1"/>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row>
    <row r="612" spans="1:39" ht="14.25" x14ac:dyDescent="0.2">
      <c r="A612" s="102"/>
      <c r="B612" s="102"/>
      <c r="C612" s="1"/>
      <c r="D612" s="1"/>
      <c r="E612" s="1"/>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row>
    <row r="613" spans="1:39" ht="14.25" x14ac:dyDescent="0.2">
      <c r="A613" s="102"/>
      <c r="B613" s="102"/>
      <c r="C613" s="1"/>
      <c r="D613" s="1"/>
      <c r="E613" s="1"/>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row>
    <row r="614" spans="1:39" ht="14.25" x14ac:dyDescent="0.2">
      <c r="A614" s="102"/>
      <c r="B614" s="102"/>
      <c r="C614" s="1"/>
      <c r="D614" s="1"/>
      <c r="E614" s="1"/>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c r="AJ614" s="102"/>
      <c r="AK614" s="102"/>
      <c r="AL614" s="102"/>
      <c r="AM614" s="102"/>
    </row>
    <row r="615" spans="1:39" ht="14.25" x14ac:dyDescent="0.2">
      <c r="A615" s="102"/>
      <c r="B615" s="102"/>
      <c r="C615" s="1"/>
      <c r="D615" s="1"/>
      <c r="E615" s="1"/>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c r="AJ615" s="102"/>
      <c r="AK615" s="102"/>
      <c r="AL615" s="102"/>
      <c r="AM615" s="102"/>
    </row>
    <row r="616" spans="1:39" ht="14.25" x14ac:dyDescent="0.2">
      <c r="A616" s="102"/>
      <c r="B616" s="102"/>
      <c r="C616" s="1"/>
      <c r="D616" s="1"/>
      <c r="E616" s="1"/>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row>
    <row r="617" spans="1:39" ht="14.25" x14ac:dyDescent="0.2">
      <c r="A617" s="102"/>
      <c r="B617" s="102"/>
      <c r="C617" s="1"/>
      <c r="D617" s="1"/>
      <c r="E617" s="1"/>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row>
    <row r="618" spans="1:39" ht="14.25" x14ac:dyDescent="0.2">
      <c r="A618" s="102"/>
      <c r="B618" s="102"/>
      <c r="C618" s="1"/>
      <c r="D618" s="1"/>
      <c r="E618" s="1"/>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row>
    <row r="619" spans="1:39" ht="14.25" x14ac:dyDescent="0.2">
      <c r="A619" s="102"/>
      <c r="B619" s="102"/>
      <c r="C619" s="1"/>
      <c r="D619" s="1"/>
      <c r="E619" s="1"/>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row>
    <row r="620" spans="1:39" ht="14.25" x14ac:dyDescent="0.2">
      <c r="A620" s="102"/>
      <c r="B620" s="102"/>
      <c r="C620" s="1"/>
      <c r="D620" s="1"/>
      <c r="E620" s="1"/>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row>
    <row r="621" spans="1:39" ht="14.25" x14ac:dyDescent="0.2">
      <c r="A621" s="102"/>
      <c r="B621" s="102"/>
      <c r="C621" s="1"/>
      <c r="D621" s="1"/>
      <c r="E621" s="1"/>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row>
    <row r="622" spans="1:39" ht="14.25" x14ac:dyDescent="0.2">
      <c r="A622" s="102"/>
      <c r="B622" s="102"/>
      <c r="C622" s="1"/>
      <c r="D622" s="1"/>
      <c r="E622" s="1"/>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row>
    <row r="623" spans="1:39" ht="14.25" x14ac:dyDescent="0.2">
      <c r="A623" s="102"/>
      <c r="B623" s="102"/>
      <c r="C623" s="1"/>
      <c r="D623" s="1"/>
      <c r="E623" s="1"/>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c r="AJ623" s="102"/>
      <c r="AK623" s="102"/>
      <c r="AL623" s="102"/>
      <c r="AM623" s="102"/>
    </row>
    <row r="624" spans="1:39" ht="14.25" x14ac:dyDescent="0.2">
      <c r="A624" s="102"/>
      <c r="B624" s="102"/>
      <c r="C624" s="1"/>
      <c r="D624" s="1"/>
      <c r="E624" s="1"/>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c r="AJ624" s="102"/>
      <c r="AK624" s="102"/>
      <c r="AL624" s="102"/>
      <c r="AM624" s="102"/>
    </row>
    <row r="625" spans="1:39" ht="14.25" x14ac:dyDescent="0.2">
      <c r="A625" s="102"/>
      <c r="B625" s="102"/>
      <c r="C625" s="1"/>
      <c r="D625" s="1"/>
      <c r="E625" s="1"/>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row>
    <row r="626" spans="1:39" ht="14.25" x14ac:dyDescent="0.2">
      <c r="A626" s="102"/>
      <c r="B626" s="102"/>
      <c r="C626" s="1"/>
      <c r="D626" s="1"/>
      <c r="E626" s="1"/>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c r="AJ626" s="102"/>
      <c r="AK626" s="102"/>
      <c r="AL626" s="102"/>
      <c r="AM626" s="102"/>
    </row>
    <row r="627" spans="1:39" ht="14.25" x14ac:dyDescent="0.2">
      <c r="A627" s="102"/>
      <c r="B627" s="102"/>
      <c r="C627" s="1"/>
      <c r="D627" s="1"/>
      <c r="E627" s="1"/>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c r="AJ627" s="102"/>
      <c r="AK627" s="102"/>
      <c r="AL627" s="102"/>
      <c r="AM627" s="102"/>
    </row>
    <row r="628" spans="1:39" ht="14.25" x14ac:dyDescent="0.2">
      <c r="A628" s="102"/>
      <c r="B628" s="102"/>
      <c r="C628" s="1"/>
      <c r="D628" s="1"/>
      <c r="E628" s="1"/>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c r="AJ628" s="102"/>
      <c r="AK628" s="102"/>
      <c r="AL628" s="102"/>
      <c r="AM628" s="102"/>
    </row>
    <row r="629" spans="1:39" ht="14.25" x14ac:dyDescent="0.2">
      <c r="A629" s="102"/>
      <c r="B629" s="102"/>
      <c r="C629" s="1"/>
      <c r="D629" s="1"/>
      <c r="E629" s="1"/>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c r="AJ629" s="102"/>
      <c r="AK629" s="102"/>
      <c r="AL629" s="102"/>
      <c r="AM629" s="102"/>
    </row>
    <row r="630" spans="1:39" ht="14.25" x14ac:dyDescent="0.2">
      <c r="A630" s="102"/>
      <c r="B630" s="102"/>
      <c r="C630" s="1"/>
      <c r="D630" s="1"/>
      <c r="E630" s="1"/>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c r="AJ630" s="102"/>
      <c r="AK630" s="102"/>
      <c r="AL630" s="102"/>
      <c r="AM630" s="102"/>
    </row>
    <row r="631" spans="1:39" ht="14.25" x14ac:dyDescent="0.2">
      <c r="A631" s="102"/>
      <c r="B631" s="102"/>
      <c r="C631" s="1"/>
      <c r="D631" s="1"/>
      <c r="E631" s="1"/>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c r="AJ631" s="102"/>
      <c r="AK631" s="102"/>
      <c r="AL631" s="102"/>
      <c r="AM631" s="102"/>
    </row>
    <row r="632" spans="1:39" ht="14.25" x14ac:dyDescent="0.2">
      <c r="A632" s="102"/>
      <c r="B632" s="102"/>
      <c r="C632" s="1"/>
      <c r="D632" s="1"/>
      <c r="E632" s="1"/>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c r="AJ632" s="102"/>
      <c r="AK632" s="102"/>
      <c r="AL632" s="102"/>
      <c r="AM632" s="102"/>
    </row>
    <row r="633" spans="1:39" ht="14.25" x14ac:dyDescent="0.2">
      <c r="A633" s="102"/>
      <c r="B633" s="102"/>
      <c r="C633" s="1"/>
      <c r="D633" s="1"/>
      <c r="E633" s="1"/>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c r="AJ633" s="102"/>
      <c r="AK633" s="102"/>
      <c r="AL633" s="102"/>
      <c r="AM633" s="102"/>
    </row>
    <row r="634" spans="1:39" ht="14.25" x14ac:dyDescent="0.2">
      <c r="A634" s="102"/>
      <c r="B634" s="102"/>
      <c r="C634" s="1"/>
      <c r="D634" s="1"/>
      <c r="E634" s="1"/>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c r="AJ634" s="102"/>
      <c r="AK634" s="102"/>
      <c r="AL634" s="102"/>
      <c r="AM634" s="102"/>
    </row>
    <row r="635" spans="1:39" ht="14.25" x14ac:dyDescent="0.2">
      <c r="A635" s="102"/>
      <c r="B635" s="102"/>
      <c r="C635" s="1"/>
      <c r="D635" s="1"/>
      <c r="E635" s="1"/>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c r="AJ635" s="102"/>
      <c r="AK635" s="102"/>
      <c r="AL635" s="102"/>
      <c r="AM635" s="102"/>
    </row>
    <row r="636" spans="1:39" ht="14.25" x14ac:dyDescent="0.2">
      <c r="A636" s="102"/>
      <c r="B636" s="102"/>
      <c r="C636" s="1"/>
      <c r="D636" s="1"/>
      <c r="E636" s="1"/>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c r="AJ636" s="102"/>
      <c r="AK636" s="102"/>
      <c r="AL636" s="102"/>
      <c r="AM636" s="102"/>
    </row>
    <row r="637" spans="1:39" ht="14.25" x14ac:dyDescent="0.2">
      <c r="A637" s="102"/>
      <c r="B637" s="102"/>
      <c r="C637" s="1"/>
      <c r="D637" s="1"/>
      <c r="E637" s="1"/>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c r="AJ637" s="102"/>
      <c r="AK637" s="102"/>
      <c r="AL637" s="102"/>
      <c r="AM637" s="102"/>
    </row>
    <row r="638" spans="1:39" ht="14.25" x14ac:dyDescent="0.2">
      <c r="A638" s="102"/>
      <c r="B638" s="102"/>
      <c r="C638" s="1"/>
      <c r="D638" s="1"/>
      <c r="E638" s="1"/>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c r="AJ638" s="102"/>
      <c r="AK638" s="102"/>
      <c r="AL638" s="102"/>
      <c r="AM638" s="102"/>
    </row>
    <row r="639" spans="1:39" ht="14.25" x14ac:dyDescent="0.2">
      <c r="A639" s="102"/>
      <c r="B639" s="102"/>
      <c r="C639" s="1"/>
      <c r="D639" s="1"/>
      <c r="E639" s="1"/>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c r="AJ639" s="102"/>
      <c r="AK639" s="102"/>
      <c r="AL639" s="102"/>
      <c r="AM639" s="102"/>
    </row>
    <row r="640" spans="1:39" ht="14.25" x14ac:dyDescent="0.2">
      <c r="A640" s="102"/>
      <c r="B640" s="102"/>
      <c r="C640" s="1"/>
      <c r="D640" s="1"/>
      <c r="E640" s="1"/>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row>
    <row r="641" spans="1:39" ht="14.25" x14ac:dyDescent="0.2">
      <c r="A641" s="102"/>
      <c r="B641" s="102"/>
      <c r="C641" s="1"/>
      <c r="D641" s="1"/>
      <c r="E641" s="1"/>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row>
    <row r="642" spans="1:39" ht="14.25" x14ac:dyDescent="0.2">
      <c r="A642" s="102"/>
      <c r="B642" s="102"/>
      <c r="C642" s="1"/>
      <c r="D642" s="1"/>
      <c r="E642" s="1"/>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row>
    <row r="643" spans="1:39" ht="14.25" x14ac:dyDescent="0.2">
      <c r="A643" s="102"/>
      <c r="B643" s="102"/>
      <c r="C643" s="1"/>
      <c r="D643" s="1"/>
      <c r="E643" s="1"/>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c r="AJ643" s="102"/>
      <c r="AK643" s="102"/>
      <c r="AL643" s="102"/>
      <c r="AM643" s="102"/>
    </row>
    <row r="644" spans="1:39" ht="14.25" x14ac:dyDescent="0.2">
      <c r="A644" s="102"/>
      <c r="B644" s="102"/>
      <c r="C644" s="1"/>
      <c r="D644" s="1"/>
      <c r="E644" s="1"/>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c r="AJ644" s="102"/>
      <c r="AK644" s="102"/>
      <c r="AL644" s="102"/>
      <c r="AM644" s="102"/>
    </row>
    <row r="645" spans="1:39" ht="14.25" x14ac:dyDescent="0.2">
      <c r="A645" s="102"/>
      <c r="B645" s="102"/>
      <c r="C645" s="1"/>
      <c r="D645" s="1"/>
      <c r="E645" s="1"/>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row>
    <row r="646" spans="1:39" ht="14.25" x14ac:dyDescent="0.2">
      <c r="A646" s="102"/>
      <c r="B646" s="102"/>
      <c r="C646" s="1"/>
      <c r="D646" s="1"/>
      <c r="E646" s="1"/>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row>
    <row r="647" spans="1:39" ht="14.25" x14ac:dyDescent="0.2">
      <c r="A647" s="102"/>
      <c r="B647" s="102"/>
      <c r="C647" s="1"/>
      <c r="D647" s="1"/>
      <c r="E647" s="1"/>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row>
    <row r="648" spans="1:39" ht="14.25" x14ac:dyDescent="0.2">
      <c r="A648" s="102"/>
      <c r="B648" s="102"/>
      <c r="C648" s="1"/>
      <c r="D648" s="1"/>
      <c r="E648" s="1"/>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row>
    <row r="649" spans="1:39" ht="14.25" x14ac:dyDescent="0.2">
      <c r="A649" s="102"/>
      <c r="B649" s="102"/>
      <c r="C649" s="1"/>
      <c r="D649" s="1"/>
      <c r="E649" s="1"/>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row>
    <row r="650" spans="1:39" ht="14.25" x14ac:dyDescent="0.2">
      <c r="A650" s="102"/>
      <c r="B650" s="102"/>
      <c r="C650" s="1"/>
      <c r="D650" s="1"/>
      <c r="E650" s="1"/>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row>
    <row r="651" spans="1:39" ht="14.25" x14ac:dyDescent="0.2">
      <c r="A651" s="102"/>
      <c r="B651" s="102"/>
      <c r="C651" s="1"/>
      <c r="D651" s="1"/>
      <c r="E651" s="1"/>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row>
    <row r="652" spans="1:39" ht="14.25" x14ac:dyDescent="0.2">
      <c r="A652" s="102"/>
      <c r="B652" s="102"/>
      <c r="C652" s="1"/>
      <c r="D652" s="1"/>
      <c r="E652" s="1"/>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row>
    <row r="653" spans="1:39" ht="14.25" x14ac:dyDescent="0.2">
      <c r="A653" s="102"/>
      <c r="B653" s="102"/>
      <c r="C653" s="1"/>
      <c r="D653" s="1"/>
      <c r="E653" s="1"/>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c r="AJ653" s="102"/>
      <c r="AK653" s="102"/>
      <c r="AL653" s="102"/>
      <c r="AM653" s="102"/>
    </row>
    <row r="654" spans="1:39" ht="14.25" x14ac:dyDescent="0.2">
      <c r="A654" s="102"/>
      <c r="B654" s="102"/>
      <c r="C654" s="1"/>
      <c r="D654" s="1"/>
      <c r="E654" s="1"/>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row>
    <row r="655" spans="1:39" ht="14.25" x14ac:dyDescent="0.2">
      <c r="A655" s="102"/>
      <c r="B655" s="102"/>
      <c r="C655" s="1"/>
      <c r="D655" s="1"/>
      <c r="E655" s="1"/>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c r="AG655" s="102"/>
      <c r="AH655" s="102"/>
      <c r="AI655" s="102"/>
      <c r="AJ655" s="102"/>
      <c r="AK655" s="102"/>
      <c r="AL655" s="102"/>
      <c r="AM655" s="102"/>
    </row>
    <row r="656" spans="1:39" ht="14.25" x14ac:dyDescent="0.2">
      <c r="A656" s="102"/>
      <c r="B656" s="102"/>
      <c r="C656" s="1"/>
      <c r="D656" s="1"/>
      <c r="E656" s="1"/>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c r="AG656" s="102"/>
      <c r="AH656" s="102"/>
      <c r="AI656" s="102"/>
      <c r="AJ656" s="102"/>
      <c r="AK656" s="102"/>
      <c r="AL656" s="102"/>
      <c r="AM656" s="102"/>
    </row>
    <row r="657" spans="1:39" ht="14.25" x14ac:dyDescent="0.2">
      <c r="A657" s="102"/>
      <c r="B657" s="102"/>
      <c r="C657" s="1"/>
      <c r="D657" s="1"/>
      <c r="E657" s="1"/>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c r="AG657" s="102"/>
      <c r="AH657" s="102"/>
      <c r="AI657" s="102"/>
      <c r="AJ657" s="102"/>
      <c r="AK657" s="102"/>
      <c r="AL657" s="102"/>
      <c r="AM657" s="102"/>
    </row>
    <row r="658" spans="1:39" ht="14.25" x14ac:dyDescent="0.2">
      <c r="A658" s="102"/>
      <c r="B658" s="102"/>
      <c r="C658" s="1"/>
      <c r="D658" s="1"/>
      <c r="E658" s="1"/>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c r="AG658" s="102"/>
      <c r="AH658" s="102"/>
      <c r="AI658" s="102"/>
      <c r="AJ658" s="102"/>
      <c r="AK658" s="102"/>
      <c r="AL658" s="102"/>
      <c r="AM658" s="102"/>
    </row>
    <row r="659" spans="1:39" ht="14.25" x14ac:dyDescent="0.2">
      <c r="A659" s="102"/>
      <c r="B659" s="102"/>
      <c r="C659" s="1"/>
      <c r="D659" s="1"/>
      <c r="E659" s="1"/>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c r="AG659" s="102"/>
      <c r="AH659" s="102"/>
      <c r="AI659" s="102"/>
      <c r="AJ659" s="102"/>
      <c r="AK659" s="102"/>
      <c r="AL659" s="102"/>
      <c r="AM659" s="102"/>
    </row>
    <row r="660" spans="1:39" ht="14.25" x14ac:dyDescent="0.2">
      <c r="A660" s="102"/>
      <c r="B660" s="102"/>
      <c r="C660" s="1"/>
      <c r="D660" s="1"/>
      <c r="E660" s="1"/>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c r="AG660" s="102"/>
      <c r="AH660" s="102"/>
      <c r="AI660" s="102"/>
      <c r="AJ660" s="102"/>
      <c r="AK660" s="102"/>
      <c r="AL660" s="102"/>
      <c r="AM660" s="102"/>
    </row>
    <row r="661" spans="1:39" ht="14.25" x14ac:dyDescent="0.2">
      <c r="A661" s="102"/>
      <c r="B661" s="102"/>
      <c r="C661" s="1"/>
      <c r="D661" s="1"/>
      <c r="E661" s="1"/>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c r="AJ661" s="102"/>
      <c r="AK661" s="102"/>
      <c r="AL661" s="102"/>
      <c r="AM661" s="102"/>
    </row>
    <row r="662" spans="1:39" ht="14.25" x14ac:dyDescent="0.2">
      <c r="A662" s="102"/>
      <c r="B662" s="102"/>
      <c r="C662" s="1"/>
      <c r="D662" s="1"/>
      <c r="E662" s="1"/>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c r="AJ662" s="102"/>
      <c r="AK662" s="102"/>
      <c r="AL662" s="102"/>
      <c r="AM662" s="102"/>
    </row>
    <row r="663" spans="1:39" ht="14.25" x14ac:dyDescent="0.2">
      <c r="A663" s="102"/>
      <c r="B663" s="102"/>
      <c r="C663" s="1"/>
      <c r="D663" s="1"/>
      <c r="E663" s="1"/>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c r="AJ663" s="102"/>
      <c r="AK663" s="102"/>
      <c r="AL663" s="102"/>
      <c r="AM663" s="102"/>
    </row>
    <row r="664" spans="1:39" ht="14.25" x14ac:dyDescent="0.2">
      <c r="A664" s="102"/>
      <c r="B664" s="102"/>
      <c r="C664" s="1"/>
      <c r="D664" s="1"/>
      <c r="E664" s="1"/>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c r="AJ664" s="102"/>
      <c r="AK664" s="102"/>
      <c r="AL664" s="102"/>
      <c r="AM664" s="102"/>
    </row>
    <row r="665" spans="1:39" ht="14.25" x14ac:dyDescent="0.2">
      <c r="A665" s="102"/>
      <c r="B665" s="102"/>
      <c r="C665" s="1"/>
      <c r="D665" s="1"/>
      <c r="E665" s="1"/>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c r="AJ665" s="102"/>
      <c r="AK665" s="102"/>
      <c r="AL665" s="102"/>
      <c r="AM665" s="102"/>
    </row>
    <row r="666" spans="1:39" ht="14.25" x14ac:dyDescent="0.2">
      <c r="A666" s="102"/>
      <c r="B666" s="102"/>
      <c r="C666" s="1"/>
      <c r="D666" s="1"/>
      <c r="E666" s="1"/>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c r="AJ666" s="102"/>
      <c r="AK666" s="102"/>
      <c r="AL666" s="102"/>
      <c r="AM666" s="102"/>
    </row>
    <row r="667" spans="1:39" ht="14.25" x14ac:dyDescent="0.2">
      <c r="A667" s="102"/>
      <c r="B667" s="102"/>
      <c r="C667" s="1"/>
      <c r="D667" s="1"/>
      <c r="E667" s="1"/>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c r="AJ667" s="102"/>
      <c r="AK667" s="102"/>
      <c r="AL667" s="102"/>
      <c r="AM667" s="102"/>
    </row>
    <row r="668" spans="1:39" ht="14.25" x14ac:dyDescent="0.2">
      <c r="A668" s="102"/>
      <c r="B668" s="102"/>
      <c r="C668" s="1"/>
      <c r="D668" s="1"/>
      <c r="E668" s="1"/>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c r="AJ668" s="102"/>
      <c r="AK668" s="102"/>
      <c r="AL668" s="102"/>
      <c r="AM668" s="102"/>
    </row>
    <row r="669" spans="1:39" ht="14.25" x14ac:dyDescent="0.2">
      <c r="A669" s="102"/>
      <c r="B669" s="102"/>
      <c r="C669" s="1"/>
      <c r="D669" s="1"/>
      <c r="E669" s="1"/>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row>
    <row r="670" spans="1:39" ht="14.25" x14ac:dyDescent="0.2">
      <c r="A670" s="102"/>
      <c r="B670" s="102"/>
      <c r="C670" s="1"/>
      <c r="D670" s="1"/>
      <c r="E670" s="1"/>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row>
    <row r="671" spans="1:39" ht="14.25" x14ac:dyDescent="0.2">
      <c r="A671" s="102"/>
      <c r="B671" s="102"/>
      <c r="C671" s="1"/>
      <c r="D671" s="1"/>
      <c r="E671" s="1"/>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row>
    <row r="672" spans="1:39" ht="14.25" x14ac:dyDescent="0.2">
      <c r="A672" s="102"/>
      <c r="B672" s="102"/>
      <c r="C672" s="1"/>
      <c r="D672" s="1"/>
      <c r="E672" s="1"/>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c r="AJ672" s="102"/>
      <c r="AK672" s="102"/>
      <c r="AL672" s="102"/>
      <c r="AM672" s="102"/>
    </row>
    <row r="673" spans="1:39" ht="14.25" x14ac:dyDescent="0.2">
      <c r="A673" s="102"/>
      <c r="B673" s="102"/>
      <c r="C673" s="1"/>
      <c r="D673" s="1"/>
      <c r="E673" s="1"/>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c r="AJ673" s="102"/>
      <c r="AK673" s="102"/>
      <c r="AL673" s="102"/>
      <c r="AM673" s="102"/>
    </row>
    <row r="674" spans="1:39" ht="14.25" x14ac:dyDescent="0.2">
      <c r="A674" s="102"/>
      <c r="B674" s="102"/>
      <c r="C674" s="1"/>
      <c r="D674" s="1"/>
      <c r="E674" s="1"/>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row>
    <row r="675" spans="1:39" ht="14.25" x14ac:dyDescent="0.2">
      <c r="A675" s="102"/>
      <c r="B675" s="102"/>
      <c r="C675" s="1"/>
      <c r="D675" s="1"/>
      <c r="E675" s="1"/>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row>
    <row r="676" spans="1:39" ht="14.25" x14ac:dyDescent="0.2">
      <c r="A676" s="102"/>
      <c r="B676" s="102"/>
      <c r="C676" s="1"/>
      <c r="D676" s="1"/>
      <c r="E676" s="1"/>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row>
    <row r="677" spans="1:39" ht="14.25" x14ac:dyDescent="0.2">
      <c r="A677" s="102"/>
      <c r="B677" s="102"/>
      <c r="C677" s="1"/>
      <c r="D677" s="1"/>
      <c r="E677" s="1"/>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row>
    <row r="678" spans="1:39" ht="14.25" x14ac:dyDescent="0.2">
      <c r="A678" s="102"/>
      <c r="B678" s="102"/>
      <c r="C678" s="1"/>
      <c r="D678" s="1"/>
      <c r="E678" s="1"/>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row>
    <row r="679" spans="1:39" ht="14.25" x14ac:dyDescent="0.2">
      <c r="A679" s="102"/>
      <c r="B679" s="102"/>
      <c r="C679" s="1"/>
      <c r="D679" s="1"/>
      <c r="E679" s="1"/>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row>
    <row r="680" spans="1:39" ht="14.25" x14ac:dyDescent="0.2">
      <c r="A680" s="102"/>
      <c r="B680" s="102"/>
      <c r="C680" s="1"/>
      <c r="D680" s="1"/>
      <c r="E680" s="1"/>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row>
    <row r="681" spans="1:39" ht="14.25" x14ac:dyDescent="0.2">
      <c r="A681" s="102"/>
      <c r="B681" s="102"/>
      <c r="C681" s="1"/>
      <c r="D681" s="1"/>
      <c r="E681" s="1"/>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c r="AG681" s="102"/>
      <c r="AH681" s="102"/>
      <c r="AI681" s="102"/>
      <c r="AJ681" s="102"/>
      <c r="AK681" s="102"/>
      <c r="AL681" s="102"/>
      <c r="AM681" s="102"/>
    </row>
    <row r="682" spans="1:39" ht="14.25" x14ac:dyDescent="0.2">
      <c r="A682" s="102"/>
      <c r="B682" s="102"/>
      <c r="C682" s="1"/>
      <c r="D682" s="1"/>
      <c r="E682" s="1"/>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c r="AG682" s="102"/>
      <c r="AH682" s="102"/>
      <c r="AI682" s="102"/>
      <c r="AJ682" s="102"/>
      <c r="AK682" s="102"/>
      <c r="AL682" s="102"/>
      <c r="AM682" s="102"/>
    </row>
    <row r="683" spans="1:39" ht="14.25" x14ac:dyDescent="0.2">
      <c r="A683" s="102"/>
      <c r="B683" s="102"/>
      <c r="C683" s="1"/>
      <c r="D683" s="1"/>
      <c r="E683" s="1"/>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c r="AJ683" s="102"/>
      <c r="AK683" s="102"/>
      <c r="AL683" s="102"/>
      <c r="AM683" s="102"/>
    </row>
    <row r="684" spans="1:39" ht="14.25" x14ac:dyDescent="0.2">
      <c r="A684" s="102"/>
      <c r="B684" s="102"/>
      <c r="C684" s="1"/>
      <c r="D684" s="1"/>
      <c r="E684" s="1"/>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c r="AG684" s="102"/>
      <c r="AH684" s="102"/>
      <c r="AI684" s="102"/>
      <c r="AJ684" s="102"/>
      <c r="AK684" s="102"/>
      <c r="AL684" s="102"/>
      <c r="AM684" s="102"/>
    </row>
    <row r="685" spans="1:39" ht="14.25" x14ac:dyDescent="0.2">
      <c r="A685" s="102"/>
      <c r="B685" s="102"/>
      <c r="C685" s="1"/>
      <c r="D685" s="1"/>
      <c r="E685" s="1"/>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c r="AG685" s="102"/>
      <c r="AH685" s="102"/>
      <c r="AI685" s="102"/>
      <c r="AJ685" s="102"/>
      <c r="AK685" s="102"/>
      <c r="AL685" s="102"/>
      <c r="AM685" s="102"/>
    </row>
    <row r="686" spans="1:39" ht="14.25" x14ac:dyDescent="0.2">
      <c r="A686" s="102"/>
      <c r="B686" s="102"/>
      <c r="C686" s="1"/>
      <c r="D686" s="1"/>
      <c r="E686" s="1"/>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c r="AG686" s="102"/>
      <c r="AH686" s="102"/>
      <c r="AI686" s="102"/>
      <c r="AJ686" s="102"/>
      <c r="AK686" s="102"/>
      <c r="AL686" s="102"/>
      <c r="AM686" s="102"/>
    </row>
    <row r="687" spans="1:39" ht="14.25" x14ac:dyDescent="0.2">
      <c r="A687" s="102"/>
      <c r="B687" s="102"/>
      <c r="C687" s="1"/>
      <c r="D687" s="1"/>
      <c r="E687" s="1"/>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c r="AG687" s="102"/>
      <c r="AH687" s="102"/>
      <c r="AI687" s="102"/>
      <c r="AJ687" s="102"/>
      <c r="AK687" s="102"/>
      <c r="AL687" s="102"/>
      <c r="AM687" s="102"/>
    </row>
    <row r="688" spans="1:39" ht="14.25" x14ac:dyDescent="0.2">
      <c r="A688" s="102"/>
      <c r="B688" s="102"/>
      <c r="C688" s="1"/>
      <c r="D688" s="1"/>
      <c r="E688" s="1"/>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c r="AG688" s="102"/>
      <c r="AH688" s="102"/>
      <c r="AI688" s="102"/>
      <c r="AJ688" s="102"/>
      <c r="AK688" s="102"/>
      <c r="AL688" s="102"/>
      <c r="AM688" s="102"/>
    </row>
    <row r="689" spans="1:39" ht="14.25" x14ac:dyDescent="0.2">
      <c r="A689" s="102"/>
      <c r="B689" s="102"/>
      <c r="C689" s="1"/>
      <c r="D689" s="1"/>
      <c r="E689" s="1"/>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c r="AG689" s="102"/>
      <c r="AH689" s="102"/>
      <c r="AI689" s="102"/>
      <c r="AJ689" s="102"/>
      <c r="AK689" s="102"/>
      <c r="AL689" s="102"/>
      <c r="AM689" s="102"/>
    </row>
    <row r="690" spans="1:39" ht="14.25" x14ac:dyDescent="0.2">
      <c r="A690" s="102"/>
      <c r="B690" s="102"/>
      <c r="C690" s="1"/>
      <c r="D690" s="1"/>
      <c r="E690" s="1"/>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c r="AG690" s="102"/>
      <c r="AH690" s="102"/>
      <c r="AI690" s="102"/>
      <c r="AJ690" s="102"/>
      <c r="AK690" s="102"/>
      <c r="AL690" s="102"/>
      <c r="AM690" s="102"/>
    </row>
    <row r="691" spans="1:39" ht="14.25" x14ac:dyDescent="0.2">
      <c r="A691" s="102"/>
      <c r="B691" s="102"/>
      <c r="C691" s="1"/>
      <c r="D691" s="1"/>
      <c r="E691" s="1"/>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c r="AG691" s="102"/>
      <c r="AH691" s="102"/>
      <c r="AI691" s="102"/>
      <c r="AJ691" s="102"/>
      <c r="AK691" s="102"/>
      <c r="AL691" s="102"/>
      <c r="AM691" s="102"/>
    </row>
    <row r="692" spans="1:39" ht="14.25" x14ac:dyDescent="0.2">
      <c r="A692" s="102"/>
      <c r="B692" s="102"/>
      <c r="C692" s="1"/>
      <c r="D692" s="1"/>
      <c r="E692" s="1"/>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c r="AG692" s="102"/>
      <c r="AH692" s="102"/>
      <c r="AI692" s="102"/>
      <c r="AJ692" s="102"/>
      <c r="AK692" s="102"/>
      <c r="AL692" s="102"/>
      <c r="AM692" s="102"/>
    </row>
    <row r="693" spans="1:39" ht="14.25" x14ac:dyDescent="0.2">
      <c r="A693" s="102"/>
      <c r="B693" s="102"/>
      <c r="C693" s="1"/>
      <c r="D693" s="1"/>
      <c r="E693" s="1"/>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c r="AG693" s="102"/>
      <c r="AH693" s="102"/>
      <c r="AI693" s="102"/>
      <c r="AJ693" s="102"/>
      <c r="AK693" s="102"/>
      <c r="AL693" s="102"/>
      <c r="AM693" s="102"/>
    </row>
    <row r="694" spans="1:39" ht="14.25" x14ac:dyDescent="0.2">
      <c r="A694" s="102"/>
      <c r="B694" s="102"/>
      <c r="C694" s="1"/>
      <c r="D694" s="1"/>
      <c r="E694" s="1"/>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c r="AG694" s="102"/>
      <c r="AH694" s="102"/>
      <c r="AI694" s="102"/>
      <c r="AJ694" s="102"/>
      <c r="AK694" s="102"/>
      <c r="AL694" s="102"/>
      <c r="AM694" s="102"/>
    </row>
    <row r="695" spans="1:39" ht="14.25" x14ac:dyDescent="0.2">
      <c r="A695" s="102"/>
      <c r="B695" s="102"/>
      <c r="C695" s="1"/>
      <c r="D695" s="1"/>
      <c r="E695" s="1"/>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row>
    <row r="696" spans="1:39" ht="14.25" x14ac:dyDescent="0.2">
      <c r="A696" s="102"/>
      <c r="B696" s="102"/>
      <c r="C696" s="1"/>
      <c r="D696" s="1"/>
      <c r="E696" s="1"/>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row>
    <row r="697" spans="1:39" ht="14.25" x14ac:dyDescent="0.2">
      <c r="A697" s="102"/>
      <c r="B697" s="102"/>
      <c r="C697" s="1"/>
      <c r="D697" s="1"/>
      <c r="E697" s="1"/>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row>
    <row r="698" spans="1:39" ht="14.25" x14ac:dyDescent="0.2">
      <c r="A698" s="102"/>
      <c r="B698" s="102"/>
      <c r="C698" s="1"/>
      <c r="D698" s="1"/>
      <c r="E698" s="1"/>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row>
    <row r="699" spans="1:39" ht="14.25" x14ac:dyDescent="0.2">
      <c r="A699" s="102"/>
      <c r="B699" s="102"/>
      <c r="C699" s="1"/>
      <c r="D699" s="1"/>
      <c r="E699" s="1"/>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row>
    <row r="700" spans="1:39" ht="14.25" x14ac:dyDescent="0.2">
      <c r="A700" s="102"/>
      <c r="B700" s="102"/>
      <c r="C700" s="1"/>
      <c r="D700" s="1"/>
      <c r="E700" s="1"/>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row>
    <row r="701" spans="1:39" ht="14.25" x14ac:dyDescent="0.2">
      <c r="A701" s="102"/>
      <c r="B701" s="102"/>
      <c r="C701" s="1"/>
      <c r="D701" s="1"/>
      <c r="E701" s="1"/>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102"/>
      <c r="AF701" s="102"/>
      <c r="AG701" s="102"/>
      <c r="AH701" s="102"/>
      <c r="AI701" s="102"/>
      <c r="AJ701" s="102"/>
      <c r="AK701" s="102"/>
      <c r="AL701" s="102"/>
      <c r="AM701" s="102"/>
    </row>
    <row r="702" spans="1:39" ht="14.25" x14ac:dyDescent="0.2">
      <c r="A702" s="102"/>
      <c r="B702" s="102"/>
      <c r="C702" s="1"/>
      <c r="D702" s="1"/>
      <c r="E702" s="1"/>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102"/>
      <c r="AF702" s="102"/>
      <c r="AG702" s="102"/>
      <c r="AH702" s="102"/>
      <c r="AI702" s="102"/>
      <c r="AJ702" s="102"/>
      <c r="AK702" s="102"/>
      <c r="AL702" s="102"/>
      <c r="AM702" s="102"/>
    </row>
    <row r="703" spans="1:39" ht="14.25" x14ac:dyDescent="0.2">
      <c r="A703" s="102"/>
      <c r="B703" s="102"/>
      <c r="C703" s="1"/>
      <c r="D703" s="1"/>
      <c r="E703" s="1"/>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102"/>
      <c r="AF703" s="102"/>
      <c r="AG703" s="102"/>
      <c r="AH703" s="102"/>
      <c r="AI703" s="102"/>
      <c r="AJ703" s="102"/>
      <c r="AK703" s="102"/>
      <c r="AL703" s="102"/>
      <c r="AM703" s="102"/>
    </row>
    <row r="704" spans="1:39" ht="14.25" x14ac:dyDescent="0.2">
      <c r="A704" s="102"/>
      <c r="B704" s="102"/>
      <c r="C704" s="1"/>
      <c r="D704" s="1"/>
      <c r="E704" s="1"/>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c r="AJ704" s="102"/>
      <c r="AK704" s="102"/>
      <c r="AL704" s="102"/>
      <c r="AM704" s="102"/>
    </row>
    <row r="705" spans="1:39" ht="14.25" x14ac:dyDescent="0.2">
      <c r="A705" s="102"/>
      <c r="B705" s="102"/>
      <c r="C705" s="1"/>
      <c r="D705" s="1"/>
      <c r="E705" s="1"/>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row>
    <row r="706" spans="1:39" ht="14.25" x14ac:dyDescent="0.2">
      <c r="A706" s="102"/>
      <c r="B706" s="102"/>
      <c r="C706" s="1"/>
      <c r="D706" s="1"/>
      <c r="E706" s="1"/>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row>
    <row r="707" spans="1:39" ht="14.25" x14ac:dyDescent="0.2">
      <c r="A707" s="102"/>
      <c r="B707" s="102"/>
      <c r="C707" s="1"/>
      <c r="D707" s="1"/>
      <c r="E707" s="1"/>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row>
    <row r="708" spans="1:39" ht="14.25" x14ac:dyDescent="0.2">
      <c r="A708" s="102"/>
      <c r="B708" s="102"/>
      <c r="C708" s="1"/>
      <c r="D708" s="1"/>
      <c r="E708" s="1"/>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row>
    <row r="709" spans="1:39" ht="14.25" x14ac:dyDescent="0.2">
      <c r="A709" s="102"/>
      <c r="B709" s="102"/>
      <c r="C709" s="1"/>
      <c r="D709" s="1"/>
      <c r="E709" s="1"/>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row>
    <row r="710" spans="1:39" ht="14.25" x14ac:dyDescent="0.2">
      <c r="A710" s="102"/>
      <c r="B710" s="102"/>
      <c r="C710" s="1"/>
      <c r="D710" s="1"/>
      <c r="E710" s="1"/>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row>
    <row r="711" spans="1:39" ht="14.25" x14ac:dyDescent="0.2">
      <c r="A711" s="102"/>
      <c r="B711" s="102"/>
      <c r="C711" s="1"/>
      <c r="D711" s="1"/>
      <c r="E711" s="1"/>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row>
    <row r="712" spans="1:39" ht="14.25" x14ac:dyDescent="0.2">
      <c r="A712" s="102"/>
      <c r="B712" s="102"/>
      <c r="C712" s="1"/>
      <c r="D712" s="1"/>
      <c r="E712" s="1"/>
      <c r="F712" s="102"/>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02"/>
      <c r="AJ712" s="102"/>
      <c r="AK712" s="102"/>
      <c r="AL712" s="102"/>
      <c r="AM712" s="102"/>
    </row>
    <row r="713" spans="1:39" ht="14.25" x14ac:dyDescent="0.2">
      <c r="A713" s="102"/>
      <c r="B713" s="102"/>
      <c r="C713" s="1"/>
      <c r="D713" s="1"/>
      <c r="E713" s="1"/>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c r="AJ713" s="102"/>
      <c r="AK713" s="102"/>
      <c r="AL713" s="102"/>
      <c r="AM713" s="102"/>
    </row>
    <row r="714" spans="1:39" ht="14.25" x14ac:dyDescent="0.2">
      <c r="A714" s="102"/>
      <c r="B714" s="102"/>
      <c r="C714" s="1"/>
      <c r="D714" s="1"/>
      <c r="E714" s="1"/>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c r="AJ714" s="102"/>
      <c r="AK714" s="102"/>
      <c r="AL714" s="102"/>
      <c r="AM714" s="102"/>
    </row>
    <row r="715" spans="1:39" ht="14.25" x14ac:dyDescent="0.2">
      <c r="A715" s="102"/>
      <c r="B715" s="102"/>
      <c r="C715" s="1"/>
      <c r="D715" s="1"/>
      <c r="E715" s="1"/>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c r="AJ715" s="102"/>
      <c r="AK715" s="102"/>
      <c r="AL715" s="102"/>
      <c r="AM715" s="102"/>
    </row>
    <row r="716" spans="1:39" ht="14.25" x14ac:dyDescent="0.2">
      <c r="A716" s="102"/>
      <c r="B716" s="102"/>
      <c r="C716" s="1"/>
      <c r="D716" s="1"/>
      <c r="E716" s="1"/>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c r="AJ716" s="102"/>
      <c r="AK716" s="102"/>
      <c r="AL716" s="102"/>
      <c r="AM716" s="102"/>
    </row>
    <row r="717" spans="1:39" ht="14.25" x14ac:dyDescent="0.2">
      <c r="A717" s="102"/>
      <c r="B717" s="102"/>
      <c r="C717" s="1"/>
      <c r="D717" s="1"/>
      <c r="E717" s="1"/>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c r="AJ717" s="102"/>
      <c r="AK717" s="102"/>
      <c r="AL717" s="102"/>
      <c r="AM717" s="102"/>
    </row>
    <row r="718" spans="1:39" ht="14.25" x14ac:dyDescent="0.2">
      <c r="A718" s="102"/>
      <c r="B718" s="102"/>
      <c r="C718" s="1"/>
      <c r="D718" s="1"/>
      <c r="E718" s="1"/>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c r="AJ718" s="102"/>
      <c r="AK718" s="102"/>
      <c r="AL718" s="102"/>
      <c r="AM718" s="102"/>
    </row>
    <row r="719" spans="1:39" ht="14.25" x14ac:dyDescent="0.2">
      <c r="A719" s="102"/>
      <c r="B719" s="102"/>
      <c r="C719" s="1"/>
      <c r="D719" s="1"/>
      <c r="E719" s="1"/>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c r="AJ719" s="102"/>
      <c r="AK719" s="102"/>
      <c r="AL719" s="102"/>
      <c r="AM719" s="102"/>
    </row>
    <row r="720" spans="1:39" ht="14.25" x14ac:dyDescent="0.2">
      <c r="A720" s="102"/>
      <c r="B720" s="102"/>
      <c r="C720" s="1"/>
      <c r="D720" s="1"/>
      <c r="E720" s="1"/>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c r="AJ720" s="102"/>
      <c r="AK720" s="102"/>
      <c r="AL720" s="102"/>
      <c r="AM720" s="102"/>
    </row>
    <row r="721" spans="1:39" ht="14.25" x14ac:dyDescent="0.2">
      <c r="A721" s="102"/>
      <c r="B721" s="102"/>
      <c r="C721" s="1"/>
      <c r="D721" s="1"/>
      <c r="E721" s="1"/>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102"/>
      <c r="AF721" s="102"/>
      <c r="AG721" s="102"/>
      <c r="AH721" s="102"/>
      <c r="AI721" s="102"/>
      <c r="AJ721" s="102"/>
      <c r="AK721" s="102"/>
      <c r="AL721" s="102"/>
      <c r="AM721" s="102"/>
    </row>
    <row r="722" spans="1:39" ht="14.25" x14ac:dyDescent="0.2">
      <c r="A722" s="102"/>
      <c r="B722" s="102"/>
      <c r="C722" s="1"/>
      <c r="D722" s="1"/>
      <c r="E722" s="1"/>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102"/>
      <c r="AF722" s="102"/>
      <c r="AG722" s="102"/>
      <c r="AH722" s="102"/>
      <c r="AI722" s="102"/>
      <c r="AJ722" s="102"/>
      <c r="AK722" s="102"/>
      <c r="AL722" s="102"/>
      <c r="AM722" s="102"/>
    </row>
    <row r="723" spans="1:39" ht="14.25" x14ac:dyDescent="0.2">
      <c r="A723" s="102"/>
      <c r="B723" s="102"/>
      <c r="C723" s="1"/>
      <c r="D723" s="1"/>
      <c r="E723" s="1"/>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c r="AF723" s="102"/>
      <c r="AG723" s="102"/>
      <c r="AH723" s="102"/>
      <c r="AI723" s="102"/>
      <c r="AJ723" s="102"/>
      <c r="AK723" s="102"/>
      <c r="AL723" s="102"/>
      <c r="AM723" s="102"/>
    </row>
    <row r="724" spans="1:39" ht="14.25" x14ac:dyDescent="0.2">
      <c r="A724" s="102"/>
      <c r="B724" s="102"/>
      <c r="C724" s="1"/>
      <c r="D724" s="1"/>
      <c r="E724" s="1"/>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102"/>
      <c r="AF724" s="102"/>
      <c r="AG724" s="102"/>
      <c r="AH724" s="102"/>
      <c r="AI724" s="102"/>
      <c r="AJ724" s="102"/>
      <c r="AK724" s="102"/>
      <c r="AL724" s="102"/>
      <c r="AM724" s="102"/>
    </row>
    <row r="725" spans="1:39" ht="14.25" x14ac:dyDescent="0.2">
      <c r="A725" s="102"/>
      <c r="B725" s="102"/>
      <c r="C725" s="1"/>
      <c r="D725" s="1"/>
      <c r="E725" s="1"/>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102"/>
      <c r="AF725" s="102"/>
      <c r="AG725" s="102"/>
      <c r="AH725" s="102"/>
      <c r="AI725" s="102"/>
      <c r="AJ725" s="102"/>
      <c r="AK725" s="102"/>
      <c r="AL725" s="102"/>
      <c r="AM725" s="102"/>
    </row>
    <row r="726" spans="1:39" ht="14.25" x14ac:dyDescent="0.2">
      <c r="A726" s="102"/>
      <c r="B726" s="102"/>
      <c r="C726" s="1"/>
      <c r="D726" s="1"/>
      <c r="E726" s="1"/>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c r="AJ726" s="102"/>
      <c r="AK726" s="102"/>
      <c r="AL726" s="102"/>
      <c r="AM726" s="102"/>
    </row>
    <row r="727" spans="1:39" ht="14.25" x14ac:dyDescent="0.2">
      <c r="A727" s="102"/>
      <c r="B727" s="102"/>
      <c r="C727" s="1"/>
      <c r="D727" s="1"/>
      <c r="E727" s="1"/>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102"/>
      <c r="AF727" s="102"/>
      <c r="AG727" s="102"/>
      <c r="AH727" s="102"/>
      <c r="AI727" s="102"/>
      <c r="AJ727" s="102"/>
      <c r="AK727" s="102"/>
      <c r="AL727" s="102"/>
      <c r="AM727" s="102"/>
    </row>
    <row r="728" spans="1:39" ht="14.25" x14ac:dyDescent="0.2">
      <c r="A728" s="102"/>
      <c r="B728" s="102"/>
      <c r="C728" s="1"/>
      <c r="D728" s="1"/>
      <c r="E728" s="1"/>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102"/>
      <c r="AF728" s="102"/>
      <c r="AG728" s="102"/>
      <c r="AH728" s="102"/>
      <c r="AI728" s="102"/>
      <c r="AJ728" s="102"/>
      <c r="AK728" s="102"/>
      <c r="AL728" s="102"/>
      <c r="AM728" s="102"/>
    </row>
    <row r="729" spans="1:39" ht="14.25" x14ac:dyDescent="0.2">
      <c r="A729" s="102"/>
      <c r="B729" s="102"/>
      <c r="C729" s="1"/>
      <c r="D729" s="1"/>
      <c r="E729" s="1"/>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row>
    <row r="730" spans="1:39" ht="14.25" x14ac:dyDescent="0.2">
      <c r="A730" s="102"/>
      <c r="B730" s="102"/>
      <c r="C730" s="1"/>
      <c r="D730" s="1"/>
      <c r="E730" s="1"/>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row>
    <row r="731" spans="1:39" ht="14.25" x14ac:dyDescent="0.2">
      <c r="A731" s="102"/>
      <c r="B731" s="102"/>
      <c r="C731" s="1"/>
      <c r="D731" s="1"/>
      <c r="E731" s="1"/>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row>
    <row r="732" spans="1:39" ht="14.25" x14ac:dyDescent="0.2">
      <c r="A732" s="102"/>
      <c r="B732" s="102"/>
      <c r="C732" s="1"/>
      <c r="D732" s="1"/>
      <c r="E732" s="1"/>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102"/>
      <c r="AF732" s="102"/>
      <c r="AG732" s="102"/>
      <c r="AH732" s="102"/>
      <c r="AI732" s="102"/>
      <c r="AJ732" s="102"/>
      <c r="AK732" s="102"/>
      <c r="AL732" s="102"/>
      <c r="AM732" s="102"/>
    </row>
    <row r="733" spans="1:39" ht="14.25" x14ac:dyDescent="0.2">
      <c r="A733" s="102"/>
      <c r="B733" s="102"/>
      <c r="C733" s="1"/>
      <c r="D733" s="1"/>
      <c r="E733" s="1"/>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c r="AJ733" s="102"/>
      <c r="AK733" s="102"/>
      <c r="AL733" s="102"/>
      <c r="AM733" s="102"/>
    </row>
    <row r="734" spans="1:39" ht="14.25" x14ac:dyDescent="0.2">
      <c r="A734" s="102"/>
      <c r="B734" s="102"/>
      <c r="C734" s="1"/>
      <c r="D734" s="1"/>
      <c r="E734" s="1"/>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row>
    <row r="735" spans="1:39" ht="14.25" x14ac:dyDescent="0.2">
      <c r="A735" s="102"/>
      <c r="B735" s="102"/>
      <c r="C735" s="1"/>
      <c r="D735" s="1"/>
      <c r="E735" s="1"/>
      <c r="F735" s="102"/>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row>
    <row r="736" spans="1:39" ht="14.25" x14ac:dyDescent="0.2">
      <c r="A736" s="102"/>
      <c r="B736" s="102"/>
      <c r="C736" s="1"/>
      <c r="D736" s="1"/>
      <c r="E736" s="1"/>
      <c r="F736" s="102"/>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row>
    <row r="737" spans="1:39" ht="14.25" x14ac:dyDescent="0.2">
      <c r="A737" s="102"/>
      <c r="B737" s="102"/>
      <c r="C737" s="1"/>
      <c r="D737" s="1"/>
      <c r="E737" s="1"/>
      <c r="F737" s="102"/>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row>
    <row r="738" spans="1:39" ht="14.25" x14ac:dyDescent="0.2">
      <c r="A738" s="102"/>
      <c r="B738" s="102"/>
      <c r="C738" s="1"/>
      <c r="D738" s="1"/>
      <c r="E738" s="1"/>
      <c r="F738" s="102"/>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row>
    <row r="739" spans="1:39" ht="14.25" x14ac:dyDescent="0.2">
      <c r="A739" s="102"/>
      <c r="B739" s="102"/>
      <c r="C739" s="1"/>
      <c r="D739" s="1"/>
      <c r="E739" s="1"/>
      <c r="F739" s="102"/>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row>
    <row r="740" spans="1:39" ht="14.25" x14ac:dyDescent="0.2">
      <c r="A740" s="102"/>
      <c r="B740" s="102"/>
      <c r="C740" s="1"/>
      <c r="D740" s="1"/>
      <c r="E740" s="1"/>
      <c r="F740" s="102"/>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row>
    <row r="741" spans="1:39" ht="14.25" x14ac:dyDescent="0.2">
      <c r="A741" s="102"/>
      <c r="B741" s="102"/>
      <c r="C741" s="1"/>
      <c r="D741" s="1"/>
      <c r="E741" s="1"/>
      <c r="F741" s="102"/>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row>
    <row r="742" spans="1:39" ht="14.25" x14ac:dyDescent="0.2">
      <c r="A742" s="102"/>
      <c r="B742" s="102"/>
      <c r="C742" s="1"/>
      <c r="D742" s="1"/>
      <c r="E742" s="1"/>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row>
    <row r="743" spans="1:39" ht="14.25" x14ac:dyDescent="0.2">
      <c r="A743" s="102"/>
      <c r="B743" s="102"/>
      <c r="C743" s="1"/>
      <c r="D743" s="1"/>
      <c r="E743" s="1"/>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row>
    <row r="744" spans="1:39" ht="14.25" x14ac:dyDescent="0.2">
      <c r="A744" s="102"/>
      <c r="B744" s="102"/>
      <c r="C744" s="1"/>
      <c r="D744" s="1"/>
      <c r="E744" s="1"/>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row>
    <row r="745" spans="1:39" ht="14.25" x14ac:dyDescent="0.2">
      <c r="A745" s="102"/>
      <c r="B745" s="102"/>
      <c r="C745" s="1"/>
      <c r="D745" s="1"/>
      <c r="E745" s="1"/>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c r="AJ745" s="102"/>
      <c r="AK745" s="102"/>
      <c r="AL745" s="102"/>
      <c r="AM745" s="102"/>
    </row>
    <row r="746" spans="1:39" ht="14.25" x14ac:dyDescent="0.2">
      <c r="A746" s="102"/>
      <c r="B746" s="102"/>
      <c r="C746" s="1"/>
      <c r="D746" s="1"/>
      <c r="E746" s="1"/>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row>
    <row r="747" spans="1:39" ht="14.25" x14ac:dyDescent="0.2">
      <c r="A747" s="102"/>
      <c r="B747" s="102"/>
      <c r="C747" s="1"/>
      <c r="D747" s="1"/>
      <c r="E747" s="1"/>
      <c r="F747" s="102"/>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c r="AJ747" s="102"/>
      <c r="AK747" s="102"/>
      <c r="AL747" s="102"/>
      <c r="AM747" s="102"/>
    </row>
    <row r="748" spans="1:39" ht="14.25" x14ac:dyDescent="0.2">
      <c r="A748" s="102"/>
      <c r="B748" s="102"/>
      <c r="C748" s="1"/>
      <c r="D748" s="1"/>
      <c r="E748" s="1"/>
      <c r="F748" s="102"/>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c r="AJ748" s="102"/>
      <c r="AK748" s="102"/>
      <c r="AL748" s="102"/>
      <c r="AM748" s="102"/>
    </row>
    <row r="749" spans="1:39" ht="14.25" x14ac:dyDescent="0.2">
      <c r="A749" s="102"/>
      <c r="B749" s="102"/>
      <c r="C749" s="1"/>
      <c r="D749" s="1"/>
      <c r="E749" s="1"/>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c r="AJ749" s="102"/>
      <c r="AK749" s="102"/>
      <c r="AL749" s="102"/>
      <c r="AM749" s="102"/>
    </row>
    <row r="750" spans="1:39" ht="14.25" x14ac:dyDescent="0.2">
      <c r="A750" s="102"/>
      <c r="B750" s="102"/>
      <c r="C750" s="1"/>
      <c r="D750" s="1"/>
      <c r="E750" s="1"/>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c r="AJ750" s="102"/>
      <c r="AK750" s="102"/>
      <c r="AL750" s="102"/>
      <c r="AM750" s="102"/>
    </row>
    <row r="751" spans="1:39" ht="14.25" x14ac:dyDescent="0.2">
      <c r="A751" s="102"/>
      <c r="B751" s="102"/>
      <c r="C751" s="1"/>
      <c r="D751" s="1"/>
      <c r="E751" s="1"/>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c r="AJ751" s="102"/>
      <c r="AK751" s="102"/>
      <c r="AL751" s="102"/>
      <c r="AM751" s="102"/>
    </row>
    <row r="752" spans="1:39" ht="14.25" x14ac:dyDescent="0.2">
      <c r="A752" s="102"/>
      <c r="B752" s="102"/>
      <c r="C752" s="1"/>
      <c r="D752" s="1"/>
      <c r="E752" s="1"/>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c r="AJ752" s="102"/>
      <c r="AK752" s="102"/>
      <c r="AL752" s="102"/>
      <c r="AM752" s="102"/>
    </row>
    <row r="753" spans="1:39" ht="14.25" x14ac:dyDescent="0.2">
      <c r="A753" s="102"/>
      <c r="B753" s="102"/>
      <c r="C753" s="1"/>
      <c r="D753" s="1"/>
      <c r="E753" s="1"/>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c r="AJ753" s="102"/>
      <c r="AK753" s="102"/>
      <c r="AL753" s="102"/>
      <c r="AM753" s="102"/>
    </row>
    <row r="754" spans="1:39" ht="14.25" x14ac:dyDescent="0.2">
      <c r="A754" s="102"/>
      <c r="B754" s="102"/>
      <c r="C754" s="1"/>
      <c r="D754" s="1"/>
      <c r="E754" s="1"/>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c r="AJ754" s="102"/>
      <c r="AK754" s="102"/>
      <c r="AL754" s="102"/>
      <c r="AM754" s="102"/>
    </row>
    <row r="755" spans="1:39" ht="14.25" x14ac:dyDescent="0.2">
      <c r="A755" s="102"/>
      <c r="B755" s="102"/>
      <c r="C755" s="1"/>
      <c r="D755" s="1"/>
      <c r="E755" s="1"/>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c r="AJ755" s="102"/>
      <c r="AK755" s="102"/>
      <c r="AL755" s="102"/>
      <c r="AM755" s="102"/>
    </row>
    <row r="756" spans="1:39" ht="14.25" x14ac:dyDescent="0.2">
      <c r="A756" s="102"/>
      <c r="B756" s="102"/>
      <c r="C756" s="1"/>
      <c r="D756" s="1"/>
      <c r="E756" s="1"/>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c r="AJ756" s="102"/>
      <c r="AK756" s="102"/>
      <c r="AL756" s="102"/>
      <c r="AM756" s="102"/>
    </row>
    <row r="757" spans="1:39" ht="14.25" x14ac:dyDescent="0.2">
      <c r="A757" s="102"/>
      <c r="B757" s="102"/>
      <c r="C757" s="1"/>
      <c r="D757" s="1"/>
      <c r="E757" s="1"/>
      <c r="F757" s="102"/>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c r="AJ757" s="102"/>
      <c r="AK757" s="102"/>
      <c r="AL757" s="102"/>
      <c r="AM757" s="102"/>
    </row>
    <row r="758" spans="1:39" ht="14.25" x14ac:dyDescent="0.2">
      <c r="A758" s="102"/>
      <c r="B758" s="102"/>
      <c r="C758" s="1"/>
      <c r="D758" s="1"/>
      <c r="E758" s="1"/>
      <c r="F758" s="102"/>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row>
    <row r="759" spans="1:39" ht="14.25" x14ac:dyDescent="0.2">
      <c r="A759" s="102"/>
      <c r="B759" s="102"/>
      <c r="C759" s="1"/>
      <c r="D759" s="1"/>
      <c r="E759" s="1"/>
      <c r="F759" s="102"/>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row>
    <row r="760" spans="1:39" ht="14.25" x14ac:dyDescent="0.2">
      <c r="A760" s="102"/>
      <c r="B760" s="102"/>
      <c r="C760" s="1"/>
      <c r="D760" s="1"/>
      <c r="E760" s="1"/>
      <c r="F760" s="102"/>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row>
    <row r="761" spans="1:39" ht="14.25" x14ac:dyDescent="0.2">
      <c r="A761" s="102"/>
      <c r="B761" s="102"/>
      <c r="C761" s="1"/>
      <c r="D761" s="1"/>
      <c r="E761" s="1"/>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c r="AJ761" s="102"/>
      <c r="AK761" s="102"/>
      <c r="AL761" s="102"/>
      <c r="AM761" s="102"/>
    </row>
    <row r="762" spans="1:39" ht="14.25" x14ac:dyDescent="0.2">
      <c r="A762" s="102"/>
      <c r="B762" s="102"/>
      <c r="C762" s="1"/>
      <c r="D762" s="1"/>
      <c r="E762" s="1"/>
      <c r="F762" s="102"/>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c r="AJ762" s="102"/>
      <c r="AK762" s="102"/>
      <c r="AL762" s="102"/>
      <c r="AM762" s="102"/>
    </row>
    <row r="763" spans="1:39" ht="14.25" x14ac:dyDescent="0.2">
      <c r="A763" s="102"/>
      <c r="B763" s="102"/>
      <c r="C763" s="1"/>
      <c r="D763" s="1"/>
      <c r="E763" s="1"/>
      <c r="F763" s="102"/>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row>
    <row r="764" spans="1:39" ht="14.25" x14ac:dyDescent="0.2">
      <c r="A764" s="102"/>
      <c r="B764" s="102"/>
      <c r="C764" s="1"/>
      <c r="D764" s="1"/>
      <c r="E764" s="1"/>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row>
    <row r="765" spans="1:39" ht="14.25" x14ac:dyDescent="0.2">
      <c r="A765" s="102"/>
      <c r="B765" s="102"/>
      <c r="C765" s="1"/>
      <c r="D765" s="1"/>
      <c r="E765" s="1"/>
      <c r="F765" s="102"/>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row>
    <row r="766" spans="1:39" ht="14.25" x14ac:dyDescent="0.2">
      <c r="A766" s="102"/>
      <c r="B766" s="102"/>
      <c r="C766" s="1"/>
      <c r="D766" s="1"/>
      <c r="E766" s="1"/>
      <c r="F766" s="102"/>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row>
    <row r="767" spans="1:39" ht="14.25" x14ac:dyDescent="0.2">
      <c r="A767" s="102"/>
      <c r="B767" s="102"/>
      <c r="C767" s="1"/>
      <c r="D767" s="1"/>
      <c r="E767" s="1"/>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row>
    <row r="768" spans="1:39" ht="14.25" x14ac:dyDescent="0.2">
      <c r="A768" s="102"/>
      <c r="B768" s="102"/>
      <c r="C768" s="1"/>
      <c r="D768" s="1"/>
      <c r="E768" s="1"/>
      <c r="F768" s="102"/>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row>
    <row r="769" spans="1:39" ht="14.25" x14ac:dyDescent="0.2">
      <c r="A769" s="102"/>
      <c r="B769" s="102"/>
      <c r="C769" s="1"/>
      <c r="D769" s="1"/>
      <c r="E769" s="1"/>
      <c r="F769" s="102"/>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row>
    <row r="770" spans="1:39" ht="14.25" x14ac:dyDescent="0.2">
      <c r="A770" s="102"/>
      <c r="B770" s="102"/>
      <c r="C770" s="1"/>
      <c r="D770" s="1"/>
      <c r="E770" s="1"/>
      <c r="F770" s="102"/>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c r="AJ770" s="102"/>
      <c r="AK770" s="102"/>
      <c r="AL770" s="102"/>
      <c r="AM770" s="102"/>
    </row>
    <row r="771" spans="1:39" ht="14.25" x14ac:dyDescent="0.2">
      <c r="A771" s="102"/>
      <c r="B771" s="102"/>
      <c r="C771" s="1"/>
      <c r="D771" s="1"/>
      <c r="E771" s="1"/>
      <c r="F771" s="102"/>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c r="AJ771" s="102"/>
      <c r="AK771" s="102"/>
      <c r="AL771" s="102"/>
      <c r="AM771" s="102"/>
    </row>
    <row r="772" spans="1:39" ht="14.25" x14ac:dyDescent="0.2">
      <c r="A772" s="102"/>
      <c r="B772" s="102"/>
      <c r="C772" s="1"/>
      <c r="D772" s="1"/>
      <c r="E772" s="1"/>
      <c r="F772" s="102"/>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c r="AJ772" s="102"/>
      <c r="AK772" s="102"/>
      <c r="AL772" s="102"/>
      <c r="AM772" s="102"/>
    </row>
    <row r="773" spans="1:39" ht="14.25" x14ac:dyDescent="0.2">
      <c r="A773" s="102"/>
      <c r="B773" s="102"/>
      <c r="C773" s="1"/>
      <c r="D773" s="1"/>
      <c r="E773" s="1"/>
      <c r="F773" s="102"/>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c r="AJ773" s="102"/>
      <c r="AK773" s="102"/>
      <c r="AL773" s="102"/>
      <c r="AM773" s="102"/>
    </row>
    <row r="774" spans="1:39" ht="14.25" x14ac:dyDescent="0.2">
      <c r="A774" s="102"/>
      <c r="B774" s="102"/>
      <c r="C774" s="1"/>
      <c r="D774" s="1"/>
      <c r="E774" s="1"/>
      <c r="F774" s="102"/>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c r="AJ774" s="102"/>
      <c r="AK774" s="102"/>
      <c r="AL774" s="102"/>
      <c r="AM774" s="102"/>
    </row>
    <row r="775" spans="1:39" ht="14.25" x14ac:dyDescent="0.2">
      <c r="A775" s="102"/>
      <c r="B775" s="102"/>
      <c r="C775" s="1"/>
      <c r="D775" s="1"/>
      <c r="E775" s="1"/>
      <c r="F775" s="102"/>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c r="AJ775" s="102"/>
      <c r="AK775" s="102"/>
      <c r="AL775" s="102"/>
      <c r="AM775" s="102"/>
    </row>
    <row r="776" spans="1:39" ht="14.25" x14ac:dyDescent="0.2">
      <c r="A776" s="102"/>
      <c r="B776" s="102"/>
      <c r="C776" s="1"/>
      <c r="D776" s="1"/>
      <c r="E776" s="1"/>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c r="AJ776" s="102"/>
      <c r="AK776" s="102"/>
      <c r="AL776" s="102"/>
      <c r="AM776" s="102"/>
    </row>
    <row r="777" spans="1:39" ht="14.25" x14ac:dyDescent="0.2">
      <c r="A777" s="102"/>
      <c r="B777" s="102"/>
      <c r="C777" s="1"/>
      <c r="D777" s="1"/>
      <c r="E777" s="1"/>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c r="AJ777" s="102"/>
      <c r="AK777" s="102"/>
      <c r="AL777" s="102"/>
      <c r="AM777" s="102"/>
    </row>
    <row r="778" spans="1:39" ht="14.25" x14ac:dyDescent="0.2">
      <c r="A778" s="102"/>
      <c r="B778" s="102"/>
      <c r="C778" s="1"/>
      <c r="D778" s="1"/>
      <c r="E778" s="1"/>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c r="AJ778" s="102"/>
      <c r="AK778" s="102"/>
      <c r="AL778" s="102"/>
      <c r="AM778" s="102"/>
    </row>
    <row r="779" spans="1:39" ht="14.25" x14ac:dyDescent="0.2">
      <c r="A779" s="102"/>
      <c r="B779" s="102"/>
      <c r="C779" s="1"/>
      <c r="D779" s="1"/>
      <c r="E779" s="1"/>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c r="AD779" s="102"/>
      <c r="AE779" s="102"/>
      <c r="AF779" s="102"/>
      <c r="AG779" s="102"/>
      <c r="AH779" s="102"/>
      <c r="AI779" s="102"/>
      <c r="AJ779" s="102"/>
      <c r="AK779" s="102"/>
      <c r="AL779" s="102"/>
      <c r="AM779" s="102"/>
    </row>
    <row r="780" spans="1:39" ht="14.25" x14ac:dyDescent="0.2">
      <c r="A780" s="102"/>
      <c r="B780" s="102"/>
      <c r="C780" s="1"/>
      <c r="D780" s="1"/>
      <c r="E780" s="1"/>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c r="AD780" s="102"/>
      <c r="AE780" s="102"/>
      <c r="AF780" s="102"/>
      <c r="AG780" s="102"/>
      <c r="AH780" s="102"/>
      <c r="AI780" s="102"/>
      <c r="AJ780" s="102"/>
      <c r="AK780" s="102"/>
      <c r="AL780" s="102"/>
      <c r="AM780" s="102"/>
    </row>
    <row r="781" spans="1:39" ht="14.25" x14ac:dyDescent="0.2">
      <c r="A781" s="102"/>
      <c r="B781" s="102"/>
      <c r="C781" s="1"/>
      <c r="D781" s="1"/>
      <c r="E781" s="1"/>
      <c r="F781" s="102"/>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c r="AD781" s="102"/>
      <c r="AE781" s="102"/>
      <c r="AF781" s="102"/>
      <c r="AG781" s="102"/>
      <c r="AH781" s="102"/>
      <c r="AI781" s="102"/>
      <c r="AJ781" s="102"/>
      <c r="AK781" s="102"/>
      <c r="AL781" s="102"/>
      <c r="AM781" s="102"/>
    </row>
    <row r="782" spans="1:39" ht="14.25" x14ac:dyDescent="0.2">
      <c r="A782" s="102"/>
      <c r="B782" s="102"/>
      <c r="C782" s="1"/>
      <c r="D782" s="1"/>
      <c r="E782" s="1"/>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c r="AD782" s="102"/>
      <c r="AE782" s="102"/>
      <c r="AF782" s="102"/>
      <c r="AG782" s="102"/>
      <c r="AH782" s="102"/>
      <c r="AI782" s="102"/>
      <c r="AJ782" s="102"/>
      <c r="AK782" s="102"/>
      <c r="AL782" s="102"/>
      <c r="AM782" s="102"/>
    </row>
    <row r="783" spans="1:39" ht="14.25" x14ac:dyDescent="0.2">
      <c r="A783" s="102"/>
      <c r="B783" s="102"/>
      <c r="C783" s="1"/>
      <c r="D783" s="1"/>
      <c r="E783" s="1"/>
      <c r="F783" s="102"/>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c r="AD783" s="102"/>
      <c r="AE783" s="102"/>
      <c r="AF783" s="102"/>
      <c r="AG783" s="102"/>
      <c r="AH783" s="102"/>
      <c r="AI783" s="102"/>
      <c r="AJ783" s="102"/>
      <c r="AK783" s="102"/>
      <c r="AL783" s="102"/>
      <c r="AM783" s="102"/>
    </row>
    <row r="784" spans="1:39" ht="14.25" x14ac:dyDescent="0.2">
      <c r="A784" s="102"/>
      <c r="B784" s="102"/>
      <c r="C784" s="1"/>
      <c r="D784" s="1"/>
      <c r="E784" s="1"/>
      <c r="F784" s="102"/>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c r="AD784" s="102"/>
      <c r="AE784" s="102"/>
      <c r="AF784" s="102"/>
      <c r="AG784" s="102"/>
      <c r="AH784" s="102"/>
      <c r="AI784" s="102"/>
      <c r="AJ784" s="102"/>
      <c r="AK784" s="102"/>
      <c r="AL784" s="102"/>
      <c r="AM784" s="102"/>
    </row>
    <row r="785" spans="1:39" ht="14.25" x14ac:dyDescent="0.2">
      <c r="A785" s="102"/>
      <c r="B785" s="102"/>
      <c r="C785" s="1"/>
      <c r="D785" s="1"/>
      <c r="E785" s="1"/>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c r="AD785" s="102"/>
      <c r="AE785" s="102"/>
      <c r="AF785" s="102"/>
      <c r="AG785" s="102"/>
      <c r="AH785" s="102"/>
      <c r="AI785" s="102"/>
      <c r="AJ785" s="102"/>
      <c r="AK785" s="102"/>
      <c r="AL785" s="102"/>
      <c r="AM785" s="102"/>
    </row>
    <row r="786" spans="1:39" ht="14.25" x14ac:dyDescent="0.2">
      <c r="A786" s="102"/>
      <c r="B786" s="102"/>
      <c r="C786" s="1"/>
      <c r="D786" s="1"/>
      <c r="E786" s="1"/>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c r="AJ786" s="102"/>
      <c r="AK786" s="102"/>
      <c r="AL786" s="102"/>
      <c r="AM786" s="102"/>
    </row>
    <row r="787" spans="1:39" ht="14.25" x14ac:dyDescent="0.2">
      <c r="A787" s="102"/>
      <c r="B787" s="102"/>
      <c r="C787" s="1"/>
      <c r="D787" s="1"/>
      <c r="E787" s="1"/>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row>
    <row r="788" spans="1:39" ht="14.25" x14ac:dyDescent="0.2">
      <c r="A788" s="102"/>
      <c r="B788" s="102"/>
      <c r="C788" s="1"/>
      <c r="D788" s="1"/>
      <c r="E788" s="1"/>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row>
    <row r="789" spans="1:39" ht="14.25" x14ac:dyDescent="0.2">
      <c r="A789" s="102"/>
      <c r="B789" s="102"/>
      <c r="C789" s="1"/>
      <c r="D789" s="1"/>
      <c r="E789" s="1"/>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row>
    <row r="790" spans="1:39" ht="14.25" x14ac:dyDescent="0.2">
      <c r="A790" s="102"/>
      <c r="B790" s="102"/>
      <c r="C790" s="1"/>
      <c r="D790" s="1"/>
      <c r="E790" s="1"/>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c r="AD790" s="102"/>
      <c r="AE790" s="102"/>
      <c r="AF790" s="102"/>
      <c r="AG790" s="102"/>
      <c r="AH790" s="102"/>
      <c r="AI790" s="102"/>
      <c r="AJ790" s="102"/>
      <c r="AK790" s="102"/>
      <c r="AL790" s="102"/>
      <c r="AM790" s="102"/>
    </row>
    <row r="791" spans="1:39" ht="14.25" x14ac:dyDescent="0.2">
      <c r="A791" s="102"/>
      <c r="B791" s="102"/>
      <c r="C791" s="1"/>
      <c r="D791" s="1"/>
      <c r="E791" s="1"/>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row>
    <row r="792" spans="1:39" ht="14.25" x14ac:dyDescent="0.2">
      <c r="A792" s="102"/>
      <c r="B792" s="102"/>
      <c r="C792" s="1"/>
      <c r="D792" s="1"/>
      <c r="E792" s="1"/>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row>
    <row r="793" spans="1:39" ht="14.25" x14ac:dyDescent="0.2">
      <c r="A793" s="102"/>
      <c r="B793" s="102"/>
      <c r="C793" s="1"/>
      <c r="D793" s="1"/>
      <c r="E793" s="1"/>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row>
    <row r="794" spans="1:39" ht="14.25" x14ac:dyDescent="0.2">
      <c r="A794" s="102"/>
      <c r="B794" s="102"/>
      <c r="C794" s="1"/>
      <c r="D794" s="1"/>
      <c r="E794" s="1"/>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row>
    <row r="795" spans="1:39" ht="14.25" x14ac:dyDescent="0.2">
      <c r="A795" s="102"/>
      <c r="B795" s="102"/>
      <c r="C795" s="1"/>
      <c r="D795" s="1"/>
      <c r="E795" s="1"/>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row>
    <row r="796" spans="1:39" ht="14.25" x14ac:dyDescent="0.2">
      <c r="A796" s="102"/>
      <c r="B796" s="102"/>
      <c r="C796" s="1"/>
      <c r="D796" s="1"/>
      <c r="E796" s="1"/>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row>
    <row r="797" spans="1:39" ht="14.25" x14ac:dyDescent="0.2">
      <c r="A797" s="102"/>
      <c r="B797" s="102"/>
      <c r="C797" s="1"/>
      <c r="D797" s="1"/>
      <c r="E797" s="1"/>
      <c r="F797" s="102"/>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c r="AJ797" s="102"/>
      <c r="AK797" s="102"/>
      <c r="AL797" s="102"/>
      <c r="AM797" s="102"/>
    </row>
    <row r="798" spans="1:39" ht="14.25" x14ac:dyDescent="0.2">
      <c r="A798" s="102"/>
      <c r="B798" s="102"/>
      <c r="C798" s="1"/>
      <c r="D798" s="1"/>
      <c r="E798" s="1"/>
      <c r="F798" s="102"/>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c r="AJ798" s="102"/>
      <c r="AK798" s="102"/>
      <c r="AL798" s="102"/>
      <c r="AM798" s="102"/>
    </row>
    <row r="799" spans="1:39" ht="14.25" x14ac:dyDescent="0.2">
      <c r="A799" s="102"/>
      <c r="B799" s="102"/>
      <c r="C799" s="1"/>
      <c r="D799" s="1"/>
      <c r="E799" s="1"/>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c r="AD799" s="102"/>
      <c r="AE799" s="102"/>
      <c r="AF799" s="102"/>
      <c r="AG799" s="102"/>
      <c r="AH799" s="102"/>
      <c r="AI799" s="102"/>
      <c r="AJ799" s="102"/>
      <c r="AK799" s="102"/>
      <c r="AL799" s="102"/>
      <c r="AM799" s="102"/>
    </row>
    <row r="800" spans="1:39" ht="14.25" x14ac:dyDescent="0.2">
      <c r="A800" s="102"/>
      <c r="B800" s="102"/>
      <c r="C800" s="1"/>
      <c r="D800" s="1"/>
      <c r="E800" s="1"/>
      <c r="F800" s="102"/>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c r="AD800" s="102"/>
      <c r="AE800" s="102"/>
      <c r="AF800" s="102"/>
      <c r="AG800" s="102"/>
      <c r="AH800" s="102"/>
      <c r="AI800" s="102"/>
      <c r="AJ800" s="102"/>
      <c r="AK800" s="102"/>
      <c r="AL800" s="102"/>
      <c r="AM800" s="102"/>
    </row>
    <row r="801" spans="1:39" ht="14.25" x14ac:dyDescent="0.2">
      <c r="A801" s="102"/>
      <c r="B801" s="102"/>
      <c r="C801" s="1"/>
      <c r="D801" s="1"/>
      <c r="E801" s="1"/>
      <c r="F801" s="102"/>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c r="AD801" s="102"/>
      <c r="AE801" s="102"/>
      <c r="AF801" s="102"/>
      <c r="AG801" s="102"/>
      <c r="AH801" s="102"/>
      <c r="AI801" s="102"/>
      <c r="AJ801" s="102"/>
      <c r="AK801" s="102"/>
      <c r="AL801" s="102"/>
      <c r="AM801" s="102"/>
    </row>
    <row r="802" spans="1:39" ht="14.25" x14ac:dyDescent="0.2">
      <c r="A802" s="102"/>
      <c r="B802" s="102"/>
      <c r="C802" s="1"/>
      <c r="D802" s="1"/>
      <c r="E802" s="1"/>
      <c r="F802" s="102"/>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c r="AD802" s="102"/>
      <c r="AE802" s="102"/>
      <c r="AF802" s="102"/>
      <c r="AG802" s="102"/>
      <c r="AH802" s="102"/>
      <c r="AI802" s="102"/>
      <c r="AJ802" s="102"/>
      <c r="AK802" s="102"/>
      <c r="AL802" s="102"/>
      <c r="AM802" s="102"/>
    </row>
    <row r="803" spans="1:39" ht="14.25" x14ac:dyDescent="0.2">
      <c r="A803" s="102"/>
      <c r="B803" s="102"/>
      <c r="C803" s="1"/>
      <c r="D803" s="1"/>
      <c r="E803" s="1"/>
      <c r="F803" s="102"/>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c r="AD803" s="102"/>
      <c r="AE803" s="102"/>
      <c r="AF803" s="102"/>
      <c r="AG803" s="102"/>
      <c r="AH803" s="102"/>
      <c r="AI803" s="102"/>
      <c r="AJ803" s="102"/>
      <c r="AK803" s="102"/>
      <c r="AL803" s="102"/>
      <c r="AM803" s="102"/>
    </row>
    <row r="804" spans="1:39" ht="14.25" x14ac:dyDescent="0.2">
      <c r="A804" s="102"/>
      <c r="B804" s="102"/>
      <c r="C804" s="1"/>
      <c r="D804" s="1"/>
      <c r="E804" s="1"/>
      <c r="F804" s="102"/>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c r="AD804" s="102"/>
      <c r="AE804" s="102"/>
      <c r="AF804" s="102"/>
      <c r="AG804" s="102"/>
      <c r="AH804" s="102"/>
      <c r="AI804" s="102"/>
      <c r="AJ804" s="102"/>
      <c r="AK804" s="102"/>
      <c r="AL804" s="102"/>
      <c r="AM804" s="102"/>
    </row>
    <row r="805" spans="1:39" ht="14.25" x14ac:dyDescent="0.2">
      <c r="A805" s="102"/>
      <c r="B805" s="102"/>
      <c r="C805" s="1"/>
      <c r="D805" s="1"/>
      <c r="E805" s="1"/>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c r="AD805" s="102"/>
      <c r="AE805" s="102"/>
      <c r="AF805" s="102"/>
      <c r="AG805" s="102"/>
      <c r="AH805" s="102"/>
      <c r="AI805" s="102"/>
      <c r="AJ805" s="102"/>
      <c r="AK805" s="102"/>
      <c r="AL805" s="102"/>
      <c r="AM805" s="102"/>
    </row>
    <row r="806" spans="1:39" ht="14.25" x14ac:dyDescent="0.2">
      <c r="A806" s="102"/>
      <c r="B806" s="102"/>
      <c r="C806" s="1"/>
      <c r="D806" s="1"/>
      <c r="E806" s="1"/>
      <c r="F806" s="102"/>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c r="AD806" s="102"/>
      <c r="AE806" s="102"/>
      <c r="AF806" s="102"/>
      <c r="AG806" s="102"/>
      <c r="AH806" s="102"/>
      <c r="AI806" s="102"/>
      <c r="AJ806" s="102"/>
      <c r="AK806" s="102"/>
      <c r="AL806" s="102"/>
      <c r="AM806" s="102"/>
    </row>
    <row r="807" spans="1:39" ht="14.25" x14ac:dyDescent="0.2">
      <c r="A807" s="102"/>
      <c r="B807" s="102"/>
      <c r="C807" s="1"/>
      <c r="D807" s="1"/>
      <c r="E807" s="1"/>
      <c r="F807" s="102"/>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c r="AD807" s="102"/>
      <c r="AE807" s="102"/>
      <c r="AF807" s="102"/>
      <c r="AG807" s="102"/>
      <c r="AH807" s="102"/>
      <c r="AI807" s="102"/>
      <c r="AJ807" s="102"/>
      <c r="AK807" s="102"/>
      <c r="AL807" s="102"/>
      <c r="AM807" s="102"/>
    </row>
    <row r="808" spans="1:39" ht="14.25" x14ac:dyDescent="0.2">
      <c r="A808" s="102"/>
      <c r="B808" s="102"/>
      <c r="C808" s="1"/>
      <c r="D808" s="1"/>
      <c r="E808" s="1"/>
      <c r="F808" s="102"/>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c r="AD808" s="102"/>
      <c r="AE808" s="102"/>
      <c r="AF808" s="102"/>
      <c r="AG808" s="102"/>
      <c r="AH808" s="102"/>
      <c r="AI808" s="102"/>
      <c r="AJ808" s="102"/>
      <c r="AK808" s="102"/>
      <c r="AL808" s="102"/>
      <c r="AM808" s="102"/>
    </row>
    <row r="809" spans="1:39" ht="14.25" x14ac:dyDescent="0.2">
      <c r="A809" s="102"/>
      <c r="B809" s="102"/>
      <c r="C809" s="1"/>
      <c r="D809" s="1"/>
      <c r="E809" s="1"/>
      <c r="F809" s="102"/>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c r="AD809" s="102"/>
      <c r="AE809" s="102"/>
      <c r="AF809" s="102"/>
      <c r="AG809" s="102"/>
      <c r="AH809" s="102"/>
      <c r="AI809" s="102"/>
      <c r="AJ809" s="102"/>
      <c r="AK809" s="102"/>
      <c r="AL809" s="102"/>
      <c r="AM809" s="102"/>
    </row>
    <row r="810" spans="1:39" ht="14.25" x14ac:dyDescent="0.2">
      <c r="A810" s="102"/>
      <c r="B810" s="102"/>
      <c r="C810" s="1"/>
      <c r="D810" s="1"/>
      <c r="E810" s="1"/>
      <c r="F810" s="102"/>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c r="AD810" s="102"/>
      <c r="AE810" s="102"/>
      <c r="AF810" s="102"/>
      <c r="AG810" s="102"/>
      <c r="AH810" s="102"/>
      <c r="AI810" s="102"/>
      <c r="AJ810" s="102"/>
      <c r="AK810" s="102"/>
      <c r="AL810" s="102"/>
      <c r="AM810" s="102"/>
    </row>
    <row r="811" spans="1:39" ht="14.25" x14ac:dyDescent="0.2">
      <c r="A811" s="102"/>
      <c r="B811" s="102"/>
      <c r="C811" s="1"/>
      <c r="D811" s="1"/>
      <c r="E811" s="1"/>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c r="AD811" s="102"/>
      <c r="AE811" s="102"/>
      <c r="AF811" s="102"/>
      <c r="AG811" s="102"/>
      <c r="AH811" s="102"/>
      <c r="AI811" s="102"/>
      <c r="AJ811" s="102"/>
      <c r="AK811" s="102"/>
      <c r="AL811" s="102"/>
      <c r="AM811" s="102"/>
    </row>
    <row r="812" spans="1:39" ht="14.25" x14ac:dyDescent="0.2">
      <c r="A812" s="102"/>
      <c r="B812" s="102"/>
      <c r="C812" s="1"/>
      <c r="D812" s="1"/>
      <c r="E812" s="1"/>
      <c r="F812" s="102"/>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c r="AD812" s="102"/>
      <c r="AE812" s="102"/>
      <c r="AF812" s="102"/>
      <c r="AG812" s="102"/>
      <c r="AH812" s="102"/>
      <c r="AI812" s="102"/>
      <c r="AJ812" s="102"/>
      <c r="AK812" s="102"/>
      <c r="AL812" s="102"/>
      <c r="AM812" s="102"/>
    </row>
    <row r="813" spans="1:39" ht="14.25" x14ac:dyDescent="0.2">
      <c r="A813" s="102"/>
      <c r="B813" s="102"/>
      <c r="C813" s="1"/>
      <c r="D813" s="1"/>
      <c r="E813" s="1"/>
      <c r="F813" s="102"/>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c r="AD813" s="102"/>
      <c r="AE813" s="102"/>
      <c r="AF813" s="102"/>
      <c r="AG813" s="102"/>
      <c r="AH813" s="102"/>
      <c r="AI813" s="102"/>
      <c r="AJ813" s="102"/>
      <c r="AK813" s="102"/>
      <c r="AL813" s="102"/>
      <c r="AM813" s="102"/>
    </row>
    <row r="814" spans="1:39" ht="14.25" x14ac:dyDescent="0.2">
      <c r="A814" s="102"/>
      <c r="B814" s="102"/>
      <c r="C814" s="1"/>
      <c r="D814" s="1"/>
      <c r="E814" s="1"/>
      <c r="F814" s="102"/>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c r="AD814" s="102"/>
      <c r="AE814" s="102"/>
      <c r="AF814" s="102"/>
      <c r="AG814" s="102"/>
      <c r="AH814" s="102"/>
      <c r="AI814" s="102"/>
      <c r="AJ814" s="102"/>
      <c r="AK814" s="102"/>
      <c r="AL814" s="102"/>
      <c r="AM814" s="102"/>
    </row>
    <row r="815" spans="1:39" ht="14.25" x14ac:dyDescent="0.2">
      <c r="A815" s="102"/>
      <c r="B815" s="102"/>
      <c r="C815" s="1"/>
      <c r="D815" s="1"/>
      <c r="E815" s="1"/>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c r="AD815" s="102"/>
      <c r="AE815" s="102"/>
      <c r="AF815" s="102"/>
      <c r="AG815" s="102"/>
      <c r="AH815" s="102"/>
      <c r="AI815" s="102"/>
      <c r="AJ815" s="102"/>
      <c r="AK815" s="102"/>
      <c r="AL815" s="102"/>
      <c r="AM815" s="102"/>
    </row>
    <row r="816" spans="1:39" ht="14.25" x14ac:dyDescent="0.2">
      <c r="A816" s="102"/>
      <c r="B816" s="102"/>
      <c r="C816" s="1"/>
      <c r="D816" s="1"/>
      <c r="E816" s="1"/>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row>
    <row r="817" spans="1:39" ht="14.25" x14ac:dyDescent="0.2">
      <c r="A817" s="102"/>
      <c r="B817" s="102"/>
      <c r="C817" s="1"/>
      <c r="D817" s="1"/>
      <c r="E817" s="1"/>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row>
    <row r="818" spans="1:39" ht="14.25" x14ac:dyDescent="0.2">
      <c r="A818" s="102"/>
      <c r="B818" s="102"/>
      <c r="C818" s="1"/>
      <c r="D818" s="1"/>
      <c r="E818" s="1"/>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row>
    <row r="819" spans="1:39" ht="14.25" x14ac:dyDescent="0.2">
      <c r="A819" s="102"/>
      <c r="B819" s="102"/>
      <c r="C819" s="1"/>
      <c r="D819" s="1"/>
      <c r="E819" s="1"/>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c r="AD819" s="102"/>
      <c r="AE819" s="102"/>
      <c r="AF819" s="102"/>
      <c r="AG819" s="102"/>
      <c r="AH819" s="102"/>
      <c r="AI819" s="102"/>
      <c r="AJ819" s="102"/>
      <c r="AK819" s="102"/>
      <c r="AL819" s="102"/>
      <c r="AM819" s="102"/>
    </row>
    <row r="820" spans="1:39" ht="14.25" x14ac:dyDescent="0.2">
      <c r="A820" s="102"/>
      <c r="B820" s="102"/>
      <c r="C820" s="1"/>
      <c r="D820" s="1"/>
      <c r="E820" s="1"/>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c r="AD820" s="102"/>
      <c r="AE820" s="102"/>
      <c r="AF820" s="102"/>
      <c r="AG820" s="102"/>
      <c r="AH820" s="102"/>
      <c r="AI820" s="102"/>
      <c r="AJ820" s="102"/>
      <c r="AK820" s="102"/>
      <c r="AL820" s="102"/>
      <c r="AM820" s="102"/>
    </row>
    <row r="821" spans="1:39" ht="14.25" x14ac:dyDescent="0.2">
      <c r="A821" s="102"/>
      <c r="B821" s="102"/>
      <c r="C821" s="1"/>
      <c r="D821" s="1"/>
      <c r="E821" s="1"/>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row>
    <row r="822" spans="1:39" ht="14.25" x14ac:dyDescent="0.2">
      <c r="A822" s="102"/>
      <c r="B822" s="102"/>
      <c r="C822" s="1"/>
      <c r="D822" s="1"/>
      <c r="E822" s="1"/>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row>
    <row r="823" spans="1:39" ht="14.25" x14ac:dyDescent="0.2">
      <c r="A823" s="102"/>
      <c r="B823" s="102"/>
      <c r="C823" s="1"/>
      <c r="D823" s="1"/>
      <c r="E823" s="1"/>
      <c r="F823" s="102"/>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c r="AJ823" s="102"/>
      <c r="AK823" s="102"/>
      <c r="AL823" s="102"/>
      <c r="AM823" s="102"/>
    </row>
    <row r="824" spans="1:39" ht="14.25" x14ac:dyDescent="0.2">
      <c r="A824" s="102"/>
      <c r="B824" s="102"/>
      <c r="C824" s="1"/>
      <c r="D824" s="1"/>
      <c r="E824" s="1"/>
      <c r="F824" s="102"/>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c r="AJ824" s="102"/>
      <c r="AK824" s="102"/>
      <c r="AL824" s="102"/>
      <c r="AM824" s="102"/>
    </row>
    <row r="825" spans="1:39" ht="14.25" x14ac:dyDescent="0.2">
      <c r="A825" s="102"/>
      <c r="B825" s="102"/>
      <c r="C825" s="1"/>
      <c r="D825" s="1"/>
      <c r="E825" s="1"/>
      <c r="F825" s="102"/>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c r="AJ825" s="102"/>
      <c r="AK825" s="102"/>
      <c r="AL825" s="102"/>
      <c r="AM825" s="102"/>
    </row>
    <row r="826" spans="1:39" ht="14.25" x14ac:dyDescent="0.2">
      <c r="A826" s="102"/>
      <c r="B826" s="102"/>
      <c r="C826" s="1"/>
      <c r="D826" s="1"/>
      <c r="E826" s="1"/>
      <c r="F826" s="102"/>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row>
    <row r="827" spans="1:39" ht="14.25" x14ac:dyDescent="0.2">
      <c r="A827" s="102"/>
      <c r="B827" s="102"/>
      <c r="C827" s="1"/>
      <c r="D827" s="1"/>
      <c r="E827" s="1"/>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row>
    <row r="828" spans="1:39" ht="14.25" x14ac:dyDescent="0.2">
      <c r="A828" s="102"/>
      <c r="B828" s="102"/>
      <c r="C828" s="1"/>
      <c r="D828" s="1"/>
      <c r="E828" s="1"/>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c r="AD828" s="102"/>
      <c r="AE828" s="102"/>
      <c r="AF828" s="102"/>
      <c r="AG828" s="102"/>
      <c r="AH828" s="102"/>
      <c r="AI828" s="102"/>
      <c r="AJ828" s="102"/>
      <c r="AK828" s="102"/>
      <c r="AL828" s="102"/>
      <c r="AM828" s="102"/>
    </row>
    <row r="829" spans="1:39" ht="14.25" x14ac:dyDescent="0.2">
      <c r="A829" s="102"/>
      <c r="B829" s="102"/>
      <c r="C829" s="1"/>
      <c r="D829" s="1"/>
      <c r="E829" s="1"/>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c r="AJ829" s="102"/>
      <c r="AK829" s="102"/>
      <c r="AL829" s="102"/>
      <c r="AM829" s="102"/>
    </row>
    <row r="830" spans="1:39" ht="14.25" x14ac:dyDescent="0.2">
      <c r="A830" s="102"/>
      <c r="B830" s="102"/>
      <c r="C830" s="1"/>
      <c r="D830" s="1"/>
      <c r="E830" s="1"/>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c r="AD830" s="102"/>
      <c r="AE830" s="102"/>
      <c r="AF830" s="102"/>
      <c r="AG830" s="102"/>
      <c r="AH830" s="102"/>
      <c r="AI830" s="102"/>
      <c r="AJ830" s="102"/>
      <c r="AK830" s="102"/>
      <c r="AL830" s="102"/>
      <c r="AM830" s="102"/>
    </row>
    <row r="831" spans="1:39" ht="14.25" x14ac:dyDescent="0.2">
      <c r="A831" s="102"/>
      <c r="B831" s="102"/>
      <c r="C831" s="1"/>
      <c r="D831" s="1"/>
      <c r="E831" s="1"/>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c r="AJ831" s="102"/>
      <c r="AK831" s="102"/>
      <c r="AL831" s="102"/>
      <c r="AM831" s="102"/>
    </row>
    <row r="832" spans="1:39" ht="14.25" x14ac:dyDescent="0.2">
      <c r="A832" s="102"/>
      <c r="B832" s="102"/>
      <c r="C832" s="1"/>
      <c r="D832" s="1"/>
      <c r="E832" s="1"/>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row>
    <row r="833" spans="1:39" ht="14.25" x14ac:dyDescent="0.2">
      <c r="A833" s="102"/>
      <c r="B833" s="102"/>
      <c r="C833" s="1"/>
      <c r="D833" s="1"/>
      <c r="E833" s="1"/>
      <c r="F833" s="102"/>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row>
    <row r="834" spans="1:39" ht="14.25" x14ac:dyDescent="0.2">
      <c r="A834" s="102"/>
      <c r="B834" s="102"/>
      <c r="C834" s="1"/>
      <c r="D834" s="1"/>
      <c r="E834" s="1"/>
      <c r="F834" s="102"/>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row>
    <row r="835" spans="1:39" ht="14.25" x14ac:dyDescent="0.2">
      <c r="A835" s="102"/>
      <c r="B835" s="102"/>
      <c r="C835" s="1"/>
      <c r="D835" s="1"/>
      <c r="E835" s="1"/>
      <c r="F835" s="102"/>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row>
    <row r="836" spans="1:39" ht="14.25" x14ac:dyDescent="0.2">
      <c r="A836" s="102"/>
      <c r="B836" s="102"/>
      <c r="C836" s="1"/>
      <c r="D836" s="1"/>
      <c r="E836" s="1"/>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row>
    <row r="837" spans="1:39" ht="14.25" x14ac:dyDescent="0.2">
      <c r="A837" s="102"/>
      <c r="B837" s="102"/>
      <c r="C837" s="1"/>
      <c r="D837" s="1"/>
      <c r="E837" s="1"/>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c r="AD837" s="102"/>
      <c r="AE837" s="102"/>
      <c r="AF837" s="102"/>
      <c r="AG837" s="102"/>
      <c r="AH837" s="102"/>
      <c r="AI837" s="102"/>
      <c r="AJ837" s="102"/>
      <c r="AK837" s="102"/>
      <c r="AL837" s="102"/>
      <c r="AM837" s="102"/>
    </row>
    <row r="838" spans="1:39" ht="14.25" x14ac:dyDescent="0.2">
      <c r="A838" s="102"/>
      <c r="B838" s="102"/>
      <c r="C838" s="1"/>
      <c r="D838" s="1"/>
      <c r="E838" s="1"/>
      <c r="F838" s="102"/>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row>
    <row r="839" spans="1:39" ht="14.25" x14ac:dyDescent="0.2">
      <c r="A839" s="102"/>
      <c r="B839" s="102"/>
      <c r="C839" s="1"/>
      <c r="D839" s="1"/>
      <c r="E839" s="1"/>
      <c r="F839" s="102"/>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c r="AD839" s="102"/>
      <c r="AE839" s="102"/>
      <c r="AF839" s="102"/>
      <c r="AG839" s="102"/>
      <c r="AH839" s="102"/>
      <c r="AI839" s="102"/>
      <c r="AJ839" s="102"/>
      <c r="AK839" s="102"/>
      <c r="AL839" s="102"/>
      <c r="AM839" s="102"/>
    </row>
    <row r="840" spans="1:39" ht="14.25" x14ac:dyDescent="0.2">
      <c r="A840" s="102"/>
      <c r="B840" s="102"/>
      <c r="C840" s="1"/>
      <c r="D840" s="1"/>
      <c r="E840" s="1"/>
      <c r="F840" s="102"/>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c r="AD840" s="102"/>
      <c r="AE840" s="102"/>
      <c r="AF840" s="102"/>
      <c r="AG840" s="102"/>
      <c r="AH840" s="102"/>
      <c r="AI840" s="102"/>
      <c r="AJ840" s="102"/>
      <c r="AK840" s="102"/>
      <c r="AL840" s="102"/>
      <c r="AM840" s="102"/>
    </row>
    <row r="841" spans="1:39" ht="14.25" x14ac:dyDescent="0.2">
      <c r="A841" s="102"/>
      <c r="B841" s="102"/>
      <c r="C841" s="1"/>
      <c r="D841" s="1"/>
      <c r="E841" s="1"/>
      <c r="F841" s="102"/>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s="102"/>
      <c r="AL841" s="102"/>
      <c r="AM841" s="102"/>
    </row>
    <row r="842" spans="1:39" ht="14.25" x14ac:dyDescent="0.2">
      <c r="A842" s="102"/>
      <c r="B842" s="102"/>
      <c r="C842" s="1"/>
      <c r="D842" s="1"/>
      <c r="E842" s="1"/>
      <c r="F842" s="102"/>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s="102"/>
      <c r="AL842" s="102"/>
      <c r="AM842" s="102"/>
    </row>
    <row r="843" spans="1:39" ht="14.25" x14ac:dyDescent="0.2">
      <c r="A843" s="102"/>
      <c r="B843" s="102"/>
      <c r="C843" s="1"/>
      <c r="D843" s="1"/>
      <c r="E843" s="1"/>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s="102"/>
      <c r="AL843" s="102"/>
      <c r="AM843" s="102"/>
    </row>
    <row r="844" spans="1:39" ht="14.25" x14ac:dyDescent="0.2">
      <c r="A844" s="102"/>
      <c r="B844" s="102"/>
      <c r="C844" s="1"/>
      <c r="D844" s="1"/>
      <c r="E844" s="1"/>
      <c r="F844" s="102"/>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c r="AD844" s="102"/>
      <c r="AE844" s="102"/>
      <c r="AF844" s="102"/>
      <c r="AG844" s="102"/>
      <c r="AH844" s="102"/>
      <c r="AI844" s="102"/>
      <c r="AJ844" s="102"/>
      <c r="AK844" s="102"/>
      <c r="AL844" s="102"/>
      <c r="AM844" s="102"/>
    </row>
    <row r="845" spans="1:39" ht="14.25" x14ac:dyDescent="0.2">
      <c r="A845" s="102"/>
      <c r="B845" s="102"/>
      <c r="C845" s="1"/>
      <c r="D845" s="1"/>
      <c r="E845" s="1"/>
      <c r="F845" s="102"/>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row>
    <row r="846" spans="1:39" ht="14.25" x14ac:dyDescent="0.2">
      <c r="A846" s="102"/>
      <c r="B846" s="102"/>
      <c r="C846" s="1"/>
      <c r="D846" s="1"/>
      <c r="E846" s="1"/>
      <c r="F846" s="102"/>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row>
    <row r="847" spans="1:39" ht="14.25" x14ac:dyDescent="0.2">
      <c r="A847" s="102"/>
      <c r="B847" s="102"/>
      <c r="C847" s="1"/>
      <c r="D847" s="1"/>
      <c r="E847" s="1"/>
      <c r="F847" s="102"/>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c r="AJ847" s="102"/>
      <c r="AK847" s="102"/>
      <c r="AL847" s="102"/>
      <c r="AM847" s="102"/>
    </row>
    <row r="848" spans="1:39" ht="14.25" x14ac:dyDescent="0.2">
      <c r="A848" s="102"/>
      <c r="B848" s="102"/>
      <c r="C848" s="1"/>
      <c r="D848" s="1"/>
      <c r="E848" s="1"/>
      <c r="F848" s="102"/>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c r="AD848" s="102"/>
      <c r="AE848" s="102"/>
      <c r="AF848" s="102"/>
      <c r="AG848" s="102"/>
      <c r="AH848" s="102"/>
      <c r="AI848" s="102"/>
      <c r="AJ848" s="102"/>
      <c r="AK848" s="102"/>
      <c r="AL848" s="102"/>
      <c r="AM848" s="102"/>
    </row>
    <row r="849" spans="1:39" ht="14.25" x14ac:dyDescent="0.2">
      <c r="A849" s="102"/>
      <c r="B849" s="102"/>
      <c r="C849" s="1"/>
      <c r="D849" s="1"/>
      <c r="E849" s="1"/>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c r="AD849" s="102"/>
      <c r="AE849" s="102"/>
      <c r="AF849" s="102"/>
      <c r="AG849" s="102"/>
      <c r="AH849" s="102"/>
      <c r="AI849" s="102"/>
      <c r="AJ849" s="102"/>
      <c r="AK849" s="102"/>
      <c r="AL849" s="102"/>
      <c r="AM849" s="102"/>
    </row>
    <row r="850" spans="1:39" ht="14.25" x14ac:dyDescent="0.2">
      <c r="A850" s="102"/>
      <c r="B850" s="102"/>
      <c r="C850" s="1"/>
      <c r="D850" s="1"/>
      <c r="E850" s="1"/>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c r="AD850" s="102"/>
      <c r="AE850" s="102"/>
      <c r="AF850" s="102"/>
      <c r="AG850" s="102"/>
      <c r="AH850" s="102"/>
      <c r="AI850" s="102"/>
      <c r="AJ850" s="102"/>
      <c r="AK850" s="102"/>
      <c r="AL850" s="102"/>
      <c r="AM850" s="102"/>
    </row>
    <row r="851" spans="1:39" ht="14.25" x14ac:dyDescent="0.2">
      <c r="A851" s="102"/>
      <c r="B851" s="102"/>
      <c r="C851" s="1"/>
      <c r="D851" s="1"/>
      <c r="E851" s="1"/>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c r="AJ851" s="102"/>
      <c r="AK851" s="102"/>
      <c r="AL851" s="102"/>
      <c r="AM851" s="102"/>
    </row>
    <row r="852" spans="1:39" ht="14.25" x14ac:dyDescent="0.2">
      <c r="A852" s="102"/>
      <c r="B852" s="102"/>
      <c r="C852" s="1"/>
      <c r="D852" s="1"/>
      <c r="E852" s="1"/>
      <c r="F852" s="102"/>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row>
    <row r="853" spans="1:39" ht="14.25" x14ac:dyDescent="0.2">
      <c r="A853" s="102"/>
      <c r="B853" s="102"/>
      <c r="C853" s="1"/>
      <c r="D853" s="1"/>
      <c r="E853" s="1"/>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row>
    <row r="854" spans="1:39" ht="14.25" x14ac:dyDescent="0.2">
      <c r="A854" s="102"/>
      <c r="B854" s="102"/>
      <c r="C854" s="1"/>
      <c r="D854" s="1"/>
      <c r="E854" s="1"/>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row>
    <row r="855" spans="1:39" ht="14.25" x14ac:dyDescent="0.2">
      <c r="A855" s="102"/>
      <c r="B855" s="102"/>
      <c r="C855" s="1"/>
      <c r="D855" s="1"/>
      <c r="E855" s="1"/>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row>
    <row r="856" spans="1:39" ht="14.25" x14ac:dyDescent="0.2">
      <c r="A856" s="102"/>
      <c r="B856" s="102"/>
      <c r="C856" s="1"/>
      <c r="D856" s="1"/>
      <c r="E856" s="1"/>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row>
    <row r="857" spans="1:39" ht="14.25" x14ac:dyDescent="0.2">
      <c r="A857" s="102"/>
      <c r="B857" s="102"/>
      <c r="C857" s="1"/>
      <c r="D857" s="1"/>
      <c r="E857" s="1"/>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row>
    <row r="858" spans="1:39" ht="14.25" x14ac:dyDescent="0.2">
      <c r="A858" s="102"/>
      <c r="B858" s="102"/>
      <c r="C858" s="1"/>
      <c r="D858" s="1"/>
      <c r="E858" s="1"/>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row>
    <row r="859" spans="1:39" ht="14.25" x14ac:dyDescent="0.2">
      <c r="A859" s="102"/>
      <c r="B859" s="102"/>
      <c r="C859" s="1"/>
      <c r="D859" s="1"/>
      <c r="E859" s="1"/>
      <c r="F859" s="102"/>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c r="AD859" s="102"/>
      <c r="AE859" s="102"/>
      <c r="AF859" s="102"/>
      <c r="AG859" s="102"/>
      <c r="AH859" s="102"/>
      <c r="AI859" s="102"/>
      <c r="AJ859" s="102"/>
      <c r="AK859" s="102"/>
      <c r="AL859" s="102"/>
      <c r="AM859" s="102"/>
    </row>
    <row r="860" spans="1:39" ht="14.25" x14ac:dyDescent="0.2">
      <c r="A860" s="102"/>
      <c r="B860" s="102"/>
      <c r="C860" s="1"/>
      <c r="D860" s="1"/>
      <c r="E860" s="1"/>
      <c r="F860" s="102"/>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c r="AD860" s="102"/>
      <c r="AE860" s="102"/>
      <c r="AF860" s="102"/>
      <c r="AG860" s="102"/>
      <c r="AH860" s="102"/>
      <c r="AI860" s="102"/>
      <c r="AJ860" s="102"/>
      <c r="AK860" s="102"/>
      <c r="AL860" s="102"/>
      <c r="AM860" s="102"/>
    </row>
    <row r="861" spans="1:39" ht="14.25" x14ac:dyDescent="0.2">
      <c r="A861" s="102"/>
      <c r="B861" s="102"/>
      <c r="C861" s="1"/>
      <c r="D861" s="1"/>
      <c r="E861" s="1"/>
      <c r="F861" s="102"/>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c r="AD861" s="102"/>
      <c r="AE861" s="102"/>
      <c r="AF861" s="102"/>
      <c r="AG861" s="102"/>
      <c r="AH861" s="102"/>
      <c r="AI861" s="102"/>
      <c r="AJ861" s="102"/>
      <c r="AK861" s="102"/>
      <c r="AL861" s="102"/>
      <c r="AM861" s="102"/>
    </row>
    <row r="862" spans="1:39" ht="14.25" x14ac:dyDescent="0.2">
      <c r="A862" s="102"/>
      <c r="B862" s="102"/>
      <c r="C862" s="1"/>
      <c r="D862" s="1"/>
      <c r="E862" s="1"/>
      <c r="F862" s="102"/>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c r="AD862" s="102"/>
      <c r="AE862" s="102"/>
      <c r="AF862" s="102"/>
      <c r="AG862" s="102"/>
      <c r="AH862" s="102"/>
      <c r="AI862" s="102"/>
      <c r="AJ862" s="102"/>
      <c r="AK862" s="102"/>
      <c r="AL862" s="102"/>
      <c r="AM862" s="102"/>
    </row>
    <row r="863" spans="1:39" ht="14.25" x14ac:dyDescent="0.2">
      <c r="A863" s="102"/>
      <c r="B863" s="102"/>
      <c r="C863" s="1"/>
      <c r="D863" s="1"/>
      <c r="E863" s="1"/>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c r="AD863" s="102"/>
      <c r="AE863" s="102"/>
      <c r="AF863" s="102"/>
      <c r="AG863" s="102"/>
      <c r="AH863" s="102"/>
      <c r="AI863" s="102"/>
      <c r="AJ863" s="102"/>
      <c r="AK863" s="102"/>
      <c r="AL863" s="102"/>
      <c r="AM863" s="102"/>
    </row>
    <row r="864" spans="1:39" ht="14.25" x14ac:dyDescent="0.2">
      <c r="A864" s="102"/>
      <c r="B864" s="102"/>
      <c r="C864" s="1"/>
      <c r="D864" s="1"/>
      <c r="E864" s="1"/>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c r="AD864" s="102"/>
      <c r="AE864" s="102"/>
      <c r="AF864" s="102"/>
      <c r="AG864" s="102"/>
      <c r="AH864" s="102"/>
      <c r="AI864" s="102"/>
      <c r="AJ864" s="102"/>
      <c r="AK864" s="102"/>
      <c r="AL864" s="102"/>
      <c r="AM864" s="102"/>
    </row>
    <row r="865" spans="1:39" ht="14.25" x14ac:dyDescent="0.2">
      <c r="A865" s="102"/>
      <c r="B865" s="102"/>
      <c r="C865" s="1"/>
      <c r="D865" s="1"/>
      <c r="E865" s="1"/>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c r="AJ865" s="102"/>
      <c r="AK865" s="102"/>
      <c r="AL865" s="102"/>
      <c r="AM865" s="102"/>
    </row>
    <row r="866" spans="1:39" ht="14.25" x14ac:dyDescent="0.2">
      <c r="A866" s="102"/>
      <c r="B866" s="102"/>
      <c r="C866" s="1"/>
      <c r="D866" s="1"/>
      <c r="E866" s="1"/>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c r="AJ866" s="102"/>
      <c r="AK866" s="102"/>
      <c r="AL866" s="102"/>
      <c r="AM866" s="102"/>
    </row>
    <row r="867" spans="1:39" ht="14.25" x14ac:dyDescent="0.2">
      <c r="A867" s="102"/>
      <c r="B867" s="102"/>
      <c r="C867" s="1"/>
      <c r="D867" s="1"/>
      <c r="E867" s="1"/>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c r="AJ867" s="102"/>
      <c r="AK867" s="102"/>
      <c r="AL867" s="102"/>
      <c r="AM867" s="102"/>
    </row>
    <row r="868" spans="1:39" ht="14.25" x14ac:dyDescent="0.2">
      <c r="A868" s="102"/>
      <c r="B868" s="102"/>
      <c r="C868" s="1"/>
      <c r="D868" s="1"/>
      <c r="E868" s="1"/>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c r="AJ868" s="102"/>
      <c r="AK868" s="102"/>
      <c r="AL868" s="102"/>
      <c r="AM868" s="102"/>
    </row>
    <row r="869" spans="1:39" ht="14.25" x14ac:dyDescent="0.2">
      <c r="A869" s="102"/>
      <c r="B869" s="102"/>
      <c r="C869" s="1"/>
      <c r="D869" s="1"/>
      <c r="E869" s="1"/>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c r="AD869" s="102"/>
      <c r="AE869" s="102"/>
      <c r="AF869" s="102"/>
      <c r="AG869" s="102"/>
      <c r="AH869" s="102"/>
      <c r="AI869" s="102"/>
      <c r="AJ869" s="102"/>
      <c r="AK869" s="102"/>
      <c r="AL869" s="102"/>
      <c r="AM869" s="102"/>
    </row>
    <row r="870" spans="1:39" ht="14.25" x14ac:dyDescent="0.2">
      <c r="A870" s="102"/>
      <c r="B870" s="102"/>
      <c r="C870" s="1"/>
      <c r="D870" s="1"/>
      <c r="E870" s="1"/>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c r="AJ870" s="102"/>
      <c r="AK870" s="102"/>
      <c r="AL870" s="102"/>
      <c r="AM870" s="102"/>
    </row>
    <row r="871" spans="1:39" ht="14.25" x14ac:dyDescent="0.2">
      <c r="A871" s="102"/>
      <c r="B871" s="102"/>
      <c r="C871" s="1"/>
      <c r="D871" s="1"/>
      <c r="E871" s="1"/>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c r="AD871" s="102"/>
      <c r="AE871" s="102"/>
      <c r="AF871" s="102"/>
      <c r="AG871" s="102"/>
      <c r="AH871" s="102"/>
      <c r="AI871" s="102"/>
      <c r="AJ871" s="102"/>
      <c r="AK871" s="102"/>
      <c r="AL871" s="102"/>
      <c r="AM871" s="102"/>
    </row>
    <row r="872" spans="1:39" ht="14.25" x14ac:dyDescent="0.2">
      <c r="A872" s="102"/>
      <c r="B872" s="102"/>
      <c r="C872" s="1"/>
      <c r="D872" s="1"/>
      <c r="E872" s="1"/>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c r="AD872" s="102"/>
      <c r="AE872" s="102"/>
      <c r="AF872" s="102"/>
      <c r="AG872" s="102"/>
      <c r="AH872" s="102"/>
      <c r="AI872" s="102"/>
      <c r="AJ872" s="102"/>
      <c r="AK872" s="102"/>
      <c r="AL872" s="102"/>
      <c r="AM872" s="102"/>
    </row>
    <row r="873" spans="1:39" ht="14.25" x14ac:dyDescent="0.2">
      <c r="A873" s="102"/>
      <c r="B873" s="102"/>
      <c r="C873" s="1"/>
      <c r="D873" s="1"/>
      <c r="E873" s="1"/>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c r="AD873" s="102"/>
      <c r="AE873" s="102"/>
      <c r="AF873" s="102"/>
      <c r="AG873" s="102"/>
      <c r="AH873" s="102"/>
      <c r="AI873" s="102"/>
      <c r="AJ873" s="102"/>
      <c r="AK873" s="102"/>
      <c r="AL873" s="102"/>
      <c r="AM873" s="102"/>
    </row>
    <row r="874" spans="1:39" ht="14.25" x14ac:dyDescent="0.2">
      <c r="A874" s="102"/>
      <c r="B874" s="102"/>
      <c r="C874" s="1"/>
      <c r="D874" s="1"/>
      <c r="E874" s="1"/>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c r="AJ874" s="102"/>
      <c r="AK874" s="102"/>
      <c r="AL874" s="102"/>
      <c r="AM874" s="102"/>
    </row>
    <row r="875" spans="1:39" ht="14.25" x14ac:dyDescent="0.2">
      <c r="A875" s="102"/>
      <c r="B875" s="102"/>
      <c r="C875" s="1"/>
      <c r="D875" s="1"/>
      <c r="E875" s="1"/>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c r="AJ875" s="102"/>
      <c r="AK875" s="102"/>
      <c r="AL875" s="102"/>
      <c r="AM875" s="102"/>
    </row>
    <row r="876" spans="1:39" ht="14.25" x14ac:dyDescent="0.2">
      <c r="A876" s="102"/>
      <c r="B876" s="102"/>
      <c r="C876" s="1"/>
      <c r="D876" s="1"/>
      <c r="E876" s="1"/>
      <c r="F876" s="102"/>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c r="AJ876" s="102"/>
      <c r="AK876" s="102"/>
      <c r="AL876" s="102"/>
      <c r="AM876" s="102"/>
    </row>
    <row r="877" spans="1:39" ht="14.25" x14ac:dyDescent="0.2">
      <c r="A877" s="102"/>
      <c r="B877" s="102"/>
      <c r="C877" s="1"/>
      <c r="D877" s="1"/>
      <c r="E877" s="1"/>
      <c r="F877" s="102"/>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row>
    <row r="878" spans="1:39" ht="14.25" x14ac:dyDescent="0.2">
      <c r="A878" s="102"/>
      <c r="B878" s="102"/>
      <c r="C878" s="1"/>
      <c r="D878" s="1"/>
      <c r="E878" s="1"/>
      <c r="F878" s="102"/>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row>
    <row r="879" spans="1:39" ht="14.25" x14ac:dyDescent="0.2">
      <c r="A879" s="102"/>
      <c r="B879" s="102"/>
      <c r="C879" s="1"/>
      <c r="D879" s="1"/>
      <c r="E879" s="1"/>
      <c r="F879" s="102"/>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row>
    <row r="880" spans="1:39" ht="14.25" x14ac:dyDescent="0.2">
      <c r="A880" s="102"/>
      <c r="B880" s="102"/>
      <c r="C880" s="1"/>
      <c r="D880" s="1"/>
      <c r="E880" s="1"/>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row>
    <row r="881" spans="1:39" ht="14.25" x14ac:dyDescent="0.2">
      <c r="A881" s="102"/>
      <c r="B881" s="102"/>
      <c r="C881" s="1"/>
      <c r="D881" s="1"/>
      <c r="E881" s="1"/>
      <c r="F881" s="102"/>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row>
    <row r="882" spans="1:39" ht="14.25" x14ac:dyDescent="0.2">
      <c r="A882" s="102"/>
      <c r="B882" s="102"/>
      <c r="C882" s="1"/>
      <c r="D882" s="1"/>
      <c r="E882" s="1"/>
      <c r="F882" s="102"/>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c r="AJ882" s="102"/>
      <c r="AK882" s="102"/>
      <c r="AL882" s="102"/>
      <c r="AM882" s="102"/>
    </row>
    <row r="883" spans="1:39" ht="14.25" x14ac:dyDescent="0.2">
      <c r="A883" s="102"/>
      <c r="B883" s="102"/>
      <c r="C883" s="1"/>
      <c r="D883" s="1"/>
      <c r="E883" s="1"/>
      <c r="F883" s="102"/>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row>
    <row r="884" spans="1:39" ht="14.25" x14ac:dyDescent="0.2">
      <c r="A884" s="102"/>
      <c r="B884" s="102"/>
      <c r="C884" s="1"/>
      <c r="D884" s="1"/>
      <c r="E884" s="1"/>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row>
    <row r="885" spans="1:39" ht="14.25" x14ac:dyDescent="0.2">
      <c r="A885" s="102"/>
      <c r="B885" s="102"/>
      <c r="C885" s="1"/>
      <c r="D885" s="1"/>
      <c r="E885" s="1"/>
      <c r="F885" s="102"/>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c r="AJ885" s="102"/>
      <c r="AK885" s="102"/>
      <c r="AL885" s="102"/>
      <c r="AM885" s="102"/>
    </row>
    <row r="886" spans="1:39" ht="14.25" x14ac:dyDescent="0.2">
      <c r="A886" s="102"/>
      <c r="B886" s="102"/>
      <c r="C886" s="1"/>
      <c r="D886" s="1"/>
      <c r="E886" s="1"/>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c r="AJ886" s="102"/>
      <c r="AK886" s="102"/>
      <c r="AL886" s="102"/>
      <c r="AM886" s="102"/>
    </row>
    <row r="887" spans="1:39" ht="14.25" x14ac:dyDescent="0.2">
      <c r="A887" s="102"/>
      <c r="B887" s="102"/>
      <c r="C887" s="1"/>
      <c r="D887" s="1"/>
      <c r="E887" s="1"/>
      <c r="F887" s="102"/>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c r="AJ887" s="102"/>
      <c r="AK887" s="102"/>
      <c r="AL887" s="102"/>
      <c r="AM887" s="102"/>
    </row>
    <row r="888" spans="1:39" ht="14.25" x14ac:dyDescent="0.2">
      <c r="A888" s="102"/>
      <c r="B888" s="102"/>
      <c r="C888" s="1"/>
      <c r="D888" s="1"/>
      <c r="E888" s="1"/>
      <c r="F888" s="102"/>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c r="AD888" s="102"/>
      <c r="AE888" s="102"/>
      <c r="AF888" s="102"/>
      <c r="AG888" s="102"/>
      <c r="AH888" s="102"/>
      <c r="AI888" s="102"/>
      <c r="AJ888" s="102"/>
      <c r="AK888" s="102"/>
      <c r="AL888" s="102"/>
      <c r="AM888" s="102"/>
    </row>
    <row r="889" spans="1:39" ht="14.25" x14ac:dyDescent="0.2">
      <c r="A889" s="102"/>
      <c r="B889" s="102"/>
      <c r="C889" s="1"/>
      <c r="D889" s="1"/>
      <c r="E889" s="1"/>
      <c r="F889" s="102"/>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c r="AD889" s="102"/>
      <c r="AE889" s="102"/>
      <c r="AF889" s="102"/>
      <c r="AG889" s="102"/>
      <c r="AH889" s="102"/>
      <c r="AI889" s="102"/>
      <c r="AJ889" s="102"/>
      <c r="AK889" s="102"/>
      <c r="AL889" s="102"/>
      <c r="AM889" s="102"/>
    </row>
    <row r="890" spans="1:39" ht="14.25" x14ac:dyDescent="0.2">
      <c r="A890" s="102"/>
      <c r="B890" s="102"/>
      <c r="C890" s="1"/>
      <c r="D890" s="1"/>
      <c r="E890" s="1"/>
      <c r="F890" s="102"/>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c r="AD890" s="102"/>
      <c r="AE890" s="102"/>
      <c r="AF890" s="102"/>
      <c r="AG890" s="102"/>
      <c r="AH890" s="102"/>
      <c r="AI890" s="102"/>
      <c r="AJ890" s="102"/>
      <c r="AK890" s="102"/>
      <c r="AL890" s="102"/>
      <c r="AM890" s="102"/>
    </row>
    <row r="891" spans="1:39" ht="14.25" x14ac:dyDescent="0.2">
      <c r="A891" s="102"/>
      <c r="B891" s="102"/>
      <c r="C891" s="1"/>
      <c r="D891" s="1"/>
      <c r="E891" s="1"/>
      <c r="F891" s="102"/>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c r="AD891" s="102"/>
      <c r="AE891" s="102"/>
      <c r="AF891" s="102"/>
      <c r="AG891" s="102"/>
      <c r="AH891" s="102"/>
      <c r="AI891" s="102"/>
      <c r="AJ891" s="102"/>
      <c r="AK891" s="102"/>
      <c r="AL891" s="102"/>
      <c r="AM891" s="102"/>
    </row>
    <row r="892" spans="1:39" ht="14.25" x14ac:dyDescent="0.2">
      <c r="A892" s="102"/>
      <c r="B892" s="102"/>
      <c r="C892" s="1"/>
      <c r="D892" s="1"/>
      <c r="E892" s="1"/>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c r="AF892" s="102"/>
      <c r="AG892" s="102"/>
      <c r="AH892" s="102"/>
      <c r="AI892" s="102"/>
      <c r="AJ892" s="102"/>
      <c r="AK892" s="102"/>
      <c r="AL892" s="102"/>
      <c r="AM892" s="102"/>
    </row>
    <row r="893" spans="1:39" ht="14.25" x14ac:dyDescent="0.2">
      <c r="A893" s="102"/>
      <c r="B893" s="102"/>
      <c r="C893" s="1"/>
      <c r="D893" s="1"/>
      <c r="E893" s="1"/>
      <c r="F893" s="102"/>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c r="AD893" s="102"/>
      <c r="AE893" s="102"/>
      <c r="AF893" s="102"/>
      <c r="AG893" s="102"/>
      <c r="AH893" s="102"/>
      <c r="AI893" s="102"/>
      <c r="AJ893" s="102"/>
      <c r="AK893" s="102"/>
      <c r="AL893" s="102"/>
      <c r="AM893" s="102"/>
    </row>
    <row r="894" spans="1:39" ht="14.25" x14ac:dyDescent="0.2">
      <c r="A894" s="102"/>
      <c r="B894" s="102"/>
      <c r="C894" s="1"/>
      <c r="D894" s="1"/>
      <c r="E894" s="1"/>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c r="AJ894" s="102"/>
      <c r="AK894" s="102"/>
      <c r="AL894" s="102"/>
      <c r="AM894" s="102"/>
    </row>
    <row r="895" spans="1:39" ht="14.25" x14ac:dyDescent="0.2">
      <c r="A895" s="102"/>
      <c r="B895" s="102"/>
      <c r="C895" s="1"/>
      <c r="D895" s="1"/>
      <c r="E895" s="1"/>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c r="AJ895" s="102"/>
      <c r="AK895" s="102"/>
      <c r="AL895" s="102"/>
      <c r="AM895" s="102"/>
    </row>
    <row r="896" spans="1:39" ht="14.25" x14ac:dyDescent="0.2">
      <c r="A896" s="102"/>
      <c r="B896" s="102"/>
      <c r="C896" s="1"/>
      <c r="D896" s="1"/>
      <c r="E896" s="1"/>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c r="AD896" s="102"/>
      <c r="AE896" s="102"/>
      <c r="AF896" s="102"/>
      <c r="AG896" s="102"/>
      <c r="AH896" s="102"/>
      <c r="AI896" s="102"/>
      <c r="AJ896" s="102"/>
      <c r="AK896" s="102"/>
      <c r="AL896" s="102"/>
      <c r="AM896" s="102"/>
    </row>
    <row r="897" spans="1:39" ht="14.25" x14ac:dyDescent="0.2">
      <c r="A897" s="102"/>
      <c r="B897" s="102"/>
      <c r="C897" s="1"/>
      <c r="D897" s="1"/>
      <c r="E897" s="1"/>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c r="AJ897" s="102"/>
      <c r="AK897" s="102"/>
      <c r="AL897" s="102"/>
      <c r="AM897" s="102"/>
    </row>
    <row r="898" spans="1:39" ht="14.25" x14ac:dyDescent="0.2">
      <c r="A898" s="102"/>
      <c r="B898" s="102"/>
      <c r="C898" s="1"/>
      <c r="D898" s="1"/>
      <c r="E898" s="1"/>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c r="AJ898" s="102"/>
      <c r="AK898" s="102"/>
      <c r="AL898" s="102"/>
      <c r="AM898" s="102"/>
    </row>
    <row r="899" spans="1:39" ht="14.25" x14ac:dyDescent="0.2">
      <c r="A899" s="102"/>
      <c r="B899" s="102"/>
      <c r="C899" s="1"/>
      <c r="D899" s="1"/>
      <c r="E899" s="1"/>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c r="AD899" s="102"/>
      <c r="AE899" s="102"/>
      <c r="AF899" s="102"/>
      <c r="AG899" s="102"/>
      <c r="AH899" s="102"/>
      <c r="AI899" s="102"/>
      <c r="AJ899" s="102"/>
      <c r="AK899" s="102"/>
      <c r="AL899" s="102"/>
      <c r="AM899" s="102"/>
    </row>
    <row r="900" spans="1:39" ht="14.25" x14ac:dyDescent="0.2">
      <c r="A900" s="102"/>
      <c r="B900" s="102"/>
      <c r="C900" s="1"/>
      <c r="D900" s="1"/>
      <c r="E900" s="1"/>
      <c r="F900" s="102"/>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c r="AD900" s="102"/>
      <c r="AE900" s="102"/>
      <c r="AF900" s="102"/>
      <c r="AG900" s="102"/>
      <c r="AH900" s="102"/>
      <c r="AI900" s="102"/>
      <c r="AJ900" s="102"/>
      <c r="AK900" s="102"/>
      <c r="AL900" s="102"/>
      <c r="AM900" s="102"/>
    </row>
    <row r="901" spans="1:39" ht="14.25" x14ac:dyDescent="0.2">
      <c r="A901" s="102"/>
      <c r="B901" s="102"/>
      <c r="C901" s="1"/>
      <c r="D901" s="1"/>
      <c r="E901" s="1"/>
      <c r="F901" s="102"/>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c r="AD901" s="102"/>
      <c r="AE901" s="102"/>
      <c r="AF901" s="102"/>
      <c r="AG901" s="102"/>
      <c r="AH901" s="102"/>
      <c r="AI901" s="102"/>
      <c r="AJ901" s="102"/>
      <c r="AK901" s="102"/>
      <c r="AL901" s="102"/>
      <c r="AM901" s="102"/>
    </row>
    <row r="902" spans="1:39" ht="14.25" x14ac:dyDescent="0.2">
      <c r="A902" s="102"/>
      <c r="B902" s="102"/>
      <c r="C902" s="1"/>
      <c r="D902" s="1"/>
      <c r="E902" s="1"/>
      <c r="F902" s="102"/>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c r="AD902" s="102"/>
      <c r="AE902" s="102"/>
      <c r="AF902" s="102"/>
      <c r="AG902" s="102"/>
      <c r="AH902" s="102"/>
      <c r="AI902" s="102"/>
      <c r="AJ902" s="102"/>
      <c r="AK902" s="102"/>
      <c r="AL902" s="102"/>
      <c r="AM902" s="102"/>
    </row>
    <row r="903" spans="1:39" ht="14.25" x14ac:dyDescent="0.2">
      <c r="A903" s="102"/>
      <c r="B903" s="102"/>
      <c r="C903" s="1"/>
      <c r="D903" s="1"/>
      <c r="E903" s="1"/>
      <c r="F903" s="102"/>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c r="AD903" s="102"/>
      <c r="AE903" s="102"/>
      <c r="AF903" s="102"/>
      <c r="AG903" s="102"/>
      <c r="AH903" s="102"/>
      <c r="AI903" s="102"/>
      <c r="AJ903" s="102"/>
      <c r="AK903" s="102"/>
      <c r="AL903" s="102"/>
      <c r="AM903" s="102"/>
    </row>
    <row r="904" spans="1:39" ht="14.25" x14ac:dyDescent="0.2">
      <c r="A904" s="102"/>
      <c r="B904" s="102"/>
      <c r="C904" s="1"/>
      <c r="D904" s="1"/>
      <c r="E904" s="1"/>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c r="AD904" s="102"/>
      <c r="AE904" s="102"/>
      <c r="AF904" s="102"/>
      <c r="AG904" s="102"/>
      <c r="AH904" s="102"/>
      <c r="AI904" s="102"/>
      <c r="AJ904" s="102"/>
      <c r="AK904" s="102"/>
      <c r="AL904" s="102"/>
      <c r="AM904" s="102"/>
    </row>
    <row r="905" spans="1:39" ht="14.25" x14ac:dyDescent="0.2">
      <c r="A905" s="102"/>
      <c r="B905" s="102"/>
      <c r="C905" s="1"/>
      <c r="D905" s="1"/>
      <c r="E905" s="1"/>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row>
    <row r="906" spans="1:39" ht="14.25" x14ac:dyDescent="0.2">
      <c r="A906" s="102"/>
      <c r="B906" s="102"/>
      <c r="C906" s="1"/>
      <c r="D906" s="1"/>
      <c r="E906" s="1"/>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row>
    <row r="907" spans="1:39" ht="14.25" x14ac:dyDescent="0.2">
      <c r="A907" s="102"/>
      <c r="B907" s="102"/>
      <c r="C907" s="1"/>
      <c r="D907" s="1"/>
      <c r="E907" s="1"/>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row>
    <row r="908" spans="1:39" ht="14.25" x14ac:dyDescent="0.2">
      <c r="A908" s="102"/>
      <c r="B908" s="102"/>
      <c r="C908" s="1"/>
      <c r="D908" s="1"/>
      <c r="E908" s="1"/>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c r="AD908" s="102"/>
      <c r="AE908" s="102"/>
      <c r="AF908" s="102"/>
      <c r="AG908" s="102"/>
      <c r="AH908" s="102"/>
      <c r="AI908" s="102"/>
      <c r="AJ908" s="102"/>
      <c r="AK908" s="102"/>
      <c r="AL908" s="102"/>
      <c r="AM908" s="102"/>
    </row>
    <row r="909" spans="1:39" ht="14.25" x14ac:dyDescent="0.2">
      <c r="A909" s="102"/>
      <c r="B909" s="102"/>
      <c r="C909" s="1"/>
      <c r="D909" s="1"/>
      <c r="E909" s="1"/>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c r="AJ909" s="102"/>
      <c r="AK909" s="102"/>
      <c r="AL909" s="102"/>
      <c r="AM909" s="102"/>
    </row>
    <row r="910" spans="1:39" ht="14.25" x14ac:dyDescent="0.2">
      <c r="A910" s="102"/>
      <c r="B910" s="102"/>
      <c r="C910" s="1"/>
      <c r="D910" s="1"/>
      <c r="E910" s="1"/>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row>
    <row r="911" spans="1:39" ht="14.25" x14ac:dyDescent="0.2">
      <c r="A911" s="102"/>
      <c r="B911" s="102"/>
      <c r="C911" s="1"/>
      <c r="D911" s="1"/>
      <c r="E911" s="1"/>
      <c r="F911" s="102"/>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row>
    <row r="912" spans="1:39" ht="14.25" x14ac:dyDescent="0.2">
      <c r="A912" s="102"/>
      <c r="B912" s="102"/>
      <c r="C912" s="1"/>
      <c r="D912" s="1"/>
      <c r="E912" s="1"/>
      <c r="F912" s="102"/>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c r="AJ912" s="102"/>
      <c r="AK912" s="102"/>
      <c r="AL912" s="102"/>
      <c r="AM912" s="102"/>
    </row>
    <row r="913" spans="1:39" ht="14.25" x14ac:dyDescent="0.2">
      <c r="A913" s="102"/>
      <c r="B913" s="102"/>
      <c r="C913" s="1"/>
      <c r="D913" s="1"/>
      <c r="E913" s="1"/>
      <c r="F913" s="102"/>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c r="AJ913" s="102"/>
      <c r="AK913" s="102"/>
      <c r="AL913" s="102"/>
      <c r="AM913" s="102"/>
    </row>
    <row r="914" spans="1:39" ht="14.25" x14ac:dyDescent="0.2">
      <c r="A914" s="102"/>
      <c r="B914" s="102"/>
      <c r="C914" s="1"/>
      <c r="D914" s="1"/>
      <c r="E914" s="1"/>
      <c r="F914" s="102"/>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c r="AJ914" s="102"/>
      <c r="AK914" s="102"/>
      <c r="AL914" s="102"/>
      <c r="AM914" s="102"/>
    </row>
    <row r="915" spans="1:39" ht="14.25" x14ac:dyDescent="0.2">
      <c r="A915" s="102"/>
      <c r="B915" s="102"/>
      <c r="C915" s="1"/>
      <c r="D915" s="1"/>
      <c r="E915" s="1"/>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102"/>
    </row>
    <row r="916" spans="1:39" ht="14.25" x14ac:dyDescent="0.2">
      <c r="A916" s="102"/>
      <c r="B916" s="102"/>
      <c r="C916" s="1"/>
      <c r="D916" s="1"/>
      <c r="E916" s="1"/>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row>
    <row r="917" spans="1:39" ht="14.25" x14ac:dyDescent="0.2">
      <c r="A917" s="102"/>
      <c r="B917" s="102"/>
      <c r="C917" s="1"/>
      <c r="D917" s="1"/>
      <c r="E917" s="1"/>
      <c r="F917" s="102"/>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c r="AD917" s="102"/>
      <c r="AE917" s="102"/>
      <c r="AF917" s="102"/>
      <c r="AG917" s="102"/>
      <c r="AH917" s="102"/>
      <c r="AI917" s="102"/>
      <c r="AJ917" s="102"/>
      <c r="AK917" s="102"/>
      <c r="AL917" s="102"/>
      <c r="AM917" s="102"/>
    </row>
    <row r="918" spans="1:39" ht="14.25" x14ac:dyDescent="0.2">
      <c r="A918" s="102"/>
      <c r="B918" s="102"/>
      <c r="C918" s="1"/>
      <c r="D918" s="1"/>
      <c r="E918" s="1"/>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c r="AD918" s="102"/>
      <c r="AE918" s="102"/>
      <c r="AF918" s="102"/>
      <c r="AG918" s="102"/>
      <c r="AH918" s="102"/>
      <c r="AI918" s="102"/>
      <c r="AJ918" s="102"/>
      <c r="AK918" s="102"/>
      <c r="AL918" s="102"/>
      <c r="AM918" s="102"/>
    </row>
    <row r="919" spans="1:39" ht="14.25" x14ac:dyDescent="0.2">
      <c r="A919" s="102"/>
      <c r="B919" s="102"/>
      <c r="C919" s="1"/>
      <c r="D919" s="1"/>
      <c r="E919" s="1"/>
      <c r="F919" s="102"/>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c r="AD919" s="102"/>
      <c r="AE919" s="102"/>
      <c r="AF919" s="102"/>
      <c r="AG919" s="102"/>
      <c r="AH919" s="102"/>
      <c r="AI919" s="102"/>
      <c r="AJ919" s="102"/>
      <c r="AK919" s="102"/>
      <c r="AL919" s="102"/>
      <c r="AM919" s="102"/>
    </row>
    <row r="920" spans="1:39" ht="14.25" x14ac:dyDescent="0.2">
      <c r="A920" s="102"/>
      <c r="B920" s="102"/>
      <c r="C920" s="1"/>
      <c r="D920" s="1"/>
      <c r="E920" s="1"/>
      <c r="F920" s="102"/>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c r="AD920" s="102"/>
      <c r="AE920" s="102"/>
      <c r="AF920" s="102"/>
      <c r="AG920" s="102"/>
      <c r="AH920" s="102"/>
      <c r="AI920" s="102"/>
      <c r="AJ920" s="102"/>
      <c r="AK920" s="102"/>
      <c r="AL920" s="102"/>
      <c r="AM920" s="102"/>
    </row>
    <row r="921" spans="1:39" ht="14.25" x14ac:dyDescent="0.2">
      <c r="A921" s="102"/>
      <c r="B921" s="102"/>
      <c r="C921" s="1"/>
      <c r="D921" s="1"/>
      <c r="E921" s="1"/>
      <c r="F921" s="102"/>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c r="AD921" s="102"/>
      <c r="AE921" s="102"/>
      <c r="AF921" s="102"/>
      <c r="AG921" s="102"/>
      <c r="AH921" s="102"/>
      <c r="AI921" s="102"/>
      <c r="AJ921" s="102"/>
      <c r="AK921" s="102"/>
      <c r="AL921" s="102"/>
      <c r="AM921" s="102"/>
    </row>
    <row r="922" spans="1:39" ht="14.25" x14ac:dyDescent="0.2">
      <c r="A922" s="102"/>
      <c r="B922" s="102"/>
      <c r="C922" s="1"/>
      <c r="D922" s="1"/>
      <c r="E922" s="1"/>
      <c r="F922" s="102"/>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c r="AD922" s="102"/>
      <c r="AE922" s="102"/>
      <c r="AF922" s="102"/>
      <c r="AG922" s="102"/>
      <c r="AH922" s="102"/>
      <c r="AI922" s="102"/>
      <c r="AJ922" s="102"/>
      <c r="AK922" s="102"/>
      <c r="AL922" s="102"/>
      <c r="AM922" s="102"/>
    </row>
    <row r="923" spans="1:39" ht="14.25" x14ac:dyDescent="0.2">
      <c r="A923" s="102"/>
      <c r="B923" s="102"/>
      <c r="C923" s="1"/>
      <c r="D923" s="1"/>
      <c r="E923" s="1"/>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02"/>
    </row>
    <row r="924" spans="1:39" ht="14.25" x14ac:dyDescent="0.2">
      <c r="A924" s="102"/>
      <c r="B924" s="102"/>
      <c r="C924" s="1"/>
      <c r="D924" s="1"/>
      <c r="E924" s="1"/>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row>
    <row r="925" spans="1:39" ht="14.25" x14ac:dyDescent="0.2">
      <c r="A925" s="102"/>
      <c r="B925" s="102"/>
      <c r="C925" s="1"/>
      <c r="D925" s="1"/>
      <c r="E925" s="1"/>
      <c r="F925" s="102"/>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row>
    <row r="926" spans="1:39" ht="14.25" x14ac:dyDescent="0.2">
      <c r="A926" s="102"/>
      <c r="B926" s="102"/>
      <c r="C926" s="1"/>
      <c r="D926" s="1"/>
      <c r="E926" s="1"/>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row>
    <row r="927" spans="1:39" ht="14.25" x14ac:dyDescent="0.2">
      <c r="A927" s="102"/>
      <c r="B927" s="102"/>
      <c r="C927" s="1"/>
      <c r="D927" s="1"/>
      <c r="E927" s="1"/>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row>
    <row r="928" spans="1:39" ht="14.25" x14ac:dyDescent="0.2">
      <c r="A928" s="102"/>
      <c r="B928" s="102"/>
      <c r="C928" s="1"/>
      <c r="D928" s="1"/>
      <c r="E928" s="1"/>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row>
    <row r="929" spans="1:39" ht="14.25" x14ac:dyDescent="0.2">
      <c r="A929" s="102"/>
      <c r="B929" s="102"/>
      <c r="C929" s="1"/>
      <c r="D929" s="1"/>
      <c r="E929" s="1"/>
      <c r="F929" s="102"/>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c r="AD929" s="102"/>
      <c r="AE929" s="102"/>
      <c r="AF929" s="102"/>
      <c r="AG929" s="102"/>
      <c r="AH929" s="102"/>
      <c r="AI929" s="102"/>
      <c r="AJ929" s="102"/>
      <c r="AK929" s="102"/>
      <c r="AL929" s="102"/>
      <c r="AM929" s="102"/>
    </row>
    <row r="930" spans="1:39" ht="14.25" x14ac:dyDescent="0.2">
      <c r="A930" s="102"/>
      <c r="B930" s="102"/>
      <c r="C930" s="1"/>
      <c r="D930" s="1"/>
      <c r="E930" s="1"/>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row>
    <row r="931" spans="1:39" ht="14.25" x14ac:dyDescent="0.2">
      <c r="A931" s="102"/>
      <c r="B931" s="102"/>
      <c r="C931" s="1"/>
      <c r="D931" s="1"/>
      <c r="E931" s="1"/>
      <c r="F931" s="102"/>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c r="AD931" s="102"/>
      <c r="AE931" s="102"/>
      <c r="AF931" s="102"/>
      <c r="AG931" s="102"/>
      <c r="AH931" s="102"/>
      <c r="AI931" s="102"/>
      <c r="AJ931" s="102"/>
      <c r="AK931" s="102"/>
      <c r="AL931" s="102"/>
      <c r="AM931" s="102"/>
    </row>
    <row r="932" spans="1:39" ht="14.25" x14ac:dyDescent="0.2">
      <c r="A932" s="102"/>
      <c r="B932" s="102"/>
      <c r="C932" s="1"/>
      <c r="D932" s="1"/>
      <c r="E932" s="1"/>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row>
    <row r="933" spans="1:39" ht="14.25" x14ac:dyDescent="0.2">
      <c r="A933" s="102"/>
      <c r="B933" s="102"/>
      <c r="C933" s="1"/>
      <c r="D933" s="1"/>
      <c r="E933" s="1"/>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row>
    <row r="934" spans="1:39" ht="14.25" x14ac:dyDescent="0.2">
      <c r="A934" s="102"/>
      <c r="B934" s="102"/>
      <c r="C934" s="1"/>
      <c r="D934" s="1"/>
      <c r="E934" s="1"/>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row>
    <row r="935" spans="1:39" ht="14.25" x14ac:dyDescent="0.2">
      <c r="A935" s="102"/>
      <c r="B935" s="102"/>
      <c r="C935" s="1"/>
      <c r="D935" s="1"/>
      <c r="E935" s="1"/>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row>
    <row r="936" spans="1:39" ht="14.25" x14ac:dyDescent="0.2">
      <c r="A936" s="102"/>
      <c r="B936" s="102"/>
      <c r="C936" s="1"/>
      <c r="D936" s="1"/>
      <c r="E936" s="1"/>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row>
    <row r="937" spans="1:39" ht="14.25" x14ac:dyDescent="0.2">
      <c r="A937" s="102"/>
      <c r="B937" s="102"/>
      <c r="C937" s="1"/>
      <c r="D937" s="1"/>
      <c r="E937" s="1"/>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02"/>
    </row>
    <row r="938" spans="1:39" ht="14.25" x14ac:dyDescent="0.2">
      <c r="A938" s="102"/>
      <c r="B938" s="102"/>
      <c r="C938" s="1"/>
      <c r="D938" s="1"/>
      <c r="E938" s="1"/>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row>
    <row r="939" spans="1:39" ht="14.25" x14ac:dyDescent="0.2">
      <c r="A939" s="102"/>
      <c r="B939" s="102"/>
      <c r="C939" s="1"/>
      <c r="D939" s="1"/>
      <c r="E939" s="1"/>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row>
    <row r="940" spans="1:39" ht="14.25" x14ac:dyDescent="0.2">
      <c r="A940" s="102"/>
      <c r="B940" s="102"/>
      <c r="C940" s="1"/>
      <c r="D940" s="1"/>
      <c r="E940" s="1"/>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row>
    <row r="941" spans="1:39" ht="14.25" x14ac:dyDescent="0.2">
      <c r="A941" s="102"/>
      <c r="B941" s="102"/>
      <c r="C941" s="1"/>
      <c r="D941" s="1"/>
      <c r="E941" s="1"/>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row>
    <row r="942" spans="1:39" ht="14.25" x14ac:dyDescent="0.2">
      <c r="A942" s="102"/>
      <c r="B942" s="102"/>
      <c r="C942" s="1"/>
      <c r="D942" s="1"/>
      <c r="E942" s="1"/>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row>
    <row r="943" spans="1:39" ht="14.25" x14ac:dyDescent="0.2">
      <c r="A943" s="102"/>
      <c r="B943" s="102"/>
      <c r="C943" s="1"/>
      <c r="D943" s="1"/>
      <c r="E943" s="1"/>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row>
    <row r="944" spans="1:39" ht="14.25" x14ac:dyDescent="0.2">
      <c r="A944" s="102"/>
      <c r="B944" s="102"/>
      <c r="C944" s="1"/>
      <c r="D944" s="1"/>
      <c r="E944" s="1"/>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row>
    <row r="945" spans="1:39" ht="14.25" x14ac:dyDescent="0.2">
      <c r="A945" s="102"/>
      <c r="B945" s="102"/>
      <c r="C945" s="1"/>
      <c r="D945" s="1"/>
      <c r="E945" s="1"/>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row>
    <row r="946" spans="1:39" ht="14.25" x14ac:dyDescent="0.2">
      <c r="A946" s="102"/>
      <c r="B946" s="102"/>
      <c r="C946" s="1"/>
      <c r="D946" s="1"/>
      <c r="E946" s="1"/>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c r="AD946" s="102"/>
      <c r="AE946" s="102"/>
      <c r="AF946" s="102"/>
      <c r="AG946" s="102"/>
      <c r="AH946" s="102"/>
      <c r="AI946" s="102"/>
      <c r="AJ946" s="102"/>
      <c r="AK946" s="102"/>
      <c r="AL946" s="102"/>
      <c r="AM946" s="102"/>
    </row>
    <row r="947" spans="1:39" ht="14.25" x14ac:dyDescent="0.2">
      <c r="A947" s="102"/>
      <c r="B947" s="102"/>
      <c r="C947" s="1"/>
      <c r="D947" s="1"/>
      <c r="E947" s="1"/>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row>
    <row r="948" spans="1:39" ht="14.25" x14ac:dyDescent="0.2">
      <c r="A948" s="102"/>
      <c r="B948" s="102"/>
      <c r="C948" s="1"/>
      <c r="D948" s="1"/>
      <c r="E948" s="1"/>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row>
    <row r="949" spans="1:39" ht="14.25" x14ac:dyDescent="0.2">
      <c r="A949" s="102"/>
      <c r="B949" s="102"/>
      <c r="C949" s="1"/>
      <c r="D949" s="1"/>
      <c r="E949" s="1"/>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row>
    <row r="950" spans="1:39" ht="14.25" x14ac:dyDescent="0.2">
      <c r="A950" s="102"/>
      <c r="B950" s="102"/>
      <c r="C950" s="1"/>
      <c r="D950" s="1"/>
      <c r="E950" s="1"/>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02"/>
    </row>
    <row r="951" spans="1:39" ht="14.25" x14ac:dyDescent="0.2">
      <c r="A951" s="102"/>
      <c r="B951" s="102"/>
      <c r="C951" s="1"/>
      <c r="D951" s="1"/>
      <c r="E951" s="1"/>
      <c r="F951" s="102"/>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c r="AD951" s="102"/>
      <c r="AE951" s="102"/>
      <c r="AF951" s="102"/>
      <c r="AG951" s="102"/>
      <c r="AH951" s="102"/>
      <c r="AI951" s="102"/>
      <c r="AJ951" s="102"/>
      <c r="AK951" s="102"/>
      <c r="AL951" s="102"/>
      <c r="AM951" s="102"/>
    </row>
    <row r="952" spans="1:39" ht="14.25" x14ac:dyDescent="0.2">
      <c r="A952" s="102"/>
      <c r="B952" s="102"/>
      <c r="C952" s="1"/>
      <c r="D952" s="1"/>
      <c r="E952" s="1"/>
      <c r="F952" s="102"/>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c r="AD952" s="102"/>
      <c r="AE952" s="102"/>
      <c r="AF952" s="102"/>
      <c r="AG952" s="102"/>
      <c r="AH952" s="102"/>
      <c r="AI952" s="102"/>
      <c r="AJ952" s="102"/>
      <c r="AK952" s="102"/>
      <c r="AL952" s="102"/>
      <c r="AM952" s="102"/>
    </row>
    <row r="953" spans="1:39" ht="14.25" x14ac:dyDescent="0.2">
      <c r="A953" s="102"/>
      <c r="B953" s="102"/>
      <c r="C953" s="1"/>
      <c r="D953" s="1"/>
      <c r="E953" s="1"/>
      <c r="F953" s="102"/>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c r="AD953" s="102"/>
      <c r="AE953" s="102"/>
      <c r="AF953" s="102"/>
      <c r="AG953" s="102"/>
      <c r="AH953" s="102"/>
      <c r="AI953" s="102"/>
      <c r="AJ953" s="102"/>
      <c r="AK953" s="102"/>
      <c r="AL953" s="102"/>
      <c r="AM953" s="102"/>
    </row>
    <row r="954" spans="1:39" ht="14.25" x14ac:dyDescent="0.2">
      <c r="A954" s="102"/>
      <c r="B954" s="102"/>
      <c r="C954" s="1"/>
      <c r="D954" s="1"/>
      <c r="E954" s="1"/>
      <c r="F954" s="102"/>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c r="AD954" s="102"/>
      <c r="AE954" s="102"/>
      <c r="AF954" s="102"/>
      <c r="AG954" s="102"/>
      <c r="AH954" s="102"/>
      <c r="AI954" s="102"/>
      <c r="AJ954" s="102"/>
      <c r="AK954" s="102"/>
      <c r="AL954" s="102"/>
      <c r="AM954" s="102"/>
    </row>
    <row r="955" spans="1:39" ht="14.25" x14ac:dyDescent="0.2">
      <c r="A955" s="102"/>
      <c r="B955" s="102"/>
      <c r="C955" s="1"/>
      <c r="D955" s="1"/>
      <c r="E955" s="1"/>
      <c r="F955" s="102"/>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c r="AD955" s="102"/>
      <c r="AE955" s="102"/>
      <c r="AF955" s="102"/>
      <c r="AG955" s="102"/>
      <c r="AH955" s="102"/>
      <c r="AI955" s="102"/>
      <c r="AJ955" s="102"/>
      <c r="AK955" s="102"/>
      <c r="AL955" s="102"/>
      <c r="AM955" s="102"/>
    </row>
    <row r="956" spans="1:39" ht="14.25" x14ac:dyDescent="0.2">
      <c r="A956" s="102"/>
      <c r="B956" s="102"/>
      <c r="C956" s="1"/>
      <c r="D956" s="1"/>
      <c r="E956" s="1"/>
      <c r="F956" s="102"/>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c r="AD956" s="102"/>
      <c r="AE956" s="102"/>
      <c r="AF956" s="102"/>
      <c r="AG956" s="102"/>
      <c r="AH956" s="102"/>
      <c r="AI956" s="102"/>
      <c r="AJ956" s="102"/>
      <c r="AK956" s="102"/>
      <c r="AL956" s="102"/>
      <c r="AM956" s="102"/>
    </row>
    <row r="957" spans="1:39" ht="14.25" x14ac:dyDescent="0.2">
      <c r="A957" s="102"/>
      <c r="B957" s="102"/>
      <c r="C957" s="1"/>
      <c r="D957" s="1"/>
      <c r="E957" s="1"/>
      <c r="F957" s="102"/>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c r="AD957" s="102"/>
      <c r="AE957" s="102"/>
      <c r="AF957" s="102"/>
      <c r="AG957" s="102"/>
      <c r="AH957" s="102"/>
      <c r="AI957" s="102"/>
      <c r="AJ957" s="102"/>
      <c r="AK957" s="102"/>
      <c r="AL957" s="102"/>
      <c r="AM957" s="102"/>
    </row>
    <row r="958" spans="1:39" ht="14.25" x14ac:dyDescent="0.2">
      <c r="A958" s="102"/>
      <c r="B958" s="102"/>
      <c r="C958" s="1"/>
      <c r="D958" s="1"/>
      <c r="E958" s="1"/>
      <c r="F958" s="102"/>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c r="AD958" s="102"/>
      <c r="AE958" s="102"/>
      <c r="AF958" s="102"/>
      <c r="AG958" s="102"/>
      <c r="AH958" s="102"/>
      <c r="AI958" s="102"/>
      <c r="AJ958" s="102"/>
      <c r="AK958" s="102"/>
      <c r="AL958" s="102"/>
      <c r="AM958" s="102"/>
    </row>
    <row r="959" spans="1:39" ht="14.25" x14ac:dyDescent="0.2">
      <c r="A959" s="102"/>
      <c r="B959" s="102"/>
      <c r="C959" s="1"/>
      <c r="D959" s="1"/>
      <c r="E959" s="1"/>
      <c r="F959" s="102"/>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c r="AD959" s="102"/>
      <c r="AE959" s="102"/>
      <c r="AF959" s="102"/>
      <c r="AG959" s="102"/>
      <c r="AH959" s="102"/>
      <c r="AI959" s="102"/>
      <c r="AJ959" s="102"/>
      <c r="AK959" s="102"/>
      <c r="AL959" s="102"/>
      <c r="AM959" s="102"/>
    </row>
    <row r="960" spans="1:39" ht="14.25" x14ac:dyDescent="0.2">
      <c r="A960" s="102"/>
      <c r="B960" s="102"/>
      <c r="C960" s="1"/>
      <c r="D960" s="1"/>
      <c r="E960" s="1"/>
      <c r="F960" s="102"/>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c r="AD960" s="102"/>
      <c r="AE960" s="102"/>
      <c r="AF960" s="102"/>
      <c r="AG960" s="102"/>
      <c r="AH960" s="102"/>
      <c r="AI960" s="102"/>
      <c r="AJ960" s="102"/>
      <c r="AK960" s="102"/>
      <c r="AL960" s="102"/>
      <c r="AM960" s="102"/>
    </row>
    <row r="961" spans="1:39" ht="14.25" x14ac:dyDescent="0.2">
      <c r="A961" s="102"/>
      <c r="B961" s="102"/>
      <c r="C961" s="1"/>
      <c r="D961" s="1"/>
      <c r="E961" s="1"/>
      <c r="F961" s="102"/>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c r="AD961" s="102"/>
      <c r="AE961" s="102"/>
      <c r="AF961" s="102"/>
      <c r="AG961" s="102"/>
      <c r="AH961" s="102"/>
      <c r="AI961" s="102"/>
      <c r="AJ961" s="102"/>
      <c r="AK961" s="102"/>
      <c r="AL961" s="102"/>
      <c r="AM961" s="102"/>
    </row>
    <row r="962" spans="1:39" ht="14.25" x14ac:dyDescent="0.2">
      <c r="A962" s="102"/>
      <c r="B962" s="102"/>
      <c r="C962" s="1"/>
      <c r="D962" s="1"/>
      <c r="E962" s="1"/>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c r="AD962" s="102"/>
      <c r="AE962" s="102"/>
      <c r="AF962" s="102"/>
      <c r="AG962" s="102"/>
      <c r="AH962" s="102"/>
      <c r="AI962" s="102"/>
      <c r="AJ962" s="102"/>
      <c r="AK962" s="102"/>
      <c r="AL962" s="102"/>
      <c r="AM962" s="102"/>
    </row>
    <row r="963" spans="1:39" ht="14.25" x14ac:dyDescent="0.2">
      <c r="A963" s="102"/>
      <c r="B963" s="102"/>
      <c r="C963" s="1"/>
      <c r="D963" s="1"/>
      <c r="E963" s="1"/>
      <c r="F963" s="102"/>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c r="AJ963" s="102"/>
      <c r="AK963" s="102"/>
      <c r="AL963" s="102"/>
      <c r="AM963" s="102"/>
    </row>
    <row r="964" spans="1:39" ht="14.25" x14ac:dyDescent="0.2">
      <c r="A964" s="102"/>
      <c r="B964" s="102"/>
      <c r="C964" s="1"/>
      <c r="D964" s="1"/>
      <c r="E964" s="1"/>
      <c r="F964" s="102"/>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c r="AJ964" s="102"/>
      <c r="AK964" s="102"/>
      <c r="AL964" s="102"/>
      <c r="AM964" s="102"/>
    </row>
    <row r="965" spans="1:39" ht="14.25" x14ac:dyDescent="0.2">
      <c r="A965" s="102"/>
      <c r="B965" s="102"/>
      <c r="C965" s="1"/>
      <c r="D965" s="1"/>
      <c r="E965" s="1"/>
      <c r="F965" s="102"/>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c r="AJ965" s="102"/>
      <c r="AK965" s="102"/>
      <c r="AL965" s="102"/>
      <c r="AM965" s="102"/>
    </row>
    <row r="966" spans="1:39" ht="14.25" x14ac:dyDescent="0.2">
      <c r="A966" s="102"/>
      <c r="B966" s="102"/>
      <c r="C966" s="1"/>
      <c r="D966" s="1"/>
      <c r="E966" s="1"/>
      <c r="F966" s="102"/>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c r="AD966" s="102"/>
      <c r="AE966" s="102"/>
      <c r="AF966" s="102"/>
      <c r="AG966" s="102"/>
      <c r="AH966" s="102"/>
      <c r="AI966" s="102"/>
      <c r="AJ966" s="102"/>
      <c r="AK966" s="102"/>
      <c r="AL966" s="102"/>
      <c r="AM966" s="102"/>
    </row>
    <row r="967" spans="1:39" ht="14.25" x14ac:dyDescent="0.2">
      <c r="A967" s="102"/>
      <c r="B967" s="102"/>
      <c r="C967" s="1"/>
      <c r="D967" s="1"/>
      <c r="E967" s="1"/>
      <c r="F967" s="102"/>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c r="AD967" s="102"/>
      <c r="AE967" s="102"/>
      <c r="AF967" s="102"/>
      <c r="AG967" s="102"/>
      <c r="AH967" s="102"/>
      <c r="AI967" s="102"/>
      <c r="AJ967" s="102"/>
      <c r="AK967" s="102"/>
      <c r="AL967" s="102"/>
      <c r="AM967" s="102"/>
    </row>
    <row r="968" spans="1:39" ht="14.25" x14ac:dyDescent="0.2">
      <c r="A968" s="102"/>
      <c r="B968" s="102"/>
      <c r="C968" s="1"/>
      <c r="D968" s="1"/>
      <c r="E968" s="1"/>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c r="AJ968" s="102"/>
      <c r="AK968" s="102"/>
      <c r="AL968" s="102"/>
      <c r="AM968" s="102"/>
    </row>
    <row r="969" spans="1:39" ht="14.25" x14ac:dyDescent="0.2">
      <c r="A969" s="102"/>
      <c r="B969" s="102"/>
      <c r="C969" s="1"/>
      <c r="D969" s="1"/>
      <c r="E969" s="1"/>
      <c r="F969" s="102"/>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c r="AJ969" s="102"/>
      <c r="AK969" s="102"/>
      <c r="AL969" s="102"/>
      <c r="AM969" s="102"/>
    </row>
    <row r="970" spans="1:39" ht="14.25" x14ac:dyDescent="0.2">
      <c r="A970" s="102"/>
      <c r="B970" s="102"/>
      <c r="C970" s="1"/>
      <c r="D970" s="1"/>
      <c r="E970" s="1"/>
      <c r="F970" s="102"/>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c r="AJ970" s="102"/>
      <c r="AK970" s="102"/>
      <c r="AL970" s="102"/>
      <c r="AM970" s="102"/>
    </row>
    <row r="971" spans="1:39" ht="14.25" x14ac:dyDescent="0.2">
      <c r="A971" s="102"/>
      <c r="B971" s="102"/>
      <c r="C971" s="1"/>
      <c r="D971" s="1"/>
      <c r="E971" s="1"/>
      <c r="F971" s="102"/>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c r="AJ971" s="102"/>
      <c r="AK971" s="102"/>
      <c r="AL971" s="102"/>
      <c r="AM971" s="102"/>
    </row>
    <row r="972" spans="1:39" ht="14.25" x14ac:dyDescent="0.2">
      <c r="A972" s="102"/>
      <c r="B972" s="102"/>
      <c r="C972" s="1"/>
      <c r="D972" s="1"/>
      <c r="E972" s="1"/>
      <c r="F972" s="102"/>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c r="AJ972" s="102"/>
      <c r="AK972" s="102"/>
      <c r="AL972" s="102"/>
      <c r="AM972" s="102"/>
    </row>
    <row r="973" spans="1:39" ht="14.25" x14ac:dyDescent="0.2">
      <c r="A973" s="102"/>
      <c r="B973" s="102"/>
      <c r="C973" s="1"/>
      <c r="D973" s="1"/>
      <c r="E973" s="1"/>
      <c r="F973" s="102"/>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c r="AJ973" s="102"/>
      <c r="AK973" s="102"/>
      <c r="AL973" s="102"/>
      <c r="AM973" s="102"/>
    </row>
    <row r="974" spans="1:39" ht="14.25" x14ac:dyDescent="0.2">
      <c r="A974" s="102"/>
      <c r="B974" s="102"/>
      <c r="C974" s="1"/>
      <c r="D974" s="1"/>
      <c r="E974" s="1"/>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c r="AJ974" s="102"/>
      <c r="AK974" s="102"/>
      <c r="AL974" s="102"/>
      <c r="AM974" s="102"/>
    </row>
    <row r="975" spans="1:39" ht="14.25" x14ac:dyDescent="0.2">
      <c r="A975" s="102"/>
      <c r="B975" s="102"/>
      <c r="C975" s="1"/>
      <c r="D975" s="1"/>
      <c r="E975" s="1"/>
      <c r="F975" s="102"/>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c r="AD975" s="102"/>
      <c r="AE975" s="102"/>
      <c r="AF975" s="102"/>
      <c r="AG975" s="102"/>
      <c r="AH975" s="102"/>
      <c r="AI975" s="102"/>
      <c r="AJ975" s="102"/>
      <c r="AK975" s="102"/>
      <c r="AL975" s="102"/>
      <c r="AM975" s="102"/>
    </row>
    <row r="976" spans="1:39" ht="14.25" x14ac:dyDescent="0.2">
      <c r="A976" s="102"/>
      <c r="B976" s="102"/>
      <c r="C976" s="1"/>
      <c r="D976" s="1"/>
      <c r="E976" s="1"/>
      <c r="F976" s="102"/>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c r="AD976" s="102"/>
      <c r="AE976" s="102"/>
      <c r="AF976" s="102"/>
      <c r="AG976" s="102"/>
      <c r="AH976" s="102"/>
      <c r="AI976" s="102"/>
      <c r="AJ976" s="102"/>
      <c r="AK976" s="102"/>
      <c r="AL976" s="102"/>
      <c r="AM976" s="102"/>
    </row>
    <row r="977" spans="1:39" ht="14.25" x14ac:dyDescent="0.2">
      <c r="A977" s="102"/>
      <c r="B977" s="102"/>
      <c r="C977" s="1"/>
      <c r="D977" s="1"/>
      <c r="E977" s="1"/>
      <c r="F977" s="102"/>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c r="AD977" s="102"/>
      <c r="AE977" s="102"/>
      <c r="AF977" s="102"/>
      <c r="AG977" s="102"/>
      <c r="AH977" s="102"/>
      <c r="AI977" s="102"/>
      <c r="AJ977" s="102"/>
      <c r="AK977" s="102"/>
      <c r="AL977" s="102"/>
      <c r="AM977" s="102"/>
    </row>
    <row r="978" spans="1:39" ht="14.25" x14ac:dyDescent="0.2">
      <c r="A978" s="102"/>
      <c r="B978" s="102"/>
      <c r="C978" s="1"/>
      <c r="D978" s="1"/>
      <c r="E978" s="1"/>
      <c r="F978" s="102"/>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c r="AD978" s="102"/>
      <c r="AE978" s="102"/>
      <c r="AF978" s="102"/>
      <c r="AG978" s="102"/>
      <c r="AH978" s="102"/>
      <c r="AI978" s="102"/>
      <c r="AJ978" s="102"/>
      <c r="AK978" s="102"/>
      <c r="AL978" s="102"/>
      <c r="AM978" s="102"/>
    </row>
    <row r="979" spans="1:39" ht="14.25" x14ac:dyDescent="0.2">
      <c r="A979" s="102"/>
      <c r="B979" s="102"/>
      <c r="C979" s="1"/>
      <c r="D979" s="1"/>
      <c r="E979" s="1"/>
      <c r="F979" s="102"/>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c r="AD979" s="102"/>
      <c r="AE979" s="102"/>
      <c r="AF979" s="102"/>
      <c r="AG979" s="102"/>
      <c r="AH979" s="102"/>
      <c r="AI979" s="102"/>
      <c r="AJ979" s="102"/>
      <c r="AK979" s="102"/>
      <c r="AL979" s="102"/>
      <c r="AM979" s="102"/>
    </row>
    <row r="980" spans="1:39" ht="14.25" x14ac:dyDescent="0.2">
      <c r="A980" s="102"/>
      <c r="B980" s="102"/>
      <c r="C980" s="1"/>
      <c r="D980" s="1"/>
      <c r="E980" s="1"/>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c r="AD980" s="102"/>
      <c r="AE980" s="102"/>
      <c r="AF980" s="102"/>
      <c r="AG980" s="102"/>
      <c r="AH980" s="102"/>
      <c r="AI980" s="102"/>
      <c r="AJ980" s="102"/>
      <c r="AK980" s="102"/>
      <c r="AL980" s="102"/>
      <c r="AM980" s="102"/>
    </row>
    <row r="981" spans="1:39" ht="14.25" x14ac:dyDescent="0.2">
      <c r="A981" s="102"/>
      <c r="B981" s="102"/>
      <c r="C981" s="1"/>
      <c r="D981" s="1"/>
      <c r="E981" s="1"/>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c r="AD981" s="102"/>
      <c r="AE981" s="102"/>
      <c r="AF981" s="102"/>
      <c r="AG981" s="102"/>
      <c r="AH981" s="102"/>
      <c r="AI981" s="102"/>
      <c r="AJ981" s="102"/>
      <c r="AK981" s="102"/>
      <c r="AL981" s="102"/>
      <c r="AM981" s="102"/>
    </row>
    <row r="982" spans="1:39" ht="14.25" x14ac:dyDescent="0.2">
      <c r="A982" s="102"/>
      <c r="B982" s="102"/>
      <c r="C982" s="1"/>
      <c r="D982" s="1"/>
      <c r="E982" s="1"/>
      <c r="F982" s="102"/>
      <c r="G982" s="102"/>
      <c r="H982" s="102"/>
      <c r="I982" s="102"/>
      <c r="J982" s="102"/>
      <c r="K982" s="102"/>
      <c r="L982" s="102"/>
      <c r="M982" s="102"/>
      <c r="N982" s="102"/>
      <c r="O982" s="102"/>
      <c r="P982" s="102"/>
      <c r="Q982" s="102"/>
      <c r="R982" s="102"/>
      <c r="S982" s="102"/>
      <c r="T982" s="102"/>
      <c r="U982" s="102"/>
      <c r="V982" s="102"/>
      <c r="W982" s="102"/>
      <c r="X982" s="102"/>
      <c r="Y982" s="102"/>
      <c r="Z982" s="102"/>
      <c r="AA982" s="102"/>
      <c r="AB982" s="102"/>
      <c r="AC982" s="102"/>
      <c r="AD982" s="102"/>
      <c r="AE982" s="102"/>
      <c r="AF982" s="102"/>
      <c r="AG982" s="102"/>
      <c r="AH982" s="102"/>
      <c r="AI982" s="102"/>
      <c r="AJ982" s="102"/>
      <c r="AK982" s="102"/>
      <c r="AL982" s="102"/>
      <c r="AM982" s="102"/>
    </row>
    <row r="983" spans="1:39" ht="14.25" x14ac:dyDescent="0.2">
      <c r="A983" s="102"/>
      <c r="B983" s="102"/>
      <c r="C983" s="1"/>
      <c r="D983" s="1"/>
      <c r="E983" s="1"/>
      <c r="F983" s="102"/>
      <c r="G983" s="102"/>
      <c r="H983" s="102"/>
      <c r="I983" s="102"/>
      <c r="J983" s="102"/>
      <c r="K983" s="102"/>
      <c r="L983" s="102"/>
      <c r="M983" s="102"/>
      <c r="N983" s="102"/>
      <c r="O983" s="102"/>
      <c r="P983" s="102"/>
      <c r="Q983" s="102"/>
      <c r="R983" s="102"/>
      <c r="S983" s="102"/>
      <c r="T983" s="102"/>
      <c r="U983" s="102"/>
      <c r="V983" s="102"/>
      <c r="W983" s="102"/>
      <c r="X983" s="102"/>
      <c r="Y983" s="102"/>
      <c r="Z983" s="102"/>
      <c r="AA983" s="102"/>
      <c r="AB983" s="102"/>
      <c r="AC983" s="102"/>
      <c r="AD983" s="102"/>
      <c r="AE983" s="102"/>
      <c r="AF983" s="102"/>
      <c r="AG983" s="102"/>
      <c r="AH983" s="102"/>
      <c r="AI983" s="102"/>
      <c r="AJ983" s="102"/>
      <c r="AK983" s="102"/>
      <c r="AL983" s="102"/>
      <c r="AM983" s="102"/>
    </row>
    <row r="984" spans="1:39" ht="14.25" x14ac:dyDescent="0.2">
      <c r="A984" s="102"/>
      <c r="B984" s="102"/>
      <c r="C984" s="1"/>
      <c r="D984" s="1"/>
      <c r="E984" s="1"/>
      <c r="F984" s="102"/>
      <c r="G984" s="102"/>
      <c r="H984" s="102"/>
      <c r="I984" s="102"/>
      <c r="J984" s="102"/>
      <c r="K984" s="102"/>
      <c r="L984" s="102"/>
      <c r="M984" s="102"/>
      <c r="N984" s="102"/>
      <c r="O984" s="102"/>
      <c r="P984" s="102"/>
      <c r="Q984" s="102"/>
      <c r="R984" s="102"/>
      <c r="S984" s="102"/>
      <c r="T984" s="102"/>
      <c r="U984" s="102"/>
      <c r="V984" s="102"/>
      <c r="W984" s="102"/>
      <c r="X984" s="102"/>
      <c r="Y984" s="102"/>
      <c r="Z984" s="102"/>
      <c r="AA984" s="102"/>
      <c r="AB984" s="102"/>
      <c r="AC984" s="102"/>
      <c r="AD984" s="102"/>
      <c r="AE984" s="102"/>
      <c r="AF984" s="102"/>
      <c r="AG984" s="102"/>
      <c r="AH984" s="102"/>
      <c r="AI984" s="102"/>
      <c r="AJ984" s="102"/>
      <c r="AK984" s="102"/>
      <c r="AL984" s="102"/>
      <c r="AM984" s="102"/>
    </row>
    <row r="985" spans="1:39" ht="14.25" x14ac:dyDescent="0.2">
      <c r="A985" s="102"/>
      <c r="B985" s="102"/>
      <c r="C985" s="1"/>
      <c r="D985" s="1"/>
      <c r="E985" s="1"/>
      <c r="F985" s="102"/>
      <c r="G985" s="102"/>
      <c r="H985" s="102"/>
      <c r="I985" s="102"/>
      <c r="J985" s="102"/>
      <c r="K985" s="102"/>
      <c r="L985" s="102"/>
      <c r="M985" s="102"/>
      <c r="N985" s="102"/>
      <c r="O985" s="102"/>
      <c r="P985" s="102"/>
      <c r="Q985" s="102"/>
      <c r="R985" s="102"/>
      <c r="S985" s="102"/>
      <c r="T985" s="102"/>
      <c r="U985" s="102"/>
      <c r="V985" s="102"/>
      <c r="W985" s="102"/>
      <c r="X985" s="102"/>
      <c r="Y985" s="102"/>
      <c r="Z985" s="102"/>
      <c r="AA985" s="102"/>
      <c r="AB985" s="102"/>
      <c r="AC985" s="102"/>
      <c r="AD985" s="102"/>
      <c r="AE985" s="102"/>
      <c r="AF985" s="102"/>
      <c r="AG985" s="102"/>
      <c r="AH985" s="102"/>
      <c r="AI985" s="102"/>
      <c r="AJ985" s="102"/>
      <c r="AK985" s="102"/>
      <c r="AL985" s="102"/>
      <c r="AM985" s="102"/>
    </row>
    <row r="986" spans="1:39" ht="14.25" x14ac:dyDescent="0.2">
      <c r="A986" s="102"/>
      <c r="B986" s="102"/>
      <c r="C986" s="1"/>
      <c r="D986" s="1"/>
      <c r="E986" s="1"/>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c r="AD986" s="102"/>
      <c r="AE986" s="102"/>
      <c r="AF986" s="102"/>
      <c r="AG986" s="102"/>
      <c r="AH986" s="102"/>
      <c r="AI986" s="102"/>
      <c r="AJ986" s="102"/>
      <c r="AK986" s="102"/>
      <c r="AL986" s="102"/>
      <c r="AM986" s="102"/>
    </row>
    <row r="987" spans="1:39" ht="14.25" x14ac:dyDescent="0.2">
      <c r="A987" s="102"/>
      <c r="B987" s="102"/>
      <c r="C987" s="1"/>
      <c r="D987" s="1"/>
      <c r="E987" s="1"/>
      <c r="F987" s="102"/>
      <c r="G987" s="102"/>
      <c r="H987" s="102"/>
      <c r="I987" s="102"/>
      <c r="J987" s="102"/>
      <c r="K987" s="102"/>
      <c r="L987" s="102"/>
      <c r="M987" s="102"/>
      <c r="N987" s="102"/>
      <c r="O987" s="102"/>
      <c r="P987" s="102"/>
      <c r="Q987" s="102"/>
      <c r="R987" s="102"/>
      <c r="S987" s="102"/>
      <c r="T987" s="102"/>
      <c r="U987" s="102"/>
      <c r="V987" s="102"/>
      <c r="W987" s="102"/>
      <c r="X987" s="102"/>
      <c r="Y987" s="102"/>
      <c r="Z987" s="102"/>
      <c r="AA987" s="102"/>
      <c r="AB987" s="102"/>
      <c r="AC987" s="102"/>
      <c r="AD987" s="102"/>
      <c r="AE987" s="102"/>
      <c r="AF987" s="102"/>
      <c r="AG987" s="102"/>
      <c r="AH987" s="102"/>
      <c r="AI987" s="102"/>
      <c r="AJ987" s="102"/>
      <c r="AK987" s="102"/>
      <c r="AL987" s="102"/>
      <c r="AM987" s="102"/>
    </row>
    <row r="988" spans="1:39" ht="14.25" x14ac:dyDescent="0.2">
      <c r="A988" s="102"/>
      <c r="B988" s="102"/>
      <c r="C988" s="1"/>
      <c r="D988" s="1"/>
      <c r="E988" s="1"/>
      <c r="F988" s="102"/>
      <c r="G988" s="102"/>
      <c r="H988" s="102"/>
      <c r="I988" s="102"/>
      <c r="J988" s="102"/>
      <c r="K988" s="102"/>
      <c r="L988" s="102"/>
      <c r="M988" s="102"/>
      <c r="N988" s="102"/>
      <c r="O988" s="102"/>
      <c r="P988" s="102"/>
      <c r="Q988" s="102"/>
      <c r="R988" s="102"/>
      <c r="S988" s="102"/>
      <c r="T988" s="102"/>
      <c r="U988" s="102"/>
      <c r="V988" s="102"/>
      <c r="W988" s="102"/>
      <c r="X988" s="102"/>
      <c r="Y988" s="102"/>
      <c r="Z988" s="102"/>
      <c r="AA988" s="102"/>
      <c r="AB988" s="102"/>
      <c r="AC988" s="102"/>
      <c r="AD988" s="102"/>
      <c r="AE988" s="102"/>
      <c r="AF988" s="102"/>
      <c r="AG988" s="102"/>
      <c r="AH988" s="102"/>
      <c r="AI988" s="102"/>
      <c r="AJ988" s="102"/>
      <c r="AK988" s="102"/>
      <c r="AL988" s="102"/>
      <c r="AM988" s="102"/>
    </row>
    <row r="989" spans="1:39" ht="14.25" x14ac:dyDescent="0.2">
      <c r="A989" s="102"/>
      <c r="B989" s="102"/>
      <c r="C989" s="1"/>
      <c r="D989" s="1"/>
      <c r="E989" s="1"/>
      <c r="F989" s="102"/>
      <c r="G989" s="102"/>
      <c r="H989" s="102"/>
      <c r="I989" s="102"/>
      <c r="J989" s="102"/>
      <c r="K989" s="102"/>
      <c r="L989" s="102"/>
      <c r="M989" s="102"/>
      <c r="N989" s="102"/>
      <c r="O989" s="102"/>
      <c r="P989" s="102"/>
      <c r="Q989" s="102"/>
      <c r="R989" s="102"/>
      <c r="S989" s="102"/>
      <c r="T989" s="102"/>
      <c r="U989" s="102"/>
      <c r="V989" s="102"/>
      <c r="W989" s="102"/>
      <c r="X989" s="102"/>
      <c r="Y989" s="102"/>
      <c r="Z989" s="102"/>
      <c r="AA989" s="102"/>
      <c r="AB989" s="102"/>
      <c r="AC989" s="102"/>
      <c r="AD989" s="102"/>
      <c r="AE989" s="102"/>
      <c r="AF989" s="102"/>
      <c r="AG989" s="102"/>
      <c r="AH989" s="102"/>
      <c r="AI989" s="102"/>
      <c r="AJ989" s="102"/>
      <c r="AK989" s="102"/>
      <c r="AL989" s="102"/>
      <c r="AM989" s="102"/>
    </row>
    <row r="990" spans="1:39" ht="14.25" x14ac:dyDescent="0.2">
      <c r="A990" s="102"/>
      <c r="B990" s="102"/>
      <c r="C990" s="1"/>
      <c r="D990" s="1"/>
      <c r="E990" s="1"/>
      <c r="F990" s="102"/>
      <c r="G990" s="102"/>
      <c r="H990" s="102"/>
      <c r="I990" s="102"/>
      <c r="J990" s="102"/>
      <c r="K990" s="102"/>
      <c r="L990" s="102"/>
      <c r="M990" s="102"/>
      <c r="N990" s="102"/>
      <c r="O990" s="102"/>
      <c r="P990" s="102"/>
      <c r="Q990" s="102"/>
      <c r="R990" s="102"/>
      <c r="S990" s="102"/>
      <c r="T990" s="102"/>
      <c r="U990" s="102"/>
      <c r="V990" s="102"/>
      <c r="W990" s="102"/>
      <c r="X990" s="102"/>
      <c r="Y990" s="102"/>
      <c r="Z990" s="102"/>
      <c r="AA990" s="102"/>
      <c r="AB990" s="102"/>
      <c r="AC990" s="102"/>
      <c r="AD990" s="102"/>
      <c r="AE990" s="102"/>
      <c r="AF990" s="102"/>
      <c r="AG990" s="102"/>
      <c r="AH990" s="102"/>
      <c r="AI990" s="102"/>
      <c r="AJ990" s="102"/>
      <c r="AK990" s="102"/>
      <c r="AL990" s="102"/>
      <c r="AM990" s="102"/>
    </row>
    <row r="991" spans="1:39" ht="14.25" x14ac:dyDescent="0.2">
      <c r="A991" s="102"/>
      <c r="B991" s="102"/>
      <c r="C991" s="1"/>
      <c r="D991" s="1"/>
      <c r="E991" s="1"/>
      <c r="F991" s="102"/>
      <c r="G991" s="102"/>
      <c r="H991" s="102"/>
      <c r="I991" s="102"/>
      <c r="J991" s="102"/>
      <c r="K991" s="102"/>
      <c r="L991" s="102"/>
      <c r="M991" s="102"/>
      <c r="N991" s="102"/>
      <c r="O991" s="102"/>
      <c r="P991" s="102"/>
      <c r="Q991" s="102"/>
      <c r="R991" s="102"/>
      <c r="S991" s="102"/>
      <c r="T991" s="102"/>
      <c r="U991" s="102"/>
      <c r="V991" s="102"/>
      <c r="W991" s="102"/>
      <c r="X991" s="102"/>
      <c r="Y991" s="102"/>
      <c r="Z991" s="102"/>
      <c r="AA991" s="102"/>
      <c r="AB991" s="102"/>
      <c r="AC991" s="102"/>
      <c r="AD991" s="102"/>
      <c r="AE991" s="102"/>
      <c r="AF991" s="102"/>
      <c r="AG991" s="102"/>
      <c r="AH991" s="102"/>
      <c r="AI991" s="102"/>
      <c r="AJ991" s="102"/>
      <c r="AK991" s="102"/>
      <c r="AL991" s="102"/>
      <c r="AM991" s="102"/>
    </row>
    <row r="992" spans="1:39" ht="14.25" x14ac:dyDescent="0.2">
      <c r="A992" s="102"/>
      <c r="B992" s="102"/>
      <c r="C992" s="1"/>
      <c r="D992" s="1"/>
      <c r="E992" s="1"/>
      <c r="F992" s="102"/>
      <c r="G992" s="102"/>
      <c r="H992" s="102"/>
      <c r="I992" s="102"/>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c r="AJ992" s="102"/>
      <c r="AK992" s="102"/>
      <c r="AL992" s="102"/>
      <c r="AM992" s="102"/>
    </row>
    <row r="993" spans="1:39" ht="14.25" x14ac:dyDescent="0.2">
      <c r="A993" s="102"/>
      <c r="B993" s="102"/>
      <c r="C993" s="1"/>
      <c r="D993" s="1"/>
      <c r="E993" s="1"/>
      <c r="F993" s="102"/>
      <c r="G993" s="102"/>
      <c r="H993" s="102"/>
      <c r="I993" s="102"/>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c r="AJ993" s="102"/>
      <c r="AK993" s="102"/>
      <c r="AL993" s="102"/>
      <c r="AM993" s="102"/>
    </row>
    <row r="994" spans="1:39" ht="14.25" x14ac:dyDescent="0.2">
      <c r="A994" s="102"/>
      <c r="B994" s="102"/>
      <c r="C994" s="1"/>
      <c r="D994" s="1"/>
      <c r="E994" s="1"/>
      <c r="F994" s="102"/>
      <c r="G994" s="102"/>
      <c r="H994" s="102"/>
      <c r="I994" s="102"/>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c r="AJ994" s="102"/>
      <c r="AK994" s="102"/>
      <c r="AL994" s="102"/>
      <c r="AM994" s="102"/>
    </row>
    <row r="995" spans="1:39" ht="14.25" x14ac:dyDescent="0.2">
      <c r="A995" s="102"/>
      <c r="B995" s="102"/>
      <c r="C995" s="1"/>
      <c r="D995" s="1"/>
      <c r="E995" s="1"/>
      <c r="F995" s="102"/>
      <c r="G995" s="102"/>
      <c r="H995" s="102"/>
      <c r="I995" s="102"/>
      <c r="J995" s="102"/>
      <c r="K995" s="102"/>
      <c r="L995" s="102"/>
      <c r="M995" s="102"/>
      <c r="N995" s="102"/>
      <c r="O995" s="102"/>
      <c r="P995" s="102"/>
      <c r="Q995" s="102"/>
      <c r="R995" s="102"/>
      <c r="S995" s="102"/>
      <c r="T995" s="102"/>
      <c r="U995" s="102"/>
      <c r="V995" s="102"/>
      <c r="W995" s="102"/>
      <c r="X995" s="102"/>
      <c r="Y995" s="102"/>
      <c r="Z995" s="102"/>
      <c r="AA995" s="102"/>
      <c r="AB995" s="102"/>
      <c r="AC995" s="102"/>
      <c r="AD995" s="102"/>
      <c r="AE995" s="102"/>
      <c r="AF995" s="102"/>
      <c r="AG995" s="102"/>
      <c r="AH995" s="102"/>
      <c r="AI995" s="102"/>
      <c r="AJ995" s="102"/>
      <c r="AK995" s="102"/>
      <c r="AL995" s="102"/>
      <c r="AM995" s="102"/>
    </row>
    <row r="996" spans="1:39" ht="14.25" x14ac:dyDescent="0.2">
      <c r="A996" s="102"/>
      <c r="B996" s="102"/>
      <c r="C996" s="1"/>
      <c r="D996" s="1"/>
      <c r="E996" s="1"/>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row>
    <row r="997" spans="1:39" ht="14.25" x14ac:dyDescent="0.2">
      <c r="A997" s="102"/>
      <c r="B997" s="102"/>
      <c r="C997" s="1"/>
      <c r="D997" s="1"/>
      <c r="E997" s="1"/>
      <c r="F997" s="102"/>
      <c r="G997" s="102"/>
      <c r="H997" s="102"/>
      <c r="I997" s="102"/>
      <c r="J997" s="102"/>
      <c r="K997" s="102"/>
      <c r="L997" s="102"/>
      <c r="M997" s="102"/>
      <c r="N997" s="102"/>
      <c r="O997" s="102"/>
      <c r="P997" s="102"/>
      <c r="Q997" s="102"/>
      <c r="R997" s="102"/>
      <c r="S997" s="102"/>
      <c r="T997" s="102"/>
      <c r="U997" s="102"/>
      <c r="V997" s="102"/>
      <c r="W997" s="102"/>
      <c r="X997" s="102"/>
      <c r="Y997" s="102"/>
      <c r="Z997" s="102"/>
      <c r="AA997" s="102"/>
      <c r="AB997" s="102"/>
      <c r="AC997" s="102"/>
      <c r="AD997" s="102"/>
      <c r="AE997" s="102"/>
      <c r="AF997" s="102"/>
      <c r="AG997" s="102"/>
      <c r="AH997" s="102"/>
      <c r="AI997" s="102"/>
      <c r="AJ997" s="102"/>
      <c r="AK997" s="102"/>
      <c r="AL997" s="102"/>
      <c r="AM997" s="102"/>
    </row>
    <row r="998" spans="1:39" ht="14.25" x14ac:dyDescent="0.2">
      <c r="A998" s="102"/>
      <c r="B998" s="102"/>
      <c r="C998" s="1"/>
      <c r="D998" s="1"/>
      <c r="E998" s="1"/>
      <c r="F998" s="102"/>
      <c r="G998" s="102"/>
      <c r="H998" s="102"/>
      <c r="I998" s="102"/>
      <c r="J998" s="102"/>
      <c r="K998" s="102"/>
      <c r="L998" s="102"/>
      <c r="M998" s="102"/>
      <c r="N998" s="102"/>
      <c r="O998" s="102"/>
      <c r="P998" s="102"/>
      <c r="Q998" s="102"/>
      <c r="R998" s="102"/>
      <c r="S998" s="102"/>
      <c r="T998" s="102"/>
      <c r="U998" s="102"/>
      <c r="V998" s="102"/>
      <c r="W998" s="102"/>
      <c r="X998" s="102"/>
      <c r="Y998" s="102"/>
      <c r="Z998" s="102"/>
      <c r="AA998" s="102"/>
      <c r="AB998" s="102"/>
      <c r="AC998" s="102"/>
      <c r="AD998" s="102"/>
      <c r="AE998" s="102"/>
      <c r="AF998" s="102"/>
      <c r="AG998" s="102"/>
      <c r="AH998" s="102"/>
      <c r="AI998" s="102"/>
      <c r="AJ998" s="102"/>
      <c r="AK998" s="102"/>
      <c r="AL998" s="102"/>
      <c r="AM998" s="102"/>
    </row>
  </sheetData>
  <autoFilter ref="A4:AM465" xr:uid="{00000000-0009-0000-0000-000005000000}">
    <filterColumn colId="3">
      <filters>
        <filter val="МинЖКХ"/>
        <filter val="МинЖКХ &quot;ТОП 5 (1 этап)&quot;"/>
        <filter val="МинЖКХ &quot;ТОП 5 (2 этап)&quot;"/>
        <filter val="Минстрой"/>
      </filters>
    </filterColumn>
    <filterColumn colId="10">
      <filters>
        <filter val="0"/>
        <filter val="0.00"/>
        <filter val="0.01"/>
        <filter val="0.20"/>
        <filter val="0.28"/>
        <filter val="0.31"/>
        <filter val="0.37"/>
        <filter val="1,000.00"/>
        <filter val="1,011.97"/>
        <filter val="1,035.67"/>
        <filter val="1,048.08"/>
        <filter val="1,102.40"/>
        <filter val="1,112.24"/>
        <filter val="1,137.00"/>
        <filter val="1,138.20"/>
        <filter val="1,150.08"/>
        <filter val="1,163.00"/>
        <filter val="1,170.24"/>
        <filter val="1,188.68"/>
        <filter val="1,200.00"/>
        <filter val="1,237.43"/>
        <filter val="1,281.83"/>
        <filter val="1,309.57"/>
        <filter val="1,324.63"/>
        <filter val="1,342.00"/>
        <filter val="1,344.00"/>
        <filter val="1,381.12"/>
        <filter val="1,402.63"/>
        <filter val="1,455.34"/>
        <filter val="1,474.51"/>
        <filter val="1,494.67"/>
        <filter val="1,500.00"/>
        <filter val="1,512.50"/>
        <filter val="1,550.45"/>
        <filter val="1,560.37"/>
        <filter val="1,605.92"/>
        <filter val="1,636.40"/>
        <filter val="1,660.00"/>
        <filter val="1,673.74"/>
        <filter val="1,681.45"/>
        <filter val="1,700.00"/>
        <filter val="1,704.09"/>
        <filter val="1,715.78"/>
        <filter val="1,720.00"/>
        <filter val="1,720.26"/>
        <filter val="1,750.00"/>
        <filter val="1,795.64"/>
        <filter val="1,800.00"/>
        <filter val="1,817.92"/>
        <filter val="1,819.48"/>
        <filter val="1,836.79"/>
        <filter val="1,858.02"/>
        <filter val="1,887.27"/>
        <filter val="1,906.50"/>
        <filter val="1,962.92"/>
        <filter val="10,417.30"/>
        <filter val="10,558.91"/>
        <filter val="10,586.12"/>
        <filter val="10,726.91"/>
        <filter val="10,836.83"/>
        <filter val="10,849.62"/>
        <filter val="10,887.30"/>
        <filter val="104,081.58"/>
        <filter val="107,543.10"/>
        <filter val="11,064.46"/>
        <filter val="11,220.00"/>
        <filter val="11,299.89"/>
        <filter val="11,527.00"/>
        <filter val="11,778.20"/>
        <filter val="11,796.25"/>
        <filter val="11,955.90"/>
        <filter val="11,974.18"/>
        <filter val="116.78"/>
        <filter val="12,688.49"/>
        <filter val="12,694.13"/>
        <filter val="12,971.44"/>
        <filter val="123,500.00"/>
        <filter val="123,581.26"/>
        <filter val="13,280.00"/>
        <filter val="13,339.20"/>
        <filter val="13,608.52"/>
        <filter val="13,796.47"/>
        <filter val="13,853.96"/>
        <filter val="13.73"/>
        <filter val="130.36"/>
        <filter val="135.82"/>
        <filter val="135.83"/>
        <filter val="136.14"/>
        <filter val="137.47"/>
        <filter val="139.22"/>
        <filter val="14,310.00"/>
        <filter val="14,350.00"/>
        <filter val="14,459.52"/>
        <filter val="14,640.00"/>
        <filter val="14,669.21"/>
        <filter val="14,793.05"/>
        <filter val="14,834.83"/>
        <filter val="142.57"/>
        <filter val="146.48"/>
        <filter val="15,131.14"/>
        <filter val="15,302.32"/>
        <filter val="15,430.05"/>
        <filter val="153,086.44"/>
        <filter val="153,235.00"/>
        <filter val="156,466.20"/>
        <filter val="16,500.00"/>
        <filter val="16,983.66"/>
        <filter val="17,062.50"/>
        <filter val="17,457.16"/>
        <filter val="173,484.30"/>
        <filter val="175.00"/>
        <filter val="176,142.00"/>
        <filter val="18,413.98"/>
        <filter val="18,866.60"/>
        <filter val="180.00"/>
        <filter val="183.95"/>
        <filter val="19,386.46"/>
        <filter val="195.83"/>
        <filter val="2,019.00"/>
        <filter val="2,032.00"/>
        <filter val="2,033.00"/>
        <filter val="2,042.79"/>
        <filter val="2,063.18"/>
        <filter val="2,125.30"/>
        <filter val="2,176.33"/>
        <filter val="2,190.97"/>
        <filter val="2,212.49"/>
        <filter val="2,217.20"/>
        <filter val="2,246.49"/>
        <filter val="2,263.00"/>
        <filter val="2,337.06"/>
        <filter val="2,394.00"/>
        <filter val="2,412.24"/>
        <filter val="2,474.00"/>
        <filter val="2,530.00"/>
        <filter val="2,563.00"/>
        <filter val="2,599.78"/>
        <filter val="2,778.00"/>
        <filter val="2,801.27"/>
        <filter val="2,806.75"/>
        <filter val="2,828.50"/>
        <filter val="2,906.35"/>
        <filter val="2,906.50"/>
        <filter val="2,924.00"/>
        <filter val="2,928.00"/>
        <filter val="20,740.00"/>
        <filter val="205.57"/>
        <filter val="21,004.47"/>
        <filter val="223.53"/>
        <filter val="226.80"/>
        <filter val="23,889.44"/>
        <filter val="24,859.35"/>
        <filter val="249.48"/>
        <filter val="25,045.22"/>
        <filter val="25,399.89"/>
        <filter val="25,519.68"/>
        <filter val="25,868.83"/>
        <filter val="250.24"/>
        <filter val="257.00"/>
        <filter val="26,840.00"/>
        <filter val="277.20"/>
        <filter val="280.42"/>
        <filter val="282.99"/>
        <filter val="29,946.88"/>
        <filter val="294.00"/>
        <filter val="3,079.55"/>
        <filter val="3,195.51"/>
        <filter val="3,210.48"/>
        <filter val="3,365.49"/>
        <filter val="3,403.16"/>
        <filter val="3,408.50"/>
        <filter val="3,440.00"/>
        <filter val="3,645.36"/>
        <filter val="3,658.23"/>
        <filter val="3,658.81"/>
        <filter val="3,681.70"/>
        <filter val="3,736.46"/>
        <filter val="3,754.04"/>
        <filter val="3,801.34"/>
        <filter val="3,825.00"/>
        <filter val="3,882.03"/>
        <filter val="3,923.42"/>
        <filter val="30,461.33"/>
        <filter val="30,693.00"/>
        <filter val="301.49"/>
        <filter val="3038.34"/>
        <filter val="308.81"/>
        <filter val="31,030.28"/>
        <filter val="31,730.86"/>
        <filter val="310.80"/>
        <filter val="32,105.44"/>
        <filter val="32,181.56"/>
        <filter val="32,339.21"/>
        <filter val="324.65"/>
        <filter val="33,665.27"/>
        <filter val="343,128.35"/>
        <filter val="345.00"/>
        <filter val="350.00"/>
        <filter val="36,469.90"/>
        <filter val="37,947.30"/>
        <filter val="38,768.43"/>
        <filter val="386.00"/>
        <filter val="4,000.00"/>
        <filter val="4,035.45"/>
        <filter val="4,054.50"/>
        <filter val="4,116.00"/>
        <filter val="4,126.00"/>
        <filter val="4,194.36"/>
        <filter val="4,201.37"/>
        <filter val="4,299.03"/>
        <filter val="4,300.00"/>
        <filter val="4,338.00"/>
        <filter val="4,431.09"/>
        <filter val="4,469.75"/>
        <filter val="4,474.38"/>
        <filter val="4,509.06"/>
        <filter val="4,572.70"/>
        <filter val="4,646.10"/>
        <filter val="4,655.21"/>
        <filter val="4,692.29"/>
        <filter val="4,815.43"/>
        <filter val="4,868.20"/>
        <filter val="4,870.00"/>
        <filter val="4,985.00"/>
        <filter val="40,057.50"/>
        <filter val="42,316.10"/>
        <filter val="425.05"/>
        <filter val="426.12"/>
        <filter val="43,720.73"/>
        <filter val="45,942.64"/>
        <filter val="456.09"/>
        <filter val="463.89"/>
        <filter val="48,802.50"/>
        <filter val="495.09"/>
        <filter val="5,061.54"/>
        <filter val="5,147.31"/>
        <filter val="5,211.79"/>
        <filter val="5,244.07"/>
        <filter val="5,265.38"/>
        <filter val="5,365.15"/>
        <filter val="5,371.13"/>
        <filter val="5,407.89"/>
        <filter val="5,587.52"/>
        <filter val="5,671.40"/>
        <filter val="5,745.39"/>
        <filter val="5,787.65"/>
        <filter val="5,879.16"/>
        <filter val="52,500.00"/>
        <filter val="52,769.74"/>
        <filter val="539.47"/>
        <filter val="543.40"/>
        <filter val="544.90"/>
        <filter val="545.03"/>
        <filter val="56,106.00"/>
        <filter val="56,306.25"/>
        <filter val="569.60"/>
        <filter val="573.09"/>
        <filter val="573.61"/>
        <filter val="577.49"/>
        <filter val="58,202.43"/>
        <filter val="58,406.25"/>
        <filter val="58.77"/>
        <filter val="59,558.01"/>
        <filter val="6,020.00"/>
        <filter val="6,070.68"/>
        <filter val="6,085.00"/>
        <filter val="6,145.50"/>
        <filter val="6,175.05"/>
        <filter val="6,218.65"/>
        <filter val="6,267.59"/>
        <filter val="6,534.82"/>
        <filter val="6,664.48"/>
        <filter val="6,740.06"/>
        <filter val="6,779.04"/>
        <filter val="6,861.08"/>
        <filter val="604.79"/>
        <filter val="613.20"/>
        <filter val="614.85"/>
        <filter val="627.63"/>
        <filter val="63,528.07"/>
        <filter val="649.00"/>
        <filter val="65,000.00"/>
        <filter val="655.20"/>
        <filter val="66,937.50"/>
        <filter val="663.60"/>
        <filter val="666.90"/>
        <filter val="7,217.43"/>
        <filter val="7,476.00"/>
        <filter val="7,702.86"/>
        <filter val="7,866.89"/>
        <filter val="7,880.17"/>
        <filter val="7,897.88"/>
        <filter val="700.00"/>
        <filter val="71,456.85"/>
        <filter val="75.11"/>
        <filter val="750.00"/>
        <filter val="768.90"/>
        <filter val="77.84"/>
        <filter val="772.80"/>
        <filter val="78.65"/>
        <filter val="79.35"/>
        <filter val="79.38"/>
        <filter val="8,100.00"/>
        <filter val="8,177.00"/>
        <filter val="8,184.24"/>
        <filter val="8,220.98"/>
        <filter val="8,222.15"/>
        <filter val="8,273.38"/>
        <filter val="8,412.42"/>
        <filter val="8,600.00"/>
        <filter val="8,614.00"/>
        <filter val="8,935.60"/>
        <filter val="80.04"/>
        <filter val="82,538.82"/>
        <filter val="820.00"/>
        <filter val="826.00"/>
        <filter val="83.33"/>
        <filter val="834.53"/>
        <filter val="862.47"/>
        <filter val="868.74"/>
        <filter val="871.37"/>
        <filter val="897.75"/>
        <filter val="9,180.00"/>
        <filter val="9,223.58"/>
        <filter val="9,258.07"/>
        <filter val="9,272.00"/>
        <filter val="9,602.92"/>
        <filter val="9,692.42"/>
        <filter val="9,708.48"/>
        <filter val="973"/>
        <filter val="98.67"/>
        <filter val="99.29"/>
      </filters>
    </filterColumn>
  </autoFilter>
  <customSheetViews>
    <customSheetView guid="{6D1DED28-A9AF-40F9-BE49-9FF3E154A839}" filter="1" showAutoFilter="1">
      <pageMargins left="0.7" right="0.7" top="0.75" bottom="0.75" header="0.3" footer="0.3"/>
      <autoFilter ref="A4:AM465" xr:uid="{00000000-0000-0000-0000-000000000000}"/>
    </customSheetView>
  </customSheetViews>
  <mergeCells count="28">
    <mergeCell ref="S2:S3"/>
    <mergeCell ref="T2:T3"/>
    <mergeCell ref="N2:N3"/>
    <mergeCell ref="O2:O3"/>
    <mergeCell ref="P2:P3"/>
    <mergeCell ref="Q2:Q3"/>
    <mergeCell ref="R2:R3"/>
    <mergeCell ref="AF2:AI2"/>
    <mergeCell ref="A1:AM1"/>
    <mergeCell ref="A2:A3"/>
    <mergeCell ref="B2:B3"/>
    <mergeCell ref="C2:C3"/>
    <mergeCell ref="D2:D3"/>
    <mergeCell ref="E2:E3"/>
    <mergeCell ref="F2:F3"/>
    <mergeCell ref="AJ2:AM2"/>
    <mergeCell ref="G2:G3"/>
    <mergeCell ref="H2:H3"/>
    <mergeCell ref="I2:I3"/>
    <mergeCell ref="J2:J3"/>
    <mergeCell ref="K2:K3"/>
    <mergeCell ref="L2:L3"/>
    <mergeCell ref="M2:M3"/>
    <mergeCell ref="U2:U3"/>
    <mergeCell ref="V2:V3"/>
    <mergeCell ref="W2:W3"/>
    <mergeCell ref="X2:AA2"/>
    <mergeCell ref="AB2:AE2"/>
  </mergeCells>
  <hyperlinks>
    <hyperlink ref="R447" r:id="rId1" display="https://drive.google.com/drive/folders/17oRbTRK7o2kb9erkQxxvOOq4dqZ-KsxI?usp=sharing" xr:uid="{00000000-0004-0000-0500-000000000000}"/>
    <hyperlink ref="R453" r:id="rId2" display="https://drive.google.com/drive/folders/1c614LYlV-DyKK8fYuzo9TOyjm5_GcfPa?usp=sharing" xr:uid="{00000000-0004-0000-0500-000001000000}"/>
    <hyperlink ref="R454" r:id="rId3" display="https://drive.google.com/drive/folders/1CD6P0gNQl0u0Fvx95N33zFIHzjAiGPSp?usp=sharing" xr:uid="{00000000-0004-0000-0500-000002000000}"/>
    <hyperlink ref="R456" r:id="rId4" display="https://drive.google.com/drive/folders/1BKhtX24QMmvAokCE7UM1jBbROzdlDhk-?usp=sharing" xr:uid="{00000000-0004-0000-0500-000003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BL481"/>
  <sheetViews>
    <sheetView workbookViewId="0">
      <pane ySplit="4" topLeftCell="A5" activePane="bottomLeft" state="frozen"/>
      <selection pane="bottomLeft" activeCell="B6" sqref="B6"/>
    </sheetView>
  </sheetViews>
  <sheetFormatPr defaultColWidth="12.625" defaultRowHeight="15" customHeight="1" outlineLevelCol="2" x14ac:dyDescent="0.2"/>
  <cols>
    <col min="1" max="1" width="5.375" customWidth="1"/>
    <col min="2" max="2" width="18.125" customWidth="1"/>
    <col min="3" max="3" width="23.875" customWidth="1" outlineLevel="1"/>
    <col min="4" max="4" width="12.625" outlineLevel="1"/>
    <col min="5" max="5" width="36.5" customWidth="1"/>
    <col min="6" max="7" width="12.5" customWidth="1" outlineLevel="1"/>
    <col min="8" max="8" width="29.5" customWidth="1" outlineLevel="2"/>
    <col min="9" max="9" width="13.875" customWidth="1" outlineLevel="2"/>
    <col min="10" max="10" width="12.625" outlineLevel="2"/>
    <col min="11" max="12" width="15" customWidth="1" outlineLevel="2"/>
    <col min="13" max="13" width="19.125" customWidth="1" outlineLevel="2"/>
    <col min="14" max="15" width="12.625" outlineLevel="1"/>
    <col min="17" max="21" width="12.625" outlineLevel="1"/>
    <col min="23" max="27" width="12.625" outlineLevel="1"/>
    <col min="29" max="33" width="12.625" outlineLevel="1"/>
    <col min="35" max="39" width="12.625" outlineLevel="1"/>
    <col min="41" max="45" width="12.625" outlineLevel="1"/>
    <col min="47" max="51" width="12.625" outlineLevel="1"/>
    <col min="53" max="57" width="12.625" outlineLevel="1"/>
    <col min="59" max="63" width="12.625" outlineLevel="1"/>
  </cols>
  <sheetData>
    <row r="1" spans="1:64" ht="14.25" x14ac:dyDescent="0.2">
      <c r="A1" s="148" t="s">
        <v>0</v>
      </c>
      <c r="B1" s="149" t="s">
        <v>1</v>
      </c>
      <c r="C1" s="149" t="s">
        <v>2</v>
      </c>
      <c r="D1" s="149" t="s">
        <v>3</v>
      </c>
      <c r="E1" s="140" t="s">
        <v>4</v>
      </c>
      <c r="F1" s="140" t="s">
        <v>5</v>
      </c>
      <c r="G1" s="140" t="s">
        <v>6</v>
      </c>
      <c r="H1" s="146" t="s">
        <v>9</v>
      </c>
      <c r="I1" s="140" t="s">
        <v>7</v>
      </c>
      <c r="J1" s="145" t="s">
        <v>8</v>
      </c>
      <c r="K1" s="147" t="s">
        <v>10</v>
      </c>
      <c r="L1" s="144"/>
      <c r="M1" s="146" t="s">
        <v>11</v>
      </c>
      <c r="N1" s="150" t="s">
        <v>17</v>
      </c>
      <c r="O1" s="150" t="s">
        <v>18</v>
      </c>
      <c r="P1" s="153" t="s">
        <v>20</v>
      </c>
      <c r="Q1" s="143"/>
      <c r="R1" s="143"/>
      <c r="S1" s="143"/>
      <c r="T1" s="143"/>
      <c r="U1" s="144"/>
      <c r="V1" s="156">
        <v>2018</v>
      </c>
      <c r="W1" s="143"/>
      <c r="X1" s="143"/>
      <c r="Y1" s="143"/>
      <c r="Z1" s="143"/>
      <c r="AA1" s="144"/>
      <c r="AB1" s="156">
        <v>2019</v>
      </c>
      <c r="AC1" s="143"/>
      <c r="AD1" s="143"/>
      <c r="AE1" s="143"/>
      <c r="AF1" s="143"/>
      <c r="AG1" s="144"/>
      <c r="AH1" s="153">
        <v>2020</v>
      </c>
      <c r="AI1" s="143"/>
      <c r="AJ1" s="143"/>
      <c r="AK1" s="143"/>
      <c r="AL1" s="143"/>
      <c r="AM1" s="144"/>
      <c r="AN1" s="153">
        <v>2021</v>
      </c>
      <c r="AO1" s="143"/>
      <c r="AP1" s="143"/>
      <c r="AQ1" s="143"/>
      <c r="AR1" s="143"/>
      <c r="AS1" s="144"/>
      <c r="AT1" s="153">
        <v>2022</v>
      </c>
      <c r="AU1" s="143"/>
      <c r="AV1" s="143"/>
      <c r="AW1" s="143"/>
      <c r="AX1" s="143"/>
      <c r="AY1" s="144"/>
      <c r="AZ1" s="153">
        <v>2023</v>
      </c>
      <c r="BA1" s="143"/>
      <c r="BB1" s="143"/>
      <c r="BC1" s="143"/>
      <c r="BD1" s="143"/>
      <c r="BE1" s="144"/>
      <c r="BF1" s="153">
        <v>2024</v>
      </c>
      <c r="BG1" s="143"/>
      <c r="BH1" s="143"/>
      <c r="BI1" s="143"/>
      <c r="BJ1" s="143"/>
      <c r="BK1" s="144"/>
      <c r="BL1" s="160" t="s">
        <v>9</v>
      </c>
    </row>
    <row r="2" spans="1:64" ht="32.25" customHeight="1" x14ac:dyDescent="0.2">
      <c r="A2" s="141"/>
      <c r="B2" s="141"/>
      <c r="C2" s="141"/>
      <c r="D2" s="141"/>
      <c r="E2" s="141"/>
      <c r="F2" s="141"/>
      <c r="G2" s="141"/>
      <c r="H2" s="141"/>
      <c r="I2" s="141"/>
      <c r="J2" s="141"/>
      <c r="K2" s="2" t="s">
        <v>25</v>
      </c>
      <c r="L2" s="2" t="s">
        <v>26</v>
      </c>
      <c r="M2" s="141"/>
      <c r="N2" s="141"/>
      <c r="O2" s="141"/>
      <c r="P2" s="6" t="s">
        <v>35</v>
      </c>
      <c r="Q2" s="7" t="s">
        <v>27</v>
      </c>
      <c r="R2" s="7" t="s">
        <v>28</v>
      </c>
      <c r="S2" s="9" t="s">
        <v>29</v>
      </c>
      <c r="T2" s="7" t="s">
        <v>30</v>
      </c>
      <c r="U2" s="7" t="s">
        <v>31</v>
      </c>
      <c r="V2" s="9" t="s">
        <v>36</v>
      </c>
      <c r="W2" s="7" t="s">
        <v>27</v>
      </c>
      <c r="X2" s="9" t="s">
        <v>28</v>
      </c>
      <c r="Y2" s="9" t="s">
        <v>29</v>
      </c>
      <c r="Z2" s="9" t="s">
        <v>30</v>
      </c>
      <c r="AA2" s="7" t="s">
        <v>31</v>
      </c>
      <c r="AB2" s="9" t="s">
        <v>36</v>
      </c>
      <c r="AC2" s="7" t="s">
        <v>27</v>
      </c>
      <c r="AD2" s="9" t="s">
        <v>28</v>
      </c>
      <c r="AE2" s="9" t="s">
        <v>29</v>
      </c>
      <c r="AF2" s="9" t="s">
        <v>30</v>
      </c>
      <c r="AG2" s="7" t="s">
        <v>31</v>
      </c>
      <c r="AH2" s="7" t="s">
        <v>36</v>
      </c>
      <c r="AI2" s="7" t="s">
        <v>27</v>
      </c>
      <c r="AJ2" s="7" t="s">
        <v>28</v>
      </c>
      <c r="AK2" s="9" t="s">
        <v>29</v>
      </c>
      <c r="AL2" s="7" t="s">
        <v>30</v>
      </c>
      <c r="AM2" s="7" t="s">
        <v>31</v>
      </c>
      <c r="AN2" s="7" t="s">
        <v>36</v>
      </c>
      <c r="AO2" s="7" t="s">
        <v>27</v>
      </c>
      <c r="AP2" s="7" t="s">
        <v>28</v>
      </c>
      <c r="AQ2" s="9" t="s">
        <v>29</v>
      </c>
      <c r="AR2" s="7" t="s">
        <v>30</v>
      </c>
      <c r="AS2" s="7" t="s">
        <v>31</v>
      </c>
      <c r="AT2" s="7" t="s">
        <v>36</v>
      </c>
      <c r="AU2" s="7" t="s">
        <v>27</v>
      </c>
      <c r="AV2" s="7" t="s">
        <v>28</v>
      </c>
      <c r="AW2" s="9" t="s">
        <v>29</v>
      </c>
      <c r="AX2" s="7" t="s">
        <v>30</v>
      </c>
      <c r="AY2" s="7" t="s">
        <v>31</v>
      </c>
      <c r="AZ2" s="7" t="s">
        <v>36</v>
      </c>
      <c r="BA2" s="7" t="s">
        <v>27</v>
      </c>
      <c r="BB2" s="7" t="s">
        <v>28</v>
      </c>
      <c r="BC2" s="9" t="s">
        <v>29</v>
      </c>
      <c r="BD2" s="7" t="s">
        <v>30</v>
      </c>
      <c r="BE2" s="7" t="s">
        <v>31</v>
      </c>
      <c r="BF2" s="7" t="s">
        <v>36</v>
      </c>
      <c r="BG2" s="7" t="s">
        <v>27</v>
      </c>
      <c r="BH2" s="7" t="s">
        <v>28</v>
      </c>
      <c r="BI2" s="9" t="s">
        <v>29</v>
      </c>
      <c r="BJ2" s="7" t="s">
        <v>30</v>
      </c>
      <c r="BK2" s="7" t="s">
        <v>31</v>
      </c>
      <c r="BL2" s="141"/>
    </row>
    <row r="3" spans="1:64" ht="14.25" x14ac:dyDescent="0.2">
      <c r="A3" s="51"/>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row>
    <row r="4" spans="1:64" ht="14.25" x14ac:dyDescent="0.2">
      <c r="A4" s="51">
        <v>1</v>
      </c>
      <c r="B4" s="51">
        <v>2</v>
      </c>
      <c r="C4" s="51">
        <v>3</v>
      </c>
      <c r="D4" s="51">
        <v>4</v>
      </c>
      <c r="E4" s="51">
        <v>5</v>
      </c>
      <c r="F4" s="51">
        <v>6</v>
      </c>
      <c r="G4" s="51">
        <v>7</v>
      </c>
      <c r="H4" s="51">
        <v>8</v>
      </c>
      <c r="I4" s="51">
        <v>9</v>
      </c>
      <c r="J4" s="51">
        <v>10</v>
      </c>
      <c r="K4" s="51">
        <v>11</v>
      </c>
      <c r="L4" s="51">
        <v>12</v>
      </c>
      <c r="M4" s="51">
        <v>13</v>
      </c>
      <c r="N4" s="51">
        <v>14</v>
      </c>
      <c r="O4" s="51">
        <v>15</v>
      </c>
      <c r="P4" s="51">
        <v>16</v>
      </c>
      <c r="Q4" s="51">
        <v>17</v>
      </c>
      <c r="R4" s="51">
        <v>18</v>
      </c>
      <c r="S4" s="51">
        <v>19</v>
      </c>
      <c r="T4" s="51">
        <v>20</v>
      </c>
      <c r="U4" s="51">
        <v>21</v>
      </c>
      <c r="V4" s="51">
        <v>22</v>
      </c>
      <c r="W4" s="51">
        <v>23</v>
      </c>
      <c r="X4" s="51">
        <v>24</v>
      </c>
      <c r="Y4" s="51">
        <v>25</v>
      </c>
      <c r="Z4" s="51">
        <v>26</v>
      </c>
      <c r="AA4" s="51">
        <v>27</v>
      </c>
      <c r="AB4" s="51">
        <v>28</v>
      </c>
      <c r="AC4" s="51">
        <v>29</v>
      </c>
      <c r="AD4" s="51">
        <v>30</v>
      </c>
      <c r="AE4" s="51">
        <v>31</v>
      </c>
      <c r="AF4" s="51">
        <v>32</v>
      </c>
      <c r="AG4" s="51">
        <v>33</v>
      </c>
      <c r="AH4" s="51">
        <v>34</v>
      </c>
      <c r="AI4" s="51">
        <v>35</v>
      </c>
      <c r="AJ4" s="51">
        <v>36</v>
      </c>
      <c r="AK4" s="51">
        <v>37</v>
      </c>
      <c r="AL4" s="51">
        <v>38</v>
      </c>
      <c r="AM4" s="51">
        <v>39</v>
      </c>
      <c r="AN4" s="51">
        <v>40</v>
      </c>
      <c r="AO4" s="51">
        <v>41</v>
      </c>
      <c r="AP4" s="51">
        <v>42</v>
      </c>
      <c r="AQ4" s="51">
        <v>43</v>
      </c>
      <c r="AR4" s="51">
        <v>44</v>
      </c>
      <c r="AS4" s="51">
        <v>45</v>
      </c>
      <c r="AT4" s="51">
        <v>46</v>
      </c>
      <c r="AU4" s="51">
        <v>47</v>
      </c>
      <c r="AV4" s="51">
        <v>48</v>
      </c>
      <c r="AW4" s="51">
        <v>49</v>
      </c>
      <c r="AX4" s="51">
        <v>50</v>
      </c>
      <c r="AY4" s="51">
        <v>51</v>
      </c>
      <c r="AZ4" s="51">
        <v>52</v>
      </c>
      <c r="BA4" s="51">
        <v>53</v>
      </c>
      <c r="BB4" s="51">
        <v>54</v>
      </c>
      <c r="BC4" s="51">
        <v>55</v>
      </c>
      <c r="BD4" s="51">
        <v>56</v>
      </c>
      <c r="BE4" s="51">
        <v>57</v>
      </c>
      <c r="BF4" s="51">
        <v>58</v>
      </c>
      <c r="BG4" s="51">
        <v>59</v>
      </c>
      <c r="BH4" s="51">
        <v>60</v>
      </c>
      <c r="BI4" s="51">
        <v>61</v>
      </c>
      <c r="BJ4" s="51">
        <v>62</v>
      </c>
      <c r="BK4" s="51">
        <v>63</v>
      </c>
      <c r="BL4" s="51">
        <v>64</v>
      </c>
    </row>
    <row r="5" spans="1:64" ht="120" x14ac:dyDescent="0.2">
      <c r="A5" s="69">
        <v>1</v>
      </c>
      <c r="B5" s="52" t="str">
        <f ca="1">IFERROR(__xludf.DUMMYFUNCTION("IMPORTRANGE(""https://docs.google.com/spreadsheets/d/1ZpB0joDVH_P6wgS1qdxv2Cg30eSt21FXcCJZMPEFRM4/edit#gid=125194777&amp;range=B5:D465"", ""'ГП'!B5:D465"")"),"г.о. Фрязино")</f>
        <v>г.о. Фрязино</v>
      </c>
      <c r="C5"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 s="52" t="str">
        <f ca="1">IFERROR(__xludf.DUMMYFUNCTION("""COMPUTED_VALUE"""),"МинЖКХ")</f>
        <v>МинЖКХ</v>
      </c>
      <c r="E5" s="28" t="s">
        <v>72</v>
      </c>
      <c r="F5" s="52" t="str">
        <f ca="1">IFERROR(__xludf.DUMMYFUNCTION("IMPORTRANGE(""https://docs.google.com/spreadsheets/d/1ZpB0joDVH_P6wgS1qdxv2Cg30eSt21FXcCJZMPEFRM4/edit#gid=125194777&amp;range=F5:G480"", ""'ГП'!F5:G480"")"),"ВЗУ")</f>
        <v>ВЗУ</v>
      </c>
      <c r="G5" s="52" t="str">
        <f ca="1">IFERROR(__xludf.DUMMYFUNCTION("""COMPUTED_VALUE"""),"2020-2021")</f>
        <v>2020-2021</v>
      </c>
      <c r="H5" s="48" t="str">
        <f ca="1">IFERROR(__xludf.DUMMYFUNCTION("IMPORTRANGE(""https://docs.google.com/spreadsheets/d/1ZpB0joDVH_P6wgS1qdxv2Cg30eSt21FXcCJZMPEFRM4/edit#gid=125194777&amp;range=J5:J480"", ""'ГП'!J5:J480"")"),"Выполнены работы по вырубке зеленых насаждений. Работы по планировке и подготовке котлована станции водоподготовки. Выполнены работы по монтажу сетей электроснабжения, сетей водоснабжения.
Планируется выплата аванса в размере 10% Камеры видеонаблюдения у"&amp;"становлены, доступ предоставлен. ГПР предоставлен. ")</f>
        <v xml:space="preserve">Выполнены работы по вырубке зеленых насаждений. Работы по планировке и подготовке котлована станции водоподготовки. Выполнены работы по монтажу сетей электроснабжения, сетей водоснабжения.
Планируется выплата аванса в размере 10% Камеры видеонаблюдения установлены, доступ предоставлен. ГПР предоставлен. </v>
      </c>
      <c r="I5" s="48" t="str">
        <f ca="1">IFERROR(__xludf.DUMMYFUNCTION("IMPORTRANGE(""https://docs.google.com/spreadsheets/d/1ZpB0joDVH_P6wgS1qdxv2Cg30eSt21FXcCJZMPEFRM4/edit#gid=125194777&amp;range=H5:I480"", ""'ГП'!H5:I480"")"),"СМР")</f>
        <v>СМР</v>
      </c>
      <c r="J5" s="70">
        <f ca="1">IFERROR(__xludf.DUMMYFUNCTION("""COMPUTED_VALUE"""),0.11)</f>
        <v>0.11</v>
      </c>
      <c r="K5" s="48">
        <f ca="1">IFERROR(__xludf.DUMMYFUNCTION("IMPORTRANGE(""https://docs.google.com/spreadsheets/d/1ZpB0joDVH_P6wgS1qdxv2Cg30eSt21FXcCJZMPEFRM4/edit#gid=125194777&amp;range=K5:M480"", ""'ГП'!K5:M480"")"),50000)</f>
        <v>50000</v>
      </c>
      <c r="L5" s="48">
        <f ca="1">IFERROR(__xludf.DUMMYFUNCTION("""COMPUTED_VALUE"""),50000)</f>
        <v>50000</v>
      </c>
      <c r="M5" s="48"/>
      <c r="N5" s="48" t="str">
        <f ca="1">IFERROR(__xludf.DUMMYFUNCTION("IMPORTRANGE(""https://docs.google.com/spreadsheets/d/1ZpB0joDVH_P6wgS1qdxv2Cg30eSt21FXcCJZMPEFRM4/edit#gid=125194777&amp;range=AA5:AB480"", ""'ГП'!AA5:AB480"")"),"10 1 G552430
")</f>
        <v xml:space="preserve">10 1 G552430
</v>
      </c>
      <c r="O5" s="48">
        <f ca="1">IFERROR(__xludf.DUMMYFUNCTION("""COMPUTED_VALUE"""),522)</f>
        <v>522</v>
      </c>
      <c r="P5" s="72">
        <f t="shared" ref="P5:R5" si="0">SUM(AH5,AN5,AT5,AZ5,BF5)</f>
        <v>217632.16999999998</v>
      </c>
      <c r="Q5" s="72">
        <f t="shared" si="0"/>
        <v>161591.6</v>
      </c>
      <c r="R5" s="72">
        <f t="shared" si="0"/>
        <v>53863.94</v>
      </c>
      <c r="S5" s="53"/>
      <c r="T5" s="72">
        <f t="shared" ref="T5:T40" si="1">SUM(AL5,AR5,AX5,BD5,BJ5)</f>
        <v>2176.63</v>
      </c>
      <c r="U5" s="53"/>
      <c r="V5" s="72"/>
      <c r="W5" s="72"/>
      <c r="X5" s="72"/>
      <c r="Y5" s="72"/>
      <c r="Z5" s="72"/>
      <c r="AA5" s="72"/>
      <c r="AB5" s="72"/>
      <c r="AC5" s="72"/>
      <c r="AD5" s="72"/>
      <c r="AE5" s="72"/>
      <c r="AF5" s="72"/>
      <c r="AG5" s="72"/>
      <c r="AH5" s="72">
        <f t="shared" ref="AH5:AH420" si="2">SUM(AI5:AL5)</f>
        <v>181032.87999999998</v>
      </c>
      <c r="AI5" s="71">
        <v>134416.9</v>
      </c>
      <c r="AJ5" s="71">
        <v>44805.64</v>
      </c>
      <c r="AK5" s="71"/>
      <c r="AL5" s="71">
        <v>1810.34</v>
      </c>
      <c r="AM5" s="71"/>
      <c r="AN5" s="72">
        <f t="shared" ref="AN5:AN420" si="3">SUM(AO5:AR5)</f>
        <v>36599.29</v>
      </c>
      <c r="AO5" s="71">
        <v>27174.7</v>
      </c>
      <c r="AP5" s="71">
        <v>9058.2999999999993</v>
      </c>
      <c r="AQ5" s="71"/>
      <c r="AR5" s="71">
        <v>366.29</v>
      </c>
      <c r="AS5" s="71"/>
      <c r="AT5" s="71">
        <f t="shared" ref="AT5:AT420" si="4">SUM(AU5:AX5)</f>
        <v>0</v>
      </c>
      <c r="AU5" s="71">
        <v>0</v>
      </c>
      <c r="AV5" s="71">
        <v>0</v>
      </c>
      <c r="AW5" s="71"/>
      <c r="AX5" s="71">
        <v>0</v>
      </c>
      <c r="AY5" s="71"/>
      <c r="AZ5" s="71">
        <f t="shared" ref="AZ5:AZ40" si="5">SUM(BA5:BD5)</f>
        <v>0</v>
      </c>
      <c r="BA5" s="71">
        <v>0</v>
      </c>
      <c r="BB5" s="71">
        <v>0</v>
      </c>
      <c r="BC5" s="71"/>
      <c r="BD5" s="71">
        <v>0</v>
      </c>
      <c r="BE5" s="71"/>
      <c r="BF5" s="71">
        <f t="shared" ref="BF5:BF420" si="6">SUM(BG5:BJ5)</f>
        <v>0</v>
      </c>
      <c r="BG5" s="71">
        <v>0</v>
      </c>
      <c r="BH5" s="71">
        <v>0</v>
      </c>
      <c r="BI5" s="71"/>
      <c r="BJ5" s="71">
        <v>0</v>
      </c>
      <c r="BK5" s="71"/>
      <c r="BL5" s="20"/>
    </row>
    <row r="6" spans="1:64" ht="156" x14ac:dyDescent="0.2">
      <c r="A6" s="69">
        <v>2</v>
      </c>
      <c r="B6" s="52" t="str">
        <f ca="1">IFERROR(__xludf.DUMMYFUNCTION("""COMPUTED_VALUE"""),"г.о. Фрязино")</f>
        <v>г.о. Фрязино</v>
      </c>
      <c r="C6"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 s="52" t="str">
        <f ca="1">IFERROR(__xludf.DUMMYFUNCTION("""COMPUTED_VALUE"""),"МинЖКХ")</f>
        <v>МинЖКХ</v>
      </c>
      <c r="E6" s="28" t="s">
        <v>73</v>
      </c>
      <c r="F6" s="52" t="str">
        <f ca="1">IFERROR(__xludf.DUMMYFUNCTION("""COMPUTED_VALUE"""),"ВЗУ")</f>
        <v>ВЗУ</v>
      </c>
      <c r="G6" s="52" t="str">
        <f ca="1">IFERROR(__xludf.DUMMYFUNCTION("""COMPUTED_VALUE"""),"2020-2021")</f>
        <v>2020-2021</v>
      </c>
      <c r="H6" s="48" t="str">
        <f ca="1">IFERROR(__xludf.DUMMYFUNCTION("""COMPUTED_VALUE"""),"Выполнены работы по вырубке зеленых насаждений, работы по кровле, РЧВ очистка и устройство наружной гидроизоляции. Выполнены работы по бурению скважины. Завершен ремонт фасадов насосной станции второго подъема. Ведется монтаж полов, потолков внутри насосн"&amp;"ой станции, устройство фундаментов зданий водоподготовки.
Планируется выплата аванса в размере 10% Камеры видеонаблюдения установлены, доступ предоставлен. ГПР предоставлен. ")</f>
        <v xml:space="preserve">Выполнены работы по вырубке зеленых насаждений, работы по кровле, РЧВ очистка и устройство наружной гидроизоляции. Выполнены работы по бурению скважины. Завершен ремонт фасадов насосной станции второго подъема. Ведется монтаж полов, потолков внутри насосной станции, устройство фундаментов зданий водоподготовки.
Планируется выплата аванса в размере 10% Камеры видеонаблюдения установлены, доступ предоставлен. ГПР предоставлен. </v>
      </c>
      <c r="I6" s="48" t="str">
        <f ca="1">IFERROR(__xludf.DUMMYFUNCTION("""COMPUTED_VALUE"""),"СМР")</f>
        <v>СМР</v>
      </c>
      <c r="J6" s="70">
        <f ca="1">IFERROR(__xludf.DUMMYFUNCTION("""COMPUTED_VALUE"""),0.16)</f>
        <v>0.16</v>
      </c>
      <c r="K6" s="48">
        <f ca="1">IFERROR(__xludf.DUMMYFUNCTION("""COMPUTED_VALUE"""),50000)</f>
        <v>50000</v>
      </c>
      <c r="L6" s="48">
        <f ca="1">IFERROR(__xludf.DUMMYFUNCTION("""COMPUTED_VALUE"""),50000)</f>
        <v>50000</v>
      </c>
      <c r="M6" s="48"/>
      <c r="N6" s="48" t="str">
        <f ca="1">IFERROR(__xludf.DUMMYFUNCTION("""COMPUTED_VALUE"""),"10 1 G552430
")</f>
        <v xml:space="preserve">10 1 G552430
</v>
      </c>
      <c r="O6" s="48">
        <f ca="1">IFERROR(__xludf.DUMMYFUNCTION("""COMPUTED_VALUE"""),522)</f>
        <v>522</v>
      </c>
      <c r="P6" s="72">
        <f t="shared" ref="P6:R6" si="7">SUM(AH6,AN6,AT6,AZ6,BF6)</f>
        <v>147417.92000000001</v>
      </c>
      <c r="Q6" s="72">
        <f t="shared" si="7"/>
        <v>109457.7</v>
      </c>
      <c r="R6" s="72">
        <f t="shared" si="7"/>
        <v>36486.01</v>
      </c>
      <c r="S6" s="53"/>
      <c r="T6" s="72">
        <f t="shared" si="1"/>
        <v>1474.21</v>
      </c>
      <c r="U6" s="53"/>
      <c r="V6" s="72"/>
      <c r="W6" s="72"/>
      <c r="X6" s="72"/>
      <c r="Y6" s="72"/>
      <c r="Z6" s="72"/>
      <c r="AA6" s="72"/>
      <c r="AB6" s="72"/>
      <c r="AC6" s="72"/>
      <c r="AD6" s="72"/>
      <c r="AE6" s="72"/>
      <c r="AF6" s="72"/>
      <c r="AG6" s="72"/>
      <c r="AH6" s="72">
        <f t="shared" si="2"/>
        <v>21521.780000000002</v>
      </c>
      <c r="AI6" s="71">
        <v>15979.9</v>
      </c>
      <c r="AJ6" s="71">
        <v>5326.64</v>
      </c>
      <c r="AK6" s="71"/>
      <c r="AL6" s="71">
        <v>215.24</v>
      </c>
      <c r="AM6" s="71"/>
      <c r="AN6" s="72">
        <f t="shared" si="3"/>
        <v>125896.14</v>
      </c>
      <c r="AO6" s="71">
        <v>93477.8</v>
      </c>
      <c r="AP6" s="71">
        <v>31159.37</v>
      </c>
      <c r="AQ6" s="71"/>
      <c r="AR6" s="71">
        <v>1258.97</v>
      </c>
      <c r="AS6" s="71"/>
      <c r="AT6" s="71">
        <f t="shared" si="4"/>
        <v>0</v>
      </c>
      <c r="AU6" s="71">
        <v>0</v>
      </c>
      <c r="AV6" s="71">
        <v>0</v>
      </c>
      <c r="AW6" s="71"/>
      <c r="AX6" s="71">
        <v>0</v>
      </c>
      <c r="AY6" s="71"/>
      <c r="AZ6" s="71">
        <f t="shared" si="5"/>
        <v>0</v>
      </c>
      <c r="BA6" s="71">
        <v>0</v>
      </c>
      <c r="BB6" s="71">
        <v>0</v>
      </c>
      <c r="BC6" s="71"/>
      <c r="BD6" s="71">
        <v>0</v>
      </c>
      <c r="BE6" s="71"/>
      <c r="BF6" s="71">
        <f t="shared" si="6"/>
        <v>0</v>
      </c>
      <c r="BG6" s="71">
        <v>0</v>
      </c>
      <c r="BH6" s="71">
        <v>0</v>
      </c>
      <c r="BI6" s="71"/>
      <c r="BJ6" s="71">
        <v>0</v>
      </c>
      <c r="BK6" s="71"/>
      <c r="BL6" s="20"/>
    </row>
    <row r="7" spans="1:64" ht="84" x14ac:dyDescent="0.2">
      <c r="A7" s="69">
        <v>3</v>
      </c>
      <c r="B7" s="52" t="str">
        <f ca="1">IFERROR(__xludf.DUMMYFUNCTION("""COMPUTED_VALUE""")," г.о. Воскресенск")</f>
        <v xml:space="preserve"> г.о. Воскресенск</v>
      </c>
      <c r="C7"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 s="52" t="str">
        <f ca="1">IFERROR(__xludf.DUMMYFUNCTION("""COMPUTED_VALUE"""),"МинЖКХ")</f>
        <v>МинЖКХ</v>
      </c>
      <c r="E7" s="28" t="s">
        <v>74</v>
      </c>
      <c r="F7" s="52" t="str">
        <f ca="1">IFERROR(__xludf.DUMMYFUNCTION("""COMPUTED_VALUE"""),"ВЗУ")</f>
        <v>ВЗУ</v>
      </c>
      <c r="G7" s="52" t="str">
        <f ca="1">IFERROR(__xludf.DUMMYFUNCTION("""COMPUTED_VALUE"""),"2022-2023")</f>
        <v>2022-2023</v>
      </c>
      <c r="H7" s="48" t="str">
        <f ca="1">IFERROR(__xludf.DUMMYFUNCTION("""COMPUTED_VALUE"""),"ПСД находится в МОГЭ в срок до 2021 года. Контрактация в 2021 году.")</f>
        <v>ПСД находится в МОГЭ в срок до 2021 года. Контрактация в 2021 году.</v>
      </c>
      <c r="I7" s="48" t="str">
        <f ca="1">IFERROR(__xludf.DUMMYFUNCTION("""COMPUTED_VALUE"""),"СМР")</f>
        <v>СМР</v>
      </c>
      <c r="J7" s="70">
        <f ca="1">IFERROR(__xludf.DUMMYFUNCTION("""COMPUTED_VALUE"""),0)</f>
        <v>0</v>
      </c>
      <c r="K7" s="48"/>
      <c r="L7" s="48"/>
      <c r="M7" s="48"/>
      <c r="N7" s="48" t="str">
        <f ca="1">IFERROR(__xludf.DUMMYFUNCTION("""COMPUTED_VALUE"""),"10 1 G552430
")</f>
        <v xml:space="preserve">10 1 G552430
</v>
      </c>
      <c r="O7" s="48">
        <f ca="1">IFERROR(__xludf.DUMMYFUNCTION("""COMPUTED_VALUE"""),522)</f>
        <v>522</v>
      </c>
      <c r="P7" s="72">
        <f t="shared" ref="P7:R7" si="8">SUM(AH7,AN7,AT7,AZ7,BF7)</f>
        <v>125351.73</v>
      </c>
      <c r="Q7" s="72">
        <f t="shared" si="8"/>
        <v>89313.11</v>
      </c>
      <c r="R7" s="72">
        <f t="shared" si="8"/>
        <v>29771.03</v>
      </c>
      <c r="S7" s="53"/>
      <c r="T7" s="72">
        <f t="shared" si="1"/>
        <v>6267.59</v>
      </c>
      <c r="U7" s="53"/>
      <c r="V7" s="72"/>
      <c r="W7" s="72"/>
      <c r="X7" s="72"/>
      <c r="Y7" s="72"/>
      <c r="Z7" s="72"/>
      <c r="AA7" s="72"/>
      <c r="AB7" s="72"/>
      <c r="AC7" s="72"/>
      <c r="AD7" s="72"/>
      <c r="AE7" s="72"/>
      <c r="AF7" s="72"/>
      <c r="AG7" s="72"/>
      <c r="AH7" s="72">
        <f t="shared" si="2"/>
        <v>0</v>
      </c>
      <c r="AI7" s="71">
        <v>0</v>
      </c>
      <c r="AJ7" s="71">
        <v>0</v>
      </c>
      <c r="AK7" s="71"/>
      <c r="AL7" s="71">
        <v>0</v>
      </c>
      <c r="AM7" s="71"/>
      <c r="AN7" s="72">
        <f t="shared" si="3"/>
        <v>0</v>
      </c>
      <c r="AO7" s="71">
        <v>0</v>
      </c>
      <c r="AP7" s="71">
        <v>0</v>
      </c>
      <c r="AQ7" s="71"/>
      <c r="AR7" s="71">
        <v>0</v>
      </c>
      <c r="AS7" s="71"/>
      <c r="AT7" s="71">
        <f t="shared" si="4"/>
        <v>71408.479999999996</v>
      </c>
      <c r="AU7" s="28">
        <v>50878.54</v>
      </c>
      <c r="AV7" s="71">
        <v>16959.509999999998</v>
      </c>
      <c r="AW7" s="71"/>
      <c r="AX7" s="71">
        <v>3570.43</v>
      </c>
      <c r="AY7" s="71"/>
      <c r="AZ7" s="71">
        <f t="shared" si="5"/>
        <v>53943.25</v>
      </c>
      <c r="BA7" s="71">
        <v>38434.57</v>
      </c>
      <c r="BB7" s="71">
        <v>12811.52</v>
      </c>
      <c r="BC7" s="71"/>
      <c r="BD7" s="71">
        <v>2697.16</v>
      </c>
      <c r="BE7" s="71"/>
      <c r="BF7" s="71">
        <f t="shared" si="6"/>
        <v>0</v>
      </c>
      <c r="BG7" s="71">
        <v>0</v>
      </c>
      <c r="BH7" s="71">
        <v>0</v>
      </c>
      <c r="BI7" s="71"/>
      <c r="BJ7" s="71">
        <v>0</v>
      </c>
      <c r="BK7" s="71"/>
      <c r="BL7" s="20"/>
    </row>
    <row r="8" spans="1:64" ht="84" x14ac:dyDescent="0.2">
      <c r="A8" s="69">
        <v>4</v>
      </c>
      <c r="B8" s="52" t="str">
        <f ca="1">IFERROR(__xludf.DUMMYFUNCTION("""COMPUTED_VALUE"""),"г.о. Егорьевск ")</f>
        <v xml:space="preserve">г.о. Егорьевск </v>
      </c>
      <c r="C8"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 s="52" t="str">
        <f ca="1">IFERROR(__xludf.DUMMYFUNCTION("""COMPUTED_VALUE"""),"МинЖКХ")</f>
        <v>МинЖКХ</v>
      </c>
      <c r="E8" s="28" t="s">
        <v>75</v>
      </c>
      <c r="F8" s="52" t="str">
        <f ca="1">IFERROR(__xludf.DUMMYFUNCTION("""COMPUTED_VALUE"""),"ВЗУ")</f>
        <v>ВЗУ</v>
      </c>
      <c r="G8" s="52">
        <f ca="1">IFERROR(__xludf.DUMMYFUNCTION("""COMPUTED_VALUE"""),2023)</f>
        <v>2023</v>
      </c>
      <c r="H8" s="48" t="str">
        <f ca="1">IFERROR(__xludf.DUMMYFUNCTION("""COMPUTED_VALUE"""),"Закупка на ПИР находится на рабочей группе. Публикация закупки планируется в ноябре 2020 года.")</f>
        <v>Закупка на ПИР находится на рабочей группе. Публикация закупки планируется в ноябре 2020 года.</v>
      </c>
      <c r="I8" s="48" t="str">
        <f ca="1">IFERROR(__xludf.DUMMYFUNCTION("""COMPUTED_VALUE"""),"СМР")</f>
        <v>СМР</v>
      </c>
      <c r="J8" s="70">
        <f ca="1">IFERROR(__xludf.DUMMYFUNCTION("""COMPUTED_VALUE"""),0)</f>
        <v>0</v>
      </c>
      <c r="K8" s="48"/>
      <c r="L8" s="48"/>
      <c r="M8" s="48"/>
      <c r="N8" s="48" t="str">
        <f ca="1">IFERROR(__xludf.DUMMYFUNCTION("""COMPUTED_VALUE"""),"10 1 G552430
")</f>
        <v xml:space="preserve">10 1 G552430
</v>
      </c>
      <c r="O8" s="48">
        <f ca="1">IFERROR(__xludf.DUMMYFUNCTION("""COMPUTED_VALUE"""),522)</f>
        <v>522</v>
      </c>
      <c r="P8" s="72">
        <f t="shared" ref="P8:R8" si="9">SUM(AH8,AN8,AT8,AZ8,BF8)</f>
        <v>20000</v>
      </c>
      <c r="Q8" s="72">
        <f t="shared" si="9"/>
        <v>13755</v>
      </c>
      <c r="R8" s="72">
        <f t="shared" si="9"/>
        <v>4585</v>
      </c>
      <c r="S8" s="53"/>
      <c r="T8" s="72">
        <f t="shared" si="1"/>
        <v>1660</v>
      </c>
      <c r="U8" s="53"/>
      <c r="V8" s="72"/>
      <c r="W8" s="72"/>
      <c r="X8" s="72"/>
      <c r="Y8" s="72"/>
      <c r="Z8" s="72"/>
      <c r="AA8" s="72"/>
      <c r="AB8" s="72"/>
      <c r="AC8" s="72"/>
      <c r="AD8" s="72"/>
      <c r="AE8" s="72"/>
      <c r="AF8" s="72"/>
      <c r="AG8" s="72"/>
      <c r="AH8" s="72">
        <f t="shared" si="2"/>
        <v>0</v>
      </c>
      <c r="AI8" s="71">
        <v>0</v>
      </c>
      <c r="AJ8" s="71">
        <v>0</v>
      </c>
      <c r="AK8" s="71"/>
      <c r="AL8" s="71">
        <v>0</v>
      </c>
      <c r="AM8" s="71"/>
      <c r="AN8" s="72">
        <f t="shared" si="3"/>
        <v>0</v>
      </c>
      <c r="AO8" s="71">
        <v>0</v>
      </c>
      <c r="AP8" s="71">
        <v>0</v>
      </c>
      <c r="AQ8" s="71"/>
      <c r="AR8" s="71">
        <v>0</v>
      </c>
      <c r="AS8" s="71"/>
      <c r="AT8" s="71">
        <f t="shared" si="4"/>
        <v>0</v>
      </c>
      <c r="AU8" s="71">
        <v>0</v>
      </c>
      <c r="AV8" s="71">
        <v>0</v>
      </c>
      <c r="AW8" s="71"/>
      <c r="AX8" s="71">
        <v>0</v>
      </c>
      <c r="AY8" s="71"/>
      <c r="AZ8" s="71">
        <f t="shared" si="5"/>
        <v>20000</v>
      </c>
      <c r="BA8" s="71">
        <v>13755</v>
      </c>
      <c r="BB8" s="71">
        <v>4585</v>
      </c>
      <c r="BC8" s="71"/>
      <c r="BD8" s="71">
        <v>1660</v>
      </c>
      <c r="BE8" s="71"/>
      <c r="BF8" s="71">
        <f t="shared" si="6"/>
        <v>0</v>
      </c>
      <c r="BG8" s="71">
        <v>0</v>
      </c>
      <c r="BH8" s="71">
        <v>0</v>
      </c>
      <c r="BI8" s="71"/>
      <c r="BJ8" s="71">
        <v>0</v>
      </c>
      <c r="BK8" s="71"/>
      <c r="BL8" s="20"/>
    </row>
    <row r="9" spans="1:64" ht="84" x14ac:dyDescent="0.2">
      <c r="A9" s="69">
        <v>5</v>
      </c>
      <c r="B9" s="52" t="str">
        <f ca="1">IFERROR(__xludf.DUMMYFUNCTION("""COMPUTED_VALUE"""),"г.о. Люберцы")</f>
        <v>г.о. Люберцы</v>
      </c>
      <c r="C9"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9" s="52" t="str">
        <f ca="1">IFERROR(__xludf.DUMMYFUNCTION("""COMPUTED_VALUE"""),"МинЖКХ")</f>
        <v>МинЖКХ</v>
      </c>
      <c r="E9" s="28" t="s">
        <v>76</v>
      </c>
      <c r="F9" s="52" t="str">
        <f ca="1">IFERROR(__xludf.DUMMYFUNCTION("""COMPUTED_VALUE"""),"ВЗУ")</f>
        <v>ВЗУ</v>
      </c>
      <c r="G9" s="52">
        <f ca="1">IFERROR(__xludf.DUMMYFUNCTION("""COMPUTED_VALUE"""),2021)</f>
        <v>2021</v>
      </c>
      <c r="H9" s="48" t="str">
        <f ca="1">IFERROR(__xludf.DUMMYFUNCTION("""COMPUTED_VALUE"""),"Запланирован перенос на 2023 год. Работы по разработке ПСД не ведутся.")</f>
        <v>Запланирован перенос на 2023 год. Работы по разработке ПСД не ведутся.</v>
      </c>
      <c r="I9" s="48" t="str">
        <f ca="1">IFERROR(__xludf.DUMMYFUNCTION("""COMPUTED_VALUE"""),"СМР")</f>
        <v>СМР</v>
      </c>
      <c r="J9" s="48"/>
      <c r="K9" s="48"/>
      <c r="L9" s="48"/>
      <c r="M9" s="48"/>
      <c r="N9" s="48" t="str">
        <f ca="1">IFERROR(__xludf.DUMMYFUNCTION("""COMPUTED_VALUE"""),"10 1 G552430
")</f>
        <v xml:space="preserve">10 1 G552430
</v>
      </c>
      <c r="O9" s="48">
        <f ca="1">IFERROR(__xludf.DUMMYFUNCTION("""COMPUTED_VALUE"""),522)</f>
        <v>522</v>
      </c>
      <c r="P9" s="72">
        <f t="shared" ref="P9:R9" si="10">SUM(AH9,AN9,AT9,AZ9,BF9)</f>
        <v>147401.5</v>
      </c>
      <c r="Q9" s="72">
        <f t="shared" si="10"/>
        <v>70973.820000000007</v>
      </c>
      <c r="R9" s="72">
        <f t="shared" si="10"/>
        <v>23657.94</v>
      </c>
      <c r="S9" s="53"/>
      <c r="T9" s="72">
        <f t="shared" si="1"/>
        <v>52769.74</v>
      </c>
      <c r="U9" s="53"/>
      <c r="V9" s="72"/>
      <c r="W9" s="72"/>
      <c r="X9" s="72"/>
      <c r="Y9" s="72"/>
      <c r="Z9" s="72"/>
      <c r="AA9" s="72"/>
      <c r="AB9" s="72"/>
      <c r="AC9" s="72"/>
      <c r="AD9" s="72"/>
      <c r="AE9" s="72"/>
      <c r="AF9" s="72"/>
      <c r="AG9" s="72"/>
      <c r="AH9" s="72">
        <f t="shared" si="2"/>
        <v>0</v>
      </c>
      <c r="AI9" s="71">
        <v>0</v>
      </c>
      <c r="AJ9" s="71">
        <v>0</v>
      </c>
      <c r="AK9" s="71"/>
      <c r="AL9" s="71">
        <v>0</v>
      </c>
      <c r="AM9" s="71"/>
      <c r="AN9" s="72">
        <f t="shared" si="3"/>
        <v>147401.5</v>
      </c>
      <c r="AO9" s="71">
        <v>70973.820000000007</v>
      </c>
      <c r="AP9" s="71">
        <v>23657.94</v>
      </c>
      <c r="AQ9" s="71"/>
      <c r="AR9" s="71">
        <v>52769.74</v>
      </c>
      <c r="AS9" s="71"/>
      <c r="AT9" s="71">
        <f t="shared" si="4"/>
        <v>0</v>
      </c>
      <c r="AU9" s="71">
        <v>0</v>
      </c>
      <c r="AV9" s="71">
        <v>0</v>
      </c>
      <c r="AW9" s="71"/>
      <c r="AX9" s="71">
        <v>0</v>
      </c>
      <c r="AY9" s="71"/>
      <c r="AZ9" s="71">
        <f t="shared" si="5"/>
        <v>0</v>
      </c>
      <c r="BA9" s="71">
        <v>0</v>
      </c>
      <c r="BB9" s="71">
        <v>0</v>
      </c>
      <c r="BC9" s="71"/>
      <c r="BD9" s="71">
        <v>0</v>
      </c>
      <c r="BE9" s="71"/>
      <c r="BF9" s="71">
        <f t="shared" si="6"/>
        <v>0</v>
      </c>
      <c r="BG9" s="71">
        <v>0</v>
      </c>
      <c r="BH9" s="71">
        <v>0</v>
      </c>
      <c r="BI9" s="71"/>
      <c r="BJ9" s="71">
        <v>0</v>
      </c>
      <c r="BK9" s="71"/>
      <c r="BL9" s="20"/>
    </row>
    <row r="10" spans="1:64" ht="84" x14ac:dyDescent="0.2">
      <c r="A10" s="69">
        <v>6</v>
      </c>
      <c r="B10" s="52" t="str">
        <f ca="1">IFERROR(__xludf.DUMMYFUNCTION("""COMPUTED_VALUE"""),"г.о. Люберцы")</f>
        <v>г.о. Люберцы</v>
      </c>
      <c r="C10"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0" s="52" t="str">
        <f ca="1">IFERROR(__xludf.DUMMYFUNCTION("""COMPUTED_VALUE"""),"МинЖКХ")</f>
        <v>МинЖКХ</v>
      </c>
      <c r="E10" s="28" t="s">
        <v>77</v>
      </c>
      <c r="F10" s="52" t="str">
        <f ca="1">IFERROR(__xludf.DUMMYFUNCTION("""COMPUTED_VALUE"""),"ВЗУ")</f>
        <v>ВЗУ</v>
      </c>
      <c r="G10" s="52" t="str">
        <f ca="1">IFERROR(__xludf.DUMMYFUNCTION("""COMPUTED_VALUE"""),"2021-2023")</f>
        <v>2021-2023</v>
      </c>
      <c r="H10" s="48" t="str">
        <f ca="1">IFERROR(__xludf.DUMMYFUNCTION("""COMPUTED_VALUE"""),"Планируется разработка проекта за счет средств местного бюджета. Закупка на данный момент не размещена в связи с отсутсвием определение источника финансирования.")</f>
        <v>Планируется разработка проекта за счет средств местного бюджета. Закупка на данный момент не размещена в связи с отсутсвием определение источника финансирования.</v>
      </c>
      <c r="I10" s="48" t="str">
        <f ca="1">IFERROR(__xludf.DUMMYFUNCTION("""COMPUTED_VALUE"""),"СМР")</f>
        <v>СМР</v>
      </c>
      <c r="J10" s="48"/>
      <c r="K10" s="48"/>
      <c r="L10" s="48"/>
      <c r="M10" s="48"/>
      <c r="N10" s="48" t="str">
        <f ca="1">IFERROR(__xludf.DUMMYFUNCTION("""COMPUTED_VALUE"""),"10 1 G552430
")</f>
        <v xml:space="preserve">10 1 G552430
</v>
      </c>
      <c r="O10" s="48">
        <f ca="1">IFERROR(__xludf.DUMMYFUNCTION("""COMPUTED_VALUE"""),522)</f>
        <v>522</v>
      </c>
      <c r="P10" s="72">
        <f t="shared" ref="P10:R10" si="11">SUM(AH10,AN10,AT10,AZ10,BF10)</f>
        <v>89892.67</v>
      </c>
      <c r="Q10" s="72">
        <f t="shared" si="11"/>
        <v>43283.299999999996</v>
      </c>
      <c r="R10" s="72">
        <f t="shared" si="11"/>
        <v>14427.81</v>
      </c>
      <c r="S10" s="53"/>
      <c r="T10" s="72">
        <f t="shared" si="1"/>
        <v>32181.56</v>
      </c>
      <c r="U10" s="53"/>
      <c r="V10" s="72"/>
      <c r="W10" s="72"/>
      <c r="X10" s="72"/>
      <c r="Y10" s="72"/>
      <c r="Z10" s="72"/>
      <c r="AA10" s="72"/>
      <c r="AB10" s="72"/>
      <c r="AC10" s="72"/>
      <c r="AD10" s="72"/>
      <c r="AE10" s="72"/>
      <c r="AF10" s="72"/>
      <c r="AG10" s="72"/>
      <c r="AH10" s="72">
        <f t="shared" si="2"/>
        <v>0</v>
      </c>
      <c r="AI10" s="71">
        <v>0</v>
      </c>
      <c r="AJ10" s="71">
        <v>0</v>
      </c>
      <c r="AK10" s="71"/>
      <c r="AL10" s="71">
        <v>0</v>
      </c>
      <c r="AM10" s="71"/>
      <c r="AN10" s="72">
        <f t="shared" si="3"/>
        <v>39709.72</v>
      </c>
      <c r="AO10" s="71">
        <v>19120.21</v>
      </c>
      <c r="AP10" s="71">
        <v>6373.44</v>
      </c>
      <c r="AQ10" s="71"/>
      <c r="AR10" s="71">
        <v>14216.07</v>
      </c>
      <c r="AS10" s="71"/>
      <c r="AT10" s="71">
        <f t="shared" si="4"/>
        <v>32265.670000000002</v>
      </c>
      <c r="AU10" s="71">
        <v>15535.92</v>
      </c>
      <c r="AV10" s="71">
        <v>5178.6400000000003</v>
      </c>
      <c r="AW10" s="71"/>
      <c r="AX10" s="71">
        <v>11551.11</v>
      </c>
      <c r="AY10" s="71"/>
      <c r="AZ10" s="71">
        <f t="shared" si="5"/>
        <v>17917.28</v>
      </c>
      <c r="BA10" s="71">
        <v>8627.17</v>
      </c>
      <c r="BB10" s="71">
        <v>2875.73</v>
      </c>
      <c r="BC10" s="71"/>
      <c r="BD10" s="71">
        <v>6414.38</v>
      </c>
      <c r="BE10" s="71"/>
      <c r="BF10" s="71">
        <f t="shared" si="6"/>
        <v>0</v>
      </c>
      <c r="BG10" s="71">
        <v>0</v>
      </c>
      <c r="BH10" s="71">
        <v>0</v>
      </c>
      <c r="BI10" s="71"/>
      <c r="BJ10" s="71">
        <v>0</v>
      </c>
      <c r="BK10" s="71"/>
      <c r="BL10" s="20"/>
    </row>
    <row r="11" spans="1:64" ht="84" x14ac:dyDescent="0.2">
      <c r="A11" s="69">
        <v>7</v>
      </c>
      <c r="B11" s="55" t="str">
        <f ca="1">IFERROR(__xludf.DUMMYFUNCTION("""COMPUTED_VALUE"""),"г.о. Люберцы")</f>
        <v>г.о. Люберцы</v>
      </c>
      <c r="C11"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1" s="55" t="str">
        <f ca="1">IFERROR(__xludf.DUMMYFUNCTION("""COMPUTED_VALUE"""),"МинЖКХ")</f>
        <v>МинЖКХ</v>
      </c>
      <c r="E11" s="54" t="s">
        <v>78</v>
      </c>
      <c r="F11" s="57" t="str">
        <f ca="1">IFERROR(__xludf.DUMMYFUNCTION("""COMPUTED_VALUE"""),"ВЗУ")</f>
        <v>ВЗУ</v>
      </c>
      <c r="G11" s="57" t="str">
        <f ca="1">IFERROR(__xludf.DUMMYFUNCTION("""COMPUTED_VALUE"""),"Н/Л")</f>
        <v>Н/Л</v>
      </c>
      <c r="H11" s="48"/>
      <c r="I11" s="48"/>
      <c r="J11" s="48"/>
      <c r="K11" s="48"/>
      <c r="L11" s="48"/>
      <c r="M11" s="48"/>
      <c r="N11" s="48" t="str">
        <f ca="1">IFERROR(__xludf.DUMMYFUNCTION("""COMPUTED_VALUE"""),"10 1 G552430
")</f>
        <v xml:space="preserve">10 1 G552430
</v>
      </c>
      <c r="O11" s="48">
        <f ca="1">IFERROR(__xludf.DUMMYFUNCTION("""COMPUTED_VALUE"""),522)</f>
        <v>522</v>
      </c>
      <c r="P11" s="73">
        <f t="shared" ref="P11:R11" si="12">SUM(AH11,AN11,AT11,AZ11,BF11)</f>
        <v>0</v>
      </c>
      <c r="Q11" s="73">
        <f t="shared" si="12"/>
        <v>0</v>
      </c>
      <c r="R11" s="73">
        <f t="shared" si="12"/>
        <v>0</v>
      </c>
      <c r="S11" s="56"/>
      <c r="T11" s="73">
        <f t="shared" si="1"/>
        <v>0</v>
      </c>
      <c r="U11" s="56"/>
      <c r="V11" s="73"/>
      <c r="W11" s="73"/>
      <c r="X11" s="73"/>
      <c r="Y11" s="73"/>
      <c r="Z11" s="73"/>
      <c r="AA11" s="73"/>
      <c r="AB11" s="73"/>
      <c r="AC11" s="73"/>
      <c r="AD11" s="73"/>
      <c r="AE11" s="73"/>
      <c r="AF11" s="73"/>
      <c r="AG11" s="73"/>
      <c r="AH11" s="73">
        <f t="shared" si="2"/>
        <v>0</v>
      </c>
      <c r="AI11" s="74">
        <v>0</v>
      </c>
      <c r="AJ11" s="74">
        <v>0</v>
      </c>
      <c r="AK11" s="74"/>
      <c r="AL11" s="74">
        <v>0</v>
      </c>
      <c r="AM11" s="74"/>
      <c r="AN11" s="73">
        <f t="shared" si="3"/>
        <v>0</v>
      </c>
      <c r="AO11" s="74">
        <v>0</v>
      </c>
      <c r="AP11" s="74">
        <v>0</v>
      </c>
      <c r="AQ11" s="74"/>
      <c r="AR11" s="74">
        <v>0</v>
      </c>
      <c r="AS11" s="74"/>
      <c r="AT11" s="74">
        <f t="shared" si="4"/>
        <v>0</v>
      </c>
      <c r="AU11" s="74">
        <v>0</v>
      </c>
      <c r="AV11" s="74">
        <v>0</v>
      </c>
      <c r="AW11" s="74"/>
      <c r="AX11" s="74">
        <v>0</v>
      </c>
      <c r="AY11" s="74"/>
      <c r="AZ11" s="74">
        <f t="shared" si="5"/>
        <v>0</v>
      </c>
      <c r="BA11" s="74">
        <v>0</v>
      </c>
      <c r="BB11" s="74">
        <v>0</v>
      </c>
      <c r="BC11" s="74"/>
      <c r="BD11" s="74">
        <v>0</v>
      </c>
      <c r="BE11" s="74"/>
      <c r="BF11" s="74">
        <f t="shared" si="6"/>
        <v>0</v>
      </c>
      <c r="BG11" s="74">
        <v>0</v>
      </c>
      <c r="BH11" s="74">
        <v>0</v>
      </c>
      <c r="BI11" s="74"/>
      <c r="BJ11" s="74">
        <v>0</v>
      </c>
      <c r="BK11" s="74"/>
      <c r="BL11" s="20"/>
    </row>
    <row r="12" spans="1:64" ht="84" x14ac:dyDescent="0.2">
      <c r="A12" s="69">
        <v>8</v>
      </c>
      <c r="B12" s="55" t="str">
        <f ca="1">IFERROR(__xludf.DUMMYFUNCTION("""COMPUTED_VALUE"""),"г.о. Люберцы")</f>
        <v>г.о. Люберцы</v>
      </c>
      <c r="C12"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2" s="55" t="str">
        <f ca="1">IFERROR(__xludf.DUMMYFUNCTION("""COMPUTED_VALUE"""),"МинЖКХ")</f>
        <v>МинЖКХ</v>
      </c>
      <c r="E12" s="54" t="s">
        <v>79</v>
      </c>
      <c r="F12" s="57" t="str">
        <f ca="1">IFERROR(__xludf.DUMMYFUNCTION("""COMPUTED_VALUE"""),"ВЗУ")</f>
        <v>ВЗУ</v>
      </c>
      <c r="G12" s="57" t="str">
        <f ca="1">IFERROR(__xludf.DUMMYFUNCTION("""COMPUTED_VALUE"""),"Н/Л")</f>
        <v>Н/Л</v>
      </c>
      <c r="H12" s="48"/>
      <c r="I12" s="48"/>
      <c r="J12" s="48"/>
      <c r="K12" s="48"/>
      <c r="L12" s="48"/>
      <c r="M12" s="48"/>
      <c r="N12" s="48" t="str">
        <f ca="1">IFERROR(__xludf.DUMMYFUNCTION("""COMPUTED_VALUE"""),"10 1 G552430
")</f>
        <v xml:space="preserve">10 1 G552430
</v>
      </c>
      <c r="O12" s="48">
        <f ca="1">IFERROR(__xludf.DUMMYFUNCTION("""COMPUTED_VALUE"""),522)</f>
        <v>522</v>
      </c>
      <c r="P12" s="73">
        <f t="shared" ref="P12:R12" si="13">SUM(AH12,AN12,AT12,AZ12,BF12)</f>
        <v>0</v>
      </c>
      <c r="Q12" s="73">
        <f t="shared" si="13"/>
        <v>0</v>
      </c>
      <c r="R12" s="73">
        <f t="shared" si="13"/>
        <v>0</v>
      </c>
      <c r="S12" s="56"/>
      <c r="T12" s="73">
        <f t="shared" si="1"/>
        <v>0</v>
      </c>
      <c r="U12" s="56"/>
      <c r="V12" s="73"/>
      <c r="W12" s="73"/>
      <c r="X12" s="73"/>
      <c r="Y12" s="73"/>
      <c r="Z12" s="73"/>
      <c r="AA12" s="73"/>
      <c r="AB12" s="73"/>
      <c r="AC12" s="73"/>
      <c r="AD12" s="73"/>
      <c r="AE12" s="73"/>
      <c r="AF12" s="73"/>
      <c r="AG12" s="73"/>
      <c r="AH12" s="73">
        <f t="shared" si="2"/>
        <v>0</v>
      </c>
      <c r="AI12" s="74">
        <v>0</v>
      </c>
      <c r="AJ12" s="74">
        <v>0</v>
      </c>
      <c r="AK12" s="74"/>
      <c r="AL12" s="74">
        <v>0</v>
      </c>
      <c r="AM12" s="74"/>
      <c r="AN12" s="73">
        <f t="shared" si="3"/>
        <v>0</v>
      </c>
      <c r="AO12" s="74">
        <v>0</v>
      </c>
      <c r="AP12" s="74">
        <v>0</v>
      </c>
      <c r="AQ12" s="74"/>
      <c r="AR12" s="74">
        <v>0</v>
      </c>
      <c r="AS12" s="74"/>
      <c r="AT12" s="74">
        <f t="shared" si="4"/>
        <v>0</v>
      </c>
      <c r="AU12" s="74">
        <v>0</v>
      </c>
      <c r="AV12" s="74">
        <v>0</v>
      </c>
      <c r="AW12" s="74"/>
      <c r="AX12" s="74">
        <v>0</v>
      </c>
      <c r="AY12" s="74"/>
      <c r="AZ12" s="74">
        <f t="shared" si="5"/>
        <v>0</v>
      </c>
      <c r="BA12" s="74">
        <v>0</v>
      </c>
      <c r="BB12" s="74">
        <v>0</v>
      </c>
      <c r="BC12" s="74"/>
      <c r="BD12" s="74">
        <v>0</v>
      </c>
      <c r="BE12" s="74"/>
      <c r="BF12" s="74">
        <f t="shared" si="6"/>
        <v>0</v>
      </c>
      <c r="BG12" s="74">
        <v>0</v>
      </c>
      <c r="BH12" s="74">
        <v>0</v>
      </c>
      <c r="BI12" s="74"/>
      <c r="BJ12" s="74">
        <v>0</v>
      </c>
      <c r="BK12" s="74"/>
      <c r="BL12" s="20"/>
    </row>
    <row r="13" spans="1:64" ht="84" x14ac:dyDescent="0.2">
      <c r="A13" s="69">
        <v>9</v>
      </c>
      <c r="B13" s="52" t="str">
        <f ca="1">IFERROR(__xludf.DUMMYFUNCTION("""COMPUTED_VALUE"""),"г.о. Люберцы")</f>
        <v>г.о. Люберцы</v>
      </c>
      <c r="C13"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3" s="52" t="str">
        <f ca="1">IFERROR(__xludf.DUMMYFUNCTION("""COMPUTED_VALUE"""),"МинЖКХ")</f>
        <v>МинЖКХ</v>
      </c>
      <c r="E13" s="28" t="s">
        <v>80</v>
      </c>
      <c r="F13" s="52" t="str">
        <f ca="1">IFERROR(__xludf.DUMMYFUNCTION("""COMPUTED_VALUE"""),"ВЗУ")</f>
        <v>ВЗУ</v>
      </c>
      <c r="G13" s="52">
        <f ca="1">IFERROR(__xludf.DUMMYFUNCTION("""COMPUTED_VALUE"""),2022)</f>
        <v>2022</v>
      </c>
      <c r="H13" s="48"/>
      <c r="I13" s="48" t="str">
        <f ca="1">IFERROR(__xludf.DUMMYFUNCTION("""COMPUTED_VALUE"""),"СМР")</f>
        <v>СМР</v>
      </c>
      <c r="J13" s="48"/>
      <c r="K13" s="48"/>
      <c r="L13" s="48"/>
      <c r="M13" s="48"/>
      <c r="N13" s="48" t="str">
        <f ca="1">IFERROR(__xludf.DUMMYFUNCTION("""COMPUTED_VALUE"""),"10 1 G552430
")</f>
        <v xml:space="preserve">10 1 G552430
</v>
      </c>
      <c r="O13" s="48">
        <f ca="1">IFERROR(__xludf.DUMMYFUNCTION("""COMPUTED_VALUE"""),522)</f>
        <v>522</v>
      </c>
      <c r="P13" s="72">
        <f t="shared" ref="P13:R13" si="14">SUM(AH13,AN13,AT13,AZ13,BF13)</f>
        <v>32900</v>
      </c>
      <c r="Q13" s="72">
        <f t="shared" si="14"/>
        <v>15841.35</v>
      </c>
      <c r="R13" s="72">
        <f t="shared" si="14"/>
        <v>5280.45</v>
      </c>
      <c r="S13" s="53"/>
      <c r="T13" s="72">
        <f t="shared" si="1"/>
        <v>11778.2</v>
      </c>
      <c r="U13" s="53"/>
      <c r="V13" s="72"/>
      <c r="W13" s="72"/>
      <c r="X13" s="72"/>
      <c r="Y13" s="72"/>
      <c r="Z13" s="72"/>
      <c r="AA13" s="72"/>
      <c r="AB13" s="72"/>
      <c r="AC13" s="72"/>
      <c r="AD13" s="72"/>
      <c r="AE13" s="72"/>
      <c r="AF13" s="72"/>
      <c r="AG13" s="72"/>
      <c r="AH13" s="72">
        <f t="shared" si="2"/>
        <v>0</v>
      </c>
      <c r="AI13" s="71">
        <v>0</v>
      </c>
      <c r="AJ13" s="71">
        <v>0</v>
      </c>
      <c r="AK13" s="71"/>
      <c r="AL13" s="71">
        <v>0</v>
      </c>
      <c r="AM13" s="71"/>
      <c r="AN13" s="72">
        <f t="shared" si="3"/>
        <v>0</v>
      </c>
      <c r="AO13" s="71">
        <v>0</v>
      </c>
      <c r="AP13" s="71">
        <v>0</v>
      </c>
      <c r="AQ13" s="71"/>
      <c r="AR13" s="71">
        <v>0</v>
      </c>
      <c r="AS13" s="71"/>
      <c r="AT13" s="71">
        <f t="shared" si="4"/>
        <v>32900</v>
      </c>
      <c r="AU13" s="71">
        <v>15841.35</v>
      </c>
      <c r="AV13" s="71">
        <v>5280.45</v>
      </c>
      <c r="AW13" s="71"/>
      <c r="AX13" s="71">
        <v>11778.2</v>
      </c>
      <c r="AY13" s="71"/>
      <c r="AZ13" s="71">
        <f t="shared" si="5"/>
        <v>0</v>
      </c>
      <c r="BA13" s="71">
        <v>0</v>
      </c>
      <c r="BB13" s="71">
        <v>0</v>
      </c>
      <c r="BC13" s="71"/>
      <c r="BD13" s="71">
        <v>0</v>
      </c>
      <c r="BE13" s="71"/>
      <c r="BF13" s="71">
        <f t="shared" si="6"/>
        <v>0</v>
      </c>
      <c r="BG13" s="71">
        <v>0</v>
      </c>
      <c r="BH13" s="71">
        <v>0</v>
      </c>
      <c r="BI13" s="71"/>
      <c r="BJ13" s="71">
        <v>0</v>
      </c>
      <c r="BK13" s="71"/>
      <c r="BL13" s="20"/>
    </row>
    <row r="14" spans="1:64" ht="84" x14ac:dyDescent="0.2">
      <c r="A14" s="69">
        <v>10</v>
      </c>
      <c r="B14" s="52" t="str">
        <f ca="1">IFERROR(__xludf.DUMMYFUNCTION("""COMPUTED_VALUE"""),"г.о. Люберцы")</f>
        <v>г.о. Люберцы</v>
      </c>
      <c r="C14"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4" s="52" t="str">
        <f ca="1">IFERROR(__xludf.DUMMYFUNCTION("""COMPUTED_VALUE"""),"МинЖКХ")</f>
        <v>МинЖКХ</v>
      </c>
      <c r="E14" s="28" t="s">
        <v>81</v>
      </c>
      <c r="F14" s="52" t="str">
        <f ca="1">IFERROR(__xludf.DUMMYFUNCTION("""COMPUTED_VALUE"""),"ВЗУ")</f>
        <v>ВЗУ</v>
      </c>
      <c r="G14" s="52">
        <f ca="1">IFERROR(__xludf.DUMMYFUNCTION("""COMPUTED_VALUE"""),2022)</f>
        <v>2022</v>
      </c>
      <c r="H14" s="48"/>
      <c r="I14" s="48" t="str">
        <f ca="1">IFERROR(__xludf.DUMMYFUNCTION("""COMPUTED_VALUE"""),"СМР")</f>
        <v>СМР</v>
      </c>
      <c r="J14" s="48"/>
      <c r="K14" s="48"/>
      <c r="L14" s="48"/>
      <c r="M14" s="48"/>
      <c r="N14" s="48" t="str">
        <f ca="1">IFERROR(__xludf.DUMMYFUNCTION("""COMPUTED_VALUE"""),"10 1 G552430
")</f>
        <v xml:space="preserve">10 1 G552430
</v>
      </c>
      <c r="O14" s="48">
        <f ca="1">IFERROR(__xludf.DUMMYFUNCTION("""COMPUTED_VALUE"""),522)</f>
        <v>522</v>
      </c>
      <c r="P14" s="72">
        <f t="shared" ref="P14:R14" si="15">SUM(AH14,AN14,AT14,AZ14,BF14)</f>
        <v>52700</v>
      </c>
      <c r="Q14" s="72">
        <f t="shared" si="15"/>
        <v>25375.05</v>
      </c>
      <c r="R14" s="72">
        <f t="shared" si="15"/>
        <v>8458.35</v>
      </c>
      <c r="S14" s="53"/>
      <c r="T14" s="72">
        <f t="shared" si="1"/>
        <v>18866.599999999999</v>
      </c>
      <c r="U14" s="53"/>
      <c r="V14" s="72"/>
      <c r="W14" s="72"/>
      <c r="X14" s="72"/>
      <c r="Y14" s="72"/>
      <c r="Z14" s="72"/>
      <c r="AA14" s="72"/>
      <c r="AB14" s="72"/>
      <c r="AC14" s="72"/>
      <c r="AD14" s="72"/>
      <c r="AE14" s="72"/>
      <c r="AF14" s="72"/>
      <c r="AG14" s="72"/>
      <c r="AH14" s="72">
        <f t="shared" si="2"/>
        <v>0</v>
      </c>
      <c r="AI14" s="71">
        <v>0</v>
      </c>
      <c r="AJ14" s="71">
        <v>0</v>
      </c>
      <c r="AK14" s="71"/>
      <c r="AL14" s="71">
        <v>0</v>
      </c>
      <c r="AM14" s="71"/>
      <c r="AN14" s="72">
        <f t="shared" si="3"/>
        <v>0</v>
      </c>
      <c r="AO14" s="71">
        <v>0</v>
      </c>
      <c r="AP14" s="71">
        <v>0</v>
      </c>
      <c r="AQ14" s="71"/>
      <c r="AR14" s="71">
        <v>0</v>
      </c>
      <c r="AS14" s="71"/>
      <c r="AT14" s="71">
        <f t="shared" si="4"/>
        <v>52700</v>
      </c>
      <c r="AU14" s="71">
        <v>25375.05</v>
      </c>
      <c r="AV14" s="71">
        <v>8458.35</v>
      </c>
      <c r="AW14" s="71"/>
      <c r="AX14" s="71">
        <v>18866.599999999999</v>
      </c>
      <c r="AY14" s="71"/>
      <c r="AZ14" s="71">
        <f t="shared" si="5"/>
        <v>0</v>
      </c>
      <c r="BA14" s="71">
        <v>0</v>
      </c>
      <c r="BB14" s="71">
        <v>0</v>
      </c>
      <c r="BC14" s="71"/>
      <c r="BD14" s="71">
        <v>0</v>
      </c>
      <c r="BE14" s="71"/>
      <c r="BF14" s="71">
        <f t="shared" si="6"/>
        <v>0</v>
      </c>
      <c r="BG14" s="71">
        <v>0</v>
      </c>
      <c r="BH14" s="71">
        <v>0</v>
      </c>
      <c r="BI14" s="71"/>
      <c r="BJ14" s="71">
        <v>0</v>
      </c>
      <c r="BK14" s="71"/>
      <c r="BL14" s="20"/>
    </row>
    <row r="15" spans="1:64" ht="144" x14ac:dyDescent="0.2">
      <c r="A15" s="69">
        <v>11</v>
      </c>
      <c r="B15" s="52" t="str">
        <f ca="1">IFERROR(__xludf.DUMMYFUNCTION("""COMPUTED_VALUE"""),"г.о. Люберцы")</f>
        <v>г.о. Люберцы</v>
      </c>
      <c r="C15"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5" s="52" t="str">
        <f ca="1">IFERROR(__xludf.DUMMYFUNCTION("""COMPUTED_VALUE"""),"МинЖКХ")</f>
        <v>МинЖКХ</v>
      </c>
      <c r="E15" s="28" t="s">
        <v>573</v>
      </c>
      <c r="F15" s="52" t="str">
        <f ca="1">IFERROR(__xludf.DUMMYFUNCTION("""COMPUTED_VALUE"""),"ПВНС")</f>
        <v>ПВНС</v>
      </c>
      <c r="G15" s="52" t="str">
        <f ca="1">IFERROR(__xludf.DUMMYFUNCTION("""COMPUTED_VALUE"""),"2020-2021")</f>
        <v>2020-2021</v>
      </c>
      <c r="H15" s="48" t="str">
        <f ca="1">IFERROR(__xludf.DUMMYFUNCTION("""COMPUTED_VALUE"""),"Заказчиком передана проектная и рабочая документация. Строительная площадка передана. Закуплено ограждение для строительного объекта и стенды. Планируется устройтсво бытовок до 16.11.2020.
Оплачен аванс в размере 30%. Ведутся работы по увеличению аванса "&amp;"до 50%. Заключен договор на установку камер видеонаблюдения установка до 23.11.2020. Ведется разработка ГПР.")</f>
        <v>Заказчиком передана проектная и рабочая документация. Строительная площадка передана. Закуплено ограждение для строительного объекта и стенды. Планируется устройтсво бытовок до 16.11.2020.
Оплачен аванс в размере 30%. Ведутся работы по увеличению аванса до 50%. Заключен договор на установку камер видеонаблюдения установка до 23.11.2020. Ведется разработка ГПР.</v>
      </c>
      <c r="I15" s="48" t="str">
        <f ca="1">IFERROR(__xludf.DUMMYFUNCTION("""COMPUTED_VALUE"""),"СМР")</f>
        <v>СМР</v>
      </c>
      <c r="J15" s="70">
        <f ca="1">IFERROR(__xludf.DUMMYFUNCTION("""COMPUTED_VALUE"""),0.01)</f>
        <v>0.01</v>
      </c>
      <c r="K15" s="48">
        <f ca="1">IFERROR(__xludf.DUMMYFUNCTION("""COMPUTED_VALUE"""),0)</f>
        <v>0</v>
      </c>
      <c r="L15" s="48">
        <f ca="1">IFERROR(__xludf.DUMMYFUNCTION("""COMPUTED_VALUE"""),22000)</f>
        <v>22000</v>
      </c>
      <c r="M15" s="48"/>
      <c r="N15" s="48" t="str">
        <f ca="1">IFERROR(__xludf.DUMMYFUNCTION("""COMPUTED_VALUE"""),"10 1 G552430
")</f>
        <v xml:space="preserve">10 1 G552430
</v>
      </c>
      <c r="O15" s="48">
        <f ca="1">IFERROR(__xludf.DUMMYFUNCTION("""COMPUTED_VALUE"""),522)</f>
        <v>522</v>
      </c>
      <c r="P15" s="72">
        <f t="shared" ref="P15:R15" si="16">SUM(AH15,AN15,AT15,AZ15,BF15)</f>
        <v>94445.510000000009</v>
      </c>
      <c r="Q15" s="72">
        <f t="shared" si="16"/>
        <v>47561.4</v>
      </c>
      <c r="R15" s="72">
        <f t="shared" si="16"/>
        <v>15853.83</v>
      </c>
      <c r="S15" s="53"/>
      <c r="T15" s="72">
        <f t="shared" si="1"/>
        <v>31030.28</v>
      </c>
      <c r="U15" s="53"/>
      <c r="V15" s="72"/>
      <c r="W15" s="72"/>
      <c r="X15" s="72"/>
      <c r="Y15" s="72"/>
      <c r="Z15" s="72"/>
      <c r="AA15" s="72"/>
      <c r="AB15" s="72"/>
      <c r="AC15" s="72"/>
      <c r="AD15" s="72"/>
      <c r="AE15" s="72"/>
      <c r="AF15" s="72"/>
      <c r="AG15" s="72"/>
      <c r="AH15" s="72">
        <f t="shared" si="2"/>
        <v>48795.91</v>
      </c>
      <c r="AI15" s="71">
        <v>25581.200000000001</v>
      </c>
      <c r="AJ15" s="71">
        <v>8527.07</v>
      </c>
      <c r="AK15" s="71"/>
      <c r="AL15" s="71">
        <v>14687.64</v>
      </c>
      <c r="AM15" s="71"/>
      <c r="AN15" s="72">
        <f t="shared" si="3"/>
        <v>45649.599999999999</v>
      </c>
      <c r="AO15" s="71">
        <v>21980.2</v>
      </c>
      <c r="AP15" s="71">
        <v>7326.76</v>
      </c>
      <c r="AQ15" s="71"/>
      <c r="AR15" s="71">
        <v>16342.64</v>
      </c>
      <c r="AS15" s="71"/>
      <c r="AT15" s="71">
        <f t="shared" si="4"/>
        <v>0</v>
      </c>
      <c r="AU15" s="71">
        <v>0</v>
      </c>
      <c r="AV15" s="71">
        <v>0</v>
      </c>
      <c r="AW15" s="71"/>
      <c r="AX15" s="71">
        <v>0</v>
      </c>
      <c r="AY15" s="71"/>
      <c r="AZ15" s="71">
        <f t="shared" si="5"/>
        <v>0</v>
      </c>
      <c r="BA15" s="71">
        <v>0</v>
      </c>
      <c r="BB15" s="71">
        <v>0</v>
      </c>
      <c r="BC15" s="71"/>
      <c r="BD15" s="71">
        <v>0</v>
      </c>
      <c r="BE15" s="71"/>
      <c r="BF15" s="71">
        <f t="shared" si="6"/>
        <v>0</v>
      </c>
      <c r="BG15" s="71">
        <v>0</v>
      </c>
      <c r="BH15" s="71">
        <v>0</v>
      </c>
      <c r="BI15" s="71"/>
      <c r="BJ15" s="71">
        <v>0</v>
      </c>
      <c r="BK15" s="71"/>
      <c r="BL15" s="20"/>
    </row>
    <row r="16" spans="1:64" ht="108" x14ac:dyDescent="0.2">
      <c r="A16" s="69">
        <v>12</v>
      </c>
      <c r="B16" s="52" t="str">
        <f ca="1">IFERROR(__xludf.DUMMYFUNCTION("""COMPUTED_VALUE"""),"г.о. Одинцово")</f>
        <v>г.о. Одинцово</v>
      </c>
      <c r="C16"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6" s="52" t="str">
        <f ca="1">IFERROR(__xludf.DUMMYFUNCTION("""COMPUTED_VALUE"""),"МинЖКХ")</f>
        <v>МинЖКХ</v>
      </c>
      <c r="E16" s="28" t="s">
        <v>82</v>
      </c>
      <c r="F16" s="52" t="str">
        <f ca="1">IFERROR(__xludf.DUMMYFUNCTION("""COMPUTED_VALUE"""),"ВЗУ")</f>
        <v>ВЗУ</v>
      </c>
      <c r="G16" s="52" t="str">
        <f ca="1">IFERROR(__xludf.DUMMYFUNCTION("""COMPUTED_VALUE"""),"2020-2021")</f>
        <v>2020-2021</v>
      </c>
      <c r="H16" s="48" t="str">
        <f ca="1">IFERROR(__xludf.DUMMYFUNCTION("""COMPUTED_VALUE"""),"Подготовлен котлован под здание обезжелезивания. Демонтирован 1 РЧВ. Выполнен монтаж освещения территории ВЗУ. Ведутся общестроительные работы.
Камеры видеонаблюдения установлены, доступ предоставлен.
Оплачен аванс в размере 50%.
Ведется корректировка ГП"&amp;"Р.")</f>
        <v>Подготовлен котлован под здание обезжелезивания. Демонтирован 1 РЧВ. Выполнен монтаж освещения территории ВЗУ. Ведутся общестроительные работы.
Камеры видеонаблюдения установлены, доступ предоставлен.
Оплачен аванс в размере 50%.
Ведется корректировка ГПР.</v>
      </c>
      <c r="I16" s="48" t="str">
        <f ca="1">IFERROR(__xludf.DUMMYFUNCTION("""COMPUTED_VALUE"""),"СМР")</f>
        <v>СМР</v>
      </c>
      <c r="J16" s="70">
        <f ca="1">IFERROR(__xludf.DUMMYFUNCTION("""COMPUTED_VALUE"""),0.15)</f>
        <v>0.15</v>
      </c>
      <c r="K16" s="48">
        <f ca="1">IFERROR(__xludf.DUMMYFUNCTION("""COMPUTED_VALUE"""),18200)</f>
        <v>18200</v>
      </c>
      <c r="L16" s="48">
        <f ca="1">IFERROR(__xludf.DUMMYFUNCTION("""COMPUTED_VALUE"""),18200)</f>
        <v>18200</v>
      </c>
      <c r="M16" s="48"/>
      <c r="N16" s="48" t="str">
        <f ca="1">IFERROR(__xludf.DUMMYFUNCTION("""COMPUTED_VALUE"""),"10 1 G552430
")</f>
        <v xml:space="preserve">10 1 G552430
</v>
      </c>
      <c r="O16" s="48">
        <f ca="1">IFERROR(__xludf.DUMMYFUNCTION("""COMPUTED_VALUE"""),522)</f>
        <v>522</v>
      </c>
      <c r="P16" s="72">
        <f t="shared" ref="P16:R16" si="17">SUM(AH16,AN16,AT16,AZ16,BF16)</f>
        <v>277550.61</v>
      </c>
      <c r="Q16" s="72">
        <f t="shared" si="17"/>
        <v>130101.7</v>
      </c>
      <c r="R16" s="72">
        <f t="shared" si="17"/>
        <v>43367.33</v>
      </c>
      <c r="S16" s="53"/>
      <c r="T16" s="72">
        <f t="shared" si="1"/>
        <v>104081.58</v>
      </c>
      <c r="U16" s="53"/>
      <c r="V16" s="72"/>
      <c r="W16" s="72"/>
      <c r="X16" s="72"/>
      <c r="Y16" s="72"/>
      <c r="Z16" s="72"/>
      <c r="AA16" s="72"/>
      <c r="AB16" s="72"/>
      <c r="AC16" s="72"/>
      <c r="AD16" s="72"/>
      <c r="AE16" s="72"/>
      <c r="AF16" s="72"/>
      <c r="AG16" s="72"/>
      <c r="AH16" s="72">
        <f t="shared" si="2"/>
        <v>232000</v>
      </c>
      <c r="AI16" s="71">
        <v>108750</v>
      </c>
      <c r="AJ16" s="71">
        <v>36250</v>
      </c>
      <c r="AK16" s="71"/>
      <c r="AL16" s="71">
        <v>87000</v>
      </c>
      <c r="AM16" s="71"/>
      <c r="AN16" s="72">
        <f t="shared" si="3"/>
        <v>45550.61</v>
      </c>
      <c r="AO16" s="71">
        <v>21351.7</v>
      </c>
      <c r="AP16" s="71">
        <v>7117.33</v>
      </c>
      <c r="AQ16" s="71"/>
      <c r="AR16" s="71">
        <v>17081.580000000002</v>
      </c>
      <c r="AS16" s="71"/>
      <c r="AT16" s="71">
        <f t="shared" si="4"/>
        <v>0</v>
      </c>
      <c r="AU16" s="71">
        <v>0</v>
      </c>
      <c r="AV16" s="71">
        <v>0</v>
      </c>
      <c r="AW16" s="71"/>
      <c r="AX16" s="71">
        <v>0</v>
      </c>
      <c r="AY16" s="71"/>
      <c r="AZ16" s="71">
        <f t="shared" si="5"/>
        <v>0</v>
      </c>
      <c r="BA16" s="71">
        <v>0</v>
      </c>
      <c r="BB16" s="71">
        <v>0</v>
      </c>
      <c r="BC16" s="71"/>
      <c r="BD16" s="71">
        <v>0</v>
      </c>
      <c r="BE16" s="71"/>
      <c r="BF16" s="71">
        <f t="shared" si="6"/>
        <v>0</v>
      </c>
      <c r="BG16" s="71">
        <v>0</v>
      </c>
      <c r="BH16" s="71">
        <v>0</v>
      </c>
      <c r="BI16" s="71"/>
      <c r="BJ16" s="71">
        <v>0</v>
      </c>
      <c r="BK16" s="71"/>
      <c r="BL16" s="20"/>
    </row>
    <row r="17" spans="1:64" ht="84" x14ac:dyDescent="0.2">
      <c r="A17" s="69">
        <v>13</v>
      </c>
      <c r="B17" s="52" t="str">
        <f ca="1">IFERROR(__xludf.DUMMYFUNCTION("""COMPUTED_VALUE"""),"г.о. Одинцово")</f>
        <v>г.о. Одинцово</v>
      </c>
      <c r="C17"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7" s="52" t="str">
        <f ca="1">IFERROR(__xludf.DUMMYFUNCTION("""COMPUTED_VALUE"""),"МинЖКХ")</f>
        <v>МинЖКХ</v>
      </c>
      <c r="E17" s="28" t="s">
        <v>83</v>
      </c>
      <c r="F17" s="52" t="str">
        <f ca="1">IFERROR(__xludf.DUMMYFUNCTION("""COMPUTED_VALUE"""),"ВЗУ")</f>
        <v>ВЗУ</v>
      </c>
      <c r="G17" s="52">
        <f ca="1">IFERROR(__xludf.DUMMYFUNCTION("""COMPUTED_VALUE"""),2024)</f>
        <v>2024</v>
      </c>
      <c r="H17" s="48"/>
      <c r="I17" s="48" t="str">
        <f ca="1">IFERROR(__xludf.DUMMYFUNCTION("""COMPUTED_VALUE"""),"СМР")</f>
        <v>СМР</v>
      </c>
      <c r="J17" s="48"/>
      <c r="K17" s="48"/>
      <c r="L17" s="48"/>
      <c r="M17" s="48"/>
      <c r="N17" s="48" t="str">
        <f ca="1">IFERROR(__xludf.DUMMYFUNCTION("""COMPUTED_VALUE"""),"10 1 G552430
")</f>
        <v xml:space="preserve">10 1 G552430
</v>
      </c>
      <c r="O17" s="48">
        <f ca="1">IFERROR(__xludf.DUMMYFUNCTION("""COMPUTED_VALUE"""),522)</f>
        <v>522</v>
      </c>
      <c r="P17" s="72">
        <f t="shared" ref="P17:R17" si="18">SUM(AH17,AN17,AT17,AZ17,BF17)</f>
        <v>140000</v>
      </c>
      <c r="Q17" s="72">
        <f t="shared" si="18"/>
        <v>65625</v>
      </c>
      <c r="R17" s="72">
        <f t="shared" si="18"/>
        <v>21875</v>
      </c>
      <c r="S17" s="53"/>
      <c r="T17" s="72">
        <f t="shared" si="1"/>
        <v>52500</v>
      </c>
      <c r="U17" s="53"/>
      <c r="V17" s="72"/>
      <c r="W17" s="72"/>
      <c r="X17" s="72"/>
      <c r="Y17" s="72"/>
      <c r="Z17" s="72"/>
      <c r="AA17" s="72"/>
      <c r="AB17" s="72"/>
      <c r="AC17" s="72"/>
      <c r="AD17" s="72"/>
      <c r="AE17" s="72"/>
      <c r="AF17" s="72"/>
      <c r="AG17" s="72"/>
      <c r="AH17" s="72">
        <f t="shared" si="2"/>
        <v>0</v>
      </c>
      <c r="AI17" s="71">
        <v>0</v>
      </c>
      <c r="AJ17" s="71">
        <v>0</v>
      </c>
      <c r="AK17" s="71"/>
      <c r="AL17" s="71">
        <v>0</v>
      </c>
      <c r="AM17" s="71"/>
      <c r="AN17" s="72">
        <f t="shared" si="3"/>
        <v>0</v>
      </c>
      <c r="AO17" s="71">
        <v>0</v>
      </c>
      <c r="AP17" s="71">
        <v>0</v>
      </c>
      <c r="AQ17" s="71"/>
      <c r="AR17" s="71">
        <v>0</v>
      </c>
      <c r="AS17" s="71"/>
      <c r="AT17" s="71">
        <f t="shared" si="4"/>
        <v>0</v>
      </c>
      <c r="AU17" s="71">
        <v>0</v>
      </c>
      <c r="AV17" s="71">
        <v>0</v>
      </c>
      <c r="AW17" s="71"/>
      <c r="AX17" s="71">
        <v>0</v>
      </c>
      <c r="AY17" s="71"/>
      <c r="AZ17" s="71">
        <f t="shared" si="5"/>
        <v>0</v>
      </c>
      <c r="BA17" s="71">
        <v>0</v>
      </c>
      <c r="BB17" s="71">
        <v>0</v>
      </c>
      <c r="BC17" s="71"/>
      <c r="BD17" s="71">
        <v>0</v>
      </c>
      <c r="BE17" s="71"/>
      <c r="BF17" s="71">
        <f t="shared" si="6"/>
        <v>140000</v>
      </c>
      <c r="BG17" s="71">
        <v>65625</v>
      </c>
      <c r="BH17" s="71">
        <v>21875</v>
      </c>
      <c r="BI17" s="71"/>
      <c r="BJ17" s="71">
        <v>52500</v>
      </c>
      <c r="BK17" s="71"/>
      <c r="BL17" s="20"/>
    </row>
    <row r="18" spans="1:64" ht="84" x14ac:dyDescent="0.2">
      <c r="A18" s="69">
        <v>14</v>
      </c>
      <c r="B18" s="52" t="str">
        <f ca="1">IFERROR(__xludf.DUMMYFUNCTION("""COMPUTED_VALUE"""),"г.о. Одинцово")</f>
        <v>г.о. Одинцово</v>
      </c>
      <c r="C18"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8" s="52" t="str">
        <f ca="1">IFERROR(__xludf.DUMMYFUNCTION("""COMPUTED_VALUE"""),"МинЖКХ")</f>
        <v>МинЖКХ</v>
      </c>
      <c r="E18" s="28" t="s">
        <v>84</v>
      </c>
      <c r="F18" s="52" t="str">
        <f ca="1">IFERROR(__xludf.DUMMYFUNCTION("""COMPUTED_VALUE"""),"ВЗУ")</f>
        <v>ВЗУ</v>
      </c>
      <c r="G18" s="52">
        <f ca="1">IFERROR(__xludf.DUMMYFUNCTION("""COMPUTED_VALUE"""),2024)</f>
        <v>2024</v>
      </c>
      <c r="H18" s="48"/>
      <c r="I18" s="48" t="str">
        <f ca="1">IFERROR(__xludf.DUMMYFUNCTION("""COMPUTED_VALUE"""),"СМР")</f>
        <v>СМР</v>
      </c>
      <c r="J18" s="48"/>
      <c r="K18" s="48"/>
      <c r="L18" s="48"/>
      <c r="M18" s="48"/>
      <c r="N18" s="48" t="str">
        <f ca="1">IFERROR(__xludf.DUMMYFUNCTION("""COMPUTED_VALUE"""),"10 1 G552430
")</f>
        <v xml:space="preserve">10 1 G552430
</v>
      </c>
      <c r="O18" s="48">
        <f ca="1">IFERROR(__xludf.DUMMYFUNCTION("""COMPUTED_VALUE"""),522)</f>
        <v>522</v>
      </c>
      <c r="P18" s="72">
        <f t="shared" ref="P18:R18" si="19">SUM(AH18,AN18,AT18,AZ18,BF18)</f>
        <v>140000</v>
      </c>
      <c r="Q18" s="72">
        <f t="shared" si="19"/>
        <v>65625</v>
      </c>
      <c r="R18" s="72">
        <f t="shared" si="19"/>
        <v>21875</v>
      </c>
      <c r="S18" s="53"/>
      <c r="T18" s="72">
        <f t="shared" si="1"/>
        <v>52500</v>
      </c>
      <c r="U18" s="53"/>
      <c r="V18" s="72"/>
      <c r="W18" s="72"/>
      <c r="X18" s="72"/>
      <c r="Y18" s="72"/>
      <c r="Z18" s="72"/>
      <c r="AA18" s="72"/>
      <c r="AB18" s="72"/>
      <c r="AC18" s="72"/>
      <c r="AD18" s="72"/>
      <c r="AE18" s="72"/>
      <c r="AF18" s="72"/>
      <c r="AG18" s="72"/>
      <c r="AH18" s="72">
        <f t="shared" si="2"/>
        <v>0</v>
      </c>
      <c r="AI18" s="71">
        <v>0</v>
      </c>
      <c r="AJ18" s="71">
        <v>0</v>
      </c>
      <c r="AK18" s="71"/>
      <c r="AL18" s="71">
        <v>0</v>
      </c>
      <c r="AM18" s="71"/>
      <c r="AN18" s="72">
        <f t="shared" si="3"/>
        <v>0</v>
      </c>
      <c r="AO18" s="71">
        <v>0</v>
      </c>
      <c r="AP18" s="71">
        <v>0</v>
      </c>
      <c r="AQ18" s="71"/>
      <c r="AR18" s="71">
        <v>0</v>
      </c>
      <c r="AS18" s="71"/>
      <c r="AT18" s="71">
        <f t="shared" si="4"/>
        <v>0</v>
      </c>
      <c r="AU18" s="71">
        <v>0</v>
      </c>
      <c r="AV18" s="71">
        <v>0</v>
      </c>
      <c r="AW18" s="71"/>
      <c r="AX18" s="71">
        <v>0</v>
      </c>
      <c r="AY18" s="71"/>
      <c r="AZ18" s="71">
        <f t="shared" si="5"/>
        <v>0</v>
      </c>
      <c r="BA18" s="71">
        <v>0</v>
      </c>
      <c r="BB18" s="71">
        <v>0</v>
      </c>
      <c r="BC18" s="71"/>
      <c r="BD18" s="71">
        <v>0</v>
      </c>
      <c r="BE18" s="71"/>
      <c r="BF18" s="71">
        <f t="shared" si="6"/>
        <v>140000</v>
      </c>
      <c r="BG18" s="71">
        <v>65625</v>
      </c>
      <c r="BH18" s="71">
        <v>21875</v>
      </c>
      <c r="BI18" s="71"/>
      <c r="BJ18" s="71">
        <v>52500</v>
      </c>
      <c r="BK18" s="71"/>
      <c r="BL18" s="20"/>
    </row>
    <row r="19" spans="1:64" ht="84" x14ac:dyDescent="0.2">
      <c r="A19" s="69">
        <v>15</v>
      </c>
      <c r="B19" s="52" t="str">
        <f ca="1">IFERROR(__xludf.DUMMYFUNCTION("""COMPUTED_VALUE"""),"г.о. Одинцово")</f>
        <v>г.о. Одинцово</v>
      </c>
      <c r="C19"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19" s="52" t="str">
        <f ca="1">IFERROR(__xludf.DUMMYFUNCTION("""COMPUTED_VALUE"""),"МинЖКХ")</f>
        <v>МинЖКХ</v>
      </c>
      <c r="E19" s="28" t="s">
        <v>85</v>
      </c>
      <c r="F19" s="52" t="str">
        <f ca="1">IFERROR(__xludf.DUMMYFUNCTION("""COMPUTED_VALUE"""),"ВЗУ")</f>
        <v>ВЗУ</v>
      </c>
      <c r="G19" s="52">
        <f ca="1">IFERROR(__xludf.DUMMYFUNCTION("""COMPUTED_VALUE"""),2024)</f>
        <v>2024</v>
      </c>
      <c r="H19" s="48"/>
      <c r="I19" s="48" t="str">
        <f ca="1">IFERROR(__xludf.DUMMYFUNCTION("""COMPUTED_VALUE"""),"СМР")</f>
        <v>СМР</v>
      </c>
      <c r="J19" s="48"/>
      <c r="K19" s="48"/>
      <c r="L19" s="48"/>
      <c r="M19" s="48"/>
      <c r="N19" s="48" t="str">
        <f ca="1">IFERROR(__xludf.DUMMYFUNCTION("""COMPUTED_VALUE"""),"10 1 G552430
")</f>
        <v xml:space="preserve">10 1 G552430
</v>
      </c>
      <c r="O19" s="48">
        <f ca="1">IFERROR(__xludf.DUMMYFUNCTION("""COMPUTED_VALUE"""),522)</f>
        <v>522</v>
      </c>
      <c r="P19" s="72">
        <f t="shared" ref="P19:R19" si="20">SUM(AH19,AN19,AT19,AZ19,BF19)</f>
        <v>140000</v>
      </c>
      <c r="Q19" s="72">
        <f t="shared" si="20"/>
        <v>65625</v>
      </c>
      <c r="R19" s="72">
        <f t="shared" si="20"/>
        <v>21875</v>
      </c>
      <c r="S19" s="53"/>
      <c r="T19" s="72">
        <f t="shared" si="1"/>
        <v>52500</v>
      </c>
      <c r="U19" s="53"/>
      <c r="V19" s="72"/>
      <c r="W19" s="72"/>
      <c r="X19" s="72"/>
      <c r="Y19" s="72"/>
      <c r="Z19" s="72"/>
      <c r="AA19" s="72"/>
      <c r="AB19" s="72"/>
      <c r="AC19" s="72"/>
      <c r="AD19" s="72"/>
      <c r="AE19" s="72"/>
      <c r="AF19" s="72"/>
      <c r="AG19" s="72"/>
      <c r="AH19" s="72">
        <f t="shared" si="2"/>
        <v>0</v>
      </c>
      <c r="AI19" s="71">
        <v>0</v>
      </c>
      <c r="AJ19" s="71">
        <v>0</v>
      </c>
      <c r="AK19" s="71"/>
      <c r="AL19" s="71">
        <v>0</v>
      </c>
      <c r="AM19" s="71"/>
      <c r="AN19" s="72">
        <f t="shared" si="3"/>
        <v>0</v>
      </c>
      <c r="AO19" s="71">
        <v>0</v>
      </c>
      <c r="AP19" s="71">
        <v>0</v>
      </c>
      <c r="AQ19" s="71"/>
      <c r="AR19" s="71">
        <v>0</v>
      </c>
      <c r="AS19" s="71"/>
      <c r="AT19" s="71">
        <f t="shared" si="4"/>
        <v>0</v>
      </c>
      <c r="AU19" s="71">
        <v>0</v>
      </c>
      <c r="AV19" s="71">
        <v>0</v>
      </c>
      <c r="AW19" s="71"/>
      <c r="AX19" s="71">
        <v>0</v>
      </c>
      <c r="AY19" s="71"/>
      <c r="AZ19" s="71">
        <f t="shared" si="5"/>
        <v>0</v>
      </c>
      <c r="BA19" s="71">
        <v>0</v>
      </c>
      <c r="BB19" s="71">
        <v>0</v>
      </c>
      <c r="BC19" s="71"/>
      <c r="BD19" s="71">
        <v>0</v>
      </c>
      <c r="BE19" s="71"/>
      <c r="BF19" s="71">
        <f t="shared" si="6"/>
        <v>140000</v>
      </c>
      <c r="BG19" s="71">
        <v>65625</v>
      </c>
      <c r="BH19" s="71">
        <v>21875</v>
      </c>
      <c r="BI19" s="71"/>
      <c r="BJ19" s="71">
        <v>52500</v>
      </c>
      <c r="BK19" s="71"/>
      <c r="BL19" s="20"/>
    </row>
    <row r="20" spans="1:64" ht="84" x14ac:dyDescent="0.2">
      <c r="A20" s="69">
        <v>16</v>
      </c>
      <c r="B20" s="52" t="str">
        <f ca="1">IFERROR(__xludf.DUMMYFUNCTION("""COMPUTED_VALUE"""),"г.о. Одинцово")</f>
        <v>г.о. Одинцово</v>
      </c>
      <c r="C20"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0" s="52" t="str">
        <f ca="1">IFERROR(__xludf.DUMMYFUNCTION("""COMPUTED_VALUE"""),"МинЖКХ")</f>
        <v>МинЖКХ</v>
      </c>
      <c r="E20" s="28" t="s">
        <v>86</v>
      </c>
      <c r="F20" s="52" t="str">
        <f ca="1">IFERROR(__xludf.DUMMYFUNCTION("""COMPUTED_VALUE"""),"ВЗУ")</f>
        <v>ВЗУ</v>
      </c>
      <c r="G20" s="52">
        <f ca="1">IFERROR(__xludf.DUMMYFUNCTION("""COMPUTED_VALUE"""),2024)</f>
        <v>2024</v>
      </c>
      <c r="H20" s="48"/>
      <c r="I20" s="48" t="str">
        <f ca="1">IFERROR(__xludf.DUMMYFUNCTION("""COMPUTED_VALUE"""),"СМР")</f>
        <v>СМР</v>
      </c>
      <c r="J20" s="48"/>
      <c r="K20" s="48"/>
      <c r="L20" s="48"/>
      <c r="M20" s="48"/>
      <c r="N20" s="48" t="str">
        <f ca="1">IFERROR(__xludf.DUMMYFUNCTION("""COMPUTED_VALUE"""),"10 1 G552430
")</f>
        <v xml:space="preserve">10 1 G552430
</v>
      </c>
      <c r="O20" s="48">
        <f ca="1">IFERROR(__xludf.DUMMYFUNCTION("""COMPUTED_VALUE"""),522)</f>
        <v>522</v>
      </c>
      <c r="P20" s="72">
        <f t="shared" ref="P20:R20" si="21">SUM(AH20,AN20,AT20,AZ20,BF20)</f>
        <v>286781.61</v>
      </c>
      <c r="Q20" s="72">
        <f t="shared" si="21"/>
        <v>134428.88</v>
      </c>
      <c r="R20" s="72">
        <f t="shared" si="21"/>
        <v>44809.63</v>
      </c>
      <c r="S20" s="53"/>
      <c r="T20" s="72">
        <f t="shared" si="1"/>
        <v>107543.1</v>
      </c>
      <c r="U20" s="53"/>
      <c r="V20" s="72"/>
      <c r="W20" s="72"/>
      <c r="X20" s="72"/>
      <c r="Y20" s="72"/>
      <c r="Z20" s="72"/>
      <c r="AA20" s="72"/>
      <c r="AB20" s="72"/>
      <c r="AC20" s="72"/>
      <c r="AD20" s="72"/>
      <c r="AE20" s="72"/>
      <c r="AF20" s="72"/>
      <c r="AG20" s="72"/>
      <c r="AH20" s="72">
        <f t="shared" si="2"/>
        <v>0</v>
      </c>
      <c r="AI20" s="71">
        <v>0</v>
      </c>
      <c r="AJ20" s="71">
        <v>0</v>
      </c>
      <c r="AK20" s="71"/>
      <c r="AL20" s="71">
        <v>0</v>
      </c>
      <c r="AM20" s="71"/>
      <c r="AN20" s="72">
        <f t="shared" si="3"/>
        <v>0</v>
      </c>
      <c r="AO20" s="71">
        <v>0</v>
      </c>
      <c r="AP20" s="71">
        <v>0</v>
      </c>
      <c r="AQ20" s="71"/>
      <c r="AR20" s="71">
        <v>0</v>
      </c>
      <c r="AS20" s="71"/>
      <c r="AT20" s="71">
        <f t="shared" si="4"/>
        <v>0</v>
      </c>
      <c r="AU20" s="71">
        <v>0</v>
      </c>
      <c r="AV20" s="71">
        <v>0</v>
      </c>
      <c r="AW20" s="71"/>
      <c r="AX20" s="71">
        <v>0</v>
      </c>
      <c r="AY20" s="71"/>
      <c r="AZ20" s="71">
        <f t="shared" si="5"/>
        <v>0</v>
      </c>
      <c r="BA20" s="71">
        <v>0</v>
      </c>
      <c r="BB20" s="71">
        <v>0</v>
      </c>
      <c r="BC20" s="71"/>
      <c r="BD20" s="71">
        <v>0</v>
      </c>
      <c r="BE20" s="71"/>
      <c r="BF20" s="71">
        <f t="shared" si="6"/>
        <v>286781.61</v>
      </c>
      <c r="BG20" s="71">
        <v>134428.88</v>
      </c>
      <c r="BH20" s="71">
        <v>44809.63</v>
      </c>
      <c r="BI20" s="71"/>
      <c r="BJ20" s="71">
        <v>107543.1</v>
      </c>
      <c r="BK20" s="71"/>
      <c r="BL20" s="20"/>
    </row>
    <row r="21" spans="1:64" ht="84" x14ac:dyDescent="0.2">
      <c r="A21" s="69">
        <v>17</v>
      </c>
      <c r="B21" s="52" t="str">
        <f ca="1">IFERROR(__xludf.DUMMYFUNCTION("""COMPUTED_VALUE"""),"г.о. Одинцово")</f>
        <v>г.о. Одинцово</v>
      </c>
      <c r="C21"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1" s="52" t="str">
        <f ca="1">IFERROR(__xludf.DUMMYFUNCTION("""COMPUTED_VALUE"""),"МинЖКХ")</f>
        <v>МинЖКХ</v>
      </c>
      <c r="E21" s="28" t="s">
        <v>87</v>
      </c>
      <c r="F21" s="52" t="str">
        <f ca="1">IFERROR(__xludf.DUMMYFUNCTION("""COMPUTED_VALUE"""),"ВЗУ")</f>
        <v>ВЗУ</v>
      </c>
      <c r="G21" s="52">
        <f ca="1">IFERROR(__xludf.DUMMYFUNCTION("""COMPUTED_VALUE"""),2024)</f>
        <v>2024</v>
      </c>
      <c r="H21" s="48"/>
      <c r="I21" s="48" t="str">
        <f ca="1">IFERROR(__xludf.DUMMYFUNCTION("""COMPUTED_VALUE"""),"СМР")</f>
        <v>СМР</v>
      </c>
      <c r="J21" s="48"/>
      <c r="K21" s="48"/>
      <c r="L21" s="48"/>
      <c r="M21" s="48"/>
      <c r="N21" s="48" t="str">
        <f ca="1">IFERROR(__xludf.DUMMYFUNCTION("""COMPUTED_VALUE"""),"10 1 G552430
")</f>
        <v xml:space="preserve">10 1 G552430
</v>
      </c>
      <c r="O21" s="48">
        <f ca="1">IFERROR(__xludf.DUMMYFUNCTION("""COMPUTED_VALUE"""),522)</f>
        <v>522</v>
      </c>
      <c r="P21" s="72">
        <f t="shared" ref="P21:R21" si="22">SUM(AH21,AN21,AT21,AZ21,BF21)</f>
        <v>178500.01</v>
      </c>
      <c r="Q21" s="72">
        <f t="shared" si="22"/>
        <v>83671.88</v>
      </c>
      <c r="R21" s="72">
        <f t="shared" si="22"/>
        <v>27890.63</v>
      </c>
      <c r="S21" s="53"/>
      <c r="T21" s="72">
        <f t="shared" si="1"/>
        <v>66937.5</v>
      </c>
      <c r="U21" s="53"/>
      <c r="V21" s="72"/>
      <c r="W21" s="72"/>
      <c r="X21" s="72"/>
      <c r="Y21" s="72"/>
      <c r="Z21" s="72"/>
      <c r="AA21" s="72"/>
      <c r="AB21" s="72"/>
      <c r="AC21" s="72"/>
      <c r="AD21" s="72"/>
      <c r="AE21" s="72"/>
      <c r="AF21" s="72"/>
      <c r="AG21" s="72"/>
      <c r="AH21" s="72">
        <f t="shared" si="2"/>
        <v>0</v>
      </c>
      <c r="AI21" s="71">
        <v>0</v>
      </c>
      <c r="AJ21" s="71">
        <v>0</v>
      </c>
      <c r="AK21" s="71"/>
      <c r="AL21" s="71">
        <v>0</v>
      </c>
      <c r="AM21" s="71"/>
      <c r="AN21" s="72">
        <f t="shared" si="3"/>
        <v>0</v>
      </c>
      <c r="AO21" s="71">
        <v>0</v>
      </c>
      <c r="AP21" s="71">
        <v>0</v>
      </c>
      <c r="AQ21" s="71"/>
      <c r="AR21" s="71">
        <v>0</v>
      </c>
      <c r="AS21" s="71"/>
      <c r="AT21" s="71">
        <f t="shared" si="4"/>
        <v>0</v>
      </c>
      <c r="AU21" s="71">
        <v>0</v>
      </c>
      <c r="AV21" s="71">
        <v>0</v>
      </c>
      <c r="AW21" s="71"/>
      <c r="AX21" s="71">
        <v>0</v>
      </c>
      <c r="AY21" s="71"/>
      <c r="AZ21" s="71">
        <f t="shared" si="5"/>
        <v>0</v>
      </c>
      <c r="BA21" s="71">
        <v>0</v>
      </c>
      <c r="BB21" s="71">
        <v>0</v>
      </c>
      <c r="BC21" s="71"/>
      <c r="BD21" s="71">
        <v>0</v>
      </c>
      <c r="BE21" s="71"/>
      <c r="BF21" s="71">
        <f t="shared" si="6"/>
        <v>178500.01</v>
      </c>
      <c r="BG21" s="71">
        <v>83671.88</v>
      </c>
      <c r="BH21" s="71">
        <v>27890.63</v>
      </c>
      <c r="BI21" s="71"/>
      <c r="BJ21" s="71">
        <v>66937.5</v>
      </c>
      <c r="BK21" s="71"/>
      <c r="BL21" s="20"/>
    </row>
    <row r="22" spans="1:64" ht="84" x14ac:dyDescent="0.2">
      <c r="A22" s="69">
        <v>18</v>
      </c>
      <c r="B22" s="52" t="str">
        <f ca="1">IFERROR(__xludf.DUMMYFUNCTION("""COMPUTED_VALUE"""),"г.о. Одинцово")</f>
        <v>г.о. Одинцово</v>
      </c>
      <c r="C22"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2" s="52" t="str">
        <f ca="1">IFERROR(__xludf.DUMMYFUNCTION("""COMPUTED_VALUE"""),"МинЖКХ")</f>
        <v>МинЖКХ</v>
      </c>
      <c r="E22" s="28" t="s">
        <v>88</v>
      </c>
      <c r="F22" s="52" t="str">
        <f ca="1">IFERROR(__xludf.DUMMYFUNCTION("""COMPUTED_VALUE"""),"ВЗУ")</f>
        <v>ВЗУ</v>
      </c>
      <c r="G22" s="52">
        <f ca="1">IFERROR(__xludf.DUMMYFUNCTION("""COMPUTED_VALUE"""),2024)</f>
        <v>2024</v>
      </c>
      <c r="H22" s="48"/>
      <c r="I22" s="48" t="str">
        <f ca="1">IFERROR(__xludf.DUMMYFUNCTION("""COMPUTED_VALUE"""),"СМР")</f>
        <v>СМР</v>
      </c>
      <c r="J22" s="48"/>
      <c r="K22" s="48"/>
      <c r="L22" s="48"/>
      <c r="M22" s="48"/>
      <c r="N22" s="48" t="str">
        <f ca="1">IFERROR(__xludf.DUMMYFUNCTION("""COMPUTED_VALUE"""),"10 1 G552430
")</f>
        <v xml:space="preserve">10 1 G552430
</v>
      </c>
      <c r="O22" s="48">
        <f ca="1">IFERROR(__xludf.DUMMYFUNCTION("""COMPUTED_VALUE"""),522)</f>
        <v>522</v>
      </c>
      <c r="P22" s="72">
        <f t="shared" ref="P22:R22" si="23">SUM(AH22,AN22,AT22,AZ22,BF22)</f>
        <v>155750</v>
      </c>
      <c r="Q22" s="72">
        <f t="shared" si="23"/>
        <v>73007.81</v>
      </c>
      <c r="R22" s="72">
        <f t="shared" si="23"/>
        <v>24335.94</v>
      </c>
      <c r="S22" s="53"/>
      <c r="T22" s="72">
        <f t="shared" si="1"/>
        <v>58406.25</v>
      </c>
      <c r="U22" s="53"/>
      <c r="V22" s="72"/>
      <c r="W22" s="72"/>
      <c r="X22" s="72"/>
      <c r="Y22" s="72"/>
      <c r="Z22" s="72"/>
      <c r="AA22" s="72"/>
      <c r="AB22" s="72"/>
      <c r="AC22" s="72"/>
      <c r="AD22" s="72"/>
      <c r="AE22" s="72"/>
      <c r="AF22" s="72"/>
      <c r="AG22" s="72"/>
      <c r="AH22" s="72">
        <f t="shared" si="2"/>
        <v>0</v>
      </c>
      <c r="AI22" s="71">
        <v>0</v>
      </c>
      <c r="AJ22" s="71">
        <v>0</v>
      </c>
      <c r="AK22" s="71"/>
      <c r="AL22" s="71">
        <v>0</v>
      </c>
      <c r="AM22" s="71"/>
      <c r="AN22" s="72">
        <f t="shared" si="3"/>
        <v>0</v>
      </c>
      <c r="AO22" s="71">
        <v>0</v>
      </c>
      <c r="AP22" s="71">
        <v>0</v>
      </c>
      <c r="AQ22" s="71"/>
      <c r="AR22" s="71">
        <v>0</v>
      </c>
      <c r="AS22" s="71"/>
      <c r="AT22" s="71">
        <f t="shared" si="4"/>
        <v>0</v>
      </c>
      <c r="AU22" s="71">
        <v>0</v>
      </c>
      <c r="AV22" s="71">
        <v>0</v>
      </c>
      <c r="AW22" s="71"/>
      <c r="AX22" s="71">
        <v>0</v>
      </c>
      <c r="AY22" s="71"/>
      <c r="AZ22" s="71">
        <f t="shared" si="5"/>
        <v>0</v>
      </c>
      <c r="BA22" s="71">
        <v>0</v>
      </c>
      <c r="BB22" s="71">
        <v>0</v>
      </c>
      <c r="BC22" s="71"/>
      <c r="BD22" s="71">
        <v>0</v>
      </c>
      <c r="BE22" s="71"/>
      <c r="BF22" s="71">
        <f t="shared" si="6"/>
        <v>155750</v>
      </c>
      <c r="BG22" s="71">
        <v>73007.81</v>
      </c>
      <c r="BH22" s="71">
        <v>24335.94</v>
      </c>
      <c r="BI22" s="71"/>
      <c r="BJ22" s="71">
        <v>58406.25</v>
      </c>
      <c r="BK22" s="71"/>
      <c r="BL22" s="20"/>
    </row>
    <row r="23" spans="1:64" ht="84" x14ac:dyDescent="0.2">
      <c r="A23" s="69">
        <v>19</v>
      </c>
      <c r="B23" s="52" t="str">
        <f ca="1">IFERROR(__xludf.DUMMYFUNCTION("""COMPUTED_VALUE"""),"г.о. Одинцово")</f>
        <v>г.о. Одинцово</v>
      </c>
      <c r="C23"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3" s="52" t="str">
        <f ca="1">IFERROR(__xludf.DUMMYFUNCTION("""COMPUTED_VALUE"""),"МинЖКХ")</f>
        <v>МинЖКХ</v>
      </c>
      <c r="E23" s="28" t="s">
        <v>89</v>
      </c>
      <c r="F23" s="52" t="str">
        <f ca="1">IFERROR(__xludf.DUMMYFUNCTION("""COMPUTED_VALUE"""),"ВЗУ")</f>
        <v>ВЗУ</v>
      </c>
      <c r="G23" s="52">
        <f ca="1">IFERROR(__xludf.DUMMYFUNCTION("""COMPUTED_VALUE"""),2024)</f>
        <v>2024</v>
      </c>
      <c r="H23" s="48"/>
      <c r="I23" s="48" t="str">
        <f ca="1">IFERROR(__xludf.DUMMYFUNCTION("""COMPUTED_VALUE"""),"СМР")</f>
        <v>СМР</v>
      </c>
      <c r="J23" s="48"/>
      <c r="K23" s="48"/>
      <c r="L23" s="48"/>
      <c r="M23" s="48"/>
      <c r="N23" s="48" t="str">
        <f ca="1">IFERROR(__xludf.DUMMYFUNCTION("""COMPUTED_VALUE"""),"10 1 G552430
")</f>
        <v xml:space="preserve">10 1 G552430
</v>
      </c>
      <c r="O23" s="48">
        <f ca="1">IFERROR(__xludf.DUMMYFUNCTION("""COMPUTED_VALUE"""),522)</f>
        <v>522</v>
      </c>
      <c r="P23" s="72">
        <f t="shared" ref="P23:R23" si="24">SUM(AH23,AN23,AT23,AZ23,BF23)</f>
        <v>150150</v>
      </c>
      <c r="Q23" s="72">
        <f t="shared" si="24"/>
        <v>70382.81</v>
      </c>
      <c r="R23" s="72">
        <f t="shared" si="24"/>
        <v>23460.94</v>
      </c>
      <c r="S23" s="53"/>
      <c r="T23" s="72">
        <f t="shared" si="1"/>
        <v>56306.25</v>
      </c>
      <c r="U23" s="53"/>
      <c r="V23" s="72"/>
      <c r="W23" s="72"/>
      <c r="X23" s="72"/>
      <c r="Y23" s="72"/>
      <c r="Z23" s="72"/>
      <c r="AA23" s="72"/>
      <c r="AB23" s="72"/>
      <c r="AC23" s="72"/>
      <c r="AD23" s="72"/>
      <c r="AE23" s="72"/>
      <c r="AF23" s="72"/>
      <c r="AG23" s="72"/>
      <c r="AH23" s="72">
        <f t="shared" si="2"/>
        <v>0</v>
      </c>
      <c r="AI23" s="71">
        <v>0</v>
      </c>
      <c r="AJ23" s="71">
        <v>0</v>
      </c>
      <c r="AK23" s="71"/>
      <c r="AL23" s="71">
        <v>0</v>
      </c>
      <c r="AM23" s="71"/>
      <c r="AN23" s="72">
        <f t="shared" si="3"/>
        <v>0</v>
      </c>
      <c r="AO23" s="71">
        <v>0</v>
      </c>
      <c r="AP23" s="71">
        <v>0</v>
      </c>
      <c r="AQ23" s="71"/>
      <c r="AR23" s="71">
        <v>0</v>
      </c>
      <c r="AS23" s="71"/>
      <c r="AT23" s="71">
        <f t="shared" si="4"/>
        <v>0</v>
      </c>
      <c r="AU23" s="71">
        <v>0</v>
      </c>
      <c r="AV23" s="71">
        <v>0</v>
      </c>
      <c r="AW23" s="71"/>
      <c r="AX23" s="71">
        <v>0</v>
      </c>
      <c r="AY23" s="71"/>
      <c r="AZ23" s="71">
        <f t="shared" si="5"/>
        <v>0</v>
      </c>
      <c r="BA23" s="71">
        <v>0</v>
      </c>
      <c r="BB23" s="71">
        <v>0</v>
      </c>
      <c r="BC23" s="71"/>
      <c r="BD23" s="71">
        <v>0</v>
      </c>
      <c r="BE23" s="71"/>
      <c r="BF23" s="71">
        <f t="shared" si="6"/>
        <v>150150</v>
      </c>
      <c r="BG23" s="71">
        <v>70382.81</v>
      </c>
      <c r="BH23" s="71">
        <v>23460.94</v>
      </c>
      <c r="BI23" s="71"/>
      <c r="BJ23" s="71">
        <v>56306.25</v>
      </c>
      <c r="BK23" s="71"/>
      <c r="BL23" s="20"/>
    </row>
    <row r="24" spans="1:64" ht="84" x14ac:dyDescent="0.2">
      <c r="A24" s="69">
        <v>20</v>
      </c>
      <c r="B24" s="52" t="str">
        <f ca="1">IFERROR(__xludf.DUMMYFUNCTION("""COMPUTED_VALUE"""),"г.о. Одинцово")</f>
        <v>г.о. Одинцово</v>
      </c>
      <c r="C24"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4" s="52" t="str">
        <f ca="1">IFERROR(__xludf.DUMMYFUNCTION("""COMPUTED_VALUE"""),"МинЖКХ")</f>
        <v>МинЖКХ</v>
      </c>
      <c r="E24" s="28" t="s">
        <v>90</v>
      </c>
      <c r="F24" s="52" t="str">
        <f ca="1">IFERROR(__xludf.DUMMYFUNCTION("""COMPUTED_VALUE"""),"ВЗУ")</f>
        <v>ВЗУ</v>
      </c>
      <c r="G24" s="52">
        <f ca="1">IFERROR(__xludf.DUMMYFUNCTION("""COMPUTED_VALUE"""),2024)</f>
        <v>2024</v>
      </c>
      <c r="H24" s="48"/>
      <c r="I24" s="48" t="str">
        <f ca="1">IFERROR(__xludf.DUMMYFUNCTION("""COMPUTED_VALUE"""),"СМР")</f>
        <v>СМР</v>
      </c>
      <c r="J24" s="48"/>
      <c r="K24" s="48"/>
      <c r="L24" s="48"/>
      <c r="M24" s="48"/>
      <c r="N24" s="48" t="str">
        <f ca="1">IFERROR(__xludf.DUMMYFUNCTION("""COMPUTED_VALUE"""),"10 1 G552430
")</f>
        <v xml:space="preserve">10 1 G552430
</v>
      </c>
      <c r="O24" s="48">
        <f ca="1">IFERROR(__xludf.DUMMYFUNCTION("""COMPUTED_VALUE"""),522)</f>
        <v>522</v>
      </c>
      <c r="P24" s="72">
        <f t="shared" ref="P24:R24" si="25">SUM(AH24,AN24,AT24,AZ24,BF24)</f>
        <v>140000</v>
      </c>
      <c r="Q24" s="72">
        <f t="shared" si="25"/>
        <v>65625</v>
      </c>
      <c r="R24" s="72">
        <f t="shared" si="25"/>
        <v>21875</v>
      </c>
      <c r="S24" s="53"/>
      <c r="T24" s="72">
        <f t="shared" si="1"/>
        <v>52500</v>
      </c>
      <c r="U24" s="53"/>
      <c r="V24" s="72"/>
      <c r="W24" s="72"/>
      <c r="X24" s="72"/>
      <c r="Y24" s="72"/>
      <c r="Z24" s="72"/>
      <c r="AA24" s="72"/>
      <c r="AB24" s="72"/>
      <c r="AC24" s="72"/>
      <c r="AD24" s="72"/>
      <c r="AE24" s="72"/>
      <c r="AF24" s="72"/>
      <c r="AG24" s="72"/>
      <c r="AH24" s="72">
        <f t="shared" si="2"/>
        <v>0</v>
      </c>
      <c r="AI24" s="71">
        <v>0</v>
      </c>
      <c r="AJ24" s="71">
        <v>0</v>
      </c>
      <c r="AK24" s="71"/>
      <c r="AL24" s="71">
        <v>0</v>
      </c>
      <c r="AM24" s="71"/>
      <c r="AN24" s="72">
        <f t="shared" si="3"/>
        <v>0</v>
      </c>
      <c r="AO24" s="71">
        <v>0</v>
      </c>
      <c r="AP24" s="71">
        <v>0</v>
      </c>
      <c r="AQ24" s="71"/>
      <c r="AR24" s="71">
        <v>0</v>
      </c>
      <c r="AS24" s="71"/>
      <c r="AT24" s="71">
        <f t="shared" si="4"/>
        <v>0</v>
      </c>
      <c r="AU24" s="71">
        <v>0</v>
      </c>
      <c r="AV24" s="71">
        <v>0</v>
      </c>
      <c r="AW24" s="71"/>
      <c r="AX24" s="71">
        <v>0</v>
      </c>
      <c r="AY24" s="71"/>
      <c r="AZ24" s="71">
        <f t="shared" si="5"/>
        <v>0</v>
      </c>
      <c r="BA24" s="71">
        <v>0</v>
      </c>
      <c r="BB24" s="71">
        <v>0</v>
      </c>
      <c r="BC24" s="71"/>
      <c r="BD24" s="71">
        <v>0</v>
      </c>
      <c r="BE24" s="71"/>
      <c r="BF24" s="71">
        <f t="shared" si="6"/>
        <v>140000</v>
      </c>
      <c r="BG24" s="71">
        <v>65625</v>
      </c>
      <c r="BH24" s="71">
        <v>21875</v>
      </c>
      <c r="BI24" s="71"/>
      <c r="BJ24" s="71">
        <v>52500</v>
      </c>
      <c r="BK24" s="71"/>
      <c r="BL24" s="20"/>
    </row>
    <row r="25" spans="1:64" ht="84" x14ac:dyDescent="0.2">
      <c r="A25" s="69">
        <v>21</v>
      </c>
      <c r="B25" s="52" t="str">
        <f ca="1">IFERROR(__xludf.DUMMYFUNCTION("""COMPUTED_VALUE"""),"г.о. Одинцово")</f>
        <v>г.о. Одинцово</v>
      </c>
      <c r="C25"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5" s="52" t="str">
        <f ca="1">IFERROR(__xludf.DUMMYFUNCTION("""COMPUTED_VALUE"""),"МинЖКХ")</f>
        <v>МинЖКХ</v>
      </c>
      <c r="E25" s="28" t="s">
        <v>91</v>
      </c>
      <c r="F25" s="52" t="str">
        <f ca="1">IFERROR(__xludf.DUMMYFUNCTION("""COMPUTED_VALUE"""),"ВЗУ")</f>
        <v>ВЗУ</v>
      </c>
      <c r="G25" s="52">
        <f ca="1">IFERROR(__xludf.DUMMYFUNCTION("""COMPUTED_VALUE"""),2024)</f>
        <v>2024</v>
      </c>
      <c r="H25" s="48"/>
      <c r="I25" s="48" t="str">
        <f ca="1">IFERROR(__xludf.DUMMYFUNCTION("""COMPUTED_VALUE"""),"СМР")</f>
        <v>СМР</v>
      </c>
      <c r="J25" s="48"/>
      <c r="K25" s="48"/>
      <c r="L25" s="48"/>
      <c r="M25" s="48"/>
      <c r="N25" s="48" t="str">
        <f ca="1">IFERROR(__xludf.DUMMYFUNCTION("""COMPUTED_VALUE"""),"10 1 G552430
")</f>
        <v xml:space="preserve">10 1 G552430
</v>
      </c>
      <c r="O25" s="48">
        <f ca="1">IFERROR(__xludf.DUMMYFUNCTION("""COMPUTED_VALUE"""),522)</f>
        <v>522</v>
      </c>
      <c r="P25" s="72">
        <f t="shared" ref="P25:R25" si="26">SUM(AH25,AN25,AT25,AZ25,BF25)</f>
        <v>45500.01</v>
      </c>
      <c r="Q25" s="72">
        <f t="shared" si="26"/>
        <v>21328.13</v>
      </c>
      <c r="R25" s="72">
        <f t="shared" si="26"/>
        <v>7109.38</v>
      </c>
      <c r="S25" s="53"/>
      <c r="T25" s="72">
        <f t="shared" si="1"/>
        <v>17062.5</v>
      </c>
      <c r="U25" s="53"/>
      <c r="V25" s="72"/>
      <c r="W25" s="72"/>
      <c r="X25" s="72"/>
      <c r="Y25" s="72"/>
      <c r="Z25" s="72"/>
      <c r="AA25" s="72"/>
      <c r="AB25" s="72"/>
      <c r="AC25" s="72"/>
      <c r="AD25" s="72"/>
      <c r="AE25" s="72"/>
      <c r="AF25" s="72"/>
      <c r="AG25" s="72"/>
      <c r="AH25" s="72">
        <f t="shared" si="2"/>
        <v>0</v>
      </c>
      <c r="AI25" s="71">
        <v>0</v>
      </c>
      <c r="AJ25" s="71">
        <v>0</v>
      </c>
      <c r="AK25" s="71"/>
      <c r="AL25" s="71">
        <v>0</v>
      </c>
      <c r="AM25" s="71"/>
      <c r="AN25" s="72">
        <f t="shared" si="3"/>
        <v>0</v>
      </c>
      <c r="AO25" s="71">
        <v>0</v>
      </c>
      <c r="AP25" s="71">
        <v>0</v>
      </c>
      <c r="AQ25" s="71"/>
      <c r="AR25" s="71">
        <v>0</v>
      </c>
      <c r="AS25" s="71"/>
      <c r="AT25" s="71">
        <f t="shared" si="4"/>
        <v>0</v>
      </c>
      <c r="AU25" s="71">
        <v>0</v>
      </c>
      <c r="AV25" s="71">
        <v>0</v>
      </c>
      <c r="AW25" s="71"/>
      <c r="AX25" s="71">
        <v>0</v>
      </c>
      <c r="AY25" s="71"/>
      <c r="AZ25" s="71">
        <f t="shared" si="5"/>
        <v>0</v>
      </c>
      <c r="BA25" s="71">
        <v>0</v>
      </c>
      <c r="BB25" s="71">
        <v>0</v>
      </c>
      <c r="BC25" s="71"/>
      <c r="BD25" s="71">
        <v>0</v>
      </c>
      <c r="BE25" s="71"/>
      <c r="BF25" s="71">
        <f t="shared" si="6"/>
        <v>45500.01</v>
      </c>
      <c r="BG25" s="71">
        <v>21328.13</v>
      </c>
      <c r="BH25" s="71">
        <v>7109.38</v>
      </c>
      <c r="BI25" s="71"/>
      <c r="BJ25" s="71">
        <v>17062.5</v>
      </c>
      <c r="BK25" s="71"/>
      <c r="BL25" s="20"/>
    </row>
    <row r="26" spans="1:64" ht="84" x14ac:dyDescent="0.2">
      <c r="A26" s="69">
        <v>22</v>
      </c>
      <c r="B26" s="52" t="str">
        <f ca="1">IFERROR(__xludf.DUMMYFUNCTION("""COMPUTED_VALUE"""),"г.о. Одинцово")</f>
        <v>г.о. Одинцово</v>
      </c>
      <c r="C26"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6" s="52" t="str">
        <f ca="1">IFERROR(__xludf.DUMMYFUNCTION("""COMPUTED_VALUE"""),"МинЖКХ")</f>
        <v>МинЖКХ</v>
      </c>
      <c r="E26" s="28" t="s">
        <v>92</v>
      </c>
      <c r="F26" s="52" t="str">
        <f ca="1">IFERROR(__xludf.DUMMYFUNCTION("""COMPUTED_VALUE"""),"ВЗУ")</f>
        <v>ВЗУ</v>
      </c>
      <c r="G26" s="52">
        <f ca="1">IFERROR(__xludf.DUMMYFUNCTION("""COMPUTED_VALUE"""),2024)</f>
        <v>2024</v>
      </c>
      <c r="H26" s="48"/>
      <c r="I26" s="48" t="str">
        <f ca="1">IFERROR(__xludf.DUMMYFUNCTION("""COMPUTED_VALUE"""),"СМР")</f>
        <v>СМР</v>
      </c>
      <c r="J26" s="48"/>
      <c r="K26" s="48"/>
      <c r="L26" s="48"/>
      <c r="M26" s="48"/>
      <c r="N26" s="48" t="str">
        <f ca="1">IFERROR(__xludf.DUMMYFUNCTION("""COMPUTED_VALUE"""),"10 1 G552430
")</f>
        <v xml:space="preserve">10 1 G552430
</v>
      </c>
      <c r="O26" s="48">
        <f ca="1">IFERROR(__xludf.DUMMYFUNCTION("""COMPUTED_VALUE"""),522)</f>
        <v>522</v>
      </c>
      <c r="P26" s="72">
        <f t="shared" ref="P26:R26" si="27">SUM(AH26,AN26,AT26,AZ26,BF26)</f>
        <v>44000</v>
      </c>
      <c r="Q26" s="72">
        <f t="shared" si="27"/>
        <v>20625</v>
      </c>
      <c r="R26" s="72">
        <f t="shared" si="27"/>
        <v>6875</v>
      </c>
      <c r="S26" s="53"/>
      <c r="T26" s="72">
        <f t="shared" si="1"/>
        <v>16500</v>
      </c>
      <c r="U26" s="53"/>
      <c r="V26" s="72"/>
      <c r="W26" s="72"/>
      <c r="X26" s="72"/>
      <c r="Y26" s="72"/>
      <c r="Z26" s="72"/>
      <c r="AA26" s="72"/>
      <c r="AB26" s="72"/>
      <c r="AC26" s="72"/>
      <c r="AD26" s="72"/>
      <c r="AE26" s="72"/>
      <c r="AF26" s="72"/>
      <c r="AG26" s="72"/>
      <c r="AH26" s="72">
        <f t="shared" si="2"/>
        <v>0</v>
      </c>
      <c r="AI26" s="71">
        <v>0</v>
      </c>
      <c r="AJ26" s="71">
        <v>0</v>
      </c>
      <c r="AK26" s="71"/>
      <c r="AL26" s="71">
        <v>0</v>
      </c>
      <c r="AM26" s="71"/>
      <c r="AN26" s="72">
        <f t="shared" si="3"/>
        <v>0</v>
      </c>
      <c r="AO26" s="71">
        <v>0</v>
      </c>
      <c r="AP26" s="71">
        <v>0</v>
      </c>
      <c r="AQ26" s="71"/>
      <c r="AR26" s="71">
        <v>0</v>
      </c>
      <c r="AS26" s="71"/>
      <c r="AT26" s="71">
        <f t="shared" si="4"/>
        <v>0</v>
      </c>
      <c r="AU26" s="71">
        <v>0</v>
      </c>
      <c r="AV26" s="71">
        <v>0</v>
      </c>
      <c r="AW26" s="71"/>
      <c r="AX26" s="71">
        <v>0</v>
      </c>
      <c r="AY26" s="71"/>
      <c r="AZ26" s="71">
        <f t="shared" si="5"/>
        <v>0</v>
      </c>
      <c r="BA26" s="71">
        <v>0</v>
      </c>
      <c r="BB26" s="71">
        <v>0</v>
      </c>
      <c r="BC26" s="71"/>
      <c r="BD26" s="71">
        <v>0</v>
      </c>
      <c r="BE26" s="71"/>
      <c r="BF26" s="71">
        <f t="shared" si="6"/>
        <v>44000</v>
      </c>
      <c r="BG26" s="71">
        <v>20625</v>
      </c>
      <c r="BH26" s="71">
        <v>6875</v>
      </c>
      <c r="BI26" s="71"/>
      <c r="BJ26" s="71">
        <v>16500</v>
      </c>
      <c r="BK26" s="71"/>
      <c r="BL26" s="20"/>
    </row>
    <row r="27" spans="1:64" ht="84" x14ac:dyDescent="0.2">
      <c r="A27" s="69">
        <v>23</v>
      </c>
      <c r="B27" s="52" t="str">
        <f ca="1">IFERROR(__xludf.DUMMYFUNCTION("""COMPUTED_VALUE"""),"г.о. Одинцово")</f>
        <v>г.о. Одинцово</v>
      </c>
      <c r="C27"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7" s="52" t="str">
        <f ca="1">IFERROR(__xludf.DUMMYFUNCTION("""COMPUTED_VALUE"""),"МинЖКХ")</f>
        <v>МинЖКХ</v>
      </c>
      <c r="E27" s="28" t="s">
        <v>93</v>
      </c>
      <c r="F27" s="52" t="str">
        <f ca="1">IFERROR(__xludf.DUMMYFUNCTION("""COMPUTED_VALUE"""),"ВЗУ")</f>
        <v>ВЗУ</v>
      </c>
      <c r="G27" s="52">
        <f ca="1">IFERROR(__xludf.DUMMYFUNCTION("""COMPUTED_VALUE"""),2024)</f>
        <v>2024</v>
      </c>
      <c r="H27" s="48"/>
      <c r="I27" s="48" t="str">
        <f ca="1">IFERROR(__xludf.DUMMYFUNCTION("""COMPUTED_VALUE"""),"СМР")</f>
        <v>СМР</v>
      </c>
      <c r="J27" s="48"/>
      <c r="K27" s="48"/>
      <c r="L27" s="48"/>
      <c r="M27" s="48"/>
      <c r="N27" s="48" t="str">
        <f ca="1">IFERROR(__xludf.DUMMYFUNCTION("""COMPUTED_VALUE"""),"10 1 G552430
")</f>
        <v xml:space="preserve">10 1 G552430
</v>
      </c>
      <c r="O27" s="48">
        <f ca="1">IFERROR(__xludf.DUMMYFUNCTION("""COMPUTED_VALUE"""),522)</f>
        <v>522</v>
      </c>
      <c r="P27" s="72">
        <f t="shared" ref="P27:R27" si="28">SUM(AH27,AN27,AT27,AZ27,BF27)</f>
        <v>44000</v>
      </c>
      <c r="Q27" s="72">
        <f t="shared" si="28"/>
        <v>20625</v>
      </c>
      <c r="R27" s="72">
        <f t="shared" si="28"/>
        <v>6875</v>
      </c>
      <c r="S27" s="53"/>
      <c r="T27" s="72">
        <f t="shared" si="1"/>
        <v>16500</v>
      </c>
      <c r="U27" s="53"/>
      <c r="V27" s="72"/>
      <c r="W27" s="72"/>
      <c r="X27" s="72"/>
      <c r="Y27" s="72"/>
      <c r="Z27" s="72"/>
      <c r="AA27" s="72"/>
      <c r="AB27" s="72"/>
      <c r="AC27" s="72"/>
      <c r="AD27" s="72"/>
      <c r="AE27" s="72"/>
      <c r="AF27" s="72"/>
      <c r="AG27" s="72"/>
      <c r="AH27" s="72">
        <f t="shared" si="2"/>
        <v>0</v>
      </c>
      <c r="AI27" s="71">
        <v>0</v>
      </c>
      <c r="AJ27" s="71">
        <v>0</v>
      </c>
      <c r="AK27" s="71"/>
      <c r="AL27" s="71">
        <v>0</v>
      </c>
      <c r="AM27" s="71"/>
      <c r="AN27" s="72">
        <f t="shared" si="3"/>
        <v>0</v>
      </c>
      <c r="AO27" s="71">
        <v>0</v>
      </c>
      <c r="AP27" s="71">
        <v>0</v>
      </c>
      <c r="AQ27" s="71"/>
      <c r="AR27" s="71">
        <v>0</v>
      </c>
      <c r="AS27" s="71"/>
      <c r="AT27" s="71">
        <f t="shared" si="4"/>
        <v>0</v>
      </c>
      <c r="AU27" s="71">
        <v>0</v>
      </c>
      <c r="AV27" s="71">
        <v>0</v>
      </c>
      <c r="AW27" s="71"/>
      <c r="AX27" s="71">
        <v>0</v>
      </c>
      <c r="AY27" s="71"/>
      <c r="AZ27" s="71">
        <f t="shared" si="5"/>
        <v>0</v>
      </c>
      <c r="BA27" s="71">
        <v>0</v>
      </c>
      <c r="BB27" s="71">
        <v>0</v>
      </c>
      <c r="BC27" s="71"/>
      <c r="BD27" s="71">
        <v>0</v>
      </c>
      <c r="BE27" s="71"/>
      <c r="BF27" s="71">
        <f t="shared" si="6"/>
        <v>44000</v>
      </c>
      <c r="BG27" s="71">
        <v>20625</v>
      </c>
      <c r="BH27" s="71">
        <v>6875</v>
      </c>
      <c r="BI27" s="71"/>
      <c r="BJ27" s="71">
        <v>16500</v>
      </c>
      <c r="BK27" s="71"/>
      <c r="BL27" s="20"/>
    </row>
    <row r="28" spans="1:64" ht="84" x14ac:dyDescent="0.2">
      <c r="A28" s="69">
        <v>24</v>
      </c>
      <c r="B28" s="52" t="str">
        <f ca="1">IFERROR(__xludf.DUMMYFUNCTION("""COMPUTED_VALUE"""),"г.о. Одинцово")</f>
        <v>г.о. Одинцово</v>
      </c>
      <c r="C28"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8" s="52" t="str">
        <f ca="1">IFERROR(__xludf.DUMMYFUNCTION("""COMPUTED_VALUE"""),"МинЖКХ")</f>
        <v>МинЖКХ</v>
      </c>
      <c r="E28" s="28" t="s">
        <v>94</v>
      </c>
      <c r="F28" s="52" t="str">
        <f ca="1">IFERROR(__xludf.DUMMYFUNCTION("""COMPUTED_VALUE"""),"ВЗУ")</f>
        <v>ВЗУ</v>
      </c>
      <c r="G28" s="52">
        <f ca="1">IFERROR(__xludf.DUMMYFUNCTION("""COMPUTED_VALUE"""),2024)</f>
        <v>2024</v>
      </c>
      <c r="H28" s="48"/>
      <c r="I28" s="48" t="str">
        <f ca="1">IFERROR(__xludf.DUMMYFUNCTION("""COMPUTED_VALUE"""),"СМР")</f>
        <v>СМР</v>
      </c>
      <c r="J28" s="48"/>
      <c r="K28" s="48"/>
      <c r="L28" s="48"/>
      <c r="M28" s="48"/>
      <c r="N28" s="48" t="str">
        <f ca="1">IFERROR(__xludf.DUMMYFUNCTION("""COMPUTED_VALUE"""),"10 1 G552430
")</f>
        <v xml:space="preserve">10 1 G552430
</v>
      </c>
      <c r="O28" s="48">
        <f ca="1">IFERROR(__xludf.DUMMYFUNCTION("""COMPUTED_VALUE"""),522)</f>
        <v>522</v>
      </c>
      <c r="P28" s="72">
        <f t="shared" ref="P28:R28" si="29">SUM(AH28,AN28,AT28,AZ28,BF28)</f>
        <v>44000</v>
      </c>
      <c r="Q28" s="72">
        <f t="shared" si="29"/>
        <v>20625</v>
      </c>
      <c r="R28" s="72">
        <f t="shared" si="29"/>
        <v>6875</v>
      </c>
      <c r="S28" s="53"/>
      <c r="T28" s="72">
        <f t="shared" si="1"/>
        <v>16500</v>
      </c>
      <c r="U28" s="53"/>
      <c r="V28" s="72"/>
      <c r="W28" s="72"/>
      <c r="X28" s="72"/>
      <c r="Y28" s="72"/>
      <c r="Z28" s="72"/>
      <c r="AA28" s="72"/>
      <c r="AB28" s="72"/>
      <c r="AC28" s="72"/>
      <c r="AD28" s="72"/>
      <c r="AE28" s="72"/>
      <c r="AF28" s="72"/>
      <c r="AG28" s="72"/>
      <c r="AH28" s="72">
        <f t="shared" si="2"/>
        <v>0</v>
      </c>
      <c r="AI28" s="71">
        <v>0</v>
      </c>
      <c r="AJ28" s="71">
        <v>0</v>
      </c>
      <c r="AK28" s="71"/>
      <c r="AL28" s="71">
        <v>0</v>
      </c>
      <c r="AM28" s="71"/>
      <c r="AN28" s="72">
        <f t="shared" si="3"/>
        <v>0</v>
      </c>
      <c r="AO28" s="71">
        <v>0</v>
      </c>
      <c r="AP28" s="71">
        <v>0</v>
      </c>
      <c r="AQ28" s="71"/>
      <c r="AR28" s="71">
        <v>0</v>
      </c>
      <c r="AS28" s="71"/>
      <c r="AT28" s="71">
        <f t="shared" si="4"/>
        <v>0</v>
      </c>
      <c r="AU28" s="71">
        <v>0</v>
      </c>
      <c r="AV28" s="71">
        <v>0</v>
      </c>
      <c r="AW28" s="71"/>
      <c r="AX28" s="71">
        <v>0</v>
      </c>
      <c r="AY28" s="71"/>
      <c r="AZ28" s="71">
        <f t="shared" si="5"/>
        <v>0</v>
      </c>
      <c r="BA28" s="71">
        <v>0</v>
      </c>
      <c r="BB28" s="71">
        <v>0</v>
      </c>
      <c r="BC28" s="71"/>
      <c r="BD28" s="71">
        <v>0</v>
      </c>
      <c r="BE28" s="71"/>
      <c r="BF28" s="71">
        <f t="shared" si="6"/>
        <v>44000</v>
      </c>
      <c r="BG28" s="71">
        <v>20625</v>
      </c>
      <c r="BH28" s="71">
        <v>6875</v>
      </c>
      <c r="BI28" s="71"/>
      <c r="BJ28" s="71">
        <v>16500</v>
      </c>
      <c r="BK28" s="71"/>
      <c r="BL28" s="20"/>
    </row>
    <row r="29" spans="1:64" ht="84" x14ac:dyDescent="0.2">
      <c r="A29" s="69">
        <v>25</v>
      </c>
      <c r="B29" s="52" t="str">
        <f ca="1">IFERROR(__xludf.DUMMYFUNCTION("""COMPUTED_VALUE"""),"г.о. Одинцово")</f>
        <v>г.о. Одинцово</v>
      </c>
      <c r="C29"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29" s="52" t="str">
        <f ca="1">IFERROR(__xludf.DUMMYFUNCTION("""COMPUTED_VALUE"""),"МинЖКХ")</f>
        <v>МинЖКХ</v>
      </c>
      <c r="E29" s="28" t="s">
        <v>95</v>
      </c>
      <c r="F29" s="52" t="str">
        <f ca="1">IFERROR(__xludf.DUMMYFUNCTION("""COMPUTED_VALUE"""),"ВЗУ")</f>
        <v>ВЗУ</v>
      </c>
      <c r="G29" s="52">
        <f ca="1">IFERROR(__xludf.DUMMYFUNCTION("""COMPUTED_VALUE"""),2024)</f>
        <v>2024</v>
      </c>
      <c r="H29" s="48"/>
      <c r="I29" s="48" t="str">
        <f ca="1">IFERROR(__xludf.DUMMYFUNCTION("""COMPUTED_VALUE"""),"СМР")</f>
        <v>СМР</v>
      </c>
      <c r="J29" s="48"/>
      <c r="K29" s="48"/>
      <c r="L29" s="48"/>
      <c r="M29" s="48"/>
      <c r="N29" s="48" t="str">
        <f ca="1">IFERROR(__xludf.DUMMYFUNCTION("""COMPUTED_VALUE"""),"10 1 G552430
")</f>
        <v xml:space="preserve">10 1 G552430
</v>
      </c>
      <c r="O29" s="48">
        <f ca="1">IFERROR(__xludf.DUMMYFUNCTION("""COMPUTED_VALUE"""),522)</f>
        <v>522</v>
      </c>
      <c r="P29" s="72">
        <f t="shared" ref="P29:R29" si="30">SUM(AH29,AN29,AT29,AZ29,BF29)</f>
        <v>49103.95</v>
      </c>
      <c r="Q29" s="72">
        <f t="shared" si="30"/>
        <v>23017.49</v>
      </c>
      <c r="R29" s="72">
        <f t="shared" si="30"/>
        <v>7672.48</v>
      </c>
      <c r="S29" s="53"/>
      <c r="T29" s="72">
        <f t="shared" si="1"/>
        <v>18413.98</v>
      </c>
      <c r="U29" s="53"/>
      <c r="V29" s="72"/>
      <c r="W29" s="72"/>
      <c r="X29" s="72"/>
      <c r="Y29" s="72"/>
      <c r="Z29" s="72"/>
      <c r="AA29" s="72"/>
      <c r="AB29" s="72"/>
      <c r="AC29" s="72"/>
      <c r="AD29" s="72"/>
      <c r="AE29" s="72"/>
      <c r="AF29" s="72"/>
      <c r="AG29" s="72"/>
      <c r="AH29" s="72">
        <f t="shared" si="2"/>
        <v>0</v>
      </c>
      <c r="AI29" s="71">
        <v>0</v>
      </c>
      <c r="AJ29" s="71">
        <v>0</v>
      </c>
      <c r="AK29" s="71"/>
      <c r="AL29" s="71">
        <v>0</v>
      </c>
      <c r="AM29" s="71"/>
      <c r="AN29" s="72">
        <f t="shared" si="3"/>
        <v>0</v>
      </c>
      <c r="AO29" s="71">
        <v>0</v>
      </c>
      <c r="AP29" s="71">
        <v>0</v>
      </c>
      <c r="AQ29" s="71"/>
      <c r="AR29" s="71">
        <v>0</v>
      </c>
      <c r="AS29" s="71"/>
      <c r="AT29" s="71">
        <f t="shared" si="4"/>
        <v>0</v>
      </c>
      <c r="AU29" s="71">
        <v>0</v>
      </c>
      <c r="AV29" s="71">
        <v>0</v>
      </c>
      <c r="AW29" s="71"/>
      <c r="AX29" s="71">
        <v>0</v>
      </c>
      <c r="AY29" s="71"/>
      <c r="AZ29" s="71">
        <f t="shared" si="5"/>
        <v>0</v>
      </c>
      <c r="BA29" s="71">
        <v>0</v>
      </c>
      <c r="BB29" s="71">
        <v>0</v>
      </c>
      <c r="BC29" s="71"/>
      <c r="BD29" s="71">
        <v>0</v>
      </c>
      <c r="BE29" s="71"/>
      <c r="BF29" s="71">
        <f t="shared" si="6"/>
        <v>49103.95</v>
      </c>
      <c r="BG29" s="71">
        <v>23017.49</v>
      </c>
      <c r="BH29" s="71">
        <v>7672.48</v>
      </c>
      <c r="BI29" s="71"/>
      <c r="BJ29" s="71">
        <v>18413.98</v>
      </c>
      <c r="BK29" s="71"/>
      <c r="BL29" s="20"/>
    </row>
    <row r="30" spans="1:64" ht="156" x14ac:dyDescent="0.2">
      <c r="A30" s="69">
        <v>26</v>
      </c>
      <c r="B30" s="52" t="str">
        <f ca="1">IFERROR(__xludf.DUMMYFUNCTION("""COMPUTED_VALUE"""),"г.о. Чехов")</f>
        <v>г.о. Чехов</v>
      </c>
      <c r="C30"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0" s="52" t="str">
        <f ca="1">IFERROR(__xludf.DUMMYFUNCTION("""COMPUTED_VALUE"""),"МинЖКХ")</f>
        <v>МинЖКХ</v>
      </c>
      <c r="E30" s="28" t="s">
        <v>96</v>
      </c>
      <c r="F30" s="52" t="str">
        <f ca="1">IFERROR(__xludf.DUMMYFUNCTION("""COMPUTED_VALUE"""),"ВЗУ")</f>
        <v>ВЗУ</v>
      </c>
      <c r="G30" s="52" t="str">
        <f ca="1">IFERROR(__xludf.DUMMYFUNCTION("""COMPUTED_VALUE"""),"2020-2021")</f>
        <v>2020-2021</v>
      </c>
      <c r="H30" s="48" t="str">
        <f ca="1">IFERROR(__xludf.DUMMYFUNCTION("""COMPUTED_VALUE"""),"Выполнены следующие работы: вырублены зеленные насаждения, организованна подъездная дорога, завершены работы по гидроизоляции стен, устройство площадки из ж/б плит для складирования материала.
Ведутся работы: по водоотведению, подготовки траншеи для прокл"&amp;"адки труб водоснабжения, монтажу кровли.
Камеры видеонаблюдения установлены, доступ предоставлен.
Ведется корректировка ГПР.")</f>
        <v>Выполнены следующие работы: вырублены зеленные насаждения, организованна подъездная дорога, завершены работы по гидроизоляции стен, устройство площадки из ж/б плит для складирования материала.
Ведутся работы: по водоотведению, подготовки траншеи для прокладки труб водоснабжения, монтажу кровли.
Камеры видеонаблюдения установлены, доступ предоставлен.
Ведется корректировка ГПР.</v>
      </c>
      <c r="I30" s="48" t="str">
        <f ca="1">IFERROR(__xludf.DUMMYFUNCTION("""COMPUTED_VALUE"""),"СМР")</f>
        <v>СМР</v>
      </c>
      <c r="J30" s="70">
        <f ca="1">IFERROR(__xludf.DUMMYFUNCTION("""COMPUTED_VALUE"""),0.06)</f>
        <v>0.06</v>
      </c>
      <c r="K30" s="48">
        <f ca="1">IFERROR(__xludf.DUMMYFUNCTION("""COMPUTED_VALUE"""),0)</f>
        <v>0</v>
      </c>
      <c r="L30" s="48">
        <f ca="1">IFERROR(__xludf.DUMMYFUNCTION("""COMPUTED_VALUE"""),5500)</f>
        <v>5500</v>
      </c>
      <c r="M30" s="48"/>
      <c r="N30" s="48" t="str">
        <f ca="1">IFERROR(__xludf.DUMMYFUNCTION("""COMPUTED_VALUE"""),"10 1 G552430
")</f>
        <v xml:space="preserve">10 1 G552430
</v>
      </c>
      <c r="O30" s="48">
        <f ca="1">IFERROR(__xludf.DUMMYFUNCTION("""COMPUTED_VALUE"""),522)</f>
        <v>522</v>
      </c>
      <c r="P30" s="72">
        <f t="shared" ref="P30:R30" si="31">SUM(AH30,AN30,AT30,AZ30,BF30)</f>
        <v>142904.74000000002</v>
      </c>
      <c r="Q30" s="72">
        <f t="shared" si="31"/>
        <v>74388</v>
      </c>
      <c r="R30" s="72">
        <f t="shared" si="31"/>
        <v>24796.010000000002</v>
      </c>
      <c r="S30" s="53"/>
      <c r="T30" s="72">
        <f t="shared" si="1"/>
        <v>43720.729999999996</v>
      </c>
      <c r="U30" s="53"/>
      <c r="V30" s="72"/>
      <c r="W30" s="72"/>
      <c r="X30" s="72"/>
      <c r="Y30" s="72"/>
      <c r="Z30" s="72"/>
      <c r="AA30" s="72"/>
      <c r="AB30" s="72"/>
      <c r="AC30" s="72"/>
      <c r="AD30" s="72"/>
      <c r="AE30" s="72"/>
      <c r="AF30" s="72"/>
      <c r="AG30" s="72"/>
      <c r="AH30" s="72">
        <f t="shared" si="2"/>
        <v>51685.040000000008</v>
      </c>
      <c r="AI30" s="71">
        <v>26419.7</v>
      </c>
      <c r="AJ30" s="71">
        <v>8806.57</v>
      </c>
      <c r="AK30" s="71"/>
      <c r="AL30" s="71">
        <v>16458.77</v>
      </c>
      <c r="AM30" s="71"/>
      <c r="AN30" s="72">
        <f t="shared" si="3"/>
        <v>91219.700000000012</v>
      </c>
      <c r="AO30" s="71">
        <v>47968.3</v>
      </c>
      <c r="AP30" s="71">
        <v>15989.44</v>
      </c>
      <c r="AQ30" s="71"/>
      <c r="AR30" s="71">
        <v>27261.96</v>
      </c>
      <c r="AS30" s="71"/>
      <c r="AT30" s="71">
        <f t="shared" si="4"/>
        <v>0</v>
      </c>
      <c r="AU30" s="71">
        <v>0</v>
      </c>
      <c r="AV30" s="71">
        <v>0</v>
      </c>
      <c r="AW30" s="71"/>
      <c r="AX30" s="71">
        <v>0</v>
      </c>
      <c r="AY30" s="71"/>
      <c r="AZ30" s="71">
        <f t="shared" si="5"/>
        <v>0</v>
      </c>
      <c r="BA30" s="71">
        <v>0</v>
      </c>
      <c r="BB30" s="71">
        <v>0</v>
      </c>
      <c r="BC30" s="71"/>
      <c r="BD30" s="71">
        <v>0</v>
      </c>
      <c r="BE30" s="71"/>
      <c r="BF30" s="71">
        <f t="shared" si="6"/>
        <v>0</v>
      </c>
      <c r="BG30" s="71">
        <v>0</v>
      </c>
      <c r="BH30" s="71">
        <v>0</v>
      </c>
      <c r="BI30" s="71"/>
      <c r="BJ30" s="71">
        <v>0</v>
      </c>
      <c r="BK30" s="71"/>
      <c r="BL30" s="20"/>
    </row>
    <row r="31" spans="1:64" ht="84" x14ac:dyDescent="0.2">
      <c r="A31" s="69">
        <v>27</v>
      </c>
      <c r="B31" s="52" t="str">
        <f ca="1">IFERROR(__xludf.DUMMYFUNCTION("""COMPUTED_VALUE"""),"г.о. Чехов")</f>
        <v>г.о. Чехов</v>
      </c>
      <c r="C31"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1" s="52" t="str">
        <f ca="1">IFERROR(__xludf.DUMMYFUNCTION("""COMPUTED_VALUE"""),"МинЖКХ")</f>
        <v>МинЖКХ</v>
      </c>
      <c r="E31" s="28" t="s">
        <v>97</v>
      </c>
      <c r="F31" s="52" t="str">
        <f ca="1">IFERROR(__xludf.DUMMYFUNCTION("""COMPUTED_VALUE"""),"ВЗУ")</f>
        <v>ВЗУ</v>
      </c>
      <c r="G31" s="52" t="str">
        <f ca="1">IFERROR(__xludf.DUMMYFUNCTION("""COMPUTED_VALUE"""),"2021-2022")</f>
        <v>2021-2022</v>
      </c>
      <c r="H31" s="48"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I31" s="48" t="str">
        <f ca="1">IFERROR(__xludf.DUMMYFUNCTION("""COMPUTED_VALUE"""),"СМР")</f>
        <v>СМР</v>
      </c>
      <c r="J31" s="48"/>
      <c r="K31" s="48"/>
      <c r="L31" s="48"/>
      <c r="M31" s="48"/>
      <c r="N31" s="48" t="str">
        <f ca="1">IFERROR(__xludf.DUMMYFUNCTION("""COMPUTED_VALUE"""),"10 1 G552430
")</f>
        <v xml:space="preserve">10 1 G552430
</v>
      </c>
      <c r="O31" s="48">
        <f ca="1">IFERROR(__xludf.DUMMYFUNCTION("""COMPUTED_VALUE"""),522)</f>
        <v>522</v>
      </c>
      <c r="P31" s="72">
        <f t="shared" ref="P31:R31" si="32">SUM(AH31,AN31,AT31,AZ31,BF31)</f>
        <v>142658.87000000002</v>
      </c>
      <c r="Q31" s="72">
        <f t="shared" si="32"/>
        <v>78533.600000000006</v>
      </c>
      <c r="R31" s="72">
        <f t="shared" si="32"/>
        <v>26177.97</v>
      </c>
      <c r="S31" s="53"/>
      <c r="T31" s="72">
        <f t="shared" si="1"/>
        <v>37947.300000000003</v>
      </c>
      <c r="U31" s="53"/>
      <c r="V31" s="72"/>
      <c r="W31" s="72"/>
      <c r="X31" s="72"/>
      <c r="Y31" s="72"/>
      <c r="Z31" s="72"/>
      <c r="AA31" s="72"/>
      <c r="AB31" s="72"/>
      <c r="AC31" s="72"/>
      <c r="AD31" s="72"/>
      <c r="AE31" s="72"/>
      <c r="AF31" s="72"/>
      <c r="AG31" s="72"/>
      <c r="AH31" s="72">
        <f t="shared" si="2"/>
        <v>0</v>
      </c>
      <c r="AI31" s="71">
        <v>0</v>
      </c>
      <c r="AJ31" s="71">
        <v>0</v>
      </c>
      <c r="AK31" s="71"/>
      <c r="AL31" s="71">
        <v>0</v>
      </c>
      <c r="AM31" s="71"/>
      <c r="AN31" s="72">
        <f t="shared" si="3"/>
        <v>63646.420000000006</v>
      </c>
      <c r="AO31" s="71">
        <v>35037.300000000003</v>
      </c>
      <c r="AP31" s="71">
        <v>11679.15</v>
      </c>
      <c r="AQ31" s="71"/>
      <c r="AR31" s="71">
        <v>16929.97</v>
      </c>
      <c r="AS31" s="71"/>
      <c r="AT31" s="71">
        <f t="shared" si="4"/>
        <v>79012.450000000012</v>
      </c>
      <c r="AU31" s="71">
        <v>43496.3</v>
      </c>
      <c r="AV31" s="71">
        <v>14498.82</v>
      </c>
      <c r="AW31" s="71"/>
      <c r="AX31" s="71">
        <v>21017.33</v>
      </c>
      <c r="AY31" s="71"/>
      <c r="AZ31" s="71">
        <f t="shared" si="5"/>
        <v>0</v>
      </c>
      <c r="BA31" s="71">
        <v>0</v>
      </c>
      <c r="BB31" s="71">
        <v>0</v>
      </c>
      <c r="BC31" s="71"/>
      <c r="BD31" s="71">
        <v>0</v>
      </c>
      <c r="BE31" s="71"/>
      <c r="BF31" s="71">
        <f t="shared" si="6"/>
        <v>0</v>
      </c>
      <c r="BG31" s="71">
        <v>0</v>
      </c>
      <c r="BH31" s="71">
        <v>0</v>
      </c>
      <c r="BI31" s="71"/>
      <c r="BJ31" s="71">
        <v>0</v>
      </c>
      <c r="BK31" s="71"/>
      <c r="BL31" s="20"/>
    </row>
    <row r="32" spans="1:64" ht="84" x14ac:dyDescent="0.2">
      <c r="A32" s="69">
        <v>28</v>
      </c>
      <c r="B32" s="52" t="str">
        <f ca="1">IFERROR(__xludf.DUMMYFUNCTION("""COMPUTED_VALUE"""),"г.о. Электросталь")</f>
        <v>г.о. Электросталь</v>
      </c>
      <c r="C32"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2" s="52" t="str">
        <f ca="1">IFERROR(__xludf.DUMMYFUNCTION("""COMPUTED_VALUE"""),"МинЖКХ")</f>
        <v>МинЖКХ</v>
      </c>
      <c r="E32" s="28" t="s">
        <v>98</v>
      </c>
      <c r="F32" s="52" t="str">
        <f ca="1">IFERROR(__xludf.DUMMYFUNCTION("""COMPUTED_VALUE"""),"ВЗУ")</f>
        <v>ВЗУ</v>
      </c>
      <c r="G32" s="52">
        <f ca="1">IFERROR(__xludf.DUMMYFUNCTION("""COMPUTED_VALUE"""),2022)</f>
        <v>2022</v>
      </c>
      <c r="H32" s="48"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I32" s="48" t="str">
        <f ca="1">IFERROR(__xludf.DUMMYFUNCTION("""COMPUTED_VALUE"""),"СМР")</f>
        <v>СМР</v>
      </c>
      <c r="J32" s="48"/>
      <c r="K32" s="48"/>
      <c r="L32" s="48"/>
      <c r="M32" s="48"/>
      <c r="N32" s="48" t="str">
        <f ca="1">IFERROR(__xludf.DUMMYFUNCTION("""COMPUTED_VALUE"""),"10 1 G552430
")</f>
        <v xml:space="preserve">10 1 G552430
</v>
      </c>
      <c r="O32" s="48">
        <f ca="1">IFERROR(__xludf.DUMMYFUNCTION("""COMPUTED_VALUE"""),522)</f>
        <v>522</v>
      </c>
      <c r="P32" s="72">
        <f t="shared" ref="P32:R32" si="33">SUM(AH32,AN32,AT32,AZ32,BF32)</f>
        <v>70000</v>
      </c>
      <c r="Q32" s="72">
        <f t="shared" si="33"/>
        <v>41737.5</v>
      </c>
      <c r="R32" s="72">
        <f t="shared" si="33"/>
        <v>13912.5</v>
      </c>
      <c r="S32" s="53"/>
      <c r="T32" s="72">
        <f t="shared" si="1"/>
        <v>14350</v>
      </c>
      <c r="U32" s="53"/>
      <c r="V32" s="72"/>
      <c r="W32" s="72"/>
      <c r="X32" s="72"/>
      <c r="Y32" s="72"/>
      <c r="Z32" s="72"/>
      <c r="AA32" s="72"/>
      <c r="AB32" s="72"/>
      <c r="AC32" s="72"/>
      <c r="AD32" s="72"/>
      <c r="AE32" s="72"/>
      <c r="AF32" s="72"/>
      <c r="AG32" s="72"/>
      <c r="AH32" s="72">
        <f t="shared" si="2"/>
        <v>0</v>
      </c>
      <c r="AI32" s="71">
        <v>0</v>
      </c>
      <c r="AJ32" s="71">
        <v>0</v>
      </c>
      <c r="AK32" s="71"/>
      <c r="AL32" s="71">
        <v>0</v>
      </c>
      <c r="AM32" s="71"/>
      <c r="AN32" s="72">
        <f t="shared" si="3"/>
        <v>0</v>
      </c>
      <c r="AO32" s="71">
        <v>0</v>
      </c>
      <c r="AP32" s="71">
        <v>0</v>
      </c>
      <c r="AQ32" s="71"/>
      <c r="AR32" s="71">
        <v>0</v>
      </c>
      <c r="AS32" s="71"/>
      <c r="AT32" s="71">
        <f t="shared" si="4"/>
        <v>70000</v>
      </c>
      <c r="AU32" s="71">
        <v>41737.5</v>
      </c>
      <c r="AV32" s="71">
        <v>13912.5</v>
      </c>
      <c r="AW32" s="71"/>
      <c r="AX32" s="71">
        <v>14350</v>
      </c>
      <c r="AY32" s="71"/>
      <c r="AZ32" s="71">
        <f t="shared" si="5"/>
        <v>0</v>
      </c>
      <c r="BA32" s="71">
        <v>0</v>
      </c>
      <c r="BB32" s="71">
        <v>0</v>
      </c>
      <c r="BC32" s="71"/>
      <c r="BD32" s="71">
        <v>0</v>
      </c>
      <c r="BE32" s="71"/>
      <c r="BF32" s="71">
        <f t="shared" si="6"/>
        <v>0</v>
      </c>
      <c r="BG32" s="71">
        <v>0</v>
      </c>
      <c r="BH32" s="71">
        <v>0</v>
      </c>
      <c r="BI32" s="71"/>
      <c r="BJ32" s="71">
        <v>0</v>
      </c>
      <c r="BK32" s="71"/>
      <c r="BL32" s="20"/>
    </row>
    <row r="33" spans="1:64" ht="84" x14ac:dyDescent="0.2">
      <c r="A33" s="69">
        <v>29</v>
      </c>
      <c r="B33" s="52" t="str">
        <f ca="1">IFERROR(__xludf.DUMMYFUNCTION("""COMPUTED_VALUE"""),"г.о. Орехово-Зуево")</f>
        <v>г.о. Орехово-Зуево</v>
      </c>
      <c r="C33"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3" s="52" t="str">
        <f ca="1">IFERROR(__xludf.DUMMYFUNCTION("""COMPUTED_VALUE"""),"МинЖКХ")</f>
        <v>МинЖКХ</v>
      </c>
      <c r="E33" s="28" t="s">
        <v>99</v>
      </c>
      <c r="F33" s="52" t="str">
        <f ca="1">IFERROR(__xludf.DUMMYFUNCTION("""COMPUTED_VALUE"""),"ВЗУ")</f>
        <v>ВЗУ</v>
      </c>
      <c r="G33" s="52">
        <f ca="1">IFERROR(__xludf.DUMMYFUNCTION("""COMPUTED_VALUE"""),2022)</f>
        <v>2022</v>
      </c>
      <c r="H33" s="48"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I33" s="48" t="str">
        <f ca="1">IFERROR(__xludf.DUMMYFUNCTION("""COMPUTED_VALUE"""),"СМР")</f>
        <v>СМР</v>
      </c>
      <c r="J33" s="48"/>
      <c r="K33" s="48"/>
      <c r="L33" s="48"/>
      <c r="M33" s="48"/>
      <c r="N33" s="48" t="str">
        <f ca="1">IFERROR(__xludf.DUMMYFUNCTION("""COMPUTED_VALUE"""),"10 1 G552430
")</f>
        <v xml:space="preserve">10 1 G552430
</v>
      </c>
      <c r="O33" s="48">
        <f ca="1">IFERROR(__xludf.DUMMYFUNCTION("""COMPUTED_VALUE"""),522)</f>
        <v>522</v>
      </c>
      <c r="P33" s="72">
        <f t="shared" ref="P33:R33" si="34">SUM(AH33,AN33,AT33,AZ33,BF33)</f>
        <v>92921.94</v>
      </c>
      <c r="Q33" s="72">
        <f t="shared" si="34"/>
        <v>66206.880000000005</v>
      </c>
      <c r="R33" s="72">
        <f t="shared" si="34"/>
        <v>22068.959999999999</v>
      </c>
      <c r="S33" s="53"/>
      <c r="T33" s="72">
        <f t="shared" si="1"/>
        <v>4646.1000000000004</v>
      </c>
      <c r="U33" s="53"/>
      <c r="V33" s="72"/>
      <c r="W33" s="72"/>
      <c r="X33" s="72"/>
      <c r="Y33" s="72"/>
      <c r="Z33" s="72"/>
      <c r="AA33" s="72"/>
      <c r="AB33" s="72"/>
      <c r="AC33" s="72"/>
      <c r="AD33" s="72"/>
      <c r="AE33" s="72"/>
      <c r="AF33" s="72"/>
      <c r="AG33" s="72"/>
      <c r="AH33" s="72">
        <f t="shared" si="2"/>
        <v>0</v>
      </c>
      <c r="AI33" s="71">
        <v>0</v>
      </c>
      <c r="AJ33" s="71">
        <v>0</v>
      </c>
      <c r="AK33" s="71"/>
      <c r="AL33" s="71">
        <v>0</v>
      </c>
      <c r="AM33" s="71"/>
      <c r="AN33" s="72">
        <f t="shared" si="3"/>
        <v>0</v>
      </c>
      <c r="AO33" s="71">
        <v>0</v>
      </c>
      <c r="AP33" s="71">
        <v>0</v>
      </c>
      <c r="AQ33" s="71"/>
      <c r="AR33" s="71">
        <v>0</v>
      </c>
      <c r="AS33" s="71"/>
      <c r="AT33" s="71">
        <f t="shared" si="4"/>
        <v>92921.94</v>
      </c>
      <c r="AU33" s="71">
        <v>66206.880000000005</v>
      </c>
      <c r="AV33" s="71">
        <v>22068.959999999999</v>
      </c>
      <c r="AW33" s="71"/>
      <c r="AX33" s="71">
        <v>4646.1000000000004</v>
      </c>
      <c r="AY33" s="71"/>
      <c r="AZ33" s="71">
        <f t="shared" si="5"/>
        <v>0</v>
      </c>
      <c r="BA33" s="71">
        <v>0</v>
      </c>
      <c r="BB33" s="71">
        <v>0</v>
      </c>
      <c r="BC33" s="71"/>
      <c r="BD33" s="71">
        <v>0</v>
      </c>
      <c r="BE33" s="71"/>
      <c r="BF33" s="71">
        <f t="shared" si="6"/>
        <v>0</v>
      </c>
      <c r="BG33" s="71">
        <v>0</v>
      </c>
      <c r="BH33" s="71">
        <v>0</v>
      </c>
      <c r="BI33" s="71"/>
      <c r="BJ33" s="71">
        <v>0</v>
      </c>
      <c r="BK33" s="71"/>
      <c r="BL33" s="20"/>
    </row>
    <row r="34" spans="1:64" ht="84" x14ac:dyDescent="0.2">
      <c r="A34" s="69">
        <v>30</v>
      </c>
      <c r="B34" s="52" t="str">
        <f ca="1">IFERROR(__xludf.DUMMYFUNCTION("""COMPUTED_VALUE"""),"г.о. Орехово-Зуево")</f>
        <v>г.о. Орехово-Зуево</v>
      </c>
      <c r="C34"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4" s="52" t="str">
        <f ca="1">IFERROR(__xludf.DUMMYFUNCTION("""COMPUTED_VALUE"""),"МинЖКХ")</f>
        <v>МинЖКХ</v>
      </c>
      <c r="E34" s="28" t="s">
        <v>100</v>
      </c>
      <c r="F34" s="52" t="str">
        <f ca="1">IFERROR(__xludf.DUMMYFUNCTION("""COMPUTED_VALUE"""),"ВЗУ")</f>
        <v>ВЗУ</v>
      </c>
      <c r="G34" s="52">
        <f ca="1">IFERROR(__xludf.DUMMYFUNCTION("""COMPUTED_VALUE"""),2022)</f>
        <v>2022</v>
      </c>
      <c r="H34" s="48"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I34" s="48" t="str">
        <f ca="1">IFERROR(__xludf.DUMMYFUNCTION("""COMPUTED_VALUE"""),"СМР")</f>
        <v>СМР</v>
      </c>
      <c r="J34" s="48"/>
      <c r="K34" s="48"/>
      <c r="L34" s="48"/>
      <c r="M34" s="48"/>
      <c r="N34" s="48" t="str">
        <f ca="1">IFERROR(__xludf.DUMMYFUNCTION("""COMPUTED_VALUE"""),"10 1 G552430
")</f>
        <v xml:space="preserve">10 1 G552430
</v>
      </c>
      <c r="O34" s="48">
        <f ca="1">IFERROR(__xludf.DUMMYFUNCTION("""COMPUTED_VALUE"""),522)</f>
        <v>522</v>
      </c>
      <c r="P34" s="72">
        <f t="shared" ref="P34:R34" si="35">SUM(AH34,AN34,AT34,AZ34,BF34)</f>
        <v>310000</v>
      </c>
      <c r="Q34" s="72">
        <f t="shared" si="35"/>
        <v>220875</v>
      </c>
      <c r="R34" s="72">
        <f t="shared" si="35"/>
        <v>73625</v>
      </c>
      <c r="S34" s="53"/>
      <c r="T34" s="72">
        <f t="shared" si="1"/>
        <v>15500</v>
      </c>
      <c r="U34" s="53"/>
      <c r="V34" s="72"/>
      <c r="W34" s="72"/>
      <c r="X34" s="72"/>
      <c r="Y34" s="72"/>
      <c r="Z34" s="72"/>
      <c r="AA34" s="72"/>
      <c r="AB34" s="72"/>
      <c r="AC34" s="72"/>
      <c r="AD34" s="72"/>
      <c r="AE34" s="72"/>
      <c r="AF34" s="72"/>
      <c r="AG34" s="72"/>
      <c r="AH34" s="72">
        <f t="shared" si="2"/>
        <v>0</v>
      </c>
      <c r="AI34" s="71">
        <v>0</v>
      </c>
      <c r="AJ34" s="71">
        <v>0</v>
      </c>
      <c r="AK34" s="71"/>
      <c r="AL34" s="71">
        <v>0</v>
      </c>
      <c r="AM34" s="71"/>
      <c r="AN34" s="72">
        <f t="shared" si="3"/>
        <v>0</v>
      </c>
      <c r="AO34" s="71">
        <v>0</v>
      </c>
      <c r="AP34" s="71">
        <v>0</v>
      </c>
      <c r="AQ34" s="71"/>
      <c r="AR34" s="71">
        <v>0</v>
      </c>
      <c r="AS34" s="71"/>
      <c r="AT34" s="71">
        <f t="shared" si="4"/>
        <v>310000</v>
      </c>
      <c r="AU34" s="71">
        <v>220875</v>
      </c>
      <c r="AV34" s="71">
        <v>73625</v>
      </c>
      <c r="AW34" s="71"/>
      <c r="AX34" s="71">
        <v>15500</v>
      </c>
      <c r="AY34" s="71"/>
      <c r="AZ34" s="71">
        <f t="shared" si="5"/>
        <v>0</v>
      </c>
      <c r="BA34" s="71">
        <v>0</v>
      </c>
      <c r="BB34" s="71">
        <v>0</v>
      </c>
      <c r="BC34" s="71"/>
      <c r="BD34" s="71">
        <v>0</v>
      </c>
      <c r="BE34" s="71"/>
      <c r="BF34" s="71">
        <f t="shared" si="6"/>
        <v>0</v>
      </c>
      <c r="BG34" s="71">
        <v>0</v>
      </c>
      <c r="BH34" s="71">
        <v>0</v>
      </c>
      <c r="BI34" s="71"/>
      <c r="BJ34" s="71">
        <v>0</v>
      </c>
      <c r="BK34" s="71"/>
      <c r="BL34" s="20"/>
    </row>
    <row r="35" spans="1:64" ht="84" x14ac:dyDescent="0.2">
      <c r="A35" s="69">
        <v>31</v>
      </c>
      <c r="B35" s="52" t="str">
        <f ca="1">IFERROR(__xludf.DUMMYFUNCTION("""COMPUTED_VALUE"""),"г.о. Орехово-Зуево")</f>
        <v>г.о. Орехово-Зуево</v>
      </c>
      <c r="C35"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5" s="52" t="str">
        <f ca="1">IFERROR(__xludf.DUMMYFUNCTION("""COMPUTED_VALUE"""),"МинЖКХ")</f>
        <v>МинЖКХ</v>
      </c>
      <c r="E35" s="28" t="s">
        <v>101</v>
      </c>
      <c r="F35" s="52" t="str">
        <f ca="1">IFERROR(__xludf.DUMMYFUNCTION("""COMPUTED_VALUE"""),"ВЗУ")</f>
        <v>ВЗУ</v>
      </c>
      <c r="G35" s="52">
        <f ca="1">IFERROR(__xludf.DUMMYFUNCTION("""COMPUTED_VALUE"""),2022)</f>
        <v>2022</v>
      </c>
      <c r="H35" s="48"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I35" s="48" t="str">
        <f ca="1">IFERROR(__xludf.DUMMYFUNCTION("""COMPUTED_VALUE"""),"СМР")</f>
        <v>СМР</v>
      </c>
      <c r="J35" s="48"/>
      <c r="K35" s="48"/>
      <c r="L35" s="48"/>
      <c r="M35" s="48"/>
      <c r="N35" s="48" t="str">
        <f ca="1">IFERROR(__xludf.DUMMYFUNCTION("""COMPUTED_VALUE"""),"10 1 G552430
")</f>
        <v xml:space="preserve">10 1 G552430
</v>
      </c>
      <c r="O35" s="48">
        <f ca="1">IFERROR(__xludf.DUMMYFUNCTION("""COMPUTED_VALUE"""),522)</f>
        <v>522</v>
      </c>
      <c r="P35" s="72">
        <f t="shared" ref="P35:R35" si="36">SUM(AH35,AN35,AT35,AZ35,BF35)</f>
        <v>235924.95</v>
      </c>
      <c r="Q35" s="72">
        <f t="shared" si="36"/>
        <v>168096.5</v>
      </c>
      <c r="R35" s="72">
        <f t="shared" si="36"/>
        <v>56032.2</v>
      </c>
      <c r="S35" s="53"/>
      <c r="T35" s="72">
        <f t="shared" si="1"/>
        <v>11796.25</v>
      </c>
      <c r="U35" s="53"/>
      <c r="V35" s="72"/>
      <c r="W35" s="72"/>
      <c r="X35" s="72"/>
      <c r="Y35" s="72"/>
      <c r="Z35" s="72"/>
      <c r="AA35" s="72"/>
      <c r="AB35" s="72"/>
      <c r="AC35" s="72"/>
      <c r="AD35" s="72"/>
      <c r="AE35" s="72"/>
      <c r="AF35" s="72"/>
      <c r="AG35" s="72"/>
      <c r="AH35" s="72">
        <f t="shared" si="2"/>
        <v>0</v>
      </c>
      <c r="AI35" s="71">
        <v>0</v>
      </c>
      <c r="AJ35" s="71">
        <v>0</v>
      </c>
      <c r="AK35" s="71"/>
      <c r="AL35" s="71">
        <v>0</v>
      </c>
      <c r="AM35" s="71"/>
      <c r="AN35" s="72">
        <f t="shared" si="3"/>
        <v>0</v>
      </c>
      <c r="AO35" s="71">
        <v>0</v>
      </c>
      <c r="AP35" s="71">
        <v>0</v>
      </c>
      <c r="AQ35" s="71"/>
      <c r="AR35" s="71">
        <v>0</v>
      </c>
      <c r="AS35" s="71"/>
      <c r="AT35" s="71">
        <f t="shared" si="4"/>
        <v>235924.95</v>
      </c>
      <c r="AU35" s="71">
        <v>168096.5</v>
      </c>
      <c r="AV35" s="71">
        <v>56032.2</v>
      </c>
      <c r="AW35" s="71"/>
      <c r="AX35" s="71">
        <v>11796.25</v>
      </c>
      <c r="AY35" s="71"/>
      <c r="AZ35" s="71">
        <f t="shared" si="5"/>
        <v>0</v>
      </c>
      <c r="BA35" s="71">
        <v>0</v>
      </c>
      <c r="BB35" s="71">
        <v>0</v>
      </c>
      <c r="BC35" s="71"/>
      <c r="BD35" s="71">
        <v>0</v>
      </c>
      <c r="BE35" s="71"/>
      <c r="BF35" s="71">
        <f t="shared" si="6"/>
        <v>0</v>
      </c>
      <c r="BG35" s="71">
        <v>0</v>
      </c>
      <c r="BH35" s="71">
        <v>0</v>
      </c>
      <c r="BI35" s="71"/>
      <c r="BJ35" s="71">
        <v>0</v>
      </c>
      <c r="BK35" s="71"/>
      <c r="BL35" s="20"/>
    </row>
    <row r="36" spans="1:64" ht="84" x14ac:dyDescent="0.2">
      <c r="A36" s="69">
        <v>32</v>
      </c>
      <c r="B36" s="52" t="str">
        <f ca="1">IFERROR(__xludf.DUMMYFUNCTION("""COMPUTED_VALUE"""),"г.о. Орехово-Зуево")</f>
        <v>г.о. Орехово-Зуево</v>
      </c>
      <c r="C36"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6" s="52" t="str">
        <f ca="1">IFERROR(__xludf.DUMMYFUNCTION("""COMPUTED_VALUE"""),"МинЖКХ")</f>
        <v>МинЖКХ</v>
      </c>
      <c r="E36" s="28" t="s">
        <v>102</v>
      </c>
      <c r="F36" s="52" t="str">
        <f ca="1">IFERROR(__xludf.DUMMYFUNCTION("""COMPUTED_VALUE"""),"ВЗУ")</f>
        <v>ВЗУ</v>
      </c>
      <c r="G36" s="52">
        <f ca="1">IFERROR(__xludf.DUMMYFUNCTION("""COMPUTED_VALUE"""),2023)</f>
        <v>2023</v>
      </c>
      <c r="H36" s="48"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I36" s="48" t="str">
        <f ca="1">IFERROR(__xludf.DUMMYFUNCTION("""COMPUTED_VALUE"""),"СМР")</f>
        <v>СМР</v>
      </c>
      <c r="J36" s="48"/>
      <c r="K36" s="48"/>
      <c r="L36" s="48"/>
      <c r="M36" s="48"/>
      <c r="N36" s="48" t="str">
        <f ca="1">IFERROR(__xludf.DUMMYFUNCTION("""COMPUTED_VALUE"""),"10 1 G552430
")</f>
        <v xml:space="preserve">10 1 G552430
</v>
      </c>
      <c r="O36" s="48">
        <f ca="1">IFERROR(__xludf.DUMMYFUNCTION("""COMPUTED_VALUE"""),522)</f>
        <v>522</v>
      </c>
      <c r="P36" s="72">
        <f t="shared" ref="P36:R36" si="37">SUM(AH36,AN36,AT36,AZ36,BF36)</f>
        <v>20000</v>
      </c>
      <c r="Q36" s="72">
        <f t="shared" si="37"/>
        <v>14250</v>
      </c>
      <c r="R36" s="72">
        <f t="shared" si="37"/>
        <v>4750</v>
      </c>
      <c r="S36" s="53"/>
      <c r="T36" s="72">
        <f t="shared" si="1"/>
        <v>1000</v>
      </c>
      <c r="U36" s="53"/>
      <c r="V36" s="72"/>
      <c r="W36" s="72"/>
      <c r="X36" s="72"/>
      <c r="Y36" s="72"/>
      <c r="Z36" s="72"/>
      <c r="AA36" s="72"/>
      <c r="AB36" s="72"/>
      <c r="AC36" s="72"/>
      <c r="AD36" s="72"/>
      <c r="AE36" s="72"/>
      <c r="AF36" s="72"/>
      <c r="AG36" s="72"/>
      <c r="AH36" s="72">
        <f t="shared" si="2"/>
        <v>0</v>
      </c>
      <c r="AI36" s="71">
        <v>0</v>
      </c>
      <c r="AJ36" s="71">
        <v>0</v>
      </c>
      <c r="AK36" s="71"/>
      <c r="AL36" s="71">
        <v>0</v>
      </c>
      <c r="AM36" s="71"/>
      <c r="AN36" s="72">
        <f t="shared" si="3"/>
        <v>0</v>
      </c>
      <c r="AO36" s="71">
        <v>0</v>
      </c>
      <c r="AP36" s="71">
        <v>0</v>
      </c>
      <c r="AQ36" s="71"/>
      <c r="AR36" s="71">
        <v>0</v>
      </c>
      <c r="AS36" s="71"/>
      <c r="AT36" s="71">
        <f t="shared" si="4"/>
        <v>0</v>
      </c>
      <c r="AU36" s="71">
        <v>0</v>
      </c>
      <c r="AV36" s="71">
        <v>0</v>
      </c>
      <c r="AW36" s="71"/>
      <c r="AX36" s="71">
        <v>0</v>
      </c>
      <c r="AY36" s="71"/>
      <c r="AZ36" s="71">
        <f t="shared" si="5"/>
        <v>20000</v>
      </c>
      <c r="BA36" s="71">
        <v>14250</v>
      </c>
      <c r="BB36" s="71">
        <v>4750</v>
      </c>
      <c r="BC36" s="71"/>
      <c r="BD36" s="71">
        <v>1000</v>
      </c>
      <c r="BE36" s="71"/>
      <c r="BF36" s="71">
        <f t="shared" si="6"/>
        <v>0</v>
      </c>
      <c r="BG36" s="71">
        <v>0</v>
      </c>
      <c r="BH36" s="71">
        <v>0</v>
      </c>
      <c r="BI36" s="71"/>
      <c r="BJ36" s="71">
        <v>0</v>
      </c>
      <c r="BK36" s="71"/>
      <c r="BL36" s="20"/>
    </row>
    <row r="37" spans="1:64" ht="84" x14ac:dyDescent="0.2">
      <c r="A37" s="69">
        <v>33</v>
      </c>
      <c r="B37" s="52" t="str">
        <f ca="1">IFERROR(__xludf.DUMMYFUNCTION("""COMPUTED_VALUE"""),"г.о. Орехово-Зуево")</f>
        <v>г.о. Орехово-Зуево</v>
      </c>
      <c r="C37"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7" s="52" t="str">
        <f ca="1">IFERROR(__xludf.DUMMYFUNCTION("""COMPUTED_VALUE"""),"МинЖКХ")</f>
        <v>МинЖКХ</v>
      </c>
      <c r="E37" s="28" t="s">
        <v>103</v>
      </c>
      <c r="F37" s="52" t="str">
        <f ca="1">IFERROR(__xludf.DUMMYFUNCTION("""COMPUTED_VALUE"""),"Сети")</f>
        <v>Сети</v>
      </c>
      <c r="G37" s="52">
        <f ca="1">IFERROR(__xludf.DUMMYFUNCTION("""COMPUTED_VALUE"""),2023)</f>
        <v>2023</v>
      </c>
      <c r="H37" s="48" t="str">
        <f ca="1">IFERROR(__xludf.DUMMYFUNCTION("""COMPUTED_VALUE"""),"Проектирование не ведется в связи с нехваткой финансирования.")</f>
        <v>Проектирование не ведется в связи с нехваткой финансирования.</v>
      </c>
      <c r="I37" s="48" t="str">
        <f ca="1">IFERROR(__xludf.DUMMYFUNCTION("""COMPUTED_VALUE"""),"СМР")</f>
        <v>СМР</v>
      </c>
      <c r="J37" s="48"/>
      <c r="K37" s="48"/>
      <c r="L37" s="48"/>
      <c r="M37" s="48"/>
      <c r="N37" s="48" t="str">
        <f ca="1">IFERROR(__xludf.DUMMYFUNCTION("""COMPUTED_VALUE"""),"10 1 G552430
")</f>
        <v xml:space="preserve">10 1 G552430
</v>
      </c>
      <c r="O37" s="48">
        <f ca="1">IFERROR(__xludf.DUMMYFUNCTION("""COMPUTED_VALUE"""),522)</f>
        <v>522</v>
      </c>
      <c r="P37" s="72">
        <f t="shared" ref="P37:R37" si="38">SUM(AH37,AN37,AT37,AZ37,BF37)</f>
        <v>40380</v>
      </c>
      <c r="Q37" s="72">
        <f t="shared" si="38"/>
        <v>28770.75</v>
      </c>
      <c r="R37" s="72">
        <f t="shared" si="38"/>
        <v>9590.25</v>
      </c>
      <c r="S37" s="53"/>
      <c r="T37" s="72">
        <f t="shared" si="1"/>
        <v>2019</v>
      </c>
      <c r="U37" s="53"/>
      <c r="V37" s="72"/>
      <c r="W37" s="72"/>
      <c r="X37" s="72"/>
      <c r="Y37" s="72"/>
      <c r="Z37" s="72"/>
      <c r="AA37" s="72"/>
      <c r="AB37" s="72"/>
      <c r="AC37" s="72"/>
      <c r="AD37" s="72"/>
      <c r="AE37" s="72"/>
      <c r="AF37" s="72"/>
      <c r="AG37" s="72"/>
      <c r="AH37" s="72">
        <f t="shared" si="2"/>
        <v>0</v>
      </c>
      <c r="AI37" s="71">
        <v>0</v>
      </c>
      <c r="AJ37" s="71">
        <v>0</v>
      </c>
      <c r="AK37" s="71"/>
      <c r="AL37" s="71">
        <v>0</v>
      </c>
      <c r="AM37" s="71"/>
      <c r="AN37" s="72">
        <f t="shared" si="3"/>
        <v>0</v>
      </c>
      <c r="AO37" s="71">
        <v>0</v>
      </c>
      <c r="AP37" s="71">
        <v>0</v>
      </c>
      <c r="AQ37" s="71"/>
      <c r="AR37" s="71">
        <v>0</v>
      </c>
      <c r="AS37" s="71"/>
      <c r="AT37" s="71">
        <f t="shared" si="4"/>
        <v>0</v>
      </c>
      <c r="AU37" s="71">
        <v>0</v>
      </c>
      <c r="AV37" s="71">
        <v>0</v>
      </c>
      <c r="AW37" s="71"/>
      <c r="AX37" s="71">
        <v>0</v>
      </c>
      <c r="AY37" s="71"/>
      <c r="AZ37" s="71">
        <f t="shared" si="5"/>
        <v>40380</v>
      </c>
      <c r="BA37" s="71">
        <v>28770.75</v>
      </c>
      <c r="BB37" s="71">
        <v>9590.25</v>
      </c>
      <c r="BC37" s="71"/>
      <c r="BD37" s="71">
        <v>2019</v>
      </c>
      <c r="BE37" s="71"/>
      <c r="BF37" s="71">
        <f t="shared" si="6"/>
        <v>0</v>
      </c>
      <c r="BG37" s="71">
        <v>0</v>
      </c>
      <c r="BH37" s="71">
        <v>0</v>
      </c>
      <c r="BI37" s="71"/>
      <c r="BJ37" s="71">
        <v>0</v>
      </c>
      <c r="BK37" s="71"/>
      <c r="BL37" s="20"/>
    </row>
    <row r="38" spans="1:64" ht="84" x14ac:dyDescent="0.2">
      <c r="A38" s="69">
        <v>34</v>
      </c>
      <c r="B38" s="55" t="str">
        <f ca="1">IFERROR(__xludf.DUMMYFUNCTION("""COMPUTED_VALUE"""),"г.о. Жуковский")</f>
        <v>г.о. Жуковский</v>
      </c>
      <c r="C38"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8" s="55" t="str">
        <f ca="1">IFERROR(__xludf.DUMMYFUNCTION("""COMPUTED_VALUE"""),"МинЖКХ")</f>
        <v>МинЖКХ</v>
      </c>
      <c r="E38" s="54" t="s">
        <v>104</v>
      </c>
      <c r="F38" s="57" t="str">
        <f ca="1">IFERROR(__xludf.DUMMYFUNCTION("""COMPUTED_VALUE"""),"ВЗУ")</f>
        <v>ВЗУ</v>
      </c>
      <c r="G38" s="57" t="str">
        <f ca="1">IFERROR(__xludf.DUMMYFUNCTION("""COMPUTED_VALUE"""),"Н/Л")</f>
        <v>Н/Л</v>
      </c>
      <c r="H38" s="48"/>
      <c r="I38" s="48"/>
      <c r="J38" s="48"/>
      <c r="K38" s="48"/>
      <c r="L38" s="48"/>
      <c r="M38" s="48"/>
      <c r="N38" s="48" t="str">
        <f ca="1">IFERROR(__xludf.DUMMYFUNCTION("""COMPUTED_VALUE"""),"10 1 G552430
")</f>
        <v xml:space="preserve">10 1 G552430
</v>
      </c>
      <c r="O38" s="48">
        <f ca="1">IFERROR(__xludf.DUMMYFUNCTION("""COMPUTED_VALUE"""),522)</f>
        <v>522</v>
      </c>
      <c r="P38" s="73">
        <f t="shared" ref="P38:R38" si="39">SUM(AH38,AN38,AT38,AZ38,BF38)</f>
        <v>0</v>
      </c>
      <c r="Q38" s="73">
        <f t="shared" si="39"/>
        <v>0</v>
      </c>
      <c r="R38" s="73">
        <f t="shared" si="39"/>
        <v>0</v>
      </c>
      <c r="S38" s="56"/>
      <c r="T38" s="73">
        <f t="shared" si="1"/>
        <v>0</v>
      </c>
      <c r="U38" s="56"/>
      <c r="V38" s="73"/>
      <c r="W38" s="73"/>
      <c r="X38" s="73"/>
      <c r="Y38" s="73"/>
      <c r="Z38" s="73"/>
      <c r="AA38" s="73"/>
      <c r="AB38" s="73"/>
      <c r="AC38" s="73"/>
      <c r="AD38" s="73"/>
      <c r="AE38" s="73"/>
      <c r="AF38" s="73"/>
      <c r="AG38" s="73"/>
      <c r="AH38" s="73">
        <f t="shared" si="2"/>
        <v>0</v>
      </c>
      <c r="AI38" s="74">
        <v>0</v>
      </c>
      <c r="AJ38" s="74">
        <v>0</v>
      </c>
      <c r="AK38" s="74"/>
      <c r="AL38" s="74">
        <v>0</v>
      </c>
      <c r="AM38" s="74"/>
      <c r="AN38" s="73">
        <f t="shared" si="3"/>
        <v>0</v>
      </c>
      <c r="AO38" s="74">
        <v>0</v>
      </c>
      <c r="AP38" s="74">
        <v>0</v>
      </c>
      <c r="AQ38" s="74"/>
      <c r="AR38" s="74">
        <v>0</v>
      </c>
      <c r="AS38" s="74"/>
      <c r="AT38" s="74">
        <f t="shared" si="4"/>
        <v>0</v>
      </c>
      <c r="AU38" s="74">
        <v>0</v>
      </c>
      <c r="AV38" s="74">
        <v>0</v>
      </c>
      <c r="AW38" s="74"/>
      <c r="AX38" s="74">
        <v>0</v>
      </c>
      <c r="AY38" s="74"/>
      <c r="AZ38" s="74">
        <f t="shared" si="5"/>
        <v>0</v>
      </c>
      <c r="BA38" s="74">
        <v>0</v>
      </c>
      <c r="BB38" s="74">
        <v>0</v>
      </c>
      <c r="BC38" s="74"/>
      <c r="BD38" s="74">
        <v>0</v>
      </c>
      <c r="BE38" s="74"/>
      <c r="BF38" s="74">
        <f t="shared" si="6"/>
        <v>0</v>
      </c>
      <c r="BG38" s="74">
        <v>0</v>
      </c>
      <c r="BH38" s="74">
        <v>0</v>
      </c>
      <c r="BI38" s="74"/>
      <c r="BJ38" s="74">
        <v>0</v>
      </c>
      <c r="BK38" s="74"/>
      <c r="BL38" s="20"/>
    </row>
    <row r="39" spans="1:64" ht="84" x14ac:dyDescent="0.2">
      <c r="A39" s="69">
        <v>35</v>
      </c>
      <c r="B39" s="52" t="str">
        <f ca="1">IFERROR(__xludf.DUMMYFUNCTION("""COMPUTED_VALUE"""),"г.о. Жуковский")</f>
        <v>г.о. Жуковский</v>
      </c>
      <c r="C39"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39" s="52" t="str">
        <f ca="1">IFERROR(__xludf.DUMMYFUNCTION("""COMPUTED_VALUE"""),"МинЖКХ")</f>
        <v>МинЖКХ</v>
      </c>
      <c r="E39" s="28" t="s">
        <v>105</v>
      </c>
      <c r="F39" s="52" t="str">
        <f ca="1">IFERROR(__xludf.DUMMYFUNCTION("""COMPUTED_VALUE"""),"ВЗУ")</f>
        <v>ВЗУ</v>
      </c>
      <c r="G39" s="52">
        <f ca="1">IFERROR(__xludf.DUMMYFUNCTION("""COMPUTED_VALUE"""),2022)</f>
        <v>2022</v>
      </c>
      <c r="H39" s="48" t="str">
        <f ca="1">IFERROR(__xludf.DUMMYFUNCTION("""COMPUTED_VALUE"""),"Контракт на ПИР заключен. Получение ПСД в 2021 году.")</f>
        <v>Контракт на ПИР заключен. Получение ПСД в 2021 году.</v>
      </c>
      <c r="I39" s="48" t="str">
        <f ca="1">IFERROR(__xludf.DUMMYFUNCTION("""COMPUTED_VALUE"""),"СМР")</f>
        <v>СМР</v>
      </c>
      <c r="J39" s="48"/>
      <c r="K39" s="48"/>
      <c r="L39" s="48"/>
      <c r="M39" s="48"/>
      <c r="N39" s="48" t="str">
        <f ca="1">IFERROR(__xludf.DUMMYFUNCTION("""COMPUTED_VALUE"""),"10 1 G552430
")</f>
        <v xml:space="preserve">10 1 G552430
</v>
      </c>
      <c r="O39" s="48">
        <f ca="1">IFERROR(__xludf.DUMMYFUNCTION("""COMPUTED_VALUE"""),522)</f>
        <v>522</v>
      </c>
      <c r="P39" s="72">
        <f t="shared" ref="P39:R39" si="40">SUM(AH39,AN39,AT39,AZ39,BF39)</f>
        <v>181974.39999999999</v>
      </c>
      <c r="Q39" s="72">
        <f t="shared" si="40"/>
        <v>111231.86</v>
      </c>
      <c r="R39" s="72">
        <f t="shared" si="40"/>
        <v>37077.269999999997</v>
      </c>
      <c r="S39" s="53"/>
      <c r="T39" s="72">
        <f t="shared" si="1"/>
        <v>33665.269999999997</v>
      </c>
      <c r="U39" s="53"/>
      <c r="V39" s="72"/>
      <c r="W39" s="72"/>
      <c r="X39" s="72"/>
      <c r="Y39" s="72"/>
      <c r="Z39" s="72"/>
      <c r="AA39" s="72"/>
      <c r="AB39" s="72"/>
      <c r="AC39" s="72"/>
      <c r="AD39" s="72"/>
      <c r="AE39" s="72"/>
      <c r="AF39" s="72"/>
      <c r="AG39" s="72"/>
      <c r="AH39" s="72">
        <f t="shared" si="2"/>
        <v>0</v>
      </c>
      <c r="AI39" s="71">
        <v>0</v>
      </c>
      <c r="AJ39" s="71">
        <v>0</v>
      </c>
      <c r="AK39" s="71"/>
      <c r="AL39" s="71">
        <v>0</v>
      </c>
      <c r="AM39" s="71"/>
      <c r="AN39" s="72">
        <f t="shared" si="3"/>
        <v>0</v>
      </c>
      <c r="AO39" s="71">
        <v>0</v>
      </c>
      <c r="AP39" s="71">
        <v>0</v>
      </c>
      <c r="AQ39" s="71"/>
      <c r="AR39" s="71">
        <v>0</v>
      </c>
      <c r="AS39" s="71"/>
      <c r="AT39" s="71">
        <f t="shared" si="4"/>
        <v>181974.39999999999</v>
      </c>
      <c r="AU39" s="71">
        <v>111231.86</v>
      </c>
      <c r="AV39" s="71">
        <v>37077.269999999997</v>
      </c>
      <c r="AW39" s="71"/>
      <c r="AX39" s="71">
        <v>33665.269999999997</v>
      </c>
      <c r="AY39" s="71"/>
      <c r="AZ39" s="71">
        <f t="shared" si="5"/>
        <v>0</v>
      </c>
      <c r="BA39" s="71">
        <v>0</v>
      </c>
      <c r="BB39" s="71">
        <v>0</v>
      </c>
      <c r="BC39" s="71"/>
      <c r="BD39" s="71">
        <v>0</v>
      </c>
      <c r="BE39" s="71"/>
      <c r="BF39" s="71">
        <f t="shared" si="6"/>
        <v>0</v>
      </c>
      <c r="BG39" s="71">
        <v>0</v>
      </c>
      <c r="BH39" s="71">
        <v>0</v>
      </c>
      <c r="BI39" s="71"/>
      <c r="BJ39" s="71">
        <v>0</v>
      </c>
      <c r="BK39" s="71"/>
      <c r="BL39" s="20"/>
    </row>
    <row r="40" spans="1:64" ht="84" x14ac:dyDescent="0.2">
      <c r="A40" s="69">
        <v>36</v>
      </c>
      <c r="B40" s="55" t="str">
        <f ca="1">IFERROR(__xludf.DUMMYFUNCTION("""COMPUTED_VALUE"""),"г.о. Жуковский")</f>
        <v>г.о. Жуковский</v>
      </c>
      <c r="C40"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0" s="55" t="str">
        <f ca="1">IFERROR(__xludf.DUMMYFUNCTION("""COMPUTED_VALUE"""),"МинЖКХ")</f>
        <v>МинЖКХ</v>
      </c>
      <c r="E40" s="54" t="s">
        <v>106</v>
      </c>
      <c r="F40" s="57" t="str">
        <f ca="1">IFERROR(__xludf.DUMMYFUNCTION("""COMPUTED_VALUE"""),"ВЗУ")</f>
        <v>ВЗУ</v>
      </c>
      <c r="G40" s="57" t="str">
        <f ca="1">IFERROR(__xludf.DUMMYFUNCTION("""COMPUTED_VALUE"""),"Н/Л")</f>
        <v>Н/Л</v>
      </c>
      <c r="H40" s="48"/>
      <c r="I40" s="48"/>
      <c r="J40" s="48"/>
      <c r="K40" s="48"/>
      <c r="L40" s="48"/>
      <c r="M40" s="48"/>
      <c r="N40" s="48" t="str">
        <f ca="1">IFERROR(__xludf.DUMMYFUNCTION("""COMPUTED_VALUE"""),"10 1 G552430
")</f>
        <v xml:space="preserve">10 1 G552430
</v>
      </c>
      <c r="O40" s="48">
        <f ca="1">IFERROR(__xludf.DUMMYFUNCTION("""COMPUTED_VALUE"""),522)</f>
        <v>522</v>
      </c>
      <c r="P40" s="73">
        <f t="shared" ref="P40:R40" si="41">SUM(AH40,AN40,AT40,AZ40,BF40)</f>
        <v>0</v>
      </c>
      <c r="Q40" s="73">
        <f t="shared" si="41"/>
        <v>0</v>
      </c>
      <c r="R40" s="73">
        <f t="shared" si="41"/>
        <v>0</v>
      </c>
      <c r="S40" s="56"/>
      <c r="T40" s="73">
        <f t="shared" si="1"/>
        <v>0</v>
      </c>
      <c r="U40" s="56"/>
      <c r="V40" s="73"/>
      <c r="W40" s="73"/>
      <c r="X40" s="73"/>
      <c r="Y40" s="73"/>
      <c r="Z40" s="73"/>
      <c r="AA40" s="73"/>
      <c r="AB40" s="73"/>
      <c r="AC40" s="73"/>
      <c r="AD40" s="73"/>
      <c r="AE40" s="73"/>
      <c r="AF40" s="73"/>
      <c r="AG40" s="73"/>
      <c r="AH40" s="73">
        <f t="shared" si="2"/>
        <v>0</v>
      </c>
      <c r="AI40" s="74">
        <v>0</v>
      </c>
      <c r="AJ40" s="74">
        <v>0</v>
      </c>
      <c r="AK40" s="74"/>
      <c r="AL40" s="74">
        <v>0</v>
      </c>
      <c r="AM40" s="74"/>
      <c r="AN40" s="73">
        <f t="shared" si="3"/>
        <v>0</v>
      </c>
      <c r="AO40" s="74">
        <v>0</v>
      </c>
      <c r="AP40" s="74">
        <v>0</v>
      </c>
      <c r="AQ40" s="74"/>
      <c r="AR40" s="74">
        <v>0</v>
      </c>
      <c r="AS40" s="74"/>
      <c r="AT40" s="74">
        <f t="shared" si="4"/>
        <v>0</v>
      </c>
      <c r="AU40" s="74">
        <v>0</v>
      </c>
      <c r="AV40" s="74">
        <v>0</v>
      </c>
      <c r="AW40" s="74"/>
      <c r="AX40" s="74">
        <v>0</v>
      </c>
      <c r="AY40" s="74"/>
      <c r="AZ40" s="74">
        <f t="shared" si="5"/>
        <v>0</v>
      </c>
      <c r="BA40" s="74">
        <v>0</v>
      </c>
      <c r="BB40" s="74">
        <v>0</v>
      </c>
      <c r="BC40" s="74"/>
      <c r="BD40" s="74">
        <v>0</v>
      </c>
      <c r="BE40" s="74"/>
      <c r="BF40" s="74">
        <f t="shared" si="6"/>
        <v>0</v>
      </c>
      <c r="BG40" s="74">
        <v>0</v>
      </c>
      <c r="BH40" s="74">
        <v>0</v>
      </c>
      <c r="BI40" s="74"/>
      <c r="BJ40" s="74">
        <v>0</v>
      </c>
      <c r="BK40" s="74"/>
      <c r="BL40" s="20"/>
    </row>
    <row r="41" spans="1:64" ht="84" x14ac:dyDescent="0.2">
      <c r="A41" s="69">
        <v>37</v>
      </c>
      <c r="B41" s="52" t="str">
        <f ca="1">IFERROR(__xludf.DUMMYFUNCTION("""COMPUTED_VALUE"""),"г.о. Пушкинский")</f>
        <v>г.о. Пушкинский</v>
      </c>
      <c r="C41"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1" s="52" t="str">
        <f ca="1">IFERROR(__xludf.DUMMYFUNCTION("""COMPUTED_VALUE"""),"МинЖКХ")</f>
        <v>МинЖКХ</v>
      </c>
      <c r="E41" s="28" t="s">
        <v>107</v>
      </c>
      <c r="F41" s="52" t="str">
        <f ca="1">IFERROR(__xludf.DUMMYFUNCTION("""COMPUTED_VALUE"""),"ВЗУ")</f>
        <v>ВЗУ</v>
      </c>
      <c r="G41" s="52">
        <f ca="1">IFERROR(__xludf.DUMMYFUNCTION("""COMPUTED_VALUE"""),2023)</f>
        <v>2023</v>
      </c>
      <c r="H41" s="48" t="str">
        <f ca="1">IFERROR(__xludf.DUMMYFUNCTION("""COMPUTED_VALUE"""),"Определен источник финансирования. Публикация закупки в ноябре 2020 года. Опубликовано в ПГ. Технология МИТ.")</f>
        <v>Определен источник финансирования. Публикация закупки в ноябре 2020 года. Опубликовано в ПГ. Технология МИТ.</v>
      </c>
      <c r="I41" s="48" t="str">
        <f ca="1">IFERROR(__xludf.DUMMYFUNCTION("""COMPUTED_VALUE"""),"СМР")</f>
        <v>СМР</v>
      </c>
      <c r="J41" s="48"/>
      <c r="K41" s="48"/>
      <c r="L41" s="48"/>
      <c r="M41" s="48"/>
      <c r="N41" s="48" t="str">
        <f ca="1">IFERROR(__xludf.DUMMYFUNCTION("""COMPUTED_VALUE"""),"10 1 G552430
")</f>
        <v xml:space="preserve">10 1 G552430
</v>
      </c>
      <c r="O41" s="48">
        <f ca="1">IFERROR(__xludf.DUMMYFUNCTION("""COMPUTED_VALUE"""),522)</f>
        <v>522</v>
      </c>
      <c r="P41" s="72">
        <f>SUM(AH41,AN41,BL41,AT41,BF41)</f>
        <v>110000</v>
      </c>
      <c r="Q41" s="72" t="e">
        <f t="shared" ref="Q41:R41" si="42">SUM(AI41,AO41,#REF!,AU41,BG41)</f>
        <v>#REF!</v>
      </c>
      <c r="R41" s="72" t="e">
        <f t="shared" si="42"/>
        <v>#REF!</v>
      </c>
      <c r="S41" s="53"/>
      <c r="T41" s="72" t="e">
        <f>SUM(AL41,AR41,#REF!,AX41,BJ41)</f>
        <v>#REF!</v>
      </c>
      <c r="U41" s="72"/>
      <c r="V41" s="72"/>
      <c r="W41" s="72"/>
      <c r="X41" s="72"/>
      <c r="Y41" s="72"/>
      <c r="Z41" s="72"/>
      <c r="AA41" s="72"/>
      <c r="AB41" s="72"/>
      <c r="AC41" s="72"/>
      <c r="AD41" s="72"/>
      <c r="AE41" s="72"/>
      <c r="AF41" s="72"/>
      <c r="AG41" s="72"/>
      <c r="AH41" s="72">
        <f t="shared" si="2"/>
        <v>0</v>
      </c>
      <c r="AI41" s="71">
        <v>0</v>
      </c>
      <c r="AJ41" s="71">
        <v>0</v>
      </c>
      <c r="AK41" s="71"/>
      <c r="AL41" s="71">
        <v>0</v>
      </c>
      <c r="AM41" s="71"/>
      <c r="AN41" s="72">
        <f t="shared" si="3"/>
        <v>0</v>
      </c>
      <c r="AO41" s="71">
        <v>0</v>
      </c>
      <c r="AP41" s="71">
        <v>0</v>
      </c>
      <c r="AQ41" s="71"/>
      <c r="AR41" s="71">
        <v>0</v>
      </c>
      <c r="AS41" s="71"/>
      <c r="AT41" s="71">
        <f t="shared" si="4"/>
        <v>110000</v>
      </c>
      <c r="AU41" s="71">
        <v>62370</v>
      </c>
      <c r="AV41" s="71">
        <v>20790</v>
      </c>
      <c r="AW41" s="71"/>
      <c r="AX41" s="71">
        <v>26840</v>
      </c>
      <c r="AY41" s="71"/>
      <c r="AZ41" s="71">
        <v>0</v>
      </c>
      <c r="BA41" s="71">
        <v>0</v>
      </c>
      <c r="BB41" s="71">
        <v>0</v>
      </c>
      <c r="BC41" s="71"/>
      <c r="BD41" s="71">
        <v>0</v>
      </c>
      <c r="BE41" s="71"/>
      <c r="BF41" s="71">
        <f t="shared" si="6"/>
        <v>0</v>
      </c>
      <c r="BG41" s="71">
        <v>0</v>
      </c>
      <c r="BH41" s="71">
        <v>0</v>
      </c>
      <c r="BI41" s="71"/>
      <c r="BJ41" s="71">
        <v>0</v>
      </c>
      <c r="BK41" s="71"/>
      <c r="BL41" s="45" t="s">
        <v>108</v>
      </c>
    </row>
    <row r="42" spans="1:64" ht="84" x14ac:dyDescent="0.2">
      <c r="A42" s="69">
        <v>38</v>
      </c>
      <c r="B42" s="55" t="str">
        <f ca="1">IFERROR(__xludf.DUMMYFUNCTION("""COMPUTED_VALUE"""),"г.о. Пушкинский")</f>
        <v>г.о. Пушкинский</v>
      </c>
      <c r="C42"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2" s="55" t="str">
        <f ca="1">IFERROR(__xludf.DUMMYFUNCTION("""COMPUTED_VALUE"""),"МинЖКХ")</f>
        <v>МинЖКХ</v>
      </c>
      <c r="E42" s="54" t="s">
        <v>109</v>
      </c>
      <c r="F42" s="57" t="str">
        <f ca="1">IFERROR(__xludf.DUMMYFUNCTION("""COMPUTED_VALUE"""),"ВЗУ")</f>
        <v>ВЗУ</v>
      </c>
      <c r="G42" s="57" t="str">
        <f ca="1">IFERROR(__xludf.DUMMYFUNCTION("""COMPUTED_VALUE"""),"Н/Л")</f>
        <v>Н/Л</v>
      </c>
      <c r="H42" s="48"/>
      <c r="I42" s="48"/>
      <c r="J42" s="48"/>
      <c r="K42" s="48"/>
      <c r="L42" s="48"/>
      <c r="M42" s="48"/>
      <c r="N42" s="48" t="str">
        <f ca="1">IFERROR(__xludf.DUMMYFUNCTION("""COMPUTED_VALUE"""),"10 1 G552430
")</f>
        <v xml:space="preserve">10 1 G552430
</v>
      </c>
      <c r="O42" s="48">
        <f ca="1">IFERROR(__xludf.DUMMYFUNCTION("""COMPUTED_VALUE"""),522)</f>
        <v>522</v>
      </c>
      <c r="P42" s="73">
        <f t="shared" ref="P42:R42" si="43">SUM(AH42,AN42,AT42,AZ42,BF42)</f>
        <v>0</v>
      </c>
      <c r="Q42" s="73">
        <f t="shared" si="43"/>
        <v>0</v>
      </c>
      <c r="R42" s="73">
        <f t="shared" si="43"/>
        <v>0</v>
      </c>
      <c r="S42" s="56"/>
      <c r="T42" s="73">
        <f t="shared" ref="T42:T108" si="44">SUM(AL42,AR42,AX42,BD42,BJ42)</f>
        <v>0</v>
      </c>
      <c r="U42" s="56"/>
      <c r="V42" s="73"/>
      <c r="W42" s="73"/>
      <c r="X42" s="73"/>
      <c r="Y42" s="73"/>
      <c r="Z42" s="73"/>
      <c r="AA42" s="73"/>
      <c r="AB42" s="73"/>
      <c r="AC42" s="73"/>
      <c r="AD42" s="73"/>
      <c r="AE42" s="73"/>
      <c r="AF42" s="73"/>
      <c r="AG42" s="73"/>
      <c r="AH42" s="73">
        <f t="shared" si="2"/>
        <v>0</v>
      </c>
      <c r="AI42" s="74">
        <v>0</v>
      </c>
      <c r="AJ42" s="74">
        <v>0</v>
      </c>
      <c r="AK42" s="74"/>
      <c r="AL42" s="74">
        <v>0</v>
      </c>
      <c r="AM42" s="74"/>
      <c r="AN42" s="73">
        <f t="shared" si="3"/>
        <v>0</v>
      </c>
      <c r="AO42" s="74">
        <v>0</v>
      </c>
      <c r="AP42" s="74">
        <v>0</v>
      </c>
      <c r="AQ42" s="74"/>
      <c r="AR42" s="74">
        <v>0</v>
      </c>
      <c r="AS42" s="74"/>
      <c r="AT42" s="74">
        <f t="shared" si="4"/>
        <v>0</v>
      </c>
      <c r="AU42" s="74">
        <v>0</v>
      </c>
      <c r="AV42" s="74">
        <v>0</v>
      </c>
      <c r="AW42" s="74"/>
      <c r="AX42" s="74">
        <v>0</v>
      </c>
      <c r="AY42" s="74"/>
      <c r="AZ42" s="74">
        <f t="shared" ref="AZ42:AZ108" si="45">SUM(BA42:BD42)</f>
        <v>0</v>
      </c>
      <c r="BA42" s="74">
        <v>0</v>
      </c>
      <c r="BB42" s="74">
        <v>0</v>
      </c>
      <c r="BC42" s="74"/>
      <c r="BD42" s="74">
        <v>0</v>
      </c>
      <c r="BE42" s="74"/>
      <c r="BF42" s="74">
        <f t="shared" si="6"/>
        <v>0</v>
      </c>
      <c r="BG42" s="74">
        <v>0</v>
      </c>
      <c r="BH42" s="74">
        <v>0</v>
      </c>
      <c r="BI42" s="74"/>
      <c r="BJ42" s="74">
        <v>0</v>
      </c>
      <c r="BK42" s="74"/>
      <c r="BL42" s="20"/>
    </row>
    <row r="43" spans="1:64" ht="84" x14ac:dyDescent="0.2">
      <c r="A43" s="69">
        <v>39</v>
      </c>
      <c r="B43" s="52" t="str">
        <f ca="1">IFERROR(__xludf.DUMMYFUNCTION("""COMPUTED_VALUE"""),"г.о. Пушкинский")</f>
        <v>г.о. Пушкинский</v>
      </c>
      <c r="C43"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3" s="52" t="str">
        <f ca="1">IFERROR(__xludf.DUMMYFUNCTION("""COMPUTED_VALUE"""),"МинЖКХ")</f>
        <v>МинЖКХ</v>
      </c>
      <c r="E43" s="28" t="s">
        <v>110</v>
      </c>
      <c r="F43" s="52" t="str">
        <f ca="1">IFERROR(__xludf.DUMMYFUNCTION("""COMPUTED_VALUE"""),"ВЗУ")</f>
        <v>ВЗУ</v>
      </c>
      <c r="G43" s="52">
        <f ca="1">IFERROR(__xludf.DUMMYFUNCTION("""COMPUTED_VALUE"""),2024)</f>
        <v>2024</v>
      </c>
      <c r="H43" s="48"/>
      <c r="I43" s="48" t="str">
        <f ca="1">IFERROR(__xludf.DUMMYFUNCTION("""COMPUTED_VALUE"""),"СМР")</f>
        <v>СМР</v>
      </c>
      <c r="J43" s="48"/>
      <c r="K43" s="48"/>
      <c r="L43" s="48"/>
      <c r="M43" s="48"/>
      <c r="N43" s="48" t="str">
        <f ca="1">IFERROR(__xludf.DUMMYFUNCTION("""COMPUTED_VALUE"""),"10 1 G552430
")</f>
        <v xml:space="preserve">10 1 G552430
</v>
      </c>
      <c r="O43" s="48">
        <f ca="1">IFERROR(__xludf.DUMMYFUNCTION("""COMPUTED_VALUE"""),522)</f>
        <v>522</v>
      </c>
      <c r="P43" s="72">
        <f t="shared" ref="P43:R43" si="46">SUM(AH43,AN43,AT43,AZ43,BF43)</f>
        <v>85000</v>
      </c>
      <c r="Q43" s="72">
        <f t="shared" si="46"/>
        <v>48195</v>
      </c>
      <c r="R43" s="72">
        <f t="shared" si="46"/>
        <v>16065</v>
      </c>
      <c r="S43" s="53"/>
      <c r="T43" s="72">
        <f t="shared" si="44"/>
        <v>20740</v>
      </c>
      <c r="U43" s="53"/>
      <c r="V43" s="72"/>
      <c r="W43" s="72"/>
      <c r="X43" s="72"/>
      <c r="Y43" s="72"/>
      <c r="Z43" s="72"/>
      <c r="AA43" s="72"/>
      <c r="AB43" s="72"/>
      <c r="AC43" s="72"/>
      <c r="AD43" s="72"/>
      <c r="AE43" s="72"/>
      <c r="AF43" s="72"/>
      <c r="AG43" s="72"/>
      <c r="AH43" s="72">
        <f t="shared" si="2"/>
        <v>0</v>
      </c>
      <c r="AI43" s="71">
        <v>0</v>
      </c>
      <c r="AJ43" s="71">
        <v>0</v>
      </c>
      <c r="AK43" s="71"/>
      <c r="AL43" s="71">
        <v>0</v>
      </c>
      <c r="AM43" s="71"/>
      <c r="AN43" s="72">
        <f t="shared" si="3"/>
        <v>0</v>
      </c>
      <c r="AO43" s="71">
        <v>0</v>
      </c>
      <c r="AP43" s="71">
        <v>0</v>
      </c>
      <c r="AQ43" s="71"/>
      <c r="AR43" s="71">
        <v>0</v>
      </c>
      <c r="AS43" s="71"/>
      <c r="AT43" s="71">
        <f t="shared" si="4"/>
        <v>0</v>
      </c>
      <c r="AU43" s="71">
        <v>0</v>
      </c>
      <c r="AV43" s="71">
        <v>0</v>
      </c>
      <c r="AW43" s="71"/>
      <c r="AX43" s="71">
        <v>0</v>
      </c>
      <c r="AY43" s="71"/>
      <c r="AZ43" s="71">
        <f t="shared" si="45"/>
        <v>0</v>
      </c>
      <c r="BA43" s="71">
        <v>0</v>
      </c>
      <c r="BB43" s="71">
        <v>0</v>
      </c>
      <c r="BC43" s="71"/>
      <c r="BD43" s="71">
        <v>0</v>
      </c>
      <c r="BE43" s="71"/>
      <c r="BF43" s="71">
        <f t="shared" si="6"/>
        <v>85000</v>
      </c>
      <c r="BG43" s="71">
        <v>48195</v>
      </c>
      <c r="BH43" s="71">
        <v>16065</v>
      </c>
      <c r="BI43" s="71"/>
      <c r="BJ43" s="71">
        <v>20740</v>
      </c>
      <c r="BK43" s="71"/>
      <c r="BL43" s="20"/>
    </row>
    <row r="44" spans="1:64" ht="84" x14ac:dyDescent="0.2">
      <c r="A44" s="69">
        <v>40</v>
      </c>
      <c r="B44" s="52" t="str">
        <f ca="1">IFERROR(__xludf.DUMMYFUNCTION("""COMPUTED_VALUE"""),"г.о. Пушкинский")</f>
        <v>г.о. Пушкинский</v>
      </c>
      <c r="C44"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4" s="52" t="str">
        <f ca="1">IFERROR(__xludf.DUMMYFUNCTION("""COMPUTED_VALUE"""),"МинЖКХ")</f>
        <v>МинЖКХ</v>
      </c>
      <c r="E44" s="28" t="s">
        <v>111</v>
      </c>
      <c r="F44" s="52" t="str">
        <f ca="1">IFERROR(__xludf.DUMMYFUNCTION("""COMPUTED_VALUE"""),"ВЗУ")</f>
        <v>ВЗУ</v>
      </c>
      <c r="G44" s="52">
        <f ca="1">IFERROR(__xludf.DUMMYFUNCTION("""COMPUTED_VALUE"""),2024)</f>
        <v>2024</v>
      </c>
      <c r="H44" s="48"/>
      <c r="I44" s="48" t="str">
        <f ca="1">IFERROR(__xludf.DUMMYFUNCTION("""COMPUTED_VALUE"""),"СМР")</f>
        <v>СМР</v>
      </c>
      <c r="J44" s="48"/>
      <c r="K44" s="48"/>
      <c r="L44" s="48"/>
      <c r="M44" s="48"/>
      <c r="N44" s="48" t="str">
        <f ca="1">IFERROR(__xludf.DUMMYFUNCTION("""COMPUTED_VALUE"""),"10 1 G552430
")</f>
        <v xml:space="preserve">10 1 G552430
</v>
      </c>
      <c r="O44" s="48">
        <f ca="1">IFERROR(__xludf.DUMMYFUNCTION("""COMPUTED_VALUE"""),522)</f>
        <v>522</v>
      </c>
      <c r="P44" s="72">
        <f t="shared" ref="P44:R44" si="47">SUM(AH44,AN44,AT44,AZ44,BF44)</f>
        <v>60000</v>
      </c>
      <c r="Q44" s="72">
        <f t="shared" si="47"/>
        <v>34020</v>
      </c>
      <c r="R44" s="72">
        <f t="shared" si="47"/>
        <v>11340</v>
      </c>
      <c r="S44" s="53"/>
      <c r="T44" s="72">
        <f t="shared" si="44"/>
        <v>14640</v>
      </c>
      <c r="U44" s="53"/>
      <c r="V44" s="72"/>
      <c r="W44" s="72"/>
      <c r="X44" s="72"/>
      <c r="Y44" s="72"/>
      <c r="Z44" s="72"/>
      <c r="AA44" s="72"/>
      <c r="AB44" s="72"/>
      <c r="AC44" s="72"/>
      <c r="AD44" s="72"/>
      <c r="AE44" s="72"/>
      <c r="AF44" s="72"/>
      <c r="AG44" s="72"/>
      <c r="AH44" s="72">
        <f t="shared" si="2"/>
        <v>0</v>
      </c>
      <c r="AI44" s="71">
        <v>0</v>
      </c>
      <c r="AJ44" s="71">
        <v>0</v>
      </c>
      <c r="AK44" s="71"/>
      <c r="AL44" s="71">
        <v>0</v>
      </c>
      <c r="AM44" s="71"/>
      <c r="AN44" s="72">
        <f t="shared" si="3"/>
        <v>0</v>
      </c>
      <c r="AO44" s="71">
        <v>0</v>
      </c>
      <c r="AP44" s="71">
        <v>0</v>
      </c>
      <c r="AQ44" s="71"/>
      <c r="AR44" s="71">
        <v>0</v>
      </c>
      <c r="AS44" s="71"/>
      <c r="AT44" s="71">
        <f t="shared" si="4"/>
        <v>0</v>
      </c>
      <c r="AU44" s="71">
        <v>0</v>
      </c>
      <c r="AV44" s="71">
        <v>0</v>
      </c>
      <c r="AW44" s="71"/>
      <c r="AX44" s="71">
        <v>0</v>
      </c>
      <c r="AY44" s="71"/>
      <c r="AZ44" s="71">
        <f t="shared" si="45"/>
        <v>0</v>
      </c>
      <c r="BA44" s="71">
        <v>0</v>
      </c>
      <c r="BB44" s="71">
        <v>0</v>
      </c>
      <c r="BC44" s="71"/>
      <c r="BD44" s="71">
        <v>0</v>
      </c>
      <c r="BE44" s="71"/>
      <c r="BF44" s="71">
        <f t="shared" si="6"/>
        <v>60000</v>
      </c>
      <c r="BG44" s="71">
        <v>34020</v>
      </c>
      <c r="BH44" s="71">
        <v>11340</v>
      </c>
      <c r="BI44" s="71"/>
      <c r="BJ44" s="71">
        <v>14640</v>
      </c>
      <c r="BK44" s="71"/>
      <c r="BL44" s="20"/>
    </row>
    <row r="45" spans="1:64" ht="84" x14ac:dyDescent="0.2">
      <c r="A45" s="69">
        <v>41</v>
      </c>
      <c r="B45" s="55" t="str">
        <f ca="1">IFERROR(__xludf.DUMMYFUNCTION("""COMPUTED_VALUE"""),"г.о. Пушкинский")</f>
        <v>г.о. Пушкинский</v>
      </c>
      <c r="C45"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5" s="55" t="str">
        <f ca="1">IFERROR(__xludf.DUMMYFUNCTION("""COMPUTED_VALUE"""),"МинЖКХ")</f>
        <v>МинЖКХ</v>
      </c>
      <c r="E45" s="54" t="s">
        <v>112</v>
      </c>
      <c r="F45" s="57" t="str">
        <f ca="1">IFERROR(__xludf.DUMMYFUNCTION("""COMPUTED_VALUE"""),"ВЗУ")</f>
        <v>ВЗУ</v>
      </c>
      <c r="G45" s="57" t="str">
        <f ca="1">IFERROR(__xludf.DUMMYFUNCTION("""COMPUTED_VALUE"""),"Н/Л")</f>
        <v>Н/Л</v>
      </c>
      <c r="H45" s="48"/>
      <c r="I45" s="48"/>
      <c r="J45" s="48"/>
      <c r="K45" s="48"/>
      <c r="L45" s="48"/>
      <c r="M45" s="48"/>
      <c r="N45" s="48" t="str">
        <f ca="1">IFERROR(__xludf.DUMMYFUNCTION("""COMPUTED_VALUE"""),"10 1 G552430
")</f>
        <v xml:space="preserve">10 1 G552430
</v>
      </c>
      <c r="O45" s="48">
        <f ca="1">IFERROR(__xludf.DUMMYFUNCTION("""COMPUTED_VALUE"""),522)</f>
        <v>522</v>
      </c>
      <c r="P45" s="73">
        <f t="shared" ref="P45:R45" si="48">SUM(AH45,AN45,AT45,AZ45,BF45)</f>
        <v>0</v>
      </c>
      <c r="Q45" s="73">
        <f t="shared" si="48"/>
        <v>0</v>
      </c>
      <c r="R45" s="73">
        <f t="shared" si="48"/>
        <v>0</v>
      </c>
      <c r="S45" s="56"/>
      <c r="T45" s="73">
        <f t="shared" si="44"/>
        <v>0</v>
      </c>
      <c r="U45" s="56"/>
      <c r="V45" s="73"/>
      <c r="W45" s="73"/>
      <c r="X45" s="73"/>
      <c r="Y45" s="73"/>
      <c r="Z45" s="73"/>
      <c r="AA45" s="73"/>
      <c r="AB45" s="73"/>
      <c r="AC45" s="73"/>
      <c r="AD45" s="73"/>
      <c r="AE45" s="73"/>
      <c r="AF45" s="73"/>
      <c r="AG45" s="73"/>
      <c r="AH45" s="73">
        <f t="shared" si="2"/>
        <v>0</v>
      </c>
      <c r="AI45" s="74">
        <v>0</v>
      </c>
      <c r="AJ45" s="74">
        <v>0</v>
      </c>
      <c r="AK45" s="74"/>
      <c r="AL45" s="74">
        <v>0</v>
      </c>
      <c r="AM45" s="74"/>
      <c r="AN45" s="73">
        <f t="shared" si="3"/>
        <v>0</v>
      </c>
      <c r="AO45" s="74">
        <v>0</v>
      </c>
      <c r="AP45" s="74">
        <v>0</v>
      </c>
      <c r="AQ45" s="74"/>
      <c r="AR45" s="74">
        <v>0</v>
      </c>
      <c r="AS45" s="74"/>
      <c r="AT45" s="74">
        <f t="shared" si="4"/>
        <v>0</v>
      </c>
      <c r="AU45" s="74">
        <v>0</v>
      </c>
      <c r="AV45" s="74">
        <v>0</v>
      </c>
      <c r="AW45" s="74"/>
      <c r="AX45" s="74">
        <v>0</v>
      </c>
      <c r="AY45" s="74"/>
      <c r="AZ45" s="74">
        <f t="shared" si="45"/>
        <v>0</v>
      </c>
      <c r="BA45" s="74">
        <v>0</v>
      </c>
      <c r="BB45" s="74">
        <v>0</v>
      </c>
      <c r="BC45" s="74"/>
      <c r="BD45" s="74">
        <v>0</v>
      </c>
      <c r="BE45" s="74"/>
      <c r="BF45" s="74">
        <f t="shared" si="6"/>
        <v>0</v>
      </c>
      <c r="BG45" s="74">
        <v>0</v>
      </c>
      <c r="BH45" s="74">
        <v>0</v>
      </c>
      <c r="BI45" s="74"/>
      <c r="BJ45" s="74">
        <v>0</v>
      </c>
      <c r="BK45" s="74"/>
      <c r="BL45" s="20"/>
    </row>
    <row r="46" spans="1:64" ht="84" x14ac:dyDescent="0.2">
      <c r="A46" s="69">
        <v>42</v>
      </c>
      <c r="B46" s="52" t="str">
        <f ca="1">IFERROR(__xludf.DUMMYFUNCTION("""COMPUTED_VALUE"""),"г.о. Пушкинский")</f>
        <v>г.о. Пушкинский</v>
      </c>
      <c r="C46"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6" s="52" t="str">
        <f ca="1">IFERROR(__xludf.DUMMYFUNCTION("""COMPUTED_VALUE"""),"МинЖКХ")</f>
        <v>МинЖКХ</v>
      </c>
      <c r="E46" s="28" t="s">
        <v>113</v>
      </c>
      <c r="F46" s="52" t="str">
        <f ca="1">IFERROR(__xludf.DUMMYFUNCTION("""COMPUTED_VALUE"""),"ВЗУ")</f>
        <v>ВЗУ</v>
      </c>
      <c r="G46" s="52">
        <f ca="1">IFERROR(__xludf.DUMMYFUNCTION("""COMPUTED_VALUE"""),2024)</f>
        <v>2024</v>
      </c>
      <c r="H46" s="48"/>
      <c r="I46" s="48" t="str">
        <f ca="1">IFERROR(__xludf.DUMMYFUNCTION("""COMPUTED_VALUE"""),"СМР")</f>
        <v>СМР</v>
      </c>
      <c r="J46" s="48"/>
      <c r="K46" s="48"/>
      <c r="L46" s="48"/>
      <c r="M46" s="48"/>
      <c r="N46" s="48" t="str">
        <f ca="1">IFERROR(__xludf.DUMMYFUNCTION("""COMPUTED_VALUE"""),"10 1 G552430
")</f>
        <v xml:space="preserve">10 1 G552430
</v>
      </c>
      <c r="O46" s="48">
        <f ca="1">IFERROR(__xludf.DUMMYFUNCTION("""COMPUTED_VALUE"""),522)</f>
        <v>522</v>
      </c>
      <c r="P46" s="72">
        <f t="shared" ref="P46:R46" si="49">SUM(AH46,AN46,AT46,AZ46,BF46)</f>
        <v>38000</v>
      </c>
      <c r="Q46" s="72">
        <f t="shared" si="49"/>
        <v>21546</v>
      </c>
      <c r="R46" s="72">
        <f t="shared" si="49"/>
        <v>7182</v>
      </c>
      <c r="S46" s="53"/>
      <c r="T46" s="72">
        <f t="shared" si="44"/>
        <v>9272</v>
      </c>
      <c r="U46" s="53"/>
      <c r="V46" s="72"/>
      <c r="W46" s="72"/>
      <c r="X46" s="72"/>
      <c r="Y46" s="72"/>
      <c r="Z46" s="72"/>
      <c r="AA46" s="72"/>
      <c r="AB46" s="72"/>
      <c r="AC46" s="72"/>
      <c r="AD46" s="72"/>
      <c r="AE46" s="72"/>
      <c r="AF46" s="72"/>
      <c r="AG46" s="72"/>
      <c r="AH46" s="72">
        <f t="shared" si="2"/>
        <v>0</v>
      </c>
      <c r="AI46" s="71">
        <v>0</v>
      </c>
      <c r="AJ46" s="71">
        <v>0</v>
      </c>
      <c r="AK46" s="71"/>
      <c r="AL46" s="71">
        <v>0</v>
      </c>
      <c r="AM46" s="71"/>
      <c r="AN46" s="72">
        <f t="shared" si="3"/>
        <v>0</v>
      </c>
      <c r="AO46" s="71">
        <v>0</v>
      </c>
      <c r="AP46" s="71">
        <v>0</v>
      </c>
      <c r="AQ46" s="71"/>
      <c r="AR46" s="71">
        <v>0</v>
      </c>
      <c r="AS46" s="71"/>
      <c r="AT46" s="71">
        <f t="shared" si="4"/>
        <v>0</v>
      </c>
      <c r="AU46" s="71">
        <v>0</v>
      </c>
      <c r="AV46" s="71">
        <v>0</v>
      </c>
      <c r="AW46" s="71"/>
      <c r="AX46" s="71">
        <v>0</v>
      </c>
      <c r="AY46" s="71"/>
      <c r="AZ46" s="71">
        <f t="shared" si="45"/>
        <v>0</v>
      </c>
      <c r="BA46" s="71">
        <v>0</v>
      </c>
      <c r="BB46" s="71">
        <v>0</v>
      </c>
      <c r="BC46" s="71"/>
      <c r="BD46" s="71">
        <v>0</v>
      </c>
      <c r="BE46" s="71"/>
      <c r="BF46" s="71">
        <f t="shared" si="6"/>
        <v>38000</v>
      </c>
      <c r="BG46" s="71">
        <v>21546</v>
      </c>
      <c r="BH46" s="71">
        <v>7182</v>
      </c>
      <c r="BI46" s="71"/>
      <c r="BJ46" s="71">
        <v>9272</v>
      </c>
      <c r="BK46" s="71"/>
      <c r="BL46" s="20"/>
    </row>
    <row r="47" spans="1:64" ht="84" x14ac:dyDescent="0.2">
      <c r="A47" s="69">
        <v>43</v>
      </c>
      <c r="B47" s="52" t="str">
        <f ca="1">IFERROR(__xludf.DUMMYFUNCTION("""COMPUTED_VALUE"""),"г.о. Пушкинский")</f>
        <v>г.о. Пушкинский</v>
      </c>
      <c r="C47"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7" s="52" t="str">
        <f ca="1">IFERROR(__xludf.DUMMYFUNCTION("""COMPUTED_VALUE"""),"МинЖКХ")</f>
        <v>МинЖКХ</v>
      </c>
      <c r="E47" s="28" t="s">
        <v>114</v>
      </c>
      <c r="F47" s="52" t="str">
        <f ca="1">IFERROR(__xludf.DUMMYFUNCTION("""COMPUTED_VALUE"""),"ВЗУ")</f>
        <v>ВЗУ</v>
      </c>
      <c r="G47" s="52">
        <f ca="1">IFERROR(__xludf.DUMMYFUNCTION("""COMPUTED_VALUE"""),2024)</f>
        <v>2024</v>
      </c>
      <c r="H47" s="48"/>
      <c r="I47" s="48" t="str">
        <f ca="1">IFERROR(__xludf.DUMMYFUNCTION("""COMPUTED_VALUE"""),"СМР")</f>
        <v>СМР</v>
      </c>
      <c r="J47" s="48"/>
      <c r="K47" s="48"/>
      <c r="L47" s="48"/>
      <c r="M47" s="48"/>
      <c r="N47" s="48" t="str">
        <f ca="1">IFERROR(__xludf.DUMMYFUNCTION("""COMPUTED_VALUE"""),"10 1 G552430
")</f>
        <v xml:space="preserve">10 1 G552430
</v>
      </c>
      <c r="O47" s="48">
        <f ca="1">IFERROR(__xludf.DUMMYFUNCTION("""COMPUTED_VALUE"""),522)</f>
        <v>522</v>
      </c>
      <c r="P47" s="72">
        <f t="shared" ref="P47:R47" si="50">SUM(AH47,AN47,AT47,AZ47,BF47)</f>
        <v>12000</v>
      </c>
      <c r="Q47" s="72">
        <f t="shared" si="50"/>
        <v>6804</v>
      </c>
      <c r="R47" s="72">
        <f t="shared" si="50"/>
        <v>2268</v>
      </c>
      <c r="S47" s="53"/>
      <c r="T47" s="72">
        <f t="shared" si="44"/>
        <v>2928</v>
      </c>
      <c r="U47" s="53"/>
      <c r="V47" s="72"/>
      <c r="W47" s="72"/>
      <c r="X47" s="72"/>
      <c r="Y47" s="72"/>
      <c r="Z47" s="72"/>
      <c r="AA47" s="72"/>
      <c r="AB47" s="72"/>
      <c r="AC47" s="72"/>
      <c r="AD47" s="72"/>
      <c r="AE47" s="72"/>
      <c r="AF47" s="72"/>
      <c r="AG47" s="72"/>
      <c r="AH47" s="72">
        <f t="shared" si="2"/>
        <v>0</v>
      </c>
      <c r="AI47" s="71">
        <v>0</v>
      </c>
      <c r="AJ47" s="71">
        <v>0</v>
      </c>
      <c r="AK47" s="71"/>
      <c r="AL47" s="71">
        <v>0</v>
      </c>
      <c r="AM47" s="71"/>
      <c r="AN47" s="72">
        <f t="shared" si="3"/>
        <v>0</v>
      </c>
      <c r="AO47" s="71">
        <v>0</v>
      </c>
      <c r="AP47" s="71">
        <v>0</v>
      </c>
      <c r="AQ47" s="71"/>
      <c r="AR47" s="71">
        <v>0</v>
      </c>
      <c r="AS47" s="71"/>
      <c r="AT47" s="71">
        <f t="shared" si="4"/>
        <v>0</v>
      </c>
      <c r="AU47" s="71">
        <v>0</v>
      </c>
      <c r="AV47" s="71">
        <v>0</v>
      </c>
      <c r="AW47" s="71"/>
      <c r="AX47" s="71">
        <v>0</v>
      </c>
      <c r="AY47" s="71"/>
      <c r="AZ47" s="71">
        <f t="shared" si="45"/>
        <v>0</v>
      </c>
      <c r="BA47" s="71">
        <v>0</v>
      </c>
      <c r="BB47" s="71">
        <v>0</v>
      </c>
      <c r="BC47" s="71"/>
      <c r="BD47" s="71">
        <v>0</v>
      </c>
      <c r="BE47" s="71"/>
      <c r="BF47" s="71">
        <f t="shared" si="6"/>
        <v>12000</v>
      </c>
      <c r="BG47" s="71">
        <v>6804</v>
      </c>
      <c r="BH47" s="71">
        <v>2268</v>
      </c>
      <c r="BI47" s="71"/>
      <c r="BJ47" s="71">
        <v>2928</v>
      </c>
      <c r="BK47" s="71"/>
      <c r="BL47" s="20"/>
    </row>
    <row r="48" spans="1:64" ht="84" x14ac:dyDescent="0.2">
      <c r="A48" s="69">
        <v>44</v>
      </c>
      <c r="B48" s="52" t="str">
        <f ca="1">IFERROR(__xludf.DUMMYFUNCTION("""COMPUTED_VALUE"""),"г.о. Можайск")</f>
        <v>г.о. Можайск</v>
      </c>
      <c r="C48"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8" s="52" t="str">
        <f ca="1">IFERROR(__xludf.DUMMYFUNCTION("""COMPUTED_VALUE"""),"МинЖКХ")</f>
        <v>МинЖКХ</v>
      </c>
      <c r="E48" s="28" t="s">
        <v>115</v>
      </c>
      <c r="F48" s="52" t="str">
        <f ca="1">IFERROR(__xludf.DUMMYFUNCTION("""COMPUTED_VALUE"""),"ВЗУ")</f>
        <v>ВЗУ</v>
      </c>
      <c r="G48" s="52">
        <f ca="1">IFERROR(__xludf.DUMMYFUNCTION("""COMPUTED_VALUE"""),2022)</f>
        <v>2022</v>
      </c>
      <c r="H48" s="48"/>
      <c r="I48" s="48"/>
      <c r="J48" s="48"/>
      <c r="K48" s="48"/>
      <c r="L48" s="48"/>
      <c r="M48" s="48"/>
      <c r="N48" s="48" t="str">
        <f ca="1">IFERROR(__xludf.DUMMYFUNCTION("""COMPUTED_VALUE"""),"10 1 G552430
")</f>
        <v xml:space="preserve">10 1 G552430
</v>
      </c>
      <c r="O48" s="48">
        <f ca="1">IFERROR(__xludf.DUMMYFUNCTION("""COMPUTED_VALUE"""),522)</f>
        <v>522</v>
      </c>
      <c r="P48" s="72">
        <f t="shared" ref="P48:R48" si="51">SUM(AH48,AN48,AT48,AZ48,BF48)</f>
        <v>45000</v>
      </c>
      <c r="Q48" s="72">
        <f t="shared" si="51"/>
        <v>26865</v>
      </c>
      <c r="R48" s="72">
        <f t="shared" si="51"/>
        <v>8955</v>
      </c>
      <c r="S48" s="53"/>
      <c r="T48" s="72">
        <f t="shared" si="44"/>
        <v>9180</v>
      </c>
      <c r="U48" s="53"/>
      <c r="V48" s="72"/>
      <c r="W48" s="72"/>
      <c r="X48" s="72"/>
      <c r="Y48" s="72"/>
      <c r="Z48" s="72"/>
      <c r="AA48" s="72"/>
      <c r="AB48" s="72"/>
      <c r="AC48" s="72"/>
      <c r="AD48" s="72"/>
      <c r="AE48" s="72"/>
      <c r="AF48" s="72"/>
      <c r="AG48" s="72"/>
      <c r="AH48" s="72">
        <f t="shared" si="2"/>
        <v>0</v>
      </c>
      <c r="AI48" s="71">
        <v>0</v>
      </c>
      <c r="AJ48" s="71">
        <v>0</v>
      </c>
      <c r="AK48" s="71"/>
      <c r="AL48" s="71">
        <v>0</v>
      </c>
      <c r="AM48" s="71"/>
      <c r="AN48" s="72">
        <f t="shared" si="3"/>
        <v>0</v>
      </c>
      <c r="AO48" s="71">
        <v>0</v>
      </c>
      <c r="AP48" s="71">
        <v>0</v>
      </c>
      <c r="AQ48" s="71"/>
      <c r="AR48" s="71">
        <v>0</v>
      </c>
      <c r="AS48" s="71"/>
      <c r="AT48" s="71">
        <f t="shared" si="4"/>
        <v>45000</v>
      </c>
      <c r="AU48" s="71">
        <v>26865</v>
      </c>
      <c r="AV48" s="71">
        <v>8955</v>
      </c>
      <c r="AW48" s="71"/>
      <c r="AX48" s="71">
        <v>9180</v>
      </c>
      <c r="AY48" s="71"/>
      <c r="AZ48" s="71">
        <f t="shared" si="45"/>
        <v>0</v>
      </c>
      <c r="BA48" s="71">
        <v>0</v>
      </c>
      <c r="BB48" s="71">
        <v>0</v>
      </c>
      <c r="BC48" s="71"/>
      <c r="BD48" s="71">
        <v>0</v>
      </c>
      <c r="BE48" s="71"/>
      <c r="BF48" s="71">
        <f t="shared" si="6"/>
        <v>0</v>
      </c>
      <c r="BG48" s="71">
        <v>0</v>
      </c>
      <c r="BH48" s="71">
        <v>0</v>
      </c>
      <c r="BI48" s="71"/>
      <c r="BJ48" s="71">
        <v>0</v>
      </c>
      <c r="BK48" s="71"/>
      <c r="BL48" s="20"/>
    </row>
    <row r="49" spans="1:64" ht="84" x14ac:dyDescent="0.2">
      <c r="A49" s="69">
        <v>45</v>
      </c>
      <c r="B49" s="52" t="str">
        <f ca="1">IFERROR(__xludf.DUMMYFUNCTION("""COMPUTED_VALUE"""),"г.о. Солнечногорск")</f>
        <v>г.о. Солнечногорск</v>
      </c>
      <c r="C49"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49" s="52" t="str">
        <f ca="1">IFERROR(__xludf.DUMMYFUNCTION("""COMPUTED_VALUE"""),"МинЖКХ")</f>
        <v>МинЖКХ</v>
      </c>
      <c r="E49" s="28" t="s">
        <v>116</v>
      </c>
      <c r="F49" s="52" t="str">
        <f ca="1">IFERROR(__xludf.DUMMYFUNCTION("""COMPUTED_VALUE"""),"ВЗУ")</f>
        <v>ВЗУ</v>
      </c>
      <c r="G49" s="52">
        <f ca="1">IFERROR(__xludf.DUMMYFUNCTION("""COMPUTED_VALUE"""),2022)</f>
        <v>2022</v>
      </c>
      <c r="H49" s="48"/>
      <c r="I49" s="48" t="str">
        <f ca="1">IFERROR(__xludf.DUMMYFUNCTION("""COMPUTED_VALUE"""),"СМР")</f>
        <v>СМР</v>
      </c>
      <c r="J49" s="48"/>
      <c r="K49" s="48"/>
      <c r="L49" s="48"/>
      <c r="M49" s="48"/>
      <c r="N49" s="48" t="str">
        <f ca="1">IFERROR(__xludf.DUMMYFUNCTION("""COMPUTED_VALUE"""),"10 1 G552430
")</f>
        <v xml:space="preserve">10 1 G552430
</v>
      </c>
      <c r="O49" s="48">
        <f ca="1">IFERROR(__xludf.DUMMYFUNCTION("""COMPUTED_VALUE"""),522)</f>
        <v>522</v>
      </c>
      <c r="P49" s="72">
        <f t="shared" ref="P49:R49" si="52">SUM(AH49,AN49,AT49,AZ49,BF49)</f>
        <v>31441.22</v>
      </c>
      <c r="Q49" s="72">
        <f t="shared" si="52"/>
        <v>19525</v>
      </c>
      <c r="R49" s="72">
        <f t="shared" si="52"/>
        <v>6508.33</v>
      </c>
      <c r="S49" s="53"/>
      <c r="T49" s="72">
        <f t="shared" si="44"/>
        <v>5407.89</v>
      </c>
      <c r="U49" s="53"/>
      <c r="V49" s="72"/>
      <c r="W49" s="72"/>
      <c r="X49" s="72"/>
      <c r="Y49" s="72"/>
      <c r="Z49" s="72"/>
      <c r="AA49" s="72"/>
      <c r="AB49" s="72"/>
      <c r="AC49" s="72"/>
      <c r="AD49" s="72"/>
      <c r="AE49" s="72"/>
      <c r="AF49" s="72"/>
      <c r="AG49" s="72"/>
      <c r="AH49" s="72">
        <f t="shared" si="2"/>
        <v>0</v>
      </c>
      <c r="AI49" s="71">
        <v>0</v>
      </c>
      <c r="AJ49" s="71">
        <v>0</v>
      </c>
      <c r="AK49" s="71"/>
      <c r="AL49" s="71">
        <v>0</v>
      </c>
      <c r="AM49" s="71"/>
      <c r="AN49" s="72">
        <f t="shared" si="3"/>
        <v>0</v>
      </c>
      <c r="AO49" s="71">
        <v>0</v>
      </c>
      <c r="AP49" s="71">
        <v>0</v>
      </c>
      <c r="AQ49" s="71"/>
      <c r="AR49" s="71">
        <v>0</v>
      </c>
      <c r="AS49" s="71"/>
      <c r="AT49" s="71">
        <f t="shared" si="4"/>
        <v>31441.22</v>
      </c>
      <c r="AU49" s="71">
        <v>19525</v>
      </c>
      <c r="AV49" s="71">
        <v>6508.33</v>
      </c>
      <c r="AW49" s="71"/>
      <c r="AX49" s="71">
        <v>5407.89</v>
      </c>
      <c r="AY49" s="71"/>
      <c r="AZ49" s="71">
        <f t="shared" si="45"/>
        <v>0</v>
      </c>
      <c r="BA49" s="71">
        <v>0</v>
      </c>
      <c r="BB49" s="71">
        <v>0</v>
      </c>
      <c r="BC49" s="71"/>
      <c r="BD49" s="71">
        <v>0</v>
      </c>
      <c r="BE49" s="71"/>
      <c r="BF49" s="71">
        <f t="shared" si="6"/>
        <v>0</v>
      </c>
      <c r="BG49" s="71">
        <v>0</v>
      </c>
      <c r="BH49" s="71">
        <v>0</v>
      </c>
      <c r="BI49" s="71"/>
      <c r="BJ49" s="71">
        <v>0</v>
      </c>
      <c r="BK49" s="71"/>
      <c r="BL49" s="20"/>
    </row>
    <row r="50" spans="1:64" ht="84" x14ac:dyDescent="0.2">
      <c r="A50" s="69">
        <v>46</v>
      </c>
      <c r="B50" s="52" t="str">
        <f ca="1">IFERROR(__xludf.DUMMYFUNCTION("""COMPUTED_VALUE"""),"г.о. Солнечногорск")</f>
        <v>г.о. Солнечногорск</v>
      </c>
      <c r="C50"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0" s="52" t="str">
        <f ca="1">IFERROR(__xludf.DUMMYFUNCTION("""COMPUTED_VALUE"""),"МинЖКХ")</f>
        <v>МинЖКХ</v>
      </c>
      <c r="E50" s="28" t="s">
        <v>117</v>
      </c>
      <c r="F50" s="52" t="str">
        <f ca="1">IFERROR(__xludf.DUMMYFUNCTION("""COMPUTED_VALUE"""),"ВЗУ")</f>
        <v>ВЗУ</v>
      </c>
      <c r="G50" s="52">
        <f ca="1">IFERROR(__xludf.DUMMYFUNCTION("""COMPUTED_VALUE"""),2022)</f>
        <v>2022</v>
      </c>
      <c r="H50" s="48"/>
      <c r="I50" s="48" t="str">
        <f ca="1">IFERROR(__xludf.DUMMYFUNCTION("""COMPUTED_VALUE"""),"СМР")</f>
        <v>СМР</v>
      </c>
      <c r="J50" s="48"/>
      <c r="K50" s="48"/>
      <c r="L50" s="48"/>
      <c r="M50" s="48"/>
      <c r="N50" s="48" t="str">
        <f ca="1">IFERROR(__xludf.DUMMYFUNCTION("""COMPUTED_VALUE"""),"10 1 G552430
")</f>
        <v xml:space="preserve">10 1 G552430
</v>
      </c>
      <c r="O50" s="48">
        <f ca="1">IFERROR(__xludf.DUMMYFUNCTION("""COMPUTED_VALUE"""),522)</f>
        <v>522</v>
      </c>
      <c r="P50" s="72">
        <f t="shared" ref="P50:R50" si="53">SUM(AH50,AN50,AT50,AZ50,BF50)</f>
        <v>21272.140000000003</v>
      </c>
      <c r="Q50" s="72">
        <f t="shared" si="53"/>
        <v>13210</v>
      </c>
      <c r="R50" s="72">
        <f t="shared" si="53"/>
        <v>4403.33</v>
      </c>
      <c r="S50" s="53"/>
      <c r="T50" s="72">
        <f t="shared" si="44"/>
        <v>3658.81</v>
      </c>
      <c r="U50" s="53"/>
      <c r="V50" s="72"/>
      <c r="W50" s="72"/>
      <c r="X50" s="72"/>
      <c r="Y50" s="72"/>
      <c r="Z50" s="72"/>
      <c r="AA50" s="72"/>
      <c r="AB50" s="72"/>
      <c r="AC50" s="72"/>
      <c r="AD50" s="72"/>
      <c r="AE50" s="72"/>
      <c r="AF50" s="72"/>
      <c r="AG50" s="72"/>
      <c r="AH50" s="72">
        <f t="shared" si="2"/>
        <v>0</v>
      </c>
      <c r="AI50" s="71">
        <v>0</v>
      </c>
      <c r="AJ50" s="71">
        <v>0</v>
      </c>
      <c r="AK50" s="71"/>
      <c r="AL50" s="71">
        <v>0</v>
      </c>
      <c r="AM50" s="71"/>
      <c r="AN50" s="72">
        <f t="shared" si="3"/>
        <v>0</v>
      </c>
      <c r="AO50" s="71">
        <v>0</v>
      </c>
      <c r="AP50" s="71">
        <v>0</v>
      </c>
      <c r="AQ50" s="71"/>
      <c r="AR50" s="71">
        <v>0</v>
      </c>
      <c r="AS50" s="71"/>
      <c r="AT50" s="71">
        <f t="shared" si="4"/>
        <v>21272.140000000003</v>
      </c>
      <c r="AU50" s="71">
        <v>13210</v>
      </c>
      <c r="AV50" s="71">
        <v>4403.33</v>
      </c>
      <c r="AW50" s="71"/>
      <c r="AX50" s="71">
        <v>3658.81</v>
      </c>
      <c r="AY50" s="71"/>
      <c r="AZ50" s="71">
        <f t="shared" si="45"/>
        <v>0</v>
      </c>
      <c r="BA50" s="71">
        <v>0</v>
      </c>
      <c r="BB50" s="71">
        <v>0</v>
      </c>
      <c r="BC50" s="71"/>
      <c r="BD50" s="71">
        <v>0</v>
      </c>
      <c r="BE50" s="71"/>
      <c r="BF50" s="71">
        <f t="shared" si="6"/>
        <v>0</v>
      </c>
      <c r="BG50" s="71">
        <v>0</v>
      </c>
      <c r="BH50" s="71">
        <v>0</v>
      </c>
      <c r="BI50" s="71"/>
      <c r="BJ50" s="71">
        <v>0</v>
      </c>
      <c r="BK50" s="71"/>
      <c r="BL50" s="20"/>
    </row>
    <row r="51" spans="1:64" ht="84" x14ac:dyDescent="0.2">
      <c r="A51" s="69">
        <v>47</v>
      </c>
      <c r="B51" s="52" t="str">
        <f ca="1">IFERROR(__xludf.DUMMYFUNCTION("""COMPUTED_VALUE"""),"г.о. Солнечногорск")</f>
        <v>г.о. Солнечногорск</v>
      </c>
      <c r="C51"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1" s="52" t="str">
        <f ca="1">IFERROR(__xludf.DUMMYFUNCTION("""COMPUTED_VALUE"""),"МинЖКХ")</f>
        <v>МинЖКХ</v>
      </c>
      <c r="E51" s="28" t="s">
        <v>118</v>
      </c>
      <c r="F51" s="52" t="str">
        <f ca="1">IFERROR(__xludf.DUMMYFUNCTION("""COMPUTED_VALUE"""),"ВЗУ")</f>
        <v>ВЗУ</v>
      </c>
      <c r="G51" s="52">
        <f ca="1">IFERROR(__xludf.DUMMYFUNCTION("""COMPUTED_VALUE"""),2022)</f>
        <v>2022</v>
      </c>
      <c r="H51" s="48"/>
      <c r="I51" s="48" t="str">
        <f ca="1">IFERROR(__xludf.DUMMYFUNCTION("""COMPUTED_VALUE"""),"СМР")</f>
        <v>СМР</v>
      </c>
      <c r="J51" s="48"/>
      <c r="K51" s="48"/>
      <c r="L51" s="48"/>
      <c r="M51" s="48"/>
      <c r="N51" s="48" t="str">
        <f ca="1">IFERROR(__xludf.DUMMYFUNCTION("""COMPUTED_VALUE"""),"10 1 G552430
")</f>
        <v xml:space="preserve">10 1 G552430
</v>
      </c>
      <c r="O51" s="48">
        <f ca="1">IFERROR(__xludf.DUMMYFUNCTION("""COMPUTED_VALUE"""),522)</f>
        <v>522</v>
      </c>
      <c r="P51" s="72">
        <f t="shared" ref="P51:R51" si="54">SUM(AH51,AN51,AT51,AZ51,BF51)</f>
        <v>35000</v>
      </c>
      <c r="Q51" s="72">
        <f t="shared" si="54"/>
        <v>21735</v>
      </c>
      <c r="R51" s="72">
        <f t="shared" si="54"/>
        <v>7245</v>
      </c>
      <c r="S51" s="53"/>
      <c r="T51" s="72">
        <f t="shared" si="44"/>
        <v>6020</v>
      </c>
      <c r="U51" s="53"/>
      <c r="V51" s="72"/>
      <c r="W51" s="72"/>
      <c r="X51" s="72"/>
      <c r="Y51" s="72"/>
      <c r="Z51" s="72"/>
      <c r="AA51" s="72"/>
      <c r="AB51" s="72"/>
      <c r="AC51" s="72"/>
      <c r="AD51" s="72"/>
      <c r="AE51" s="72"/>
      <c r="AF51" s="72"/>
      <c r="AG51" s="72"/>
      <c r="AH51" s="72">
        <f t="shared" si="2"/>
        <v>0</v>
      </c>
      <c r="AI51" s="71">
        <v>0</v>
      </c>
      <c r="AJ51" s="71">
        <v>0</v>
      </c>
      <c r="AK51" s="71"/>
      <c r="AL51" s="71">
        <v>0</v>
      </c>
      <c r="AM51" s="71"/>
      <c r="AN51" s="72">
        <f t="shared" si="3"/>
        <v>0</v>
      </c>
      <c r="AO51" s="71">
        <v>0</v>
      </c>
      <c r="AP51" s="71">
        <v>0</v>
      </c>
      <c r="AQ51" s="71"/>
      <c r="AR51" s="71">
        <v>0</v>
      </c>
      <c r="AS51" s="71"/>
      <c r="AT51" s="71">
        <f t="shared" si="4"/>
        <v>35000</v>
      </c>
      <c r="AU51" s="71">
        <v>21735</v>
      </c>
      <c r="AV51" s="71">
        <v>7245</v>
      </c>
      <c r="AW51" s="71"/>
      <c r="AX51" s="71">
        <v>6020</v>
      </c>
      <c r="AY51" s="71"/>
      <c r="AZ51" s="71">
        <f t="shared" si="45"/>
        <v>0</v>
      </c>
      <c r="BA51" s="71">
        <v>0</v>
      </c>
      <c r="BB51" s="71">
        <v>0</v>
      </c>
      <c r="BC51" s="71"/>
      <c r="BD51" s="71">
        <v>0</v>
      </c>
      <c r="BE51" s="71"/>
      <c r="BF51" s="71">
        <f t="shared" si="6"/>
        <v>0</v>
      </c>
      <c r="BG51" s="71">
        <v>0</v>
      </c>
      <c r="BH51" s="71">
        <v>0</v>
      </c>
      <c r="BI51" s="71"/>
      <c r="BJ51" s="71">
        <v>0</v>
      </c>
      <c r="BK51" s="71"/>
      <c r="BL51" s="20"/>
    </row>
    <row r="52" spans="1:64" ht="84" x14ac:dyDescent="0.2">
      <c r="A52" s="69">
        <v>48</v>
      </c>
      <c r="B52" s="55" t="str">
        <f ca="1">IFERROR(__xludf.DUMMYFUNCTION("""COMPUTED_VALUE"""),"г.о. Солнечногорск")</f>
        <v>г.о. Солнечногорск</v>
      </c>
      <c r="C52"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2" s="55" t="str">
        <f ca="1">IFERROR(__xludf.DUMMYFUNCTION("""COMPUTED_VALUE"""),"МинЖКХ")</f>
        <v>МинЖКХ</v>
      </c>
      <c r="E52" s="54" t="s">
        <v>119</v>
      </c>
      <c r="F52" s="57" t="str">
        <f ca="1">IFERROR(__xludf.DUMMYFUNCTION("""COMPUTED_VALUE"""),"ВЗУ")</f>
        <v>ВЗУ</v>
      </c>
      <c r="G52" s="57" t="str">
        <f ca="1">IFERROR(__xludf.DUMMYFUNCTION("""COMPUTED_VALUE"""),"Н/Л")</f>
        <v>Н/Л</v>
      </c>
      <c r="H52" s="48"/>
      <c r="I52" s="48"/>
      <c r="J52" s="48"/>
      <c r="K52" s="48"/>
      <c r="L52" s="48"/>
      <c r="M52" s="48"/>
      <c r="N52" s="48" t="str">
        <f ca="1">IFERROR(__xludf.DUMMYFUNCTION("""COMPUTED_VALUE"""),"10 1 G552430
")</f>
        <v xml:space="preserve">10 1 G552430
</v>
      </c>
      <c r="O52" s="48">
        <f ca="1">IFERROR(__xludf.DUMMYFUNCTION("""COMPUTED_VALUE"""),522)</f>
        <v>522</v>
      </c>
      <c r="P52" s="73">
        <f t="shared" ref="P52:R52" si="55">SUM(AH52,AN52,AT52,AZ52,BF52)</f>
        <v>0</v>
      </c>
      <c r="Q52" s="73">
        <f t="shared" si="55"/>
        <v>0</v>
      </c>
      <c r="R52" s="73">
        <f t="shared" si="55"/>
        <v>0</v>
      </c>
      <c r="S52" s="56"/>
      <c r="T52" s="73">
        <f t="shared" si="44"/>
        <v>0</v>
      </c>
      <c r="U52" s="56"/>
      <c r="V52" s="73"/>
      <c r="W52" s="73"/>
      <c r="X52" s="73"/>
      <c r="Y52" s="73"/>
      <c r="Z52" s="73"/>
      <c r="AA52" s="73"/>
      <c r="AB52" s="73"/>
      <c r="AC52" s="73"/>
      <c r="AD52" s="73"/>
      <c r="AE52" s="73"/>
      <c r="AF52" s="73"/>
      <c r="AG52" s="73"/>
      <c r="AH52" s="73">
        <f t="shared" si="2"/>
        <v>0</v>
      </c>
      <c r="AI52" s="74">
        <v>0</v>
      </c>
      <c r="AJ52" s="74">
        <v>0</v>
      </c>
      <c r="AK52" s="74"/>
      <c r="AL52" s="74">
        <v>0</v>
      </c>
      <c r="AM52" s="74"/>
      <c r="AN52" s="73">
        <f t="shared" si="3"/>
        <v>0</v>
      </c>
      <c r="AO52" s="74">
        <v>0</v>
      </c>
      <c r="AP52" s="74">
        <v>0</v>
      </c>
      <c r="AQ52" s="74"/>
      <c r="AR52" s="74">
        <v>0</v>
      </c>
      <c r="AS52" s="74"/>
      <c r="AT52" s="74">
        <f t="shared" si="4"/>
        <v>0</v>
      </c>
      <c r="AU52" s="74">
        <v>0</v>
      </c>
      <c r="AV52" s="74">
        <v>0</v>
      </c>
      <c r="AW52" s="74"/>
      <c r="AX52" s="74">
        <v>0</v>
      </c>
      <c r="AY52" s="74"/>
      <c r="AZ52" s="74">
        <f t="shared" si="45"/>
        <v>0</v>
      </c>
      <c r="BA52" s="74">
        <v>0</v>
      </c>
      <c r="BB52" s="74">
        <v>0</v>
      </c>
      <c r="BC52" s="74"/>
      <c r="BD52" s="74">
        <v>0</v>
      </c>
      <c r="BE52" s="74"/>
      <c r="BF52" s="74">
        <f t="shared" si="6"/>
        <v>0</v>
      </c>
      <c r="BG52" s="74">
        <v>0</v>
      </c>
      <c r="BH52" s="74">
        <v>0</v>
      </c>
      <c r="BI52" s="74"/>
      <c r="BJ52" s="74">
        <v>0</v>
      </c>
      <c r="BK52" s="74"/>
      <c r="BL52" s="20"/>
    </row>
    <row r="53" spans="1:64" ht="84" x14ac:dyDescent="0.2">
      <c r="A53" s="69">
        <v>49</v>
      </c>
      <c r="B53" s="55" t="str">
        <f ca="1">IFERROR(__xludf.DUMMYFUNCTION("""COMPUTED_VALUE"""),"г.о. Солнечногорск")</f>
        <v>г.о. Солнечногорск</v>
      </c>
      <c r="C53"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3" s="55" t="str">
        <f ca="1">IFERROR(__xludf.DUMMYFUNCTION("""COMPUTED_VALUE"""),"МинЖКХ")</f>
        <v>МинЖКХ</v>
      </c>
      <c r="E53" s="54" t="s">
        <v>120</v>
      </c>
      <c r="F53" s="57" t="str">
        <f ca="1">IFERROR(__xludf.DUMMYFUNCTION("""COMPUTED_VALUE"""),"ВЗУ")</f>
        <v>ВЗУ</v>
      </c>
      <c r="G53" s="57" t="str">
        <f ca="1">IFERROR(__xludf.DUMMYFUNCTION("""COMPUTED_VALUE"""),"Н/Л")</f>
        <v>Н/Л</v>
      </c>
      <c r="H53" s="48"/>
      <c r="I53" s="48"/>
      <c r="J53" s="48"/>
      <c r="K53" s="48"/>
      <c r="L53" s="48"/>
      <c r="M53" s="48"/>
      <c r="N53" s="48" t="str">
        <f ca="1">IFERROR(__xludf.DUMMYFUNCTION("""COMPUTED_VALUE"""),"10 1 G552430
")</f>
        <v xml:space="preserve">10 1 G552430
</v>
      </c>
      <c r="O53" s="48">
        <f ca="1">IFERROR(__xludf.DUMMYFUNCTION("""COMPUTED_VALUE"""),522)</f>
        <v>522</v>
      </c>
      <c r="P53" s="73">
        <f t="shared" ref="P53:R53" si="56">SUM(AH53,AN53,AT53,AZ53,BF53)</f>
        <v>0</v>
      </c>
      <c r="Q53" s="73">
        <f t="shared" si="56"/>
        <v>0</v>
      </c>
      <c r="R53" s="73">
        <f t="shared" si="56"/>
        <v>0</v>
      </c>
      <c r="S53" s="56"/>
      <c r="T53" s="73">
        <f t="shared" si="44"/>
        <v>0</v>
      </c>
      <c r="U53" s="56"/>
      <c r="V53" s="73"/>
      <c r="W53" s="73"/>
      <c r="X53" s="73"/>
      <c r="Y53" s="73"/>
      <c r="Z53" s="73"/>
      <c r="AA53" s="73"/>
      <c r="AB53" s="73"/>
      <c r="AC53" s="73"/>
      <c r="AD53" s="73"/>
      <c r="AE53" s="73"/>
      <c r="AF53" s="73"/>
      <c r="AG53" s="73"/>
      <c r="AH53" s="73">
        <f t="shared" si="2"/>
        <v>0</v>
      </c>
      <c r="AI53" s="74">
        <v>0</v>
      </c>
      <c r="AJ53" s="74">
        <v>0</v>
      </c>
      <c r="AK53" s="74"/>
      <c r="AL53" s="74">
        <v>0</v>
      </c>
      <c r="AM53" s="74"/>
      <c r="AN53" s="73">
        <f t="shared" si="3"/>
        <v>0</v>
      </c>
      <c r="AO53" s="74">
        <v>0</v>
      </c>
      <c r="AP53" s="74">
        <v>0</v>
      </c>
      <c r="AQ53" s="74"/>
      <c r="AR53" s="74">
        <v>0</v>
      </c>
      <c r="AS53" s="74"/>
      <c r="AT53" s="74">
        <f t="shared" si="4"/>
        <v>0</v>
      </c>
      <c r="AU53" s="74">
        <v>0</v>
      </c>
      <c r="AV53" s="74">
        <v>0</v>
      </c>
      <c r="AW53" s="74"/>
      <c r="AX53" s="74">
        <v>0</v>
      </c>
      <c r="AY53" s="74"/>
      <c r="AZ53" s="74">
        <f t="shared" si="45"/>
        <v>0</v>
      </c>
      <c r="BA53" s="74">
        <v>0</v>
      </c>
      <c r="BB53" s="74">
        <v>0</v>
      </c>
      <c r="BC53" s="74"/>
      <c r="BD53" s="74">
        <v>0</v>
      </c>
      <c r="BE53" s="74"/>
      <c r="BF53" s="74">
        <f t="shared" si="6"/>
        <v>0</v>
      </c>
      <c r="BG53" s="74">
        <v>0</v>
      </c>
      <c r="BH53" s="74">
        <v>0</v>
      </c>
      <c r="BI53" s="74"/>
      <c r="BJ53" s="74">
        <v>0</v>
      </c>
      <c r="BK53" s="74"/>
      <c r="BL53" s="20"/>
    </row>
    <row r="54" spans="1:64" ht="84" x14ac:dyDescent="0.2">
      <c r="A54" s="69">
        <v>50</v>
      </c>
      <c r="B54" s="52" t="str">
        <f ca="1">IFERROR(__xludf.DUMMYFUNCTION("""COMPUTED_VALUE"""),"г.о. Солнечногорск")</f>
        <v>г.о. Солнечногорск</v>
      </c>
      <c r="C54"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4" s="52" t="str">
        <f ca="1">IFERROR(__xludf.DUMMYFUNCTION("""COMPUTED_VALUE"""),"МинЖКХ")</f>
        <v>МинЖКХ</v>
      </c>
      <c r="E54" s="28" t="s">
        <v>121</v>
      </c>
      <c r="F54" s="52" t="str">
        <f ca="1">IFERROR(__xludf.DUMMYFUNCTION("""COMPUTED_VALUE"""),"ВЗУ")</f>
        <v>ВЗУ</v>
      </c>
      <c r="G54" s="52">
        <f ca="1">IFERROR(__xludf.DUMMYFUNCTION("""COMPUTED_VALUE"""),2023)</f>
        <v>2023</v>
      </c>
      <c r="H54" s="48"/>
      <c r="I54" s="48" t="str">
        <f ca="1">IFERROR(__xludf.DUMMYFUNCTION("""COMPUTED_VALUE"""),"СМР")</f>
        <v>СМР</v>
      </c>
      <c r="J54" s="48"/>
      <c r="K54" s="48"/>
      <c r="L54" s="48"/>
      <c r="M54" s="48"/>
      <c r="N54" s="48" t="str">
        <f ca="1">IFERROR(__xludf.DUMMYFUNCTION("""COMPUTED_VALUE"""),"10 1 G552430
")</f>
        <v xml:space="preserve">10 1 G552430
</v>
      </c>
      <c r="O54" s="48">
        <f ca="1">IFERROR(__xludf.DUMMYFUNCTION("""COMPUTED_VALUE"""),522)</f>
        <v>522</v>
      </c>
      <c r="P54" s="72">
        <f t="shared" ref="P54:R54" si="57">SUM(AH54,AN54,AT54,AZ54,BF54)</f>
        <v>20000</v>
      </c>
      <c r="Q54" s="72">
        <f t="shared" si="57"/>
        <v>12420</v>
      </c>
      <c r="R54" s="72">
        <f t="shared" si="57"/>
        <v>4140</v>
      </c>
      <c r="S54" s="53"/>
      <c r="T54" s="72">
        <f t="shared" si="44"/>
        <v>3440</v>
      </c>
      <c r="U54" s="53"/>
      <c r="V54" s="72"/>
      <c r="W54" s="72"/>
      <c r="X54" s="72"/>
      <c r="Y54" s="72"/>
      <c r="Z54" s="72"/>
      <c r="AA54" s="72"/>
      <c r="AB54" s="72"/>
      <c r="AC54" s="72"/>
      <c r="AD54" s="72"/>
      <c r="AE54" s="72"/>
      <c r="AF54" s="72"/>
      <c r="AG54" s="72"/>
      <c r="AH54" s="72">
        <f t="shared" si="2"/>
        <v>0</v>
      </c>
      <c r="AI54" s="71">
        <v>0</v>
      </c>
      <c r="AJ54" s="71">
        <v>0</v>
      </c>
      <c r="AK54" s="71"/>
      <c r="AL54" s="71">
        <v>0</v>
      </c>
      <c r="AM54" s="71"/>
      <c r="AN54" s="72">
        <f t="shared" si="3"/>
        <v>0</v>
      </c>
      <c r="AO54" s="71">
        <v>0</v>
      </c>
      <c r="AP54" s="71">
        <v>0</v>
      </c>
      <c r="AQ54" s="71"/>
      <c r="AR54" s="71">
        <v>0</v>
      </c>
      <c r="AS54" s="71"/>
      <c r="AT54" s="71">
        <f t="shared" si="4"/>
        <v>0</v>
      </c>
      <c r="AU54" s="71">
        <v>0</v>
      </c>
      <c r="AV54" s="71">
        <v>0</v>
      </c>
      <c r="AW54" s="71"/>
      <c r="AX54" s="71">
        <v>0</v>
      </c>
      <c r="AY54" s="71"/>
      <c r="AZ54" s="71">
        <f t="shared" si="45"/>
        <v>20000</v>
      </c>
      <c r="BA54" s="71">
        <v>12420</v>
      </c>
      <c r="BB54" s="71">
        <v>4140</v>
      </c>
      <c r="BC54" s="71"/>
      <c r="BD54" s="71">
        <v>3440</v>
      </c>
      <c r="BE54" s="71"/>
      <c r="BF54" s="71">
        <f t="shared" si="6"/>
        <v>0</v>
      </c>
      <c r="BG54" s="71">
        <v>0</v>
      </c>
      <c r="BH54" s="71">
        <v>0</v>
      </c>
      <c r="BI54" s="71"/>
      <c r="BJ54" s="71">
        <v>0</v>
      </c>
      <c r="BK54" s="71"/>
      <c r="BL54" s="20"/>
    </row>
    <row r="55" spans="1:64" ht="84" x14ac:dyDescent="0.2">
      <c r="A55" s="69">
        <v>51</v>
      </c>
      <c r="B55" s="55" t="str">
        <f ca="1">IFERROR(__xludf.DUMMYFUNCTION("""COMPUTED_VALUE"""),"г.о. Солнечногорск")</f>
        <v>г.о. Солнечногорск</v>
      </c>
      <c r="C55"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5" s="55" t="str">
        <f ca="1">IFERROR(__xludf.DUMMYFUNCTION("""COMPUTED_VALUE"""),"МинЖКХ")</f>
        <v>МинЖКХ</v>
      </c>
      <c r="E55" s="54" t="s">
        <v>122</v>
      </c>
      <c r="F55" s="57" t="str">
        <f ca="1">IFERROR(__xludf.DUMMYFUNCTION("""COMPUTED_VALUE"""),"ВЗУ")</f>
        <v>ВЗУ</v>
      </c>
      <c r="G55" s="57" t="str">
        <f ca="1">IFERROR(__xludf.DUMMYFUNCTION("""COMPUTED_VALUE"""),"Н/Л")</f>
        <v>Н/Л</v>
      </c>
      <c r="H55" s="48"/>
      <c r="I55" s="48"/>
      <c r="J55" s="48"/>
      <c r="K55" s="48"/>
      <c r="L55" s="48"/>
      <c r="M55" s="48"/>
      <c r="N55" s="48" t="str">
        <f ca="1">IFERROR(__xludf.DUMMYFUNCTION("""COMPUTED_VALUE"""),"10 1 G552430
")</f>
        <v xml:space="preserve">10 1 G552430
</v>
      </c>
      <c r="O55" s="48">
        <f ca="1">IFERROR(__xludf.DUMMYFUNCTION("""COMPUTED_VALUE"""),522)</f>
        <v>522</v>
      </c>
      <c r="P55" s="73">
        <f t="shared" ref="P55:R55" si="58">SUM(AH55,AN55,AT55,AZ55,BF55)</f>
        <v>0</v>
      </c>
      <c r="Q55" s="73">
        <f t="shared" si="58"/>
        <v>0</v>
      </c>
      <c r="R55" s="73">
        <f t="shared" si="58"/>
        <v>0</v>
      </c>
      <c r="S55" s="56"/>
      <c r="T55" s="73">
        <f t="shared" si="44"/>
        <v>0</v>
      </c>
      <c r="U55" s="56"/>
      <c r="V55" s="73"/>
      <c r="W55" s="73"/>
      <c r="X55" s="73"/>
      <c r="Y55" s="73"/>
      <c r="Z55" s="73"/>
      <c r="AA55" s="73"/>
      <c r="AB55" s="73"/>
      <c r="AC55" s="73"/>
      <c r="AD55" s="73"/>
      <c r="AE55" s="73"/>
      <c r="AF55" s="73"/>
      <c r="AG55" s="73"/>
      <c r="AH55" s="73">
        <f t="shared" si="2"/>
        <v>0</v>
      </c>
      <c r="AI55" s="74">
        <v>0</v>
      </c>
      <c r="AJ55" s="74">
        <v>0</v>
      </c>
      <c r="AK55" s="74"/>
      <c r="AL55" s="74">
        <v>0</v>
      </c>
      <c r="AM55" s="74"/>
      <c r="AN55" s="73">
        <f t="shared" si="3"/>
        <v>0</v>
      </c>
      <c r="AO55" s="74">
        <v>0</v>
      </c>
      <c r="AP55" s="74">
        <v>0</v>
      </c>
      <c r="AQ55" s="74"/>
      <c r="AR55" s="74">
        <v>0</v>
      </c>
      <c r="AS55" s="74"/>
      <c r="AT55" s="74">
        <f t="shared" si="4"/>
        <v>0</v>
      </c>
      <c r="AU55" s="74">
        <v>0</v>
      </c>
      <c r="AV55" s="74">
        <v>0</v>
      </c>
      <c r="AW55" s="74"/>
      <c r="AX55" s="74">
        <v>0</v>
      </c>
      <c r="AY55" s="74"/>
      <c r="AZ55" s="74">
        <f t="shared" si="45"/>
        <v>0</v>
      </c>
      <c r="BA55" s="74">
        <v>0</v>
      </c>
      <c r="BB55" s="74">
        <v>0</v>
      </c>
      <c r="BC55" s="74"/>
      <c r="BD55" s="74">
        <v>0</v>
      </c>
      <c r="BE55" s="74"/>
      <c r="BF55" s="74">
        <f t="shared" si="6"/>
        <v>0</v>
      </c>
      <c r="BG55" s="74">
        <v>0</v>
      </c>
      <c r="BH55" s="74">
        <v>0</v>
      </c>
      <c r="BI55" s="74"/>
      <c r="BJ55" s="74">
        <v>0</v>
      </c>
      <c r="BK55" s="74"/>
      <c r="BL55" s="20"/>
    </row>
    <row r="56" spans="1:64" ht="84" x14ac:dyDescent="0.2">
      <c r="A56" s="69">
        <v>52</v>
      </c>
      <c r="B56" s="55" t="str">
        <f ca="1">IFERROR(__xludf.DUMMYFUNCTION("""COMPUTED_VALUE"""),"г.о. Солнечногорск")</f>
        <v>г.о. Солнечногорск</v>
      </c>
      <c r="C56"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6" s="55" t="str">
        <f ca="1">IFERROR(__xludf.DUMMYFUNCTION("""COMPUTED_VALUE"""),"МинЖКХ")</f>
        <v>МинЖКХ</v>
      </c>
      <c r="E56" s="54" t="s">
        <v>123</v>
      </c>
      <c r="F56" s="57" t="str">
        <f ca="1">IFERROR(__xludf.DUMMYFUNCTION("""COMPUTED_VALUE"""),"ВЗУ")</f>
        <v>ВЗУ</v>
      </c>
      <c r="G56" s="57" t="str">
        <f ca="1">IFERROR(__xludf.DUMMYFUNCTION("""COMPUTED_VALUE"""),"Н/Л")</f>
        <v>Н/Л</v>
      </c>
      <c r="H56" s="48"/>
      <c r="I56" s="48"/>
      <c r="J56" s="48"/>
      <c r="K56" s="48"/>
      <c r="L56" s="48"/>
      <c r="M56" s="48"/>
      <c r="N56" s="48" t="str">
        <f ca="1">IFERROR(__xludf.DUMMYFUNCTION("""COMPUTED_VALUE"""),"10 1 G552430
")</f>
        <v xml:space="preserve">10 1 G552430
</v>
      </c>
      <c r="O56" s="48">
        <f ca="1">IFERROR(__xludf.DUMMYFUNCTION("""COMPUTED_VALUE"""),522)</f>
        <v>522</v>
      </c>
      <c r="P56" s="73">
        <f t="shared" ref="P56:R56" si="59">SUM(AH56,AN56,AT56,AZ56,BF56)</f>
        <v>0</v>
      </c>
      <c r="Q56" s="73">
        <f t="shared" si="59"/>
        <v>0</v>
      </c>
      <c r="R56" s="73">
        <f t="shared" si="59"/>
        <v>0</v>
      </c>
      <c r="S56" s="56"/>
      <c r="T56" s="73">
        <f t="shared" si="44"/>
        <v>0</v>
      </c>
      <c r="U56" s="56"/>
      <c r="V56" s="73"/>
      <c r="W56" s="73"/>
      <c r="X56" s="73"/>
      <c r="Y56" s="73"/>
      <c r="Z56" s="73"/>
      <c r="AA56" s="73"/>
      <c r="AB56" s="73"/>
      <c r="AC56" s="73"/>
      <c r="AD56" s="73"/>
      <c r="AE56" s="73"/>
      <c r="AF56" s="73"/>
      <c r="AG56" s="73"/>
      <c r="AH56" s="73">
        <f t="shared" si="2"/>
        <v>0</v>
      </c>
      <c r="AI56" s="74">
        <v>0</v>
      </c>
      <c r="AJ56" s="74">
        <v>0</v>
      </c>
      <c r="AK56" s="74"/>
      <c r="AL56" s="74">
        <v>0</v>
      </c>
      <c r="AM56" s="74"/>
      <c r="AN56" s="73">
        <f t="shared" si="3"/>
        <v>0</v>
      </c>
      <c r="AO56" s="74">
        <v>0</v>
      </c>
      <c r="AP56" s="74">
        <v>0</v>
      </c>
      <c r="AQ56" s="74"/>
      <c r="AR56" s="74">
        <v>0</v>
      </c>
      <c r="AS56" s="74"/>
      <c r="AT56" s="74">
        <f t="shared" si="4"/>
        <v>0</v>
      </c>
      <c r="AU56" s="74">
        <v>0</v>
      </c>
      <c r="AV56" s="74">
        <v>0</v>
      </c>
      <c r="AW56" s="74"/>
      <c r="AX56" s="74">
        <v>0</v>
      </c>
      <c r="AY56" s="74"/>
      <c r="AZ56" s="74">
        <f t="shared" si="45"/>
        <v>0</v>
      </c>
      <c r="BA56" s="74">
        <v>0</v>
      </c>
      <c r="BB56" s="74">
        <v>0</v>
      </c>
      <c r="BC56" s="74"/>
      <c r="BD56" s="74">
        <v>0</v>
      </c>
      <c r="BE56" s="74"/>
      <c r="BF56" s="74">
        <f t="shared" si="6"/>
        <v>0</v>
      </c>
      <c r="BG56" s="74">
        <v>0</v>
      </c>
      <c r="BH56" s="74">
        <v>0</v>
      </c>
      <c r="BI56" s="74"/>
      <c r="BJ56" s="74">
        <v>0</v>
      </c>
      <c r="BK56" s="74"/>
      <c r="BL56" s="20"/>
    </row>
    <row r="57" spans="1:64" ht="84" x14ac:dyDescent="0.2">
      <c r="A57" s="69">
        <v>53</v>
      </c>
      <c r="B57" s="52" t="str">
        <f ca="1">IFERROR(__xludf.DUMMYFUNCTION("""COMPUTED_VALUE"""),"г.о. Солнечногорск")</f>
        <v>г.о. Солнечногорск</v>
      </c>
      <c r="C57"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7" s="52" t="str">
        <f ca="1">IFERROR(__xludf.DUMMYFUNCTION("""COMPUTED_VALUE"""),"МинЖКХ")</f>
        <v>МинЖКХ</v>
      </c>
      <c r="E57" s="28" t="s">
        <v>124</v>
      </c>
      <c r="F57" s="52" t="str">
        <f ca="1">IFERROR(__xludf.DUMMYFUNCTION("""COMPUTED_VALUE"""),"ВЗУ")</f>
        <v>ВЗУ</v>
      </c>
      <c r="G57" s="52">
        <f ca="1">IFERROR(__xludf.DUMMYFUNCTION("""COMPUTED_VALUE"""),2022)</f>
        <v>2022</v>
      </c>
      <c r="H57" s="48"/>
      <c r="I57" s="48" t="str">
        <f ca="1">IFERROR(__xludf.DUMMYFUNCTION("""COMPUTED_VALUE"""),"СМР")</f>
        <v>СМР</v>
      </c>
      <c r="J57" s="48"/>
      <c r="K57" s="48"/>
      <c r="L57" s="48"/>
      <c r="M57" s="48"/>
      <c r="N57" s="48" t="str">
        <f ca="1">IFERROR(__xludf.DUMMYFUNCTION("""COMPUTED_VALUE"""),"10 1 G552430
")</f>
        <v xml:space="preserve">10 1 G552430
</v>
      </c>
      <c r="O57" s="48">
        <f ca="1">IFERROR(__xludf.DUMMYFUNCTION("""COMPUTED_VALUE"""),522)</f>
        <v>522</v>
      </c>
      <c r="P57" s="72">
        <f t="shared" ref="P57:R57" si="60">SUM(AH57,AN57,AT57,AZ57,BF57)</f>
        <v>25000</v>
      </c>
      <c r="Q57" s="72">
        <f t="shared" si="60"/>
        <v>15525</v>
      </c>
      <c r="R57" s="72">
        <f t="shared" si="60"/>
        <v>5175</v>
      </c>
      <c r="S57" s="53"/>
      <c r="T57" s="72">
        <f t="shared" si="44"/>
        <v>4300</v>
      </c>
      <c r="U57" s="53"/>
      <c r="V57" s="72"/>
      <c r="W57" s="72"/>
      <c r="X57" s="72"/>
      <c r="Y57" s="72"/>
      <c r="Z57" s="72"/>
      <c r="AA57" s="72"/>
      <c r="AB57" s="72"/>
      <c r="AC57" s="72"/>
      <c r="AD57" s="72"/>
      <c r="AE57" s="72"/>
      <c r="AF57" s="72"/>
      <c r="AG57" s="72"/>
      <c r="AH57" s="72">
        <f t="shared" si="2"/>
        <v>0</v>
      </c>
      <c r="AI57" s="71">
        <v>0</v>
      </c>
      <c r="AJ57" s="71">
        <v>0</v>
      </c>
      <c r="AK57" s="71"/>
      <c r="AL57" s="71">
        <v>0</v>
      </c>
      <c r="AM57" s="71"/>
      <c r="AN57" s="72">
        <f t="shared" si="3"/>
        <v>0</v>
      </c>
      <c r="AO57" s="71">
        <v>0</v>
      </c>
      <c r="AP57" s="71">
        <v>0</v>
      </c>
      <c r="AQ57" s="71"/>
      <c r="AR57" s="71">
        <v>0</v>
      </c>
      <c r="AS57" s="71"/>
      <c r="AT57" s="71">
        <f t="shared" si="4"/>
        <v>25000</v>
      </c>
      <c r="AU57" s="71">
        <v>15525</v>
      </c>
      <c r="AV57" s="71">
        <v>5175</v>
      </c>
      <c r="AW57" s="71"/>
      <c r="AX57" s="71">
        <v>4300</v>
      </c>
      <c r="AY57" s="71"/>
      <c r="AZ57" s="71">
        <f t="shared" si="45"/>
        <v>0</v>
      </c>
      <c r="BA57" s="71">
        <v>0</v>
      </c>
      <c r="BB57" s="71">
        <v>0</v>
      </c>
      <c r="BC57" s="71"/>
      <c r="BD57" s="71">
        <v>0</v>
      </c>
      <c r="BE57" s="71"/>
      <c r="BF57" s="71">
        <f t="shared" si="6"/>
        <v>0</v>
      </c>
      <c r="BG57" s="71">
        <v>0</v>
      </c>
      <c r="BH57" s="71">
        <v>0</v>
      </c>
      <c r="BI57" s="71"/>
      <c r="BJ57" s="71">
        <v>0</v>
      </c>
      <c r="BK57" s="71"/>
      <c r="BL57" s="20"/>
    </row>
    <row r="58" spans="1:64" ht="84" x14ac:dyDescent="0.2">
      <c r="A58" s="69">
        <v>54</v>
      </c>
      <c r="B58" s="52" t="str">
        <f ca="1">IFERROR(__xludf.DUMMYFUNCTION("""COMPUTED_VALUE"""),"г.о. Солнечногорск")</f>
        <v>г.о. Солнечногорск</v>
      </c>
      <c r="C58"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8" s="52" t="str">
        <f ca="1">IFERROR(__xludf.DUMMYFUNCTION("""COMPUTED_VALUE"""),"МинЖКХ")</f>
        <v>МинЖКХ</v>
      </c>
      <c r="E58" s="28" t="s">
        <v>125</v>
      </c>
      <c r="F58" s="52" t="str">
        <f ca="1">IFERROR(__xludf.DUMMYFUNCTION("""COMPUTED_VALUE"""),"ВЗУ")</f>
        <v>ВЗУ</v>
      </c>
      <c r="G58" s="52">
        <f ca="1">IFERROR(__xludf.DUMMYFUNCTION("""COMPUTED_VALUE"""),2021)</f>
        <v>2021</v>
      </c>
      <c r="H58" s="48"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I58" s="48" t="str">
        <f ca="1">IFERROR(__xludf.DUMMYFUNCTION("""COMPUTED_VALUE"""),"СМР")</f>
        <v>СМР</v>
      </c>
      <c r="J58" s="48"/>
      <c r="K58" s="48"/>
      <c r="L58" s="48"/>
      <c r="M58" s="48"/>
      <c r="N58" s="48" t="str">
        <f ca="1">IFERROR(__xludf.DUMMYFUNCTION("""COMPUTED_VALUE"""),"10 1 G552430
")</f>
        <v xml:space="preserve">10 1 G552430
</v>
      </c>
      <c r="O58" s="48">
        <f ca="1">IFERROR(__xludf.DUMMYFUNCTION("""COMPUTED_VALUE"""),522)</f>
        <v>522</v>
      </c>
      <c r="P58" s="72">
        <f t="shared" ref="P58:R58" si="61">SUM(AH58,AN58,AT58,AZ58,BF58)</f>
        <v>62365.75</v>
      </c>
      <c r="Q58" s="72">
        <f t="shared" si="61"/>
        <v>38729.129999999997</v>
      </c>
      <c r="R58" s="72">
        <f t="shared" si="61"/>
        <v>12909.71</v>
      </c>
      <c r="S58" s="53"/>
      <c r="T58" s="72">
        <f t="shared" si="44"/>
        <v>10726.91</v>
      </c>
      <c r="U58" s="53"/>
      <c r="V58" s="72"/>
      <c r="W58" s="72"/>
      <c r="X58" s="72"/>
      <c r="Y58" s="72"/>
      <c r="Z58" s="72"/>
      <c r="AA58" s="72"/>
      <c r="AB58" s="72"/>
      <c r="AC58" s="72"/>
      <c r="AD58" s="72"/>
      <c r="AE58" s="72"/>
      <c r="AF58" s="72"/>
      <c r="AG58" s="72"/>
      <c r="AH58" s="72">
        <f t="shared" si="2"/>
        <v>0</v>
      </c>
      <c r="AI58" s="71">
        <v>0</v>
      </c>
      <c r="AJ58" s="71">
        <v>0</v>
      </c>
      <c r="AK58" s="71"/>
      <c r="AL58" s="71">
        <v>0</v>
      </c>
      <c r="AM58" s="71"/>
      <c r="AN58" s="72">
        <f t="shared" si="3"/>
        <v>62365.75</v>
      </c>
      <c r="AO58" s="71">
        <v>38729.129999999997</v>
      </c>
      <c r="AP58" s="71">
        <v>12909.71</v>
      </c>
      <c r="AQ58" s="71"/>
      <c r="AR58" s="71">
        <v>10726.91</v>
      </c>
      <c r="AS58" s="71"/>
      <c r="AT58" s="71">
        <f t="shared" si="4"/>
        <v>0</v>
      </c>
      <c r="AU58" s="71">
        <v>0</v>
      </c>
      <c r="AV58" s="71">
        <v>0</v>
      </c>
      <c r="AW58" s="71"/>
      <c r="AX58" s="71">
        <v>0</v>
      </c>
      <c r="AY58" s="71"/>
      <c r="AZ58" s="71">
        <f t="shared" si="45"/>
        <v>0</v>
      </c>
      <c r="BA58" s="71">
        <v>0</v>
      </c>
      <c r="BB58" s="71">
        <v>0</v>
      </c>
      <c r="BC58" s="71"/>
      <c r="BD58" s="71">
        <v>0</v>
      </c>
      <c r="BE58" s="71"/>
      <c r="BF58" s="71">
        <f t="shared" si="6"/>
        <v>0</v>
      </c>
      <c r="BG58" s="71">
        <v>0</v>
      </c>
      <c r="BH58" s="71">
        <v>0</v>
      </c>
      <c r="BI58" s="71"/>
      <c r="BJ58" s="71">
        <v>0</v>
      </c>
      <c r="BK58" s="71"/>
      <c r="BL58" s="20"/>
    </row>
    <row r="59" spans="1:64" ht="84" x14ac:dyDescent="0.2">
      <c r="A59" s="69">
        <v>55</v>
      </c>
      <c r="B59" s="52" t="str">
        <f ca="1">IFERROR(__xludf.DUMMYFUNCTION("""COMPUTED_VALUE"""),"г.о. Солнечногорск")</f>
        <v>г.о. Солнечногорск</v>
      </c>
      <c r="C59"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59" s="52" t="str">
        <f ca="1">IFERROR(__xludf.DUMMYFUNCTION("""COMPUTED_VALUE"""),"МинЖКХ")</f>
        <v>МинЖКХ</v>
      </c>
      <c r="E59" s="28" t="s">
        <v>126</v>
      </c>
      <c r="F59" s="52" t="str">
        <f ca="1">IFERROR(__xludf.DUMMYFUNCTION("""COMPUTED_VALUE"""),"ВЗУ")</f>
        <v>ВЗУ</v>
      </c>
      <c r="G59" s="52">
        <f ca="1">IFERROR(__xludf.DUMMYFUNCTION("""COMPUTED_VALUE"""),2022)</f>
        <v>2022</v>
      </c>
      <c r="H59" s="48"/>
      <c r="I59" s="48" t="str">
        <f ca="1">IFERROR(__xludf.DUMMYFUNCTION("""COMPUTED_VALUE"""),"СМР")</f>
        <v>СМР</v>
      </c>
      <c r="J59" s="48"/>
      <c r="K59" s="48"/>
      <c r="L59" s="48"/>
      <c r="M59" s="48"/>
      <c r="N59" s="48" t="str">
        <f ca="1">IFERROR(__xludf.DUMMYFUNCTION("""COMPUTED_VALUE"""),"10 1 G552430
")</f>
        <v xml:space="preserve">10 1 G552430
</v>
      </c>
      <c r="O59" s="48">
        <f ca="1">IFERROR(__xludf.DUMMYFUNCTION("""COMPUTED_VALUE"""),522)</f>
        <v>522</v>
      </c>
      <c r="P59" s="72">
        <f t="shared" ref="P59:R59" si="62">SUM(AH59,AN59,AT59,AZ59,BF59)</f>
        <v>50000</v>
      </c>
      <c r="Q59" s="72">
        <f t="shared" si="62"/>
        <v>31050</v>
      </c>
      <c r="R59" s="72">
        <f t="shared" si="62"/>
        <v>10350</v>
      </c>
      <c r="S59" s="53"/>
      <c r="T59" s="72">
        <f t="shared" si="44"/>
        <v>8600</v>
      </c>
      <c r="U59" s="53"/>
      <c r="V59" s="72"/>
      <c r="W59" s="72"/>
      <c r="X59" s="72"/>
      <c r="Y59" s="72"/>
      <c r="Z59" s="72"/>
      <c r="AA59" s="72"/>
      <c r="AB59" s="72"/>
      <c r="AC59" s="72"/>
      <c r="AD59" s="72"/>
      <c r="AE59" s="72"/>
      <c r="AF59" s="72"/>
      <c r="AG59" s="72"/>
      <c r="AH59" s="72">
        <f t="shared" si="2"/>
        <v>0</v>
      </c>
      <c r="AI59" s="71">
        <v>0</v>
      </c>
      <c r="AJ59" s="71">
        <v>0</v>
      </c>
      <c r="AK59" s="71"/>
      <c r="AL59" s="71">
        <v>0</v>
      </c>
      <c r="AM59" s="71"/>
      <c r="AN59" s="72">
        <f t="shared" si="3"/>
        <v>0</v>
      </c>
      <c r="AO59" s="71">
        <v>0</v>
      </c>
      <c r="AP59" s="71">
        <v>0</v>
      </c>
      <c r="AQ59" s="71"/>
      <c r="AR59" s="71">
        <v>0</v>
      </c>
      <c r="AS59" s="71"/>
      <c r="AT59" s="71">
        <f t="shared" si="4"/>
        <v>50000</v>
      </c>
      <c r="AU59" s="71">
        <v>31050</v>
      </c>
      <c r="AV59" s="71">
        <v>10350</v>
      </c>
      <c r="AW59" s="71"/>
      <c r="AX59" s="71">
        <v>8600</v>
      </c>
      <c r="AY59" s="71"/>
      <c r="AZ59" s="71">
        <f t="shared" si="45"/>
        <v>0</v>
      </c>
      <c r="BA59" s="71">
        <v>0</v>
      </c>
      <c r="BB59" s="71">
        <v>0</v>
      </c>
      <c r="BC59" s="71"/>
      <c r="BD59" s="71">
        <v>0</v>
      </c>
      <c r="BE59" s="71"/>
      <c r="BF59" s="71">
        <f t="shared" si="6"/>
        <v>0</v>
      </c>
      <c r="BG59" s="71">
        <v>0</v>
      </c>
      <c r="BH59" s="71">
        <v>0</v>
      </c>
      <c r="BI59" s="71"/>
      <c r="BJ59" s="71">
        <v>0</v>
      </c>
      <c r="BK59" s="71"/>
      <c r="BL59" s="20"/>
    </row>
    <row r="60" spans="1:64" ht="84" x14ac:dyDescent="0.2">
      <c r="A60" s="69">
        <v>56</v>
      </c>
      <c r="B60" s="52" t="str">
        <f ca="1">IFERROR(__xludf.DUMMYFUNCTION("""COMPUTED_VALUE"""),"г.о. Солнечногорск")</f>
        <v>г.о. Солнечногорск</v>
      </c>
      <c r="C60"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0" s="52" t="str">
        <f ca="1">IFERROR(__xludf.DUMMYFUNCTION("""COMPUTED_VALUE"""),"МинЖКХ")</f>
        <v>МинЖКХ</v>
      </c>
      <c r="E60" s="28" t="s">
        <v>127</v>
      </c>
      <c r="F60" s="52" t="str">
        <f ca="1">IFERROR(__xludf.DUMMYFUNCTION("""COMPUTED_VALUE"""),"ВЗУ")</f>
        <v>ВЗУ</v>
      </c>
      <c r="G60" s="52" t="str">
        <f ca="1">IFERROR(__xludf.DUMMYFUNCTION("""COMPUTED_VALUE"""),"2021-2022")</f>
        <v>2021-2022</v>
      </c>
      <c r="H60" s="48"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I60" s="48" t="str">
        <f ca="1">IFERROR(__xludf.DUMMYFUNCTION("""COMPUTED_VALUE"""),"СМР")</f>
        <v>СМР</v>
      </c>
      <c r="J60" s="48"/>
      <c r="K60" s="48"/>
      <c r="L60" s="48"/>
      <c r="M60" s="48"/>
      <c r="N60" s="48" t="str">
        <f ca="1">IFERROR(__xludf.DUMMYFUNCTION("""COMPUTED_VALUE"""),"10 1 G552430
")</f>
        <v xml:space="preserve">10 1 G552430
</v>
      </c>
      <c r="O60" s="48">
        <f ca="1">IFERROR(__xludf.DUMMYFUNCTION("""COMPUTED_VALUE"""),522)</f>
        <v>522</v>
      </c>
      <c r="P60" s="72">
        <f t="shared" ref="P60:R60" si="63">SUM(AH60,AN60,AT60,AZ60,BF60)</f>
        <v>86248.239999999991</v>
      </c>
      <c r="Q60" s="72">
        <f t="shared" si="63"/>
        <v>53560</v>
      </c>
      <c r="R60" s="72">
        <f t="shared" si="63"/>
        <v>17853.41</v>
      </c>
      <c r="S60" s="53"/>
      <c r="T60" s="72">
        <f t="shared" si="44"/>
        <v>14834.830000000002</v>
      </c>
      <c r="U60" s="53"/>
      <c r="V60" s="72"/>
      <c r="W60" s="72"/>
      <c r="X60" s="72"/>
      <c r="Y60" s="72"/>
      <c r="Z60" s="72"/>
      <c r="AA60" s="72"/>
      <c r="AB60" s="72"/>
      <c r="AC60" s="72"/>
      <c r="AD60" s="72"/>
      <c r="AE60" s="72"/>
      <c r="AF60" s="72"/>
      <c r="AG60" s="72"/>
      <c r="AH60" s="72">
        <f t="shared" si="2"/>
        <v>0</v>
      </c>
      <c r="AI60" s="71">
        <v>0</v>
      </c>
      <c r="AJ60" s="71">
        <v>0</v>
      </c>
      <c r="AK60" s="71"/>
      <c r="AL60" s="71">
        <v>0</v>
      </c>
      <c r="AM60" s="71"/>
      <c r="AN60" s="72">
        <f t="shared" si="3"/>
        <v>51748.95</v>
      </c>
      <c r="AO60" s="71">
        <v>32136</v>
      </c>
      <c r="AP60" s="71">
        <v>10712</v>
      </c>
      <c r="AQ60" s="71"/>
      <c r="AR60" s="71">
        <v>8900.9500000000007</v>
      </c>
      <c r="AS60" s="71"/>
      <c r="AT60" s="71">
        <f t="shared" si="4"/>
        <v>34499.29</v>
      </c>
      <c r="AU60" s="71">
        <v>21424</v>
      </c>
      <c r="AV60" s="71">
        <v>7141.41</v>
      </c>
      <c r="AW60" s="71"/>
      <c r="AX60" s="71">
        <v>5933.88</v>
      </c>
      <c r="AY60" s="71"/>
      <c r="AZ60" s="71">
        <f t="shared" si="45"/>
        <v>0</v>
      </c>
      <c r="BA60" s="71">
        <v>0</v>
      </c>
      <c r="BB60" s="71">
        <v>0</v>
      </c>
      <c r="BC60" s="71"/>
      <c r="BD60" s="71">
        <v>0</v>
      </c>
      <c r="BE60" s="71"/>
      <c r="BF60" s="71">
        <f t="shared" si="6"/>
        <v>0</v>
      </c>
      <c r="BG60" s="71">
        <v>0</v>
      </c>
      <c r="BH60" s="71">
        <v>0</v>
      </c>
      <c r="BI60" s="71"/>
      <c r="BJ60" s="71">
        <v>0</v>
      </c>
      <c r="BK60" s="71"/>
      <c r="BL60" s="20"/>
    </row>
    <row r="61" spans="1:64" ht="84" x14ac:dyDescent="0.2">
      <c r="A61" s="69">
        <v>57</v>
      </c>
      <c r="B61" s="55" t="str">
        <f ca="1">IFERROR(__xludf.DUMMYFUNCTION("""COMPUTED_VALUE"""),"г.о. Дмитровский")</f>
        <v>г.о. Дмитровский</v>
      </c>
      <c r="C61"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1" s="55" t="str">
        <f ca="1">IFERROR(__xludf.DUMMYFUNCTION("""COMPUTED_VALUE"""),"МинЖКХ")</f>
        <v>МинЖКХ</v>
      </c>
      <c r="E61" s="54" t="s">
        <v>128</v>
      </c>
      <c r="F61" s="57" t="str">
        <f ca="1">IFERROR(__xludf.DUMMYFUNCTION("""COMPUTED_VALUE"""),"ВЗУ")</f>
        <v>ВЗУ</v>
      </c>
      <c r="G61" s="57" t="str">
        <f ca="1">IFERROR(__xludf.DUMMYFUNCTION("""COMPUTED_VALUE"""),"Н/Л")</f>
        <v>Н/Л</v>
      </c>
      <c r="H61" s="48"/>
      <c r="I61" s="48"/>
      <c r="J61" s="48"/>
      <c r="K61" s="48"/>
      <c r="L61" s="48"/>
      <c r="M61" s="48"/>
      <c r="N61" s="48" t="str">
        <f ca="1">IFERROR(__xludf.DUMMYFUNCTION("""COMPUTED_VALUE"""),"10 1 G552430
")</f>
        <v xml:space="preserve">10 1 G552430
</v>
      </c>
      <c r="O61" s="48">
        <f ca="1">IFERROR(__xludf.DUMMYFUNCTION("""COMPUTED_VALUE"""),522)</f>
        <v>522</v>
      </c>
      <c r="P61" s="73">
        <f t="shared" ref="P61:R61" si="64">SUM(AH61,AN61,AT61,AZ61,BF61)</f>
        <v>0</v>
      </c>
      <c r="Q61" s="73">
        <f t="shared" si="64"/>
        <v>0</v>
      </c>
      <c r="R61" s="73">
        <f t="shared" si="64"/>
        <v>0</v>
      </c>
      <c r="S61" s="56"/>
      <c r="T61" s="73">
        <f t="shared" si="44"/>
        <v>0</v>
      </c>
      <c r="U61" s="56"/>
      <c r="V61" s="73"/>
      <c r="W61" s="73"/>
      <c r="X61" s="73"/>
      <c r="Y61" s="73"/>
      <c r="Z61" s="73"/>
      <c r="AA61" s="73"/>
      <c r="AB61" s="73"/>
      <c r="AC61" s="73"/>
      <c r="AD61" s="73"/>
      <c r="AE61" s="73"/>
      <c r="AF61" s="73"/>
      <c r="AG61" s="73"/>
      <c r="AH61" s="73">
        <f t="shared" si="2"/>
        <v>0</v>
      </c>
      <c r="AI61" s="74">
        <v>0</v>
      </c>
      <c r="AJ61" s="74">
        <v>0</v>
      </c>
      <c r="AK61" s="74"/>
      <c r="AL61" s="74">
        <v>0</v>
      </c>
      <c r="AM61" s="74"/>
      <c r="AN61" s="73">
        <f t="shared" si="3"/>
        <v>0</v>
      </c>
      <c r="AO61" s="74">
        <v>0</v>
      </c>
      <c r="AP61" s="74">
        <v>0</v>
      </c>
      <c r="AQ61" s="74"/>
      <c r="AR61" s="74">
        <v>0</v>
      </c>
      <c r="AS61" s="74"/>
      <c r="AT61" s="74">
        <f t="shared" si="4"/>
        <v>0</v>
      </c>
      <c r="AU61" s="74">
        <v>0</v>
      </c>
      <c r="AV61" s="74">
        <v>0</v>
      </c>
      <c r="AW61" s="74"/>
      <c r="AX61" s="74">
        <v>0</v>
      </c>
      <c r="AY61" s="74"/>
      <c r="AZ61" s="74">
        <f t="shared" si="45"/>
        <v>0</v>
      </c>
      <c r="BA61" s="74">
        <v>0</v>
      </c>
      <c r="BB61" s="74">
        <v>0</v>
      </c>
      <c r="BC61" s="74"/>
      <c r="BD61" s="74">
        <v>0</v>
      </c>
      <c r="BE61" s="74"/>
      <c r="BF61" s="74">
        <f t="shared" si="6"/>
        <v>0</v>
      </c>
      <c r="BG61" s="74">
        <v>0</v>
      </c>
      <c r="BH61" s="74">
        <v>0</v>
      </c>
      <c r="BI61" s="74"/>
      <c r="BJ61" s="74">
        <v>0</v>
      </c>
      <c r="BK61" s="74"/>
      <c r="BL61" s="20"/>
    </row>
    <row r="62" spans="1:64" ht="84" x14ac:dyDescent="0.2">
      <c r="A62" s="69">
        <v>58</v>
      </c>
      <c r="B62" s="52" t="str">
        <f ca="1">IFERROR(__xludf.DUMMYFUNCTION("""COMPUTED_VALUE"""),"г.о. Дмитровский")</f>
        <v>г.о. Дмитровский</v>
      </c>
      <c r="C62"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2" s="52" t="str">
        <f ca="1">IFERROR(__xludf.DUMMYFUNCTION("""COMPUTED_VALUE"""),"МинЖКХ")</f>
        <v>МинЖКХ</v>
      </c>
      <c r="E62" s="28" t="s">
        <v>129</v>
      </c>
      <c r="F62" s="52" t="str">
        <f ca="1">IFERROR(__xludf.DUMMYFUNCTION("""COMPUTED_VALUE"""),"ВЗУ")</f>
        <v>ВЗУ</v>
      </c>
      <c r="G62" s="52">
        <f ca="1">IFERROR(__xludf.DUMMYFUNCTION("""COMPUTED_VALUE"""),2023)</f>
        <v>2023</v>
      </c>
      <c r="H62" s="48"/>
      <c r="I62" s="48" t="str">
        <f ca="1">IFERROR(__xludf.DUMMYFUNCTION("""COMPUTED_VALUE"""),"СМР")</f>
        <v>СМР</v>
      </c>
      <c r="J62" s="48"/>
      <c r="K62" s="48"/>
      <c r="L62" s="48"/>
      <c r="M62" s="48"/>
      <c r="N62" s="48" t="str">
        <f ca="1">IFERROR(__xludf.DUMMYFUNCTION("""COMPUTED_VALUE"""),"10 1 G552430
")</f>
        <v xml:space="preserve">10 1 G552430
</v>
      </c>
      <c r="O62" s="48">
        <f ca="1">IFERROR(__xludf.DUMMYFUNCTION("""COMPUTED_VALUE"""),522)</f>
        <v>522</v>
      </c>
      <c r="P62" s="72">
        <f t="shared" ref="P62:R62" si="65">SUM(AH62,AN62,AT62,AZ62,BF62)</f>
        <v>16505.900000000001</v>
      </c>
      <c r="Q62" s="72">
        <f t="shared" si="65"/>
        <v>8430.39</v>
      </c>
      <c r="R62" s="72">
        <f t="shared" si="65"/>
        <v>2810.13</v>
      </c>
      <c r="S62" s="53"/>
      <c r="T62" s="72">
        <f t="shared" si="44"/>
        <v>5265.38</v>
      </c>
      <c r="U62" s="53"/>
      <c r="V62" s="72"/>
      <c r="W62" s="72"/>
      <c r="X62" s="72"/>
      <c r="Y62" s="72"/>
      <c r="Z62" s="72"/>
      <c r="AA62" s="72"/>
      <c r="AB62" s="72"/>
      <c r="AC62" s="72"/>
      <c r="AD62" s="72"/>
      <c r="AE62" s="72"/>
      <c r="AF62" s="72"/>
      <c r="AG62" s="72"/>
      <c r="AH62" s="72">
        <f t="shared" si="2"/>
        <v>0</v>
      </c>
      <c r="AI62" s="71">
        <v>0</v>
      </c>
      <c r="AJ62" s="71">
        <v>0</v>
      </c>
      <c r="AK62" s="71"/>
      <c r="AL62" s="71">
        <v>0</v>
      </c>
      <c r="AM62" s="71"/>
      <c r="AN62" s="72">
        <f t="shared" si="3"/>
        <v>0</v>
      </c>
      <c r="AO62" s="71">
        <v>0</v>
      </c>
      <c r="AP62" s="71">
        <v>0</v>
      </c>
      <c r="AQ62" s="71"/>
      <c r="AR62" s="71">
        <v>0</v>
      </c>
      <c r="AS62" s="71"/>
      <c r="AT62" s="71">
        <f t="shared" si="4"/>
        <v>0</v>
      </c>
      <c r="AU62" s="71">
        <v>0</v>
      </c>
      <c r="AV62" s="71">
        <v>0</v>
      </c>
      <c r="AW62" s="71"/>
      <c r="AX62" s="71">
        <v>0</v>
      </c>
      <c r="AY62" s="71"/>
      <c r="AZ62" s="71">
        <f t="shared" si="45"/>
        <v>16505.900000000001</v>
      </c>
      <c r="BA62" s="71">
        <v>8430.39</v>
      </c>
      <c r="BB62" s="71">
        <v>2810.13</v>
      </c>
      <c r="BC62" s="71"/>
      <c r="BD62" s="71">
        <v>5265.38</v>
      </c>
      <c r="BE62" s="71"/>
      <c r="BF62" s="71">
        <f t="shared" si="6"/>
        <v>0</v>
      </c>
      <c r="BG62" s="71">
        <v>0</v>
      </c>
      <c r="BH62" s="71">
        <v>0</v>
      </c>
      <c r="BI62" s="71"/>
      <c r="BJ62" s="71">
        <v>0</v>
      </c>
      <c r="BK62" s="71"/>
      <c r="BL62" s="20"/>
    </row>
    <row r="63" spans="1:64" ht="84" x14ac:dyDescent="0.2">
      <c r="A63" s="69">
        <v>59</v>
      </c>
      <c r="B63" s="52" t="str">
        <f ca="1">IFERROR(__xludf.DUMMYFUNCTION("""COMPUTED_VALUE"""),"г.о. Дмитровский")</f>
        <v>г.о. Дмитровский</v>
      </c>
      <c r="C63"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3" s="52" t="str">
        <f ca="1">IFERROR(__xludf.DUMMYFUNCTION("""COMPUTED_VALUE"""),"МинЖКХ")</f>
        <v>МинЖКХ</v>
      </c>
      <c r="E63" s="28" t="s">
        <v>574</v>
      </c>
      <c r="F63" s="52" t="str">
        <f ca="1">IFERROR(__xludf.DUMMYFUNCTION("""COMPUTED_VALUE"""),"ВЗУ")</f>
        <v>ВЗУ</v>
      </c>
      <c r="G63" s="52">
        <f ca="1">IFERROR(__xludf.DUMMYFUNCTION("""COMPUTED_VALUE"""),2023)</f>
        <v>2023</v>
      </c>
      <c r="H63" s="48"/>
      <c r="I63" s="48" t="str">
        <f ca="1">IFERROR(__xludf.DUMMYFUNCTION("""COMPUTED_VALUE"""),"СМР")</f>
        <v>СМР</v>
      </c>
      <c r="J63" s="48"/>
      <c r="K63" s="48"/>
      <c r="L63" s="48"/>
      <c r="M63" s="48"/>
      <c r="N63" s="48" t="str">
        <f ca="1">IFERROR(__xludf.DUMMYFUNCTION("""COMPUTED_VALUE"""),"10 1 G552430
")</f>
        <v xml:space="preserve">10 1 G552430
</v>
      </c>
      <c r="O63" s="48">
        <f ca="1">IFERROR(__xludf.DUMMYFUNCTION("""COMPUTED_VALUE"""),522)</f>
        <v>522</v>
      </c>
      <c r="P63" s="72">
        <f t="shared" ref="P63:R63" si="66">SUM(AH63,AN63,AT63,AZ63,BF63)</f>
        <v>13890.57</v>
      </c>
      <c r="Q63" s="72">
        <f t="shared" si="66"/>
        <v>7094.61</v>
      </c>
      <c r="R63" s="72">
        <f t="shared" si="66"/>
        <v>2364.87</v>
      </c>
      <c r="S63" s="53"/>
      <c r="T63" s="72">
        <f t="shared" si="44"/>
        <v>4431.09</v>
      </c>
      <c r="U63" s="53"/>
      <c r="V63" s="72"/>
      <c r="W63" s="72"/>
      <c r="X63" s="72"/>
      <c r="Y63" s="72"/>
      <c r="Z63" s="72"/>
      <c r="AA63" s="72"/>
      <c r="AB63" s="72"/>
      <c r="AC63" s="72"/>
      <c r="AD63" s="72"/>
      <c r="AE63" s="72"/>
      <c r="AF63" s="72"/>
      <c r="AG63" s="72"/>
      <c r="AH63" s="72">
        <f t="shared" si="2"/>
        <v>0</v>
      </c>
      <c r="AI63" s="71">
        <v>0</v>
      </c>
      <c r="AJ63" s="71">
        <v>0</v>
      </c>
      <c r="AK63" s="71"/>
      <c r="AL63" s="71">
        <v>0</v>
      </c>
      <c r="AM63" s="71"/>
      <c r="AN63" s="72">
        <f t="shared" si="3"/>
        <v>0</v>
      </c>
      <c r="AO63" s="71">
        <v>0</v>
      </c>
      <c r="AP63" s="71">
        <v>0</v>
      </c>
      <c r="AQ63" s="71"/>
      <c r="AR63" s="71">
        <v>0</v>
      </c>
      <c r="AS63" s="71"/>
      <c r="AT63" s="71">
        <f t="shared" si="4"/>
        <v>0</v>
      </c>
      <c r="AU63" s="71">
        <v>0</v>
      </c>
      <c r="AV63" s="71">
        <v>0</v>
      </c>
      <c r="AW63" s="71"/>
      <c r="AX63" s="71">
        <v>0</v>
      </c>
      <c r="AY63" s="71"/>
      <c r="AZ63" s="71">
        <f t="shared" si="45"/>
        <v>13890.57</v>
      </c>
      <c r="BA63" s="71">
        <v>7094.61</v>
      </c>
      <c r="BB63" s="71">
        <v>2364.87</v>
      </c>
      <c r="BC63" s="71"/>
      <c r="BD63" s="71">
        <v>4431.09</v>
      </c>
      <c r="BE63" s="71"/>
      <c r="BF63" s="71">
        <f t="shared" si="6"/>
        <v>0</v>
      </c>
      <c r="BG63" s="71">
        <v>0</v>
      </c>
      <c r="BH63" s="71">
        <v>0</v>
      </c>
      <c r="BI63" s="71"/>
      <c r="BJ63" s="71">
        <v>0</v>
      </c>
      <c r="BK63" s="71"/>
      <c r="BL63" s="20"/>
    </row>
    <row r="64" spans="1:64" ht="84" x14ac:dyDescent="0.2">
      <c r="A64" s="69">
        <v>60</v>
      </c>
      <c r="B64" s="55" t="str">
        <f ca="1">IFERROR(__xludf.DUMMYFUNCTION("""COMPUTED_VALUE"""),"г.о. Дмитровский")</f>
        <v>г.о. Дмитровский</v>
      </c>
      <c r="C64"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4" s="55" t="str">
        <f ca="1">IFERROR(__xludf.DUMMYFUNCTION("""COMPUTED_VALUE"""),"МинЖКХ")</f>
        <v>МинЖКХ</v>
      </c>
      <c r="E64" s="54" t="s">
        <v>130</v>
      </c>
      <c r="F64" s="57" t="str">
        <f ca="1">IFERROR(__xludf.DUMMYFUNCTION("""COMPUTED_VALUE"""),"ВЗУ")</f>
        <v>ВЗУ</v>
      </c>
      <c r="G64" s="57" t="str">
        <f ca="1">IFERROR(__xludf.DUMMYFUNCTION("""COMPUTED_VALUE"""),"Н/Л")</f>
        <v>Н/Л</v>
      </c>
      <c r="H64" s="48"/>
      <c r="I64" s="48"/>
      <c r="J64" s="48"/>
      <c r="K64" s="48"/>
      <c r="L64" s="48"/>
      <c r="M64" s="48"/>
      <c r="N64" s="48" t="str">
        <f ca="1">IFERROR(__xludf.DUMMYFUNCTION("""COMPUTED_VALUE"""),"10 1 G552430
")</f>
        <v xml:space="preserve">10 1 G552430
</v>
      </c>
      <c r="O64" s="48">
        <f ca="1">IFERROR(__xludf.DUMMYFUNCTION("""COMPUTED_VALUE"""),522)</f>
        <v>522</v>
      </c>
      <c r="P64" s="73">
        <f t="shared" ref="P64:R64" si="67">SUM(AH64,AN64,AT64,AZ64,BF64)</f>
        <v>0</v>
      </c>
      <c r="Q64" s="73">
        <f t="shared" si="67"/>
        <v>0</v>
      </c>
      <c r="R64" s="73">
        <f t="shared" si="67"/>
        <v>0</v>
      </c>
      <c r="S64" s="56"/>
      <c r="T64" s="73">
        <f t="shared" si="44"/>
        <v>0</v>
      </c>
      <c r="U64" s="56"/>
      <c r="V64" s="73"/>
      <c r="W64" s="73"/>
      <c r="X64" s="73"/>
      <c r="Y64" s="73"/>
      <c r="Z64" s="73"/>
      <c r="AA64" s="73"/>
      <c r="AB64" s="73"/>
      <c r="AC64" s="73"/>
      <c r="AD64" s="73"/>
      <c r="AE64" s="73"/>
      <c r="AF64" s="73"/>
      <c r="AG64" s="73"/>
      <c r="AH64" s="73">
        <f t="shared" si="2"/>
        <v>0</v>
      </c>
      <c r="AI64" s="74">
        <v>0</v>
      </c>
      <c r="AJ64" s="74">
        <v>0</v>
      </c>
      <c r="AK64" s="74"/>
      <c r="AL64" s="74">
        <v>0</v>
      </c>
      <c r="AM64" s="74"/>
      <c r="AN64" s="73">
        <f t="shared" si="3"/>
        <v>0</v>
      </c>
      <c r="AO64" s="74">
        <v>0</v>
      </c>
      <c r="AP64" s="74">
        <v>0</v>
      </c>
      <c r="AQ64" s="74"/>
      <c r="AR64" s="74">
        <v>0</v>
      </c>
      <c r="AS64" s="74"/>
      <c r="AT64" s="74">
        <f t="shared" si="4"/>
        <v>0</v>
      </c>
      <c r="AU64" s="74">
        <v>0</v>
      </c>
      <c r="AV64" s="74">
        <v>0</v>
      </c>
      <c r="AW64" s="74"/>
      <c r="AX64" s="74">
        <v>0</v>
      </c>
      <c r="AY64" s="74"/>
      <c r="AZ64" s="74">
        <f t="shared" si="45"/>
        <v>0</v>
      </c>
      <c r="BA64" s="74">
        <v>0</v>
      </c>
      <c r="BB64" s="74">
        <v>0</v>
      </c>
      <c r="BC64" s="74"/>
      <c r="BD64" s="74">
        <v>0</v>
      </c>
      <c r="BE64" s="74"/>
      <c r="BF64" s="74">
        <f t="shared" si="6"/>
        <v>0</v>
      </c>
      <c r="BG64" s="74">
        <v>0</v>
      </c>
      <c r="BH64" s="74">
        <v>0</v>
      </c>
      <c r="BI64" s="74"/>
      <c r="BJ64" s="74">
        <v>0</v>
      </c>
      <c r="BK64" s="74"/>
      <c r="BL64" s="20"/>
    </row>
    <row r="65" spans="1:64" ht="84" x14ac:dyDescent="0.2">
      <c r="A65" s="69">
        <v>61</v>
      </c>
      <c r="B65" s="55" t="str">
        <f ca="1">IFERROR(__xludf.DUMMYFUNCTION("""COMPUTED_VALUE"""),"г.о. Дмитровский")</f>
        <v>г.о. Дмитровский</v>
      </c>
      <c r="C65"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5" s="55" t="str">
        <f ca="1">IFERROR(__xludf.DUMMYFUNCTION("""COMPUTED_VALUE"""),"МинЖКХ")</f>
        <v>МинЖКХ</v>
      </c>
      <c r="E65" s="54" t="s">
        <v>131</v>
      </c>
      <c r="F65" s="57" t="str">
        <f ca="1">IFERROR(__xludf.DUMMYFUNCTION("""COMPUTED_VALUE"""),"ВЗУ")</f>
        <v>ВЗУ</v>
      </c>
      <c r="G65" s="57" t="str">
        <f ca="1">IFERROR(__xludf.DUMMYFUNCTION("""COMPUTED_VALUE"""),"Н/Л")</f>
        <v>Н/Л</v>
      </c>
      <c r="H65" s="48"/>
      <c r="I65" s="48"/>
      <c r="J65" s="48"/>
      <c r="K65" s="48"/>
      <c r="L65" s="48"/>
      <c r="M65" s="48"/>
      <c r="N65" s="48" t="str">
        <f ca="1">IFERROR(__xludf.DUMMYFUNCTION("""COMPUTED_VALUE"""),"10 1 G552430
")</f>
        <v xml:space="preserve">10 1 G552430
</v>
      </c>
      <c r="O65" s="48">
        <f ca="1">IFERROR(__xludf.DUMMYFUNCTION("""COMPUTED_VALUE"""),522)</f>
        <v>522</v>
      </c>
      <c r="P65" s="73">
        <f t="shared" ref="P65:R65" si="68">SUM(AH65,AN65,AT65,AZ65,BF65)</f>
        <v>0</v>
      </c>
      <c r="Q65" s="73">
        <f t="shared" si="68"/>
        <v>0</v>
      </c>
      <c r="R65" s="73">
        <f t="shared" si="68"/>
        <v>0</v>
      </c>
      <c r="S65" s="56"/>
      <c r="T65" s="73">
        <f t="shared" si="44"/>
        <v>0</v>
      </c>
      <c r="U65" s="56"/>
      <c r="V65" s="73"/>
      <c r="W65" s="73"/>
      <c r="X65" s="73"/>
      <c r="Y65" s="73"/>
      <c r="Z65" s="73"/>
      <c r="AA65" s="73"/>
      <c r="AB65" s="73"/>
      <c r="AC65" s="73"/>
      <c r="AD65" s="73"/>
      <c r="AE65" s="73"/>
      <c r="AF65" s="73"/>
      <c r="AG65" s="73"/>
      <c r="AH65" s="73">
        <f t="shared" si="2"/>
        <v>0</v>
      </c>
      <c r="AI65" s="74">
        <v>0</v>
      </c>
      <c r="AJ65" s="74">
        <v>0</v>
      </c>
      <c r="AK65" s="74"/>
      <c r="AL65" s="74">
        <v>0</v>
      </c>
      <c r="AM65" s="74"/>
      <c r="AN65" s="73">
        <f t="shared" si="3"/>
        <v>0</v>
      </c>
      <c r="AO65" s="74">
        <v>0</v>
      </c>
      <c r="AP65" s="74">
        <v>0</v>
      </c>
      <c r="AQ65" s="74"/>
      <c r="AR65" s="74">
        <v>0</v>
      </c>
      <c r="AS65" s="74"/>
      <c r="AT65" s="74">
        <f t="shared" si="4"/>
        <v>0</v>
      </c>
      <c r="AU65" s="74">
        <v>0</v>
      </c>
      <c r="AV65" s="74">
        <v>0</v>
      </c>
      <c r="AW65" s="74"/>
      <c r="AX65" s="74">
        <v>0</v>
      </c>
      <c r="AY65" s="74"/>
      <c r="AZ65" s="74">
        <f t="shared" si="45"/>
        <v>0</v>
      </c>
      <c r="BA65" s="74">
        <v>0</v>
      </c>
      <c r="BB65" s="74">
        <v>0</v>
      </c>
      <c r="BC65" s="74"/>
      <c r="BD65" s="74">
        <v>0</v>
      </c>
      <c r="BE65" s="74"/>
      <c r="BF65" s="74">
        <f t="shared" si="6"/>
        <v>0</v>
      </c>
      <c r="BG65" s="74">
        <v>0</v>
      </c>
      <c r="BH65" s="74">
        <v>0</v>
      </c>
      <c r="BI65" s="74"/>
      <c r="BJ65" s="74">
        <v>0</v>
      </c>
      <c r="BK65" s="74"/>
      <c r="BL65" s="20"/>
    </row>
    <row r="66" spans="1:64" ht="84" x14ac:dyDescent="0.2">
      <c r="A66" s="69">
        <v>62</v>
      </c>
      <c r="B66" s="52" t="str">
        <f ca="1">IFERROR(__xludf.DUMMYFUNCTION("""COMPUTED_VALUE"""),"г.о. Талдомский")</f>
        <v>г.о. Талдомский</v>
      </c>
      <c r="C66"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6" s="52" t="str">
        <f ca="1">IFERROR(__xludf.DUMMYFUNCTION("""COMPUTED_VALUE"""),"МинЖКХ")</f>
        <v>МинЖКХ</v>
      </c>
      <c r="E66" s="28" t="s">
        <v>132</v>
      </c>
      <c r="F66" s="52" t="str">
        <f ca="1">IFERROR(__xludf.DUMMYFUNCTION("""COMPUTED_VALUE"""),"ВЗУ")</f>
        <v>ВЗУ</v>
      </c>
      <c r="G66" s="52">
        <f ca="1">IFERROR(__xludf.DUMMYFUNCTION("""COMPUTED_VALUE"""),2023)</f>
        <v>2023</v>
      </c>
      <c r="H66" s="48"/>
      <c r="I66" s="48" t="str">
        <f ca="1">IFERROR(__xludf.DUMMYFUNCTION("""COMPUTED_VALUE"""),"СМР")</f>
        <v>СМР</v>
      </c>
      <c r="J66" s="48"/>
      <c r="K66" s="48"/>
      <c r="L66" s="48"/>
      <c r="M66" s="48"/>
      <c r="N66" s="48" t="str">
        <f ca="1">IFERROR(__xludf.DUMMYFUNCTION("""COMPUTED_VALUE"""),"10 1 G552430
")</f>
        <v xml:space="preserve">10 1 G552430
</v>
      </c>
      <c r="O66" s="48">
        <f ca="1">IFERROR(__xludf.DUMMYFUNCTION("""COMPUTED_VALUE"""),522)</f>
        <v>522</v>
      </c>
      <c r="P66" s="72">
        <f t="shared" ref="P66:R66" si="69">SUM(AH66,AN66,AT66,AZ66,BF66)</f>
        <v>16984.29</v>
      </c>
      <c r="Q66" s="72">
        <f t="shared" si="69"/>
        <v>11094.99</v>
      </c>
      <c r="R66" s="72">
        <f t="shared" si="69"/>
        <v>3698.33</v>
      </c>
      <c r="S66" s="53"/>
      <c r="T66" s="72">
        <f t="shared" si="44"/>
        <v>2190.9699999999998</v>
      </c>
      <c r="U66" s="53"/>
      <c r="V66" s="72"/>
      <c r="W66" s="72"/>
      <c r="X66" s="72"/>
      <c r="Y66" s="72"/>
      <c r="Z66" s="72"/>
      <c r="AA66" s="72"/>
      <c r="AB66" s="72"/>
      <c r="AC66" s="72"/>
      <c r="AD66" s="72"/>
      <c r="AE66" s="72"/>
      <c r="AF66" s="72"/>
      <c r="AG66" s="72"/>
      <c r="AH66" s="72">
        <f t="shared" si="2"/>
        <v>0</v>
      </c>
      <c r="AI66" s="71">
        <v>0</v>
      </c>
      <c r="AJ66" s="71">
        <v>0</v>
      </c>
      <c r="AK66" s="71"/>
      <c r="AL66" s="71">
        <v>0</v>
      </c>
      <c r="AM66" s="71"/>
      <c r="AN66" s="72">
        <f t="shared" si="3"/>
        <v>0</v>
      </c>
      <c r="AO66" s="71">
        <v>0</v>
      </c>
      <c r="AP66" s="71">
        <v>0</v>
      </c>
      <c r="AQ66" s="71"/>
      <c r="AR66" s="71">
        <v>0</v>
      </c>
      <c r="AS66" s="71"/>
      <c r="AT66" s="71">
        <f t="shared" si="4"/>
        <v>0</v>
      </c>
      <c r="AU66" s="71">
        <v>0</v>
      </c>
      <c r="AV66" s="71">
        <v>0</v>
      </c>
      <c r="AW66" s="71"/>
      <c r="AX66" s="71">
        <v>0</v>
      </c>
      <c r="AY66" s="71"/>
      <c r="AZ66" s="71">
        <f t="shared" si="45"/>
        <v>16984.29</v>
      </c>
      <c r="BA66" s="71">
        <v>11094.99</v>
      </c>
      <c r="BB66" s="71">
        <v>3698.33</v>
      </c>
      <c r="BC66" s="71"/>
      <c r="BD66" s="71">
        <v>2190.9699999999998</v>
      </c>
      <c r="BE66" s="71"/>
      <c r="BF66" s="71">
        <f t="shared" si="6"/>
        <v>0</v>
      </c>
      <c r="BG66" s="71">
        <v>0</v>
      </c>
      <c r="BH66" s="71">
        <v>0</v>
      </c>
      <c r="BI66" s="71"/>
      <c r="BJ66" s="71">
        <v>0</v>
      </c>
      <c r="BK66" s="71"/>
      <c r="BL66" s="20"/>
    </row>
    <row r="67" spans="1:64" ht="84" x14ac:dyDescent="0.2">
      <c r="A67" s="69">
        <v>63</v>
      </c>
      <c r="B67" s="52" t="str">
        <f ca="1">IFERROR(__xludf.DUMMYFUNCTION("""COMPUTED_VALUE"""),"г.о. Талдомский")</f>
        <v>г.о. Талдомский</v>
      </c>
      <c r="C67"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7" s="52" t="str">
        <f ca="1">IFERROR(__xludf.DUMMYFUNCTION("""COMPUTED_VALUE"""),"МинЖКХ")</f>
        <v>МинЖКХ</v>
      </c>
      <c r="E67" s="28" t="s">
        <v>133</v>
      </c>
      <c r="F67" s="52" t="str">
        <f ca="1">IFERROR(__xludf.DUMMYFUNCTION("""COMPUTED_VALUE"""),"ВЗУ")</f>
        <v>ВЗУ</v>
      </c>
      <c r="G67" s="52">
        <f ca="1">IFERROR(__xludf.DUMMYFUNCTION("""COMPUTED_VALUE"""),2022)</f>
        <v>2022</v>
      </c>
      <c r="H67" s="48"/>
      <c r="I67" s="48" t="str">
        <f ca="1">IFERROR(__xludf.DUMMYFUNCTION("""COMPUTED_VALUE"""),"СМР")</f>
        <v>СМР</v>
      </c>
      <c r="J67" s="48"/>
      <c r="K67" s="48"/>
      <c r="L67" s="48"/>
      <c r="M67" s="48"/>
      <c r="N67" s="48" t="str">
        <f ca="1">IFERROR(__xludf.DUMMYFUNCTION("""COMPUTED_VALUE"""),"10 1 G552430
")</f>
        <v xml:space="preserve">10 1 G552430
</v>
      </c>
      <c r="O67" s="48">
        <f ca="1">IFERROR(__xludf.DUMMYFUNCTION("""COMPUTED_VALUE"""),522)</f>
        <v>522</v>
      </c>
      <c r="P67" s="72">
        <f t="shared" ref="P67:R67" si="70">SUM(AH67,AN67,AT67,AZ67,BF67)</f>
        <v>21000</v>
      </c>
      <c r="Q67" s="72">
        <f t="shared" si="70"/>
        <v>12663</v>
      </c>
      <c r="R67" s="72">
        <f t="shared" si="70"/>
        <v>4221</v>
      </c>
      <c r="S67" s="53"/>
      <c r="T67" s="72">
        <f t="shared" si="44"/>
        <v>4116</v>
      </c>
      <c r="U67" s="53"/>
      <c r="V67" s="72"/>
      <c r="W67" s="72"/>
      <c r="X67" s="72"/>
      <c r="Y67" s="72"/>
      <c r="Z67" s="72"/>
      <c r="AA67" s="72"/>
      <c r="AB67" s="72"/>
      <c r="AC67" s="72"/>
      <c r="AD67" s="72"/>
      <c r="AE67" s="72"/>
      <c r="AF67" s="72"/>
      <c r="AG67" s="72"/>
      <c r="AH67" s="72">
        <f t="shared" si="2"/>
        <v>0</v>
      </c>
      <c r="AI67" s="71">
        <v>0</v>
      </c>
      <c r="AJ67" s="71">
        <v>0</v>
      </c>
      <c r="AK67" s="71"/>
      <c r="AL67" s="71">
        <v>0</v>
      </c>
      <c r="AM67" s="71"/>
      <c r="AN67" s="72">
        <f t="shared" si="3"/>
        <v>0</v>
      </c>
      <c r="AO67" s="71">
        <v>0</v>
      </c>
      <c r="AP67" s="71">
        <v>0</v>
      </c>
      <c r="AQ67" s="71"/>
      <c r="AR67" s="71">
        <v>0</v>
      </c>
      <c r="AS67" s="71"/>
      <c r="AT67" s="71">
        <f t="shared" si="4"/>
        <v>21000</v>
      </c>
      <c r="AU67" s="71">
        <v>12663</v>
      </c>
      <c r="AV67" s="71">
        <v>4221</v>
      </c>
      <c r="AW67" s="71"/>
      <c r="AX67" s="71">
        <v>4116</v>
      </c>
      <c r="AY67" s="71"/>
      <c r="AZ67" s="71">
        <f t="shared" si="45"/>
        <v>0</v>
      </c>
      <c r="BA67" s="71">
        <v>0</v>
      </c>
      <c r="BB67" s="71">
        <v>0</v>
      </c>
      <c r="BC67" s="71"/>
      <c r="BD67" s="71">
        <v>0</v>
      </c>
      <c r="BE67" s="71"/>
      <c r="BF67" s="71">
        <f t="shared" si="6"/>
        <v>0</v>
      </c>
      <c r="BG67" s="71">
        <v>0</v>
      </c>
      <c r="BH67" s="71">
        <v>0</v>
      </c>
      <c r="BI67" s="71"/>
      <c r="BJ67" s="71">
        <v>0</v>
      </c>
      <c r="BK67" s="71"/>
      <c r="BL67" s="20"/>
    </row>
    <row r="68" spans="1:64" ht="84" x14ac:dyDescent="0.2">
      <c r="A68" s="69">
        <v>64</v>
      </c>
      <c r="B68" s="52" t="str">
        <f ca="1">IFERROR(__xludf.DUMMYFUNCTION("""COMPUTED_VALUE"""),"г.о. Волоколамский")</f>
        <v>г.о. Волоколамский</v>
      </c>
      <c r="C68"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8" s="52" t="str">
        <f ca="1">IFERROR(__xludf.DUMMYFUNCTION("""COMPUTED_VALUE"""),"МинЖКХ")</f>
        <v>МинЖКХ</v>
      </c>
      <c r="E68" s="28" t="s">
        <v>134</v>
      </c>
      <c r="F68" s="52" t="str">
        <f ca="1">IFERROR(__xludf.DUMMYFUNCTION("""COMPUTED_VALUE"""),"ВЗУ")</f>
        <v>ВЗУ</v>
      </c>
      <c r="G68" s="52">
        <f ca="1">IFERROR(__xludf.DUMMYFUNCTION("""COMPUTED_VALUE"""),2022)</f>
        <v>2022</v>
      </c>
      <c r="H68" s="48"/>
      <c r="I68" s="48" t="str">
        <f ca="1">IFERROR(__xludf.DUMMYFUNCTION("""COMPUTED_VALUE"""),"СМР")</f>
        <v>СМР</v>
      </c>
      <c r="J68" s="48"/>
      <c r="K68" s="48"/>
      <c r="L68" s="48"/>
      <c r="M68" s="48"/>
      <c r="N68" s="48" t="str">
        <f ca="1">IFERROR(__xludf.DUMMYFUNCTION("""COMPUTED_VALUE"""),"10 1 G552430
")</f>
        <v xml:space="preserve">10 1 G552430
</v>
      </c>
      <c r="O68" s="48">
        <f ca="1">IFERROR(__xludf.DUMMYFUNCTION("""COMPUTED_VALUE"""),522)</f>
        <v>522</v>
      </c>
      <c r="P68" s="72">
        <f t="shared" ref="P68:R68" si="71">SUM(AH68,AN68,AT68,AZ68,BF68)</f>
        <v>86000</v>
      </c>
      <c r="Q68" s="72">
        <f t="shared" si="71"/>
        <v>58050</v>
      </c>
      <c r="R68" s="72">
        <f t="shared" si="71"/>
        <v>19350</v>
      </c>
      <c r="S68" s="53"/>
      <c r="T68" s="72">
        <f t="shared" si="44"/>
        <v>8600</v>
      </c>
      <c r="U68" s="53"/>
      <c r="V68" s="72"/>
      <c r="W68" s="72"/>
      <c r="X68" s="72"/>
      <c r="Y68" s="72"/>
      <c r="Z68" s="72"/>
      <c r="AA68" s="72"/>
      <c r="AB68" s="72"/>
      <c r="AC68" s="72"/>
      <c r="AD68" s="72"/>
      <c r="AE68" s="72"/>
      <c r="AF68" s="72"/>
      <c r="AG68" s="72"/>
      <c r="AH68" s="72">
        <f t="shared" si="2"/>
        <v>0</v>
      </c>
      <c r="AI68" s="71">
        <v>0</v>
      </c>
      <c r="AJ68" s="71">
        <v>0</v>
      </c>
      <c r="AK68" s="71"/>
      <c r="AL68" s="71">
        <v>0</v>
      </c>
      <c r="AM68" s="71"/>
      <c r="AN68" s="72">
        <f t="shared" si="3"/>
        <v>0</v>
      </c>
      <c r="AO68" s="71">
        <v>0</v>
      </c>
      <c r="AP68" s="71">
        <v>0</v>
      </c>
      <c r="AQ68" s="71"/>
      <c r="AR68" s="71">
        <v>0</v>
      </c>
      <c r="AS68" s="71"/>
      <c r="AT68" s="71">
        <f t="shared" si="4"/>
        <v>86000</v>
      </c>
      <c r="AU68" s="71">
        <v>58050</v>
      </c>
      <c r="AV68" s="71">
        <v>19350</v>
      </c>
      <c r="AW68" s="71"/>
      <c r="AX68" s="71">
        <v>8600</v>
      </c>
      <c r="AY68" s="71"/>
      <c r="AZ68" s="71">
        <f t="shared" si="45"/>
        <v>0</v>
      </c>
      <c r="BA68" s="71">
        <v>0</v>
      </c>
      <c r="BB68" s="71">
        <v>0</v>
      </c>
      <c r="BC68" s="71"/>
      <c r="BD68" s="71">
        <v>0</v>
      </c>
      <c r="BE68" s="71"/>
      <c r="BF68" s="71">
        <f t="shared" si="6"/>
        <v>0</v>
      </c>
      <c r="BG68" s="71">
        <v>0</v>
      </c>
      <c r="BH68" s="71">
        <v>0</v>
      </c>
      <c r="BI68" s="71"/>
      <c r="BJ68" s="71">
        <v>0</v>
      </c>
      <c r="BK68" s="71"/>
      <c r="BL68" s="20"/>
    </row>
    <row r="69" spans="1:64" ht="84" x14ac:dyDescent="0.2">
      <c r="A69" s="69">
        <v>65</v>
      </c>
      <c r="B69" s="52" t="str">
        <f ca="1">IFERROR(__xludf.DUMMYFUNCTION("""COMPUTED_VALUE"""),"г.о. Волоколамский")</f>
        <v>г.о. Волоколамский</v>
      </c>
      <c r="C69"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69" s="52" t="str">
        <f ca="1">IFERROR(__xludf.DUMMYFUNCTION("""COMPUTED_VALUE"""),"МинЖКХ")</f>
        <v>МинЖКХ</v>
      </c>
      <c r="E69" s="28" t="s">
        <v>135</v>
      </c>
      <c r="F69" s="52" t="str">
        <f ca="1">IFERROR(__xludf.DUMMYFUNCTION("""COMPUTED_VALUE"""),"ВЗУ")</f>
        <v>ВЗУ</v>
      </c>
      <c r="G69" s="52">
        <f ca="1">IFERROR(__xludf.DUMMYFUNCTION("""COMPUTED_VALUE"""),2022)</f>
        <v>2022</v>
      </c>
      <c r="H69" s="48"/>
      <c r="I69" s="48" t="str">
        <f ca="1">IFERROR(__xludf.DUMMYFUNCTION("""COMPUTED_VALUE"""),"СМР")</f>
        <v>СМР</v>
      </c>
      <c r="J69" s="48"/>
      <c r="K69" s="48"/>
      <c r="L69" s="48"/>
      <c r="M69" s="48"/>
      <c r="N69" s="48" t="str">
        <f ca="1">IFERROR(__xludf.DUMMYFUNCTION("""COMPUTED_VALUE"""),"10 1 G552430
")</f>
        <v xml:space="preserve">10 1 G552430
</v>
      </c>
      <c r="O69" s="48">
        <f ca="1">IFERROR(__xludf.DUMMYFUNCTION("""COMPUTED_VALUE"""),522)</f>
        <v>522</v>
      </c>
      <c r="P69" s="72">
        <f t="shared" ref="P69:R69" si="72">SUM(AH69,AN69,AT69,AZ69,BF69)</f>
        <v>18000</v>
      </c>
      <c r="Q69" s="72">
        <f t="shared" si="72"/>
        <v>12150</v>
      </c>
      <c r="R69" s="72">
        <f t="shared" si="72"/>
        <v>4050</v>
      </c>
      <c r="S69" s="53"/>
      <c r="T69" s="72">
        <f t="shared" si="44"/>
        <v>1800</v>
      </c>
      <c r="U69" s="53"/>
      <c r="V69" s="72"/>
      <c r="W69" s="72"/>
      <c r="X69" s="72"/>
      <c r="Y69" s="72"/>
      <c r="Z69" s="72"/>
      <c r="AA69" s="72"/>
      <c r="AB69" s="72"/>
      <c r="AC69" s="72"/>
      <c r="AD69" s="72"/>
      <c r="AE69" s="72"/>
      <c r="AF69" s="72"/>
      <c r="AG69" s="72"/>
      <c r="AH69" s="72">
        <f t="shared" si="2"/>
        <v>0</v>
      </c>
      <c r="AI69" s="71">
        <v>0</v>
      </c>
      <c r="AJ69" s="71">
        <v>0</v>
      </c>
      <c r="AK69" s="71"/>
      <c r="AL69" s="71">
        <v>0</v>
      </c>
      <c r="AM69" s="71"/>
      <c r="AN69" s="72">
        <f t="shared" si="3"/>
        <v>0</v>
      </c>
      <c r="AO69" s="71">
        <v>0</v>
      </c>
      <c r="AP69" s="71">
        <v>0</v>
      </c>
      <c r="AQ69" s="71"/>
      <c r="AR69" s="71">
        <v>0</v>
      </c>
      <c r="AS69" s="71"/>
      <c r="AT69" s="71">
        <f t="shared" si="4"/>
        <v>18000</v>
      </c>
      <c r="AU69" s="71">
        <v>12150</v>
      </c>
      <c r="AV69" s="71">
        <v>4050</v>
      </c>
      <c r="AW69" s="71"/>
      <c r="AX69" s="71">
        <v>1800</v>
      </c>
      <c r="AY69" s="71"/>
      <c r="AZ69" s="71">
        <f t="shared" si="45"/>
        <v>0</v>
      </c>
      <c r="BA69" s="71">
        <v>0</v>
      </c>
      <c r="BB69" s="71">
        <v>0</v>
      </c>
      <c r="BC69" s="71"/>
      <c r="BD69" s="71">
        <v>0</v>
      </c>
      <c r="BE69" s="71"/>
      <c r="BF69" s="71">
        <f t="shared" si="6"/>
        <v>0</v>
      </c>
      <c r="BG69" s="71">
        <v>0</v>
      </c>
      <c r="BH69" s="71">
        <v>0</v>
      </c>
      <c r="BI69" s="71"/>
      <c r="BJ69" s="71">
        <v>0</v>
      </c>
      <c r="BK69" s="71"/>
      <c r="BL69" s="20"/>
    </row>
    <row r="70" spans="1:64" ht="84" x14ac:dyDescent="0.2">
      <c r="A70" s="69">
        <v>66</v>
      </c>
      <c r="B70" s="55" t="str">
        <f ca="1">IFERROR(__xludf.DUMMYFUNCTION("""COMPUTED_VALUE"""),"г.о. Наро-Фоминск")</f>
        <v>г.о. Наро-Фоминск</v>
      </c>
      <c r="C70"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0" s="55" t="str">
        <f ca="1">IFERROR(__xludf.DUMMYFUNCTION("""COMPUTED_VALUE"""),"МинЖКХ")</f>
        <v>МинЖКХ</v>
      </c>
      <c r="E70" s="54" t="s">
        <v>136</v>
      </c>
      <c r="F70" s="57" t="str">
        <f ca="1">IFERROR(__xludf.DUMMYFUNCTION("""COMPUTED_VALUE"""),"ВЗУ")</f>
        <v>ВЗУ</v>
      </c>
      <c r="G70" s="57" t="str">
        <f ca="1">IFERROR(__xludf.DUMMYFUNCTION("""COMPUTED_VALUE"""),"Н/Л")</f>
        <v>Н/Л</v>
      </c>
      <c r="H70" s="48"/>
      <c r="I70" s="48"/>
      <c r="J70" s="48"/>
      <c r="K70" s="48"/>
      <c r="L70" s="48"/>
      <c r="M70" s="48"/>
      <c r="N70" s="48" t="str">
        <f ca="1">IFERROR(__xludf.DUMMYFUNCTION("""COMPUTED_VALUE"""),"10 1 G552430
")</f>
        <v xml:space="preserve">10 1 G552430
</v>
      </c>
      <c r="O70" s="48">
        <f ca="1">IFERROR(__xludf.DUMMYFUNCTION("""COMPUTED_VALUE"""),522)</f>
        <v>522</v>
      </c>
      <c r="P70" s="73">
        <f t="shared" ref="P70:R70" si="73">SUM(AH70,AN70,AT70,AZ70,BF70)</f>
        <v>0</v>
      </c>
      <c r="Q70" s="73">
        <f t="shared" si="73"/>
        <v>0</v>
      </c>
      <c r="R70" s="73">
        <f t="shared" si="73"/>
        <v>0</v>
      </c>
      <c r="S70" s="56"/>
      <c r="T70" s="73">
        <f t="shared" si="44"/>
        <v>0</v>
      </c>
      <c r="U70" s="56"/>
      <c r="V70" s="73"/>
      <c r="W70" s="73"/>
      <c r="X70" s="73"/>
      <c r="Y70" s="73"/>
      <c r="Z70" s="73"/>
      <c r="AA70" s="73"/>
      <c r="AB70" s="73"/>
      <c r="AC70" s="73"/>
      <c r="AD70" s="73"/>
      <c r="AE70" s="73"/>
      <c r="AF70" s="73"/>
      <c r="AG70" s="73"/>
      <c r="AH70" s="73">
        <f t="shared" si="2"/>
        <v>0</v>
      </c>
      <c r="AI70" s="74">
        <v>0</v>
      </c>
      <c r="AJ70" s="74">
        <v>0</v>
      </c>
      <c r="AK70" s="74"/>
      <c r="AL70" s="74">
        <v>0</v>
      </c>
      <c r="AM70" s="74"/>
      <c r="AN70" s="73">
        <f t="shared" si="3"/>
        <v>0</v>
      </c>
      <c r="AO70" s="74">
        <v>0</v>
      </c>
      <c r="AP70" s="74">
        <v>0</v>
      </c>
      <c r="AQ70" s="74"/>
      <c r="AR70" s="74">
        <v>0</v>
      </c>
      <c r="AS70" s="74"/>
      <c r="AT70" s="74">
        <f t="shared" si="4"/>
        <v>0</v>
      </c>
      <c r="AU70" s="74">
        <v>0</v>
      </c>
      <c r="AV70" s="74">
        <v>0</v>
      </c>
      <c r="AW70" s="74"/>
      <c r="AX70" s="74">
        <v>0</v>
      </c>
      <c r="AY70" s="74"/>
      <c r="AZ70" s="74">
        <f t="shared" si="45"/>
        <v>0</v>
      </c>
      <c r="BA70" s="74">
        <v>0</v>
      </c>
      <c r="BB70" s="74">
        <v>0</v>
      </c>
      <c r="BC70" s="74"/>
      <c r="BD70" s="74">
        <v>0</v>
      </c>
      <c r="BE70" s="74"/>
      <c r="BF70" s="74">
        <f t="shared" si="6"/>
        <v>0</v>
      </c>
      <c r="BG70" s="74">
        <v>0</v>
      </c>
      <c r="BH70" s="74">
        <v>0</v>
      </c>
      <c r="BI70" s="74"/>
      <c r="BJ70" s="74">
        <v>0</v>
      </c>
      <c r="BK70" s="74"/>
      <c r="BL70" s="20"/>
    </row>
    <row r="71" spans="1:64" ht="84" x14ac:dyDescent="0.2">
      <c r="A71" s="69">
        <v>67</v>
      </c>
      <c r="B71" s="55" t="str">
        <f ca="1">IFERROR(__xludf.DUMMYFUNCTION("""COMPUTED_VALUE"""),"г.о. Ленинский")</f>
        <v>г.о. Ленинский</v>
      </c>
      <c r="C71"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1" s="55" t="str">
        <f ca="1">IFERROR(__xludf.DUMMYFUNCTION("""COMPUTED_VALUE"""),"МинЖКХ")</f>
        <v>МинЖКХ</v>
      </c>
      <c r="E71" s="54" t="s">
        <v>137</v>
      </c>
      <c r="F71" s="57" t="str">
        <f ca="1">IFERROR(__xludf.DUMMYFUNCTION("""COMPUTED_VALUE"""),"ВЗУ")</f>
        <v>ВЗУ</v>
      </c>
      <c r="G71" s="57" t="str">
        <f ca="1">IFERROR(__xludf.DUMMYFUNCTION("""COMPUTED_VALUE"""),"Н/Л")</f>
        <v>Н/Л</v>
      </c>
      <c r="H71" s="48"/>
      <c r="I71" s="48"/>
      <c r="J71" s="48"/>
      <c r="K71" s="48"/>
      <c r="L71" s="48"/>
      <c r="M71" s="48"/>
      <c r="N71" s="48" t="str">
        <f ca="1">IFERROR(__xludf.DUMMYFUNCTION("""COMPUTED_VALUE"""),"10 1 G552430
")</f>
        <v xml:space="preserve">10 1 G552430
</v>
      </c>
      <c r="O71" s="48">
        <f ca="1">IFERROR(__xludf.DUMMYFUNCTION("""COMPUTED_VALUE"""),522)</f>
        <v>522</v>
      </c>
      <c r="P71" s="73">
        <f t="shared" ref="P71:R71" si="74">SUM(AH71,AN71,AT71,AZ71,BF71)</f>
        <v>0</v>
      </c>
      <c r="Q71" s="73">
        <f t="shared" si="74"/>
        <v>0</v>
      </c>
      <c r="R71" s="73">
        <f t="shared" si="74"/>
        <v>0</v>
      </c>
      <c r="S71" s="56"/>
      <c r="T71" s="73">
        <f t="shared" si="44"/>
        <v>0</v>
      </c>
      <c r="U71" s="56"/>
      <c r="V71" s="73"/>
      <c r="W71" s="73"/>
      <c r="X71" s="73"/>
      <c r="Y71" s="73"/>
      <c r="Z71" s="73"/>
      <c r="AA71" s="73"/>
      <c r="AB71" s="73"/>
      <c r="AC71" s="73"/>
      <c r="AD71" s="73"/>
      <c r="AE71" s="73"/>
      <c r="AF71" s="73"/>
      <c r="AG71" s="73"/>
      <c r="AH71" s="73">
        <f t="shared" si="2"/>
        <v>0</v>
      </c>
      <c r="AI71" s="74">
        <v>0</v>
      </c>
      <c r="AJ71" s="74">
        <v>0</v>
      </c>
      <c r="AK71" s="74"/>
      <c r="AL71" s="74">
        <v>0</v>
      </c>
      <c r="AM71" s="74"/>
      <c r="AN71" s="73">
        <f t="shared" si="3"/>
        <v>0</v>
      </c>
      <c r="AO71" s="74">
        <v>0</v>
      </c>
      <c r="AP71" s="74">
        <v>0</v>
      </c>
      <c r="AQ71" s="74"/>
      <c r="AR71" s="74">
        <v>0</v>
      </c>
      <c r="AS71" s="74"/>
      <c r="AT71" s="74">
        <f t="shared" si="4"/>
        <v>0</v>
      </c>
      <c r="AU71" s="74">
        <v>0</v>
      </c>
      <c r="AV71" s="74">
        <v>0</v>
      </c>
      <c r="AW71" s="74"/>
      <c r="AX71" s="74">
        <v>0</v>
      </c>
      <c r="AY71" s="74"/>
      <c r="AZ71" s="74">
        <f t="shared" si="45"/>
        <v>0</v>
      </c>
      <c r="BA71" s="74">
        <v>0</v>
      </c>
      <c r="BB71" s="74">
        <v>0</v>
      </c>
      <c r="BC71" s="74"/>
      <c r="BD71" s="74">
        <v>0</v>
      </c>
      <c r="BE71" s="74"/>
      <c r="BF71" s="74">
        <f t="shared" si="6"/>
        <v>0</v>
      </c>
      <c r="BG71" s="74">
        <v>0</v>
      </c>
      <c r="BH71" s="74">
        <v>0</v>
      </c>
      <c r="BI71" s="74"/>
      <c r="BJ71" s="74">
        <v>0</v>
      </c>
      <c r="BK71" s="74"/>
      <c r="BL71" s="20"/>
    </row>
    <row r="72" spans="1:64" ht="84" x14ac:dyDescent="0.2">
      <c r="A72" s="69">
        <v>68</v>
      </c>
      <c r="B72" s="55" t="str">
        <f ca="1">IFERROR(__xludf.DUMMYFUNCTION("""COMPUTED_VALUE"""),"г.о. Ленинский")</f>
        <v>г.о. Ленинский</v>
      </c>
      <c r="C72" s="55"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2" s="55" t="str">
        <f ca="1">IFERROR(__xludf.DUMMYFUNCTION("""COMPUTED_VALUE"""),"МинЖКХ")</f>
        <v>МинЖКХ</v>
      </c>
      <c r="E72" s="54" t="s">
        <v>138</v>
      </c>
      <c r="F72" s="57" t="str">
        <f ca="1">IFERROR(__xludf.DUMMYFUNCTION("""COMPUTED_VALUE"""),"ВЗУ")</f>
        <v>ВЗУ</v>
      </c>
      <c r="G72" s="57" t="str">
        <f ca="1">IFERROR(__xludf.DUMMYFUNCTION("""COMPUTED_VALUE"""),"Н/Л")</f>
        <v>Н/Л</v>
      </c>
      <c r="H72" s="48"/>
      <c r="I72" s="48"/>
      <c r="J72" s="48"/>
      <c r="K72" s="48"/>
      <c r="L72" s="48"/>
      <c r="M72" s="48"/>
      <c r="N72" s="48" t="str">
        <f ca="1">IFERROR(__xludf.DUMMYFUNCTION("""COMPUTED_VALUE"""),"10 1 G552430
")</f>
        <v xml:space="preserve">10 1 G552430
</v>
      </c>
      <c r="O72" s="48">
        <f ca="1">IFERROR(__xludf.DUMMYFUNCTION("""COMPUTED_VALUE"""),522)</f>
        <v>522</v>
      </c>
      <c r="P72" s="73">
        <f t="shared" ref="P72:R72" si="75">SUM(AH72,AN72,AT72,AZ72,BF72)</f>
        <v>0</v>
      </c>
      <c r="Q72" s="73">
        <f t="shared" si="75"/>
        <v>0</v>
      </c>
      <c r="R72" s="73">
        <f t="shared" si="75"/>
        <v>0</v>
      </c>
      <c r="S72" s="56"/>
      <c r="T72" s="73">
        <f t="shared" si="44"/>
        <v>0</v>
      </c>
      <c r="U72" s="56"/>
      <c r="V72" s="73"/>
      <c r="W72" s="73"/>
      <c r="X72" s="73"/>
      <c r="Y72" s="73"/>
      <c r="Z72" s="73"/>
      <c r="AA72" s="73"/>
      <c r="AB72" s="73"/>
      <c r="AC72" s="73"/>
      <c r="AD72" s="73"/>
      <c r="AE72" s="73"/>
      <c r="AF72" s="73"/>
      <c r="AG72" s="73"/>
      <c r="AH72" s="73">
        <f t="shared" si="2"/>
        <v>0</v>
      </c>
      <c r="AI72" s="74">
        <v>0</v>
      </c>
      <c r="AJ72" s="74">
        <v>0</v>
      </c>
      <c r="AK72" s="74"/>
      <c r="AL72" s="74">
        <v>0</v>
      </c>
      <c r="AM72" s="74"/>
      <c r="AN72" s="73">
        <f t="shared" si="3"/>
        <v>0</v>
      </c>
      <c r="AO72" s="74">
        <v>0</v>
      </c>
      <c r="AP72" s="74">
        <v>0</v>
      </c>
      <c r="AQ72" s="74"/>
      <c r="AR72" s="74">
        <v>0</v>
      </c>
      <c r="AS72" s="74"/>
      <c r="AT72" s="74">
        <f t="shared" si="4"/>
        <v>0</v>
      </c>
      <c r="AU72" s="74">
        <v>0</v>
      </c>
      <c r="AV72" s="74">
        <v>0</v>
      </c>
      <c r="AW72" s="74"/>
      <c r="AX72" s="74">
        <v>0</v>
      </c>
      <c r="AY72" s="74"/>
      <c r="AZ72" s="74">
        <f t="shared" si="45"/>
        <v>0</v>
      </c>
      <c r="BA72" s="74">
        <v>0</v>
      </c>
      <c r="BB72" s="74">
        <v>0</v>
      </c>
      <c r="BC72" s="74"/>
      <c r="BD72" s="74">
        <v>0</v>
      </c>
      <c r="BE72" s="74"/>
      <c r="BF72" s="74">
        <f t="shared" si="6"/>
        <v>0</v>
      </c>
      <c r="BG72" s="74">
        <v>0</v>
      </c>
      <c r="BH72" s="74">
        <v>0</v>
      </c>
      <c r="BI72" s="74"/>
      <c r="BJ72" s="74">
        <v>0</v>
      </c>
      <c r="BK72" s="74"/>
      <c r="BL72" s="20"/>
    </row>
    <row r="73" spans="1:64" ht="84" x14ac:dyDescent="0.2">
      <c r="A73" s="69">
        <v>69</v>
      </c>
      <c r="B73" s="52" t="str">
        <f ca="1">IFERROR(__xludf.DUMMYFUNCTION("""COMPUTED_VALUE"""),"г.о. Ленинский")</f>
        <v>г.о. Ленинский</v>
      </c>
      <c r="C73"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3" s="52" t="str">
        <f ca="1">IFERROR(__xludf.DUMMYFUNCTION("""COMPUTED_VALUE"""),"МинЖКХ")</f>
        <v>МинЖКХ</v>
      </c>
      <c r="E73" s="28" t="s">
        <v>139</v>
      </c>
      <c r="F73" s="52" t="str">
        <f ca="1">IFERROR(__xludf.DUMMYFUNCTION("""COMPUTED_VALUE"""),"ВЗУ")</f>
        <v>ВЗУ</v>
      </c>
      <c r="G73" s="52">
        <f ca="1">IFERROR(__xludf.DUMMYFUNCTION("""COMPUTED_VALUE"""),2022)</f>
        <v>2022</v>
      </c>
      <c r="H73" s="48"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I73" s="48" t="str">
        <f ca="1">IFERROR(__xludf.DUMMYFUNCTION("""COMPUTED_VALUE"""),"СМР")</f>
        <v>СМР</v>
      </c>
      <c r="J73" s="48"/>
      <c r="K73" s="48"/>
      <c r="L73" s="48"/>
      <c r="M73" s="48"/>
      <c r="N73" s="48" t="str">
        <f ca="1">IFERROR(__xludf.DUMMYFUNCTION("""COMPUTED_VALUE"""),"10 1 G552430
")</f>
        <v xml:space="preserve">10 1 G552430
</v>
      </c>
      <c r="O73" s="48">
        <f ca="1">IFERROR(__xludf.DUMMYFUNCTION("""COMPUTED_VALUE"""),522)</f>
        <v>522</v>
      </c>
      <c r="P73" s="72">
        <f t="shared" ref="P73:R73" si="76">SUM(AH73,AN73,AT73,AZ73,BF73)</f>
        <v>18205.12</v>
      </c>
      <c r="Q73" s="72">
        <f t="shared" si="76"/>
        <v>9745</v>
      </c>
      <c r="R73" s="72">
        <f t="shared" si="76"/>
        <v>3248.33</v>
      </c>
      <c r="S73" s="53"/>
      <c r="T73" s="72">
        <f t="shared" si="44"/>
        <v>5211.79</v>
      </c>
      <c r="U73" s="53"/>
      <c r="V73" s="72"/>
      <c r="W73" s="72"/>
      <c r="X73" s="72"/>
      <c r="Y73" s="72"/>
      <c r="Z73" s="72"/>
      <c r="AA73" s="72"/>
      <c r="AB73" s="72"/>
      <c r="AC73" s="72"/>
      <c r="AD73" s="72"/>
      <c r="AE73" s="72"/>
      <c r="AF73" s="72"/>
      <c r="AG73" s="72"/>
      <c r="AH73" s="72">
        <f t="shared" si="2"/>
        <v>0</v>
      </c>
      <c r="AI73" s="71">
        <v>0</v>
      </c>
      <c r="AJ73" s="71">
        <v>0</v>
      </c>
      <c r="AK73" s="71"/>
      <c r="AL73" s="71">
        <v>0</v>
      </c>
      <c r="AM73" s="71"/>
      <c r="AN73" s="72">
        <f t="shared" si="3"/>
        <v>0</v>
      </c>
      <c r="AO73" s="71">
        <v>0</v>
      </c>
      <c r="AP73" s="71">
        <v>0</v>
      </c>
      <c r="AQ73" s="71"/>
      <c r="AR73" s="71">
        <v>0</v>
      </c>
      <c r="AS73" s="71"/>
      <c r="AT73" s="71">
        <f t="shared" si="4"/>
        <v>18205.12</v>
      </c>
      <c r="AU73" s="71">
        <v>9745</v>
      </c>
      <c r="AV73" s="71">
        <v>3248.33</v>
      </c>
      <c r="AW73" s="71"/>
      <c r="AX73" s="71">
        <v>5211.79</v>
      </c>
      <c r="AY73" s="71"/>
      <c r="AZ73" s="71">
        <f t="shared" si="45"/>
        <v>0</v>
      </c>
      <c r="BA73" s="71">
        <v>0</v>
      </c>
      <c r="BB73" s="71">
        <v>0</v>
      </c>
      <c r="BC73" s="71"/>
      <c r="BD73" s="71">
        <v>0</v>
      </c>
      <c r="BE73" s="71"/>
      <c r="BF73" s="71">
        <f t="shared" si="6"/>
        <v>0</v>
      </c>
      <c r="BG73" s="71">
        <v>0</v>
      </c>
      <c r="BH73" s="71">
        <v>0</v>
      </c>
      <c r="BI73" s="71"/>
      <c r="BJ73" s="71">
        <v>0</v>
      </c>
      <c r="BK73" s="71"/>
      <c r="BL73" s="20"/>
    </row>
    <row r="74" spans="1:64" ht="132" x14ac:dyDescent="0.2">
      <c r="A74" s="69">
        <v>70</v>
      </c>
      <c r="B74" s="52" t="str">
        <f ca="1">IFERROR(__xludf.DUMMYFUNCTION("""COMPUTED_VALUE"""),"г.о. Ленинский")</f>
        <v>г.о. Ленинский</v>
      </c>
      <c r="C74"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4" s="52" t="str">
        <f ca="1">IFERROR(__xludf.DUMMYFUNCTION("""COMPUTED_VALUE"""),"МинЖКХ")</f>
        <v>МинЖКХ</v>
      </c>
      <c r="E74" s="28" t="s">
        <v>140</v>
      </c>
      <c r="F74" s="52" t="str">
        <f ca="1">IFERROR(__xludf.DUMMYFUNCTION("""COMPUTED_VALUE"""),"ВЗУ")</f>
        <v>ВЗУ</v>
      </c>
      <c r="G74" s="52" t="str">
        <f ca="1">IFERROR(__xludf.DUMMYFUNCTION("""COMPUTED_VALUE"""),"2020-2021")</f>
        <v>2020-2021</v>
      </c>
      <c r="H74" s="48" t="str">
        <f ca="1">IFERROR(__xludf.DUMMYFUNCTION("""COMPUTED_VALUE"""),"Пробурена артезианская скважина №1 (глубина скважины 140 м), водоносный горизонт обнаружен, ведется прокачка скважины, дебет скважины близок к проектному (50м3/час). Ведутся работы по бурению скважины №2 (пробурено 70 м).
Камеры видеонаблюдения установле"&amp;"ны, доступ предоставлен.
Ведется корректировка ГПР.
Оплачен аванс в размере 50%.")</f>
        <v>Пробурена артезианская скважина №1 (глубина скважины 140 м), водоносный горизонт обнаружен, ведется прокачка скважины, дебет скважины близок к проектному (50м3/час). Ведутся работы по бурению скважины №2 (пробурено 70 м).
Камеры видеонаблюдения установлены, доступ предоставлен.
Ведется корректировка ГПР.
Оплачен аванс в размере 50%.</v>
      </c>
      <c r="I74" s="48" t="str">
        <f ca="1">IFERROR(__xludf.DUMMYFUNCTION("""COMPUTED_VALUE"""),"СМР")</f>
        <v>СМР</v>
      </c>
      <c r="J74" s="70">
        <f ca="1">IFERROR(__xludf.DUMMYFUNCTION("""COMPUTED_VALUE"""),0.08)</f>
        <v>0.08</v>
      </c>
      <c r="K74" s="48">
        <f ca="1">IFERROR(__xludf.DUMMYFUNCTION("""COMPUTED_VALUE"""),0)</f>
        <v>0</v>
      </c>
      <c r="L74" s="48">
        <f ca="1">IFERROR(__xludf.DUMMYFUNCTION("""COMPUTED_VALUE"""),4000)</f>
        <v>4000</v>
      </c>
      <c r="M74" s="48"/>
      <c r="N74" s="48" t="str">
        <f ca="1">IFERROR(__xludf.DUMMYFUNCTION("""COMPUTED_VALUE"""),"10 1 G552430
")</f>
        <v xml:space="preserve">10 1 G552430
</v>
      </c>
      <c r="O74" s="48">
        <f ca="1">IFERROR(__xludf.DUMMYFUNCTION("""COMPUTED_VALUE"""),522)</f>
        <v>522</v>
      </c>
      <c r="P74" s="72">
        <f t="shared" ref="P74:R74" si="77">SUM(AH74,AN74,AT74,AZ74,BF74)</f>
        <v>88994.51</v>
      </c>
      <c r="Q74" s="72">
        <f t="shared" si="77"/>
        <v>51127.299999999996</v>
      </c>
      <c r="R74" s="72">
        <f t="shared" si="77"/>
        <v>17042.46</v>
      </c>
      <c r="S74" s="53"/>
      <c r="T74" s="72">
        <f t="shared" si="44"/>
        <v>20824.75</v>
      </c>
      <c r="U74" s="53"/>
      <c r="V74" s="72"/>
      <c r="W74" s="72"/>
      <c r="X74" s="72"/>
      <c r="Y74" s="72"/>
      <c r="Z74" s="72"/>
      <c r="AA74" s="72"/>
      <c r="AB74" s="72"/>
      <c r="AC74" s="72"/>
      <c r="AD74" s="72"/>
      <c r="AE74" s="72"/>
      <c r="AF74" s="72"/>
      <c r="AG74" s="72"/>
      <c r="AH74" s="72">
        <f t="shared" si="2"/>
        <v>71389.429999999993</v>
      </c>
      <c r="AI74" s="71">
        <v>41013.199999999997</v>
      </c>
      <c r="AJ74" s="71">
        <v>13671.08</v>
      </c>
      <c r="AK74" s="71"/>
      <c r="AL74" s="71">
        <v>16705.150000000001</v>
      </c>
      <c r="AM74" s="71"/>
      <c r="AN74" s="72">
        <f t="shared" si="3"/>
        <v>17605.080000000002</v>
      </c>
      <c r="AO74" s="71">
        <v>10114.1</v>
      </c>
      <c r="AP74" s="71">
        <v>3371.38</v>
      </c>
      <c r="AQ74" s="71"/>
      <c r="AR74" s="71">
        <v>4119.6000000000004</v>
      </c>
      <c r="AS74" s="71"/>
      <c r="AT74" s="71">
        <f t="shared" si="4"/>
        <v>0</v>
      </c>
      <c r="AU74" s="71">
        <v>0</v>
      </c>
      <c r="AV74" s="71">
        <v>0</v>
      </c>
      <c r="AW74" s="71"/>
      <c r="AX74" s="71">
        <v>0</v>
      </c>
      <c r="AY74" s="71"/>
      <c r="AZ74" s="71">
        <f t="shared" si="45"/>
        <v>0</v>
      </c>
      <c r="BA74" s="71">
        <v>0</v>
      </c>
      <c r="BB74" s="71">
        <v>0</v>
      </c>
      <c r="BC74" s="71"/>
      <c r="BD74" s="71">
        <v>0</v>
      </c>
      <c r="BE74" s="71"/>
      <c r="BF74" s="71">
        <f t="shared" si="6"/>
        <v>0</v>
      </c>
      <c r="BG74" s="71">
        <v>0</v>
      </c>
      <c r="BH74" s="71">
        <v>0</v>
      </c>
      <c r="BI74" s="71"/>
      <c r="BJ74" s="71">
        <v>0</v>
      </c>
      <c r="BK74" s="71"/>
      <c r="BL74" s="20"/>
    </row>
    <row r="75" spans="1:64" ht="84" x14ac:dyDescent="0.2">
      <c r="A75" s="69">
        <v>71</v>
      </c>
      <c r="B75" s="52" t="str">
        <f ca="1">IFERROR(__xludf.DUMMYFUNCTION("""COMPUTED_VALUE"""),"г.о. Ленинский")</f>
        <v>г.о. Ленинский</v>
      </c>
      <c r="C75"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5" s="52" t="str">
        <f ca="1">IFERROR(__xludf.DUMMYFUNCTION("""COMPUTED_VALUE"""),"МинЖКХ")</f>
        <v>МинЖКХ</v>
      </c>
      <c r="E75" s="28" t="s">
        <v>141</v>
      </c>
      <c r="F75" s="52" t="str">
        <f ca="1">IFERROR(__xludf.DUMMYFUNCTION("""COMPUTED_VALUE"""),"Сети")</f>
        <v>Сети</v>
      </c>
      <c r="G75" s="52">
        <f ca="1">IFERROR(__xludf.DUMMYFUNCTION("""COMPUTED_VALUE"""),2021)</f>
        <v>2021</v>
      </c>
      <c r="H75" s="48"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I75" s="48" t="str">
        <f ca="1">IFERROR(__xludf.DUMMYFUNCTION("""COMPUTED_VALUE"""),"СМР")</f>
        <v>СМР</v>
      </c>
      <c r="J75" s="48"/>
      <c r="K75" s="48"/>
      <c r="L75" s="48"/>
      <c r="M75" s="48"/>
      <c r="N75" s="48" t="str">
        <f ca="1">IFERROR(__xludf.DUMMYFUNCTION("""COMPUTED_VALUE"""),"10 1 G552430
")</f>
        <v xml:space="preserve">10 1 G552430
</v>
      </c>
      <c r="O75" s="48">
        <f ca="1">IFERROR(__xludf.DUMMYFUNCTION("""COMPUTED_VALUE"""),522)</f>
        <v>522</v>
      </c>
      <c r="P75" s="72">
        <f t="shared" ref="P75:R75" si="78">SUM(AH75,AN75,AT75,AZ75,BF75)</f>
        <v>196335.84999999998</v>
      </c>
      <c r="Q75" s="72">
        <f t="shared" si="78"/>
        <v>112794.9</v>
      </c>
      <c r="R75" s="72">
        <f t="shared" si="78"/>
        <v>37598.31</v>
      </c>
      <c r="S75" s="53"/>
      <c r="T75" s="72">
        <f t="shared" si="44"/>
        <v>45942.64</v>
      </c>
      <c r="U75" s="53"/>
      <c r="V75" s="72"/>
      <c r="W75" s="72"/>
      <c r="X75" s="72"/>
      <c r="Y75" s="72"/>
      <c r="Z75" s="72"/>
      <c r="AA75" s="72"/>
      <c r="AB75" s="72"/>
      <c r="AC75" s="72"/>
      <c r="AD75" s="72"/>
      <c r="AE75" s="72"/>
      <c r="AF75" s="72"/>
      <c r="AG75" s="72"/>
      <c r="AH75" s="72">
        <f t="shared" si="2"/>
        <v>0</v>
      </c>
      <c r="AI75" s="71">
        <v>0</v>
      </c>
      <c r="AJ75" s="71">
        <v>0</v>
      </c>
      <c r="AK75" s="71"/>
      <c r="AL75" s="71">
        <v>0</v>
      </c>
      <c r="AM75" s="71"/>
      <c r="AN75" s="72">
        <f t="shared" si="3"/>
        <v>196335.84999999998</v>
      </c>
      <c r="AO75" s="71">
        <v>112794.9</v>
      </c>
      <c r="AP75" s="71">
        <v>37598.31</v>
      </c>
      <c r="AQ75" s="71"/>
      <c r="AR75" s="71">
        <v>45942.64</v>
      </c>
      <c r="AS75" s="71"/>
      <c r="AT75" s="71">
        <f t="shared" si="4"/>
        <v>0</v>
      </c>
      <c r="AU75" s="71">
        <v>0</v>
      </c>
      <c r="AV75" s="71">
        <v>0</v>
      </c>
      <c r="AW75" s="71"/>
      <c r="AX75" s="71">
        <v>0</v>
      </c>
      <c r="AY75" s="71"/>
      <c r="AZ75" s="71">
        <f t="shared" si="45"/>
        <v>0</v>
      </c>
      <c r="BA75" s="71">
        <v>0</v>
      </c>
      <c r="BB75" s="71">
        <v>0</v>
      </c>
      <c r="BC75" s="71"/>
      <c r="BD75" s="71">
        <v>0</v>
      </c>
      <c r="BE75" s="71"/>
      <c r="BF75" s="71">
        <f t="shared" si="6"/>
        <v>0</v>
      </c>
      <c r="BG75" s="71">
        <v>0</v>
      </c>
      <c r="BH75" s="71">
        <v>0</v>
      </c>
      <c r="BI75" s="71"/>
      <c r="BJ75" s="71">
        <v>0</v>
      </c>
      <c r="BK75" s="71"/>
      <c r="BL75" s="20"/>
    </row>
    <row r="76" spans="1:64" ht="84" x14ac:dyDescent="0.2">
      <c r="A76" s="69">
        <v>72</v>
      </c>
      <c r="B76" s="52" t="str">
        <f ca="1">IFERROR(__xludf.DUMMYFUNCTION("""COMPUTED_VALUE"""),"г.о. Ленинский")</f>
        <v>г.о. Ленинский</v>
      </c>
      <c r="C76"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6" s="52" t="str">
        <f ca="1">IFERROR(__xludf.DUMMYFUNCTION("""COMPUTED_VALUE"""),"МинЖКХ")</f>
        <v>МинЖКХ</v>
      </c>
      <c r="E76" s="28" t="s">
        <v>142</v>
      </c>
      <c r="F76" s="52" t="str">
        <f ca="1">IFERROR(__xludf.DUMMYFUNCTION("""COMPUTED_VALUE"""),"ВЗУ")</f>
        <v>ВЗУ</v>
      </c>
      <c r="G76" s="52" t="str">
        <f ca="1">IFERROR(__xludf.DUMMYFUNCTION("""COMPUTED_VALUE"""),"2020-2022")</f>
        <v>2020-2022</v>
      </c>
      <c r="H76" s="48"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I76" s="48" t="str">
        <f ca="1">IFERROR(__xludf.DUMMYFUNCTION("""COMPUTED_VALUE"""),"СМР")</f>
        <v>СМР</v>
      </c>
      <c r="J76" s="48"/>
      <c r="K76" s="48"/>
      <c r="L76" s="48"/>
      <c r="M76" s="48"/>
      <c r="N76" s="48" t="str">
        <f ca="1">IFERROR(__xludf.DUMMYFUNCTION("""COMPUTED_VALUE"""),"10 1 G552430
")</f>
        <v xml:space="preserve">10 1 G552430
</v>
      </c>
      <c r="O76" s="48">
        <f ca="1">IFERROR(__xludf.DUMMYFUNCTION("""COMPUTED_VALUE"""),522)</f>
        <v>522</v>
      </c>
      <c r="P76" s="72">
        <f t="shared" ref="P76:R76" si="79">SUM(AH76,AN76,AT76,AZ76,BF76)</f>
        <v>46365.68</v>
      </c>
      <c r="Q76" s="72">
        <f t="shared" si="79"/>
        <v>26637</v>
      </c>
      <c r="R76" s="72">
        <f t="shared" si="79"/>
        <v>8879.0600000000013</v>
      </c>
      <c r="S76" s="53"/>
      <c r="T76" s="72">
        <f t="shared" si="44"/>
        <v>10849.619999999999</v>
      </c>
      <c r="U76" s="53"/>
      <c r="V76" s="72"/>
      <c r="W76" s="72"/>
      <c r="X76" s="72"/>
      <c r="Y76" s="72"/>
      <c r="Z76" s="72"/>
      <c r="AA76" s="72"/>
      <c r="AB76" s="72"/>
      <c r="AC76" s="72"/>
      <c r="AD76" s="72"/>
      <c r="AE76" s="72"/>
      <c r="AF76" s="72"/>
      <c r="AG76" s="72"/>
      <c r="AH76" s="72">
        <f t="shared" si="2"/>
        <v>0</v>
      </c>
      <c r="AI76" s="71">
        <v>0</v>
      </c>
      <c r="AJ76" s="71">
        <v>0</v>
      </c>
      <c r="AK76" s="71"/>
      <c r="AL76" s="71">
        <v>0</v>
      </c>
      <c r="AM76" s="71"/>
      <c r="AN76" s="72">
        <f t="shared" si="3"/>
        <v>23182.84</v>
      </c>
      <c r="AO76" s="71">
        <v>13318.5</v>
      </c>
      <c r="AP76" s="71">
        <v>4439.5</v>
      </c>
      <c r="AQ76" s="71"/>
      <c r="AR76" s="71">
        <v>5424.84</v>
      </c>
      <c r="AS76" s="71"/>
      <c r="AT76" s="71">
        <f t="shared" si="4"/>
        <v>23182.84</v>
      </c>
      <c r="AU76" s="71">
        <v>13318.5</v>
      </c>
      <c r="AV76" s="71">
        <v>4439.5600000000004</v>
      </c>
      <c r="AW76" s="71"/>
      <c r="AX76" s="71">
        <v>5424.78</v>
      </c>
      <c r="AY76" s="71"/>
      <c r="AZ76" s="71">
        <f t="shared" si="45"/>
        <v>0</v>
      </c>
      <c r="BA76" s="71">
        <v>0</v>
      </c>
      <c r="BB76" s="71">
        <v>0</v>
      </c>
      <c r="BC76" s="71"/>
      <c r="BD76" s="71">
        <v>0</v>
      </c>
      <c r="BE76" s="71"/>
      <c r="BF76" s="71">
        <f t="shared" si="6"/>
        <v>0</v>
      </c>
      <c r="BG76" s="71">
        <v>0</v>
      </c>
      <c r="BH76" s="71">
        <v>0</v>
      </c>
      <c r="BI76" s="71"/>
      <c r="BJ76" s="71">
        <v>0</v>
      </c>
      <c r="BK76" s="71"/>
      <c r="BL76" s="20"/>
    </row>
    <row r="77" spans="1:64" ht="84" x14ac:dyDescent="0.2">
      <c r="A77" s="69">
        <v>73</v>
      </c>
      <c r="B77" s="52" t="str">
        <f ca="1">IFERROR(__xludf.DUMMYFUNCTION("""COMPUTED_VALUE"""),"г.о. Ленинский")</f>
        <v>г.о. Ленинский</v>
      </c>
      <c r="C77"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7" s="52" t="str">
        <f ca="1">IFERROR(__xludf.DUMMYFUNCTION("""COMPUTED_VALUE"""),"МинЖКХ")</f>
        <v>МинЖКХ</v>
      </c>
      <c r="E77" s="28" t="s">
        <v>143</v>
      </c>
      <c r="F77" s="52" t="str">
        <f ca="1">IFERROR(__xludf.DUMMYFUNCTION("""COMPUTED_VALUE"""),"ВЗУ")</f>
        <v>ВЗУ</v>
      </c>
      <c r="G77" s="52" t="str">
        <f ca="1">IFERROR(__xludf.DUMMYFUNCTION("""COMPUTED_VALUE"""),"2021-2022")</f>
        <v>2021-2022</v>
      </c>
      <c r="H77" s="48"/>
      <c r="I77" s="48" t="str">
        <f ca="1">IFERROR(__xludf.DUMMYFUNCTION("""COMPUTED_VALUE"""),"СМР")</f>
        <v>СМР</v>
      </c>
      <c r="J77" s="48"/>
      <c r="K77" s="48"/>
      <c r="L77" s="48"/>
      <c r="M77" s="48"/>
      <c r="N77" s="48" t="str">
        <f ca="1">IFERROR(__xludf.DUMMYFUNCTION("""COMPUTED_VALUE"""),"10 1 G552430
")</f>
        <v xml:space="preserve">10 1 G552430
</v>
      </c>
      <c r="O77" s="48">
        <f ca="1">IFERROR(__xludf.DUMMYFUNCTION("""COMPUTED_VALUE"""),522)</f>
        <v>522</v>
      </c>
      <c r="P77" s="72">
        <f t="shared" ref="P77:R77" si="80">SUM(AH77,AN77,AT77,AZ77,BF77)</f>
        <v>82848.009999999995</v>
      </c>
      <c r="Q77" s="72">
        <f t="shared" si="80"/>
        <v>47596.1</v>
      </c>
      <c r="R77" s="72">
        <f t="shared" si="80"/>
        <v>15865.45</v>
      </c>
      <c r="S77" s="53"/>
      <c r="T77" s="72">
        <f t="shared" si="44"/>
        <v>19386.46</v>
      </c>
      <c r="U77" s="53"/>
      <c r="V77" s="72"/>
      <c r="W77" s="72"/>
      <c r="X77" s="72"/>
      <c r="Y77" s="72"/>
      <c r="Z77" s="72"/>
      <c r="AA77" s="72"/>
      <c r="AB77" s="72"/>
      <c r="AC77" s="72"/>
      <c r="AD77" s="72"/>
      <c r="AE77" s="72"/>
      <c r="AF77" s="72"/>
      <c r="AG77" s="72"/>
      <c r="AH77" s="72">
        <f t="shared" si="2"/>
        <v>0</v>
      </c>
      <c r="AI77" s="71">
        <v>0</v>
      </c>
      <c r="AJ77" s="71">
        <v>0</v>
      </c>
      <c r="AK77" s="71"/>
      <c r="AL77" s="71">
        <v>0</v>
      </c>
      <c r="AM77" s="71"/>
      <c r="AN77" s="72">
        <f t="shared" si="3"/>
        <v>41424.03</v>
      </c>
      <c r="AO77" s="71">
        <v>23798.1</v>
      </c>
      <c r="AP77" s="71">
        <v>7932.7</v>
      </c>
      <c r="AQ77" s="71"/>
      <c r="AR77" s="71">
        <v>9693.23</v>
      </c>
      <c r="AS77" s="71"/>
      <c r="AT77" s="71">
        <f t="shared" si="4"/>
        <v>41423.979999999996</v>
      </c>
      <c r="AU77" s="71">
        <v>23798</v>
      </c>
      <c r="AV77" s="71">
        <v>7932.75</v>
      </c>
      <c r="AW77" s="71"/>
      <c r="AX77" s="71">
        <v>9693.23</v>
      </c>
      <c r="AY77" s="71"/>
      <c r="AZ77" s="71">
        <f t="shared" si="45"/>
        <v>0</v>
      </c>
      <c r="BA77" s="71">
        <v>0</v>
      </c>
      <c r="BB77" s="71">
        <v>0</v>
      </c>
      <c r="BC77" s="71"/>
      <c r="BD77" s="71">
        <v>0</v>
      </c>
      <c r="BE77" s="71"/>
      <c r="BF77" s="71">
        <f t="shared" si="6"/>
        <v>0</v>
      </c>
      <c r="BG77" s="71">
        <v>0</v>
      </c>
      <c r="BH77" s="71">
        <v>0</v>
      </c>
      <c r="BI77" s="71"/>
      <c r="BJ77" s="71">
        <v>0</v>
      </c>
      <c r="BK77" s="71"/>
      <c r="BL77" s="20"/>
    </row>
    <row r="78" spans="1:64" ht="84" x14ac:dyDescent="0.2">
      <c r="A78" s="69">
        <v>74</v>
      </c>
      <c r="B78" s="52" t="str">
        <f ca="1">IFERROR(__xludf.DUMMYFUNCTION("""COMPUTED_VALUE"""),"г.о. Ленинский")</f>
        <v>г.о. Ленинский</v>
      </c>
      <c r="C78"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8" s="52" t="str">
        <f ca="1">IFERROR(__xludf.DUMMYFUNCTION("""COMPUTED_VALUE"""),"МинЖКХ")</f>
        <v>МинЖКХ</v>
      </c>
      <c r="E78" s="28" t="s">
        <v>144</v>
      </c>
      <c r="F78" s="52" t="str">
        <f ca="1">IFERROR(__xludf.DUMMYFUNCTION("""COMPUTED_VALUE"""),"ВЗУ")</f>
        <v>ВЗУ</v>
      </c>
      <c r="G78" s="52" t="str">
        <f ca="1">IFERROR(__xludf.DUMMYFUNCTION("""COMPUTED_VALUE"""),"2021-2022")</f>
        <v>2021-2022</v>
      </c>
      <c r="H78" s="48" t="str">
        <f ca="1">IFERROR(__xludf.DUMMYFUNCTION("""COMPUTED_VALUE"""),"Запрошена конкурсная документация на СМР. Публикация планируется в декабре 2020 года.
Объект согласован Минстроем России. Технология МИТ.")</f>
        <v>Запрошена конкурсная документация на СМР. Публикация планируется в декабре 2020 года.
Объект согласован Минстроем России. Технология МИТ.</v>
      </c>
      <c r="I78" s="48" t="str">
        <f ca="1">IFERROR(__xludf.DUMMYFUNCTION("""COMPUTED_VALUE"""),"СМР")</f>
        <v>СМР</v>
      </c>
      <c r="J78" s="48"/>
      <c r="K78" s="48"/>
      <c r="L78" s="48"/>
      <c r="M78" s="48"/>
      <c r="N78" s="48" t="str">
        <f ca="1">IFERROR(__xludf.DUMMYFUNCTION("""COMPUTED_VALUE"""),"10 1 G552430
")</f>
        <v xml:space="preserve">10 1 G552430
</v>
      </c>
      <c r="O78" s="48">
        <f ca="1">IFERROR(__xludf.DUMMYFUNCTION("""COMPUTED_VALUE"""),522)</f>
        <v>522</v>
      </c>
      <c r="P78" s="72">
        <f t="shared" ref="P78:R78" si="81">SUM(AH78,AN78,AT78,AZ78,BF78)</f>
        <v>108546.32999999999</v>
      </c>
      <c r="Q78" s="72">
        <f t="shared" si="81"/>
        <v>62359.8</v>
      </c>
      <c r="R78" s="72">
        <f t="shared" si="81"/>
        <v>20786.64</v>
      </c>
      <c r="S78" s="53"/>
      <c r="T78" s="72">
        <f t="shared" si="44"/>
        <v>25399.89</v>
      </c>
      <c r="U78" s="53"/>
      <c r="V78" s="72"/>
      <c r="W78" s="72"/>
      <c r="X78" s="72"/>
      <c r="Y78" s="72"/>
      <c r="Z78" s="72"/>
      <c r="AA78" s="72"/>
      <c r="AB78" s="72"/>
      <c r="AC78" s="72"/>
      <c r="AD78" s="72"/>
      <c r="AE78" s="72"/>
      <c r="AF78" s="72"/>
      <c r="AG78" s="72"/>
      <c r="AH78" s="72">
        <f t="shared" si="2"/>
        <v>0</v>
      </c>
      <c r="AI78" s="71">
        <v>0</v>
      </c>
      <c r="AJ78" s="71">
        <v>0</v>
      </c>
      <c r="AK78" s="71"/>
      <c r="AL78" s="71">
        <v>0</v>
      </c>
      <c r="AM78" s="71"/>
      <c r="AN78" s="72">
        <f t="shared" si="3"/>
        <v>78756.34</v>
      </c>
      <c r="AO78" s="71">
        <v>45245.5</v>
      </c>
      <c r="AP78" s="71">
        <v>15081.84</v>
      </c>
      <c r="AQ78" s="71"/>
      <c r="AR78" s="71">
        <v>18429</v>
      </c>
      <c r="AS78" s="71"/>
      <c r="AT78" s="71">
        <f t="shared" si="4"/>
        <v>29789.989999999998</v>
      </c>
      <c r="AU78" s="71">
        <v>17114.3</v>
      </c>
      <c r="AV78" s="71">
        <v>5704.8</v>
      </c>
      <c r="AW78" s="71"/>
      <c r="AX78" s="71">
        <v>6970.89</v>
      </c>
      <c r="AY78" s="71"/>
      <c r="AZ78" s="71">
        <f t="shared" si="45"/>
        <v>0</v>
      </c>
      <c r="BA78" s="71">
        <v>0</v>
      </c>
      <c r="BB78" s="71">
        <v>0</v>
      </c>
      <c r="BC78" s="71"/>
      <c r="BD78" s="71">
        <v>0</v>
      </c>
      <c r="BE78" s="71"/>
      <c r="BF78" s="71">
        <f t="shared" si="6"/>
        <v>0</v>
      </c>
      <c r="BG78" s="71">
        <v>0</v>
      </c>
      <c r="BH78" s="71">
        <v>0</v>
      </c>
      <c r="BI78" s="71"/>
      <c r="BJ78" s="71">
        <v>0</v>
      </c>
      <c r="BK78" s="71"/>
      <c r="BL78" s="20"/>
    </row>
    <row r="79" spans="1:64" ht="84" x14ac:dyDescent="0.2">
      <c r="A79" s="69">
        <v>75</v>
      </c>
      <c r="B79" s="52" t="str">
        <f ca="1">IFERROR(__xludf.DUMMYFUNCTION("""COMPUTED_VALUE"""),"г.о. Мытищи")</f>
        <v>г.о. Мытищи</v>
      </c>
      <c r="C79"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79" s="52" t="str">
        <f ca="1">IFERROR(__xludf.DUMMYFUNCTION("""COMPUTED_VALUE"""),"МинЖКХ")</f>
        <v>МинЖКХ</v>
      </c>
      <c r="E79" s="28" t="s">
        <v>145</v>
      </c>
      <c r="F79" s="52" t="str">
        <f ca="1">IFERROR(__xludf.DUMMYFUNCTION("""COMPUTED_VALUE"""),"ВЗУ")</f>
        <v>ВЗУ</v>
      </c>
      <c r="G79" s="52" t="str">
        <f ca="1">IFERROR(__xludf.DUMMYFUNCTION("""COMPUTED_VALUE"""),"2023-2024")</f>
        <v>2023-2024</v>
      </c>
      <c r="H79" s="48"/>
      <c r="I79" s="48" t="str">
        <f ca="1">IFERROR(__xludf.DUMMYFUNCTION("""COMPUTED_VALUE"""),"СМР")</f>
        <v>СМР</v>
      </c>
      <c r="J79" s="48"/>
      <c r="K79" s="48"/>
      <c r="L79" s="48"/>
      <c r="M79" s="48"/>
      <c r="N79" s="48" t="str">
        <f ca="1">IFERROR(__xludf.DUMMYFUNCTION("""COMPUTED_VALUE"""),"10 1 G552430
")</f>
        <v xml:space="preserve">10 1 G552430
</v>
      </c>
      <c r="O79" s="48">
        <f ca="1">IFERROR(__xludf.DUMMYFUNCTION("""COMPUTED_VALUE"""),522)</f>
        <v>522</v>
      </c>
      <c r="P79" s="72">
        <f t="shared" ref="P79:R79" si="82">SUM(AH79,AN79,AT79,AZ79,BF79)</f>
        <v>237180.51</v>
      </c>
      <c r="Q79" s="72">
        <f t="shared" si="82"/>
        <v>115981.26999999999</v>
      </c>
      <c r="R79" s="72">
        <f t="shared" si="82"/>
        <v>38660.42</v>
      </c>
      <c r="S79" s="53"/>
      <c r="T79" s="72">
        <f t="shared" si="44"/>
        <v>82538.820000000007</v>
      </c>
      <c r="U79" s="53"/>
      <c r="V79" s="72"/>
      <c r="W79" s="72"/>
      <c r="X79" s="72"/>
      <c r="Y79" s="72"/>
      <c r="Z79" s="72"/>
      <c r="AA79" s="72"/>
      <c r="AB79" s="72"/>
      <c r="AC79" s="72"/>
      <c r="AD79" s="72"/>
      <c r="AE79" s="72"/>
      <c r="AF79" s="72"/>
      <c r="AG79" s="72"/>
      <c r="AH79" s="72">
        <f t="shared" si="2"/>
        <v>0</v>
      </c>
      <c r="AI79" s="71">
        <v>0</v>
      </c>
      <c r="AJ79" s="71">
        <v>0</v>
      </c>
      <c r="AK79" s="71"/>
      <c r="AL79" s="71">
        <v>0</v>
      </c>
      <c r="AM79" s="71"/>
      <c r="AN79" s="72">
        <f t="shared" si="3"/>
        <v>0</v>
      </c>
      <c r="AO79" s="71">
        <v>0</v>
      </c>
      <c r="AP79" s="71">
        <v>0</v>
      </c>
      <c r="AQ79" s="71"/>
      <c r="AR79" s="71">
        <v>0</v>
      </c>
      <c r="AS79" s="71"/>
      <c r="AT79" s="71">
        <f t="shared" si="4"/>
        <v>0</v>
      </c>
      <c r="AU79" s="71">
        <v>0</v>
      </c>
      <c r="AV79" s="71">
        <v>0</v>
      </c>
      <c r="AW79" s="71"/>
      <c r="AX79" s="71">
        <v>0</v>
      </c>
      <c r="AY79" s="71"/>
      <c r="AZ79" s="71">
        <f t="shared" si="45"/>
        <v>110794.01000000001</v>
      </c>
      <c r="BA79" s="71">
        <v>54178.27</v>
      </c>
      <c r="BB79" s="71">
        <v>18059.419999999998</v>
      </c>
      <c r="BC79" s="71"/>
      <c r="BD79" s="71">
        <v>38556.32</v>
      </c>
      <c r="BE79" s="71"/>
      <c r="BF79" s="71">
        <f t="shared" si="6"/>
        <v>126386.5</v>
      </c>
      <c r="BG79" s="71">
        <v>61803</v>
      </c>
      <c r="BH79" s="71">
        <v>20601</v>
      </c>
      <c r="BI79" s="71"/>
      <c r="BJ79" s="71">
        <v>43982.5</v>
      </c>
      <c r="BK79" s="71"/>
      <c r="BL79" s="20"/>
    </row>
    <row r="80" spans="1:64" ht="84" x14ac:dyDescent="0.2">
      <c r="A80" s="69">
        <v>76</v>
      </c>
      <c r="B80" s="52" t="str">
        <f ca="1">IFERROR(__xludf.DUMMYFUNCTION("""COMPUTED_VALUE"""),"г.о. Дзержинский")</f>
        <v>г.о. Дзержинский</v>
      </c>
      <c r="C80"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0" s="52" t="str">
        <f ca="1">IFERROR(__xludf.DUMMYFUNCTION("""COMPUTED_VALUE"""),"МинЖКХ")</f>
        <v>МинЖКХ</v>
      </c>
      <c r="E80" s="28" t="s">
        <v>146</v>
      </c>
      <c r="F80" s="52" t="str">
        <f ca="1">IFERROR(__xludf.DUMMYFUNCTION("""COMPUTED_VALUE"""),"ВЗУ")</f>
        <v>ВЗУ</v>
      </c>
      <c r="G80" s="52">
        <f ca="1">IFERROR(__xludf.DUMMYFUNCTION("""COMPUTED_VALUE"""),2021)</f>
        <v>2021</v>
      </c>
      <c r="H80" s="48" t="str">
        <f ca="1">IFERROR(__xludf.DUMMYFUNCTION("""COMPUTED_VALUE"""),"Строительство сетей водоснабжения от точки А до ВЗУ-1. Закупка опубликована повторно 12.11.2020. Плановая дата заключение контракта 07.12.2020. ")</f>
        <v xml:space="preserve">Строительство сетей водоснабжения от точки А до ВЗУ-1. Закупка опубликована повторно 12.11.2020. Плановая дата заключение контракта 07.12.2020. </v>
      </c>
      <c r="I80" s="48" t="str">
        <f ca="1">IFERROR(__xludf.DUMMYFUNCTION("""COMPUTED_VALUE"""),"СМР")</f>
        <v>СМР</v>
      </c>
      <c r="J80" s="48"/>
      <c r="K80" s="48"/>
      <c r="L80" s="48"/>
      <c r="M80" s="48"/>
      <c r="N80" s="48" t="str">
        <f ca="1">IFERROR(__xludf.DUMMYFUNCTION("""COMPUTED_VALUE"""),"10 1 G552430
")</f>
        <v xml:space="preserve">10 1 G552430
</v>
      </c>
      <c r="O80" s="48">
        <f ca="1">IFERROR(__xludf.DUMMYFUNCTION("""COMPUTED_VALUE"""),522)</f>
        <v>522</v>
      </c>
      <c r="P80" s="72">
        <f t="shared" ref="P80:R80" si="83">SUM(AH80,AN80,AT80,AZ80,BF80)</f>
        <v>57698.95</v>
      </c>
      <c r="Q80" s="72">
        <f t="shared" si="83"/>
        <v>35355.03</v>
      </c>
      <c r="R80" s="72">
        <f t="shared" si="83"/>
        <v>11785.01</v>
      </c>
      <c r="S80" s="53"/>
      <c r="T80" s="72">
        <f t="shared" si="44"/>
        <v>10558.91</v>
      </c>
      <c r="U80" s="53"/>
      <c r="V80" s="72"/>
      <c r="W80" s="72"/>
      <c r="X80" s="72"/>
      <c r="Y80" s="72"/>
      <c r="Z80" s="72"/>
      <c r="AA80" s="72"/>
      <c r="AB80" s="72"/>
      <c r="AC80" s="72"/>
      <c r="AD80" s="72"/>
      <c r="AE80" s="72"/>
      <c r="AF80" s="72"/>
      <c r="AG80" s="72"/>
      <c r="AH80" s="72">
        <f t="shared" si="2"/>
        <v>0</v>
      </c>
      <c r="AI80" s="71">
        <v>0</v>
      </c>
      <c r="AJ80" s="71">
        <v>0</v>
      </c>
      <c r="AK80" s="71"/>
      <c r="AL80" s="71">
        <v>0</v>
      </c>
      <c r="AM80" s="71"/>
      <c r="AN80" s="72">
        <f t="shared" si="3"/>
        <v>57698.95</v>
      </c>
      <c r="AO80" s="71">
        <v>35355.03</v>
      </c>
      <c r="AP80" s="71">
        <v>11785.01</v>
      </c>
      <c r="AQ80" s="71"/>
      <c r="AR80" s="71">
        <v>10558.91</v>
      </c>
      <c r="AS80" s="71"/>
      <c r="AT80" s="71">
        <f t="shared" si="4"/>
        <v>0</v>
      </c>
      <c r="AU80" s="71">
        <v>0</v>
      </c>
      <c r="AV80" s="71">
        <v>0</v>
      </c>
      <c r="AW80" s="71"/>
      <c r="AX80" s="71">
        <v>0</v>
      </c>
      <c r="AY80" s="71"/>
      <c r="AZ80" s="71">
        <f t="shared" si="45"/>
        <v>0</v>
      </c>
      <c r="BA80" s="71">
        <v>0</v>
      </c>
      <c r="BB80" s="71">
        <v>0</v>
      </c>
      <c r="BC80" s="71"/>
      <c r="BD80" s="71">
        <v>0</v>
      </c>
      <c r="BE80" s="71"/>
      <c r="BF80" s="71">
        <f t="shared" si="6"/>
        <v>0</v>
      </c>
      <c r="BG80" s="71">
        <v>0</v>
      </c>
      <c r="BH80" s="71">
        <v>0</v>
      </c>
      <c r="BI80" s="71"/>
      <c r="BJ80" s="71">
        <v>0</v>
      </c>
      <c r="BK80" s="71"/>
      <c r="BL80" s="20"/>
    </row>
    <row r="81" spans="1:64" ht="84" x14ac:dyDescent="0.2">
      <c r="A81" s="69">
        <v>77</v>
      </c>
      <c r="B81" s="52" t="str">
        <f ca="1">IFERROR(__xludf.DUMMYFUNCTION("""COMPUTED_VALUE"""),"г.о. Дзержинский")</f>
        <v>г.о. Дзержинский</v>
      </c>
      <c r="C81"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1" s="52" t="str">
        <f ca="1">IFERROR(__xludf.DUMMYFUNCTION("""COMPUTED_VALUE"""),"МинЖКХ")</f>
        <v>МинЖКХ</v>
      </c>
      <c r="E81" s="28" t="s">
        <v>147</v>
      </c>
      <c r="F81" s="52" t="str">
        <f ca="1">IFERROR(__xludf.DUMMYFUNCTION("""COMPUTED_VALUE"""),"ВЗУ")</f>
        <v>ВЗУ</v>
      </c>
      <c r="G81" s="52">
        <f ca="1">IFERROR(__xludf.DUMMYFUNCTION("""COMPUTED_VALUE"""),2021)</f>
        <v>2021</v>
      </c>
      <c r="H81" s="48" t="str">
        <f ca="1">IFERROR(__xludf.DUMMYFUNCTION("""COMPUTED_VALUE"""),"Строительство сетей водоснабжения от точки А до ВЗУ-3. Контракт заключен от 02.11.2020. Срок выполнения работ согласно условиям контракта - 30.03.2021. Земельный ордер получен. Ведется мобилизация.")</f>
        <v>Строительство сетей водоснабжения от точки А до ВЗУ-3. Контракт заключен от 02.11.2020. Срок выполнения работ согласно условиям контракта - 30.03.2021. Земельный ордер получен. Ведется мобилизация.</v>
      </c>
      <c r="I81" s="48" t="str">
        <f ca="1">IFERROR(__xludf.DUMMYFUNCTION("""COMPUTED_VALUE"""),"СМР")</f>
        <v>СМР</v>
      </c>
      <c r="J81" s="48">
        <f ca="1">IFERROR(__xludf.DUMMYFUNCTION("""COMPUTED_VALUE"""),2)</f>
        <v>2</v>
      </c>
      <c r="K81" s="48"/>
      <c r="L81" s="48"/>
      <c r="M81" s="48"/>
      <c r="N81" s="48" t="str">
        <f ca="1">IFERROR(__xludf.DUMMYFUNCTION("""COMPUTED_VALUE"""),"10 1 G552430
")</f>
        <v xml:space="preserve">10 1 G552430
</v>
      </c>
      <c r="O81" s="48">
        <f ca="1">IFERROR(__xludf.DUMMYFUNCTION("""COMPUTED_VALUE"""),522)</f>
        <v>522</v>
      </c>
      <c r="P81" s="72">
        <f t="shared" ref="P81:R81" si="84">SUM(AH81,AN81,AT81,AZ81,BF81)</f>
        <v>44923.349999999991</v>
      </c>
      <c r="Q81" s="72">
        <f t="shared" si="84"/>
        <v>27526.78</v>
      </c>
      <c r="R81" s="72">
        <f t="shared" si="84"/>
        <v>9175.59</v>
      </c>
      <c r="S81" s="53"/>
      <c r="T81" s="72">
        <f t="shared" si="44"/>
        <v>8220.98</v>
      </c>
      <c r="U81" s="53"/>
      <c r="V81" s="72"/>
      <c r="W81" s="72"/>
      <c r="X81" s="72"/>
      <c r="Y81" s="72"/>
      <c r="Z81" s="72"/>
      <c r="AA81" s="72"/>
      <c r="AB81" s="72"/>
      <c r="AC81" s="72"/>
      <c r="AD81" s="72"/>
      <c r="AE81" s="72"/>
      <c r="AF81" s="72"/>
      <c r="AG81" s="72"/>
      <c r="AH81" s="72">
        <f t="shared" si="2"/>
        <v>0</v>
      </c>
      <c r="AI81" s="71">
        <v>0</v>
      </c>
      <c r="AJ81" s="71">
        <v>0</v>
      </c>
      <c r="AK81" s="71"/>
      <c r="AL81" s="71">
        <v>0</v>
      </c>
      <c r="AM81" s="71"/>
      <c r="AN81" s="72">
        <f t="shared" si="3"/>
        <v>44923.349999999991</v>
      </c>
      <c r="AO81" s="71">
        <v>27526.78</v>
      </c>
      <c r="AP81" s="71">
        <v>9175.59</v>
      </c>
      <c r="AQ81" s="71"/>
      <c r="AR81" s="71">
        <v>8220.98</v>
      </c>
      <c r="AS81" s="71"/>
      <c r="AT81" s="71">
        <f t="shared" si="4"/>
        <v>0</v>
      </c>
      <c r="AU81" s="71">
        <v>0</v>
      </c>
      <c r="AV81" s="71">
        <v>0</v>
      </c>
      <c r="AW81" s="71"/>
      <c r="AX81" s="71">
        <v>0</v>
      </c>
      <c r="AY81" s="71"/>
      <c r="AZ81" s="71">
        <f t="shared" si="45"/>
        <v>0</v>
      </c>
      <c r="BA81" s="71">
        <v>0</v>
      </c>
      <c r="BB81" s="71">
        <v>0</v>
      </c>
      <c r="BC81" s="71"/>
      <c r="BD81" s="71">
        <v>0</v>
      </c>
      <c r="BE81" s="71"/>
      <c r="BF81" s="71">
        <f t="shared" si="6"/>
        <v>0</v>
      </c>
      <c r="BG81" s="71">
        <v>0</v>
      </c>
      <c r="BH81" s="71">
        <v>0</v>
      </c>
      <c r="BI81" s="71"/>
      <c r="BJ81" s="71">
        <v>0</v>
      </c>
      <c r="BK81" s="71"/>
      <c r="BL81" s="20"/>
    </row>
    <row r="82" spans="1:64" ht="108" x14ac:dyDescent="0.2">
      <c r="A82" s="69">
        <v>78</v>
      </c>
      <c r="B82" s="52" t="str">
        <f ca="1">IFERROR(__xludf.DUMMYFUNCTION("""COMPUTED_VALUE"""),"г.о. Дзержинский")</f>
        <v>г.о. Дзержинский</v>
      </c>
      <c r="C82"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2" s="52" t="str">
        <f ca="1">IFERROR(__xludf.DUMMYFUNCTION("""COMPUTED_VALUE"""),"МинЖКХ")</f>
        <v>МинЖКХ</v>
      </c>
      <c r="E82" s="28" t="s">
        <v>59</v>
      </c>
      <c r="F82" s="52" t="str">
        <f ca="1">IFERROR(__xludf.DUMMYFUNCTION("""COMPUTED_VALUE"""),"Сети")</f>
        <v>Сети</v>
      </c>
      <c r="G82" s="52">
        <f ca="1">IFERROR(__xludf.DUMMYFUNCTION("""COMPUTED_VALUE"""),2021)</f>
        <v>2021</v>
      </c>
      <c r="H82" s="48" t="str">
        <f ca="1">IFERROR(__xludf.DUMMYFUNCTION("""COMPUTED_VALUE"""),"Строительство сетей водоснабжения от ВРУ до точки А. Заключение МОГЭ получено. Закупка направлена на РГ 27.10.2020. Выданные замечания отработаны и согласованы в рабочем порядке. Публикация аукциона запланирована на 16.11.2020. 
Плановая дата заключение к"&amp;"онтракта 07.12.2020. ")</f>
        <v xml:space="preserve">Строительство сетей водоснабжения от ВРУ до точки А. Заключение МОГЭ получено. Закупка направлена на РГ 27.10.2020. Выданные замечания отработаны и согласованы в рабочем порядке. Публикация аукциона запланирована на 16.11.2020. 
Плановая дата заключение контракта 07.12.2020. </v>
      </c>
      <c r="I82" s="48" t="str">
        <f ca="1">IFERROR(__xludf.DUMMYFUNCTION("""COMPUTED_VALUE"""),"СМР")</f>
        <v>СМР</v>
      </c>
      <c r="J82" s="48"/>
      <c r="K82" s="48"/>
      <c r="L82" s="48"/>
      <c r="M82" s="48"/>
      <c r="N82" s="48" t="str">
        <f ca="1">IFERROR(__xludf.DUMMYFUNCTION("""COMPUTED_VALUE"""),"10 1 G552430
")</f>
        <v xml:space="preserve">10 1 G552430
</v>
      </c>
      <c r="O82" s="48">
        <f ca="1">IFERROR(__xludf.DUMMYFUNCTION("""COMPUTED_VALUE"""),522)</f>
        <v>522</v>
      </c>
      <c r="P82" s="72">
        <f t="shared" ref="P82:R82" si="85">SUM(AH82,AN82,AT82,AZ82,BF82)</f>
        <v>114778.51999999999</v>
      </c>
      <c r="Q82" s="72">
        <f t="shared" si="85"/>
        <v>70330.539999999994</v>
      </c>
      <c r="R82" s="72">
        <f t="shared" si="85"/>
        <v>23443.51</v>
      </c>
      <c r="S82" s="53"/>
      <c r="T82" s="72">
        <f t="shared" si="44"/>
        <v>21004.47</v>
      </c>
      <c r="U82" s="53"/>
      <c r="V82" s="72"/>
      <c r="W82" s="72"/>
      <c r="X82" s="72"/>
      <c r="Y82" s="72"/>
      <c r="Z82" s="72"/>
      <c r="AA82" s="72"/>
      <c r="AB82" s="72"/>
      <c r="AC82" s="72"/>
      <c r="AD82" s="72"/>
      <c r="AE82" s="72"/>
      <c r="AF82" s="72"/>
      <c r="AG82" s="72"/>
      <c r="AH82" s="72">
        <f t="shared" si="2"/>
        <v>0</v>
      </c>
      <c r="AI82" s="71">
        <v>0</v>
      </c>
      <c r="AJ82" s="71">
        <v>0</v>
      </c>
      <c r="AK82" s="71"/>
      <c r="AL82" s="71">
        <v>0</v>
      </c>
      <c r="AM82" s="71"/>
      <c r="AN82" s="72">
        <f t="shared" si="3"/>
        <v>114778.51999999999</v>
      </c>
      <c r="AO82" s="71">
        <v>70330.539999999994</v>
      </c>
      <c r="AP82" s="71">
        <v>23443.51</v>
      </c>
      <c r="AQ82" s="71"/>
      <c r="AR82" s="71">
        <v>21004.47</v>
      </c>
      <c r="AS82" s="71"/>
      <c r="AT82" s="71">
        <f t="shared" si="4"/>
        <v>0</v>
      </c>
      <c r="AU82" s="71">
        <v>0</v>
      </c>
      <c r="AV82" s="71">
        <v>0</v>
      </c>
      <c r="AW82" s="71"/>
      <c r="AX82" s="71">
        <v>0</v>
      </c>
      <c r="AY82" s="71"/>
      <c r="AZ82" s="71">
        <f t="shared" si="45"/>
        <v>0</v>
      </c>
      <c r="BA82" s="71">
        <v>0</v>
      </c>
      <c r="BB82" s="71">
        <v>0</v>
      </c>
      <c r="BC82" s="71"/>
      <c r="BD82" s="71">
        <v>0</v>
      </c>
      <c r="BE82" s="71"/>
      <c r="BF82" s="71">
        <f t="shared" si="6"/>
        <v>0</v>
      </c>
      <c r="BG82" s="71">
        <v>0</v>
      </c>
      <c r="BH82" s="71">
        <v>0</v>
      </c>
      <c r="BI82" s="71"/>
      <c r="BJ82" s="71">
        <v>0</v>
      </c>
      <c r="BK82" s="71"/>
      <c r="BL82" s="20"/>
    </row>
    <row r="83" spans="1:64" ht="84" x14ac:dyDescent="0.2">
      <c r="A83" s="69">
        <v>79</v>
      </c>
      <c r="B83" s="52" t="str">
        <f ca="1">IFERROR(__xludf.DUMMYFUNCTION("""COMPUTED_VALUE"""),"г.о. Дзержинский")</f>
        <v>г.о. Дзержинский</v>
      </c>
      <c r="C83"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3" s="52" t="str">
        <f ca="1">IFERROR(__xludf.DUMMYFUNCTION("""COMPUTED_VALUE"""),"МинЖКХ")</f>
        <v>МинЖКХ</v>
      </c>
      <c r="E83" s="28" t="s">
        <v>148</v>
      </c>
      <c r="F83" s="52" t="str">
        <f ca="1">IFERROR(__xludf.DUMMYFUNCTION("""COMPUTED_VALUE"""),"Сети")</f>
        <v>Сети</v>
      </c>
      <c r="G83" s="52">
        <f ca="1">IFERROR(__xludf.DUMMYFUNCTION("""COMPUTED_VALUE"""),2021)</f>
        <v>2021</v>
      </c>
      <c r="H83" s="48" t="str">
        <f ca="1">IFERROR(__xludf.DUMMYFUNCTION("""COMPUTED_VALUE""")," Ведется устранение замечаний МОГЭ. Получение заключения планируется до 11.12.2020.
В настоящее время Администрацией прорабатывается вопрос подачи воды до реконструкции ВЗУ.")</f>
        <v xml:space="preserve"> Ведется устранение замечаний МОГЭ. Получение заключения планируется до 11.12.2020.
В настоящее время Администрацией прорабатывается вопрос подачи воды до реконструкции ВЗУ.</v>
      </c>
      <c r="I83" s="48" t="str">
        <f ca="1">IFERROR(__xludf.DUMMYFUNCTION("""COMPUTED_VALUE"""),"СМР")</f>
        <v>СМР</v>
      </c>
      <c r="J83" s="48"/>
      <c r="K83" s="48"/>
      <c r="L83" s="48"/>
      <c r="M83" s="48"/>
      <c r="N83" s="48" t="str">
        <f ca="1">IFERROR(__xludf.DUMMYFUNCTION("""COMPUTED_VALUE"""),"10 1 G552430
")</f>
        <v xml:space="preserve">10 1 G552430
</v>
      </c>
      <c r="O83" s="48">
        <f ca="1">IFERROR(__xludf.DUMMYFUNCTION("""COMPUTED_VALUE"""),522)</f>
        <v>522</v>
      </c>
      <c r="P83" s="72">
        <f t="shared" ref="P83:R83" si="86">SUM(AH83,AN83,AT83,AZ83,BF83)</f>
        <v>9375.5300000000007</v>
      </c>
      <c r="Q83" s="72">
        <f t="shared" si="86"/>
        <v>5744.8</v>
      </c>
      <c r="R83" s="72">
        <f t="shared" si="86"/>
        <v>1914.95</v>
      </c>
      <c r="S83" s="53"/>
      <c r="T83" s="72">
        <f t="shared" si="44"/>
        <v>1715.78</v>
      </c>
      <c r="U83" s="53"/>
      <c r="V83" s="72"/>
      <c r="W83" s="72"/>
      <c r="X83" s="72"/>
      <c r="Y83" s="72"/>
      <c r="Z83" s="72"/>
      <c r="AA83" s="72"/>
      <c r="AB83" s="72"/>
      <c r="AC83" s="72"/>
      <c r="AD83" s="72"/>
      <c r="AE83" s="72"/>
      <c r="AF83" s="72"/>
      <c r="AG83" s="72"/>
      <c r="AH83" s="72">
        <f t="shared" si="2"/>
        <v>0</v>
      </c>
      <c r="AI83" s="71">
        <v>0</v>
      </c>
      <c r="AJ83" s="71">
        <v>0</v>
      </c>
      <c r="AK83" s="71"/>
      <c r="AL83" s="71">
        <v>0</v>
      </c>
      <c r="AM83" s="71"/>
      <c r="AN83" s="72">
        <f t="shared" si="3"/>
        <v>9375.5300000000007</v>
      </c>
      <c r="AO83" s="71">
        <v>5744.8</v>
      </c>
      <c r="AP83" s="71">
        <v>1914.95</v>
      </c>
      <c r="AQ83" s="71"/>
      <c r="AR83" s="71">
        <v>1715.78</v>
      </c>
      <c r="AS83" s="71"/>
      <c r="AT83" s="71">
        <f t="shared" si="4"/>
        <v>0</v>
      </c>
      <c r="AU83" s="71">
        <v>0</v>
      </c>
      <c r="AV83" s="71">
        <v>0</v>
      </c>
      <c r="AW83" s="71"/>
      <c r="AX83" s="71">
        <v>0</v>
      </c>
      <c r="AY83" s="71"/>
      <c r="AZ83" s="71">
        <f t="shared" si="45"/>
        <v>0</v>
      </c>
      <c r="BA83" s="71">
        <v>0</v>
      </c>
      <c r="BB83" s="71">
        <v>0</v>
      </c>
      <c r="BC83" s="71"/>
      <c r="BD83" s="71">
        <v>0</v>
      </c>
      <c r="BE83" s="71"/>
      <c r="BF83" s="71">
        <f t="shared" si="6"/>
        <v>0</v>
      </c>
      <c r="BG83" s="71">
        <v>0</v>
      </c>
      <c r="BH83" s="71">
        <v>0</v>
      </c>
      <c r="BI83" s="71"/>
      <c r="BJ83" s="71">
        <v>0</v>
      </c>
      <c r="BK83" s="71"/>
      <c r="BL83" s="20"/>
    </row>
    <row r="84" spans="1:64" ht="84" x14ac:dyDescent="0.2">
      <c r="A84" s="69">
        <v>80</v>
      </c>
      <c r="B84" s="52" t="str">
        <f ca="1">IFERROR(__xludf.DUMMYFUNCTION("""COMPUTED_VALUE"""),"г.о. Дзержинский")</f>
        <v>г.о. Дзержинский</v>
      </c>
      <c r="C84"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4" s="52" t="str">
        <f ca="1">IFERROR(__xludf.DUMMYFUNCTION("""COMPUTED_VALUE"""),"МинЖКХ")</f>
        <v>МинЖКХ</v>
      </c>
      <c r="E84" s="28" t="s">
        <v>149</v>
      </c>
      <c r="F84" s="52" t="str">
        <f ca="1">IFERROR(__xludf.DUMMYFUNCTION("""COMPUTED_VALUE"""),"Сети")</f>
        <v>Сети</v>
      </c>
      <c r="G84" s="52">
        <f ca="1">IFERROR(__xludf.DUMMYFUNCTION("""COMPUTED_VALUE"""),2021)</f>
        <v>2021</v>
      </c>
      <c r="H84" s="48" t="str">
        <f ca="1">IFERROR(__xludf.DUMMYFUNCTION("""COMPUTED_VALUE""")," Ведется устранение замечаний МОГЭ. Получение заключения планируется до 11.12.2020.
В настоящее время Администрацией прорабатывается вопрос подачи воды до реконструкции ВЗУ.")</f>
        <v xml:space="preserve"> Ведется устранение замечаний МОГЭ. Получение заключения планируется до 11.12.2020.
В настоящее время Администрацией прорабатывается вопрос подачи воды до реконструкции ВЗУ.</v>
      </c>
      <c r="I84" s="48" t="str">
        <f ca="1">IFERROR(__xludf.DUMMYFUNCTION("""COMPUTED_VALUE"""),"СМР")</f>
        <v>СМР</v>
      </c>
      <c r="J84" s="48"/>
      <c r="K84" s="48"/>
      <c r="L84" s="48"/>
      <c r="M84" s="48"/>
      <c r="N84" s="48" t="str">
        <f ca="1">IFERROR(__xludf.DUMMYFUNCTION("""COMPUTED_VALUE"""),"10 1 G552430
")</f>
        <v xml:space="preserve">10 1 G552430
</v>
      </c>
      <c r="O84" s="48">
        <f ca="1">IFERROR(__xludf.DUMMYFUNCTION("""COMPUTED_VALUE"""),522)</f>
        <v>522</v>
      </c>
      <c r="P84" s="72">
        <f t="shared" ref="P84:R84" si="87">SUM(AH84,AN84,AT84,AZ84,BF84)</f>
        <v>75898.010000000009</v>
      </c>
      <c r="Q84" s="72">
        <f t="shared" si="87"/>
        <v>45921.599999999999</v>
      </c>
      <c r="R84" s="72">
        <f t="shared" si="87"/>
        <v>15307.2</v>
      </c>
      <c r="S84" s="53"/>
      <c r="T84" s="72">
        <f t="shared" si="44"/>
        <v>14669.21</v>
      </c>
      <c r="U84" s="53"/>
      <c r="V84" s="72"/>
      <c r="W84" s="72"/>
      <c r="X84" s="72"/>
      <c r="Y84" s="72"/>
      <c r="Z84" s="72"/>
      <c r="AA84" s="72"/>
      <c r="AB84" s="72"/>
      <c r="AC84" s="72"/>
      <c r="AD84" s="72"/>
      <c r="AE84" s="72"/>
      <c r="AF84" s="72"/>
      <c r="AG84" s="72"/>
      <c r="AH84" s="72">
        <f t="shared" si="2"/>
        <v>0</v>
      </c>
      <c r="AI84" s="71">
        <v>0</v>
      </c>
      <c r="AJ84" s="71">
        <v>0</v>
      </c>
      <c r="AK84" s="71"/>
      <c r="AL84" s="71">
        <v>0</v>
      </c>
      <c r="AM84" s="71"/>
      <c r="AN84" s="72">
        <f t="shared" si="3"/>
        <v>75898.010000000009</v>
      </c>
      <c r="AO84" s="71">
        <v>45921.599999999999</v>
      </c>
      <c r="AP84" s="71">
        <v>15307.2</v>
      </c>
      <c r="AQ84" s="71"/>
      <c r="AR84" s="71">
        <v>14669.21</v>
      </c>
      <c r="AS84" s="71"/>
      <c r="AT84" s="71">
        <f t="shared" si="4"/>
        <v>0</v>
      </c>
      <c r="AU84" s="71">
        <v>0</v>
      </c>
      <c r="AV84" s="71">
        <v>0</v>
      </c>
      <c r="AW84" s="71"/>
      <c r="AX84" s="71">
        <v>0</v>
      </c>
      <c r="AY84" s="71"/>
      <c r="AZ84" s="71">
        <f t="shared" si="45"/>
        <v>0</v>
      </c>
      <c r="BA84" s="71">
        <v>0</v>
      </c>
      <c r="BB84" s="71">
        <v>0</v>
      </c>
      <c r="BC84" s="71"/>
      <c r="BD84" s="71">
        <v>0</v>
      </c>
      <c r="BE84" s="71"/>
      <c r="BF84" s="71">
        <f t="shared" si="6"/>
        <v>0</v>
      </c>
      <c r="BG84" s="71">
        <v>0</v>
      </c>
      <c r="BH84" s="71">
        <v>0</v>
      </c>
      <c r="BI84" s="71"/>
      <c r="BJ84" s="71">
        <v>0</v>
      </c>
      <c r="BK84" s="71"/>
      <c r="BL84" s="20"/>
    </row>
    <row r="85" spans="1:64" ht="84" x14ac:dyDescent="0.2">
      <c r="A85" s="69">
        <v>81</v>
      </c>
      <c r="B85" s="52" t="str">
        <f ca="1">IFERROR(__xludf.DUMMYFUNCTION("""COMPUTED_VALUE"""),"г.о. Красногорск")</f>
        <v>г.о. Красногорск</v>
      </c>
      <c r="C85" s="52"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(модернизацию) объектов питьевого водоснабжения.</v>
      </c>
      <c r="D85" s="52" t="str">
        <f ca="1">IFERROR(__xludf.DUMMYFUNCTION("""COMPUTED_VALUE"""),"МинЖКХ")</f>
        <v>МинЖКХ</v>
      </c>
      <c r="E85" s="28" t="s">
        <v>150</v>
      </c>
      <c r="F85" s="52" t="str">
        <f ca="1">IFERROR(__xludf.DUMMYFUNCTION("""COMPUTED_VALUE"""),"Сети")</f>
        <v>Сети</v>
      </c>
      <c r="G85" s="52">
        <f ca="1">IFERROR(__xludf.DUMMYFUNCTION("""COMPUTED_VALUE"""),2022)</f>
        <v>2022</v>
      </c>
      <c r="H85" s="48" t="str">
        <f ca="1">IFERROR(__xludf.DUMMYFUNCTION("""COMPUTED_VALUE"""),"Запрошена конкурсная документация на СМР. Публикация планируется в декабре 2020 года.
Объект согласован Минстроем России.")</f>
        <v>Запрошена конкурсная документация на СМР. Публикация планируется в декабре 2020 года.
Объект согласован Минстроем России.</v>
      </c>
      <c r="I85" s="48" t="str">
        <f ca="1">IFERROR(__xludf.DUMMYFUNCTION("""COMPUTED_VALUE"""),"СМР")</f>
        <v>СМР</v>
      </c>
      <c r="J85" s="48"/>
      <c r="K85" s="48"/>
      <c r="L85" s="48"/>
      <c r="M85" s="48"/>
      <c r="N85" s="48" t="str">
        <f ca="1">IFERROR(__xludf.DUMMYFUNCTION("""COMPUTED_VALUE"""),"10 1 G552430
")</f>
        <v xml:space="preserve">10 1 G552430
</v>
      </c>
      <c r="O85" s="48">
        <f ca="1">IFERROR(__xludf.DUMMYFUNCTION("""COMPUTED_VALUE"""),522)</f>
        <v>522</v>
      </c>
      <c r="P85" s="72">
        <f t="shared" ref="P85:R85" si="88">SUM(AH85,AN85,AT85,AZ85,BF85)</f>
        <v>82848.009999999995</v>
      </c>
      <c r="Q85" s="72">
        <f t="shared" si="88"/>
        <v>38337.800000000003</v>
      </c>
      <c r="R85" s="72">
        <f t="shared" si="88"/>
        <v>12779.349999999999</v>
      </c>
      <c r="S85" s="53"/>
      <c r="T85" s="72">
        <f t="shared" si="44"/>
        <v>31730.86</v>
      </c>
      <c r="U85" s="53"/>
      <c r="V85" s="72"/>
      <c r="W85" s="72"/>
      <c r="X85" s="72"/>
      <c r="Y85" s="72"/>
      <c r="Z85" s="72"/>
      <c r="AA85" s="72"/>
      <c r="AB85" s="72"/>
      <c r="AC85" s="72"/>
      <c r="AD85" s="72"/>
      <c r="AE85" s="72"/>
      <c r="AF85" s="72"/>
      <c r="AG85" s="72"/>
      <c r="AH85" s="72">
        <f t="shared" si="2"/>
        <v>0</v>
      </c>
      <c r="AI85" s="71">
        <v>0</v>
      </c>
      <c r="AJ85" s="71">
        <v>0</v>
      </c>
      <c r="AK85" s="71"/>
      <c r="AL85" s="71">
        <v>0</v>
      </c>
      <c r="AM85" s="71"/>
      <c r="AN85" s="72">
        <f t="shared" si="3"/>
        <v>49708.81</v>
      </c>
      <c r="AO85" s="71">
        <v>23002.7</v>
      </c>
      <c r="AP85" s="71">
        <v>7667.57</v>
      </c>
      <c r="AQ85" s="71"/>
      <c r="AR85" s="71">
        <v>19038.54</v>
      </c>
      <c r="AS85" s="71"/>
      <c r="AT85" s="71">
        <f t="shared" si="4"/>
        <v>33139.199999999997</v>
      </c>
      <c r="AU85" s="71">
        <v>15335.1</v>
      </c>
      <c r="AV85" s="71">
        <v>5111.78</v>
      </c>
      <c r="AW85" s="71"/>
      <c r="AX85" s="71">
        <v>12692.32</v>
      </c>
      <c r="AY85" s="71"/>
      <c r="AZ85" s="71">
        <f t="shared" si="45"/>
        <v>0</v>
      </c>
      <c r="BA85" s="71">
        <v>0</v>
      </c>
      <c r="BB85" s="71">
        <v>0</v>
      </c>
      <c r="BC85" s="71"/>
      <c r="BD85" s="71">
        <v>0</v>
      </c>
      <c r="BE85" s="71"/>
      <c r="BF85" s="71">
        <f t="shared" si="6"/>
        <v>0</v>
      </c>
      <c r="BG85" s="71">
        <v>0</v>
      </c>
      <c r="BH85" s="71">
        <v>0</v>
      </c>
      <c r="BI85" s="71"/>
      <c r="BJ85" s="71">
        <v>0</v>
      </c>
      <c r="BK85" s="71"/>
      <c r="BL85" s="20"/>
    </row>
    <row r="86" spans="1:64" ht="72" x14ac:dyDescent="0.2">
      <c r="A86" s="69">
        <v>82</v>
      </c>
      <c r="B86" s="52" t="str">
        <f ca="1">IFERROR(__xludf.DUMMYFUNCTION("""COMPUTED_VALUE"""),"г.о. Богородский")</f>
        <v>г.о. Богородский</v>
      </c>
      <c r="C86" s="52"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6" s="52" t="str">
        <f ca="1">IFERROR(__xludf.DUMMYFUNCTION("""COMPUTED_VALUE"""),"МинЖКХ")</f>
        <v>МинЖКХ</v>
      </c>
      <c r="E86" s="28" t="s">
        <v>151</v>
      </c>
      <c r="F86" s="52" t="str">
        <f ca="1">IFERROR(__xludf.DUMMYFUNCTION("""COMPUTED_VALUE"""),"Сети")</f>
        <v>Сети</v>
      </c>
      <c r="G86" s="52">
        <f ca="1">IFERROR(__xludf.DUMMYFUNCTION("""COMPUTED_VALUE"""),2021)</f>
        <v>2021</v>
      </c>
      <c r="H86" s="48" t="str">
        <f ca="1">IFERROR(__xludf.DUMMYFUNCTION("""COMPUTED_VALUE"""),"Получено положительное заключение МОГЭ. Решается вопрос согласования крупной сделки. Заказчик КС МО.")</f>
        <v>Получено положительное заключение МОГЭ. Решается вопрос согласования крупной сделки. Заказчик КС МО.</v>
      </c>
      <c r="I86" s="48" t="str">
        <f ca="1">IFERROR(__xludf.DUMMYFUNCTION("""COMPUTED_VALUE"""),"СМР")</f>
        <v>СМР</v>
      </c>
      <c r="J86" s="48"/>
      <c r="K86" s="48"/>
      <c r="L86" s="48"/>
      <c r="M86" s="48"/>
      <c r="N86" s="48" t="str">
        <f ca="1">IFERROR(__xludf.DUMMYFUNCTION("""COMPUTED_VALUE"""),"10 1 G5 52439")</f>
        <v>10 1 G5 52439</v>
      </c>
      <c r="O86" s="48">
        <f ca="1">IFERROR(__xludf.DUMMYFUNCTION("""COMPUTED_VALUE"""),460)</f>
        <v>460</v>
      </c>
      <c r="P86" s="72">
        <f t="shared" ref="P86:R86" si="89">SUM(AH86,AN86,AT86,AZ86,BF86)</f>
        <v>130580</v>
      </c>
      <c r="Q86" s="72">
        <f t="shared" si="89"/>
        <v>0</v>
      </c>
      <c r="R86" s="72">
        <f t="shared" si="89"/>
        <v>130580</v>
      </c>
      <c r="S86" s="53"/>
      <c r="T86" s="72">
        <f t="shared" si="44"/>
        <v>0</v>
      </c>
      <c r="U86" s="53"/>
      <c r="V86" s="72"/>
      <c r="W86" s="72"/>
      <c r="X86" s="72"/>
      <c r="Y86" s="72"/>
      <c r="Z86" s="72"/>
      <c r="AA86" s="72"/>
      <c r="AB86" s="72"/>
      <c r="AC86" s="72"/>
      <c r="AD86" s="72"/>
      <c r="AE86" s="72"/>
      <c r="AF86" s="72"/>
      <c r="AG86" s="72"/>
      <c r="AH86" s="72">
        <f t="shared" si="2"/>
        <v>0</v>
      </c>
      <c r="AI86" s="71">
        <v>0</v>
      </c>
      <c r="AJ86" s="71">
        <v>0</v>
      </c>
      <c r="AK86" s="71"/>
      <c r="AL86" s="71">
        <v>0</v>
      </c>
      <c r="AM86" s="71"/>
      <c r="AN86" s="72">
        <f t="shared" si="3"/>
        <v>130580</v>
      </c>
      <c r="AO86" s="71">
        <v>0</v>
      </c>
      <c r="AP86" s="71">
        <v>130580</v>
      </c>
      <c r="AQ86" s="71"/>
      <c r="AR86" s="71">
        <v>0</v>
      </c>
      <c r="AS86" s="71"/>
      <c r="AT86" s="71">
        <f t="shared" si="4"/>
        <v>0</v>
      </c>
      <c r="AU86" s="71">
        <v>0</v>
      </c>
      <c r="AV86" s="71">
        <v>0</v>
      </c>
      <c r="AW86" s="71"/>
      <c r="AX86" s="71">
        <v>0</v>
      </c>
      <c r="AY86" s="71"/>
      <c r="AZ86" s="71">
        <f t="shared" si="45"/>
        <v>0</v>
      </c>
      <c r="BA86" s="71">
        <v>0</v>
      </c>
      <c r="BB86" s="71">
        <v>0</v>
      </c>
      <c r="BC86" s="71"/>
      <c r="BD86" s="71">
        <v>0</v>
      </c>
      <c r="BE86" s="71"/>
      <c r="BF86" s="71">
        <f t="shared" si="6"/>
        <v>0</v>
      </c>
      <c r="BG86" s="71">
        <v>0</v>
      </c>
      <c r="BH86" s="71">
        <v>0</v>
      </c>
      <c r="BI86" s="71"/>
      <c r="BJ86" s="71">
        <v>0</v>
      </c>
      <c r="BK86" s="71"/>
      <c r="BL86" s="20"/>
    </row>
    <row r="87" spans="1:64" ht="72" x14ac:dyDescent="0.2">
      <c r="A87" s="69">
        <v>83</v>
      </c>
      <c r="B87" s="52" t="str">
        <f ca="1">IFERROR(__xludf.DUMMYFUNCTION("""COMPUTED_VALUE"""),"г.о. Богородский")</f>
        <v>г.о. Богородский</v>
      </c>
      <c r="C87" s="52"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7" s="52" t="str">
        <f ca="1">IFERROR(__xludf.DUMMYFUNCTION("""COMPUTED_VALUE"""),"МинЖКХ")</f>
        <v>МинЖКХ</v>
      </c>
      <c r="E87" s="28" t="s">
        <v>152</v>
      </c>
      <c r="F87" s="52" t="str">
        <f ca="1">IFERROR(__xludf.DUMMYFUNCTION("""COMPUTED_VALUE"""),"ВЗУ")</f>
        <v>ВЗУ</v>
      </c>
      <c r="G87" s="52">
        <f ca="1">IFERROR(__xludf.DUMMYFUNCTION("""COMPUTED_VALUE"""),2023)</f>
        <v>2023</v>
      </c>
      <c r="H87" s="48"/>
      <c r="I87" s="48" t="str">
        <f ca="1">IFERROR(__xludf.DUMMYFUNCTION("""COMPUTED_VALUE"""),"СМР")</f>
        <v>СМР</v>
      </c>
      <c r="J87" s="48"/>
      <c r="K87" s="48"/>
      <c r="L87" s="48"/>
      <c r="M87" s="48"/>
      <c r="N87" s="48" t="str">
        <f ca="1">IFERROR(__xludf.DUMMYFUNCTION("""COMPUTED_VALUE"""),"10 1 G5 52439")</f>
        <v>10 1 G5 52439</v>
      </c>
      <c r="O87" s="48">
        <f ca="1">IFERROR(__xludf.DUMMYFUNCTION("""COMPUTED_VALUE"""),460)</f>
        <v>460</v>
      </c>
      <c r="P87" s="72">
        <f t="shared" ref="P87:R87" si="90">SUM(AH87,AN87,AT87,AZ87,BF87)</f>
        <v>366553.92</v>
      </c>
      <c r="Q87" s="72">
        <f t="shared" si="90"/>
        <v>274915.44</v>
      </c>
      <c r="R87" s="72">
        <f t="shared" si="90"/>
        <v>91638.48</v>
      </c>
      <c r="S87" s="53"/>
      <c r="T87" s="72">
        <f t="shared" si="44"/>
        <v>0</v>
      </c>
      <c r="U87" s="53"/>
      <c r="V87" s="72"/>
      <c r="W87" s="72"/>
      <c r="X87" s="72"/>
      <c r="Y87" s="72"/>
      <c r="Z87" s="72"/>
      <c r="AA87" s="72"/>
      <c r="AB87" s="72"/>
      <c r="AC87" s="72"/>
      <c r="AD87" s="72"/>
      <c r="AE87" s="72"/>
      <c r="AF87" s="72"/>
      <c r="AG87" s="72"/>
      <c r="AH87" s="72">
        <f t="shared" si="2"/>
        <v>0</v>
      </c>
      <c r="AI87" s="71">
        <v>0</v>
      </c>
      <c r="AJ87" s="71">
        <v>0</v>
      </c>
      <c r="AK87" s="71"/>
      <c r="AL87" s="71">
        <v>0</v>
      </c>
      <c r="AM87" s="71"/>
      <c r="AN87" s="72">
        <f t="shared" si="3"/>
        <v>0</v>
      </c>
      <c r="AO87" s="71">
        <v>0</v>
      </c>
      <c r="AP87" s="71">
        <v>0</v>
      </c>
      <c r="AQ87" s="71"/>
      <c r="AR87" s="71">
        <v>0</v>
      </c>
      <c r="AS87" s="71"/>
      <c r="AT87" s="71">
        <f t="shared" si="4"/>
        <v>0</v>
      </c>
      <c r="AU87" s="71">
        <v>0</v>
      </c>
      <c r="AV87" s="71">
        <v>0</v>
      </c>
      <c r="AW87" s="71"/>
      <c r="AX87" s="71">
        <v>0</v>
      </c>
      <c r="AY87" s="71"/>
      <c r="AZ87" s="71">
        <f t="shared" si="45"/>
        <v>366553.92</v>
      </c>
      <c r="BA87" s="71">
        <v>274915.44</v>
      </c>
      <c r="BB87" s="71">
        <v>91638.48</v>
      </c>
      <c r="BC87" s="71"/>
      <c r="BD87" s="71">
        <v>0</v>
      </c>
      <c r="BE87" s="71"/>
      <c r="BF87" s="71">
        <f t="shared" si="6"/>
        <v>0</v>
      </c>
      <c r="BG87" s="71">
        <v>0</v>
      </c>
      <c r="BH87" s="71">
        <v>0</v>
      </c>
      <c r="BI87" s="71"/>
      <c r="BJ87" s="71">
        <v>0</v>
      </c>
      <c r="BK87" s="71"/>
      <c r="BL87" s="20"/>
    </row>
    <row r="88" spans="1:64" ht="72" x14ac:dyDescent="0.2">
      <c r="A88" s="69">
        <v>84</v>
      </c>
      <c r="B88" s="52" t="str">
        <f ca="1">IFERROR(__xludf.DUMMYFUNCTION("""COMPUTED_VALUE"""),"г.о. Богородский")</f>
        <v>г.о. Богородский</v>
      </c>
      <c r="C88" s="52"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8" s="52" t="str">
        <f ca="1">IFERROR(__xludf.DUMMYFUNCTION("""COMPUTED_VALUE"""),"МинЖКХ")</f>
        <v>МинЖКХ</v>
      </c>
      <c r="E88" s="28" t="s">
        <v>153</v>
      </c>
      <c r="F88" s="52" t="str">
        <f ca="1">IFERROR(__xludf.DUMMYFUNCTION("""COMPUTED_VALUE"""),"Сети")</f>
        <v>Сети</v>
      </c>
      <c r="G88" s="52">
        <f ca="1">IFERROR(__xludf.DUMMYFUNCTION("""COMPUTED_VALUE"""),2023)</f>
        <v>2023</v>
      </c>
      <c r="H88" s="48"/>
      <c r="I88" s="48" t="str">
        <f ca="1">IFERROR(__xludf.DUMMYFUNCTION("""COMPUTED_VALUE"""),"СМР")</f>
        <v>СМР</v>
      </c>
      <c r="J88" s="48"/>
      <c r="K88" s="48"/>
      <c r="L88" s="48"/>
      <c r="M88" s="48"/>
      <c r="N88" s="48" t="str">
        <f ca="1">IFERROR(__xludf.DUMMYFUNCTION("""COMPUTED_VALUE"""),"10 1 G5 52439")</f>
        <v>10 1 G5 52439</v>
      </c>
      <c r="O88" s="48">
        <f ca="1">IFERROR(__xludf.DUMMYFUNCTION("""COMPUTED_VALUE"""),460)</f>
        <v>460</v>
      </c>
      <c r="P88" s="72">
        <f t="shared" ref="P88:R88" si="91">SUM(AH88,AN88,AT88,AZ88,BF88)</f>
        <v>679898.4</v>
      </c>
      <c r="Q88" s="72">
        <f t="shared" si="91"/>
        <v>509923.8</v>
      </c>
      <c r="R88" s="72">
        <f t="shared" si="91"/>
        <v>169974.6</v>
      </c>
      <c r="S88" s="53"/>
      <c r="T88" s="72">
        <f t="shared" si="44"/>
        <v>0</v>
      </c>
      <c r="U88" s="53"/>
      <c r="V88" s="72"/>
      <c r="W88" s="72"/>
      <c r="X88" s="72"/>
      <c r="Y88" s="72"/>
      <c r="Z88" s="72"/>
      <c r="AA88" s="72"/>
      <c r="AB88" s="72"/>
      <c r="AC88" s="72"/>
      <c r="AD88" s="72"/>
      <c r="AE88" s="72"/>
      <c r="AF88" s="72"/>
      <c r="AG88" s="72"/>
      <c r="AH88" s="72">
        <f t="shared" si="2"/>
        <v>0</v>
      </c>
      <c r="AI88" s="71">
        <v>0</v>
      </c>
      <c r="AJ88" s="71">
        <v>0</v>
      </c>
      <c r="AK88" s="71"/>
      <c r="AL88" s="71">
        <v>0</v>
      </c>
      <c r="AM88" s="71"/>
      <c r="AN88" s="72">
        <f t="shared" si="3"/>
        <v>0</v>
      </c>
      <c r="AO88" s="71">
        <v>0</v>
      </c>
      <c r="AP88" s="71">
        <v>0</v>
      </c>
      <c r="AQ88" s="71"/>
      <c r="AR88" s="71">
        <v>0</v>
      </c>
      <c r="AS88" s="71"/>
      <c r="AT88" s="71">
        <f t="shared" si="4"/>
        <v>0</v>
      </c>
      <c r="AU88" s="71">
        <v>0</v>
      </c>
      <c r="AV88" s="71">
        <v>0</v>
      </c>
      <c r="AW88" s="71"/>
      <c r="AX88" s="71">
        <v>0</v>
      </c>
      <c r="AY88" s="71"/>
      <c r="AZ88" s="71">
        <f t="shared" si="45"/>
        <v>679898.4</v>
      </c>
      <c r="BA88" s="71">
        <v>509923.8</v>
      </c>
      <c r="BB88" s="71">
        <v>169974.6</v>
      </c>
      <c r="BC88" s="71"/>
      <c r="BD88" s="71">
        <v>0</v>
      </c>
      <c r="BE88" s="71"/>
      <c r="BF88" s="71">
        <f t="shared" si="6"/>
        <v>0</v>
      </c>
      <c r="BG88" s="71">
        <v>0</v>
      </c>
      <c r="BH88" s="71">
        <v>0</v>
      </c>
      <c r="BI88" s="71"/>
      <c r="BJ88" s="71">
        <v>0</v>
      </c>
      <c r="BK88" s="71"/>
      <c r="BL88" s="20"/>
    </row>
    <row r="89" spans="1:64" ht="72" x14ac:dyDescent="0.2">
      <c r="A89" s="69">
        <v>85</v>
      </c>
      <c r="B89" s="52" t="str">
        <f ca="1">IFERROR(__xludf.DUMMYFUNCTION("""COMPUTED_VALUE"""),"г.о. Богородский")</f>
        <v>г.о. Богородский</v>
      </c>
      <c r="C89" s="52"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89" s="52" t="str">
        <f ca="1">IFERROR(__xludf.DUMMYFUNCTION("""COMPUTED_VALUE"""),"МинЖКХ")</f>
        <v>МинЖКХ</v>
      </c>
      <c r="E89" s="28" t="s">
        <v>154</v>
      </c>
      <c r="F89" s="52" t="str">
        <f ca="1">IFERROR(__xludf.DUMMYFUNCTION("""COMPUTED_VALUE"""),"Сети")</f>
        <v>Сети</v>
      </c>
      <c r="G89" s="52">
        <f ca="1">IFERROR(__xludf.DUMMYFUNCTION("""COMPUTED_VALUE"""),2023)</f>
        <v>2023</v>
      </c>
      <c r="H89" s="48"/>
      <c r="I89" s="48" t="str">
        <f ca="1">IFERROR(__xludf.DUMMYFUNCTION("""COMPUTED_VALUE"""),"СМР")</f>
        <v>СМР</v>
      </c>
      <c r="J89" s="48"/>
      <c r="K89" s="48"/>
      <c r="L89" s="48"/>
      <c r="M89" s="48"/>
      <c r="N89" s="48" t="str">
        <f ca="1">IFERROR(__xludf.DUMMYFUNCTION("""COMPUTED_VALUE"""),"10 1 G5 52439")</f>
        <v>10 1 G5 52439</v>
      </c>
      <c r="O89" s="48">
        <f ca="1">IFERROR(__xludf.DUMMYFUNCTION("""COMPUTED_VALUE"""),460)</f>
        <v>460</v>
      </c>
      <c r="P89" s="72">
        <f t="shared" ref="P89:R89" si="92">SUM(AH89,AN89,AT89,AZ89,BF89)</f>
        <v>98988</v>
      </c>
      <c r="Q89" s="72">
        <f t="shared" si="92"/>
        <v>74241</v>
      </c>
      <c r="R89" s="72">
        <f t="shared" si="92"/>
        <v>24747</v>
      </c>
      <c r="S89" s="53"/>
      <c r="T89" s="72">
        <f t="shared" si="44"/>
        <v>0</v>
      </c>
      <c r="U89" s="53"/>
      <c r="V89" s="72"/>
      <c r="W89" s="72"/>
      <c r="X89" s="72"/>
      <c r="Y89" s="72"/>
      <c r="Z89" s="72"/>
      <c r="AA89" s="72"/>
      <c r="AB89" s="72"/>
      <c r="AC89" s="72"/>
      <c r="AD89" s="72"/>
      <c r="AE89" s="72"/>
      <c r="AF89" s="72"/>
      <c r="AG89" s="72"/>
      <c r="AH89" s="72">
        <f t="shared" si="2"/>
        <v>0</v>
      </c>
      <c r="AI89" s="71">
        <v>0</v>
      </c>
      <c r="AJ89" s="71">
        <v>0</v>
      </c>
      <c r="AK89" s="71"/>
      <c r="AL89" s="71">
        <v>0</v>
      </c>
      <c r="AM89" s="71"/>
      <c r="AN89" s="72">
        <f t="shared" si="3"/>
        <v>0</v>
      </c>
      <c r="AO89" s="71">
        <v>0</v>
      </c>
      <c r="AP89" s="71">
        <v>0</v>
      </c>
      <c r="AQ89" s="71"/>
      <c r="AR89" s="71">
        <v>0</v>
      </c>
      <c r="AS89" s="71"/>
      <c r="AT89" s="71">
        <f t="shared" si="4"/>
        <v>0</v>
      </c>
      <c r="AU89" s="71">
        <v>0</v>
      </c>
      <c r="AV89" s="71">
        <v>0</v>
      </c>
      <c r="AW89" s="71"/>
      <c r="AX89" s="71">
        <v>0</v>
      </c>
      <c r="AY89" s="71"/>
      <c r="AZ89" s="71">
        <f t="shared" si="45"/>
        <v>98988</v>
      </c>
      <c r="BA89" s="71">
        <v>74241</v>
      </c>
      <c r="BB89" s="71">
        <v>24747</v>
      </c>
      <c r="BC89" s="71"/>
      <c r="BD89" s="71">
        <v>0</v>
      </c>
      <c r="BE89" s="71"/>
      <c r="BF89" s="71">
        <f t="shared" si="6"/>
        <v>0</v>
      </c>
      <c r="BG89" s="71">
        <v>0</v>
      </c>
      <c r="BH89" s="71">
        <v>0</v>
      </c>
      <c r="BI89" s="71"/>
      <c r="BJ89" s="71">
        <v>0</v>
      </c>
      <c r="BK89" s="71"/>
      <c r="BL89" s="20"/>
    </row>
    <row r="90" spans="1:64" ht="72" x14ac:dyDescent="0.2">
      <c r="A90" s="69">
        <v>86</v>
      </c>
      <c r="B90" s="52" t="str">
        <f ca="1">IFERROR(__xludf.DUMMYFUNCTION("""COMPUTED_VALUE"""),"КСМО")</f>
        <v>КСМО</v>
      </c>
      <c r="C90" s="52"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0" s="52" t="str">
        <f ca="1">IFERROR(__xludf.DUMMYFUNCTION("""COMPUTED_VALUE"""),"МинЖКХ")</f>
        <v>МинЖКХ</v>
      </c>
      <c r="E90" s="28" t="s">
        <v>155</v>
      </c>
      <c r="F90" s="52" t="str">
        <f ca="1">IFERROR(__xludf.DUMMYFUNCTION("""COMPUTED_VALUE"""),"Сети")</f>
        <v>Сети</v>
      </c>
      <c r="G90" s="52" t="str">
        <f ca="1">IFERROR(__xludf.DUMMYFUNCTION("""COMPUTED_VALUE"""),"2020-2022")</f>
        <v>2020-2022</v>
      </c>
      <c r="H90" s="48" t="str">
        <f ca="1">IFERROR(__xludf.DUMMYFUNCTION("""COMPUTED_VALUE"""),"Контракт на ПИР заключен. Получение положительного заключения МОГЭ планируется в декабре 2020 года.")</f>
        <v>Контракт на ПИР заключен. Получение положительного заключения МОГЭ планируется в декабре 2020 года.</v>
      </c>
      <c r="I90" s="48" t="str">
        <f ca="1">IFERROR(__xludf.DUMMYFUNCTION("""COMPUTED_VALUE"""),"ПИР")</f>
        <v>ПИР</v>
      </c>
      <c r="J90" s="48">
        <f ca="1">IFERROR(__xludf.DUMMYFUNCTION("""COMPUTED_VALUE"""),0)</f>
        <v>0</v>
      </c>
      <c r="K90" s="48"/>
      <c r="L90" s="48"/>
      <c r="M90" s="48"/>
      <c r="N90" s="48" t="str">
        <f ca="1">IFERROR(__xludf.DUMMYFUNCTION("""COMPUTED_VALUE"""),"10 1 G5 52439")</f>
        <v>10 1 G5 52439</v>
      </c>
      <c r="O90" s="48">
        <f ca="1">IFERROR(__xludf.DUMMYFUNCTION("""COMPUTED_VALUE"""),460)</f>
        <v>460</v>
      </c>
      <c r="P90" s="72">
        <f t="shared" ref="P90:R90" si="93">SUM(AH90,AN90,AT90,AZ90,BF90)</f>
        <v>165000</v>
      </c>
      <c r="Q90" s="72">
        <f t="shared" si="93"/>
        <v>0</v>
      </c>
      <c r="R90" s="72">
        <f t="shared" si="93"/>
        <v>165000</v>
      </c>
      <c r="S90" s="53"/>
      <c r="T90" s="72">
        <f t="shared" si="44"/>
        <v>0</v>
      </c>
      <c r="U90" s="53"/>
      <c r="V90" s="72"/>
      <c r="W90" s="72"/>
      <c r="X90" s="72"/>
      <c r="Y90" s="72"/>
      <c r="Z90" s="72"/>
      <c r="AA90" s="72"/>
      <c r="AB90" s="72"/>
      <c r="AC90" s="72"/>
      <c r="AD90" s="72"/>
      <c r="AE90" s="72"/>
      <c r="AF90" s="72"/>
      <c r="AG90" s="72"/>
      <c r="AH90" s="72">
        <f t="shared" si="2"/>
        <v>15000</v>
      </c>
      <c r="AI90" s="71">
        <v>0</v>
      </c>
      <c r="AJ90" s="71">
        <v>15000</v>
      </c>
      <c r="AK90" s="71"/>
      <c r="AL90" s="71">
        <v>0</v>
      </c>
      <c r="AM90" s="71"/>
      <c r="AN90" s="72">
        <f t="shared" si="3"/>
        <v>75000</v>
      </c>
      <c r="AO90" s="71">
        <v>0</v>
      </c>
      <c r="AP90" s="71">
        <v>75000</v>
      </c>
      <c r="AQ90" s="71"/>
      <c r="AR90" s="71">
        <v>0</v>
      </c>
      <c r="AS90" s="71"/>
      <c r="AT90" s="71">
        <f t="shared" si="4"/>
        <v>75000</v>
      </c>
      <c r="AU90" s="71">
        <v>0</v>
      </c>
      <c r="AV90" s="71">
        <v>75000</v>
      </c>
      <c r="AW90" s="71"/>
      <c r="AX90" s="71">
        <v>0</v>
      </c>
      <c r="AY90" s="71"/>
      <c r="AZ90" s="71">
        <f t="shared" si="45"/>
        <v>0</v>
      </c>
      <c r="BA90" s="71">
        <v>0</v>
      </c>
      <c r="BB90" s="71">
        <v>0</v>
      </c>
      <c r="BC90" s="71"/>
      <c r="BD90" s="71">
        <v>0</v>
      </c>
      <c r="BE90" s="71"/>
      <c r="BF90" s="71">
        <f t="shared" si="6"/>
        <v>0</v>
      </c>
      <c r="BG90" s="71">
        <v>0</v>
      </c>
      <c r="BH90" s="71">
        <v>0</v>
      </c>
      <c r="BI90" s="71"/>
      <c r="BJ90" s="71">
        <v>0</v>
      </c>
      <c r="BK90" s="71"/>
      <c r="BL90" s="20"/>
    </row>
    <row r="91" spans="1:64" ht="72" x14ac:dyDescent="0.2">
      <c r="A91" s="69">
        <v>87</v>
      </c>
      <c r="B91" s="55" t="str">
        <f ca="1">IFERROR(__xludf.DUMMYFUNCTION("""COMPUTED_VALUE"""),"г.о. Богородский")</f>
        <v>г.о. Богородский</v>
      </c>
      <c r="C91" s="55" t="str">
        <f ca="1">IFERROR(__xludf.DUMMYFUNCTION("""COMPUTED_VALUE"""),"Мероприятие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f>
        <v>Мероприятие 2 - Субсидия  государственным унитарным предприятиям Московской области на осуществление строительства (реконструкции) объектов водоснабжения</v>
      </c>
      <c r="D91" s="55" t="str">
        <f ca="1">IFERROR(__xludf.DUMMYFUNCTION("""COMPUTED_VALUE"""),"МинЖКХ")</f>
        <v>МинЖКХ</v>
      </c>
      <c r="E91" s="54" t="s">
        <v>156</v>
      </c>
      <c r="F91" s="57" t="str">
        <f ca="1">IFERROR(__xludf.DUMMYFUNCTION("""COMPUTED_VALUE"""),"ВЗУ")</f>
        <v>ВЗУ</v>
      </c>
      <c r="G91" s="57" t="str">
        <f ca="1">IFERROR(__xludf.DUMMYFUNCTION("""COMPUTED_VALUE"""),"Н/Л")</f>
        <v>Н/Л</v>
      </c>
      <c r="H91" s="48"/>
      <c r="I91" s="48"/>
      <c r="J91" s="48"/>
      <c r="K91" s="48"/>
      <c r="L91" s="48"/>
      <c r="M91" s="48"/>
      <c r="N91" s="48" t="str">
        <f ca="1">IFERROR(__xludf.DUMMYFUNCTION("""COMPUTED_VALUE"""),"10 1 G5 52439")</f>
        <v>10 1 G5 52439</v>
      </c>
      <c r="O91" s="48">
        <f ca="1">IFERROR(__xludf.DUMMYFUNCTION("""COMPUTED_VALUE"""),460)</f>
        <v>460</v>
      </c>
      <c r="P91" s="73">
        <f t="shared" ref="P91:R91" si="94">SUM(AH91,AN91,AT91,AZ91,BF91)</f>
        <v>0</v>
      </c>
      <c r="Q91" s="73">
        <f t="shared" si="94"/>
        <v>0</v>
      </c>
      <c r="R91" s="73">
        <f t="shared" si="94"/>
        <v>0</v>
      </c>
      <c r="S91" s="56"/>
      <c r="T91" s="73">
        <f t="shared" si="44"/>
        <v>0</v>
      </c>
      <c r="U91" s="56"/>
      <c r="V91" s="73"/>
      <c r="W91" s="73"/>
      <c r="X91" s="73"/>
      <c r="Y91" s="73"/>
      <c r="Z91" s="73"/>
      <c r="AA91" s="73"/>
      <c r="AB91" s="73"/>
      <c r="AC91" s="73"/>
      <c r="AD91" s="73"/>
      <c r="AE91" s="73"/>
      <c r="AF91" s="73"/>
      <c r="AG91" s="73"/>
      <c r="AH91" s="73">
        <f t="shared" si="2"/>
        <v>0</v>
      </c>
      <c r="AI91" s="74">
        <v>0</v>
      </c>
      <c r="AJ91" s="74">
        <v>0</v>
      </c>
      <c r="AK91" s="74"/>
      <c r="AL91" s="74">
        <v>0</v>
      </c>
      <c r="AM91" s="74"/>
      <c r="AN91" s="73">
        <f t="shared" si="3"/>
        <v>0</v>
      </c>
      <c r="AO91" s="74">
        <v>0</v>
      </c>
      <c r="AP91" s="74">
        <v>0</v>
      </c>
      <c r="AQ91" s="74"/>
      <c r="AR91" s="74">
        <v>0</v>
      </c>
      <c r="AS91" s="74"/>
      <c r="AT91" s="74">
        <f t="shared" si="4"/>
        <v>0</v>
      </c>
      <c r="AU91" s="74">
        <v>0</v>
      </c>
      <c r="AV91" s="74">
        <v>0</v>
      </c>
      <c r="AW91" s="74"/>
      <c r="AX91" s="74">
        <v>0</v>
      </c>
      <c r="AY91" s="74"/>
      <c r="AZ91" s="74">
        <f t="shared" si="45"/>
        <v>0</v>
      </c>
      <c r="BA91" s="74">
        <v>0</v>
      </c>
      <c r="BB91" s="74">
        <v>0</v>
      </c>
      <c r="BC91" s="74"/>
      <c r="BD91" s="74">
        <v>0</v>
      </c>
      <c r="BE91" s="74"/>
      <c r="BF91" s="74">
        <f t="shared" si="6"/>
        <v>0</v>
      </c>
      <c r="BG91" s="74">
        <v>0</v>
      </c>
      <c r="BH91" s="74">
        <v>0</v>
      </c>
      <c r="BI91" s="74"/>
      <c r="BJ91" s="74">
        <v>0</v>
      </c>
      <c r="BK91" s="74"/>
      <c r="BL91" s="20"/>
    </row>
    <row r="92" spans="1:64" ht="60" x14ac:dyDescent="0.2">
      <c r="A92" s="69">
        <v>88</v>
      </c>
      <c r="B92" s="52" t="str">
        <f ca="1">IFERROR(__xludf.DUMMYFUNCTION("""COMPUTED_VALUE"""),"г.о. Можайск")</f>
        <v>г.о. Можайск</v>
      </c>
      <c r="C92"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2" s="52" t="str">
        <f ca="1">IFERROR(__xludf.DUMMYFUNCTION("""COMPUTED_VALUE"""),"МинЖКХ")</f>
        <v>МинЖКХ</v>
      </c>
      <c r="E92" s="28" t="s">
        <v>157</v>
      </c>
      <c r="F92" s="52" t="str">
        <f ca="1">IFERROR(__xludf.DUMMYFUNCTION("""COMPUTED_VALUE"""),"ВЗУ")</f>
        <v>ВЗУ</v>
      </c>
      <c r="G92" s="52">
        <f ca="1">IFERROR(__xludf.DUMMYFUNCTION("""COMPUTED_VALUE"""),2022)</f>
        <v>2022</v>
      </c>
      <c r="H92" s="48"/>
      <c r="I92" s="48" t="str">
        <f ca="1">IFERROR(__xludf.DUMMYFUNCTION("""COMPUTED_VALUE"""),"СМР")</f>
        <v>СМР</v>
      </c>
      <c r="J92" s="48"/>
      <c r="K92" s="48"/>
      <c r="L92" s="48"/>
      <c r="M92" s="48"/>
      <c r="N92" s="48" t="str">
        <f ca="1">IFERROR(__xludf.DUMMYFUNCTION("""COMPUTED_VALUE"""),"10 1 G552430")</f>
        <v>10 1 G552430</v>
      </c>
      <c r="O92" s="48">
        <f ca="1">IFERROR(__xludf.DUMMYFUNCTION("""COMPUTED_VALUE"""),410)</f>
        <v>410</v>
      </c>
      <c r="P92" s="72">
        <f t="shared" ref="P92:R92" si="95">SUM(AH92,AN92,AT92,AZ92,BF92)</f>
        <v>25750.67</v>
      </c>
      <c r="Q92" s="72">
        <f t="shared" si="95"/>
        <v>19313</v>
      </c>
      <c r="R92" s="72">
        <f t="shared" si="95"/>
        <v>6437.67</v>
      </c>
      <c r="S92" s="53"/>
      <c r="T92" s="72">
        <f t="shared" si="44"/>
        <v>0</v>
      </c>
      <c r="U92" s="53"/>
      <c r="V92" s="72"/>
      <c r="W92" s="72"/>
      <c r="X92" s="72"/>
      <c r="Y92" s="72"/>
      <c r="Z92" s="72"/>
      <c r="AA92" s="72"/>
      <c r="AB92" s="72"/>
      <c r="AC92" s="72"/>
      <c r="AD92" s="72"/>
      <c r="AE92" s="72"/>
      <c r="AF92" s="72"/>
      <c r="AG92" s="72"/>
      <c r="AH92" s="72">
        <f t="shared" si="2"/>
        <v>0</v>
      </c>
      <c r="AI92" s="71">
        <v>0</v>
      </c>
      <c r="AJ92" s="71">
        <v>0</v>
      </c>
      <c r="AK92" s="71"/>
      <c r="AL92" s="71">
        <v>0</v>
      </c>
      <c r="AM92" s="71"/>
      <c r="AN92" s="72">
        <f t="shared" si="3"/>
        <v>0</v>
      </c>
      <c r="AO92" s="71">
        <v>0</v>
      </c>
      <c r="AP92" s="71">
        <v>0</v>
      </c>
      <c r="AQ92" s="71"/>
      <c r="AR92" s="71">
        <v>0</v>
      </c>
      <c r="AS92" s="71"/>
      <c r="AT92" s="71">
        <f t="shared" si="4"/>
        <v>25750.67</v>
      </c>
      <c r="AU92" s="71">
        <v>19313</v>
      </c>
      <c r="AV92" s="71">
        <v>6437.67</v>
      </c>
      <c r="AW92" s="71"/>
      <c r="AX92" s="71">
        <v>0</v>
      </c>
      <c r="AY92" s="71"/>
      <c r="AZ92" s="71">
        <f t="shared" si="45"/>
        <v>0</v>
      </c>
      <c r="BA92" s="71">
        <v>0</v>
      </c>
      <c r="BB92" s="71">
        <v>0</v>
      </c>
      <c r="BC92" s="71"/>
      <c r="BD92" s="71">
        <v>0</v>
      </c>
      <c r="BE92" s="71"/>
      <c r="BF92" s="71">
        <f t="shared" si="6"/>
        <v>0</v>
      </c>
      <c r="BG92" s="71">
        <v>0</v>
      </c>
      <c r="BH92" s="71">
        <v>0</v>
      </c>
      <c r="BI92" s="71"/>
      <c r="BJ92" s="71">
        <v>0</v>
      </c>
      <c r="BK92" s="71"/>
      <c r="BL92" s="20"/>
    </row>
    <row r="93" spans="1:64" ht="60" x14ac:dyDescent="0.2">
      <c r="A93" s="69">
        <v>89</v>
      </c>
      <c r="B93" s="52" t="str">
        <f ca="1">IFERROR(__xludf.DUMMYFUNCTION("""COMPUTED_VALUE"""),"г.о. Можайск")</f>
        <v>г.о. Можайск</v>
      </c>
      <c r="C93"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3" s="52" t="str">
        <f ca="1">IFERROR(__xludf.DUMMYFUNCTION("""COMPUTED_VALUE"""),"МинЖКХ")</f>
        <v>МинЖКХ</v>
      </c>
      <c r="E93" s="28" t="s">
        <v>158</v>
      </c>
      <c r="F93" s="52" t="str">
        <f ca="1">IFERROR(__xludf.DUMMYFUNCTION("""COMPUTED_VALUE"""),"ВЗУ")</f>
        <v>ВЗУ</v>
      </c>
      <c r="G93" s="52">
        <f ca="1">IFERROR(__xludf.DUMMYFUNCTION("""COMPUTED_VALUE"""),2022)</f>
        <v>2022</v>
      </c>
      <c r="H93" s="48"/>
      <c r="I93" s="48" t="str">
        <f ca="1">IFERROR(__xludf.DUMMYFUNCTION("""COMPUTED_VALUE"""),"СМР")</f>
        <v>СМР</v>
      </c>
      <c r="J93" s="48"/>
      <c r="K93" s="48"/>
      <c r="L93" s="48"/>
      <c r="M93" s="48"/>
      <c r="N93" s="48" t="str">
        <f ca="1">IFERROR(__xludf.DUMMYFUNCTION("""COMPUTED_VALUE"""),"10 1 G552430")</f>
        <v>10 1 G552430</v>
      </c>
      <c r="O93" s="48">
        <f ca="1">IFERROR(__xludf.DUMMYFUNCTION("""COMPUTED_VALUE"""),410)</f>
        <v>410</v>
      </c>
      <c r="P93" s="72">
        <f t="shared" ref="P93:R93" si="96">SUM(AH93,AN93,AT93,AZ93,BF93)</f>
        <v>28417.33</v>
      </c>
      <c r="Q93" s="72">
        <f t="shared" si="96"/>
        <v>21313</v>
      </c>
      <c r="R93" s="72">
        <f t="shared" si="96"/>
        <v>7104.33</v>
      </c>
      <c r="S93" s="53"/>
      <c r="T93" s="72">
        <f t="shared" si="44"/>
        <v>0</v>
      </c>
      <c r="U93" s="53"/>
      <c r="V93" s="72"/>
      <c r="W93" s="72"/>
      <c r="X93" s="72"/>
      <c r="Y93" s="72"/>
      <c r="Z93" s="72"/>
      <c r="AA93" s="72"/>
      <c r="AB93" s="72"/>
      <c r="AC93" s="72"/>
      <c r="AD93" s="72"/>
      <c r="AE93" s="72"/>
      <c r="AF93" s="72"/>
      <c r="AG93" s="72"/>
      <c r="AH93" s="72">
        <f t="shared" si="2"/>
        <v>0</v>
      </c>
      <c r="AI93" s="71">
        <v>0</v>
      </c>
      <c r="AJ93" s="71">
        <v>0</v>
      </c>
      <c r="AK93" s="71"/>
      <c r="AL93" s="71">
        <v>0</v>
      </c>
      <c r="AM93" s="71"/>
      <c r="AN93" s="72">
        <f t="shared" si="3"/>
        <v>0</v>
      </c>
      <c r="AO93" s="71">
        <v>0</v>
      </c>
      <c r="AP93" s="71">
        <v>0</v>
      </c>
      <c r="AQ93" s="71"/>
      <c r="AR93" s="71">
        <v>0</v>
      </c>
      <c r="AS93" s="71"/>
      <c r="AT93" s="71">
        <f t="shared" si="4"/>
        <v>28417.33</v>
      </c>
      <c r="AU93" s="71">
        <v>21313</v>
      </c>
      <c r="AV93" s="71">
        <v>7104.33</v>
      </c>
      <c r="AW93" s="71"/>
      <c r="AX93" s="71">
        <v>0</v>
      </c>
      <c r="AY93" s="71"/>
      <c r="AZ93" s="71">
        <f t="shared" si="45"/>
        <v>0</v>
      </c>
      <c r="BA93" s="71">
        <v>0</v>
      </c>
      <c r="BB93" s="71">
        <v>0</v>
      </c>
      <c r="BC93" s="71"/>
      <c r="BD93" s="71">
        <v>0</v>
      </c>
      <c r="BE93" s="71"/>
      <c r="BF93" s="71">
        <f t="shared" si="6"/>
        <v>0</v>
      </c>
      <c r="BG93" s="71">
        <v>0</v>
      </c>
      <c r="BH93" s="71">
        <v>0</v>
      </c>
      <c r="BI93" s="71"/>
      <c r="BJ93" s="71">
        <v>0</v>
      </c>
      <c r="BK93" s="71"/>
      <c r="BL93" s="20"/>
    </row>
    <row r="94" spans="1:64" ht="60" x14ac:dyDescent="0.2">
      <c r="A94" s="69">
        <v>90</v>
      </c>
      <c r="B94" s="52" t="str">
        <f ca="1">IFERROR(__xludf.DUMMYFUNCTION("""COMPUTED_VALUE"""),"г.о. Можайск")</f>
        <v>г.о. Можайск</v>
      </c>
      <c r="C94"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4" s="52" t="str">
        <f ca="1">IFERROR(__xludf.DUMMYFUNCTION("""COMPUTED_VALUE"""),"МинЖКХ")</f>
        <v>МинЖКХ</v>
      </c>
      <c r="E94" s="28" t="s">
        <v>159</v>
      </c>
      <c r="F94" s="52" t="str">
        <f ca="1">IFERROR(__xludf.DUMMYFUNCTION("""COMPUTED_VALUE"""),"ВЗУ")</f>
        <v>ВЗУ</v>
      </c>
      <c r="G94" s="52">
        <f ca="1">IFERROR(__xludf.DUMMYFUNCTION("""COMPUTED_VALUE"""),2022)</f>
        <v>2022</v>
      </c>
      <c r="H94" s="48"/>
      <c r="I94" s="48" t="str">
        <f ca="1">IFERROR(__xludf.DUMMYFUNCTION("""COMPUTED_VALUE"""),"СМР")</f>
        <v>СМР</v>
      </c>
      <c r="J94" s="48"/>
      <c r="K94" s="48"/>
      <c r="L94" s="48"/>
      <c r="M94" s="48"/>
      <c r="N94" s="48" t="str">
        <f ca="1">IFERROR(__xludf.DUMMYFUNCTION("""COMPUTED_VALUE"""),"10 1 G552430")</f>
        <v>10 1 G552430</v>
      </c>
      <c r="O94" s="48">
        <f ca="1">IFERROR(__xludf.DUMMYFUNCTION("""COMPUTED_VALUE"""),410)</f>
        <v>410</v>
      </c>
      <c r="P94" s="72">
        <f t="shared" ref="P94:R94" si="97">SUM(AH94,AN94,AT94,AZ94,BF94)</f>
        <v>24954.67</v>
      </c>
      <c r="Q94" s="72">
        <f t="shared" si="97"/>
        <v>18716</v>
      </c>
      <c r="R94" s="72">
        <f t="shared" si="97"/>
        <v>6238.67</v>
      </c>
      <c r="S94" s="53"/>
      <c r="T94" s="72">
        <f t="shared" si="44"/>
        <v>0</v>
      </c>
      <c r="U94" s="53"/>
      <c r="V94" s="72"/>
      <c r="W94" s="72"/>
      <c r="X94" s="72"/>
      <c r="Y94" s="72"/>
      <c r="Z94" s="72"/>
      <c r="AA94" s="72"/>
      <c r="AB94" s="72"/>
      <c r="AC94" s="72"/>
      <c r="AD94" s="72"/>
      <c r="AE94" s="72"/>
      <c r="AF94" s="72"/>
      <c r="AG94" s="72"/>
      <c r="AH94" s="72">
        <f t="shared" si="2"/>
        <v>0</v>
      </c>
      <c r="AI94" s="71">
        <v>0</v>
      </c>
      <c r="AJ94" s="71">
        <v>0</v>
      </c>
      <c r="AK94" s="71"/>
      <c r="AL94" s="71">
        <v>0</v>
      </c>
      <c r="AM94" s="71"/>
      <c r="AN94" s="72">
        <f t="shared" si="3"/>
        <v>0</v>
      </c>
      <c r="AO94" s="71">
        <v>0</v>
      </c>
      <c r="AP94" s="71">
        <v>0</v>
      </c>
      <c r="AQ94" s="71"/>
      <c r="AR94" s="71">
        <v>0</v>
      </c>
      <c r="AS94" s="71"/>
      <c r="AT94" s="71">
        <f t="shared" si="4"/>
        <v>24954.67</v>
      </c>
      <c r="AU94" s="71">
        <v>18716</v>
      </c>
      <c r="AV94" s="71">
        <v>6238.67</v>
      </c>
      <c r="AW94" s="71"/>
      <c r="AX94" s="71">
        <v>0</v>
      </c>
      <c r="AY94" s="71"/>
      <c r="AZ94" s="71">
        <f t="shared" si="45"/>
        <v>0</v>
      </c>
      <c r="BA94" s="71">
        <v>0</v>
      </c>
      <c r="BB94" s="71">
        <v>0</v>
      </c>
      <c r="BC94" s="71"/>
      <c r="BD94" s="71">
        <v>0</v>
      </c>
      <c r="BE94" s="71"/>
      <c r="BF94" s="71">
        <f t="shared" si="6"/>
        <v>0</v>
      </c>
      <c r="BG94" s="71">
        <v>0</v>
      </c>
      <c r="BH94" s="71">
        <v>0</v>
      </c>
      <c r="BI94" s="71"/>
      <c r="BJ94" s="71">
        <v>0</v>
      </c>
      <c r="BK94" s="71"/>
      <c r="BL94" s="20"/>
    </row>
    <row r="95" spans="1:64" ht="60" x14ac:dyDescent="0.2">
      <c r="A95" s="69">
        <v>91</v>
      </c>
      <c r="B95" s="52" t="str">
        <f ca="1">IFERROR(__xludf.DUMMYFUNCTION("""COMPUTED_VALUE"""),"г.о. Можайск")</f>
        <v>г.о. Можайск</v>
      </c>
      <c r="C95"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5" s="52" t="str">
        <f ca="1">IFERROR(__xludf.DUMMYFUNCTION("""COMPUTED_VALUE"""),"МинЖКХ")</f>
        <v>МинЖКХ</v>
      </c>
      <c r="E95" s="28" t="s">
        <v>160</v>
      </c>
      <c r="F95" s="52" t="str">
        <f ca="1">IFERROR(__xludf.DUMMYFUNCTION("""COMPUTED_VALUE"""),"ВЗУ")</f>
        <v>ВЗУ</v>
      </c>
      <c r="G95" s="52">
        <f ca="1">IFERROR(__xludf.DUMMYFUNCTION("""COMPUTED_VALUE"""),2022)</f>
        <v>2022</v>
      </c>
      <c r="H95" s="48"/>
      <c r="I95" s="48" t="str">
        <f ca="1">IFERROR(__xludf.DUMMYFUNCTION("""COMPUTED_VALUE"""),"СМР")</f>
        <v>СМР</v>
      </c>
      <c r="J95" s="48"/>
      <c r="K95" s="48"/>
      <c r="L95" s="48"/>
      <c r="M95" s="48"/>
      <c r="N95" s="48" t="str">
        <f ca="1">IFERROR(__xludf.DUMMYFUNCTION("""COMPUTED_VALUE"""),"10 1 G552430")</f>
        <v>10 1 G552430</v>
      </c>
      <c r="O95" s="48">
        <f ca="1">IFERROR(__xludf.DUMMYFUNCTION("""COMPUTED_VALUE"""),410)</f>
        <v>410</v>
      </c>
      <c r="P95" s="72">
        <f t="shared" ref="P95:R95" si="98">SUM(AH95,AN95,AT95,AZ95,BF95)</f>
        <v>28875.870000000003</v>
      </c>
      <c r="Q95" s="72">
        <f t="shared" si="98"/>
        <v>21656.9</v>
      </c>
      <c r="R95" s="72">
        <f t="shared" si="98"/>
        <v>7218.97</v>
      </c>
      <c r="S95" s="53"/>
      <c r="T95" s="72">
        <f t="shared" si="44"/>
        <v>0</v>
      </c>
      <c r="U95" s="53"/>
      <c r="V95" s="72"/>
      <c r="W95" s="72"/>
      <c r="X95" s="72"/>
      <c r="Y95" s="72"/>
      <c r="Z95" s="72"/>
      <c r="AA95" s="72"/>
      <c r="AB95" s="72"/>
      <c r="AC95" s="72"/>
      <c r="AD95" s="72"/>
      <c r="AE95" s="72"/>
      <c r="AF95" s="72"/>
      <c r="AG95" s="72"/>
      <c r="AH95" s="72">
        <f t="shared" si="2"/>
        <v>0</v>
      </c>
      <c r="AI95" s="71">
        <v>0</v>
      </c>
      <c r="AJ95" s="71">
        <v>0</v>
      </c>
      <c r="AK95" s="71"/>
      <c r="AL95" s="71">
        <v>0</v>
      </c>
      <c r="AM95" s="71"/>
      <c r="AN95" s="72">
        <f t="shared" si="3"/>
        <v>0</v>
      </c>
      <c r="AO95" s="71">
        <v>0</v>
      </c>
      <c r="AP95" s="71">
        <v>0</v>
      </c>
      <c r="AQ95" s="71"/>
      <c r="AR95" s="71">
        <v>0</v>
      </c>
      <c r="AS95" s="71"/>
      <c r="AT95" s="71">
        <f t="shared" si="4"/>
        <v>28875.870000000003</v>
      </c>
      <c r="AU95" s="71">
        <v>21656.9</v>
      </c>
      <c r="AV95" s="71">
        <v>7218.97</v>
      </c>
      <c r="AW95" s="71"/>
      <c r="AX95" s="71">
        <v>0</v>
      </c>
      <c r="AY95" s="71"/>
      <c r="AZ95" s="71">
        <f t="shared" si="45"/>
        <v>0</v>
      </c>
      <c r="BA95" s="71">
        <v>0</v>
      </c>
      <c r="BB95" s="71">
        <v>0</v>
      </c>
      <c r="BC95" s="71"/>
      <c r="BD95" s="71">
        <v>0</v>
      </c>
      <c r="BE95" s="71"/>
      <c r="BF95" s="71">
        <f t="shared" si="6"/>
        <v>0</v>
      </c>
      <c r="BG95" s="71">
        <v>0</v>
      </c>
      <c r="BH95" s="71">
        <v>0</v>
      </c>
      <c r="BI95" s="71"/>
      <c r="BJ95" s="71">
        <v>0</v>
      </c>
      <c r="BK95" s="71"/>
      <c r="BL95" s="20"/>
    </row>
    <row r="96" spans="1:64" ht="60" x14ac:dyDescent="0.2">
      <c r="A96" s="69">
        <v>92</v>
      </c>
      <c r="B96" s="52" t="str">
        <f ca="1">IFERROR(__xludf.DUMMYFUNCTION("""COMPUTED_VALUE"""),"г.о. Можайск")</f>
        <v>г.о. Можайск</v>
      </c>
      <c r="C96"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6" s="52" t="str">
        <f ca="1">IFERROR(__xludf.DUMMYFUNCTION("""COMPUTED_VALUE"""),"МинЖКХ")</f>
        <v>МинЖКХ</v>
      </c>
      <c r="E96" s="28" t="s">
        <v>575</v>
      </c>
      <c r="F96" s="52" t="str">
        <f ca="1">IFERROR(__xludf.DUMMYFUNCTION("""COMPUTED_VALUE"""),"ВЗУ")</f>
        <v>ВЗУ</v>
      </c>
      <c r="G96" s="52">
        <f ca="1">IFERROR(__xludf.DUMMYFUNCTION("""COMPUTED_VALUE"""),2022)</f>
        <v>2022</v>
      </c>
      <c r="H96" s="48"/>
      <c r="I96" s="48" t="str">
        <f ca="1">IFERROR(__xludf.DUMMYFUNCTION("""COMPUTED_VALUE"""),"СМР")</f>
        <v>СМР</v>
      </c>
      <c r="J96" s="48"/>
      <c r="K96" s="48"/>
      <c r="L96" s="48"/>
      <c r="M96" s="48"/>
      <c r="N96" s="48" t="str">
        <f ca="1">IFERROR(__xludf.DUMMYFUNCTION("""COMPUTED_VALUE"""),"10 1 G552430")</f>
        <v>10 1 G552430</v>
      </c>
      <c r="O96" s="48">
        <f ca="1">IFERROR(__xludf.DUMMYFUNCTION("""COMPUTED_VALUE"""),410)</f>
        <v>410</v>
      </c>
      <c r="P96" s="72">
        <f t="shared" ref="P96:R96" si="99">SUM(AH96,AN96,AT96,AZ96,BF96)</f>
        <v>23084</v>
      </c>
      <c r="Q96" s="72">
        <f t="shared" si="99"/>
        <v>17313</v>
      </c>
      <c r="R96" s="72">
        <f t="shared" si="99"/>
        <v>5771</v>
      </c>
      <c r="S96" s="53"/>
      <c r="T96" s="72">
        <f t="shared" si="44"/>
        <v>0</v>
      </c>
      <c r="U96" s="53"/>
      <c r="V96" s="72"/>
      <c r="W96" s="72"/>
      <c r="X96" s="72"/>
      <c r="Y96" s="72"/>
      <c r="Z96" s="72"/>
      <c r="AA96" s="72"/>
      <c r="AB96" s="72"/>
      <c r="AC96" s="72"/>
      <c r="AD96" s="72"/>
      <c r="AE96" s="72"/>
      <c r="AF96" s="72"/>
      <c r="AG96" s="72"/>
      <c r="AH96" s="72">
        <f t="shared" si="2"/>
        <v>0</v>
      </c>
      <c r="AI96" s="71">
        <v>0</v>
      </c>
      <c r="AJ96" s="71">
        <v>0</v>
      </c>
      <c r="AK96" s="71"/>
      <c r="AL96" s="71">
        <v>0</v>
      </c>
      <c r="AM96" s="71"/>
      <c r="AN96" s="72">
        <f t="shared" si="3"/>
        <v>0</v>
      </c>
      <c r="AO96" s="71">
        <v>0</v>
      </c>
      <c r="AP96" s="71">
        <v>0</v>
      </c>
      <c r="AQ96" s="71"/>
      <c r="AR96" s="71">
        <v>0</v>
      </c>
      <c r="AS96" s="71"/>
      <c r="AT96" s="71">
        <f t="shared" si="4"/>
        <v>23084</v>
      </c>
      <c r="AU96" s="71">
        <v>17313</v>
      </c>
      <c r="AV96" s="71">
        <v>5771</v>
      </c>
      <c r="AW96" s="71"/>
      <c r="AX96" s="71">
        <v>0</v>
      </c>
      <c r="AY96" s="71"/>
      <c r="AZ96" s="71">
        <f t="shared" si="45"/>
        <v>0</v>
      </c>
      <c r="BA96" s="71">
        <v>0</v>
      </c>
      <c r="BB96" s="71">
        <v>0</v>
      </c>
      <c r="BC96" s="71"/>
      <c r="BD96" s="71">
        <v>0</v>
      </c>
      <c r="BE96" s="71"/>
      <c r="BF96" s="71">
        <f t="shared" si="6"/>
        <v>0</v>
      </c>
      <c r="BG96" s="71">
        <v>0</v>
      </c>
      <c r="BH96" s="71">
        <v>0</v>
      </c>
      <c r="BI96" s="71"/>
      <c r="BJ96" s="71">
        <v>0</v>
      </c>
      <c r="BK96" s="71"/>
      <c r="BL96" s="20"/>
    </row>
    <row r="97" spans="1:64" ht="60" x14ac:dyDescent="0.2">
      <c r="A97" s="69">
        <v>93</v>
      </c>
      <c r="B97" s="52" t="str">
        <f ca="1">IFERROR(__xludf.DUMMYFUNCTION("""COMPUTED_VALUE"""),"г.о. Можайск")</f>
        <v>г.о. Можайск</v>
      </c>
      <c r="C97"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7" s="52" t="str">
        <f ca="1">IFERROR(__xludf.DUMMYFUNCTION("""COMPUTED_VALUE"""),"МинЖКХ")</f>
        <v>МинЖКХ</v>
      </c>
      <c r="E97" s="28" t="s">
        <v>161</v>
      </c>
      <c r="F97" s="52" t="str">
        <f ca="1">IFERROR(__xludf.DUMMYFUNCTION("""COMPUTED_VALUE"""),"ВЗУ")</f>
        <v>ВЗУ</v>
      </c>
      <c r="G97" s="52">
        <f ca="1">IFERROR(__xludf.DUMMYFUNCTION("""COMPUTED_VALUE"""),2023)</f>
        <v>2023</v>
      </c>
      <c r="H97" s="48"/>
      <c r="I97" s="48" t="str">
        <f ca="1">IFERROR(__xludf.DUMMYFUNCTION("""COMPUTED_VALUE"""),"СМР")</f>
        <v>СМР</v>
      </c>
      <c r="J97" s="48"/>
      <c r="K97" s="48"/>
      <c r="L97" s="48"/>
      <c r="M97" s="48"/>
      <c r="N97" s="48" t="str">
        <f ca="1">IFERROR(__xludf.DUMMYFUNCTION("""COMPUTED_VALUE"""),"10 1 G552430")</f>
        <v>10 1 G552430</v>
      </c>
      <c r="O97" s="48">
        <f ca="1">IFERROR(__xludf.DUMMYFUNCTION("""COMPUTED_VALUE"""),410)</f>
        <v>410</v>
      </c>
      <c r="P97" s="72">
        <f t="shared" ref="P97:R97" si="100">SUM(AH97,AN97,AT97,AZ97,BF97)</f>
        <v>44580</v>
      </c>
      <c r="Q97" s="72">
        <f t="shared" si="100"/>
        <v>33435</v>
      </c>
      <c r="R97" s="72">
        <f t="shared" si="100"/>
        <v>11145</v>
      </c>
      <c r="S97" s="53"/>
      <c r="T97" s="72">
        <f t="shared" si="44"/>
        <v>0</v>
      </c>
      <c r="U97" s="53"/>
      <c r="V97" s="72"/>
      <c r="W97" s="72"/>
      <c r="X97" s="72"/>
      <c r="Y97" s="72"/>
      <c r="Z97" s="72"/>
      <c r="AA97" s="72"/>
      <c r="AB97" s="72"/>
      <c r="AC97" s="72"/>
      <c r="AD97" s="72"/>
      <c r="AE97" s="72"/>
      <c r="AF97" s="72"/>
      <c r="AG97" s="72"/>
      <c r="AH97" s="72">
        <f t="shared" si="2"/>
        <v>0</v>
      </c>
      <c r="AI97" s="71">
        <v>0</v>
      </c>
      <c r="AJ97" s="71">
        <v>0</v>
      </c>
      <c r="AK97" s="71"/>
      <c r="AL97" s="71">
        <v>0</v>
      </c>
      <c r="AM97" s="71"/>
      <c r="AN97" s="72">
        <f t="shared" si="3"/>
        <v>0</v>
      </c>
      <c r="AO97" s="71">
        <v>0</v>
      </c>
      <c r="AP97" s="71">
        <v>0</v>
      </c>
      <c r="AQ97" s="71"/>
      <c r="AR97" s="71">
        <v>0</v>
      </c>
      <c r="AS97" s="71"/>
      <c r="AT97" s="71">
        <f t="shared" si="4"/>
        <v>0</v>
      </c>
      <c r="AU97" s="71">
        <v>0</v>
      </c>
      <c r="AV97" s="71">
        <v>0</v>
      </c>
      <c r="AW97" s="71"/>
      <c r="AX97" s="71">
        <v>0</v>
      </c>
      <c r="AY97" s="71"/>
      <c r="AZ97" s="71">
        <f t="shared" si="45"/>
        <v>44580</v>
      </c>
      <c r="BA97" s="71">
        <v>33435</v>
      </c>
      <c r="BB97" s="71">
        <v>11145</v>
      </c>
      <c r="BC97" s="71"/>
      <c r="BD97" s="71">
        <v>0</v>
      </c>
      <c r="BE97" s="71"/>
      <c r="BF97" s="71">
        <f t="shared" si="6"/>
        <v>0</v>
      </c>
      <c r="BG97" s="71">
        <v>0</v>
      </c>
      <c r="BH97" s="71">
        <v>0</v>
      </c>
      <c r="BI97" s="71"/>
      <c r="BJ97" s="71">
        <v>0</v>
      </c>
      <c r="BK97" s="71"/>
      <c r="BL97" s="20"/>
    </row>
    <row r="98" spans="1:64" ht="60" x14ac:dyDescent="0.2">
      <c r="A98" s="69">
        <v>94</v>
      </c>
      <c r="B98" s="52" t="str">
        <f ca="1">IFERROR(__xludf.DUMMYFUNCTION("""COMPUTED_VALUE"""),"г.о. Можайск")</f>
        <v>г.о. Можайск</v>
      </c>
      <c r="C98"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8" s="52" t="str">
        <f ca="1">IFERROR(__xludf.DUMMYFUNCTION("""COMPUTED_VALUE"""),"МинЖКХ")</f>
        <v>МинЖКХ</v>
      </c>
      <c r="E98" s="28" t="s">
        <v>162</v>
      </c>
      <c r="F98" s="52" t="str">
        <f ca="1">IFERROR(__xludf.DUMMYFUNCTION("""COMPUTED_VALUE"""),"ВЗУ")</f>
        <v>ВЗУ</v>
      </c>
      <c r="G98" s="52">
        <f ca="1">IFERROR(__xludf.DUMMYFUNCTION("""COMPUTED_VALUE"""),2023)</f>
        <v>2023</v>
      </c>
      <c r="H98" s="48"/>
      <c r="I98" s="48" t="str">
        <f ca="1">IFERROR(__xludf.DUMMYFUNCTION("""COMPUTED_VALUE"""),"СМР")</f>
        <v>СМР</v>
      </c>
      <c r="J98" s="48"/>
      <c r="K98" s="48"/>
      <c r="L98" s="48"/>
      <c r="M98" s="48"/>
      <c r="N98" s="48" t="str">
        <f ca="1">IFERROR(__xludf.DUMMYFUNCTION("""COMPUTED_VALUE"""),"10 1 G552430")</f>
        <v>10 1 G552430</v>
      </c>
      <c r="O98" s="48">
        <f ca="1">IFERROR(__xludf.DUMMYFUNCTION("""COMPUTED_VALUE"""),410)</f>
        <v>410</v>
      </c>
      <c r="P98" s="72">
        <f t="shared" ref="P98:R98" si="101">SUM(AH98,AN98,AT98,AZ98,BF98)</f>
        <v>46809</v>
      </c>
      <c r="Q98" s="72">
        <f t="shared" si="101"/>
        <v>35106.75</v>
      </c>
      <c r="R98" s="72">
        <f t="shared" si="101"/>
        <v>11702.25</v>
      </c>
      <c r="S98" s="53"/>
      <c r="T98" s="72">
        <f t="shared" si="44"/>
        <v>0</v>
      </c>
      <c r="U98" s="53"/>
      <c r="V98" s="72"/>
      <c r="W98" s="72"/>
      <c r="X98" s="72"/>
      <c r="Y98" s="72"/>
      <c r="Z98" s="72"/>
      <c r="AA98" s="72"/>
      <c r="AB98" s="72"/>
      <c r="AC98" s="72"/>
      <c r="AD98" s="72"/>
      <c r="AE98" s="72"/>
      <c r="AF98" s="72"/>
      <c r="AG98" s="72"/>
      <c r="AH98" s="72">
        <f t="shared" si="2"/>
        <v>0</v>
      </c>
      <c r="AI98" s="71">
        <v>0</v>
      </c>
      <c r="AJ98" s="71">
        <v>0</v>
      </c>
      <c r="AK98" s="71"/>
      <c r="AL98" s="71">
        <v>0</v>
      </c>
      <c r="AM98" s="71"/>
      <c r="AN98" s="72">
        <f t="shared" si="3"/>
        <v>0</v>
      </c>
      <c r="AO98" s="71">
        <v>0</v>
      </c>
      <c r="AP98" s="71">
        <v>0</v>
      </c>
      <c r="AQ98" s="71"/>
      <c r="AR98" s="71">
        <v>0</v>
      </c>
      <c r="AS98" s="71"/>
      <c r="AT98" s="71">
        <f t="shared" si="4"/>
        <v>0</v>
      </c>
      <c r="AU98" s="71">
        <v>0</v>
      </c>
      <c r="AV98" s="71">
        <v>0</v>
      </c>
      <c r="AW98" s="71"/>
      <c r="AX98" s="71">
        <v>0</v>
      </c>
      <c r="AY98" s="71"/>
      <c r="AZ98" s="71">
        <f t="shared" si="45"/>
        <v>46809</v>
      </c>
      <c r="BA98" s="71">
        <v>35106.75</v>
      </c>
      <c r="BB98" s="71">
        <v>11702.25</v>
      </c>
      <c r="BC98" s="71"/>
      <c r="BD98" s="71">
        <v>0</v>
      </c>
      <c r="BE98" s="71"/>
      <c r="BF98" s="71">
        <f t="shared" si="6"/>
        <v>0</v>
      </c>
      <c r="BG98" s="71">
        <v>0</v>
      </c>
      <c r="BH98" s="71">
        <v>0</v>
      </c>
      <c r="BI98" s="71"/>
      <c r="BJ98" s="71">
        <v>0</v>
      </c>
      <c r="BK98" s="71"/>
      <c r="BL98" s="20"/>
    </row>
    <row r="99" spans="1:64" ht="60" x14ac:dyDescent="0.2">
      <c r="A99" s="69">
        <v>95</v>
      </c>
      <c r="B99" s="52" t="str">
        <f ca="1">IFERROR(__xludf.DUMMYFUNCTION("""COMPUTED_VALUE"""),"г.о. Можайск")</f>
        <v>г.о. Можайск</v>
      </c>
      <c r="C99"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99" s="52" t="str">
        <f ca="1">IFERROR(__xludf.DUMMYFUNCTION("""COMPUTED_VALUE"""),"МинЖКХ")</f>
        <v>МинЖКХ</v>
      </c>
      <c r="E99" s="28" t="s">
        <v>163</v>
      </c>
      <c r="F99" s="52" t="str">
        <f ca="1">IFERROR(__xludf.DUMMYFUNCTION("""COMPUTED_VALUE"""),"ВЗУ")</f>
        <v>ВЗУ</v>
      </c>
      <c r="G99" s="52">
        <f ca="1">IFERROR(__xludf.DUMMYFUNCTION("""COMPUTED_VALUE"""),2023)</f>
        <v>2023</v>
      </c>
      <c r="H99" s="48"/>
      <c r="I99" s="48" t="str">
        <f ca="1">IFERROR(__xludf.DUMMYFUNCTION("""COMPUTED_VALUE"""),"СМР")</f>
        <v>СМР</v>
      </c>
      <c r="J99" s="48"/>
      <c r="K99" s="48"/>
      <c r="L99" s="48"/>
      <c r="M99" s="48"/>
      <c r="N99" s="48" t="str">
        <f ca="1">IFERROR(__xludf.DUMMYFUNCTION("""COMPUTED_VALUE"""),"10 1 G552430")</f>
        <v>10 1 G552430</v>
      </c>
      <c r="O99" s="48">
        <f ca="1">IFERROR(__xludf.DUMMYFUNCTION("""COMPUTED_VALUE"""),410)</f>
        <v>410</v>
      </c>
      <c r="P99" s="72">
        <f t="shared" ref="P99:R99" si="102">SUM(AH99,AN99,AT99,AZ99,BF99)</f>
        <v>29645.71</v>
      </c>
      <c r="Q99" s="72">
        <f t="shared" si="102"/>
        <v>22234.28</v>
      </c>
      <c r="R99" s="72">
        <f t="shared" si="102"/>
        <v>7411.43</v>
      </c>
      <c r="S99" s="53"/>
      <c r="T99" s="72">
        <f t="shared" si="44"/>
        <v>0</v>
      </c>
      <c r="U99" s="53"/>
      <c r="V99" s="72"/>
      <c r="W99" s="72"/>
      <c r="X99" s="72"/>
      <c r="Y99" s="72"/>
      <c r="Z99" s="72"/>
      <c r="AA99" s="72"/>
      <c r="AB99" s="72"/>
      <c r="AC99" s="72"/>
      <c r="AD99" s="72"/>
      <c r="AE99" s="72"/>
      <c r="AF99" s="72"/>
      <c r="AG99" s="72"/>
      <c r="AH99" s="72">
        <f t="shared" si="2"/>
        <v>0</v>
      </c>
      <c r="AI99" s="71">
        <v>0</v>
      </c>
      <c r="AJ99" s="71">
        <v>0</v>
      </c>
      <c r="AK99" s="71"/>
      <c r="AL99" s="71">
        <v>0</v>
      </c>
      <c r="AM99" s="71"/>
      <c r="AN99" s="72">
        <f t="shared" si="3"/>
        <v>0</v>
      </c>
      <c r="AO99" s="71">
        <v>0</v>
      </c>
      <c r="AP99" s="71">
        <v>0</v>
      </c>
      <c r="AQ99" s="71"/>
      <c r="AR99" s="71">
        <v>0</v>
      </c>
      <c r="AS99" s="71"/>
      <c r="AT99" s="71">
        <f t="shared" si="4"/>
        <v>0</v>
      </c>
      <c r="AU99" s="71">
        <v>0</v>
      </c>
      <c r="AV99" s="71">
        <v>0</v>
      </c>
      <c r="AW99" s="71"/>
      <c r="AX99" s="71">
        <v>0</v>
      </c>
      <c r="AY99" s="71"/>
      <c r="AZ99" s="71">
        <f t="shared" si="45"/>
        <v>29645.71</v>
      </c>
      <c r="BA99" s="71">
        <v>22234.28</v>
      </c>
      <c r="BB99" s="71">
        <v>7411.43</v>
      </c>
      <c r="BC99" s="71"/>
      <c r="BD99" s="71">
        <v>0</v>
      </c>
      <c r="BE99" s="71"/>
      <c r="BF99" s="71">
        <f t="shared" si="6"/>
        <v>0</v>
      </c>
      <c r="BG99" s="71">
        <v>0</v>
      </c>
      <c r="BH99" s="71">
        <v>0</v>
      </c>
      <c r="BI99" s="71"/>
      <c r="BJ99" s="71">
        <v>0</v>
      </c>
      <c r="BK99" s="71"/>
      <c r="BL99" s="20"/>
    </row>
    <row r="100" spans="1:64" ht="60" x14ac:dyDescent="0.2">
      <c r="A100" s="69">
        <v>96</v>
      </c>
      <c r="B100" s="55" t="str">
        <f ca="1">IFERROR(__xludf.DUMMYFUNCTION("""COMPUTED_VALUE"""),"г.о. Можайск")</f>
        <v>г.о. Можайск</v>
      </c>
      <c r="C100" s="55"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0" s="55" t="str">
        <f ca="1">IFERROR(__xludf.DUMMYFUNCTION("""COMPUTED_VALUE"""),"МинЖКХ")</f>
        <v>МинЖКХ</v>
      </c>
      <c r="E100" s="54" t="s">
        <v>164</v>
      </c>
      <c r="F100" s="57" t="str">
        <f ca="1">IFERROR(__xludf.DUMMYFUNCTION("""COMPUTED_VALUE"""),"ВЗУ")</f>
        <v>ВЗУ</v>
      </c>
      <c r="G100" s="57" t="str">
        <f ca="1">IFERROR(__xludf.DUMMYFUNCTION("""COMPUTED_VALUE"""),"Н/Л")</f>
        <v>Н/Л</v>
      </c>
      <c r="H100" s="48"/>
      <c r="I100" s="48"/>
      <c r="J100" s="48"/>
      <c r="K100" s="48"/>
      <c r="L100" s="48"/>
      <c r="M100" s="48"/>
      <c r="N100" s="48" t="str">
        <f ca="1">IFERROR(__xludf.DUMMYFUNCTION("""COMPUTED_VALUE"""),"10 1 G552430")</f>
        <v>10 1 G552430</v>
      </c>
      <c r="O100" s="48">
        <f ca="1">IFERROR(__xludf.DUMMYFUNCTION("""COMPUTED_VALUE"""),410)</f>
        <v>410</v>
      </c>
      <c r="P100" s="73">
        <f t="shared" ref="P100:R100" si="103">SUM(AH100,AN100,AT100,AZ100,BF100)</f>
        <v>0</v>
      </c>
      <c r="Q100" s="73">
        <f t="shared" si="103"/>
        <v>0</v>
      </c>
      <c r="R100" s="73">
        <f t="shared" si="103"/>
        <v>0</v>
      </c>
      <c r="S100" s="56"/>
      <c r="T100" s="73">
        <f t="shared" si="44"/>
        <v>0</v>
      </c>
      <c r="U100" s="56"/>
      <c r="V100" s="73"/>
      <c r="W100" s="73"/>
      <c r="X100" s="73"/>
      <c r="Y100" s="73"/>
      <c r="Z100" s="73"/>
      <c r="AA100" s="73"/>
      <c r="AB100" s="73"/>
      <c r="AC100" s="73"/>
      <c r="AD100" s="73"/>
      <c r="AE100" s="73"/>
      <c r="AF100" s="73"/>
      <c r="AG100" s="73"/>
      <c r="AH100" s="73">
        <f t="shared" si="2"/>
        <v>0</v>
      </c>
      <c r="AI100" s="74">
        <v>0</v>
      </c>
      <c r="AJ100" s="74">
        <v>0</v>
      </c>
      <c r="AK100" s="74"/>
      <c r="AL100" s="74">
        <v>0</v>
      </c>
      <c r="AM100" s="74"/>
      <c r="AN100" s="73">
        <f t="shared" si="3"/>
        <v>0</v>
      </c>
      <c r="AO100" s="74">
        <v>0</v>
      </c>
      <c r="AP100" s="74">
        <v>0</v>
      </c>
      <c r="AQ100" s="74"/>
      <c r="AR100" s="74">
        <v>0</v>
      </c>
      <c r="AS100" s="74"/>
      <c r="AT100" s="74">
        <f t="shared" si="4"/>
        <v>0</v>
      </c>
      <c r="AU100" s="74">
        <v>0</v>
      </c>
      <c r="AV100" s="74">
        <v>0</v>
      </c>
      <c r="AW100" s="74"/>
      <c r="AX100" s="74">
        <v>0</v>
      </c>
      <c r="AY100" s="74"/>
      <c r="AZ100" s="74">
        <f t="shared" si="45"/>
        <v>0</v>
      </c>
      <c r="BA100" s="74">
        <v>0</v>
      </c>
      <c r="BB100" s="74">
        <v>0</v>
      </c>
      <c r="BC100" s="74"/>
      <c r="BD100" s="74">
        <v>0</v>
      </c>
      <c r="BE100" s="74"/>
      <c r="BF100" s="74">
        <f t="shared" si="6"/>
        <v>0</v>
      </c>
      <c r="BG100" s="74">
        <v>0</v>
      </c>
      <c r="BH100" s="74">
        <v>0</v>
      </c>
      <c r="BI100" s="74"/>
      <c r="BJ100" s="74">
        <v>0</v>
      </c>
      <c r="BK100" s="74"/>
      <c r="BL100" s="20"/>
    </row>
    <row r="101" spans="1:64" ht="60" x14ac:dyDescent="0.2">
      <c r="A101" s="69">
        <v>97</v>
      </c>
      <c r="B101" s="52" t="str">
        <f ca="1">IFERROR(__xludf.DUMMYFUNCTION("""COMPUTED_VALUE"""),"г.о. Можайск")</f>
        <v>г.о. Можайск</v>
      </c>
      <c r="C101"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1" s="52" t="str">
        <f ca="1">IFERROR(__xludf.DUMMYFUNCTION("""COMPUTED_VALUE"""),"МинЖКХ")</f>
        <v>МинЖКХ</v>
      </c>
      <c r="E101" s="28" t="s">
        <v>165</v>
      </c>
      <c r="F101" s="52" t="str">
        <f ca="1">IFERROR(__xludf.DUMMYFUNCTION("""COMPUTED_VALUE"""),"ВЗУ")</f>
        <v>ВЗУ</v>
      </c>
      <c r="G101" s="52">
        <f ca="1">IFERROR(__xludf.DUMMYFUNCTION("""COMPUTED_VALUE"""),2023)</f>
        <v>2023</v>
      </c>
      <c r="H101" s="48"/>
      <c r="I101" s="48" t="str">
        <f ca="1">IFERROR(__xludf.DUMMYFUNCTION("""COMPUTED_VALUE"""),"СМР")</f>
        <v>СМР</v>
      </c>
      <c r="J101" s="48"/>
      <c r="K101" s="48"/>
      <c r="L101" s="48"/>
      <c r="M101" s="48"/>
      <c r="N101" s="48" t="str">
        <f ca="1">IFERROR(__xludf.DUMMYFUNCTION("""COMPUTED_VALUE"""),"10 1 G552430")</f>
        <v>10 1 G552430</v>
      </c>
      <c r="O101" s="48">
        <f ca="1">IFERROR(__xludf.DUMMYFUNCTION("""COMPUTED_VALUE"""),410)</f>
        <v>410</v>
      </c>
      <c r="P101" s="72">
        <f t="shared" ref="P101:R101" si="104">SUM(AH101,AN101,AT101,AZ101,BF101)</f>
        <v>44580</v>
      </c>
      <c r="Q101" s="72">
        <f t="shared" si="104"/>
        <v>33435</v>
      </c>
      <c r="R101" s="72">
        <f t="shared" si="104"/>
        <v>11145</v>
      </c>
      <c r="S101" s="53"/>
      <c r="T101" s="72">
        <f t="shared" si="44"/>
        <v>0</v>
      </c>
      <c r="U101" s="53"/>
      <c r="V101" s="72"/>
      <c r="W101" s="72"/>
      <c r="X101" s="72"/>
      <c r="Y101" s="72"/>
      <c r="Z101" s="72"/>
      <c r="AA101" s="72"/>
      <c r="AB101" s="72"/>
      <c r="AC101" s="72"/>
      <c r="AD101" s="72"/>
      <c r="AE101" s="72"/>
      <c r="AF101" s="72"/>
      <c r="AG101" s="72"/>
      <c r="AH101" s="72">
        <f t="shared" si="2"/>
        <v>0</v>
      </c>
      <c r="AI101" s="71">
        <v>0</v>
      </c>
      <c r="AJ101" s="71">
        <v>0</v>
      </c>
      <c r="AK101" s="71"/>
      <c r="AL101" s="71">
        <v>0</v>
      </c>
      <c r="AM101" s="71"/>
      <c r="AN101" s="72">
        <f t="shared" si="3"/>
        <v>0</v>
      </c>
      <c r="AO101" s="71">
        <v>0</v>
      </c>
      <c r="AP101" s="71">
        <v>0</v>
      </c>
      <c r="AQ101" s="71"/>
      <c r="AR101" s="71">
        <v>0</v>
      </c>
      <c r="AS101" s="71"/>
      <c r="AT101" s="71">
        <f t="shared" si="4"/>
        <v>0</v>
      </c>
      <c r="AU101" s="71">
        <v>0</v>
      </c>
      <c r="AV101" s="71">
        <v>0</v>
      </c>
      <c r="AW101" s="71"/>
      <c r="AX101" s="71">
        <v>0</v>
      </c>
      <c r="AY101" s="71"/>
      <c r="AZ101" s="71">
        <f t="shared" si="45"/>
        <v>44580</v>
      </c>
      <c r="BA101" s="71">
        <v>33435</v>
      </c>
      <c r="BB101" s="71">
        <v>11145</v>
      </c>
      <c r="BC101" s="71"/>
      <c r="BD101" s="71">
        <v>0</v>
      </c>
      <c r="BE101" s="71"/>
      <c r="BF101" s="71">
        <f t="shared" si="6"/>
        <v>0</v>
      </c>
      <c r="BG101" s="71">
        <v>0</v>
      </c>
      <c r="BH101" s="71">
        <v>0</v>
      </c>
      <c r="BI101" s="71"/>
      <c r="BJ101" s="71">
        <v>0</v>
      </c>
      <c r="BK101" s="71"/>
      <c r="BL101" s="20"/>
    </row>
    <row r="102" spans="1:64" ht="60" x14ac:dyDescent="0.2">
      <c r="A102" s="69">
        <v>98</v>
      </c>
      <c r="B102" s="52" t="str">
        <f ca="1">IFERROR(__xludf.DUMMYFUNCTION("""COMPUTED_VALUE"""),"г.о. Можайск")</f>
        <v>г.о. Можайск</v>
      </c>
      <c r="C102"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2" s="52" t="str">
        <f ca="1">IFERROR(__xludf.DUMMYFUNCTION("""COMPUTED_VALUE"""),"МинЖКХ")</f>
        <v>МинЖКХ</v>
      </c>
      <c r="E102" s="28" t="s">
        <v>166</v>
      </c>
      <c r="F102" s="52" t="str">
        <f ca="1">IFERROR(__xludf.DUMMYFUNCTION("""COMPUTED_VALUE"""),"ВЗУ")</f>
        <v>ВЗУ</v>
      </c>
      <c r="G102" s="52">
        <f ca="1">IFERROR(__xludf.DUMMYFUNCTION("""COMPUTED_VALUE"""),2023)</f>
        <v>2023</v>
      </c>
      <c r="H102" s="48"/>
      <c r="I102" s="48" t="str">
        <f ca="1">IFERROR(__xludf.DUMMYFUNCTION("""COMPUTED_VALUE"""),"СМР")</f>
        <v>СМР</v>
      </c>
      <c r="J102" s="48"/>
      <c r="K102" s="48"/>
      <c r="L102" s="48"/>
      <c r="M102" s="48"/>
      <c r="N102" s="48" t="str">
        <f ca="1">IFERROR(__xludf.DUMMYFUNCTION("""COMPUTED_VALUE"""),"10 1 G552430")</f>
        <v>10 1 G552430</v>
      </c>
      <c r="O102" s="48">
        <f ca="1">IFERROR(__xludf.DUMMYFUNCTION("""COMPUTED_VALUE"""),410)</f>
        <v>410</v>
      </c>
      <c r="P102" s="72">
        <f t="shared" ref="P102:R102" si="105">SUM(AH102,AN102,AT102,AZ102,BF102)</f>
        <v>46809</v>
      </c>
      <c r="Q102" s="72">
        <f t="shared" si="105"/>
        <v>35106.75</v>
      </c>
      <c r="R102" s="72">
        <f t="shared" si="105"/>
        <v>11702.25</v>
      </c>
      <c r="S102" s="53"/>
      <c r="T102" s="72">
        <f t="shared" si="44"/>
        <v>0</v>
      </c>
      <c r="U102" s="53"/>
      <c r="V102" s="72"/>
      <c r="W102" s="72"/>
      <c r="X102" s="72"/>
      <c r="Y102" s="72"/>
      <c r="Z102" s="72"/>
      <c r="AA102" s="72"/>
      <c r="AB102" s="72"/>
      <c r="AC102" s="72"/>
      <c r="AD102" s="72"/>
      <c r="AE102" s="72"/>
      <c r="AF102" s="72"/>
      <c r="AG102" s="72"/>
      <c r="AH102" s="72">
        <f t="shared" si="2"/>
        <v>0</v>
      </c>
      <c r="AI102" s="71">
        <v>0</v>
      </c>
      <c r="AJ102" s="71">
        <v>0</v>
      </c>
      <c r="AK102" s="71"/>
      <c r="AL102" s="71">
        <v>0</v>
      </c>
      <c r="AM102" s="71"/>
      <c r="AN102" s="72">
        <f t="shared" si="3"/>
        <v>0</v>
      </c>
      <c r="AO102" s="71">
        <v>0</v>
      </c>
      <c r="AP102" s="71">
        <v>0</v>
      </c>
      <c r="AQ102" s="71"/>
      <c r="AR102" s="71">
        <v>0</v>
      </c>
      <c r="AS102" s="71"/>
      <c r="AT102" s="71">
        <f t="shared" si="4"/>
        <v>0</v>
      </c>
      <c r="AU102" s="71">
        <v>0</v>
      </c>
      <c r="AV102" s="71">
        <v>0</v>
      </c>
      <c r="AW102" s="71"/>
      <c r="AX102" s="71">
        <v>0</v>
      </c>
      <c r="AY102" s="71"/>
      <c r="AZ102" s="71">
        <f t="shared" si="45"/>
        <v>46809</v>
      </c>
      <c r="BA102" s="71">
        <v>35106.75</v>
      </c>
      <c r="BB102" s="71">
        <v>11702.25</v>
      </c>
      <c r="BC102" s="71"/>
      <c r="BD102" s="71">
        <v>0</v>
      </c>
      <c r="BE102" s="71"/>
      <c r="BF102" s="71">
        <f t="shared" si="6"/>
        <v>0</v>
      </c>
      <c r="BG102" s="71">
        <v>0</v>
      </c>
      <c r="BH102" s="71">
        <v>0</v>
      </c>
      <c r="BI102" s="71"/>
      <c r="BJ102" s="71">
        <v>0</v>
      </c>
      <c r="BK102" s="71"/>
      <c r="BL102" s="20"/>
    </row>
    <row r="103" spans="1:64" ht="60" x14ac:dyDescent="0.2">
      <c r="A103" s="69">
        <v>99</v>
      </c>
      <c r="B103" s="52" t="str">
        <f ca="1">IFERROR(__xludf.DUMMYFUNCTION("""COMPUTED_VALUE"""),"г.о. Можайск")</f>
        <v>г.о. Можайск</v>
      </c>
      <c r="C103"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3" s="52" t="str">
        <f ca="1">IFERROR(__xludf.DUMMYFUNCTION("""COMPUTED_VALUE"""),"МинЖКХ")</f>
        <v>МинЖКХ</v>
      </c>
      <c r="E103" s="28" t="s">
        <v>167</v>
      </c>
      <c r="F103" s="52" t="str">
        <f ca="1">IFERROR(__xludf.DUMMYFUNCTION("""COMPUTED_VALUE"""),"ВЗУ")</f>
        <v>ВЗУ</v>
      </c>
      <c r="G103" s="52">
        <f ca="1">IFERROR(__xludf.DUMMYFUNCTION("""COMPUTED_VALUE"""),2023)</f>
        <v>2023</v>
      </c>
      <c r="H103" s="48"/>
      <c r="I103" s="48" t="str">
        <f ca="1">IFERROR(__xludf.DUMMYFUNCTION("""COMPUTED_VALUE"""),"СМР")</f>
        <v>СМР</v>
      </c>
      <c r="J103" s="48"/>
      <c r="K103" s="48"/>
      <c r="L103" s="48"/>
      <c r="M103" s="48"/>
      <c r="N103" s="48" t="str">
        <f ca="1">IFERROR(__xludf.DUMMYFUNCTION("""COMPUTED_VALUE"""),"10 1 G552430")</f>
        <v>10 1 G552430</v>
      </c>
      <c r="O103" s="48">
        <f ca="1">IFERROR(__xludf.DUMMYFUNCTION("""COMPUTED_VALUE"""),410)</f>
        <v>410</v>
      </c>
      <c r="P103" s="72">
        <f t="shared" ref="P103:R103" si="106">SUM(AH103,AN103,AT103,AZ103,BF103)</f>
        <v>49038</v>
      </c>
      <c r="Q103" s="72">
        <f t="shared" si="106"/>
        <v>36778.5</v>
      </c>
      <c r="R103" s="72">
        <f t="shared" si="106"/>
        <v>12259.5</v>
      </c>
      <c r="S103" s="53"/>
      <c r="T103" s="72">
        <f t="shared" si="44"/>
        <v>0</v>
      </c>
      <c r="U103" s="53"/>
      <c r="V103" s="72"/>
      <c r="W103" s="72"/>
      <c r="X103" s="72"/>
      <c r="Y103" s="72"/>
      <c r="Z103" s="72"/>
      <c r="AA103" s="72"/>
      <c r="AB103" s="72"/>
      <c r="AC103" s="72"/>
      <c r="AD103" s="72"/>
      <c r="AE103" s="72"/>
      <c r="AF103" s="72"/>
      <c r="AG103" s="72"/>
      <c r="AH103" s="72">
        <f t="shared" si="2"/>
        <v>0</v>
      </c>
      <c r="AI103" s="71">
        <v>0</v>
      </c>
      <c r="AJ103" s="71">
        <v>0</v>
      </c>
      <c r="AK103" s="71"/>
      <c r="AL103" s="71">
        <v>0</v>
      </c>
      <c r="AM103" s="71"/>
      <c r="AN103" s="72">
        <f t="shared" si="3"/>
        <v>0</v>
      </c>
      <c r="AO103" s="71">
        <v>0</v>
      </c>
      <c r="AP103" s="71">
        <v>0</v>
      </c>
      <c r="AQ103" s="71"/>
      <c r="AR103" s="71">
        <v>0</v>
      </c>
      <c r="AS103" s="71"/>
      <c r="AT103" s="71">
        <f t="shared" si="4"/>
        <v>0</v>
      </c>
      <c r="AU103" s="71">
        <v>0</v>
      </c>
      <c r="AV103" s="71">
        <v>0</v>
      </c>
      <c r="AW103" s="71"/>
      <c r="AX103" s="71">
        <v>0</v>
      </c>
      <c r="AY103" s="71"/>
      <c r="AZ103" s="71">
        <f t="shared" si="45"/>
        <v>49038</v>
      </c>
      <c r="BA103" s="71">
        <v>36778.5</v>
      </c>
      <c r="BB103" s="71">
        <v>12259.5</v>
      </c>
      <c r="BC103" s="71"/>
      <c r="BD103" s="71">
        <v>0</v>
      </c>
      <c r="BE103" s="71"/>
      <c r="BF103" s="71">
        <f t="shared" si="6"/>
        <v>0</v>
      </c>
      <c r="BG103" s="71">
        <v>0</v>
      </c>
      <c r="BH103" s="71">
        <v>0</v>
      </c>
      <c r="BI103" s="71"/>
      <c r="BJ103" s="71">
        <v>0</v>
      </c>
      <c r="BK103" s="71"/>
      <c r="BL103" s="20"/>
    </row>
    <row r="104" spans="1:64" ht="60" x14ac:dyDescent="0.2">
      <c r="A104" s="69">
        <v>100</v>
      </c>
      <c r="B104" s="52" t="str">
        <f ca="1">IFERROR(__xludf.DUMMYFUNCTION("""COMPUTED_VALUE"""),"г.о. Можайск")</f>
        <v>г.о. Можайск</v>
      </c>
      <c r="C104"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4" s="52" t="str">
        <f ca="1">IFERROR(__xludf.DUMMYFUNCTION("""COMPUTED_VALUE"""),"МинЖКХ")</f>
        <v>МинЖКХ</v>
      </c>
      <c r="E104" s="28" t="s">
        <v>168</v>
      </c>
      <c r="F104" s="52" t="str">
        <f ca="1">IFERROR(__xludf.DUMMYFUNCTION("""COMPUTED_VALUE"""),"ВЗУ")</f>
        <v>ВЗУ</v>
      </c>
      <c r="G104" s="52">
        <f ca="1">IFERROR(__xludf.DUMMYFUNCTION("""COMPUTED_VALUE"""),2023)</f>
        <v>2023</v>
      </c>
      <c r="H104" s="48"/>
      <c r="I104" s="48" t="str">
        <f ca="1">IFERROR(__xludf.DUMMYFUNCTION("""COMPUTED_VALUE"""),"СМР")</f>
        <v>СМР</v>
      </c>
      <c r="J104" s="48"/>
      <c r="K104" s="48"/>
      <c r="L104" s="48"/>
      <c r="M104" s="48"/>
      <c r="N104" s="48" t="str">
        <f ca="1">IFERROR(__xludf.DUMMYFUNCTION("""COMPUTED_VALUE"""),"10 1 G552430")</f>
        <v>10 1 G552430</v>
      </c>
      <c r="O104" s="48">
        <f ca="1">IFERROR(__xludf.DUMMYFUNCTION("""COMPUTED_VALUE"""),410)</f>
        <v>410</v>
      </c>
      <c r="P104" s="72">
        <f t="shared" ref="P104:R104" si="107">SUM(AH104,AN104,AT104,AZ104,BF104)</f>
        <v>40865</v>
      </c>
      <c r="Q104" s="72">
        <f t="shared" si="107"/>
        <v>30648.75</v>
      </c>
      <c r="R104" s="72">
        <f t="shared" si="107"/>
        <v>10216.25</v>
      </c>
      <c r="S104" s="53"/>
      <c r="T104" s="72">
        <f t="shared" si="44"/>
        <v>0</v>
      </c>
      <c r="U104" s="53"/>
      <c r="V104" s="72"/>
      <c r="W104" s="72"/>
      <c r="X104" s="72"/>
      <c r="Y104" s="72"/>
      <c r="Z104" s="72"/>
      <c r="AA104" s="72"/>
      <c r="AB104" s="72"/>
      <c r="AC104" s="72"/>
      <c r="AD104" s="72"/>
      <c r="AE104" s="72"/>
      <c r="AF104" s="72"/>
      <c r="AG104" s="72"/>
      <c r="AH104" s="72">
        <f t="shared" si="2"/>
        <v>0</v>
      </c>
      <c r="AI104" s="71">
        <v>0</v>
      </c>
      <c r="AJ104" s="71">
        <v>0</v>
      </c>
      <c r="AK104" s="71"/>
      <c r="AL104" s="71">
        <v>0</v>
      </c>
      <c r="AM104" s="71"/>
      <c r="AN104" s="72">
        <f t="shared" si="3"/>
        <v>0</v>
      </c>
      <c r="AO104" s="71">
        <v>0</v>
      </c>
      <c r="AP104" s="71">
        <v>0</v>
      </c>
      <c r="AQ104" s="71"/>
      <c r="AR104" s="71">
        <v>0</v>
      </c>
      <c r="AS104" s="71"/>
      <c r="AT104" s="71">
        <f t="shared" si="4"/>
        <v>0</v>
      </c>
      <c r="AU104" s="71">
        <v>0</v>
      </c>
      <c r="AV104" s="71">
        <v>0</v>
      </c>
      <c r="AW104" s="71"/>
      <c r="AX104" s="71">
        <v>0</v>
      </c>
      <c r="AY104" s="71"/>
      <c r="AZ104" s="71">
        <f t="shared" si="45"/>
        <v>40865</v>
      </c>
      <c r="BA104" s="71">
        <v>30648.75</v>
      </c>
      <c r="BB104" s="71">
        <v>10216.25</v>
      </c>
      <c r="BC104" s="71"/>
      <c r="BD104" s="71">
        <v>0</v>
      </c>
      <c r="BE104" s="71"/>
      <c r="BF104" s="71">
        <f t="shared" si="6"/>
        <v>0</v>
      </c>
      <c r="BG104" s="71">
        <v>0</v>
      </c>
      <c r="BH104" s="71">
        <v>0</v>
      </c>
      <c r="BI104" s="71"/>
      <c r="BJ104" s="71">
        <v>0</v>
      </c>
      <c r="BK104" s="71"/>
      <c r="BL104" s="20"/>
    </row>
    <row r="105" spans="1:64" ht="60" x14ac:dyDescent="0.2">
      <c r="A105" s="69">
        <v>101</v>
      </c>
      <c r="B105" s="52" t="str">
        <f ca="1">IFERROR(__xludf.DUMMYFUNCTION("""COMPUTED_VALUE"""),"г.о. Можайск")</f>
        <v>г.о. Можайск</v>
      </c>
      <c r="C105" s="52"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105" s="52" t="str">
        <f ca="1">IFERROR(__xludf.DUMMYFUNCTION("""COMPUTED_VALUE"""),"МинЖКХ")</f>
        <v>МинЖКХ</v>
      </c>
      <c r="E105" s="28" t="s">
        <v>169</v>
      </c>
      <c r="F105" s="52" t="str">
        <f ca="1">IFERROR(__xludf.DUMMYFUNCTION("""COMPUTED_VALUE"""),"ВЗУ")</f>
        <v>ВЗУ</v>
      </c>
      <c r="G105" s="52">
        <f ca="1">IFERROR(__xludf.DUMMYFUNCTION("""COMPUTED_VALUE"""),2023)</f>
        <v>2023</v>
      </c>
      <c r="H105" s="48"/>
      <c r="I105" s="48" t="str">
        <f ca="1">IFERROR(__xludf.DUMMYFUNCTION("""COMPUTED_VALUE"""),"СМР")</f>
        <v>СМР</v>
      </c>
      <c r="J105" s="48"/>
      <c r="K105" s="48"/>
      <c r="L105" s="48"/>
      <c r="M105" s="48"/>
      <c r="N105" s="48" t="str">
        <f ca="1">IFERROR(__xludf.DUMMYFUNCTION("""COMPUTED_VALUE"""),"10 1 G552430")</f>
        <v>10 1 G552430</v>
      </c>
      <c r="O105" s="48">
        <f ca="1">IFERROR(__xludf.DUMMYFUNCTION("""COMPUTED_VALUE"""),410)</f>
        <v>410</v>
      </c>
      <c r="P105" s="72">
        <f t="shared" ref="P105:R105" si="108">SUM(AH105,AN105,AT105,AZ105,BF105)</f>
        <v>37407.97</v>
      </c>
      <c r="Q105" s="72">
        <f t="shared" si="108"/>
        <v>27980.98</v>
      </c>
      <c r="R105" s="72">
        <f t="shared" si="108"/>
        <v>9426.99</v>
      </c>
      <c r="S105" s="53"/>
      <c r="T105" s="72">
        <f t="shared" si="44"/>
        <v>0</v>
      </c>
      <c r="U105" s="53"/>
      <c r="V105" s="72"/>
      <c r="W105" s="72"/>
      <c r="X105" s="72"/>
      <c r="Y105" s="72"/>
      <c r="Z105" s="72"/>
      <c r="AA105" s="72"/>
      <c r="AB105" s="72"/>
      <c r="AC105" s="72"/>
      <c r="AD105" s="72"/>
      <c r="AE105" s="72"/>
      <c r="AF105" s="72"/>
      <c r="AG105" s="72"/>
      <c r="AH105" s="72">
        <f t="shared" si="2"/>
        <v>0</v>
      </c>
      <c r="AI105" s="71">
        <v>0</v>
      </c>
      <c r="AJ105" s="71">
        <v>0</v>
      </c>
      <c r="AK105" s="71"/>
      <c r="AL105" s="71">
        <v>0</v>
      </c>
      <c r="AM105" s="71"/>
      <c r="AN105" s="72">
        <f t="shared" si="3"/>
        <v>0</v>
      </c>
      <c r="AO105" s="71">
        <v>0</v>
      </c>
      <c r="AP105" s="71">
        <v>0</v>
      </c>
      <c r="AQ105" s="71"/>
      <c r="AR105" s="71">
        <v>0</v>
      </c>
      <c r="AS105" s="71"/>
      <c r="AT105" s="71">
        <f t="shared" si="4"/>
        <v>0</v>
      </c>
      <c r="AU105" s="71">
        <v>0</v>
      </c>
      <c r="AV105" s="71">
        <v>0</v>
      </c>
      <c r="AW105" s="71"/>
      <c r="AX105" s="71">
        <v>0</v>
      </c>
      <c r="AY105" s="71"/>
      <c r="AZ105" s="71">
        <f t="shared" si="45"/>
        <v>37407.97</v>
      </c>
      <c r="BA105" s="71">
        <v>27980.98</v>
      </c>
      <c r="BB105" s="71">
        <v>9426.99</v>
      </c>
      <c r="BC105" s="71"/>
      <c r="BD105" s="71">
        <v>0</v>
      </c>
      <c r="BE105" s="71"/>
      <c r="BF105" s="71">
        <f t="shared" si="6"/>
        <v>0</v>
      </c>
      <c r="BG105" s="71">
        <v>0</v>
      </c>
      <c r="BH105" s="71">
        <v>0</v>
      </c>
      <c r="BI105" s="71"/>
      <c r="BJ105" s="71">
        <v>0</v>
      </c>
      <c r="BK105" s="71"/>
      <c r="BL105" s="20"/>
    </row>
    <row r="106" spans="1:64" ht="60" x14ac:dyDescent="0.2">
      <c r="A106" s="69">
        <v>102</v>
      </c>
      <c r="B106" s="52" t="str">
        <f ca="1">IFERROR(__xludf.DUMMYFUNCTION("""COMPUTED_VALUE"""),"г.о. Можайск")</f>
        <v>г.о. Можайск</v>
      </c>
      <c r="C106" s="52"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6" s="52" t="str">
        <f ca="1">IFERROR(__xludf.DUMMYFUNCTION("""COMPUTED_VALUE"""),"МинЖКХ")</f>
        <v>МинЖКХ</v>
      </c>
      <c r="E106" s="28" t="s">
        <v>170</v>
      </c>
      <c r="F106" s="52" t="str">
        <f ca="1">IFERROR(__xludf.DUMMYFUNCTION("""COMPUTED_VALUE"""),"ВЗУ")</f>
        <v>ВЗУ</v>
      </c>
      <c r="G106" s="52">
        <f ca="1">IFERROR(__xludf.DUMMYFUNCTION("""COMPUTED_VALUE"""),2023)</f>
        <v>2023</v>
      </c>
      <c r="H106" s="48"/>
      <c r="I106" s="48" t="str">
        <f ca="1">IFERROR(__xludf.DUMMYFUNCTION("""COMPUTED_VALUE"""),"СМР")</f>
        <v>СМР</v>
      </c>
      <c r="J106" s="48"/>
      <c r="K106" s="48"/>
      <c r="L106" s="48"/>
      <c r="M106" s="48"/>
      <c r="N106" s="48" t="str">
        <f ca="1">IFERROR(__xludf.DUMMYFUNCTION("""COMPUTED_VALUE"""),"10 1 G552430")</f>
        <v>10 1 G552430</v>
      </c>
      <c r="O106" s="48">
        <f ca="1">IFERROR(__xludf.DUMMYFUNCTION("""COMPUTED_VALUE"""),414)</f>
        <v>414</v>
      </c>
      <c r="P106" s="72">
        <f t="shared" ref="P106:R106" si="109">SUM(AH106,AN106,AT106,AZ106,BF106)</f>
        <v>31206</v>
      </c>
      <c r="Q106" s="72">
        <f t="shared" si="109"/>
        <v>23404.5</v>
      </c>
      <c r="R106" s="72">
        <f t="shared" si="109"/>
        <v>7801.5</v>
      </c>
      <c r="S106" s="53"/>
      <c r="T106" s="72">
        <f t="shared" si="44"/>
        <v>0</v>
      </c>
      <c r="U106" s="53"/>
      <c r="V106" s="72"/>
      <c r="W106" s="72"/>
      <c r="X106" s="72"/>
      <c r="Y106" s="72"/>
      <c r="Z106" s="72"/>
      <c r="AA106" s="72"/>
      <c r="AB106" s="72"/>
      <c r="AC106" s="72"/>
      <c r="AD106" s="72"/>
      <c r="AE106" s="72"/>
      <c r="AF106" s="72"/>
      <c r="AG106" s="72"/>
      <c r="AH106" s="72">
        <f t="shared" si="2"/>
        <v>0</v>
      </c>
      <c r="AI106" s="71">
        <v>0</v>
      </c>
      <c r="AJ106" s="71">
        <v>0</v>
      </c>
      <c r="AK106" s="71"/>
      <c r="AL106" s="71">
        <v>0</v>
      </c>
      <c r="AM106" s="71"/>
      <c r="AN106" s="72">
        <f t="shared" si="3"/>
        <v>0</v>
      </c>
      <c r="AO106" s="71">
        <v>0</v>
      </c>
      <c r="AP106" s="71">
        <v>0</v>
      </c>
      <c r="AQ106" s="71"/>
      <c r="AR106" s="71">
        <v>0</v>
      </c>
      <c r="AS106" s="71"/>
      <c r="AT106" s="71">
        <f t="shared" si="4"/>
        <v>0</v>
      </c>
      <c r="AU106" s="71">
        <v>0</v>
      </c>
      <c r="AV106" s="71">
        <v>0</v>
      </c>
      <c r="AW106" s="71"/>
      <c r="AX106" s="71">
        <v>0</v>
      </c>
      <c r="AY106" s="71"/>
      <c r="AZ106" s="71">
        <f t="shared" si="45"/>
        <v>31206</v>
      </c>
      <c r="BA106" s="71">
        <v>23404.5</v>
      </c>
      <c r="BB106" s="71">
        <v>7801.5</v>
      </c>
      <c r="BC106" s="71"/>
      <c r="BD106" s="71">
        <v>0</v>
      </c>
      <c r="BE106" s="71"/>
      <c r="BF106" s="71">
        <f t="shared" si="6"/>
        <v>0</v>
      </c>
      <c r="BG106" s="71">
        <v>0</v>
      </c>
      <c r="BH106" s="71">
        <v>0</v>
      </c>
      <c r="BI106" s="71"/>
      <c r="BJ106" s="71">
        <v>0</v>
      </c>
      <c r="BK106" s="71"/>
      <c r="BL106" s="20"/>
    </row>
    <row r="107" spans="1:64" ht="60" x14ac:dyDescent="0.2">
      <c r="A107" s="69">
        <v>103</v>
      </c>
      <c r="B107" s="52" t="str">
        <f ca="1">IFERROR(__xludf.DUMMYFUNCTION("""COMPUTED_VALUE"""),"г.о. Можайск")</f>
        <v>г.о. Можайск</v>
      </c>
      <c r="C107" s="52"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7" s="52" t="str">
        <f ca="1">IFERROR(__xludf.DUMMYFUNCTION("""COMPUTED_VALUE"""),"МинЖКХ")</f>
        <v>МинЖКХ</v>
      </c>
      <c r="E107" s="28" t="s">
        <v>171</v>
      </c>
      <c r="F107" s="52" t="str">
        <f ca="1">IFERROR(__xludf.DUMMYFUNCTION("""COMPUTED_VALUE"""),"ВЗУ")</f>
        <v>ВЗУ</v>
      </c>
      <c r="G107" s="52">
        <f ca="1">IFERROR(__xludf.DUMMYFUNCTION("""COMPUTED_VALUE"""),2023)</f>
        <v>2023</v>
      </c>
      <c r="H107" s="48"/>
      <c r="I107" s="48" t="str">
        <f ca="1">IFERROR(__xludf.DUMMYFUNCTION("""COMPUTED_VALUE"""),"СМР")</f>
        <v>СМР</v>
      </c>
      <c r="J107" s="48"/>
      <c r="K107" s="48"/>
      <c r="L107" s="48"/>
      <c r="M107" s="48"/>
      <c r="N107" s="48" t="str">
        <f ca="1">IFERROR(__xludf.DUMMYFUNCTION("""COMPUTED_VALUE"""),"10 1 G552430")</f>
        <v>10 1 G552430</v>
      </c>
      <c r="O107" s="48">
        <f ca="1">IFERROR(__xludf.DUMMYFUNCTION("""COMPUTED_VALUE"""),414)</f>
        <v>414</v>
      </c>
      <c r="P107" s="72">
        <f t="shared" ref="P107:R107" si="110">SUM(AH107,AN107,AT107,AZ107,BF107)</f>
        <v>49038</v>
      </c>
      <c r="Q107" s="72">
        <f t="shared" si="110"/>
        <v>36778.5</v>
      </c>
      <c r="R107" s="72">
        <f t="shared" si="110"/>
        <v>12259.5</v>
      </c>
      <c r="S107" s="53"/>
      <c r="T107" s="72">
        <f t="shared" si="44"/>
        <v>0</v>
      </c>
      <c r="U107" s="53"/>
      <c r="V107" s="72"/>
      <c r="W107" s="72"/>
      <c r="X107" s="72"/>
      <c r="Y107" s="72"/>
      <c r="Z107" s="72"/>
      <c r="AA107" s="72"/>
      <c r="AB107" s="72"/>
      <c r="AC107" s="72"/>
      <c r="AD107" s="72"/>
      <c r="AE107" s="72"/>
      <c r="AF107" s="72"/>
      <c r="AG107" s="72"/>
      <c r="AH107" s="72">
        <f t="shared" si="2"/>
        <v>0</v>
      </c>
      <c r="AI107" s="71">
        <v>0</v>
      </c>
      <c r="AJ107" s="71">
        <v>0</v>
      </c>
      <c r="AK107" s="71"/>
      <c r="AL107" s="71">
        <v>0</v>
      </c>
      <c r="AM107" s="71"/>
      <c r="AN107" s="72">
        <f t="shared" si="3"/>
        <v>0</v>
      </c>
      <c r="AO107" s="71">
        <v>0</v>
      </c>
      <c r="AP107" s="71">
        <v>0</v>
      </c>
      <c r="AQ107" s="71"/>
      <c r="AR107" s="71">
        <v>0</v>
      </c>
      <c r="AS107" s="71"/>
      <c r="AT107" s="71">
        <f t="shared" si="4"/>
        <v>0</v>
      </c>
      <c r="AU107" s="71">
        <v>0</v>
      </c>
      <c r="AV107" s="71">
        <v>0</v>
      </c>
      <c r="AW107" s="71"/>
      <c r="AX107" s="71">
        <v>0</v>
      </c>
      <c r="AY107" s="71"/>
      <c r="AZ107" s="71">
        <f t="shared" si="45"/>
        <v>49038</v>
      </c>
      <c r="BA107" s="71">
        <v>36778.5</v>
      </c>
      <c r="BB107" s="71">
        <v>12259.5</v>
      </c>
      <c r="BC107" s="71"/>
      <c r="BD107" s="71">
        <v>0</v>
      </c>
      <c r="BE107" s="71"/>
      <c r="BF107" s="71">
        <f t="shared" si="6"/>
        <v>0</v>
      </c>
      <c r="BG107" s="71">
        <v>0</v>
      </c>
      <c r="BH107" s="71">
        <v>0</v>
      </c>
      <c r="BI107" s="71"/>
      <c r="BJ107" s="71">
        <v>0</v>
      </c>
      <c r="BK107" s="71"/>
      <c r="BL107" s="20"/>
    </row>
    <row r="108" spans="1:64" ht="60" x14ac:dyDescent="0.2">
      <c r="A108" s="69">
        <v>104</v>
      </c>
      <c r="B108" s="52" t="str">
        <f ca="1">IFERROR(__xludf.DUMMYFUNCTION("""COMPUTED_VALUE"""),"г.о. Можайск")</f>
        <v>г.о. Можайск</v>
      </c>
      <c r="C108" s="52" t="str">
        <f ca="1">IFERROR(__xludf.DUMMYFUNCTION("""COMPUTED_VALUE"""),"Мероприятие 3 - Финансовое обеспечение (возмещение) затрат, связанных со строительством и реконструкцией объектов водоснабжения")</f>
        <v>Мероприятие 3 - Финансовое обеспечение (возмещение) затрат, связанных со строительством и реконструкцией объектов водоснабжения</v>
      </c>
      <c r="D108" s="52" t="str">
        <f ca="1">IFERROR(__xludf.DUMMYFUNCTION("""COMPUTED_VALUE"""),"МинЖКХ")</f>
        <v>МинЖКХ</v>
      </c>
      <c r="E108" s="28" t="s">
        <v>164</v>
      </c>
      <c r="F108" s="52" t="str">
        <f ca="1">IFERROR(__xludf.DUMMYFUNCTION("""COMPUTED_VALUE"""),"ВЗУ")</f>
        <v>ВЗУ</v>
      </c>
      <c r="G108" s="52">
        <f ca="1">IFERROR(__xludf.DUMMYFUNCTION("""COMPUTED_VALUE"""),2023)</f>
        <v>2023</v>
      </c>
      <c r="H108" s="48"/>
      <c r="I108" s="48" t="str">
        <f ca="1">IFERROR(__xludf.DUMMYFUNCTION("""COMPUTED_VALUE"""),"СМР")</f>
        <v>СМР</v>
      </c>
      <c r="J108" s="48"/>
      <c r="K108" s="48"/>
      <c r="L108" s="48"/>
      <c r="M108" s="48"/>
      <c r="N108" s="48" t="str">
        <f ca="1">IFERROR(__xludf.DUMMYFUNCTION("""COMPUTED_VALUE"""),"10 1 G552430")</f>
        <v>10 1 G552430</v>
      </c>
      <c r="O108" s="48">
        <f ca="1">IFERROR(__xludf.DUMMYFUNCTION("""COMPUTED_VALUE"""),414)</f>
        <v>414</v>
      </c>
      <c r="P108" s="72">
        <f t="shared" ref="P108:R108" si="111">SUM(AH108,AN108,AT108,AZ108,BF108)</f>
        <v>44580</v>
      </c>
      <c r="Q108" s="72">
        <f t="shared" si="111"/>
        <v>33435</v>
      </c>
      <c r="R108" s="72">
        <f t="shared" si="111"/>
        <v>11145</v>
      </c>
      <c r="S108" s="53"/>
      <c r="T108" s="72">
        <f t="shared" si="44"/>
        <v>0</v>
      </c>
      <c r="U108" s="53"/>
      <c r="V108" s="72"/>
      <c r="W108" s="72"/>
      <c r="X108" s="72"/>
      <c r="Y108" s="72"/>
      <c r="Z108" s="72"/>
      <c r="AA108" s="72"/>
      <c r="AB108" s="72"/>
      <c r="AC108" s="72"/>
      <c r="AD108" s="72"/>
      <c r="AE108" s="72"/>
      <c r="AF108" s="72"/>
      <c r="AG108" s="72"/>
      <c r="AH108" s="72">
        <f t="shared" si="2"/>
        <v>0</v>
      </c>
      <c r="AI108" s="71">
        <v>0</v>
      </c>
      <c r="AJ108" s="71">
        <v>0</v>
      </c>
      <c r="AK108" s="71"/>
      <c r="AL108" s="71">
        <v>0</v>
      </c>
      <c r="AM108" s="71"/>
      <c r="AN108" s="72">
        <f t="shared" si="3"/>
        <v>0</v>
      </c>
      <c r="AO108" s="71">
        <v>0</v>
      </c>
      <c r="AP108" s="71">
        <v>0</v>
      </c>
      <c r="AQ108" s="71"/>
      <c r="AR108" s="71">
        <v>0</v>
      </c>
      <c r="AS108" s="71"/>
      <c r="AT108" s="71">
        <f t="shared" si="4"/>
        <v>0</v>
      </c>
      <c r="AU108" s="71">
        <v>0</v>
      </c>
      <c r="AV108" s="71">
        <v>0</v>
      </c>
      <c r="AW108" s="71"/>
      <c r="AX108" s="71">
        <v>0</v>
      </c>
      <c r="AY108" s="71"/>
      <c r="AZ108" s="71">
        <f t="shared" si="45"/>
        <v>44580</v>
      </c>
      <c r="BA108" s="71">
        <v>33435</v>
      </c>
      <c r="BB108" s="71">
        <v>11145</v>
      </c>
      <c r="BC108" s="71"/>
      <c r="BD108" s="71">
        <v>0</v>
      </c>
      <c r="BE108" s="71"/>
      <c r="BF108" s="71">
        <f t="shared" si="6"/>
        <v>0</v>
      </c>
      <c r="BG108" s="71">
        <v>0</v>
      </c>
      <c r="BH108" s="71">
        <v>0</v>
      </c>
      <c r="BI108" s="71"/>
      <c r="BJ108" s="71">
        <v>0</v>
      </c>
      <c r="BK108" s="71"/>
      <c r="BL108" s="20"/>
    </row>
    <row r="109" spans="1:64" ht="72" x14ac:dyDescent="0.2">
      <c r="A109" s="63">
        <v>105</v>
      </c>
      <c r="B109" s="61" t="str">
        <f ca="1">IFERROR(__xludf.DUMMYFUNCTION("""COMPUTED_VALUE"""),"г.о. Волоколамский")</f>
        <v>г.о. Волоколамский</v>
      </c>
      <c r="C109" s="61"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09" s="75" t="str">
        <f ca="1">IFERROR(__xludf.DUMMYFUNCTION("""COMPUTED_VALUE"""),"МинЖКХ")</f>
        <v>МинЖКХ</v>
      </c>
      <c r="E109" s="61" t="s">
        <v>172</v>
      </c>
      <c r="F109" s="61" t="str">
        <f ca="1">IFERROR(__xludf.DUMMYFUNCTION("""COMPUTED_VALUE"""),"ВЗУ")</f>
        <v>ВЗУ</v>
      </c>
      <c r="G109" s="61" t="str">
        <f ca="1">IFERROR(__xludf.DUMMYFUNCTION("""COMPUTED_VALUE"""),"2020-2022")</f>
        <v>2020-2022</v>
      </c>
      <c r="H109" s="76" t="str">
        <f ca="1">IFERROR(__xludf.DUMMYFUNCTION("""COMPUTED_VALUE"""),"До получения РС работы со стороны АО «Группа Компаний «ЕКС» приостановлены. Работы выполнены на 41 %.
Для получения РС требуется корректировка проекта")</f>
        <v>До получения РС работы со стороны АО «Группа Компаний «ЕКС» приостановлены. Работы выполнены на 41 %.
Для получения РС требуется корректировка проекта</v>
      </c>
      <c r="I109" s="76" t="str">
        <f ca="1">IFERROR(__xludf.DUMMYFUNCTION("""COMPUTED_VALUE"""),"СМР")</f>
        <v>СМР</v>
      </c>
      <c r="J109" s="77">
        <f ca="1">IFERROR(__xludf.DUMMYFUNCTION("""COMPUTED_VALUE"""),0.41)</f>
        <v>0.41</v>
      </c>
      <c r="K109" s="76">
        <f ca="1">IFERROR(__xludf.DUMMYFUNCTION("""COMPUTED_VALUE"""),0)</f>
        <v>0</v>
      </c>
      <c r="L109" s="76">
        <f ca="1">IFERROR(__xludf.DUMMYFUNCTION("""COMPUTED_VALUE"""),12500)</f>
        <v>12500</v>
      </c>
      <c r="M109" s="76"/>
      <c r="N109" s="76" t="str">
        <f ca="1">IFERROR(__xludf.DUMMYFUNCTION("""COMPUTED_VALUE"""),"10 1 02 64090")</f>
        <v>10 1 02 64090</v>
      </c>
      <c r="O109" s="76">
        <f ca="1">IFERROR(__xludf.DUMMYFUNCTION("""COMPUTED_VALUE"""),522)</f>
        <v>522</v>
      </c>
      <c r="P109" s="78">
        <f t="shared" ref="P109:T109" si="112">SUM(V109,AB109,AH109,AN109,AT109,AZ109,BF109)</f>
        <v>117684.46</v>
      </c>
      <c r="Q109" s="78">
        <f t="shared" si="112"/>
        <v>0</v>
      </c>
      <c r="R109" s="78">
        <f t="shared" si="112"/>
        <v>106620</v>
      </c>
      <c r="S109" s="78">
        <f t="shared" si="112"/>
        <v>0</v>
      </c>
      <c r="T109" s="78">
        <f t="shared" si="112"/>
        <v>11064.46</v>
      </c>
      <c r="U109" s="76"/>
      <c r="V109" s="78"/>
      <c r="W109" s="78"/>
      <c r="X109" s="78"/>
      <c r="Y109" s="78"/>
      <c r="Z109" s="78"/>
      <c r="AA109" s="78"/>
      <c r="AB109" s="78"/>
      <c r="AC109" s="79"/>
      <c r="AD109" s="79"/>
      <c r="AE109" s="79"/>
      <c r="AF109" s="79"/>
      <c r="AG109" s="79"/>
      <c r="AH109" s="79">
        <f t="shared" si="2"/>
        <v>7097.8</v>
      </c>
      <c r="AI109" s="79">
        <v>0</v>
      </c>
      <c r="AJ109" s="79">
        <v>7092</v>
      </c>
      <c r="AK109" s="79">
        <v>0</v>
      </c>
      <c r="AL109" s="79">
        <v>5.8</v>
      </c>
      <c r="AM109" s="79"/>
      <c r="AN109" s="78">
        <f t="shared" si="3"/>
        <v>69522.22</v>
      </c>
      <c r="AO109" s="79">
        <v>0</v>
      </c>
      <c r="AP109" s="79">
        <v>62570</v>
      </c>
      <c r="AQ109" s="79">
        <v>0</v>
      </c>
      <c r="AR109" s="79">
        <v>6952.22</v>
      </c>
      <c r="AS109" s="79"/>
      <c r="AT109" s="79">
        <f t="shared" si="4"/>
        <v>41064.44</v>
      </c>
      <c r="AU109" s="79">
        <v>0</v>
      </c>
      <c r="AV109" s="79">
        <v>36958</v>
      </c>
      <c r="AW109" s="79">
        <v>0</v>
      </c>
      <c r="AX109" s="79">
        <v>4106.4399999999996</v>
      </c>
      <c r="AY109" s="79"/>
      <c r="AZ109" s="79">
        <f t="shared" ref="AZ109:AZ121" si="113">SUM(BA109:BC109)</f>
        <v>0</v>
      </c>
      <c r="BA109" s="79">
        <v>0</v>
      </c>
      <c r="BB109" s="79">
        <v>0</v>
      </c>
      <c r="BC109" s="79">
        <v>0</v>
      </c>
      <c r="BD109" s="79">
        <v>0</v>
      </c>
      <c r="BE109" s="79"/>
      <c r="BF109" s="79">
        <f t="shared" si="6"/>
        <v>0</v>
      </c>
      <c r="BG109" s="79">
        <v>0</v>
      </c>
      <c r="BH109" s="79">
        <v>0</v>
      </c>
      <c r="BI109" s="79">
        <v>0</v>
      </c>
      <c r="BJ109" s="79">
        <v>0</v>
      </c>
      <c r="BK109" s="79"/>
      <c r="BL109" s="76"/>
    </row>
    <row r="110" spans="1:64" ht="108" x14ac:dyDescent="0.2">
      <c r="A110" s="69">
        <v>106</v>
      </c>
      <c r="B110" s="46" t="str">
        <f ca="1">IFERROR(__xludf.DUMMYFUNCTION("""COMPUTED_VALUE"""),"г.о. Луховицы")</f>
        <v>г.о. Луховицы</v>
      </c>
      <c r="C110"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0" s="52" t="str">
        <f ca="1">IFERROR(__xludf.DUMMYFUNCTION("""COMPUTED_VALUE"""),"МинЖКХ")</f>
        <v>МинЖКХ</v>
      </c>
      <c r="E110" s="45" t="s">
        <v>173</v>
      </c>
      <c r="F110" s="46" t="str">
        <f ca="1">IFERROR(__xludf.DUMMYFUNCTION("""COMPUTED_VALUE"""),"ВЗУ")</f>
        <v>ВЗУ</v>
      </c>
      <c r="G110" s="46">
        <f ca="1">IFERROR(__xludf.DUMMYFUNCTION("""COMPUTED_VALUE"""),2020)</f>
        <v>2020</v>
      </c>
      <c r="H110" s="48" t="str">
        <f ca="1">IFERROR(__xludf.DUMMYFUNCTION("""COMPUTED_VALUE"""),"Завершена вертикальная планировка, обустройство городка строителей, землянные работы. Осуществлено бурение скважины и тампонаж недействующей скважины. Завершены работы по устройству монолитной плиты под резервуар и скважину. Ведутся работы по устройству н"&amp;"адземной части здания скважины.")</f>
        <v>Завершена вертикальная планировка, обустройство городка строителей, землянные работы. Осуществлено бурение скважины и тампонаж недействующей скважины. Завершены работы по устройству монолитной плиты под резервуар и скважину. Ведутся работы по устройству надземной части здания скважины.</v>
      </c>
      <c r="I110" s="48" t="str">
        <f ca="1">IFERROR(__xludf.DUMMYFUNCTION("""COMPUTED_VALUE"""),"СМР")</f>
        <v>СМР</v>
      </c>
      <c r="J110" s="70">
        <f ca="1">IFERROR(__xludf.DUMMYFUNCTION("""COMPUTED_VALUE"""),0.35)</f>
        <v>0.35</v>
      </c>
      <c r="K110" s="48">
        <f ca="1">IFERROR(__xludf.DUMMYFUNCTION("""COMPUTED_VALUE"""),0)</f>
        <v>0</v>
      </c>
      <c r="L110" s="48">
        <f ca="1">IFERROR(__xludf.DUMMYFUNCTION("""COMPUTED_VALUE"""),140)</f>
        <v>140</v>
      </c>
      <c r="M110" s="48"/>
      <c r="N110" s="48" t="str">
        <f ca="1">IFERROR(__xludf.DUMMYFUNCTION("""COMPUTED_VALUE"""),"10 1 02 64090")</f>
        <v>10 1 02 64090</v>
      </c>
      <c r="O110" s="48">
        <f ca="1">IFERROR(__xludf.DUMMYFUNCTION("""COMPUTED_VALUE"""),522)</f>
        <v>522</v>
      </c>
      <c r="P110" s="24">
        <f t="shared" ref="P110:T110" si="114">SUM(V110,AB110,AH110,AN110,AT110,AZ110,BF110)</f>
        <v>25235.75</v>
      </c>
      <c r="Q110" s="24">
        <f t="shared" si="114"/>
        <v>0</v>
      </c>
      <c r="R110" s="24">
        <f t="shared" si="114"/>
        <v>22586</v>
      </c>
      <c r="S110" s="24">
        <f t="shared" si="114"/>
        <v>0</v>
      </c>
      <c r="T110" s="24">
        <f t="shared" si="114"/>
        <v>2649.75</v>
      </c>
      <c r="U110" s="20"/>
      <c r="V110" s="24"/>
      <c r="W110" s="24"/>
      <c r="X110" s="24"/>
      <c r="Y110" s="24"/>
      <c r="Z110" s="24"/>
      <c r="AA110" s="24"/>
      <c r="AB110" s="24"/>
      <c r="AC110" s="50"/>
      <c r="AD110" s="50"/>
      <c r="AE110" s="50"/>
      <c r="AF110" s="50"/>
      <c r="AG110" s="50"/>
      <c r="AH110" s="50">
        <f t="shared" si="2"/>
        <v>25235.75</v>
      </c>
      <c r="AI110" s="50">
        <v>0</v>
      </c>
      <c r="AJ110" s="50">
        <v>22586</v>
      </c>
      <c r="AK110" s="50">
        <v>0</v>
      </c>
      <c r="AL110" s="50">
        <v>2649.75</v>
      </c>
      <c r="AM110" s="50"/>
      <c r="AN110" s="24">
        <f t="shared" si="3"/>
        <v>0</v>
      </c>
      <c r="AO110" s="50">
        <v>0</v>
      </c>
      <c r="AP110" s="50">
        <v>0</v>
      </c>
      <c r="AQ110" s="50">
        <v>0</v>
      </c>
      <c r="AR110" s="50">
        <v>0</v>
      </c>
      <c r="AS110" s="50"/>
      <c r="AT110" s="50">
        <f t="shared" si="4"/>
        <v>0</v>
      </c>
      <c r="AU110" s="50">
        <v>0</v>
      </c>
      <c r="AV110" s="50">
        <v>0</v>
      </c>
      <c r="AW110" s="50">
        <v>0</v>
      </c>
      <c r="AX110" s="50">
        <v>0</v>
      </c>
      <c r="AY110" s="50"/>
      <c r="AZ110" s="50">
        <f t="shared" si="113"/>
        <v>0</v>
      </c>
      <c r="BA110" s="50">
        <v>0</v>
      </c>
      <c r="BB110" s="50">
        <v>0</v>
      </c>
      <c r="BC110" s="50">
        <v>0</v>
      </c>
      <c r="BD110" s="50">
        <v>0</v>
      </c>
      <c r="BE110" s="50"/>
      <c r="BF110" s="50">
        <f t="shared" si="6"/>
        <v>0</v>
      </c>
      <c r="BG110" s="50">
        <v>0</v>
      </c>
      <c r="BH110" s="50">
        <v>0</v>
      </c>
      <c r="BI110" s="50">
        <v>0</v>
      </c>
      <c r="BJ110" s="50">
        <v>0</v>
      </c>
      <c r="BK110" s="50"/>
      <c r="BL110" s="20"/>
    </row>
    <row r="111" spans="1:64" ht="180" x14ac:dyDescent="0.2">
      <c r="A111" s="69">
        <v>107</v>
      </c>
      <c r="B111" s="46" t="str">
        <f ca="1">IFERROR(__xludf.DUMMYFUNCTION("""COMPUTED_VALUE"""),"г.о. Можайск")</f>
        <v>г.о. Можайск</v>
      </c>
      <c r="C111"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1" s="52" t="str">
        <f ca="1">IFERROR(__xludf.DUMMYFUNCTION("""COMPUTED_VALUE"""),"МинЖКХ")</f>
        <v>МинЖКХ</v>
      </c>
      <c r="E111" s="45" t="s">
        <v>174</v>
      </c>
      <c r="F111" s="46" t="str">
        <f ca="1">IFERROR(__xludf.DUMMYFUNCTION("""COMPUTED_VALUE"""),"ВЗУ")</f>
        <v>ВЗУ</v>
      </c>
      <c r="G111" s="46">
        <f ca="1">IFERROR(__xludf.DUMMYFUNCTION("""COMPUTED_VALUE"""),2020)</f>
        <v>2020</v>
      </c>
      <c r="H111" s="48" t="str">
        <f ca="1">IFERROR(__xludf.DUMMYFUNCTION("""COMPUTED_VALUE"""),"Работы ведутся (75%), 
10.12 окончание,
получение  РС до 01.12, работы ведутся параллельно, причина длительного получения РС - Корректировка лицензии (Лицензия была, но при сдаче в ЦентрНедра на получение РС выяснилось, что скважины не бьются с Кадастровы"&amp;"м планом на 100 метров.
В связи с этим - сейчас все документы на обновление сданы в ЦН и ЦН направили необходимые запросы в сопряженные организации для обновления лицензии, часть ответов для обновления получены, часть находится на подготовке)")</f>
        <v>Работы ведутся (75%), 
10.12 окончание,
получение  РС до 01.12, работы ведутся параллельно, причина длительного получения РС - Корректировка лицензии (Лицензия была, но при сдаче в ЦентрНедра на получение РС выяснилось, что скважины не бьются с Кадастровым планом на 100 метров.
В связи с этим - сейчас все документы на обновление сданы в ЦН и ЦН направили необходимые запросы в сопряженные организации для обновления лицензии, часть ответов для обновления получены, часть находится на подготовке)</v>
      </c>
      <c r="I111" s="48" t="str">
        <f ca="1">IFERROR(__xludf.DUMMYFUNCTION("""COMPUTED_VALUE"""),"СМР")</f>
        <v>СМР</v>
      </c>
      <c r="J111" s="70">
        <f ca="1">IFERROR(__xludf.DUMMYFUNCTION("""COMPUTED_VALUE"""),0.7)</f>
        <v>0.7</v>
      </c>
      <c r="K111" s="48"/>
      <c r="L111" s="48"/>
      <c r="M111" s="48"/>
      <c r="N111" s="48" t="str">
        <f ca="1">IFERROR(__xludf.DUMMYFUNCTION("""COMPUTED_VALUE"""),"10 1 02 64090")</f>
        <v>10 1 02 64090</v>
      </c>
      <c r="O111" s="48">
        <f ca="1">IFERROR(__xludf.DUMMYFUNCTION("""COMPUTED_VALUE"""),522)</f>
        <v>522</v>
      </c>
      <c r="P111" s="24">
        <f t="shared" ref="P111:T111" si="115">SUM(V111,AB111,AH111,AN111,AT111,AZ111,BF111)</f>
        <v>38713.879999999997</v>
      </c>
      <c r="Q111" s="24">
        <f t="shared" si="115"/>
        <v>0</v>
      </c>
      <c r="R111" s="24">
        <f t="shared" si="115"/>
        <v>30816</v>
      </c>
      <c r="S111" s="24">
        <f t="shared" si="115"/>
        <v>0</v>
      </c>
      <c r="T111" s="24">
        <f t="shared" si="115"/>
        <v>7897.88</v>
      </c>
      <c r="U111" s="20"/>
      <c r="V111" s="24"/>
      <c r="W111" s="24"/>
      <c r="X111" s="24"/>
      <c r="Y111" s="24"/>
      <c r="Z111" s="24"/>
      <c r="AA111" s="24"/>
      <c r="AB111" s="24"/>
      <c r="AC111" s="50"/>
      <c r="AD111" s="50"/>
      <c r="AE111" s="50"/>
      <c r="AF111" s="50"/>
      <c r="AG111" s="50"/>
      <c r="AH111" s="50">
        <f t="shared" si="2"/>
        <v>38713.879999999997</v>
      </c>
      <c r="AI111" s="50">
        <v>0</v>
      </c>
      <c r="AJ111" s="50">
        <v>30816</v>
      </c>
      <c r="AK111" s="50">
        <v>0</v>
      </c>
      <c r="AL111" s="50">
        <v>7897.88</v>
      </c>
      <c r="AM111" s="50"/>
      <c r="AN111" s="24">
        <f t="shared" si="3"/>
        <v>0</v>
      </c>
      <c r="AO111" s="50">
        <v>0</v>
      </c>
      <c r="AP111" s="50">
        <v>0</v>
      </c>
      <c r="AQ111" s="50">
        <v>0</v>
      </c>
      <c r="AR111" s="50">
        <v>0</v>
      </c>
      <c r="AS111" s="50"/>
      <c r="AT111" s="50">
        <f t="shared" si="4"/>
        <v>0</v>
      </c>
      <c r="AU111" s="50">
        <v>0</v>
      </c>
      <c r="AV111" s="50">
        <v>0</v>
      </c>
      <c r="AW111" s="50">
        <v>0</v>
      </c>
      <c r="AX111" s="50">
        <v>0</v>
      </c>
      <c r="AY111" s="50"/>
      <c r="AZ111" s="50">
        <f t="shared" si="113"/>
        <v>0</v>
      </c>
      <c r="BA111" s="50">
        <v>0</v>
      </c>
      <c r="BB111" s="50">
        <v>0</v>
      </c>
      <c r="BC111" s="50">
        <v>0</v>
      </c>
      <c r="BD111" s="50">
        <v>0</v>
      </c>
      <c r="BE111" s="50"/>
      <c r="BF111" s="50">
        <f t="shared" si="6"/>
        <v>0</v>
      </c>
      <c r="BG111" s="50">
        <v>0</v>
      </c>
      <c r="BH111" s="50">
        <v>0</v>
      </c>
      <c r="BI111" s="50">
        <v>0</v>
      </c>
      <c r="BJ111" s="50">
        <v>0</v>
      </c>
      <c r="BK111" s="50"/>
      <c r="BL111" s="20"/>
    </row>
    <row r="112" spans="1:64" ht="72" x14ac:dyDescent="0.2">
      <c r="A112" s="69">
        <v>108</v>
      </c>
      <c r="B112" s="46" t="str">
        <f ca="1">IFERROR(__xludf.DUMMYFUNCTION("""COMPUTED_VALUE"""),"г.о. Воскресенск")</f>
        <v>г.о. Воскресенск</v>
      </c>
      <c r="C112"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2" s="52" t="str">
        <f ca="1">IFERROR(__xludf.DUMMYFUNCTION("""COMPUTED_VALUE"""),"МинЖКХ")</f>
        <v>МинЖКХ</v>
      </c>
      <c r="E112" s="45" t="s">
        <v>175</v>
      </c>
      <c r="F112" s="46" t="str">
        <f ca="1">IFERROR(__xludf.DUMMYFUNCTION("""COMPUTED_VALUE"""),"ВЗУ")</f>
        <v>ВЗУ</v>
      </c>
      <c r="G112" s="46">
        <f ca="1">IFERROR(__xludf.DUMMYFUNCTION("""COMPUTED_VALUE"""),2020)</f>
        <v>2020</v>
      </c>
      <c r="H112" s="48" t="str">
        <f ca="1">IFERROR(__xludf.DUMMYFUNCTION("""COMPUTED_VALUE"""),"Земельный поставлен на кадастровый учет.
Документация находится в МОГЭ. Выход из МОГЭ в 2021 году.")</f>
        <v>Земельный поставлен на кадастровый учет.
Документация находится в МОГЭ. Выход из МОГЭ в 2021 году.</v>
      </c>
      <c r="I112" s="48" t="str">
        <f ca="1">IFERROR(__xludf.DUMMYFUNCTION("""COMPUTED_VALUE"""),"СМР")</f>
        <v>СМР</v>
      </c>
      <c r="J112" s="70">
        <f ca="1">IFERROR(__xludf.DUMMYFUNCTION("""COMPUTED_VALUE"""),0.8)</f>
        <v>0.8</v>
      </c>
      <c r="K112" s="48">
        <f ca="1">IFERROR(__xludf.DUMMYFUNCTION("""COMPUTED_VALUE"""),587)</f>
        <v>587</v>
      </c>
      <c r="L112" s="48">
        <f ca="1">IFERROR(__xludf.DUMMYFUNCTION("""COMPUTED_VALUE"""),587)</f>
        <v>587</v>
      </c>
      <c r="M112" s="48"/>
      <c r="N112" s="48" t="str">
        <f ca="1">IFERROR(__xludf.DUMMYFUNCTION("""COMPUTED_VALUE"""),"10 1 02 64090")</f>
        <v>10 1 02 64090</v>
      </c>
      <c r="O112" s="48">
        <f ca="1">IFERROR(__xludf.DUMMYFUNCTION("""COMPUTED_VALUE"""),522)</f>
        <v>522</v>
      </c>
      <c r="P112" s="24">
        <f t="shared" ref="P112:T112" si="116">SUM(V112,AB112,AH112,AN112,AT112,AZ112,BF112)</f>
        <v>10226.450000000001</v>
      </c>
      <c r="Q112" s="24">
        <f t="shared" si="116"/>
        <v>0</v>
      </c>
      <c r="R112" s="24">
        <f t="shared" si="116"/>
        <v>9715</v>
      </c>
      <c r="S112" s="24">
        <f t="shared" si="116"/>
        <v>0</v>
      </c>
      <c r="T112" s="24">
        <f t="shared" si="116"/>
        <v>511.45</v>
      </c>
      <c r="U112" s="20"/>
      <c r="V112" s="24"/>
      <c r="W112" s="24"/>
      <c r="X112" s="24"/>
      <c r="Y112" s="24"/>
      <c r="Z112" s="24"/>
      <c r="AA112" s="24"/>
      <c r="AB112" s="24"/>
      <c r="AC112" s="50"/>
      <c r="AD112" s="50"/>
      <c r="AE112" s="50"/>
      <c r="AF112" s="50"/>
      <c r="AG112" s="50"/>
      <c r="AH112" s="50">
        <f t="shared" si="2"/>
        <v>10226.450000000001</v>
      </c>
      <c r="AI112" s="50">
        <v>0</v>
      </c>
      <c r="AJ112" s="50">
        <v>9715</v>
      </c>
      <c r="AK112" s="50">
        <v>0</v>
      </c>
      <c r="AL112" s="50">
        <v>511.45</v>
      </c>
      <c r="AM112" s="50"/>
      <c r="AN112" s="24">
        <f t="shared" si="3"/>
        <v>0</v>
      </c>
      <c r="AO112" s="50">
        <v>0</v>
      </c>
      <c r="AP112" s="50">
        <v>0</v>
      </c>
      <c r="AQ112" s="50">
        <v>0</v>
      </c>
      <c r="AR112" s="50">
        <v>0</v>
      </c>
      <c r="AS112" s="50"/>
      <c r="AT112" s="50">
        <f t="shared" si="4"/>
        <v>0</v>
      </c>
      <c r="AU112" s="50">
        <v>0</v>
      </c>
      <c r="AV112" s="50">
        <v>0</v>
      </c>
      <c r="AW112" s="50">
        <v>0</v>
      </c>
      <c r="AX112" s="50">
        <v>0</v>
      </c>
      <c r="AY112" s="50"/>
      <c r="AZ112" s="50">
        <f t="shared" si="113"/>
        <v>0</v>
      </c>
      <c r="BA112" s="50">
        <v>0</v>
      </c>
      <c r="BB112" s="50">
        <v>0</v>
      </c>
      <c r="BC112" s="50">
        <v>0</v>
      </c>
      <c r="BD112" s="50">
        <v>0</v>
      </c>
      <c r="BE112" s="50"/>
      <c r="BF112" s="50">
        <f t="shared" si="6"/>
        <v>0</v>
      </c>
      <c r="BG112" s="50">
        <v>0</v>
      </c>
      <c r="BH112" s="50">
        <v>0</v>
      </c>
      <c r="BI112" s="50">
        <v>0</v>
      </c>
      <c r="BJ112" s="50">
        <v>0</v>
      </c>
      <c r="BK112" s="50"/>
      <c r="BL112" s="20"/>
    </row>
    <row r="113" spans="1:64" ht="72" x14ac:dyDescent="0.2">
      <c r="A113" s="69">
        <v>109</v>
      </c>
      <c r="B113" s="48" t="str">
        <f ca="1">IFERROR(__xludf.DUMMYFUNCTION("""COMPUTED_VALUE"""),"г.о. Серпухов")</f>
        <v>г.о. Серпухов</v>
      </c>
      <c r="C113"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3" s="52" t="str">
        <f ca="1">IFERROR(__xludf.DUMMYFUNCTION("""COMPUTED_VALUE"""),"МинЖКХ")</f>
        <v>МинЖКХ</v>
      </c>
      <c r="E113" s="45" t="s">
        <v>176</v>
      </c>
      <c r="F113" s="46" t="str">
        <f ca="1">IFERROR(__xludf.DUMMYFUNCTION("""COMPUTED_VALUE"""),"ВЗУ")</f>
        <v>ВЗУ</v>
      </c>
      <c r="G113" s="46">
        <f ca="1">IFERROR(__xludf.DUMMYFUNCTION("""COMPUTED_VALUE"""),2022)</f>
        <v>2022</v>
      </c>
      <c r="H113" s="48" t="str">
        <f ca="1">IFERROR(__xludf.DUMMYFUNCTION("""COMPUTED_VALUE"""),"Контракт на ПИР не заключен.")</f>
        <v>Контракт на ПИР не заключен.</v>
      </c>
      <c r="I113" s="48" t="str">
        <f ca="1">IFERROR(__xludf.DUMMYFUNCTION("""COMPUTED_VALUE"""),"СМР")</f>
        <v>СМР</v>
      </c>
      <c r="J113" s="70">
        <f ca="1">IFERROR(__xludf.DUMMYFUNCTION("""COMPUTED_VALUE"""),0)</f>
        <v>0</v>
      </c>
      <c r="K113" s="48"/>
      <c r="L113" s="48"/>
      <c r="M113" s="48"/>
      <c r="N113" s="48" t="str">
        <f ca="1">IFERROR(__xludf.DUMMYFUNCTION("""COMPUTED_VALUE"""),"10 1 02 64090")</f>
        <v>10 1 02 64090</v>
      </c>
      <c r="O113" s="48">
        <f ca="1">IFERROR(__xludf.DUMMYFUNCTION("""COMPUTED_VALUE"""),522)</f>
        <v>522</v>
      </c>
      <c r="P113" s="24">
        <f t="shared" ref="P113:T113" si="117">SUM(V113,AB113,AH113,AN113,AT113,AZ113,BF113)</f>
        <v>14534.24</v>
      </c>
      <c r="Q113" s="24">
        <f t="shared" si="117"/>
        <v>0</v>
      </c>
      <c r="R113" s="24">
        <f t="shared" si="117"/>
        <v>12122</v>
      </c>
      <c r="S113" s="24">
        <f t="shared" si="117"/>
        <v>0</v>
      </c>
      <c r="T113" s="24">
        <f t="shared" si="117"/>
        <v>2412.2399999999998</v>
      </c>
      <c r="U113" s="20"/>
      <c r="V113" s="24"/>
      <c r="W113" s="24"/>
      <c r="X113" s="24"/>
      <c r="Y113" s="24"/>
      <c r="Z113" s="24"/>
      <c r="AA113" s="24"/>
      <c r="AB113" s="24"/>
      <c r="AC113" s="50"/>
      <c r="AD113" s="50"/>
      <c r="AE113" s="50"/>
      <c r="AF113" s="50"/>
      <c r="AG113" s="50"/>
      <c r="AH113" s="50">
        <f t="shared" si="2"/>
        <v>0</v>
      </c>
      <c r="AI113" s="50">
        <v>0</v>
      </c>
      <c r="AJ113" s="50">
        <v>0</v>
      </c>
      <c r="AK113" s="50">
        <v>0</v>
      </c>
      <c r="AL113" s="50">
        <v>0</v>
      </c>
      <c r="AM113" s="50"/>
      <c r="AN113" s="24">
        <f t="shared" si="3"/>
        <v>0</v>
      </c>
      <c r="AO113" s="50">
        <v>0</v>
      </c>
      <c r="AP113" s="50">
        <v>0</v>
      </c>
      <c r="AQ113" s="50">
        <v>0</v>
      </c>
      <c r="AR113" s="50">
        <v>0</v>
      </c>
      <c r="AS113" s="50"/>
      <c r="AT113" s="50">
        <f t="shared" si="4"/>
        <v>14534.24</v>
      </c>
      <c r="AU113" s="50">
        <v>0</v>
      </c>
      <c r="AV113" s="50">
        <v>12122</v>
      </c>
      <c r="AW113" s="50">
        <v>0</v>
      </c>
      <c r="AX113" s="50">
        <v>2412.2399999999998</v>
      </c>
      <c r="AY113" s="50"/>
      <c r="AZ113" s="50">
        <f t="shared" si="113"/>
        <v>0</v>
      </c>
      <c r="BA113" s="50">
        <v>0</v>
      </c>
      <c r="BB113" s="50">
        <v>0</v>
      </c>
      <c r="BC113" s="50">
        <v>0</v>
      </c>
      <c r="BD113" s="50">
        <v>0</v>
      </c>
      <c r="BE113" s="50"/>
      <c r="BF113" s="50">
        <f t="shared" si="6"/>
        <v>0</v>
      </c>
      <c r="BG113" s="50">
        <v>0</v>
      </c>
      <c r="BH113" s="50">
        <v>0</v>
      </c>
      <c r="BI113" s="50">
        <v>0</v>
      </c>
      <c r="BJ113" s="50">
        <v>0</v>
      </c>
      <c r="BK113" s="50"/>
      <c r="BL113" s="20"/>
    </row>
    <row r="114" spans="1:64" ht="72" x14ac:dyDescent="0.2">
      <c r="A114" s="69">
        <v>110</v>
      </c>
      <c r="B114" s="48" t="str">
        <f ca="1">IFERROR(__xludf.DUMMYFUNCTION("""COMPUTED_VALUE"""),"г.о. Серпухов")</f>
        <v>г.о. Серпухов</v>
      </c>
      <c r="C114"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4" s="52" t="str">
        <f ca="1">IFERROR(__xludf.DUMMYFUNCTION("""COMPUTED_VALUE"""),"МинЖКХ")</f>
        <v>МинЖКХ</v>
      </c>
      <c r="E114" s="45" t="s">
        <v>177</v>
      </c>
      <c r="F114" s="46" t="str">
        <f ca="1">IFERROR(__xludf.DUMMYFUNCTION("""COMPUTED_VALUE"""),"ВЗУ")</f>
        <v>ВЗУ</v>
      </c>
      <c r="G114" s="46">
        <f ca="1">IFERROR(__xludf.DUMMYFUNCTION("""COMPUTED_VALUE"""),2022)</f>
        <v>2022</v>
      </c>
      <c r="H114" s="48" t="str">
        <f ca="1">IFERROR(__xludf.DUMMYFUNCTION("""COMPUTED_VALUE"""),"Контракт на ПИР не заключен.")</f>
        <v>Контракт на ПИР не заключен.</v>
      </c>
      <c r="I114" s="48" t="str">
        <f ca="1">IFERROR(__xludf.DUMMYFUNCTION("""COMPUTED_VALUE"""),"СМР")</f>
        <v>СМР</v>
      </c>
      <c r="J114" s="70">
        <f ca="1">IFERROR(__xludf.DUMMYFUNCTION("""COMPUTED_VALUE"""),0)</f>
        <v>0</v>
      </c>
      <c r="K114" s="48"/>
      <c r="L114" s="48"/>
      <c r="M114" s="48"/>
      <c r="N114" s="48" t="str">
        <f ca="1">IFERROR(__xludf.DUMMYFUNCTION("""COMPUTED_VALUE"""),"10 1 02 64090")</f>
        <v>10 1 02 64090</v>
      </c>
      <c r="O114" s="48">
        <f ca="1">IFERROR(__xludf.DUMMYFUNCTION("""COMPUTED_VALUE"""),522)</f>
        <v>522</v>
      </c>
      <c r="P114" s="24">
        <f t="shared" ref="P114:T114" si="118">SUM(V114,AB114,AH114,AN114,AT114,AZ114,BF114)</f>
        <v>8968.369999999999</v>
      </c>
      <c r="Q114" s="24">
        <f t="shared" si="118"/>
        <v>0</v>
      </c>
      <c r="R114" s="24">
        <f t="shared" si="118"/>
        <v>7408</v>
      </c>
      <c r="S114" s="24">
        <f t="shared" si="118"/>
        <v>0</v>
      </c>
      <c r="T114" s="24">
        <f t="shared" si="118"/>
        <v>1560.37</v>
      </c>
      <c r="U114" s="20"/>
      <c r="V114" s="24"/>
      <c r="W114" s="24"/>
      <c r="X114" s="24"/>
      <c r="Y114" s="24"/>
      <c r="Z114" s="24"/>
      <c r="AA114" s="24"/>
      <c r="AB114" s="24"/>
      <c r="AC114" s="50"/>
      <c r="AD114" s="50"/>
      <c r="AE114" s="50"/>
      <c r="AF114" s="50"/>
      <c r="AG114" s="50"/>
      <c r="AH114" s="50">
        <f t="shared" si="2"/>
        <v>0</v>
      </c>
      <c r="AI114" s="50">
        <v>0</v>
      </c>
      <c r="AJ114" s="50">
        <v>0</v>
      </c>
      <c r="AK114" s="50">
        <v>0</v>
      </c>
      <c r="AL114" s="50">
        <v>0</v>
      </c>
      <c r="AM114" s="50"/>
      <c r="AN114" s="24">
        <f t="shared" si="3"/>
        <v>0</v>
      </c>
      <c r="AO114" s="50">
        <v>0</v>
      </c>
      <c r="AP114" s="50">
        <v>0</v>
      </c>
      <c r="AQ114" s="50">
        <v>0</v>
      </c>
      <c r="AR114" s="50">
        <v>0</v>
      </c>
      <c r="AS114" s="50"/>
      <c r="AT114" s="50">
        <f t="shared" si="4"/>
        <v>8968.369999999999</v>
      </c>
      <c r="AU114" s="50">
        <v>0</v>
      </c>
      <c r="AV114" s="50">
        <v>7408</v>
      </c>
      <c r="AW114" s="50">
        <v>0</v>
      </c>
      <c r="AX114" s="50">
        <v>1560.37</v>
      </c>
      <c r="AY114" s="50"/>
      <c r="AZ114" s="50">
        <f t="shared" si="113"/>
        <v>0</v>
      </c>
      <c r="BA114" s="50">
        <v>0</v>
      </c>
      <c r="BB114" s="50">
        <v>0</v>
      </c>
      <c r="BC114" s="50">
        <v>0</v>
      </c>
      <c r="BD114" s="50">
        <v>0</v>
      </c>
      <c r="BE114" s="50"/>
      <c r="BF114" s="50">
        <f t="shared" si="6"/>
        <v>0</v>
      </c>
      <c r="BG114" s="50">
        <v>0</v>
      </c>
      <c r="BH114" s="50">
        <v>0</v>
      </c>
      <c r="BI114" s="50">
        <v>0</v>
      </c>
      <c r="BJ114" s="50">
        <v>0</v>
      </c>
      <c r="BK114" s="50"/>
      <c r="BL114" s="20"/>
    </row>
    <row r="115" spans="1:64" ht="72" x14ac:dyDescent="0.2">
      <c r="A115" s="69">
        <v>111</v>
      </c>
      <c r="B115" s="48" t="str">
        <f ca="1">IFERROR(__xludf.DUMMYFUNCTION("""COMPUTED_VALUE"""),"г.о. Серпухов")</f>
        <v>г.о. Серпухов</v>
      </c>
      <c r="C115"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5" s="52" t="str">
        <f ca="1">IFERROR(__xludf.DUMMYFUNCTION("""COMPUTED_VALUE"""),"МинЖКХ")</f>
        <v>МинЖКХ</v>
      </c>
      <c r="E115" s="45" t="s">
        <v>178</v>
      </c>
      <c r="F115" s="46" t="str">
        <f ca="1">IFERROR(__xludf.DUMMYFUNCTION("""COMPUTED_VALUE"""),"ВЗУ")</f>
        <v>ВЗУ</v>
      </c>
      <c r="G115" s="46">
        <f ca="1">IFERROR(__xludf.DUMMYFUNCTION("""COMPUTED_VALUE"""),2022)</f>
        <v>2022</v>
      </c>
      <c r="H115" s="48" t="str">
        <f ca="1">IFERROR(__xludf.DUMMYFUNCTION("""COMPUTED_VALUE"""),"Контракт на ПИР не заключен.")</f>
        <v>Контракт на ПИР не заключен.</v>
      </c>
      <c r="I115" s="48" t="str">
        <f ca="1">IFERROR(__xludf.DUMMYFUNCTION("""COMPUTED_VALUE"""),"СМР")</f>
        <v>СМР</v>
      </c>
      <c r="J115" s="70">
        <f ca="1">IFERROR(__xludf.DUMMYFUNCTION("""COMPUTED_VALUE"""),0)</f>
        <v>0</v>
      </c>
      <c r="K115" s="48"/>
      <c r="L115" s="48"/>
      <c r="M115" s="48"/>
      <c r="N115" s="48" t="str">
        <f ca="1">IFERROR(__xludf.DUMMYFUNCTION("""COMPUTED_VALUE"""),"10 1 02 64090")</f>
        <v>10 1 02 64090</v>
      </c>
      <c r="O115" s="48">
        <f ca="1">IFERROR(__xludf.DUMMYFUNCTION("""COMPUTED_VALUE"""),522)</f>
        <v>522</v>
      </c>
      <c r="P115" s="24">
        <f t="shared" ref="P115:T115" si="119">SUM(V115,AB115,AH115,AN115,AT115,AZ115,BF115)</f>
        <v>35380</v>
      </c>
      <c r="Q115" s="24">
        <f t="shared" si="119"/>
        <v>0</v>
      </c>
      <c r="R115" s="24">
        <f t="shared" si="119"/>
        <v>29295</v>
      </c>
      <c r="S115" s="24">
        <f t="shared" si="119"/>
        <v>0</v>
      </c>
      <c r="T115" s="24">
        <f t="shared" si="119"/>
        <v>6085</v>
      </c>
      <c r="U115" s="20"/>
      <c r="V115" s="24"/>
      <c r="W115" s="24"/>
      <c r="X115" s="24"/>
      <c r="Y115" s="24"/>
      <c r="Z115" s="24"/>
      <c r="AA115" s="24"/>
      <c r="AB115" s="24"/>
      <c r="AC115" s="50"/>
      <c r="AD115" s="50"/>
      <c r="AE115" s="50"/>
      <c r="AF115" s="50"/>
      <c r="AG115" s="50"/>
      <c r="AH115" s="50">
        <f t="shared" si="2"/>
        <v>0</v>
      </c>
      <c r="AI115" s="50">
        <v>0</v>
      </c>
      <c r="AJ115" s="50">
        <v>0</v>
      </c>
      <c r="AK115" s="50">
        <v>0</v>
      </c>
      <c r="AL115" s="50">
        <v>0</v>
      </c>
      <c r="AM115" s="50"/>
      <c r="AN115" s="24">
        <f t="shared" si="3"/>
        <v>0</v>
      </c>
      <c r="AO115" s="50">
        <v>0</v>
      </c>
      <c r="AP115" s="50">
        <v>0</v>
      </c>
      <c r="AQ115" s="50">
        <v>0</v>
      </c>
      <c r="AR115" s="50">
        <v>0</v>
      </c>
      <c r="AS115" s="50"/>
      <c r="AT115" s="50">
        <f t="shared" si="4"/>
        <v>35380</v>
      </c>
      <c r="AU115" s="50">
        <v>0</v>
      </c>
      <c r="AV115" s="50">
        <v>29295</v>
      </c>
      <c r="AW115" s="50">
        <v>0</v>
      </c>
      <c r="AX115" s="50">
        <v>6085</v>
      </c>
      <c r="AY115" s="50"/>
      <c r="AZ115" s="50">
        <f t="shared" si="113"/>
        <v>0</v>
      </c>
      <c r="BA115" s="50">
        <v>0</v>
      </c>
      <c r="BB115" s="50">
        <v>0</v>
      </c>
      <c r="BC115" s="50">
        <v>0</v>
      </c>
      <c r="BD115" s="50">
        <v>0</v>
      </c>
      <c r="BE115" s="50"/>
      <c r="BF115" s="50">
        <f t="shared" si="6"/>
        <v>0</v>
      </c>
      <c r="BG115" s="50">
        <v>0</v>
      </c>
      <c r="BH115" s="50">
        <v>0</v>
      </c>
      <c r="BI115" s="50">
        <v>0</v>
      </c>
      <c r="BJ115" s="50">
        <v>0</v>
      </c>
      <c r="BK115" s="50"/>
      <c r="BL115" s="20"/>
    </row>
    <row r="116" spans="1:64" ht="72" x14ac:dyDescent="0.2">
      <c r="A116" s="69">
        <v>112</v>
      </c>
      <c r="B116" s="48" t="str">
        <f ca="1">IFERROR(__xludf.DUMMYFUNCTION("""COMPUTED_VALUE"""),"г.о. Серпухов")</f>
        <v>г.о. Серпухов</v>
      </c>
      <c r="C116"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6" s="52" t="str">
        <f ca="1">IFERROR(__xludf.DUMMYFUNCTION("""COMPUTED_VALUE"""),"МинЖКХ")</f>
        <v>МинЖКХ</v>
      </c>
      <c r="E116" s="45" t="s">
        <v>179</v>
      </c>
      <c r="F116" s="46" t="str">
        <f ca="1">IFERROR(__xludf.DUMMYFUNCTION("""COMPUTED_VALUE"""),"ВЗУ")</f>
        <v>ВЗУ</v>
      </c>
      <c r="G116" s="46">
        <f ca="1">IFERROR(__xludf.DUMMYFUNCTION("""COMPUTED_VALUE"""),2022)</f>
        <v>2022</v>
      </c>
      <c r="H116" s="48" t="str">
        <f ca="1">IFERROR(__xludf.DUMMYFUNCTION("""COMPUTED_VALUE"""),"Контракт на ПИР не заключен.")</f>
        <v>Контракт на ПИР не заключен.</v>
      </c>
      <c r="I116" s="48" t="str">
        <f ca="1">IFERROR(__xludf.DUMMYFUNCTION("""COMPUTED_VALUE"""),"СМР")</f>
        <v>СМР</v>
      </c>
      <c r="J116" s="70">
        <f ca="1">IFERROR(__xludf.DUMMYFUNCTION("""COMPUTED_VALUE"""),0)</f>
        <v>0</v>
      </c>
      <c r="K116" s="48"/>
      <c r="L116" s="48"/>
      <c r="M116" s="48"/>
      <c r="N116" s="48" t="str">
        <f ca="1">IFERROR(__xludf.DUMMYFUNCTION("""COMPUTED_VALUE"""),"10 1 02 64090")</f>
        <v>10 1 02 64090</v>
      </c>
      <c r="O116" s="48">
        <f ca="1">IFERROR(__xludf.DUMMYFUNCTION("""COMPUTED_VALUE"""),522)</f>
        <v>522</v>
      </c>
      <c r="P116" s="24">
        <f t="shared" ref="P116:T116" si="120">SUM(V116,AB116,AH116,AN116,AT116,AZ116,BF116)</f>
        <v>8678.09</v>
      </c>
      <c r="Q116" s="24">
        <f t="shared" si="120"/>
        <v>0</v>
      </c>
      <c r="R116" s="24">
        <f t="shared" si="120"/>
        <v>7165.59</v>
      </c>
      <c r="S116" s="24">
        <f t="shared" si="120"/>
        <v>0</v>
      </c>
      <c r="T116" s="24">
        <f t="shared" si="120"/>
        <v>1512.5</v>
      </c>
      <c r="U116" s="20"/>
      <c r="V116" s="24"/>
      <c r="W116" s="24"/>
      <c r="X116" s="24"/>
      <c r="Y116" s="24"/>
      <c r="Z116" s="24"/>
      <c r="AA116" s="24"/>
      <c r="AB116" s="24"/>
      <c r="AC116" s="50"/>
      <c r="AD116" s="50"/>
      <c r="AE116" s="50"/>
      <c r="AF116" s="50"/>
      <c r="AG116" s="50"/>
      <c r="AH116" s="50">
        <f t="shared" si="2"/>
        <v>0</v>
      </c>
      <c r="AI116" s="50">
        <v>0</v>
      </c>
      <c r="AJ116" s="50">
        <v>0</v>
      </c>
      <c r="AK116" s="50">
        <v>0</v>
      </c>
      <c r="AL116" s="50">
        <v>0</v>
      </c>
      <c r="AM116" s="50"/>
      <c r="AN116" s="24">
        <f t="shared" si="3"/>
        <v>0</v>
      </c>
      <c r="AO116" s="50">
        <v>0</v>
      </c>
      <c r="AP116" s="50">
        <v>0</v>
      </c>
      <c r="AQ116" s="50">
        <v>0</v>
      </c>
      <c r="AR116" s="50">
        <v>0</v>
      </c>
      <c r="AS116" s="50"/>
      <c r="AT116" s="50">
        <f t="shared" si="4"/>
        <v>8678.09</v>
      </c>
      <c r="AU116" s="50">
        <v>0</v>
      </c>
      <c r="AV116" s="50">
        <v>7165.59</v>
      </c>
      <c r="AW116" s="50">
        <v>0</v>
      </c>
      <c r="AX116" s="50">
        <v>1512.5</v>
      </c>
      <c r="AY116" s="50"/>
      <c r="AZ116" s="50">
        <f t="shared" si="113"/>
        <v>0</v>
      </c>
      <c r="BA116" s="50">
        <v>0</v>
      </c>
      <c r="BB116" s="50">
        <v>0</v>
      </c>
      <c r="BC116" s="50">
        <v>0</v>
      </c>
      <c r="BD116" s="50">
        <v>0</v>
      </c>
      <c r="BE116" s="50"/>
      <c r="BF116" s="50">
        <f t="shared" si="6"/>
        <v>0</v>
      </c>
      <c r="BG116" s="50">
        <v>0</v>
      </c>
      <c r="BH116" s="50">
        <v>0</v>
      </c>
      <c r="BI116" s="50">
        <v>0</v>
      </c>
      <c r="BJ116" s="50">
        <v>0</v>
      </c>
      <c r="BK116" s="50"/>
      <c r="BL116" s="20"/>
    </row>
    <row r="117" spans="1:64" ht="72" x14ac:dyDescent="0.2">
      <c r="A117" s="69">
        <v>113</v>
      </c>
      <c r="B117" s="46" t="str">
        <f ca="1">IFERROR(__xludf.DUMMYFUNCTION("""COMPUTED_VALUE"""),"г.о. Фрязино")</f>
        <v>г.о. Фрязино</v>
      </c>
      <c r="C117"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7" s="52" t="str">
        <f ca="1">IFERROR(__xludf.DUMMYFUNCTION("""COMPUTED_VALUE"""),"МинЖКХ")</f>
        <v>МинЖКХ</v>
      </c>
      <c r="E117" s="45" t="s">
        <v>60</v>
      </c>
      <c r="F117" s="46" t="str">
        <f ca="1">IFERROR(__xludf.DUMMYFUNCTION("""COMPUTED_VALUE"""),"ВЗУ")</f>
        <v>ВЗУ</v>
      </c>
      <c r="G117" s="46">
        <f ca="1">IFERROR(__xludf.DUMMYFUNCTION("""COMPUTED_VALUE"""),2020)</f>
        <v>2020</v>
      </c>
      <c r="H117" s="48" t="str">
        <f ca="1">IFERROR(__xludf.DUMMYFUNCTION("""COMPUTED_VALUE"""),"Положительное заключение МОГЭ получено.")</f>
        <v>Положительное заключение МОГЭ получено.</v>
      </c>
      <c r="I117" s="48" t="str">
        <f ca="1">IFERROR(__xludf.DUMMYFUNCTION("""COMPUTED_VALUE"""),"ПИР")</f>
        <v>ПИР</v>
      </c>
      <c r="J117" s="70">
        <f ca="1">IFERROR(__xludf.DUMMYFUNCTION("""COMPUTED_VALUE"""),1)</f>
        <v>1</v>
      </c>
      <c r="K117" s="48" t="str">
        <f ca="1">IFERROR(__xludf.DUMMYFUNCTION("""COMPUTED_VALUE"""),"-")</f>
        <v>-</v>
      </c>
      <c r="L117" s="48" t="str">
        <f ca="1">IFERROR(__xludf.DUMMYFUNCTION("""COMPUTED_VALUE"""),"-")</f>
        <v>-</v>
      </c>
      <c r="M117" s="48"/>
      <c r="N117" s="48" t="str">
        <f ca="1">IFERROR(__xludf.DUMMYFUNCTION("""COMPUTED_VALUE"""),"10 1 02 64090")</f>
        <v>10 1 02 64090</v>
      </c>
      <c r="O117" s="48">
        <f ca="1">IFERROR(__xludf.DUMMYFUNCTION("""COMPUTED_VALUE"""),522)</f>
        <v>522</v>
      </c>
      <c r="P117" s="24">
        <f t="shared" ref="P117:T117" si="121">SUM(V117,AB117,AH117,AN117,AT117,AZ117,BF117)</f>
        <v>14648.48</v>
      </c>
      <c r="Q117" s="24">
        <f t="shared" si="121"/>
        <v>0</v>
      </c>
      <c r="R117" s="24">
        <f t="shared" si="121"/>
        <v>14502</v>
      </c>
      <c r="S117" s="24">
        <f t="shared" si="121"/>
        <v>0</v>
      </c>
      <c r="T117" s="24">
        <f t="shared" si="121"/>
        <v>146.47999999999999</v>
      </c>
      <c r="U117" s="20"/>
      <c r="V117" s="24"/>
      <c r="W117" s="24"/>
      <c r="X117" s="24"/>
      <c r="Y117" s="24"/>
      <c r="Z117" s="24"/>
      <c r="AA117" s="24"/>
      <c r="AB117" s="24"/>
      <c r="AC117" s="50"/>
      <c r="AD117" s="50"/>
      <c r="AE117" s="50"/>
      <c r="AF117" s="50"/>
      <c r="AG117" s="50"/>
      <c r="AH117" s="50">
        <f t="shared" si="2"/>
        <v>14648.48</v>
      </c>
      <c r="AI117" s="50">
        <v>0</v>
      </c>
      <c r="AJ117" s="50">
        <v>14502</v>
      </c>
      <c r="AK117" s="50">
        <v>0</v>
      </c>
      <c r="AL117" s="50">
        <v>146.47999999999999</v>
      </c>
      <c r="AM117" s="50"/>
      <c r="AN117" s="24">
        <f t="shared" si="3"/>
        <v>0</v>
      </c>
      <c r="AO117" s="50">
        <v>0</v>
      </c>
      <c r="AP117" s="50">
        <v>0</v>
      </c>
      <c r="AQ117" s="50">
        <v>0</v>
      </c>
      <c r="AR117" s="50">
        <v>0</v>
      </c>
      <c r="AS117" s="50"/>
      <c r="AT117" s="50">
        <f t="shared" si="4"/>
        <v>0</v>
      </c>
      <c r="AU117" s="50">
        <v>0</v>
      </c>
      <c r="AV117" s="50">
        <v>0</v>
      </c>
      <c r="AW117" s="50">
        <v>0</v>
      </c>
      <c r="AX117" s="50">
        <v>0</v>
      </c>
      <c r="AY117" s="50"/>
      <c r="AZ117" s="50">
        <f t="shared" si="113"/>
        <v>0</v>
      </c>
      <c r="BA117" s="50">
        <v>0</v>
      </c>
      <c r="BB117" s="50">
        <v>0</v>
      </c>
      <c r="BC117" s="50">
        <v>0</v>
      </c>
      <c r="BD117" s="50">
        <v>0</v>
      </c>
      <c r="BE117" s="50"/>
      <c r="BF117" s="50">
        <f t="shared" si="6"/>
        <v>0</v>
      </c>
      <c r="BG117" s="50">
        <v>0</v>
      </c>
      <c r="BH117" s="50">
        <v>0</v>
      </c>
      <c r="BI117" s="50">
        <v>0</v>
      </c>
      <c r="BJ117" s="50">
        <v>0</v>
      </c>
      <c r="BK117" s="50"/>
      <c r="BL117" s="20"/>
    </row>
    <row r="118" spans="1:64" ht="72" x14ac:dyDescent="0.2">
      <c r="A118" s="69">
        <v>114</v>
      </c>
      <c r="B118" s="46" t="str">
        <f ca="1">IFERROR(__xludf.DUMMYFUNCTION("""COMPUTED_VALUE"""),"г.о. Фрязино")</f>
        <v>г.о. Фрязино</v>
      </c>
      <c r="C118"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8" s="52" t="str">
        <f ca="1">IFERROR(__xludf.DUMMYFUNCTION("""COMPUTED_VALUE"""),"МинЖКХ")</f>
        <v>МинЖКХ</v>
      </c>
      <c r="E118" s="45" t="s">
        <v>61</v>
      </c>
      <c r="F118" s="46" t="str">
        <f ca="1">IFERROR(__xludf.DUMMYFUNCTION("""COMPUTED_VALUE"""),"ВЗУ")</f>
        <v>ВЗУ</v>
      </c>
      <c r="G118" s="46">
        <f ca="1">IFERROR(__xludf.DUMMYFUNCTION("""COMPUTED_VALUE"""),2020)</f>
        <v>2020</v>
      </c>
      <c r="H118" s="48" t="str">
        <f ca="1">IFERROR(__xludf.DUMMYFUNCTION("""COMPUTED_VALUE"""),"Положительное заключение МОГЭ получено.")</f>
        <v>Положительное заключение МОГЭ получено.</v>
      </c>
      <c r="I118" s="48" t="str">
        <f ca="1">IFERROR(__xludf.DUMMYFUNCTION("""COMPUTED_VALUE"""),"ПИР")</f>
        <v>ПИР</v>
      </c>
      <c r="J118" s="70">
        <f ca="1">IFERROR(__xludf.DUMMYFUNCTION("""COMPUTED_VALUE"""),1)</f>
        <v>1</v>
      </c>
      <c r="K118" s="48" t="str">
        <f ca="1">IFERROR(__xludf.DUMMYFUNCTION("""COMPUTED_VALUE"""),"-")</f>
        <v>-</v>
      </c>
      <c r="L118" s="48" t="str">
        <f ca="1">IFERROR(__xludf.DUMMYFUNCTION("""COMPUTED_VALUE"""),"-")</f>
        <v>-</v>
      </c>
      <c r="M118" s="48"/>
      <c r="N118" s="48" t="str">
        <f ca="1">IFERROR(__xludf.DUMMYFUNCTION("""COMPUTED_VALUE"""),"10 1 02 64090")</f>
        <v>10 1 02 64090</v>
      </c>
      <c r="O118" s="48">
        <f ca="1">IFERROR(__xludf.DUMMYFUNCTION("""COMPUTED_VALUE"""),522)</f>
        <v>522</v>
      </c>
      <c r="P118" s="24">
        <f t="shared" ref="P118:T118" si="122">SUM(V118,AB118,AH118,AN118,AT118,AZ118,BF118)</f>
        <v>12850</v>
      </c>
      <c r="Q118" s="24">
        <f t="shared" si="122"/>
        <v>0</v>
      </c>
      <c r="R118" s="24">
        <f t="shared" si="122"/>
        <v>12593</v>
      </c>
      <c r="S118" s="24">
        <f t="shared" si="122"/>
        <v>0</v>
      </c>
      <c r="T118" s="24">
        <f t="shared" si="122"/>
        <v>257</v>
      </c>
      <c r="U118" s="20"/>
      <c r="V118" s="24"/>
      <c r="W118" s="24"/>
      <c r="X118" s="24"/>
      <c r="Y118" s="24"/>
      <c r="Z118" s="24"/>
      <c r="AA118" s="24"/>
      <c r="AB118" s="24"/>
      <c r="AC118" s="50"/>
      <c r="AD118" s="50"/>
      <c r="AE118" s="50"/>
      <c r="AF118" s="50"/>
      <c r="AG118" s="50"/>
      <c r="AH118" s="50">
        <f t="shared" si="2"/>
        <v>12850</v>
      </c>
      <c r="AI118" s="50">
        <v>0</v>
      </c>
      <c r="AJ118" s="50">
        <v>12593</v>
      </c>
      <c r="AK118" s="50">
        <v>0</v>
      </c>
      <c r="AL118" s="50">
        <v>257</v>
      </c>
      <c r="AM118" s="50"/>
      <c r="AN118" s="24">
        <f t="shared" si="3"/>
        <v>0</v>
      </c>
      <c r="AO118" s="50">
        <v>0</v>
      </c>
      <c r="AP118" s="50">
        <v>0</v>
      </c>
      <c r="AQ118" s="50">
        <v>0</v>
      </c>
      <c r="AR118" s="50">
        <v>0</v>
      </c>
      <c r="AS118" s="50"/>
      <c r="AT118" s="50">
        <f t="shared" si="4"/>
        <v>0</v>
      </c>
      <c r="AU118" s="50">
        <v>0</v>
      </c>
      <c r="AV118" s="50">
        <v>0</v>
      </c>
      <c r="AW118" s="50">
        <v>0</v>
      </c>
      <c r="AX118" s="50">
        <v>0</v>
      </c>
      <c r="AY118" s="50"/>
      <c r="AZ118" s="50">
        <f t="shared" si="113"/>
        <v>0</v>
      </c>
      <c r="BA118" s="50">
        <v>0</v>
      </c>
      <c r="BB118" s="50">
        <v>0</v>
      </c>
      <c r="BC118" s="50">
        <v>0</v>
      </c>
      <c r="BD118" s="50">
        <v>0</v>
      </c>
      <c r="BE118" s="50"/>
      <c r="BF118" s="50">
        <f t="shared" si="6"/>
        <v>0</v>
      </c>
      <c r="BG118" s="50">
        <v>0</v>
      </c>
      <c r="BH118" s="50">
        <v>0</v>
      </c>
      <c r="BI118" s="50">
        <v>0</v>
      </c>
      <c r="BJ118" s="50">
        <v>0</v>
      </c>
      <c r="BK118" s="50"/>
      <c r="BL118" s="20"/>
    </row>
    <row r="119" spans="1:64" ht="108" x14ac:dyDescent="0.2">
      <c r="A119" s="69">
        <v>115</v>
      </c>
      <c r="B119" s="46" t="str">
        <f ca="1">IFERROR(__xludf.DUMMYFUNCTION("""COMPUTED_VALUE"""),"г.о. Раменский")</f>
        <v>г.о. Раменский</v>
      </c>
      <c r="C119"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19" s="52" t="str">
        <f ca="1">IFERROR(__xludf.DUMMYFUNCTION("""COMPUTED_VALUE"""),"МинЖКХ")</f>
        <v>МинЖКХ</v>
      </c>
      <c r="E119" s="45" t="s">
        <v>180</v>
      </c>
      <c r="F119" s="46" t="str">
        <f ca="1">IFERROR(__xludf.DUMMYFUNCTION("""COMPUTED_VALUE"""),"ВЗУ")</f>
        <v>ВЗУ</v>
      </c>
      <c r="G119" s="46" t="str">
        <f ca="1">IFERROR(__xludf.DUMMYFUNCTION("""COMPUTED_VALUE"""),"2020-2021")</f>
        <v>2020-2021</v>
      </c>
      <c r="H119" s="48" t="str">
        <f ca="1">IFERROR(__xludf.DUMMYFUNCTION("""COMPUTED_VALUE"""),"Выполнены работы по устройству котлована. Смонтирована фундаментная плита, ведется армирование и бетонирование стен с прокладкой инженерных коммуникаций.
ЛИМИТЫ НЕ БУДУТ ОСВОЕНЫ! Администрацией готовится письмо о переносе лимитов.")</f>
        <v>Выполнены работы по устройству котлована. Смонтирована фундаментная плита, ведется армирование и бетонирование стен с прокладкой инженерных коммуникаций.
ЛИМИТЫ НЕ БУДУТ ОСВОЕНЫ! Администрацией готовится письмо о переносе лимитов.</v>
      </c>
      <c r="I119" s="48" t="str">
        <f ca="1">IFERROR(__xludf.DUMMYFUNCTION("""COMPUTED_VALUE"""),"СМР")</f>
        <v>СМР</v>
      </c>
      <c r="J119" s="70">
        <f ca="1">IFERROR(__xludf.DUMMYFUNCTION("""COMPUTED_VALUE"""),0.31)</f>
        <v>0.31</v>
      </c>
      <c r="K119" s="48"/>
      <c r="L119" s="48"/>
      <c r="M119" s="48"/>
      <c r="N119" s="48" t="str">
        <f ca="1">IFERROR(__xludf.DUMMYFUNCTION("""COMPUTED_VALUE"""),"10 1 02 64090")</f>
        <v>10 1 02 64090</v>
      </c>
      <c r="O119" s="48">
        <f ca="1">IFERROR(__xludf.DUMMYFUNCTION("""COMPUTED_VALUE"""),522)</f>
        <v>522</v>
      </c>
      <c r="P119" s="24">
        <f t="shared" ref="P119:T119" si="123">SUM(V119,AB119,AH119,AN119,AT119,AZ119,BF119)</f>
        <v>98482.33</v>
      </c>
      <c r="Q119" s="24">
        <f t="shared" si="123"/>
        <v>0</v>
      </c>
      <c r="R119" s="24">
        <f t="shared" si="123"/>
        <v>94400</v>
      </c>
      <c r="S119" s="24">
        <f t="shared" si="123"/>
        <v>0</v>
      </c>
      <c r="T119" s="24">
        <f t="shared" si="123"/>
        <v>4082.33</v>
      </c>
      <c r="U119" s="20"/>
      <c r="V119" s="24"/>
      <c r="W119" s="24"/>
      <c r="X119" s="24"/>
      <c r="Y119" s="24"/>
      <c r="Z119" s="24"/>
      <c r="AA119" s="24"/>
      <c r="AB119" s="24"/>
      <c r="AC119" s="50"/>
      <c r="AD119" s="50"/>
      <c r="AE119" s="50"/>
      <c r="AF119" s="50"/>
      <c r="AG119" s="50"/>
      <c r="AH119" s="50">
        <f t="shared" si="2"/>
        <v>37506.51</v>
      </c>
      <c r="AI119" s="50">
        <v>0</v>
      </c>
      <c r="AJ119" s="50">
        <v>35631</v>
      </c>
      <c r="AK119" s="50">
        <v>0</v>
      </c>
      <c r="AL119" s="50">
        <v>1875.51</v>
      </c>
      <c r="AM119" s="50"/>
      <c r="AN119" s="24">
        <f t="shared" si="3"/>
        <v>60975.82</v>
      </c>
      <c r="AO119" s="50">
        <v>0</v>
      </c>
      <c r="AP119" s="50">
        <v>58769</v>
      </c>
      <c r="AQ119" s="50">
        <v>0</v>
      </c>
      <c r="AR119" s="50">
        <v>2206.8200000000002</v>
      </c>
      <c r="AS119" s="50"/>
      <c r="AT119" s="50">
        <f t="shared" si="4"/>
        <v>0</v>
      </c>
      <c r="AU119" s="50">
        <v>0</v>
      </c>
      <c r="AV119" s="50">
        <v>0</v>
      </c>
      <c r="AW119" s="50">
        <v>0</v>
      </c>
      <c r="AX119" s="50">
        <v>0</v>
      </c>
      <c r="AY119" s="50"/>
      <c r="AZ119" s="50">
        <f t="shared" si="113"/>
        <v>0</v>
      </c>
      <c r="BA119" s="50">
        <v>0</v>
      </c>
      <c r="BB119" s="50">
        <v>0</v>
      </c>
      <c r="BC119" s="50">
        <v>0</v>
      </c>
      <c r="BD119" s="50">
        <v>0</v>
      </c>
      <c r="BE119" s="50"/>
      <c r="BF119" s="50">
        <f t="shared" si="6"/>
        <v>0</v>
      </c>
      <c r="BG119" s="50">
        <v>0</v>
      </c>
      <c r="BH119" s="50">
        <v>0</v>
      </c>
      <c r="BI119" s="50">
        <v>0</v>
      </c>
      <c r="BJ119" s="50">
        <v>0</v>
      </c>
      <c r="BK119" s="50"/>
      <c r="BL119" s="20"/>
    </row>
    <row r="120" spans="1:64" ht="96" x14ac:dyDescent="0.2">
      <c r="A120" s="69">
        <v>116</v>
      </c>
      <c r="B120" s="46" t="str">
        <f ca="1">IFERROR(__xludf.DUMMYFUNCTION("""COMPUTED_VALUE"""),"г.о. Жуковский")</f>
        <v>г.о. Жуковский</v>
      </c>
      <c r="C120"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0" s="52" t="str">
        <f ca="1">IFERROR(__xludf.DUMMYFUNCTION("""COMPUTED_VALUE"""),"МинЖКХ")</f>
        <v>МинЖКХ</v>
      </c>
      <c r="E120" s="45" t="s">
        <v>181</v>
      </c>
      <c r="F120" s="46" t="str">
        <f ca="1">IFERROR(__xludf.DUMMYFUNCTION("""COMPUTED_VALUE"""),"ВЗУ")</f>
        <v>ВЗУ</v>
      </c>
      <c r="G120" s="46" t="str">
        <f ca="1">IFERROR(__xludf.DUMMYFUNCTION("""COMPUTED_VALUE"""),"2020-2022")</f>
        <v>2020-2022</v>
      </c>
      <c r="H120" s="48" t="str">
        <f ca="1">IFERROR(__xludf.DUMMYFUNCTION("""COMPUTED_VALUE"""),"Оборудование заказано и оплачено в полном объеме. Выполнены работы по прокладке наружных и инженерных коммуникаций. Выполнены работы по устройству котлована, бурению и погружению шпунта. Залит фундамент ж/б конструкций. Ведутся работы по армированию стен "&amp;"сооружения.")</f>
        <v>Оборудование заказано и оплачено в полном объеме. Выполнены работы по прокладке наружных и инженерных коммуникаций. Выполнены работы по устройству котлована, бурению и погружению шпунта. Залит фундамент ж/б конструкций. Ведутся работы по армированию стен сооружения.</v>
      </c>
      <c r="I120" s="48" t="str">
        <f ca="1">IFERROR(__xludf.DUMMYFUNCTION("""COMPUTED_VALUE"""),"СМР")</f>
        <v>СМР</v>
      </c>
      <c r="J120" s="70">
        <f ca="1">IFERROR(__xludf.DUMMYFUNCTION("""COMPUTED_VALUE"""),0.657)</f>
        <v>0.65700000000000003</v>
      </c>
      <c r="K120" s="48">
        <f ca="1">IFERROR(__xludf.DUMMYFUNCTION("""COMPUTED_VALUE"""),18000)</f>
        <v>18000</v>
      </c>
      <c r="L120" s="48">
        <f ca="1">IFERROR(__xludf.DUMMYFUNCTION("""COMPUTED_VALUE"""),18000)</f>
        <v>18000</v>
      </c>
      <c r="M120" s="48"/>
      <c r="N120" s="48" t="str">
        <f ca="1">IFERROR(__xludf.DUMMYFUNCTION("""COMPUTED_VALUE"""),"10 1 02 64090")</f>
        <v>10 1 02 64090</v>
      </c>
      <c r="O120" s="48">
        <f ca="1">IFERROR(__xludf.DUMMYFUNCTION("""COMPUTED_VALUE"""),522)</f>
        <v>522</v>
      </c>
      <c r="P120" s="24">
        <f t="shared" ref="P120:T120" si="124">SUM(V120,AB120,AH120,AN120,AT120,AZ120,BF120)</f>
        <v>172471.55</v>
      </c>
      <c r="Q120" s="24">
        <f t="shared" si="124"/>
        <v>0</v>
      </c>
      <c r="R120" s="24">
        <f t="shared" si="124"/>
        <v>157340.41</v>
      </c>
      <c r="S120" s="24">
        <f t="shared" si="124"/>
        <v>0</v>
      </c>
      <c r="T120" s="24">
        <f t="shared" si="124"/>
        <v>15131.14</v>
      </c>
      <c r="U120" s="20"/>
      <c r="V120" s="24"/>
      <c r="W120" s="24"/>
      <c r="X120" s="24"/>
      <c r="Y120" s="24"/>
      <c r="Z120" s="24"/>
      <c r="AA120" s="24"/>
      <c r="AB120" s="24"/>
      <c r="AC120" s="50"/>
      <c r="AD120" s="50"/>
      <c r="AE120" s="50"/>
      <c r="AF120" s="50"/>
      <c r="AG120" s="50"/>
      <c r="AH120" s="50">
        <f t="shared" si="2"/>
        <v>62851.58</v>
      </c>
      <c r="AI120" s="50">
        <v>0</v>
      </c>
      <c r="AJ120" s="50">
        <v>59709</v>
      </c>
      <c r="AK120" s="50">
        <v>0</v>
      </c>
      <c r="AL120" s="50">
        <v>3142.58</v>
      </c>
      <c r="AM120" s="50"/>
      <c r="AN120" s="24">
        <f t="shared" si="3"/>
        <v>61420.1</v>
      </c>
      <c r="AO120" s="50">
        <v>0</v>
      </c>
      <c r="AP120" s="50">
        <v>58349</v>
      </c>
      <c r="AQ120" s="50">
        <v>0</v>
      </c>
      <c r="AR120" s="50">
        <v>3071.1</v>
      </c>
      <c r="AS120" s="50"/>
      <c r="AT120" s="50">
        <f t="shared" si="4"/>
        <v>48199.87</v>
      </c>
      <c r="AU120" s="50">
        <v>0</v>
      </c>
      <c r="AV120" s="50">
        <v>39282.410000000003</v>
      </c>
      <c r="AW120" s="50">
        <v>0</v>
      </c>
      <c r="AX120" s="50">
        <v>8917.4599999999991</v>
      </c>
      <c r="AY120" s="50"/>
      <c r="AZ120" s="50">
        <f t="shared" si="113"/>
        <v>0</v>
      </c>
      <c r="BA120" s="50">
        <v>0</v>
      </c>
      <c r="BB120" s="50">
        <v>0</v>
      </c>
      <c r="BC120" s="50">
        <v>0</v>
      </c>
      <c r="BD120" s="50">
        <v>0</v>
      </c>
      <c r="BE120" s="50"/>
      <c r="BF120" s="50">
        <f t="shared" si="6"/>
        <v>0</v>
      </c>
      <c r="BG120" s="50">
        <v>0</v>
      </c>
      <c r="BH120" s="50">
        <v>0</v>
      </c>
      <c r="BI120" s="50">
        <v>0</v>
      </c>
      <c r="BJ120" s="50">
        <v>0</v>
      </c>
      <c r="BK120" s="50"/>
      <c r="BL120" s="20"/>
    </row>
    <row r="121" spans="1:64" ht="72" x14ac:dyDescent="0.2">
      <c r="A121" s="69">
        <v>117</v>
      </c>
      <c r="B121" s="46" t="str">
        <f ca="1">IFERROR(__xludf.DUMMYFUNCTION("""COMPUTED_VALUE"""),"г.о. Дмитровский")</f>
        <v>г.о. Дмитровский</v>
      </c>
      <c r="C121"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1" s="52" t="str">
        <f ca="1">IFERROR(__xludf.DUMMYFUNCTION("""COMPUTED_VALUE"""),"МинЖКХ")</f>
        <v>МинЖКХ</v>
      </c>
      <c r="E121" s="45" t="s">
        <v>182</v>
      </c>
      <c r="F121" s="46" t="str">
        <f ca="1">IFERROR(__xludf.DUMMYFUNCTION("""COMPUTED_VALUE"""),"ВЗУ")</f>
        <v>ВЗУ</v>
      </c>
      <c r="G121" s="46">
        <f ca="1">IFERROR(__xludf.DUMMYFUNCTION("""COMPUTED_VALUE"""),2020)</f>
        <v>2020</v>
      </c>
      <c r="H121" s="48" t="str">
        <f ca="1">IFERROR(__xludf.DUMMYFUNCTION("""COMPUTED_VALUE"""),"ЗАВЕРШЕНО.
 Объект не введен в эксплуатацию. Получение РВ планируется в ноябре 2020 года.")</f>
        <v>ЗАВЕРШЕНО.
 Объект не введен в эксплуатацию. Получение РВ планируется в ноябре 2020 года.</v>
      </c>
      <c r="I121" s="48" t="str">
        <f ca="1">IFERROR(__xludf.DUMMYFUNCTION("""COMPUTED_VALUE"""),"СМР")</f>
        <v>СМР</v>
      </c>
      <c r="J121" s="70">
        <f ca="1">IFERROR(__xludf.DUMMYFUNCTION("""COMPUTED_VALUE"""),1)</f>
        <v>1</v>
      </c>
      <c r="K121" s="48"/>
      <c r="L121" s="48"/>
      <c r="M121" s="48"/>
      <c r="N121" s="48" t="str">
        <f ca="1">IFERROR(__xludf.DUMMYFUNCTION("""COMPUTED_VALUE"""),"10 1 02 64090")</f>
        <v>10 1 02 64090</v>
      </c>
      <c r="O121" s="48">
        <f ca="1">IFERROR(__xludf.DUMMYFUNCTION("""COMPUTED_VALUE"""),522)</f>
        <v>522</v>
      </c>
      <c r="P121" s="24">
        <f t="shared" ref="P121:T121" si="125">SUM(V121,AB121,AH121,AN121,AT121,AZ121,BF121)</f>
        <v>18265.64</v>
      </c>
      <c r="Q121" s="24">
        <f t="shared" si="125"/>
        <v>0</v>
      </c>
      <c r="R121" s="24">
        <f t="shared" si="125"/>
        <v>14941</v>
      </c>
      <c r="S121" s="24">
        <f t="shared" si="125"/>
        <v>0</v>
      </c>
      <c r="T121" s="24">
        <f t="shared" si="125"/>
        <v>3324.64</v>
      </c>
      <c r="U121" s="20"/>
      <c r="V121" s="24"/>
      <c r="W121" s="24"/>
      <c r="X121" s="24"/>
      <c r="Y121" s="24"/>
      <c r="Z121" s="24"/>
      <c r="AA121" s="24"/>
      <c r="AB121" s="24"/>
      <c r="AC121" s="50"/>
      <c r="AD121" s="50"/>
      <c r="AE121" s="50"/>
      <c r="AF121" s="50"/>
      <c r="AG121" s="50"/>
      <c r="AH121" s="50">
        <f t="shared" si="2"/>
        <v>18265.64</v>
      </c>
      <c r="AI121" s="50">
        <v>0</v>
      </c>
      <c r="AJ121" s="50">
        <v>14941</v>
      </c>
      <c r="AK121" s="50">
        <v>0</v>
      </c>
      <c r="AL121" s="50">
        <v>3324.64</v>
      </c>
      <c r="AM121" s="50"/>
      <c r="AN121" s="24">
        <f t="shared" si="3"/>
        <v>0</v>
      </c>
      <c r="AO121" s="50">
        <v>0</v>
      </c>
      <c r="AP121" s="50">
        <v>0</v>
      </c>
      <c r="AQ121" s="50">
        <v>0</v>
      </c>
      <c r="AR121" s="50">
        <v>0</v>
      </c>
      <c r="AS121" s="50"/>
      <c r="AT121" s="50">
        <f t="shared" si="4"/>
        <v>0</v>
      </c>
      <c r="AU121" s="50">
        <v>0</v>
      </c>
      <c r="AV121" s="50">
        <v>0</v>
      </c>
      <c r="AW121" s="50">
        <v>0</v>
      </c>
      <c r="AX121" s="50">
        <v>0</v>
      </c>
      <c r="AY121" s="50"/>
      <c r="AZ121" s="50">
        <f t="shared" si="113"/>
        <v>0</v>
      </c>
      <c r="BA121" s="50">
        <v>0</v>
      </c>
      <c r="BB121" s="50">
        <v>0</v>
      </c>
      <c r="BC121" s="50">
        <v>0</v>
      </c>
      <c r="BD121" s="50">
        <v>0</v>
      </c>
      <c r="BE121" s="50"/>
      <c r="BF121" s="50">
        <f t="shared" si="6"/>
        <v>0</v>
      </c>
      <c r="BG121" s="50">
        <v>0</v>
      </c>
      <c r="BH121" s="50">
        <v>0</v>
      </c>
      <c r="BI121" s="50">
        <v>0</v>
      </c>
      <c r="BJ121" s="50">
        <v>0</v>
      </c>
      <c r="BK121" s="50"/>
      <c r="BL121" s="20"/>
    </row>
    <row r="122" spans="1:64" ht="72" x14ac:dyDescent="0.2">
      <c r="A122" s="69">
        <v>118</v>
      </c>
      <c r="B122" s="48" t="str">
        <f ca="1">IFERROR(__xludf.DUMMYFUNCTION("""COMPUTED_VALUE"""),"г.о. Орехово-Зуево")</f>
        <v>г.о. Орехово-Зуево</v>
      </c>
      <c r="C122"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2" s="52" t="str">
        <f ca="1">IFERROR(__xludf.DUMMYFUNCTION("""COMPUTED_VALUE"""),"МинЖКХ")</f>
        <v>МинЖКХ</v>
      </c>
      <c r="E122" s="45" t="s">
        <v>576</v>
      </c>
      <c r="F122" s="46" t="str">
        <f ca="1">IFERROR(__xludf.DUMMYFUNCTION("""COMPUTED_VALUE"""),"ВЗУ")</f>
        <v>ВЗУ</v>
      </c>
      <c r="G122" s="46">
        <f ca="1">IFERROR(__xludf.DUMMYFUNCTION("""COMPUTED_VALUE"""),2023)</f>
        <v>2023</v>
      </c>
      <c r="H122" s="48" t="str">
        <f ca="1">IFERROR(__xludf.DUMMYFUNCTION("""COMPUTED_VALUE"""),"Контракт на ПИР не заключен.")</f>
        <v>Контракт на ПИР не заключен.</v>
      </c>
      <c r="I122" s="48" t="str">
        <f ca="1">IFERROR(__xludf.DUMMYFUNCTION("""COMPUTED_VALUE"""),"СМР")</f>
        <v>СМР</v>
      </c>
      <c r="J122" s="70">
        <f ca="1">IFERROR(__xludf.DUMMYFUNCTION("""COMPUTED_VALUE"""),0)</f>
        <v>0</v>
      </c>
      <c r="K122" s="48"/>
      <c r="L122" s="48"/>
      <c r="M122" s="48"/>
      <c r="N122" s="48" t="str">
        <f ca="1">IFERROR(__xludf.DUMMYFUNCTION("""COMPUTED_VALUE"""),"10 1 02 64090")</f>
        <v>10 1 02 64090</v>
      </c>
      <c r="O122" s="48">
        <f ca="1">IFERROR(__xludf.DUMMYFUNCTION("""COMPUTED_VALUE"""),522)</f>
        <v>522</v>
      </c>
      <c r="P122" s="24">
        <f t="shared" ref="P122:T122" si="126">SUM(V122,AB122,AH122,AN122,AT122,AZ122,BF122)</f>
        <v>14000</v>
      </c>
      <c r="Q122" s="24">
        <f t="shared" si="126"/>
        <v>0</v>
      </c>
      <c r="R122" s="24">
        <f t="shared" si="126"/>
        <v>13300</v>
      </c>
      <c r="S122" s="24">
        <f t="shared" si="126"/>
        <v>0</v>
      </c>
      <c r="T122" s="24">
        <f t="shared" si="126"/>
        <v>700</v>
      </c>
      <c r="U122" s="20"/>
      <c r="V122" s="24"/>
      <c r="W122" s="24"/>
      <c r="X122" s="24"/>
      <c r="Y122" s="24"/>
      <c r="Z122" s="24"/>
      <c r="AA122" s="24"/>
      <c r="AB122" s="24"/>
      <c r="AC122" s="50"/>
      <c r="AD122" s="50"/>
      <c r="AE122" s="50"/>
      <c r="AF122" s="50"/>
      <c r="AG122" s="50"/>
      <c r="AH122" s="50">
        <f t="shared" si="2"/>
        <v>0</v>
      </c>
      <c r="AI122" s="50">
        <v>0</v>
      </c>
      <c r="AJ122" s="50">
        <v>0</v>
      </c>
      <c r="AK122" s="50">
        <v>0</v>
      </c>
      <c r="AL122" s="50">
        <v>0</v>
      </c>
      <c r="AM122" s="50"/>
      <c r="AN122" s="24">
        <f t="shared" si="3"/>
        <v>0</v>
      </c>
      <c r="AO122" s="50">
        <v>0</v>
      </c>
      <c r="AP122" s="50">
        <v>0</v>
      </c>
      <c r="AQ122" s="50">
        <v>0</v>
      </c>
      <c r="AR122" s="50">
        <v>0</v>
      </c>
      <c r="AS122" s="50"/>
      <c r="AT122" s="50">
        <f t="shared" si="4"/>
        <v>0</v>
      </c>
      <c r="AU122" s="50">
        <v>0</v>
      </c>
      <c r="AV122" s="50">
        <v>0</v>
      </c>
      <c r="AW122" s="50">
        <v>0</v>
      </c>
      <c r="AX122" s="50">
        <v>0</v>
      </c>
      <c r="AY122" s="50"/>
      <c r="AZ122" s="50">
        <f t="shared" ref="AZ122:AZ126" si="127">SUM(BA122:BD122)</f>
        <v>14000</v>
      </c>
      <c r="BA122" s="50">
        <v>0</v>
      </c>
      <c r="BB122" s="50">
        <v>13300</v>
      </c>
      <c r="BC122" s="50">
        <v>0</v>
      </c>
      <c r="BD122" s="50">
        <v>700</v>
      </c>
      <c r="BE122" s="50"/>
      <c r="BF122" s="50">
        <f t="shared" si="6"/>
        <v>0</v>
      </c>
      <c r="BG122" s="50">
        <v>0</v>
      </c>
      <c r="BH122" s="50">
        <v>0</v>
      </c>
      <c r="BI122" s="50">
        <v>0</v>
      </c>
      <c r="BJ122" s="50">
        <v>0</v>
      </c>
      <c r="BK122" s="50"/>
      <c r="BL122" s="20"/>
    </row>
    <row r="123" spans="1:64" ht="72" x14ac:dyDescent="0.2">
      <c r="A123" s="69">
        <v>119</v>
      </c>
      <c r="B123" s="48" t="str">
        <f ca="1">IFERROR(__xludf.DUMMYFUNCTION("""COMPUTED_VALUE"""),"г.о. Орехово-Зуево")</f>
        <v>г.о. Орехово-Зуево</v>
      </c>
      <c r="C123"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3" s="52" t="str">
        <f ca="1">IFERROR(__xludf.DUMMYFUNCTION("""COMPUTED_VALUE"""),"МинЖКХ")</f>
        <v>МинЖКХ</v>
      </c>
      <c r="E123" s="45" t="s">
        <v>577</v>
      </c>
      <c r="F123" s="46" t="str">
        <f ca="1">IFERROR(__xludf.DUMMYFUNCTION("""COMPUTED_VALUE"""),"ВЗУ")</f>
        <v>ВЗУ</v>
      </c>
      <c r="G123" s="46">
        <f ca="1">IFERROR(__xludf.DUMMYFUNCTION("""COMPUTED_VALUE"""),2023)</f>
        <v>2023</v>
      </c>
      <c r="H123" s="48" t="str">
        <f ca="1">IFERROR(__xludf.DUMMYFUNCTION("""COMPUTED_VALUE"""),"Контракт на ПИР не заключен.")</f>
        <v>Контракт на ПИР не заключен.</v>
      </c>
      <c r="I123" s="48" t="str">
        <f ca="1">IFERROR(__xludf.DUMMYFUNCTION("""COMPUTED_VALUE"""),"СМР")</f>
        <v>СМР</v>
      </c>
      <c r="J123" s="70">
        <f ca="1">IFERROR(__xludf.DUMMYFUNCTION("""COMPUTED_VALUE"""),0)</f>
        <v>0</v>
      </c>
      <c r="K123" s="48"/>
      <c r="L123" s="48"/>
      <c r="M123" s="48"/>
      <c r="N123" s="48" t="str">
        <f ca="1">IFERROR(__xludf.DUMMYFUNCTION("""COMPUTED_VALUE"""),"10 1 02 64090")</f>
        <v>10 1 02 64090</v>
      </c>
      <c r="O123" s="48">
        <f ca="1">IFERROR(__xludf.DUMMYFUNCTION("""COMPUTED_VALUE"""),522)</f>
        <v>522</v>
      </c>
      <c r="P123" s="24">
        <f t="shared" ref="P123:T123" si="128">SUM(V123,AB123,AH123,AN123,AT123,AZ123,BF123)</f>
        <v>14000</v>
      </c>
      <c r="Q123" s="24">
        <f t="shared" si="128"/>
        <v>0</v>
      </c>
      <c r="R123" s="24">
        <f t="shared" si="128"/>
        <v>13300</v>
      </c>
      <c r="S123" s="24">
        <f t="shared" si="128"/>
        <v>0</v>
      </c>
      <c r="T123" s="24">
        <f t="shared" si="128"/>
        <v>700</v>
      </c>
      <c r="U123" s="20"/>
      <c r="V123" s="24"/>
      <c r="W123" s="24"/>
      <c r="X123" s="24"/>
      <c r="Y123" s="24"/>
      <c r="Z123" s="24"/>
      <c r="AA123" s="24"/>
      <c r="AB123" s="24"/>
      <c r="AC123" s="50"/>
      <c r="AD123" s="50"/>
      <c r="AE123" s="50"/>
      <c r="AF123" s="50"/>
      <c r="AG123" s="50"/>
      <c r="AH123" s="50">
        <f t="shared" si="2"/>
        <v>0</v>
      </c>
      <c r="AI123" s="50">
        <v>0</v>
      </c>
      <c r="AJ123" s="50">
        <v>0</v>
      </c>
      <c r="AK123" s="50">
        <v>0</v>
      </c>
      <c r="AL123" s="50">
        <v>0</v>
      </c>
      <c r="AM123" s="50"/>
      <c r="AN123" s="24">
        <f t="shared" si="3"/>
        <v>0</v>
      </c>
      <c r="AO123" s="50">
        <v>0</v>
      </c>
      <c r="AP123" s="50">
        <v>0</v>
      </c>
      <c r="AQ123" s="50">
        <v>0</v>
      </c>
      <c r="AR123" s="50">
        <v>0</v>
      </c>
      <c r="AS123" s="50"/>
      <c r="AT123" s="50">
        <f t="shared" si="4"/>
        <v>0</v>
      </c>
      <c r="AU123" s="50">
        <v>0</v>
      </c>
      <c r="AV123" s="50">
        <v>0</v>
      </c>
      <c r="AW123" s="50">
        <v>0</v>
      </c>
      <c r="AX123" s="50">
        <v>0</v>
      </c>
      <c r="AY123" s="50"/>
      <c r="AZ123" s="50">
        <f t="shared" si="127"/>
        <v>14000</v>
      </c>
      <c r="BA123" s="50">
        <v>0</v>
      </c>
      <c r="BB123" s="50">
        <v>13300</v>
      </c>
      <c r="BC123" s="50">
        <v>0</v>
      </c>
      <c r="BD123" s="50">
        <v>700</v>
      </c>
      <c r="BE123" s="50"/>
      <c r="BF123" s="50">
        <f t="shared" si="6"/>
        <v>0</v>
      </c>
      <c r="BG123" s="50">
        <v>0</v>
      </c>
      <c r="BH123" s="50">
        <v>0</v>
      </c>
      <c r="BI123" s="50">
        <v>0</v>
      </c>
      <c r="BJ123" s="50">
        <v>0</v>
      </c>
      <c r="BK123" s="50"/>
      <c r="BL123" s="20"/>
    </row>
    <row r="124" spans="1:64" ht="72" x14ac:dyDescent="0.2">
      <c r="A124" s="69">
        <v>120</v>
      </c>
      <c r="B124" s="48" t="str">
        <f ca="1">IFERROR(__xludf.DUMMYFUNCTION("""COMPUTED_VALUE"""),"г.о. Орехово-Зуево")</f>
        <v>г.о. Орехово-Зуево</v>
      </c>
      <c r="C124"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4" s="52" t="str">
        <f ca="1">IFERROR(__xludf.DUMMYFUNCTION("""COMPUTED_VALUE"""),"МинЖКХ")</f>
        <v>МинЖКХ</v>
      </c>
      <c r="E124" s="45" t="s">
        <v>578</v>
      </c>
      <c r="F124" s="46" t="str">
        <f ca="1">IFERROR(__xludf.DUMMYFUNCTION("""COMPUTED_VALUE"""),"ВЗУ")</f>
        <v>ВЗУ</v>
      </c>
      <c r="G124" s="46">
        <f ca="1">IFERROR(__xludf.DUMMYFUNCTION("""COMPUTED_VALUE"""),2023)</f>
        <v>2023</v>
      </c>
      <c r="H124" s="48" t="str">
        <f ca="1">IFERROR(__xludf.DUMMYFUNCTION("""COMPUTED_VALUE"""),"Контракт на ПИР не заключен.")</f>
        <v>Контракт на ПИР не заключен.</v>
      </c>
      <c r="I124" s="48" t="str">
        <f ca="1">IFERROR(__xludf.DUMMYFUNCTION("""COMPUTED_VALUE"""),"СМР")</f>
        <v>СМР</v>
      </c>
      <c r="J124" s="70">
        <f ca="1">IFERROR(__xludf.DUMMYFUNCTION("""COMPUTED_VALUE"""),0)</f>
        <v>0</v>
      </c>
      <c r="K124" s="48"/>
      <c r="L124" s="48"/>
      <c r="M124" s="48"/>
      <c r="N124" s="48" t="str">
        <f ca="1">IFERROR(__xludf.DUMMYFUNCTION("""COMPUTED_VALUE"""),"10 1 02 64090")</f>
        <v>10 1 02 64090</v>
      </c>
      <c r="O124" s="48">
        <f ca="1">IFERROR(__xludf.DUMMYFUNCTION("""COMPUTED_VALUE"""),522)</f>
        <v>522</v>
      </c>
      <c r="P124" s="24">
        <f t="shared" ref="P124:T124" si="129">SUM(V124,AB124,AH124,AN124,AT124,AZ124,BF124)</f>
        <v>14000</v>
      </c>
      <c r="Q124" s="24">
        <f t="shared" si="129"/>
        <v>0</v>
      </c>
      <c r="R124" s="24">
        <f t="shared" si="129"/>
        <v>13300</v>
      </c>
      <c r="S124" s="24">
        <f t="shared" si="129"/>
        <v>0</v>
      </c>
      <c r="T124" s="24">
        <f t="shared" si="129"/>
        <v>700</v>
      </c>
      <c r="U124" s="20"/>
      <c r="V124" s="24"/>
      <c r="W124" s="24"/>
      <c r="X124" s="24"/>
      <c r="Y124" s="24"/>
      <c r="Z124" s="24"/>
      <c r="AA124" s="24"/>
      <c r="AB124" s="24"/>
      <c r="AC124" s="50"/>
      <c r="AD124" s="50"/>
      <c r="AE124" s="50"/>
      <c r="AF124" s="50"/>
      <c r="AG124" s="50"/>
      <c r="AH124" s="50">
        <f t="shared" si="2"/>
        <v>0</v>
      </c>
      <c r="AI124" s="50">
        <v>0</v>
      </c>
      <c r="AJ124" s="50">
        <v>0</v>
      </c>
      <c r="AK124" s="50">
        <v>0</v>
      </c>
      <c r="AL124" s="50">
        <v>0</v>
      </c>
      <c r="AM124" s="50"/>
      <c r="AN124" s="24">
        <f t="shared" si="3"/>
        <v>0</v>
      </c>
      <c r="AO124" s="50">
        <v>0</v>
      </c>
      <c r="AP124" s="50">
        <v>0</v>
      </c>
      <c r="AQ124" s="50">
        <v>0</v>
      </c>
      <c r="AR124" s="50">
        <v>0</v>
      </c>
      <c r="AS124" s="50"/>
      <c r="AT124" s="50">
        <f t="shared" si="4"/>
        <v>0</v>
      </c>
      <c r="AU124" s="50">
        <v>0</v>
      </c>
      <c r="AV124" s="50">
        <v>0</v>
      </c>
      <c r="AW124" s="50">
        <v>0</v>
      </c>
      <c r="AX124" s="50">
        <v>0</v>
      </c>
      <c r="AY124" s="50"/>
      <c r="AZ124" s="50">
        <f t="shared" si="127"/>
        <v>14000</v>
      </c>
      <c r="BA124" s="50">
        <v>0</v>
      </c>
      <c r="BB124" s="50">
        <v>13300</v>
      </c>
      <c r="BC124" s="50">
        <v>0</v>
      </c>
      <c r="BD124" s="50">
        <v>700</v>
      </c>
      <c r="BE124" s="50"/>
      <c r="BF124" s="50">
        <f t="shared" si="6"/>
        <v>0</v>
      </c>
      <c r="BG124" s="50">
        <v>0</v>
      </c>
      <c r="BH124" s="50">
        <v>0</v>
      </c>
      <c r="BI124" s="50">
        <v>0</v>
      </c>
      <c r="BJ124" s="50">
        <v>0</v>
      </c>
      <c r="BK124" s="50"/>
      <c r="BL124" s="20"/>
    </row>
    <row r="125" spans="1:64" ht="72" x14ac:dyDescent="0.2">
      <c r="A125" s="69">
        <v>121</v>
      </c>
      <c r="B125" s="48" t="str">
        <f ca="1">IFERROR(__xludf.DUMMYFUNCTION("""COMPUTED_VALUE"""),"г.о. Орехово-Зуево")</f>
        <v>г.о. Орехово-Зуево</v>
      </c>
      <c r="C125"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5" s="52" t="str">
        <f ca="1">IFERROR(__xludf.DUMMYFUNCTION("""COMPUTED_VALUE"""),"МинЖКХ")</f>
        <v>МинЖКХ</v>
      </c>
      <c r="E125" s="45" t="s">
        <v>579</v>
      </c>
      <c r="F125" s="46" t="str">
        <f ca="1">IFERROR(__xludf.DUMMYFUNCTION("""COMPUTED_VALUE"""),"ВЗУ")</f>
        <v>ВЗУ</v>
      </c>
      <c r="G125" s="46">
        <f ca="1">IFERROR(__xludf.DUMMYFUNCTION("""COMPUTED_VALUE"""),2023)</f>
        <v>2023</v>
      </c>
      <c r="H125" s="48" t="str">
        <f ca="1">IFERROR(__xludf.DUMMYFUNCTION("""COMPUTED_VALUE"""),"Контракт на ПИР не заключен.")</f>
        <v>Контракт на ПИР не заключен.</v>
      </c>
      <c r="I125" s="48" t="str">
        <f ca="1">IFERROR(__xludf.DUMMYFUNCTION("""COMPUTED_VALUE"""),"СМР")</f>
        <v>СМР</v>
      </c>
      <c r="J125" s="70">
        <f ca="1">IFERROR(__xludf.DUMMYFUNCTION("""COMPUTED_VALUE"""),0)</f>
        <v>0</v>
      </c>
      <c r="K125" s="48"/>
      <c r="L125" s="48"/>
      <c r="M125" s="48"/>
      <c r="N125" s="48" t="str">
        <f ca="1">IFERROR(__xludf.DUMMYFUNCTION("""COMPUTED_VALUE"""),"10 1 02 64090")</f>
        <v>10 1 02 64090</v>
      </c>
      <c r="O125" s="48">
        <f ca="1">IFERROR(__xludf.DUMMYFUNCTION("""COMPUTED_VALUE"""),522)</f>
        <v>522</v>
      </c>
      <c r="P125" s="24">
        <f t="shared" ref="P125:T125" si="130">SUM(V125,AB125,AH125,AN125,AT125,AZ125,BF125)</f>
        <v>7000</v>
      </c>
      <c r="Q125" s="24">
        <f t="shared" si="130"/>
        <v>0</v>
      </c>
      <c r="R125" s="24">
        <f t="shared" si="130"/>
        <v>6650</v>
      </c>
      <c r="S125" s="24">
        <f t="shared" si="130"/>
        <v>0</v>
      </c>
      <c r="T125" s="24">
        <f t="shared" si="130"/>
        <v>350</v>
      </c>
      <c r="U125" s="20"/>
      <c r="V125" s="24"/>
      <c r="W125" s="24"/>
      <c r="X125" s="24"/>
      <c r="Y125" s="24"/>
      <c r="Z125" s="24"/>
      <c r="AA125" s="24"/>
      <c r="AB125" s="24"/>
      <c r="AC125" s="50"/>
      <c r="AD125" s="50"/>
      <c r="AE125" s="50"/>
      <c r="AF125" s="50"/>
      <c r="AG125" s="50"/>
      <c r="AH125" s="50">
        <f t="shared" si="2"/>
        <v>0</v>
      </c>
      <c r="AI125" s="50">
        <v>0</v>
      </c>
      <c r="AJ125" s="50">
        <v>0</v>
      </c>
      <c r="AK125" s="50">
        <v>0</v>
      </c>
      <c r="AL125" s="50">
        <v>0</v>
      </c>
      <c r="AM125" s="50"/>
      <c r="AN125" s="24">
        <f t="shared" si="3"/>
        <v>0</v>
      </c>
      <c r="AO125" s="50">
        <v>0</v>
      </c>
      <c r="AP125" s="50">
        <v>0</v>
      </c>
      <c r="AQ125" s="50">
        <v>0</v>
      </c>
      <c r="AR125" s="50">
        <v>0</v>
      </c>
      <c r="AS125" s="50"/>
      <c r="AT125" s="50">
        <f t="shared" si="4"/>
        <v>0</v>
      </c>
      <c r="AU125" s="50">
        <v>0</v>
      </c>
      <c r="AV125" s="50">
        <v>0</v>
      </c>
      <c r="AW125" s="50">
        <v>0</v>
      </c>
      <c r="AX125" s="50">
        <v>0</v>
      </c>
      <c r="AY125" s="50"/>
      <c r="AZ125" s="50">
        <f t="shared" si="127"/>
        <v>7000</v>
      </c>
      <c r="BA125" s="50">
        <v>0</v>
      </c>
      <c r="BB125" s="50">
        <v>6650</v>
      </c>
      <c r="BC125" s="50">
        <v>0</v>
      </c>
      <c r="BD125" s="50">
        <v>350</v>
      </c>
      <c r="BE125" s="50"/>
      <c r="BF125" s="50">
        <f t="shared" si="6"/>
        <v>0</v>
      </c>
      <c r="BG125" s="50">
        <v>0</v>
      </c>
      <c r="BH125" s="50">
        <v>0</v>
      </c>
      <c r="BI125" s="50">
        <v>0</v>
      </c>
      <c r="BJ125" s="50">
        <v>0</v>
      </c>
      <c r="BK125" s="50"/>
      <c r="BL125" s="20"/>
    </row>
    <row r="126" spans="1:64" ht="72" x14ac:dyDescent="0.2">
      <c r="A126" s="69">
        <v>122</v>
      </c>
      <c r="B126" s="48" t="str">
        <f ca="1">IFERROR(__xludf.DUMMYFUNCTION("""COMPUTED_VALUE"""),"г.о. Орехово-Зуево")</f>
        <v>г.о. Орехово-Зуево</v>
      </c>
      <c r="C126"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6" s="52" t="str">
        <f ca="1">IFERROR(__xludf.DUMMYFUNCTION("""COMPUTED_VALUE"""),"МинЖКХ")</f>
        <v>МинЖКХ</v>
      </c>
      <c r="E126" s="45" t="s">
        <v>183</v>
      </c>
      <c r="F126" s="46" t="str">
        <f ca="1">IFERROR(__xludf.DUMMYFUNCTION("""COMPUTED_VALUE"""),"ВЗУ")</f>
        <v>ВЗУ</v>
      </c>
      <c r="G126" s="46">
        <f ca="1">IFERROR(__xludf.DUMMYFUNCTION("""COMPUTED_VALUE"""),2023)</f>
        <v>2023</v>
      </c>
      <c r="H126" s="48" t="str">
        <f ca="1">IFERROR(__xludf.DUMMYFUNCTION("""COMPUTED_VALUE"""),"Контракт на ПИР не заключен.")</f>
        <v>Контракт на ПИР не заключен.</v>
      </c>
      <c r="I126" s="48" t="str">
        <f ca="1">IFERROR(__xludf.DUMMYFUNCTION("""COMPUTED_VALUE"""),"СМР")</f>
        <v>СМР</v>
      </c>
      <c r="J126" s="70">
        <f ca="1">IFERROR(__xludf.DUMMYFUNCTION("""COMPUTED_VALUE"""),0)</f>
        <v>0</v>
      </c>
      <c r="K126" s="48"/>
      <c r="L126" s="48"/>
      <c r="M126" s="48"/>
      <c r="N126" s="48" t="str">
        <f ca="1">IFERROR(__xludf.DUMMYFUNCTION("""COMPUTED_VALUE"""),"10 1 02 64090")</f>
        <v>10 1 02 64090</v>
      </c>
      <c r="O126" s="48">
        <f ca="1">IFERROR(__xludf.DUMMYFUNCTION("""COMPUTED_VALUE"""),522)</f>
        <v>522</v>
      </c>
      <c r="P126" s="24">
        <f t="shared" ref="P126:T126" si="131">SUM(V126,AB126,AH126,AN126,AT126,AZ126,BF126)</f>
        <v>1495.11</v>
      </c>
      <c r="Q126" s="24">
        <f t="shared" si="131"/>
        <v>0</v>
      </c>
      <c r="R126" s="24">
        <f t="shared" si="131"/>
        <v>1420</v>
      </c>
      <c r="S126" s="24">
        <f t="shared" si="131"/>
        <v>0</v>
      </c>
      <c r="T126" s="24">
        <f t="shared" si="131"/>
        <v>75.11</v>
      </c>
      <c r="U126" s="20"/>
      <c r="V126" s="24"/>
      <c r="W126" s="24"/>
      <c r="X126" s="24"/>
      <c r="Y126" s="24"/>
      <c r="Z126" s="24"/>
      <c r="AA126" s="24"/>
      <c r="AB126" s="24"/>
      <c r="AC126" s="50"/>
      <c r="AD126" s="50"/>
      <c r="AE126" s="50"/>
      <c r="AF126" s="50"/>
      <c r="AG126" s="50"/>
      <c r="AH126" s="50">
        <f t="shared" si="2"/>
        <v>0</v>
      </c>
      <c r="AI126" s="50">
        <v>0</v>
      </c>
      <c r="AJ126" s="50">
        <v>0</v>
      </c>
      <c r="AK126" s="50">
        <v>0</v>
      </c>
      <c r="AL126" s="50">
        <v>0</v>
      </c>
      <c r="AM126" s="50"/>
      <c r="AN126" s="24">
        <f t="shared" si="3"/>
        <v>0</v>
      </c>
      <c r="AO126" s="50">
        <v>0</v>
      </c>
      <c r="AP126" s="50">
        <v>0</v>
      </c>
      <c r="AQ126" s="50">
        <v>0</v>
      </c>
      <c r="AR126" s="50">
        <v>0</v>
      </c>
      <c r="AS126" s="50"/>
      <c r="AT126" s="50">
        <f t="shared" si="4"/>
        <v>0</v>
      </c>
      <c r="AU126" s="50">
        <v>0</v>
      </c>
      <c r="AV126" s="50">
        <v>0</v>
      </c>
      <c r="AW126" s="50">
        <v>0</v>
      </c>
      <c r="AX126" s="50">
        <v>0</v>
      </c>
      <c r="AY126" s="50"/>
      <c r="AZ126" s="50">
        <f t="shared" si="127"/>
        <v>1495.11</v>
      </c>
      <c r="BA126" s="50">
        <v>0</v>
      </c>
      <c r="BB126" s="50">
        <v>1420</v>
      </c>
      <c r="BC126" s="50">
        <v>0</v>
      </c>
      <c r="BD126" s="50">
        <v>75.11</v>
      </c>
      <c r="BE126" s="50"/>
      <c r="BF126" s="50">
        <f t="shared" si="6"/>
        <v>0</v>
      </c>
      <c r="BG126" s="50">
        <v>0</v>
      </c>
      <c r="BH126" s="50">
        <v>0</v>
      </c>
      <c r="BI126" s="50">
        <v>0</v>
      </c>
      <c r="BJ126" s="50">
        <v>0</v>
      </c>
      <c r="BK126" s="50"/>
      <c r="BL126" s="20"/>
    </row>
    <row r="127" spans="1:64" ht="72" x14ac:dyDescent="0.2">
      <c r="A127" s="69">
        <v>123</v>
      </c>
      <c r="B127" s="48" t="str">
        <f ca="1">IFERROR(__xludf.DUMMYFUNCTION("""COMPUTED_VALUE"""),"г.о. Щелково")</f>
        <v>г.о. Щелково</v>
      </c>
      <c r="C127"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7" s="52" t="str">
        <f ca="1">IFERROR(__xludf.DUMMYFUNCTION("""COMPUTED_VALUE"""),"МинЖКХ")</f>
        <v>МинЖКХ</v>
      </c>
      <c r="E127" s="45" t="s">
        <v>184</v>
      </c>
      <c r="F127" s="48" t="str">
        <f ca="1">IFERROR(__xludf.DUMMYFUNCTION("""COMPUTED_VALUE"""),"ВЗУ")</f>
        <v>ВЗУ</v>
      </c>
      <c r="G127" s="48" t="str">
        <f ca="1">IFERROR(__xludf.DUMMYFUNCTION("""COMPUTED_VALUE"""),"Н/Л")</f>
        <v>Н/Л</v>
      </c>
      <c r="H127" s="48" t="str">
        <f ca="1">IFERROR(__xludf.DUMMYFUNCTION("""COMPUTED_VALUE"""),"Контракт на ПИР не заключен.")</f>
        <v>Контракт на ПИР не заключен.</v>
      </c>
      <c r="I127" s="48" t="str">
        <f ca="1">IFERROR(__xludf.DUMMYFUNCTION("""COMPUTED_VALUE"""),"ПИР")</f>
        <v>ПИР</v>
      </c>
      <c r="J127" s="70">
        <f ca="1">IFERROR(__xludf.DUMMYFUNCTION("""COMPUTED_VALUE"""),0)</f>
        <v>0</v>
      </c>
      <c r="K127" s="48"/>
      <c r="L127" s="48"/>
      <c r="M127" s="48"/>
      <c r="N127" s="48" t="str">
        <f ca="1">IFERROR(__xludf.DUMMYFUNCTION("""COMPUTED_VALUE"""),"10 1 02 64090")</f>
        <v>10 1 02 64090</v>
      </c>
      <c r="O127" s="48">
        <f ca="1">IFERROR(__xludf.DUMMYFUNCTION("""COMPUTED_VALUE"""),522)</f>
        <v>522</v>
      </c>
      <c r="P127" s="24">
        <f t="shared" ref="P127:T127" si="132">SUM(V127,AB127,AH127,AN127,AT127,AZ127,BF127)</f>
        <v>0</v>
      </c>
      <c r="Q127" s="24">
        <f t="shared" si="132"/>
        <v>0</v>
      </c>
      <c r="R127" s="24">
        <f t="shared" si="132"/>
        <v>0</v>
      </c>
      <c r="S127" s="24">
        <f t="shared" si="132"/>
        <v>0</v>
      </c>
      <c r="T127" s="24">
        <f t="shared" si="132"/>
        <v>0</v>
      </c>
      <c r="U127" s="20"/>
      <c r="V127" s="24"/>
      <c r="W127" s="24"/>
      <c r="X127" s="24"/>
      <c r="Y127" s="24"/>
      <c r="Z127" s="24"/>
      <c r="AA127" s="24"/>
      <c r="AB127" s="24"/>
      <c r="AC127" s="50"/>
      <c r="AD127" s="50"/>
      <c r="AE127" s="50"/>
      <c r="AF127" s="50"/>
      <c r="AG127" s="50"/>
      <c r="AH127" s="50">
        <f t="shared" si="2"/>
        <v>0</v>
      </c>
      <c r="AI127" s="50">
        <v>0</v>
      </c>
      <c r="AJ127" s="50">
        <v>0</v>
      </c>
      <c r="AK127" s="50">
        <v>0</v>
      </c>
      <c r="AL127" s="50">
        <v>0</v>
      </c>
      <c r="AM127" s="50"/>
      <c r="AN127" s="24">
        <f t="shared" si="3"/>
        <v>0</v>
      </c>
      <c r="AO127" s="50">
        <v>0</v>
      </c>
      <c r="AP127" s="50">
        <v>0</v>
      </c>
      <c r="AQ127" s="50">
        <v>0</v>
      </c>
      <c r="AR127" s="50">
        <v>0</v>
      </c>
      <c r="AS127" s="50"/>
      <c r="AT127" s="50">
        <f t="shared" si="4"/>
        <v>0</v>
      </c>
      <c r="AU127" s="50">
        <v>0</v>
      </c>
      <c r="AV127" s="50">
        <v>0</v>
      </c>
      <c r="AW127" s="50">
        <v>0</v>
      </c>
      <c r="AX127" s="50">
        <v>0</v>
      </c>
      <c r="AY127" s="50"/>
      <c r="AZ127" s="50">
        <f t="shared" ref="AZ127:AZ219" si="133">SUM(BA127:BC127)</f>
        <v>0</v>
      </c>
      <c r="BA127" s="50">
        <v>0</v>
      </c>
      <c r="BB127" s="50">
        <v>0</v>
      </c>
      <c r="BC127" s="50">
        <v>0</v>
      </c>
      <c r="BD127" s="50">
        <v>0</v>
      </c>
      <c r="BE127" s="50"/>
      <c r="BF127" s="50">
        <f t="shared" si="6"/>
        <v>0</v>
      </c>
      <c r="BG127" s="50">
        <v>0</v>
      </c>
      <c r="BH127" s="50">
        <v>0</v>
      </c>
      <c r="BI127" s="50">
        <v>0</v>
      </c>
      <c r="BJ127" s="50">
        <v>0</v>
      </c>
      <c r="BK127" s="50"/>
      <c r="BL127" s="20"/>
    </row>
    <row r="128" spans="1:64" ht="72" x14ac:dyDescent="0.2">
      <c r="A128" s="69">
        <v>124</v>
      </c>
      <c r="B128" s="48" t="str">
        <f ca="1">IFERROR(__xludf.DUMMYFUNCTION("""COMPUTED_VALUE"""),"г.о. Дзержинский")</f>
        <v>г.о. Дзержинский</v>
      </c>
      <c r="C128"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8" s="52" t="str">
        <f ca="1">IFERROR(__xludf.DUMMYFUNCTION("""COMPUTED_VALUE"""),"МинЖКХ")</f>
        <v>МинЖКХ</v>
      </c>
      <c r="E128" s="45" t="s">
        <v>185</v>
      </c>
      <c r="F128" s="46" t="str">
        <f ca="1">IFERROR(__xludf.DUMMYFUNCTION("""COMPUTED_VALUE"""),"ВЗУ")</f>
        <v>ВЗУ</v>
      </c>
      <c r="G128" s="46">
        <f ca="1">IFERROR(__xludf.DUMMYFUNCTION("""COMPUTED_VALUE"""),2020)</f>
        <v>2020</v>
      </c>
      <c r="H128" s="48" t="str">
        <f ca="1">IFERROR(__xludf.DUMMYFUNCTION("""COMPUTED_VALUE"""),"Положительное заключение МОГЭ планируется в декабре 2020 года.")</f>
        <v>Положительное заключение МОГЭ планируется в декабре 2020 года.</v>
      </c>
      <c r="I128" s="48" t="str">
        <f ca="1">IFERROR(__xludf.DUMMYFUNCTION("""COMPUTED_VALUE"""),"ПИР")</f>
        <v>ПИР</v>
      </c>
      <c r="J128" s="70">
        <f ca="1">IFERROR(__xludf.DUMMYFUNCTION("""COMPUTED_VALUE"""),0.8)</f>
        <v>0.8</v>
      </c>
      <c r="K128" s="48" t="str">
        <f ca="1">IFERROR(__xludf.DUMMYFUNCTION("""COMPUTED_VALUE"""),"-")</f>
        <v>-</v>
      </c>
      <c r="L128" s="48" t="str">
        <f ca="1">IFERROR(__xludf.DUMMYFUNCTION("""COMPUTED_VALUE"""),"-")</f>
        <v>-</v>
      </c>
      <c r="M128" s="48"/>
      <c r="N128" s="48" t="str">
        <f ca="1">IFERROR(__xludf.DUMMYFUNCTION("""COMPUTED_VALUE"""),"10 1 02 64090")</f>
        <v>10 1 02 64090</v>
      </c>
      <c r="O128" s="48">
        <f ca="1">IFERROR(__xludf.DUMMYFUNCTION("""COMPUTED_VALUE"""),522)</f>
        <v>522</v>
      </c>
      <c r="P128" s="24">
        <f t="shared" ref="P128:T128" si="134">SUM(V128,AB128,AH128,AN128,AT128,AZ128,BF128)</f>
        <v>2599.7800000000002</v>
      </c>
      <c r="Q128" s="24">
        <f t="shared" si="134"/>
        <v>0</v>
      </c>
      <c r="R128" s="24">
        <f t="shared" si="134"/>
        <v>0</v>
      </c>
      <c r="S128" s="24">
        <f t="shared" si="134"/>
        <v>0</v>
      </c>
      <c r="T128" s="24">
        <f t="shared" si="134"/>
        <v>2599.7800000000002</v>
      </c>
      <c r="U128" s="20"/>
      <c r="V128" s="24"/>
      <c r="W128" s="24"/>
      <c r="X128" s="24"/>
      <c r="Y128" s="24"/>
      <c r="Z128" s="24"/>
      <c r="AA128" s="24"/>
      <c r="AB128" s="24"/>
      <c r="AC128" s="50"/>
      <c r="AD128" s="50"/>
      <c r="AE128" s="50"/>
      <c r="AF128" s="50"/>
      <c r="AG128" s="50"/>
      <c r="AH128" s="50">
        <f t="shared" si="2"/>
        <v>2599.7800000000002</v>
      </c>
      <c r="AI128" s="50">
        <v>0</v>
      </c>
      <c r="AJ128" s="50">
        <v>0</v>
      </c>
      <c r="AK128" s="50">
        <v>0</v>
      </c>
      <c r="AL128" s="50">
        <v>2599.7800000000002</v>
      </c>
      <c r="AM128" s="50"/>
      <c r="AN128" s="24">
        <f t="shared" si="3"/>
        <v>0</v>
      </c>
      <c r="AO128" s="50">
        <v>0</v>
      </c>
      <c r="AP128" s="50">
        <v>0</v>
      </c>
      <c r="AQ128" s="50">
        <v>0</v>
      </c>
      <c r="AR128" s="50">
        <v>0</v>
      </c>
      <c r="AS128" s="50"/>
      <c r="AT128" s="50">
        <f t="shared" si="4"/>
        <v>0</v>
      </c>
      <c r="AU128" s="50">
        <v>0</v>
      </c>
      <c r="AV128" s="50">
        <v>0</v>
      </c>
      <c r="AW128" s="50">
        <v>0</v>
      </c>
      <c r="AX128" s="50">
        <v>0</v>
      </c>
      <c r="AY128" s="50"/>
      <c r="AZ128" s="50">
        <f t="shared" si="133"/>
        <v>0</v>
      </c>
      <c r="BA128" s="50">
        <v>0</v>
      </c>
      <c r="BB128" s="50">
        <v>0</v>
      </c>
      <c r="BC128" s="50">
        <v>0</v>
      </c>
      <c r="BD128" s="50">
        <v>0</v>
      </c>
      <c r="BE128" s="50"/>
      <c r="BF128" s="50">
        <f t="shared" si="6"/>
        <v>0</v>
      </c>
      <c r="BG128" s="50">
        <v>0</v>
      </c>
      <c r="BH128" s="50">
        <v>0</v>
      </c>
      <c r="BI128" s="50">
        <v>0</v>
      </c>
      <c r="BJ128" s="50">
        <v>0</v>
      </c>
      <c r="BK128" s="50"/>
      <c r="BL128" s="20"/>
    </row>
    <row r="129" spans="1:64" ht="72" x14ac:dyDescent="0.2">
      <c r="A129" s="69">
        <v>125</v>
      </c>
      <c r="B129" s="48" t="str">
        <f ca="1">IFERROR(__xludf.DUMMYFUNCTION("""COMPUTED_VALUE"""),"г.о. Шатура")</f>
        <v>г.о. Шатура</v>
      </c>
      <c r="C129"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29" s="52" t="str">
        <f ca="1">IFERROR(__xludf.DUMMYFUNCTION("""COMPUTED_VALUE"""),"МинЖКХ")</f>
        <v>МинЖКХ</v>
      </c>
      <c r="E129" s="45" t="s">
        <v>186</v>
      </c>
      <c r="F129" s="48" t="str">
        <f ca="1">IFERROR(__xludf.DUMMYFUNCTION("""COMPUTED_VALUE"""),"ВЗУ")</f>
        <v>ВЗУ</v>
      </c>
      <c r="G129" s="48" t="str">
        <f ca="1">IFERROR(__xludf.DUMMYFUNCTION("""COMPUTED_VALUE"""),"Н/Л")</f>
        <v>Н/Л</v>
      </c>
      <c r="H129" s="48" t="str">
        <f ca="1">IFERROR(__xludf.DUMMYFUNCTION("""COMPUTED_VALUE"""),"Контракт на ПИР не заключен.")</f>
        <v>Контракт на ПИР не заключен.</v>
      </c>
      <c r="I129" s="48" t="str">
        <f ca="1">IFERROR(__xludf.DUMMYFUNCTION("""COMPUTED_VALUE"""),"ПИР")</f>
        <v>ПИР</v>
      </c>
      <c r="J129" s="70">
        <f ca="1">IFERROR(__xludf.DUMMYFUNCTION("""COMPUTED_VALUE"""),0)</f>
        <v>0</v>
      </c>
      <c r="K129" s="48"/>
      <c r="L129" s="48"/>
      <c r="M129" s="48"/>
      <c r="N129" s="48" t="str">
        <f ca="1">IFERROR(__xludf.DUMMYFUNCTION("""COMPUTED_VALUE"""),"10 1 02 64090")</f>
        <v>10 1 02 64090</v>
      </c>
      <c r="O129" s="48">
        <f ca="1">IFERROR(__xludf.DUMMYFUNCTION("""COMPUTED_VALUE"""),522)</f>
        <v>522</v>
      </c>
      <c r="P129" s="24">
        <f t="shared" ref="P129:T129" si="135">SUM(V129,AB129,AH129,AN129,AT129,AZ129,BF129)</f>
        <v>0</v>
      </c>
      <c r="Q129" s="24">
        <f t="shared" si="135"/>
        <v>0</v>
      </c>
      <c r="R129" s="24">
        <f t="shared" si="135"/>
        <v>0</v>
      </c>
      <c r="S129" s="24">
        <f t="shared" si="135"/>
        <v>0</v>
      </c>
      <c r="T129" s="24">
        <f t="shared" si="135"/>
        <v>0</v>
      </c>
      <c r="U129" s="20"/>
      <c r="V129" s="24"/>
      <c r="W129" s="24"/>
      <c r="X129" s="24"/>
      <c r="Y129" s="24"/>
      <c r="Z129" s="24"/>
      <c r="AA129" s="24"/>
      <c r="AB129" s="24"/>
      <c r="AC129" s="50"/>
      <c r="AD129" s="50"/>
      <c r="AE129" s="50"/>
      <c r="AF129" s="50"/>
      <c r="AG129" s="50"/>
      <c r="AH129" s="50">
        <f t="shared" si="2"/>
        <v>0</v>
      </c>
      <c r="AI129" s="50">
        <v>0</v>
      </c>
      <c r="AJ129" s="50">
        <v>0</v>
      </c>
      <c r="AK129" s="50">
        <v>0</v>
      </c>
      <c r="AL129" s="50">
        <v>0</v>
      </c>
      <c r="AM129" s="50"/>
      <c r="AN129" s="24">
        <f t="shared" si="3"/>
        <v>0</v>
      </c>
      <c r="AO129" s="50">
        <v>0</v>
      </c>
      <c r="AP129" s="50">
        <v>0</v>
      </c>
      <c r="AQ129" s="50">
        <v>0</v>
      </c>
      <c r="AR129" s="50">
        <v>0</v>
      </c>
      <c r="AS129" s="50"/>
      <c r="AT129" s="50">
        <f t="shared" si="4"/>
        <v>0</v>
      </c>
      <c r="AU129" s="50">
        <v>0</v>
      </c>
      <c r="AV129" s="50">
        <v>0</v>
      </c>
      <c r="AW129" s="50">
        <v>0</v>
      </c>
      <c r="AX129" s="50">
        <v>0</v>
      </c>
      <c r="AY129" s="50"/>
      <c r="AZ129" s="50">
        <f t="shared" si="133"/>
        <v>0</v>
      </c>
      <c r="BA129" s="50">
        <v>0</v>
      </c>
      <c r="BB129" s="50">
        <v>0</v>
      </c>
      <c r="BC129" s="50">
        <v>0</v>
      </c>
      <c r="BD129" s="50">
        <v>0</v>
      </c>
      <c r="BE129" s="50"/>
      <c r="BF129" s="50">
        <f t="shared" si="6"/>
        <v>0</v>
      </c>
      <c r="BG129" s="50">
        <v>0</v>
      </c>
      <c r="BH129" s="50">
        <v>0</v>
      </c>
      <c r="BI129" s="50">
        <v>0</v>
      </c>
      <c r="BJ129" s="50">
        <v>0</v>
      </c>
      <c r="BK129" s="50"/>
      <c r="BL129" s="20"/>
    </row>
    <row r="130" spans="1:64" ht="72" x14ac:dyDescent="0.2">
      <c r="A130" s="69">
        <v>126</v>
      </c>
      <c r="B130" s="48" t="str">
        <f ca="1">IFERROR(__xludf.DUMMYFUNCTION("""COMPUTED_VALUE"""),"г.о. Балашиха")</f>
        <v>г.о. Балашиха</v>
      </c>
      <c r="C130"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f>
        <v>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водоснабжения</v>
      </c>
      <c r="D130" s="52" t="str">
        <f ca="1">IFERROR(__xludf.DUMMYFUNCTION("""COMPUTED_VALUE"""),"МинЖКХ")</f>
        <v>МинЖКХ</v>
      </c>
      <c r="E130" s="45" t="s">
        <v>187</v>
      </c>
      <c r="F130" s="46" t="str">
        <f ca="1">IFERROR(__xludf.DUMMYFUNCTION("""COMPUTED_VALUE"""),"ВЗУ")</f>
        <v>ВЗУ</v>
      </c>
      <c r="G130" s="46" t="str">
        <f ca="1">IFERROR(__xludf.DUMMYFUNCTION("""COMPUTED_VALUE"""),"2020-2021")</f>
        <v>2020-2021</v>
      </c>
      <c r="H130" s="48" t="str">
        <f ca="1">IFERROR(__xludf.DUMMYFUNCTION("""COMPUTED_VALUE"""),"Готовится конкурсная документация для публикации закупки. Освоение лимитов планируется за счет авансирования.")</f>
        <v>Готовится конкурсная документация для публикации закупки. Освоение лимитов планируется за счет авансирования.</v>
      </c>
      <c r="I130" s="48" t="str">
        <f ca="1">IFERROR(__xludf.DUMMYFUNCTION("""COMPUTED_VALUE"""),"СМР")</f>
        <v>СМР</v>
      </c>
      <c r="J130" s="70">
        <f ca="1">IFERROR(__xludf.DUMMYFUNCTION("""COMPUTED_VALUE"""),0)</f>
        <v>0</v>
      </c>
      <c r="K130" s="48">
        <f ca="1">IFERROR(__xludf.DUMMYFUNCTION("""COMPUTED_VALUE"""),0)</f>
        <v>0</v>
      </c>
      <c r="L130" s="48">
        <f ca="1">IFERROR(__xludf.DUMMYFUNCTION("""COMPUTED_VALUE"""),200)</f>
        <v>200</v>
      </c>
      <c r="M130" s="48"/>
      <c r="N130" s="48" t="str">
        <f ca="1">IFERROR(__xludf.DUMMYFUNCTION("""COMPUTED_VALUE"""),"10 1 02 64090")</f>
        <v>10 1 02 64090</v>
      </c>
      <c r="O130" s="48">
        <f ca="1">IFERROR(__xludf.DUMMYFUNCTION("""COMPUTED_VALUE"""),522)</f>
        <v>522</v>
      </c>
      <c r="P130" s="24">
        <f t="shared" ref="P130:T130" si="136">SUM(V130,AB130,AH130,AN130,AT130,AZ130,BF130)</f>
        <v>36868.15</v>
      </c>
      <c r="Q130" s="24">
        <f t="shared" si="136"/>
        <v>0</v>
      </c>
      <c r="R130" s="24">
        <f t="shared" si="136"/>
        <v>28646</v>
      </c>
      <c r="S130" s="24">
        <f t="shared" si="136"/>
        <v>0</v>
      </c>
      <c r="T130" s="24">
        <f t="shared" si="136"/>
        <v>8222.1500000000015</v>
      </c>
      <c r="U130" s="20"/>
      <c r="V130" s="24"/>
      <c r="W130" s="24"/>
      <c r="X130" s="24"/>
      <c r="Y130" s="24"/>
      <c r="Z130" s="24"/>
      <c r="AA130" s="24"/>
      <c r="AB130" s="24"/>
      <c r="AC130" s="50"/>
      <c r="AD130" s="50"/>
      <c r="AE130" s="50"/>
      <c r="AF130" s="50"/>
      <c r="AG130" s="50"/>
      <c r="AH130" s="50">
        <f t="shared" si="2"/>
        <v>10092.09</v>
      </c>
      <c r="AI130" s="50">
        <v>0</v>
      </c>
      <c r="AJ130" s="50">
        <v>7841</v>
      </c>
      <c r="AK130" s="50">
        <v>0</v>
      </c>
      <c r="AL130" s="50">
        <v>2251.09</v>
      </c>
      <c r="AM130" s="50"/>
      <c r="AN130" s="24">
        <f t="shared" si="3"/>
        <v>26776.06</v>
      </c>
      <c r="AO130" s="50">
        <v>0</v>
      </c>
      <c r="AP130" s="50">
        <v>20805</v>
      </c>
      <c r="AQ130" s="50">
        <v>0</v>
      </c>
      <c r="AR130" s="50">
        <v>5971.06</v>
      </c>
      <c r="AS130" s="50"/>
      <c r="AT130" s="50">
        <f t="shared" si="4"/>
        <v>0</v>
      </c>
      <c r="AU130" s="50">
        <v>0</v>
      </c>
      <c r="AV130" s="50">
        <v>0</v>
      </c>
      <c r="AW130" s="50">
        <v>0</v>
      </c>
      <c r="AX130" s="50">
        <v>0</v>
      </c>
      <c r="AY130" s="50"/>
      <c r="AZ130" s="50">
        <f t="shared" si="133"/>
        <v>0</v>
      </c>
      <c r="BA130" s="50">
        <v>0</v>
      </c>
      <c r="BB130" s="50">
        <v>0</v>
      </c>
      <c r="BC130" s="50">
        <v>0</v>
      </c>
      <c r="BD130" s="50">
        <v>0</v>
      </c>
      <c r="BE130" s="50"/>
      <c r="BF130" s="50">
        <f t="shared" si="6"/>
        <v>0</v>
      </c>
      <c r="BG130" s="50">
        <v>0</v>
      </c>
      <c r="BH130" s="50">
        <v>0</v>
      </c>
      <c r="BI130" s="50">
        <v>0</v>
      </c>
      <c r="BJ130" s="50">
        <v>0</v>
      </c>
      <c r="BK130" s="50"/>
      <c r="BL130" s="20"/>
    </row>
    <row r="131" spans="1:64" ht="96" x14ac:dyDescent="0.2">
      <c r="A131" s="69">
        <v>127</v>
      </c>
      <c r="B131" s="48" t="str">
        <f ca="1">IFERROR(__xludf.DUMMYFUNCTION("""COMPUTED_VALUE"""),"г.о. Пушкинский")</f>
        <v>г.о. Пушкинский</v>
      </c>
      <c r="C13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1" s="52" t="str">
        <f ca="1">IFERROR(__xludf.DUMMYFUNCTION("""COMPUTED_VALUE"""),"МинЖКХ")</f>
        <v>МинЖКХ</v>
      </c>
      <c r="E131" s="45" t="s">
        <v>188</v>
      </c>
      <c r="F131" s="48" t="str">
        <f ca="1">IFERROR(__xludf.DUMMYFUNCTION("""COMPUTED_VALUE"""),"ВНС")</f>
        <v>ВНС</v>
      </c>
      <c r="G131" s="48" t="str">
        <f ca="1">IFERROR(__xludf.DUMMYFUNCTION("""COMPUTED_VALUE"""),"Н/Л")</f>
        <v>Н/Л</v>
      </c>
      <c r="H131" s="48"/>
      <c r="I131" s="48" t="str">
        <f ca="1">IFERROR(__xludf.DUMMYFUNCTION("""COMPUTED_VALUE"""),"СМР")</f>
        <v>СМР</v>
      </c>
      <c r="J131" s="70">
        <f ca="1">IFERROR(__xludf.DUMMYFUNCTION("""COMPUTED_VALUE"""),0)</f>
        <v>0</v>
      </c>
      <c r="K131" s="48"/>
      <c r="L131" s="48"/>
      <c r="M131" s="48"/>
      <c r="N131" s="48" t="str">
        <f ca="1">IFERROR(__xludf.DUMMYFUNCTION("""COMPUTED_VALUE"""),"10 1 02 60330")</f>
        <v>10 1 02 60330</v>
      </c>
      <c r="O131" s="48">
        <f ca="1">IFERROR(__xludf.DUMMYFUNCTION("""COMPUTED_VALUE"""),520)</f>
        <v>520</v>
      </c>
      <c r="P131" s="24">
        <f t="shared" ref="P131:T131" si="137">SUM(V131,AB131,AH131,AN131,AT131,AZ131,BF131)</f>
        <v>0</v>
      </c>
      <c r="Q131" s="24">
        <f t="shared" si="137"/>
        <v>0</v>
      </c>
      <c r="R131" s="24">
        <f t="shared" si="137"/>
        <v>0</v>
      </c>
      <c r="S131" s="24">
        <f t="shared" si="137"/>
        <v>0</v>
      </c>
      <c r="T131" s="24">
        <f t="shared" si="137"/>
        <v>0</v>
      </c>
      <c r="U131" s="20"/>
      <c r="V131" s="24"/>
      <c r="W131" s="24"/>
      <c r="X131" s="24"/>
      <c r="Y131" s="24"/>
      <c r="Z131" s="24"/>
      <c r="AA131" s="24"/>
      <c r="AB131" s="24"/>
      <c r="AC131" s="50"/>
      <c r="AD131" s="50"/>
      <c r="AE131" s="50"/>
      <c r="AF131" s="50"/>
      <c r="AG131" s="50"/>
      <c r="AH131" s="50">
        <f t="shared" si="2"/>
        <v>0</v>
      </c>
      <c r="AI131" s="50">
        <v>0</v>
      </c>
      <c r="AJ131" s="50">
        <v>0</v>
      </c>
      <c r="AK131" s="50">
        <v>0</v>
      </c>
      <c r="AL131" s="50">
        <v>0</v>
      </c>
      <c r="AM131" s="50"/>
      <c r="AN131" s="24">
        <f t="shared" si="3"/>
        <v>0</v>
      </c>
      <c r="AO131" s="50">
        <v>0</v>
      </c>
      <c r="AP131" s="50">
        <v>0</v>
      </c>
      <c r="AQ131" s="50">
        <v>0</v>
      </c>
      <c r="AR131" s="50">
        <v>0</v>
      </c>
      <c r="AS131" s="50"/>
      <c r="AT131" s="50">
        <f t="shared" si="4"/>
        <v>0</v>
      </c>
      <c r="AU131" s="50">
        <v>0</v>
      </c>
      <c r="AV131" s="50">
        <v>0</v>
      </c>
      <c r="AW131" s="50">
        <v>0</v>
      </c>
      <c r="AX131" s="50">
        <v>0</v>
      </c>
      <c r="AY131" s="50"/>
      <c r="AZ131" s="50">
        <f t="shared" si="133"/>
        <v>0</v>
      </c>
      <c r="BA131" s="50">
        <v>0</v>
      </c>
      <c r="BB131" s="50">
        <v>0</v>
      </c>
      <c r="BC131" s="50">
        <v>0</v>
      </c>
      <c r="BD131" s="50">
        <v>0</v>
      </c>
      <c r="BE131" s="50"/>
      <c r="BF131" s="50">
        <f t="shared" si="6"/>
        <v>0</v>
      </c>
      <c r="BG131" s="50">
        <v>0</v>
      </c>
      <c r="BH131" s="50">
        <v>0</v>
      </c>
      <c r="BI131" s="50">
        <v>0</v>
      </c>
      <c r="BJ131" s="50">
        <v>0</v>
      </c>
      <c r="BK131" s="50"/>
      <c r="BL131" s="20"/>
    </row>
    <row r="132" spans="1:64" ht="96" x14ac:dyDescent="0.2">
      <c r="A132" s="69">
        <v>128</v>
      </c>
      <c r="B132" s="48" t="str">
        <f ca="1">IFERROR(__xludf.DUMMYFUNCTION("""COMPUTED_VALUE"""),"г.о. Богородский")</f>
        <v>г.о. Богородский</v>
      </c>
      <c r="C13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2" s="52" t="str">
        <f ca="1">IFERROR(__xludf.DUMMYFUNCTION("""COMPUTED_VALUE"""),"МинЖКХ")</f>
        <v>МинЖКХ</v>
      </c>
      <c r="E132" s="45" t="s">
        <v>189</v>
      </c>
      <c r="F132" s="48" t="str">
        <f ca="1">IFERROR(__xludf.DUMMYFUNCTION("""COMPUTED_VALUE"""),"ВЗУ")</f>
        <v>ВЗУ</v>
      </c>
      <c r="G132" s="48" t="str">
        <f ca="1">IFERROR(__xludf.DUMMYFUNCTION("""COMPUTED_VALUE"""),"Н/Л")</f>
        <v>Н/Л</v>
      </c>
      <c r="H132" s="48" t="str">
        <f ca="1">IFERROR(__xludf.DUMMYFUNCTION("""COMPUTED_VALUE"""),"Работы завершены в 2019 году.")</f>
        <v>Работы завершены в 2019 году.</v>
      </c>
      <c r="I132" s="48" t="str">
        <f ca="1">IFERROR(__xludf.DUMMYFUNCTION("""COMPUTED_VALUE"""),"Приобретение, монтаж")</f>
        <v>Приобретение, монтаж</v>
      </c>
      <c r="J132" s="70">
        <f ca="1">IFERROR(__xludf.DUMMYFUNCTION("""COMPUTED_VALUE"""),1)</f>
        <v>1</v>
      </c>
      <c r="K132" s="48"/>
      <c r="L132" s="48"/>
      <c r="M132" s="48"/>
      <c r="N132" s="48" t="str">
        <f ca="1">IFERROR(__xludf.DUMMYFUNCTION("""COMPUTED_VALUE"""),"10 1 02 60330")</f>
        <v>10 1 02 60330</v>
      </c>
      <c r="O132" s="48">
        <f ca="1">IFERROR(__xludf.DUMMYFUNCTION("""COMPUTED_VALUE"""),520)</f>
        <v>520</v>
      </c>
      <c r="P132" s="24">
        <f t="shared" ref="P132:T132" si="138">SUM(V132,AB132,AH132,AN132,AT132,AZ132,BF132)</f>
        <v>0</v>
      </c>
      <c r="Q132" s="24">
        <f t="shared" si="138"/>
        <v>0</v>
      </c>
      <c r="R132" s="24">
        <f t="shared" si="138"/>
        <v>0</v>
      </c>
      <c r="S132" s="24">
        <f t="shared" si="138"/>
        <v>0</v>
      </c>
      <c r="T132" s="24">
        <f t="shared" si="138"/>
        <v>0</v>
      </c>
      <c r="U132" s="20"/>
      <c r="V132" s="24"/>
      <c r="W132" s="24"/>
      <c r="X132" s="24"/>
      <c r="Y132" s="24"/>
      <c r="Z132" s="24"/>
      <c r="AA132" s="24"/>
      <c r="AB132" s="24"/>
      <c r="AC132" s="50"/>
      <c r="AD132" s="50"/>
      <c r="AE132" s="50"/>
      <c r="AF132" s="50"/>
      <c r="AG132" s="50"/>
      <c r="AH132" s="50">
        <f t="shared" si="2"/>
        <v>0</v>
      </c>
      <c r="AI132" s="50">
        <v>0</v>
      </c>
      <c r="AJ132" s="50">
        <v>0</v>
      </c>
      <c r="AK132" s="50">
        <v>0</v>
      </c>
      <c r="AL132" s="50">
        <v>0</v>
      </c>
      <c r="AM132" s="50"/>
      <c r="AN132" s="24">
        <f t="shared" si="3"/>
        <v>0</v>
      </c>
      <c r="AO132" s="50">
        <v>0</v>
      </c>
      <c r="AP132" s="50">
        <v>0</v>
      </c>
      <c r="AQ132" s="50">
        <v>0</v>
      </c>
      <c r="AR132" s="50">
        <v>0</v>
      </c>
      <c r="AS132" s="50"/>
      <c r="AT132" s="50">
        <f t="shared" si="4"/>
        <v>0</v>
      </c>
      <c r="AU132" s="50">
        <v>0</v>
      </c>
      <c r="AV132" s="50">
        <v>0</v>
      </c>
      <c r="AW132" s="50">
        <v>0</v>
      </c>
      <c r="AX132" s="50">
        <v>0</v>
      </c>
      <c r="AY132" s="50"/>
      <c r="AZ132" s="50">
        <f t="shared" si="133"/>
        <v>0</v>
      </c>
      <c r="BA132" s="50">
        <v>0</v>
      </c>
      <c r="BB132" s="50">
        <v>0</v>
      </c>
      <c r="BC132" s="50">
        <v>0</v>
      </c>
      <c r="BD132" s="50">
        <v>0</v>
      </c>
      <c r="BE132" s="50"/>
      <c r="BF132" s="50">
        <f t="shared" si="6"/>
        <v>0</v>
      </c>
      <c r="BG132" s="50">
        <v>0</v>
      </c>
      <c r="BH132" s="50">
        <v>0</v>
      </c>
      <c r="BI132" s="50">
        <v>0</v>
      </c>
      <c r="BJ132" s="50">
        <v>0</v>
      </c>
      <c r="BK132" s="50"/>
      <c r="BL132" s="20"/>
    </row>
    <row r="133" spans="1:64" ht="96" x14ac:dyDescent="0.2">
      <c r="A133" s="69">
        <v>129</v>
      </c>
      <c r="B133" s="48" t="str">
        <f ca="1">IFERROR(__xludf.DUMMYFUNCTION("""COMPUTED_VALUE"""),"г.о. Богородский")</f>
        <v>г.о. Богородский</v>
      </c>
      <c r="C13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3" s="52" t="str">
        <f ca="1">IFERROR(__xludf.DUMMYFUNCTION("""COMPUTED_VALUE"""),"МинЖКХ")</f>
        <v>МинЖКХ</v>
      </c>
      <c r="E133" s="45" t="s">
        <v>190</v>
      </c>
      <c r="F133" s="48" t="str">
        <f ca="1">IFERROR(__xludf.DUMMYFUNCTION("""COMPUTED_VALUE"""),"ВЗУ")</f>
        <v>ВЗУ</v>
      </c>
      <c r="G133" s="48" t="str">
        <f ca="1">IFERROR(__xludf.DUMMYFUNCTION("""COMPUTED_VALUE"""),"Н/Л")</f>
        <v>Н/Л</v>
      </c>
      <c r="H133" s="48" t="str">
        <f ca="1">IFERROR(__xludf.DUMMYFUNCTION("""COMPUTED_VALUE"""),"Работы завершены в 2019 году.")</f>
        <v>Работы завершены в 2019 году.</v>
      </c>
      <c r="I133" s="48" t="str">
        <f ca="1">IFERROR(__xludf.DUMMYFUNCTION("""COMPUTED_VALUE"""),"Приобретение, монтаж")</f>
        <v>Приобретение, монтаж</v>
      </c>
      <c r="J133" s="70">
        <f ca="1">IFERROR(__xludf.DUMMYFUNCTION("""COMPUTED_VALUE"""),1)</f>
        <v>1</v>
      </c>
      <c r="K133" s="48"/>
      <c r="L133" s="48"/>
      <c r="M133" s="48"/>
      <c r="N133" s="48" t="str">
        <f ca="1">IFERROR(__xludf.DUMMYFUNCTION("""COMPUTED_VALUE"""),"10 1 02 60330")</f>
        <v>10 1 02 60330</v>
      </c>
      <c r="O133" s="48">
        <f ca="1">IFERROR(__xludf.DUMMYFUNCTION("""COMPUTED_VALUE"""),520)</f>
        <v>520</v>
      </c>
      <c r="P133" s="24">
        <f t="shared" ref="P133:T133" si="139">SUM(V133,AB133,AH133,AN133,AT133,AZ133,BF133)</f>
        <v>0</v>
      </c>
      <c r="Q133" s="24">
        <f t="shared" si="139"/>
        <v>0</v>
      </c>
      <c r="R133" s="24">
        <f t="shared" si="139"/>
        <v>0</v>
      </c>
      <c r="S133" s="24">
        <f t="shared" si="139"/>
        <v>0</v>
      </c>
      <c r="T133" s="24">
        <f t="shared" si="139"/>
        <v>0</v>
      </c>
      <c r="U133" s="20"/>
      <c r="V133" s="24"/>
      <c r="W133" s="24"/>
      <c r="X133" s="24"/>
      <c r="Y133" s="24"/>
      <c r="Z133" s="24"/>
      <c r="AA133" s="24"/>
      <c r="AB133" s="24"/>
      <c r="AC133" s="50"/>
      <c r="AD133" s="50"/>
      <c r="AE133" s="50"/>
      <c r="AF133" s="50"/>
      <c r="AG133" s="50"/>
      <c r="AH133" s="50">
        <f t="shared" si="2"/>
        <v>0</v>
      </c>
      <c r="AI133" s="50">
        <v>0</v>
      </c>
      <c r="AJ133" s="50">
        <v>0</v>
      </c>
      <c r="AK133" s="50">
        <v>0</v>
      </c>
      <c r="AL133" s="50">
        <v>0</v>
      </c>
      <c r="AM133" s="50"/>
      <c r="AN133" s="24">
        <f t="shared" si="3"/>
        <v>0</v>
      </c>
      <c r="AO133" s="50">
        <v>0</v>
      </c>
      <c r="AP133" s="50">
        <v>0</v>
      </c>
      <c r="AQ133" s="50">
        <v>0</v>
      </c>
      <c r="AR133" s="50">
        <v>0</v>
      </c>
      <c r="AS133" s="50"/>
      <c r="AT133" s="50">
        <f t="shared" si="4"/>
        <v>0</v>
      </c>
      <c r="AU133" s="50">
        <v>0</v>
      </c>
      <c r="AV133" s="50">
        <v>0</v>
      </c>
      <c r="AW133" s="50">
        <v>0</v>
      </c>
      <c r="AX133" s="50">
        <v>0</v>
      </c>
      <c r="AY133" s="50"/>
      <c r="AZ133" s="50">
        <f t="shared" si="133"/>
        <v>0</v>
      </c>
      <c r="BA133" s="50">
        <v>0</v>
      </c>
      <c r="BB133" s="50">
        <v>0</v>
      </c>
      <c r="BC133" s="50">
        <v>0</v>
      </c>
      <c r="BD133" s="50">
        <v>0</v>
      </c>
      <c r="BE133" s="50"/>
      <c r="BF133" s="50">
        <f t="shared" si="6"/>
        <v>0</v>
      </c>
      <c r="BG133" s="50">
        <v>0</v>
      </c>
      <c r="BH133" s="50">
        <v>0</v>
      </c>
      <c r="BI133" s="50">
        <v>0</v>
      </c>
      <c r="BJ133" s="50">
        <v>0</v>
      </c>
      <c r="BK133" s="50"/>
      <c r="BL133" s="20"/>
    </row>
    <row r="134" spans="1:64" ht="96" x14ac:dyDescent="0.2">
      <c r="A134" s="69">
        <v>130</v>
      </c>
      <c r="B134" s="48" t="str">
        <f ca="1">IFERROR(__xludf.DUMMYFUNCTION("""COMPUTED_VALUE"""),"г.о. Богородский")</f>
        <v>г.о. Богородский</v>
      </c>
      <c r="C13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4" s="52" t="str">
        <f ca="1">IFERROR(__xludf.DUMMYFUNCTION("""COMPUTED_VALUE"""),"МинЖКХ")</f>
        <v>МинЖКХ</v>
      </c>
      <c r="E134" s="45" t="s">
        <v>191</v>
      </c>
      <c r="F134" s="48" t="str">
        <f ca="1">IFERROR(__xludf.DUMMYFUNCTION("""COMPUTED_VALUE"""),"ВЗУ")</f>
        <v>ВЗУ</v>
      </c>
      <c r="G134" s="48" t="str">
        <f ca="1">IFERROR(__xludf.DUMMYFUNCTION("""COMPUTED_VALUE"""),"Н/Л")</f>
        <v>Н/Л</v>
      </c>
      <c r="H134" s="48" t="str">
        <f ca="1">IFERROR(__xludf.DUMMYFUNCTION("""COMPUTED_VALUE"""),"Работы завершены в 2019 году.")</f>
        <v>Работы завершены в 2019 году.</v>
      </c>
      <c r="I134" s="48" t="str">
        <f ca="1">IFERROR(__xludf.DUMMYFUNCTION("""COMPUTED_VALUE"""),"Приобретение, монтаж")</f>
        <v>Приобретение, монтаж</v>
      </c>
      <c r="J134" s="70">
        <f ca="1">IFERROR(__xludf.DUMMYFUNCTION("""COMPUTED_VALUE"""),1)</f>
        <v>1</v>
      </c>
      <c r="K134" s="48"/>
      <c r="L134" s="48"/>
      <c r="M134" s="48"/>
      <c r="N134" s="48" t="str">
        <f ca="1">IFERROR(__xludf.DUMMYFUNCTION("""COMPUTED_VALUE"""),"10 1 02 60330")</f>
        <v>10 1 02 60330</v>
      </c>
      <c r="O134" s="48">
        <f ca="1">IFERROR(__xludf.DUMMYFUNCTION("""COMPUTED_VALUE"""),520)</f>
        <v>520</v>
      </c>
      <c r="P134" s="24">
        <f t="shared" ref="P134:T134" si="140">SUM(V134,AB134,AH134,AN134,AT134,AZ134,BF134)</f>
        <v>0</v>
      </c>
      <c r="Q134" s="24">
        <f t="shared" si="140"/>
        <v>0</v>
      </c>
      <c r="R134" s="24">
        <f t="shared" si="140"/>
        <v>0</v>
      </c>
      <c r="S134" s="24">
        <f t="shared" si="140"/>
        <v>0</v>
      </c>
      <c r="T134" s="24">
        <f t="shared" si="140"/>
        <v>0</v>
      </c>
      <c r="U134" s="20"/>
      <c r="V134" s="24"/>
      <c r="W134" s="24"/>
      <c r="X134" s="24"/>
      <c r="Y134" s="24"/>
      <c r="Z134" s="24"/>
      <c r="AA134" s="24"/>
      <c r="AB134" s="24"/>
      <c r="AC134" s="50"/>
      <c r="AD134" s="50"/>
      <c r="AE134" s="50"/>
      <c r="AF134" s="50"/>
      <c r="AG134" s="50"/>
      <c r="AH134" s="50">
        <f t="shared" si="2"/>
        <v>0</v>
      </c>
      <c r="AI134" s="50">
        <v>0</v>
      </c>
      <c r="AJ134" s="50">
        <v>0</v>
      </c>
      <c r="AK134" s="50">
        <v>0</v>
      </c>
      <c r="AL134" s="50">
        <v>0</v>
      </c>
      <c r="AM134" s="50"/>
      <c r="AN134" s="24">
        <f t="shared" si="3"/>
        <v>0</v>
      </c>
      <c r="AO134" s="50">
        <v>0</v>
      </c>
      <c r="AP134" s="50">
        <v>0</v>
      </c>
      <c r="AQ134" s="50">
        <v>0</v>
      </c>
      <c r="AR134" s="50">
        <v>0</v>
      </c>
      <c r="AS134" s="50"/>
      <c r="AT134" s="50">
        <f t="shared" si="4"/>
        <v>0</v>
      </c>
      <c r="AU134" s="50">
        <v>0</v>
      </c>
      <c r="AV134" s="50">
        <v>0</v>
      </c>
      <c r="AW134" s="50">
        <v>0</v>
      </c>
      <c r="AX134" s="50">
        <v>0</v>
      </c>
      <c r="AY134" s="50"/>
      <c r="AZ134" s="50">
        <f t="shared" si="133"/>
        <v>0</v>
      </c>
      <c r="BA134" s="50">
        <v>0</v>
      </c>
      <c r="BB134" s="50">
        <v>0</v>
      </c>
      <c r="BC134" s="50">
        <v>0</v>
      </c>
      <c r="BD134" s="50">
        <v>0</v>
      </c>
      <c r="BE134" s="50"/>
      <c r="BF134" s="50">
        <f t="shared" si="6"/>
        <v>0</v>
      </c>
      <c r="BG134" s="50">
        <v>0</v>
      </c>
      <c r="BH134" s="50">
        <v>0</v>
      </c>
      <c r="BI134" s="50">
        <v>0</v>
      </c>
      <c r="BJ134" s="50">
        <v>0</v>
      </c>
      <c r="BK134" s="50"/>
      <c r="BL134" s="20"/>
    </row>
    <row r="135" spans="1:64" ht="96" x14ac:dyDescent="0.2">
      <c r="A135" s="69">
        <v>131</v>
      </c>
      <c r="B135" s="48" t="str">
        <f ca="1">IFERROR(__xludf.DUMMYFUNCTION("""COMPUTED_VALUE"""),"г.о. Богородский")</f>
        <v>г.о. Богородский</v>
      </c>
      <c r="C13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5" s="52" t="str">
        <f ca="1">IFERROR(__xludf.DUMMYFUNCTION("""COMPUTED_VALUE"""),"МинЖКХ")</f>
        <v>МинЖКХ</v>
      </c>
      <c r="E135" s="45" t="s">
        <v>192</v>
      </c>
      <c r="F135" s="48" t="str">
        <f ca="1">IFERROR(__xludf.DUMMYFUNCTION("""COMPUTED_VALUE"""),"ВЗУ")</f>
        <v>ВЗУ</v>
      </c>
      <c r="G135" s="48" t="str">
        <f ca="1">IFERROR(__xludf.DUMMYFUNCTION("""COMPUTED_VALUE"""),"Н/Л")</f>
        <v>Н/Л</v>
      </c>
      <c r="H135" s="48" t="str">
        <f ca="1">IFERROR(__xludf.DUMMYFUNCTION("""COMPUTED_VALUE"""),"Работы завершены в 2019 году.")</f>
        <v>Работы завершены в 2019 году.</v>
      </c>
      <c r="I135" s="48" t="str">
        <f ca="1">IFERROR(__xludf.DUMMYFUNCTION("""COMPUTED_VALUE"""),"Приобретение, монтаж")</f>
        <v>Приобретение, монтаж</v>
      </c>
      <c r="J135" s="70">
        <f ca="1">IFERROR(__xludf.DUMMYFUNCTION("""COMPUTED_VALUE"""),1)</f>
        <v>1</v>
      </c>
      <c r="K135" s="48"/>
      <c r="L135" s="48"/>
      <c r="M135" s="48"/>
      <c r="N135" s="48" t="str">
        <f ca="1">IFERROR(__xludf.DUMMYFUNCTION("""COMPUTED_VALUE"""),"10 1 02 60330")</f>
        <v>10 1 02 60330</v>
      </c>
      <c r="O135" s="48">
        <f ca="1">IFERROR(__xludf.DUMMYFUNCTION("""COMPUTED_VALUE"""),520)</f>
        <v>520</v>
      </c>
      <c r="P135" s="24">
        <f t="shared" ref="P135:T135" si="141">SUM(V135,AB135,AH135,AN135,AT135,AZ135,BF135)</f>
        <v>0</v>
      </c>
      <c r="Q135" s="24">
        <f t="shared" si="141"/>
        <v>0</v>
      </c>
      <c r="R135" s="24">
        <f t="shared" si="141"/>
        <v>0</v>
      </c>
      <c r="S135" s="24">
        <f t="shared" si="141"/>
        <v>0</v>
      </c>
      <c r="T135" s="24">
        <f t="shared" si="141"/>
        <v>0</v>
      </c>
      <c r="U135" s="20"/>
      <c r="V135" s="24"/>
      <c r="W135" s="24"/>
      <c r="X135" s="24"/>
      <c r="Y135" s="24"/>
      <c r="Z135" s="24"/>
      <c r="AA135" s="24"/>
      <c r="AB135" s="24"/>
      <c r="AC135" s="50"/>
      <c r="AD135" s="50"/>
      <c r="AE135" s="50"/>
      <c r="AF135" s="50"/>
      <c r="AG135" s="50"/>
      <c r="AH135" s="50">
        <f t="shared" si="2"/>
        <v>0</v>
      </c>
      <c r="AI135" s="50">
        <v>0</v>
      </c>
      <c r="AJ135" s="50">
        <v>0</v>
      </c>
      <c r="AK135" s="50">
        <v>0</v>
      </c>
      <c r="AL135" s="50">
        <v>0</v>
      </c>
      <c r="AM135" s="50"/>
      <c r="AN135" s="24">
        <f t="shared" si="3"/>
        <v>0</v>
      </c>
      <c r="AO135" s="50">
        <v>0</v>
      </c>
      <c r="AP135" s="50">
        <v>0</v>
      </c>
      <c r="AQ135" s="50">
        <v>0</v>
      </c>
      <c r="AR135" s="50">
        <v>0</v>
      </c>
      <c r="AS135" s="50"/>
      <c r="AT135" s="50">
        <f t="shared" si="4"/>
        <v>0</v>
      </c>
      <c r="AU135" s="50">
        <v>0</v>
      </c>
      <c r="AV135" s="50">
        <v>0</v>
      </c>
      <c r="AW135" s="50">
        <v>0</v>
      </c>
      <c r="AX135" s="50">
        <v>0</v>
      </c>
      <c r="AY135" s="50"/>
      <c r="AZ135" s="50">
        <f t="shared" si="133"/>
        <v>0</v>
      </c>
      <c r="BA135" s="50">
        <v>0</v>
      </c>
      <c r="BB135" s="50">
        <v>0</v>
      </c>
      <c r="BC135" s="50">
        <v>0</v>
      </c>
      <c r="BD135" s="50">
        <v>0</v>
      </c>
      <c r="BE135" s="50"/>
      <c r="BF135" s="50">
        <f t="shared" si="6"/>
        <v>0</v>
      </c>
      <c r="BG135" s="50">
        <v>0</v>
      </c>
      <c r="BH135" s="50">
        <v>0</v>
      </c>
      <c r="BI135" s="50">
        <v>0</v>
      </c>
      <c r="BJ135" s="50">
        <v>0</v>
      </c>
      <c r="BK135" s="50"/>
      <c r="BL135" s="20"/>
    </row>
    <row r="136" spans="1:64" ht="96" x14ac:dyDescent="0.2">
      <c r="A136" s="69">
        <v>132</v>
      </c>
      <c r="B136" s="48" t="str">
        <f ca="1">IFERROR(__xludf.DUMMYFUNCTION("""COMPUTED_VALUE"""),"г.о. Богородский")</f>
        <v>г.о. Богородский</v>
      </c>
      <c r="C13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6" s="52" t="str">
        <f ca="1">IFERROR(__xludf.DUMMYFUNCTION("""COMPUTED_VALUE"""),"МинЖКХ")</f>
        <v>МинЖКХ</v>
      </c>
      <c r="E136" s="45" t="s">
        <v>193</v>
      </c>
      <c r="F136" s="48" t="str">
        <f ca="1">IFERROR(__xludf.DUMMYFUNCTION("""COMPUTED_VALUE"""),"Сети")</f>
        <v>Сети</v>
      </c>
      <c r="G136" s="48" t="str">
        <f ca="1">IFERROR(__xludf.DUMMYFUNCTION("""COMPUTED_VALUE"""),"Н/Л")</f>
        <v>Н/Л</v>
      </c>
      <c r="H136" s="48"/>
      <c r="I136" s="48" t="str">
        <f ca="1">IFERROR(__xludf.DUMMYFUNCTION("""COMPUTED_VALUE"""),"СМР")</f>
        <v>СМР</v>
      </c>
      <c r="J136" s="48"/>
      <c r="K136" s="48"/>
      <c r="L136" s="48"/>
      <c r="M136" s="48"/>
      <c r="N136" s="48" t="str">
        <f ca="1">IFERROR(__xludf.DUMMYFUNCTION("""COMPUTED_VALUE"""),"10 1 02 60330")</f>
        <v>10 1 02 60330</v>
      </c>
      <c r="O136" s="48">
        <f ca="1">IFERROR(__xludf.DUMMYFUNCTION("""COMPUTED_VALUE"""),520)</f>
        <v>520</v>
      </c>
      <c r="P136" s="24">
        <f t="shared" ref="P136:T136" si="142">SUM(V136,AB136,AH136,AN136,AT136,AZ136,BF136)</f>
        <v>0</v>
      </c>
      <c r="Q136" s="24">
        <f t="shared" si="142"/>
        <v>0</v>
      </c>
      <c r="R136" s="24">
        <f t="shared" si="142"/>
        <v>0</v>
      </c>
      <c r="S136" s="24">
        <f t="shared" si="142"/>
        <v>0</v>
      </c>
      <c r="T136" s="24">
        <f t="shared" si="142"/>
        <v>0</v>
      </c>
      <c r="U136" s="20"/>
      <c r="V136" s="24"/>
      <c r="W136" s="24"/>
      <c r="X136" s="24"/>
      <c r="Y136" s="24"/>
      <c r="Z136" s="24"/>
      <c r="AA136" s="24"/>
      <c r="AB136" s="24"/>
      <c r="AC136" s="50"/>
      <c r="AD136" s="50"/>
      <c r="AE136" s="50"/>
      <c r="AF136" s="50"/>
      <c r="AG136" s="50"/>
      <c r="AH136" s="50">
        <f t="shared" si="2"/>
        <v>0</v>
      </c>
      <c r="AI136" s="50">
        <v>0</v>
      </c>
      <c r="AJ136" s="50">
        <v>0</v>
      </c>
      <c r="AK136" s="50">
        <v>0</v>
      </c>
      <c r="AL136" s="50">
        <v>0</v>
      </c>
      <c r="AM136" s="50"/>
      <c r="AN136" s="24">
        <f t="shared" si="3"/>
        <v>0</v>
      </c>
      <c r="AO136" s="50">
        <v>0</v>
      </c>
      <c r="AP136" s="50">
        <v>0</v>
      </c>
      <c r="AQ136" s="50">
        <v>0</v>
      </c>
      <c r="AR136" s="50">
        <v>0</v>
      </c>
      <c r="AS136" s="50"/>
      <c r="AT136" s="50">
        <f t="shared" si="4"/>
        <v>0</v>
      </c>
      <c r="AU136" s="50">
        <v>0</v>
      </c>
      <c r="AV136" s="50">
        <v>0</v>
      </c>
      <c r="AW136" s="50">
        <v>0</v>
      </c>
      <c r="AX136" s="50">
        <v>0</v>
      </c>
      <c r="AY136" s="50"/>
      <c r="AZ136" s="50">
        <f t="shared" si="133"/>
        <v>0</v>
      </c>
      <c r="BA136" s="50">
        <v>0</v>
      </c>
      <c r="BB136" s="50">
        <v>0</v>
      </c>
      <c r="BC136" s="50">
        <v>0</v>
      </c>
      <c r="BD136" s="50">
        <v>0</v>
      </c>
      <c r="BE136" s="50"/>
      <c r="BF136" s="50">
        <f t="shared" si="6"/>
        <v>0</v>
      </c>
      <c r="BG136" s="50">
        <v>0</v>
      </c>
      <c r="BH136" s="50">
        <v>0</v>
      </c>
      <c r="BI136" s="50">
        <v>0</v>
      </c>
      <c r="BJ136" s="50">
        <v>0</v>
      </c>
      <c r="BK136" s="50"/>
      <c r="BL136" s="20"/>
    </row>
    <row r="137" spans="1:64" ht="96" x14ac:dyDescent="0.2">
      <c r="A137" s="69">
        <v>133</v>
      </c>
      <c r="B137" s="48" t="str">
        <f ca="1">IFERROR(__xludf.DUMMYFUNCTION("""COMPUTED_VALUE"""),"г.о. Воскресенск")</f>
        <v>г.о. Воскресенск</v>
      </c>
      <c r="C13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7" s="52" t="str">
        <f ca="1">IFERROR(__xludf.DUMMYFUNCTION("""COMPUTED_VALUE"""),"МинЖКХ")</f>
        <v>МинЖКХ</v>
      </c>
      <c r="E137" s="45" t="s">
        <v>194</v>
      </c>
      <c r="F137" s="48" t="str">
        <f ca="1">IFERROR(__xludf.DUMMYFUNCTION("""COMPUTED_VALUE"""),"ВЗУ")</f>
        <v>ВЗУ</v>
      </c>
      <c r="G137" s="48" t="str">
        <f ca="1">IFERROR(__xludf.DUMMYFUNCTION("""COMPUTED_VALUE"""),"Н/Л")</f>
        <v>Н/Л</v>
      </c>
      <c r="H137" s="48"/>
      <c r="I137" s="48" t="str">
        <f ca="1">IFERROR(__xludf.DUMMYFUNCTION("""COMPUTED_VALUE"""),"Приобретение, монтаж")</f>
        <v>Приобретение, монтаж</v>
      </c>
      <c r="J137" s="48"/>
      <c r="K137" s="48"/>
      <c r="L137" s="48"/>
      <c r="M137" s="48"/>
      <c r="N137" s="48" t="str">
        <f ca="1">IFERROR(__xludf.DUMMYFUNCTION("""COMPUTED_VALUE"""),"10 1 02 60330")</f>
        <v>10 1 02 60330</v>
      </c>
      <c r="O137" s="48">
        <f ca="1">IFERROR(__xludf.DUMMYFUNCTION("""COMPUTED_VALUE"""),520)</f>
        <v>520</v>
      </c>
      <c r="P137" s="24">
        <f t="shared" ref="P137:T137" si="143">SUM(V137,AB137,AH137,AN137,AT137,AZ137,BF137)</f>
        <v>0</v>
      </c>
      <c r="Q137" s="24">
        <f t="shared" si="143"/>
        <v>0</v>
      </c>
      <c r="R137" s="24">
        <f t="shared" si="143"/>
        <v>0</v>
      </c>
      <c r="S137" s="24">
        <f t="shared" si="143"/>
        <v>0</v>
      </c>
      <c r="T137" s="24">
        <f t="shared" si="143"/>
        <v>0</v>
      </c>
      <c r="U137" s="20"/>
      <c r="V137" s="24"/>
      <c r="W137" s="24"/>
      <c r="X137" s="24"/>
      <c r="Y137" s="24"/>
      <c r="Z137" s="24"/>
      <c r="AA137" s="24"/>
      <c r="AB137" s="24"/>
      <c r="AC137" s="50"/>
      <c r="AD137" s="50"/>
      <c r="AE137" s="50"/>
      <c r="AF137" s="50"/>
      <c r="AG137" s="50"/>
      <c r="AH137" s="50">
        <f t="shared" si="2"/>
        <v>0</v>
      </c>
      <c r="AI137" s="50">
        <v>0</v>
      </c>
      <c r="AJ137" s="50">
        <v>0</v>
      </c>
      <c r="AK137" s="50">
        <v>0</v>
      </c>
      <c r="AL137" s="50">
        <v>0</v>
      </c>
      <c r="AM137" s="50"/>
      <c r="AN137" s="24">
        <f t="shared" si="3"/>
        <v>0</v>
      </c>
      <c r="AO137" s="50">
        <v>0</v>
      </c>
      <c r="AP137" s="50">
        <v>0</v>
      </c>
      <c r="AQ137" s="50">
        <v>0</v>
      </c>
      <c r="AR137" s="50">
        <v>0</v>
      </c>
      <c r="AS137" s="50"/>
      <c r="AT137" s="50">
        <f t="shared" si="4"/>
        <v>0</v>
      </c>
      <c r="AU137" s="50">
        <v>0</v>
      </c>
      <c r="AV137" s="50">
        <v>0</v>
      </c>
      <c r="AW137" s="50">
        <v>0</v>
      </c>
      <c r="AX137" s="50">
        <v>0</v>
      </c>
      <c r="AY137" s="50"/>
      <c r="AZ137" s="50">
        <f t="shared" si="133"/>
        <v>0</v>
      </c>
      <c r="BA137" s="50">
        <v>0</v>
      </c>
      <c r="BB137" s="50">
        <v>0</v>
      </c>
      <c r="BC137" s="50">
        <v>0</v>
      </c>
      <c r="BD137" s="50">
        <v>0</v>
      </c>
      <c r="BE137" s="50"/>
      <c r="BF137" s="50">
        <f t="shared" si="6"/>
        <v>0</v>
      </c>
      <c r="BG137" s="50">
        <v>0</v>
      </c>
      <c r="BH137" s="50">
        <v>0</v>
      </c>
      <c r="BI137" s="50">
        <v>0</v>
      </c>
      <c r="BJ137" s="50">
        <v>0</v>
      </c>
      <c r="BK137" s="50"/>
      <c r="BL137" s="20"/>
    </row>
    <row r="138" spans="1:64" ht="96" x14ac:dyDescent="0.2">
      <c r="A138" s="69">
        <v>134</v>
      </c>
      <c r="B138" s="48" t="str">
        <f ca="1">IFERROR(__xludf.DUMMYFUNCTION("""COMPUTED_VALUE"""),"г.о. Воскресенск")</f>
        <v>г.о. Воскресенск</v>
      </c>
      <c r="C13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8" s="52" t="str">
        <f ca="1">IFERROR(__xludf.DUMMYFUNCTION("""COMPUTED_VALUE"""),"МинЖКХ")</f>
        <v>МинЖКХ</v>
      </c>
      <c r="E138" s="45" t="s">
        <v>195</v>
      </c>
      <c r="F138" s="48" t="str">
        <f ca="1">IFERROR(__xludf.DUMMYFUNCTION("""COMPUTED_VALUE"""),"ВЗУ")</f>
        <v>ВЗУ</v>
      </c>
      <c r="G138" s="48" t="str">
        <f ca="1">IFERROR(__xludf.DUMMYFUNCTION("""COMPUTED_VALUE"""),"Н/Л")</f>
        <v>Н/Л</v>
      </c>
      <c r="H138" s="48"/>
      <c r="I138" s="48" t="str">
        <f ca="1">IFERROR(__xludf.DUMMYFUNCTION("""COMPUTED_VALUE"""),"Приобретение, монтаж")</f>
        <v>Приобретение, монтаж</v>
      </c>
      <c r="J138" s="48"/>
      <c r="K138" s="48"/>
      <c r="L138" s="48"/>
      <c r="M138" s="48"/>
      <c r="N138" s="48" t="str">
        <f ca="1">IFERROR(__xludf.DUMMYFUNCTION("""COMPUTED_VALUE"""),"10 1 02 60330")</f>
        <v>10 1 02 60330</v>
      </c>
      <c r="O138" s="48">
        <f ca="1">IFERROR(__xludf.DUMMYFUNCTION("""COMPUTED_VALUE"""),520)</f>
        <v>520</v>
      </c>
      <c r="P138" s="24">
        <f t="shared" ref="P138:T138" si="144">SUM(V138,AB138,AH138,AN138,AT138,AZ138,BF138)</f>
        <v>0</v>
      </c>
      <c r="Q138" s="24">
        <f t="shared" si="144"/>
        <v>0</v>
      </c>
      <c r="R138" s="24">
        <f t="shared" si="144"/>
        <v>0</v>
      </c>
      <c r="S138" s="24">
        <f t="shared" si="144"/>
        <v>0</v>
      </c>
      <c r="T138" s="24">
        <f t="shared" si="144"/>
        <v>0</v>
      </c>
      <c r="U138" s="20"/>
      <c r="V138" s="24"/>
      <c r="W138" s="24"/>
      <c r="X138" s="24"/>
      <c r="Y138" s="24"/>
      <c r="Z138" s="24"/>
      <c r="AA138" s="24"/>
      <c r="AB138" s="24"/>
      <c r="AC138" s="50"/>
      <c r="AD138" s="50"/>
      <c r="AE138" s="50"/>
      <c r="AF138" s="50"/>
      <c r="AG138" s="50"/>
      <c r="AH138" s="50">
        <f t="shared" si="2"/>
        <v>0</v>
      </c>
      <c r="AI138" s="50">
        <v>0</v>
      </c>
      <c r="AJ138" s="50">
        <v>0</v>
      </c>
      <c r="AK138" s="50">
        <v>0</v>
      </c>
      <c r="AL138" s="50">
        <v>0</v>
      </c>
      <c r="AM138" s="50"/>
      <c r="AN138" s="24">
        <f t="shared" si="3"/>
        <v>0</v>
      </c>
      <c r="AO138" s="50">
        <v>0</v>
      </c>
      <c r="AP138" s="50">
        <v>0</v>
      </c>
      <c r="AQ138" s="50">
        <v>0</v>
      </c>
      <c r="AR138" s="50">
        <v>0</v>
      </c>
      <c r="AS138" s="50"/>
      <c r="AT138" s="50">
        <f t="shared" si="4"/>
        <v>0</v>
      </c>
      <c r="AU138" s="50">
        <v>0</v>
      </c>
      <c r="AV138" s="50">
        <v>0</v>
      </c>
      <c r="AW138" s="50">
        <v>0</v>
      </c>
      <c r="AX138" s="50">
        <v>0</v>
      </c>
      <c r="AY138" s="50"/>
      <c r="AZ138" s="50">
        <f t="shared" si="133"/>
        <v>0</v>
      </c>
      <c r="BA138" s="50">
        <v>0</v>
      </c>
      <c r="BB138" s="50">
        <v>0</v>
      </c>
      <c r="BC138" s="50">
        <v>0</v>
      </c>
      <c r="BD138" s="50">
        <v>0</v>
      </c>
      <c r="BE138" s="50"/>
      <c r="BF138" s="50">
        <f t="shared" si="6"/>
        <v>0</v>
      </c>
      <c r="BG138" s="50">
        <v>0</v>
      </c>
      <c r="BH138" s="50">
        <v>0</v>
      </c>
      <c r="BI138" s="50">
        <v>0</v>
      </c>
      <c r="BJ138" s="50">
        <v>0</v>
      </c>
      <c r="BK138" s="50"/>
      <c r="BL138" s="20"/>
    </row>
    <row r="139" spans="1:64" ht="96" x14ac:dyDescent="0.2">
      <c r="A139" s="69">
        <v>135</v>
      </c>
      <c r="B139" s="48" t="str">
        <f ca="1">IFERROR(__xludf.DUMMYFUNCTION("""COMPUTED_VALUE"""),"г.о. Воскресенск")</f>
        <v>г.о. Воскресенск</v>
      </c>
      <c r="C13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39" s="52" t="str">
        <f ca="1">IFERROR(__xludf.DUMMYFUNCTION("""COMPUTED_VALUE"""),"МинЖКХ")</f>
        <v>МинЖКХ</v>
      </c>
      <c r="E139" s="45" t="s">
        <v>196</v>
      </c>
      <c r="F139" s="48" t="str">
        <f ca="1">IFERROR(__xludf.DUMMYFUNCTION("""COMPUTED_VALUE"""),"ВЗУ")</f>
        <v>ВЗУ</v>
      </c>
      <c r="G139" s="48" t="str">
        <f ca="1">IFERROR(__xludf.DUMMYFUNCTION("""COMPUTED_VALUE"""),"Н/Л")</f>
        <v>Н/Л</v>
      </c>
      <c r="H139" s="48"/>
      <c r="I139" s="48" t="str">
        <f ca="1">IFERROR(__xludf.DUMMYFUNCTION("""COMPUTED_VALUE"""),"Приобретение, монтаж")</f>
        <v>Приобретение, монтаж</v>
      </c>
      <c r="J139" s="48"/>
      <c r="K139" s="48"/>
      <c r="L139" s="48"/>
      <c r="M139" s="48"/>
      <c r="N139" s="48" t="str">
        <f ca="1">IFERROR(__xludf.DUMMYFUNCTION("""COMPUTED_VALUE"""),"10 1 02 60330")</f>
        <v>10 1 02 60330</v>
      </c>
      <c r="O139" s="48">
        <f ca="1">IFERROR(__xludf.DUMMYFUNCTION("""COMPUTED_VALUE"""),520)</f>
        <v>520</v>
      </c>
      <c r="P139" s="24">
        <f t="shared" ref="P139:T139" si="145">SUM(V139,AB139,AH139,AN139,AT139,AZ139,BF139)</f>
        <v>0</v>
      </c>
      <c r="Q139" s="24">
        <f t="shared" si="145"/>
        <v>0</v>
      </c>
      <c r="R139" s="24">
        <f t="shared" si="145"/>
        <v>0</v>
      </c>
      <c r="S139" s="24">
        <f t="shared" si="145"/>
        <v>0</v>
      </c>
      <c r="T139" s="24">
        <f t="shared" si="145"/>
        <v>0</v>
      </c>
      <c r="U139" s="20"/>
      <c r="V139" s="24"/>
      <c r="W139" s="24"/>
      <c r="X139" s="24"/>
      <c r="Y139" s="24"/>
      <c r="Z139" s="24"/>
      <c r="AA139" s="24"/>
      <c r="AB139" s="24"/>
      <c r="AC139" s="50"/>
      <c r="AD139" s="50"/>
      <c r="AE139" s="50"/>
      <c r="AF139" s="50"/>
      <c r="AG139" s="50"/>
      <c r="AH139" s="50">
        <f t="shared" si="2"/>
        <v>0</v>
      </c>
      <c r="AI139" s="50">
        <v>0</v>
      </c>
      <c r="AJ139" s="50">
        <v>0</v>
      </c>
      <c r="AK139" s="50">
        <v>0</v>
      </c>
      <c r="AL139" s="50">
        <v>0</v>
      </c>
      <c r="AM139" s="50"/>
      <c r="AN139" s="24">
        <f t="shared" si="3"/>
        <v>0</v>
      </c>
      <c r="AO139" s="50">
        <v>0</v>
      </c>
      <c r="AP139" s="50">
        <v>0</v>
      </c>
      <c r="AQ139" s="50">
        <v>0</v>
      </c>
      <c r="AR139" s="50">
        <v>0</v>
      </c>
      <c r="AS139" s="50"/>
      <c r="AT139" s="50">
        <f t="shared" si="4"/>
        <v>0</v>
      </c>
      <c r="AU139" s="50">
        <v>0</v>
      </c>
      <c r="AV139" s="50">
        <v>0</v>
      </c>
      <c r="AW139" s="50">
        <v>0</v>
      </c>
      <c r="AX139" s="50">
        <v>0</v>
      </c>
      <c r="AY139" s="50"/>
      <c r="AZ139" s="50">
        <f t="shared" si="133"/>
        <v>0</v>
      </c>
      <c r="BA139" s="50">
        <v>0</v>
      </c>
      <c r="BB139" s="50">
        <v>0</v>
      </c>
      <c r="BC139" s="50">
        <v>0</v>
      </c>
      <c r="BD139" s="50">
        <v>0</v>
      </c>
      <c r="BE139" s="50"/>
      <c r="BF139" s="50">
        <f t="shared" si="6"/>
        <v>0</v>
      </c>
      <c r="BG139" s="50">
        <v>0</v>
      </c>
      <c r="BH139" s="50">
        <v>0</v>
      </c>
      <c r="BI139" s="50">
        <v>0</v>
      </c>
      <c r="BJ139" s="50">
        <v>0</v>
      </c>
      <c r="BK139" s="50"/>
      <c r="BL139" s="20"/>
    </row>
    <row r="140" spans="1:64" ht="96" x14ac:dyDescent="0.2">
      <c r="A140" s="69">
        <v>136</v>
      </c>
      <c r="B140" s="48" t="str">
        <f ca="1">IFERROR(__xludf.DUMMYFUNCTION("""COMPUTED_VALUE"""),"г.о. Воскресенск")</f>
        <v>г.о. Воскресенск</v>
      </c>
      <c r="C14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0" s="52" t="str">
        <f ca="1">IFERROR(__xludf.DUMMYFUNCTION("""COMPUTED_VALUE"""),"МинЖКХ")</f>
        <v>МинЖКХ</v>
      </c>
      <c r="E140" s="45" t="s">
        <v>197</v>
      </c>
      <c r="F140" s="48" t="str">
        <f ca="1">IFERROR(__xludf.DUMMYFUNCTION("""COMPUTED_VALUE"""),"ВЗУ")</f>
        <v>ВЗУ</v>
      </c>
      <c r="G140" s="48" t="str">
        <f ca="1">IFERROR(__xludf.DUMMYFUNCTION("""COMPUTED_VALUE"""),"Н/Л")</f>
        <v>Н/Л</v>
      </c>
      <c r="H140" s="48"/>
      <c r="I140" s="48" t="str">
        <f ca="1">IFERROR(__xludf.DUMMYFUNCTION("""COMPUTED_VALUE"""),"Приобретение, монтаж")</f>
        <v>Приобретение, монтаж</v>
      </c>
      <c r="J140" s="48"/>
      <c r="K140" s="48"/>
      <c r="L140" s="48"/>
      <c r="M140" s="48"/>
      <c r="N140" s="48" t="str">
        <f ca="1">IFERROR(__xludf.DUMMYFUNCTION("""COMPUTED_VALUE"""),"10 1 02 60330")</f>
        <v>10 1 02 60330</v>
      </c>
      <c r="O140" s="48">
        <f ca="1">IFERROR(__xludf.DUMMYFUNCTION("""COMPUTED_VALUE"""),520)</f>
        <v>520</v>
      </c>
      <c r="P140" s="24">
        <f t="shared" ref="P140:T140" si="146">SUM(V140,AB140,AH140,AN140,AT140,AZ140,BF140)</f>
        <v>0</v>
      </c>
      <c r="Q140" s="24">
        <f t="shared" si="146"/>
        <v>0</v>
      </c>
      <c r="R140" s="24">
        <f t="shared" si="146"/>
        <v>0</v>
      </c>
      <c r="S140" s="24">
        <f t="shared" si="146"/>
        <v>0</v>
      </c>
      <c r="T140" s="24">
        <f t="shared" si="146"/>
        <v>0</v>
      </c>
      <c r="U140" s="20"/>
      <c r="V140" s="24"/>
      <c r="W140" s="24"/>
      <c r="X140" s="24"/>
      <c r="Y140" s="24"/>
      <c r="Z140" s="24"/>
      <c r="AA140" s="24"/>
      <c r="AB140" s="24"/>
      <c r="AC140" s="50"/>
      <c r="AD140" s="50"/>
      <c r="AE140" s="50"/>
      <c r="AF140" s="50"/>
      <c r="AG140" s="50"/>
      <c r="AH140" s="50">
        <f t="shared" si="2"/>
        <v>0</v>
      </c>
      <c r="AI140" s="50">
        <v>0</v>
      </c>
      <c r="AJ140" s="50">
        <v>0</v>
      </c>
      <c r="AK140" s="50">
        <v>0</v>
      </c>
      <c r="AL140" s="50">
        <v>0</v>
      </c>
      <c r="AM140" s="50"/>
      <c r="AN140" s="24">
        <f t="shared" si="3"/>
        <v>0</v>
      </c>
      <c r="AO140" s="50">
        <v>0</v>
      </c>
      <c r="AP140" s="50">
        <v>0</v>
      </c>
      <c r="AQ140" s="50">
        <v>0</v>
      </c>
      <c r="AR140" s="50">
        <v>0</v>
      </c>
      <c r="AS140" s="50"/>
      <c r="AT140" s="50">
        <f t="shared" si="4"/>
        <v>0</v>
      </c>
      <c r="AU140" s="50">
        <v>0</v>
      </c>
      <c r="AV140" s="50">
        <v>0</v>
      </c>
      <c r="AW140" s="50">
        <v>0</v>
      </c>
      <c r="AX140" s="50">
        <v>0</v>
      </c>
      <c r="AY140" s="50"/>
      <c r="AZ140" s="50">
        <f t="shared" si="133"/>
        <v>0</v>
      </c>
      <c r="BA140" s="50">
        <v>0</v>
      </c>
      <c r="BB140" s="50">
        <v>0</v>
      </c>
      <c r="BC140" s="50">
        <v>0</v>
      </c>
      <c r="BD140" s="50">
        <v>0</v>
      </c>
      <c r="BE140" s="50"/>
      <c r="BF140" s="50">
        <f t="shared" si="6"/>
        <v>0</v>
      </c>
      <c r="BG140" s="50">
        <v>0</v>
      </c>
      <c r="BH140" s="50">
        <v>0</v>
      </c>
      <c r="BI140" s="50">
        <v>0</v>
      </c>
      <c r="BJ140" s="50">
        <v>0</v>
      </c>
      <c r="BK140" s="50"/>
      <c r="BL140" s="20"/>
    </row>
    <row r="141" spans="1:64" ht="96" x14ac:dyDescent="0.2">
      <c r="A141" s="69">
        <v>137</v>
      </c>
      <c r="B141" s="48" t="str">
        <f ca="1">IFERROR(__xludf.DUMMYFUNCTION("""COMPUTED_VALUE"""),"г.о. Воскресенск")</f>
        <v>г.о. Воскресенск</v>
      </c>
      <c r="C14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1" s="52" t="str">
        <f ca="1">IFERROR(__xludf.DUMMYFUNCTION("""COMPUTED_VALUE"""),"МинЖКХ")</f>
        <v>МинЖКХ</v>
      </c>
      <c r="E141" s="45" t="s">
        <v>198</v>
      </c>
      <c r="F141" s="48" t="str">
        <f ca="1">IFERROR(__xludf.DUMMYFUNCTION("""COMPUTED_VALUE"""),"ВЗУ")</f>
        <v>ВЗУ</v>
      </c>
      <c r="G141" s="48" t="str">
        <f ca="1">IFERROR(__xludf.DUMMYFUNCTION("""COMPUTED_VALUE"""),"Н/Л")</f>
        <v>Н/Л</v>
      </c>
      <c r="H141" s="48"/>
      <c r="I141" s="48" t="str">
        <f ca="1">IFERROR(__xludf.DUMMYFUNCTION("""COMPUTED_VALUE"""),"Приобретение, монтаж")</f>
        <v>Приобретение, монтаж</v>
      </c>
      <c r="J141" s="48"/>
      <c r="K141" s="48"/>
      <c r="L141" s="48"/>
      <c r="M141" s="48"/>
      <c r="N141" s="48" t="str">
        <f ca="1">IFERROR(__xludf.DUMMYFUNCTION("""COMPUTED_VALUE"""),"10 1 02 60330")</f>
        <v>10 1 02 60330</v>
      </c>
      <c r="O141" s="48">
        <f ca="1">IFERROR(__xludf.DUMMYFUNCTION("""COMPUTED_VALUE"""),520)</f>
        <v>520</v>
      </c>
      <c r="P141" s="24">
        <f t="shared" ref="P141:T141" si="147">SUM(V141,AB141,AH141,AN141,AT141,AZ141,BF141)</f>
        <v>0</v>
      </c>
      <c r="Q141" s="24">
        <f t="shared" si="147"/>
        <v>0</v>
      </c>
      <c r="R141" s="24">
        <f t="shared" si="147"/>
        <v>0</v>
      </c>
      <c r="S141" s="24">
        <f t="shared" si="147"/>
        <v>0</v>
      </c>
      <c r="T141" s="24">
        <f t="shared" si="147"/>
        <v>0</v>
      </c>
      <c r="U141" s="20"/>
      <c r="V141" s="24"/>
      <c r="W141" s="24"/>
      <c r="X141" s="24"/>
      <c r="Y141" s="24"/>
      <c r="Z141" s="24"/>
      <c r="AA141" s="24"/>
      <c r="AB141" s="24"/>
      <c r="AC141" s="50"/>
      <c r="AD141" s="50"/>
      <c r="AE141" s="50"/>
      <c r="AF141" s="50"/>
      <c r="AG141" s="50"/>
      <c r="AH141" s="50">
        <f t="shared" si="2"/>
        <v>0</v>
      </c>
      <c r="AI141" s="50">
        <v>0</v>
      </c>
      <c r="AJ141" s="50">
        <v>0</v>
      </c>
      <c r="AK141" s="50">
        <v>0</v>
      </c>
      <c r="AL141" s="50">
        <v>0</v>
      </c>
      <c r="AM141" s="50"/>
      <c r="AN141" s="24">
        <f t="shared" si="3"/>
        <v>0</v>
      </c>
      <c r="AO141" s="50">
        <v>0</v>
      </c>
      <c r="AP141" s="50">
        <v>0</v>
      </c>
      <c r="AQ141" s="50">
        <v>0</v>
      </c>
      <c r="AR141" s="50">
        <v>0</v>
      </c>
      <c r="AS141" s="50"/>
      <c r="AT141" s="50">
        <f t="shared" si="4"/>
        <v>0</v>
      </c>
      <c r="AU141" s="50">
        <v>0</v>
      </c>
      <c r="AV141" s="50">
        <v>0</v>
      </c>
      <c r="AW141" s="50">
        <v>0</v>
      </c>
      <c r="AX141" s="50">
        <v>0</v>
      </c>
      <c r="AY141" s="50"/>
      <c r="AZ141" s="50">
        <f t="shared" si="133"/>
        <v>0</v>
      </c>
      <c r="BA141" s="50">
        <v>0</v>
      </c>
      <c r="BB141" s="50">
        <v>0</v>
      </c>
      <c r="BC141" s="50">
        <v>0</v>
      </c>
      <c r="BD141" s="50">
        <v>0</v>
      </c>
      <c r="BE141" s="50"/>
      <c r="BF141" s="50">
        <f t="shared" si="6"/>
        <v>0</v>
      </c>
      <c r="BG141" s="50">
        <v>0</v>
      </c>
      <c r="BH141" s="50">
        <v>0</v>
      </c>
      <c r="BI141" s="50">
        <v>0</v>
      </c>
      <c r="BJ141" s="50">
        <v>0</v>
      </c>
      <c r="BK141" s="50"/>
      <c r="BL141" s="20"/>
    </row>
    <row r="142" spans="1:64" ht="96" x14ac:dyDescent="0.2">
      <c r="A142" s="69">
        <v>138</v>
      </c>
      <c r="B142" s="48" t="str">
        <f ca="1">IFERROR(__xludf.DUMMYFUNCTION("""COMPUTED_VALUE"""),"г.о. Наро-Фоминск")</f>
        <v>г.о. Наро-Фоминск</v>
      </c>
      <c r="C14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2" s="52" t="str">
        <f ca="1">IFERROR(__xludf.DUMMYFUNCTION("""COMPUTED_VALUE"""),"МинЖКХ")</f>
        <v>МинЖКХ</v>
      </c>
      <c r="E142" s="45" t="s">
        <v>199</v>
      </c>
      <c r="F142" s="48" t="str">
        <f ca="1">IFERROR(__xludf.DUMMYFUNCTION("""COMPUTED_VALUE"""),"ВЗУ")</f>
        <v>ВЗУ</v>
      </c>
      <c r="G142" s="48" t="str">
        <f ca="1">IFERROR(__xludf.DUMMYFUNCTION("""COMPUTED_VALUE"""),"Н/Л")</f>
        <v>Н/Л</v>
      </c>
      <c r="H142" s="48"/>
      <c r="I142" s="48" t="str">
        <f ca="1">IFERROR(__xludf.DUMMYFUNCTION("""COMPUTED_VALUE"""),"Приобретение, монтаж")</f>
        <v>Приобретение, монтаж</v>
      </c>
      <c r="J142" s="48"/>
      <c r="K142" s="48"/>
      <c r="L142" s="48"/>
      <c r="M142" s="48"/>
      <c r="N142" s="48" t="str">
        <f ca="1">IFERROR(__xludf.DUMMYFUNCTION("""COMPUTED_VALUE"""),"10 1 02 60330")</f>
        <v>10 1 02 60330</v>
      </c>
      <c r="O142" s="48">
        <f ca="1">IFERROR(__xludf.DUMMYFUNCTION("""COMPUTED_VALUE"""),520)</f>
        <v>520</v>
      </c>
      <c r="P142" s="24">
        <f t="shared" ref="P142:T142" si="148">SUM(V142,AB142,AH142,AN142,AT142,AZ142,BF142)</f>
        <v>0</v>
      </c>
      <c r="Q142" s="24">
        <f t="shared" si="148"/>
        <v>0</v>
      </c>
      <c r="R142" s="24">
        <f t="shared" si="148"/>
        <v>0</v>
      </c>
      <c r="S142" s="24">
        <f t="shared" si="148"/>
        <v>0</v>
      </c>
      <c r="T142" s="24">
        <f t="shared" si="148"/>
        <v>0</v>
      </c>
      <c r="U142" s="20"/>
      <c r="V142" s="24"/>
      <c r="W142" s="24"/>
      <c r="X142" s="24"/>
      <c r="Y142" s="24"/>
      <c r="Z142" s="24"/>
      <c r="AA142" s="24"/>
      <c r="AB142" s="24"/>
      <c r="AC142" s="50"/>
      <c r="AD142" s="50"/>
      <c r="AE142" s="50"/>
      <c r="AF142" s="50"/>
      <c r="AG142" s="50"/>
      <c r="AH142" s="50">
        <f t="shared" si="2"/>
        <v>0</v>
      </c>
      <c r="AI142" s="50">
        <v>0</v>
      </c>
      <c r="AJ142" s="50">
        <v>0</v>
      </c>
      <c r="AK142" s="50">
        <v>0</v>
      </c>
      <c r="AL142" s="50">
        <v>0</v>
      </c>
      <c r="AM142" s="50"/>
      <c r="AN142" s="24">
        <f t="shared" si="3"/>
        <v>0</v>
      </c>
      <c r="AO142" s="50">
        <v>0</v>
      </c>
      <c r="AP142" s="50">
        <v>0</v>
      </c>
      <c r="AQ142" s="50">
        <v>0</v>
      </c>
      <c r="AR142" s="50">
        <v>0</v>
      </c>
      <c r="AS142" s="50"/>
      <c r="AT142" s="50">
        <f t="shared" si="4"/>
        <v>0</v>
      </c>
      <c r="AU142" s="50">
        <v>0</v>
      </c>
      <c r="AV142" s="50">
        <v>0</v>
      </c>
      <c r="AW142" s="50">
        <v>0</v>
      </c>
      <c r="AX142" s="50">
        <v>0</v>
      </c>
      <c r="AY142" s="50"/>
      <c r="AZ142" s="50">
        <f t="shared" si="133"/>
        <v>0</v>
      </c>
      <c r="BA142" s="50">
        <v>0</v>
      </c>
      <c r="BB142" s="50">
        <v>0</v>
      </c>
      <c r="BC142" s="50">
        <v>0</v>
      </c>
      <c r="BD142" s="50">
        <v>0</v>
      </c>
      <c r="BE142" s="50"/>
      <c r="BF142" s="50">
        <f t="shared" si="6"/>
        <v>0</v>
      </c>
      <c r="BG142" s="50">
        <v>0</v>
      </c>
      <c r="BH142" s="50">
        <v>0</v>
      </c>
      <c r="BI142" s="50">
        <v>0</v>
      </c>
      <c r="BJ142" s="50">
        <v>0</v>
      </c>
      <c r="BK142" s="50"/>
      <c r="BL142" s="20"/>
    </row>
    <row r="143" spans="1:64" ht="96" x14ac:dyDescent="0.2">
      <c r="A143" s="69">
        <v>139</v>
      </c>
      <c r="B143" s="48" t="str">
        <f ca="1">IFERROR(__xludf.DUMMYFUNCTION("""COMPUTED_VALUE"""),"г.о. Наро-Фоминск")</f>
        <v>г.о. Наро-Фоминск</v>
      </c>
      <c r="C14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3" s="52" t="str">
        <f ca="1">IFERROR(__xludf.DUMMYFUNCTION("""COMPUTED_VALUE"""),"МинЖКХ")</f>
        <v>МинЖКХ</v>
      </c>
      <c r="E143" s="45" t="s">
        <v>200</v>
      </c>
      <c r="F143" s="48" t="str">
        <f ca="1">IFERROR(__xludf.DUMMYFUNCTION("""COMPUTED_VALUE"""),"ВЗУ")</f>
        <v>ВЗУ</v>
      </c>
      <c r="G143" s="48" t="str">
        <f ca="1">IFERROR(__xludf.DUMMYFUNCTION("""COMPUTED_VALUE"""),"Н/Л")</f>
        <v>Н/Л</v>
      </c>
      <c r="H143" s="48"/>
      <c r="I143" s="48" t="str">
        <f ca="1">IFERROR(__xludf.DUMMYFUNCTION("""COMPUTED_VALUE"""),"Приобретение, монтаж")</f>
        <v>Приобретение, монтаж</v>
      </c>
      <c r="J143" s="48"/>
      <c r="K143" s="48"/>
      <c r="L143" s="48"/>
      <c r="M143" s="48"/>
      <c r="N143" s="48" t="str">
        <f ca="1">IFERROR(__xludf.DUMMYFUNCTION("""COMPUTED_VALUE"""),"10 1 02 60330")</f>
        <v>10 1 02 60330</v>
      </c>
      <c r="O143" s="48">
        <f ca="1">IFERROR(__xludf.DUMMYFUNCTION("""COMPUTED_VALUE"""),520)</f>
        <v>520</v>
      </c>
      <c r="P143" s="24">
        <f t="shared" ref="P143:T143" si="149">SUM(V143,AB143,AH143,AN143,AT143,AZ143,BF143)</f>
        <v>0</v>
      </c>
      <c r="Q143" s="24">
        <f t="shared" si="149"/>
        <v>0</v>
      </c>
      <c r="R143" s="24">
        <f t="shared" si="149"/>
        <v>0</v>
      </c>
      <c r="S143" s="24">
        <f t="shared" si="149"/>
        <v>0</v>
      </c>
      <c r="T143" s="24">
        <f t="shared" si="149"/>
        <v>0</v>
      </c>
      <c r="U143" s="20"/>
      <c r="V143" s="24"/>
      <c r="W143" s="24"/>
      <c r="X143" s="24"/>
      <c r="Y143" s="24"/>
      <c r="Z143" s="24"/>
      <c r="AA143" s="24"/>
      <c r="AB143" s="24"/>
      <c r="AC143" s="50"/>
      <c r="AD143" s="50"/>
      <c r="AE143" s="50"/>
      <c r="AF143" s="50"/>
      <c r="AG143" s="50"/>
      <c r="AH143" s="50">
        <f t="shared" si="2"/>
        <v>0</v>
      </c>
      <c r="AI143" s="50">
        <v>0</v>
      </c>
      <c r="AJ143" s="50">
        <v>0</v>
      </c>
      <c r="AK143" s="50">
        <v>0</v>
      </c>
      <c r="AL143" s="50">
        <v>0</v>
      </c>
      <c r="AM143" s="50"/>
      <c r="AN143" s="24">
        <f t="shared" si="3"/>
        <v>0</v>
      </c>
      <c r="AO143" s="50">
        <v>0</v>
      </c>
      <c r="AP143" s="50">
        <v>0</v>
      </c>
      <c r="AQ143" s="50">
        <v>0</v>
      </c>
      <c r="AR143" s="50">
        <v>0</v>
      </c>
      <c r="AS143" s="50"/>
      <c r="AT143" s="50">
        <f t="shared" si="4"/>
        <v>0</v>
      </c>
      <c r="AU143" s="50">
        <v>0</v>
      </c>
      <c r="AV143" s="50">
        <v>0</v>
      </c>
      <c r="AW143" s="50">
        <v>0</v>
      </c>
      <c r="AX143" s="50">
        <v>0</v>
      </c>
      <c r="AY143" s="50"/>
      <c r="AZ143" s="50">
        <f t="shared" si="133"/>
        <v>0</v>
      </c>
      <c r="BA143" s="50">
        <v>0</v>
      </c>
      <c r="BB143" s="50">
        <v>0</v>
      </c>
      <c r="BC143" s="50">
        <v>0</v>
      </c>
      <c r="BD143" s="50">
        <v>0</v>
      </c>
      <c r="BE143" s="50"/>
      <c r="BF143" s="50">
        <f t="shared" si="6"/>
        <v>0</v>
      </c>
      <c r="BG143" s="50">
        <v>0</v>
      </c>
      <c r="BH143" s="50">
        <v>0</v>
      </c>
      <c r="BI143" s="50">
        <v>0</v>
      </c>
      <c r="BJ143" s="50">
        <v>0</v>
      </c>
      <c r="BK143" s="50"/>
      <c r="BL143" s="20"/>
    </row>
    <row r="144" spans="1:64" ht="96" x14ac:dyDescent="0.2">
      <c r="A144" s="69">
        <v>140</v>
      </c>
      <c r="B144" s="48" t="str">
        <f ca="1">IFERROR(__xludf.DUMMYFUNCTION("""COMPUTED_VALUE"""),"г.о. Наро-Фоминск")</f>
        <v>г.о. Наро-Фоминск</v>
      </c>
      <c r="C14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4" s="52" t="str">
        <f ca="1">IFERROR(__xludf.DUMMYFUNCTION("""COMPUTED_VALUE"""),"МинЖКХ")</f>
        <v>МинЖКХ</v>
      </c>
      <c r="E144" s="45" t="s">
        <v>201</v>
      </c>
      <c r="F144" s="48" t="str">
        <f ca="1">IFERROR(__xludf.DUMMYFUNCTION("""COMPUTED_VALUE"""),"ВЗУ")</f>
        <v>ВЗУ</v>
      </c>
      <c r="G144" s="48" t="str">
        <f ca="1">IFERROR(__xludf.DUMMYFUNCTION("""COMPUTED_VALUE"""),"Н/Л")</f>
        <v>Н/Л</v>
      </c>
      <c r="H144" s="48"/>
      <c r="I144" s="48" t="str">
        <f ca="1">IFERROR(__xludf.DUMMYFUNCTION("""COMPUTED_VALUE"""),"Приобретение, монтаж")</f>
        <v>Приобретение, монтаж</v>
      </c>
      <c r="J144" s="48"/>
      <c r="K144" s="48"/>
      <c r="L144" s="48"/>
      <c r="M144" s="48"/>
      <c r="N144" s="48" t="str">
        <f ca="1">IFERROR(__xludf.DUMMYFUNCTION("""COMPUTED_VALUE"""),"10 1 02 60330")</f>
        <v>10 1 02 60330</v>
      </c>
      <c r="O144" s="48">
        <f ca="1">IFERROR(__xludf.DUMMYFUNCTION("""COMPUTED_VALUE"""),520)</f>
        <v>520</v>
      </c>
      <c r="P144" s="24">
        <f t="shared" ref="P144:T144" si="150">SUM(V144,AB144,AH144,AN144,AT144,AZ144,BF144)</f>
        <v>0</v>
      </c>
      <c r="Q144" s="24">
        <f t="shared" si="150"/>
        <v>0</v>
      </c>
      <c r="R144" s="24">
        <f t="shared" si="150"/>
        <v>0</v>
      </c>
      <c r="S144" s="24">
        <f t="shared" si="150"/>
        <v>0</v>
      </c>
      <c r="T144" s="24">
        <f t="shared" si="150"/>
        <v>0</v>
      </c>
      <c r="U144" s="20"/>
      <c r="V144" s="24"/>
      <c r="W144" s="24"/>
      <c r="X144" s="24"/>
      <c r="Y144" s="24"/>
      <c r="Z144" s="24"/>
      <c r="AA144" s="24"/>
      <c r="AB144" s="24"/>
      <c r="AC144" s="50"/>
      <c r="AD144" s="50"/>
      <c r="AE144" s="50"/>
      <c r="AF144" s="50"/>
      <c r="AG144" s="50"/>
      <c r="AH144" s="50">
        <f t="shared" si="2"/>
        <v>0</v>
      </c>
      <c r="AI144" s="50">
        <v>0</v>
      </c>
      <c r="AJ144" s="50">
        <v>0</v>
      </c>
      <c r="AK144" s="50">
        <v>0</v>
      </c>
      <c r="AL144" s="50">
        <v>0</v>
      </c>
      <c r="AM144" s="50"/>
      <c r="AN144" s="24">
        <f t="shared" si="3"/>
        <v>0</v>
      </c>
      <c r="AO144" s="50">
        <v>0</v>
      </c>
      <c r="AP144" s="50">
        <v>0</v>
      </c>
      <c r="AQ144" s="50">
        <v>0</v>
      </c>
      <c r="AR144" s="50">
        <v>0</v>
      </c>
      <c r="AS144" s="50"/>
      <c r="AT144" s="50">
        <f t="shared" si="4"/>
        <v>0</v>
      </c>
      <c r="AU144" s="50">
        <v>0</v>
      </c>
      <c r="AV144" s="50">
        <v>0</v>
      </c>
      <c r="AW144" s="50">
        <v>0</v>
      </c>
      <c r="AX144" s="50">
        <v>0</v>
      </c>
      <c r="AY144" s="50"/>
      <c r="AZ144" s="50">
        <f t="shared" si="133"/>
        <v>0</v>
      </c>
      <c r="BA144" s="50">
        <v>0</v>
      </c>
      <c r="BB144" s="50">
        <v>0</v>
      </c>
      <c r="BC144" s="50">
        <v>0</v>
      </c>
      <c r="BD144" s="50">
        <v>0</v>
      </c>
      <c r="BE144" s="50"/>
      <c r="BF144" s="50">
        <f t="shared" si="6"/>
        <v>0</v>
      </c>
      <c r="BG144" s="50">
        <v>0</v>
      </c>
      <c r="BH144" s="50">
        <v>0</v>
      </c>
      <c r="BI144" s="50">
        <v>0</v>
      </c>
      <c r="BJ144" s="50">
        <v>0</v>
      </c>
      <c r="BK144" s="50"/>
      <c r="BL144" s="20"/>
    </row>
    <row r="145" spans="1:64" ht="96" x14ac:dyDescent="0.2">
      <c r="A145" s="69">
        <v>141</v>
      </c>
      <c r="B145" s="48" t="str">
        <f ca="1">IFERROR(__xludf.DUMMYFUNCTION("""COMPUTED_VALUE"""),"г.о. Солнечногорск")</f>
        <v>г.о. Солнечногорск</v>
      </c>
      <c r="C14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5" s="52" t="str">
        <f ca="1">IFERROR(__xludf.DUMMYFUNCTION("""COMPUTED_VALUE"""),"МинЖКХ")</f>
        <v>МинЖКХ</v>
      </c>
      <c r="E145" s="45" t="s">
        <v>202</v>
      </c>
      <c r="F145" s="48" t="str">
        <f ca="1">IFERROR(__xludf.DUMMYFUNCTION("""COMPUTED_VALUE"""),"ВЗУ")</f>
        <v>ВЗУ</v>
      </c>
      <c r="G145" s="48" t="str">
        <f ca="1">IFERROR(__xludf.DUMMYFUNCTION("""COMPUTED_VALUE"""),"Н/Л")</f>
        <v>Н/Л</v>
      </c>
      <c r="H145" s="48" t="str">
        <f ca="1">IFERROR(__xludf.DUMMYFUNCTION("""COMPUTED_VALUE"""),"Работы завершены в 2019 году.")</f>
        <v>Работы завершены в 2019 году.</v>
      </c>
      <c r="I145" s="48" t="str">
        <f ca="1">IFERROR(__xludf.DUMMYFUNCTION("""COMPUTED_VALUE"""),"Приобретение, монтаж")</f>
        <v>Приобретение, монтаж</v>
      </c>
      <c r="J145" s="70">
        <f ca="1">IFERROR(__xludf.DUMMYFUNCTION("""COMPUTED_VALUE"""),1)</f>
        <v>1</v>
      </c>
      <c r="K145" s="48"/>
      <c r="L145" s="48"/>
      <c r="M145" s="48"/>
      <c r="N145" s="48" t="str">
        <f ca="1">IFERROR(__xludf.DUMMYFUNCTION("""COMPUTED_VALUE"""),"10 1 02 60330")</f>
        <v>10 1 02 60330</v>
      </c>
      <c r="O145" s="48">
        <f ca="1">IFERROR(__xludf.DUMMYFUNCTION("""COMPUTED_VALUE"""),520)</f>
        <v>520</v>
      </c>
      <c r="P145" s="24">
        <f t="shared" ref="P145:T145" si="151">SUM(V145,AB145,AH145,AN145,AT145,AZ145,BF145)</f>
        <v>0</v>
      </c>
      <c r="Q145" s="24">
        <f t="shared" si="151"/>
        <v>0</v>
      </c>
      <c r="R145" s="24">
        <f t="shared" si="151"/>
        <v>0</v>
      </c>
      <c r="S145" s="24">
        <f t="shared" si="151"/>
        <v>0</v>
      </c>
      <c r="T145" s="24">
        <f t="shared" si="151"/>
        <v>0</v>
      </c>
      <c r="U145" s="20"/>
      <c r="V145" s="24"/>
      <c r="W145" s="24"/>
      <c r="X145" s="24"/>
      <c r="Y145" s="24"/>
      <c r="Z145" s="24"/>
      <c r="AA145" s="24"/>
      <c r="AB145" s="24"/>
      <c r="AC145" s="50"/>
      <c r="AD145" s="50"/>
      <c r="AE145" s="50"/>
      <c r="AF145" s="50"/>
      <c r="AG145" s="50"/>
      <c r="AH145" s="50">
        <f t="shared" si="2"/>
        <v>0</v>
      </c>
      <c r="AI145" s="50">
        <v>0</v>
      </c>
      <c r="AJ145" s="50">
        <v>0</v>
      </c>
      <c r="AK145" s="50">
        <v>0</v>
      </c>
      <c r="AL145" s="50">
        <v>0</v>
      </c>
      <c r="AM145" s="50"/>
      <c r="AN145" s="24">
        <f t="shared" si="3"/>
        <v>0</v>
      </c>
      <c r="AO145" s="50">
        <v>0</v>
      </c>
      <c r="AP145" s="50">
        <v>0</v>
      </c>
      <c r="AQ145" s="50">
        <v>0</v>
      </c>
      <c r="AR145" s="50">
        <v>0</v>
      </c>
      <c r="AS145" s="50"/>
      <c r="AT145" s="50">
        <f t="shared" si="4"/>
        <v>0</v>
      </c>
      <c r="AU145" s="50">
        <v>0</v>
      </c>
      <c r="AV145" s="50">
        <v>0</v>
      </c>
      <c r="AW145" s="50">
        <v>0</v>
      </c>
      <c r="AX145" s="50">
        <v>0</v>
      </c>
      <c r="AY145" s="50"/>
      <c r="AZ145" s="50">
        <f t="shared" si="133"/>
        <v>0</v>
      </c>
      <c r="BA145" s="50">
        <v>0</v>
      </c>
      <c r="BB145" s="50">
        <v>0</v>
      </c>
      <c r="BC145" s="50">
        <v>0</v>
      </c>
      <c r="BD145" s="50">
        <v>0</v>
      </c>
      <c r="BE145" s="50"/>
      <c r="BF145" s="50">
        <f t="shared" si="6"/>
        <v>0</v>
      </c>
      <c r="BG145" s="50">
        <v>0</v>
      </c>
      <c r="BH145" s="50">
        <v>0</v>
      </c>
      <c r="BI145" s="50">
        <v>0</v>
      </c>
      <c r="BJ145" s="50">
        <v>0</v>
      </c>
      <c r="BK145" s="50"/>
      <c r="BL145" s="20"/>
    </row>
    <row r="146" spans="1:64" ht="96" x14ac:dyDescent="0.2">
      <c r="A146" s="69">
        <v>142</v>
      </c>
      <c r="B146" s="48" t="str">
        <f ca="1">IFERROR(__xludf.DUMMYFUNCTION("""COMPUTED_VALUE"""),"г.о. Солнечногорск")</f>
        <v>г.о. Солнечногорск</v>
      </c>
      <c r="C14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6" s="52" t="str">
        <f ca="1">IFERROR(__xludf.DUMMYFUNCTION("""COMPUTED_VALUE"""),"МинЖКХ")</f>
        <v>МинЖКХ</v>
      </c>
      <c r="E146" s="45" t="s">
        <v>203</v>
      </c>
      <c r="F146" s="48" t="str">
        <f ca="1">IFERROR(__xludf.DUMMYFUNCTION("""COMPUTED_VALUE"""),"ВЗУ")</f>
        <v>ВЗУ</v>
      </c>
      <c r="G146" s="48" t="str">
        <f ca="1">IFERROR(__xludf.DUMMYFUNCTION("""COMPUTED_VALUE"""),"Н/Л")</f>
        <v>Н/Л</v>
      </c>
      <c r="H146" s="48" t="str">
        <f ca="1">IFERROR(__xludf.DUMMYFUNCTION("""COMPUTED_VALUE"""),"Работы завершены в 2019 году.")</f>
        <v>Работы завершены в 2019 году.</v>
      </c>
      <c r="I146" s="48" t="str">
        <f ca="1">IFERROR(__xludf.DUMMYFUNCTION("""COMPUTED_VALUE"""),"Приобретение, монтаж")</f>
        <v>Приобретение, монтаж</v>
      </c>
      <c r="J146" s="70">
        <f ca="1">IFERROR(__xludf.DUMMYFUNCTION("""COMPUTED_VALUE"""),1)</f>
        <v>1</v>
      </c>
      <c r="K146" s="48"/>
      <c r="L146" s="48"/>
      <c r="M146" s="48"/>
      <c r="N146" s="48" t="str">
        <f ca="1">IFERROR(__xludf.DUMMYFUNCTION("""COMPUTED_VALUE"""),"10 1 02 60330")</f>
        <v>10 1 02 60330</v>
      </c>
      <c r="O146" s="48">
        <f ca="1">IFERROR(__xludf.DUMMYFUNCTION("""COMPUTED_VALUE"""),520)</f>
        <v>520</v>
      </c>
      <c r="P146" s="24">
        <f t="shared" ref="P146:T146" si="152">SUM(V146,AB146,AH146,AN146,AT146,AZ146,BF146)</f>
        <v>0</v>
      </c>
      <c r="Q146" s="24">
        <f t="shared" si="152"/>
        <v>0</v>
      </c>
      <c r="R146" s="24">
        <f t="shared" si="152"/>
        <v>0</v>
      </c>
      <c r="S146" s="24">
        <f t="shared" si="152"/>
        <v>0</v>
      </c>
      <c r="T146" s="24">
        <f t="shared" si="152"/>
        <v>0</v>
      </c>
      <c r="U146" s="20"/>
      <c r="V146" s="24"/>
      <c r="W146" s="24"/>
      <c r="X146" s="24"/>
      <c r="Y146" s="24"/>
      <c r="Z146" s="24"/>
      <c r="AA146" s="24"/>
      <c r="AB146" s="24"/>
      <c r="AC146" s="50"/>
      <c r="AD146" s="50"/>
      <c r="AE146" s="50"/>
      <c r="AF146" s="50"/>
      <c r="AG146" s="50"/>
      <c r="AH146" s="50">
        <f t="shared" si="2"/>
        <v>0</v>
      </c>
      <c r="AI146" s="50">
        <v>0</v>
      </c>
      <c r="AJ146" s="50">
        <v>0</v>
      </c>
      <c r="AK146" s="50">
        <v>0</v>
      </c>
      <c r="AL146" s="50">
        <v>0</v>
      </c>
      <c r="AM146" s="50"/>
      <c r="AN146" s="24">
        <f t="shared" si="3"/>
        <v>0</v>
      </c>
      <c r="AO146" s="50">
        <v>0</v>
      </c>
      <c r="AP146" s="50">
        <v>0</v>
      </c>
      <c r="AQ146" s="50">
        <v>0</v>
      </c>
      <c r="AR146" s="50">
        <v>0</v>
      </c>
      <c r="AS146" s="50"/>
      <c r="AT146" s="50">
        <f t="shared" si="4"/>
        <v>0</v>
      </c>
      <c r="AU146" s="50">
        <v>0</v>
      </c>
      <c r="AV146" s="50">
        <v>0</v>
      </c>
      <c r="AW146" s="50">
        <v>0</v>
      </c>
      <c r="AX146" s="50">
        <v>0</v>
      </c>
      <c r="AY146" s="50"/>
      <c r="AZ146" s="50">
        <f t="shared" si="133"/>
        <v>0</v>
      </c>
      <c r="BA146" s="50">
        <v>0</v>
      </c>
      <c r="BB146" s="50">
        <v>0</v>
      </c>
      <c r="BC146" s="50">
        <v>0</v>
      </c>
      <c r="BD146" s="50">
        <v>0</v>
      </c>
      <c r="BE146" s="50"/>
      <c r="BF146" s="50">
        <f t="shared" si="6"/>
        <v>0</v>
      </c>
      <c r="BG146" s="50">
        <v>0</v>
      </c>
      <c r="BH146" s="50">
        <v>0</v>
      </c>
      <c r="BI146" s="50">
        <v>0</v>
      </c>
      <c r="BJ146" s="50">
        <v>0</v>
      </c>
      <c r="BK146" s="50"/>
      <c r="BL146" s="20"/>
    </row>
    <row r="147" spans="1:64" ht="96" x14ac:dyDescent="0.2">
      <c r="A147" s="69">
        <v>143</v>
      </c>
      <c r="B147" s="48" t="str">
        <f ca="1">IFERROR(__xludf.DUMMYFUNCTION("""COMPUTED_VALUE"""),"г.о. Щелково")</f>
        <v>г.о. Щелково</v>
      </c>
      <c r="C14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7" s="52" t="str">
        <f ca="1">IFERROR(__xludf.DUMMYFUNCTION("""COMPUTED_VALUE"""),"МинЖКХ")</f>
        <v>МинЖКХ</v>
      </c>
      <c r="E147" s="45" t="s">
        <v>580</v>
      </c>
      <c r="F147" s="46" t="str">
        <f ca="1">IFERROR(__xludf.DUMMYFUNCTION("""COMPUTED_VALUE"""),"ВЗУ")</f>
        <v>ВЗУ</v>
      </c>
      <c r="G147" s="46">
        <f ca="1">IFERROR(__xludf.DUMMYFUNCTION("""COMPUTED_VALUE"""),2021)</f>
        <v>2021</v>
      </c>
      <c r="H147" s="48"/>
      <c r="I147" s="48" t="str">
        <f ca="1">IFERROR(__xludf.DUMMYFUNCTION("""COMPUTED_VALUE"""),"СМР")</f>
        <v>СМР</v>
      </c>
      <c r="J147" s="48"/>
      <c r="K147" s="48"/>
      <c r="L147" s="48"/>
      <c r="M147" s="48"/>
      <c r="N147" s="48" t="str">
        <f ca="1">IFERROR(__xludf.DUMMYFUNCTION("""COMPUTED_VALUE"""),"10 1 02 60330")</f>
        <v>10 1 02 60330</v>
      </c>
      <c r="O147" s="48">
        <f ca="1">IFERROR(__xludf.DUMMYFUNCTION("""COMPUTED_VALUE"""),520)</f>
        <v>520</v>
      </c>
      <c r="P147" s="24">
        <f t="shared" ref="P147:T147" si="153">SUM(V147,AB147,AH147,AN147,AT147,AZ147,BF147)</f>
        <v>34258.93</v>
      </c>
      <c r="Q147" s="24">
        <f t="shared" si="153"/>
        <v>0</v>
      </c>
      <c r="R147" s="24">
        <f t="shared" si="153"/>
        <v>22303</v>
      </c>
      <c r="S147" s="24">
        <f t="shared" si="153"/>
        <v>0</v>
      </c>
      <c r="T147" s="24">
        <f t="shared" si="153"/>
        <v>11955.93</v>
      </c>
      <c r="U147" s="20"/>
      <c r="V147" s="24"/>
      <c r="W147" s="24"/>
      <c r="X147" s="24"/>
      <c r="Y147" s="24"/>
      <c r="Z147" s="24"/>
      <c r="AA147" s="24"/>
      <c r="AB147" s="24"/>
      <c r="AC147" s="50"/>
      <c r="AD147" s="50"/>
      <c r="AE147" s="50"/>
      <c r="AF147" s="50"/>
      <c r="AG147" s="50"/>
      <c r="AH147" s="50">
        <f t="shared" si="2"/>
        <v>0</v>
      </c>
      <c r="AI147" s="50">
        <v>0</v>
      </c>
      <c r="AJ147" s="50">
        <v>0</v>
      </c>
      <c r="AK147" s="50">
        <v>0</v>
      </c>
      <c r="AL147" s="50">
        <v>0</v>
      </c>
      <c r="AM147" s="50"/>
      <c r="AN147" s="24">
        <f t="shared" si="3"/>
        <v>34258.93</v>
      </c>
      <c r="AO147" s="50">
        <v>0</v>
      </c>
      <c r="AP147" s="50">
        <v>22303</v>
      </c>
      <c r="AQ147" s="50">
        <v>0</v>
      </c>
      <c r="AR147" s="50">
        <v>11955.93</v>
      </c>
      <c r="AS147" s="50"/>
      <c r="AT147" s="50">
        <f t="shared" si="4"/>
        <v>0</v>
      </c>
      <c r="AU147" s="50">
        <v>0</v>
      </c>
      <c r="AV147" s="50">
        <v>0</v>
      </c>
      <c r="AW147" s="50">
        <v>0</v>
      </c>
      <c r="AX147" s="50">
        <v>0</v>
      </c>
      <c r="AY147" s="50"/>
      <c r="AZ147" s="50">
        <f t="shared" si="133"/>
        <v>0</v>
      </c>
      <c r="BA147" s="50">
        <v>0</v>
      </c>
      <c r="BB147" s="50">
        <v>0</v>
      </c>
      <c r="BC147" s="50">
        <v>0</v>
      </c>
      <c r="BD147" s="50">
        <v>0</v>
      </c>
      <c r="BE147" s="50"/>
      <c r="BF147" s="50">
        <f t="shared" si="6"/>
        <v>0</v>
      </c>
      <c r="BG147" s="50">
        <v>0</v>
      </c>
      <c r="BH147" s="50">
        <v>0</v>
      </c>
      <c r="BI147" s="50">
        <v>0</v>
      </c>
      <c r="BJ147" s="50">
        <v>0</v>
      </c>
      <c r="BK147" s="50"/>
      <c r="BL147" s="20"/>
    </row>
    <row r="148" spans="1:64" ht="96" x14ac:dyDescent="0.2">
      <c r="A148" s="69">
        <v>144</v>
      </c>
      <c r="B148" s="48" t="str">
        <f ca="1">IFERROR(__xludf.DUMMYFUNCTION("""COMPUTED_VALUE"""),"г.о. Щелково")</f>
        <v>г.о. Щелково</v>
      </c>
      <c r="C14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8" s="52" t="str">
        <f ca="1">IFERROR(__xludf.DUMMYFUNCTION("""COMPUTED_VALUE"""),"МинЖКХ")</f>
        <v>МинЖКХ</v>
      </c>
      <c r="E148" s="45" t="s">
        <v>204</v>
      </c>
      <c r="F148" s="46" t="str">
        <f ca="1">IFERROR(__xludf.DUMMYFUNCTION("""COMPUTED_VALUE"""),"ВЗУ")</f>
        <v>ВЗУ</v>
      </c>
      <c r="G148" s="46">
        <f ca="1">IFERROR(__xludf.DUMMYFUNCTION("""COMPUTED_VALUE"""),2021)</f>
        <v>2021</v>
      </c>
      <c r="H148" s="48"/>
      <c r="I148" s="48" t="str">
        <f ca="1">IFERROR(__xludf.DUMMYFUNCTION("""COMPUTED_VALUE"""),"СМР")</f>
        <v>СМР</v>
      </c>
      <c r="J148" s="48"/>
      <c r="K148" s="48"/>
      <c r="L148" s="48"/>
      <c r="M148" s="48"/>
      <c r="N148" s="48" t="str">
        <f ca="1">IFERROR(__xludf.DUMMYFUNCTION("""COMPUTED_VALUE"""),"10 1 02 60330")</f>
        <v>10 1 02 60330</v>
      </c>
      <c r="O148" s="48">
        <f ca="1">IFERROR(__xludf.DUMMYFUNCTION("""COMPUTED_VALUE"""),520)</f>
        <v>520</v>
      </c>
      <c r="P148" s="24">
        <f t="shared" ref="P148:T148" si="154">SUM(V148,AB148,AH148,AN148,AT148,AZ148,BF148)</f>
        <v>47192.46</v>
      </c>
      <c r="Q148" s="24">
        <f t="shared" si="154"/>
        <v>0</v>
      </c>
      <c r="R148" s="24">
        <f t="shared" si="154"/>
        <v>30722</v>
      </c>
      <c r="S148" s="24">
        <f t="shared" si="154"/>
        <v>0</v>
      </c>
      <c r="T148" s="24">
        <f t="shared" si="154"/>
        <v>16470.46</v>
      </c>
      <c r="U148" s="20"/>
      <c r="V148" s="24"/>
      <c r="W148" s="24"/>
      <c r="X148" s="24"/>
      <c r="Y148" s="24"/>
      <c r="Z148" s="24"/>
      <c r="AA148" s="24"/>
      <c r="AB148" s="24"/>
      <c r="AC148" s="50"/>
      <c r="AD148" s="50"/>
      <c r="AE148" s="50"/>
      <c r="AF148" s="50"/>
      <c r="AG148" s="50"/>
      <c r="AH148" s="50">
        <f t="shared" si="2"/>
        <v>0</v>
      </c>
      <c r="AI148" s="50">
        <v>0</v>
      </c>
      <c r="AJ148" s="50">
        <v>0</v>
      </c>
      <c r="AK148" s="50">
        <v>0</v>
      </c>
      <c r="AL148" s="50">
        <v>0</v>
      </c>
      <c r="AM148" s="50"/>
      <c r="AN148" s="24">
        <f t="shared" si="3"/>
        <v>47192.46</v>
      </c>
      <c r="AO148" s="50">
        <v>0</v>
      </c>
      <c r="AP148" s="50">
        <v>30722</v>
      </c>
      <c r="AQ148" s="50">
        <v>0</v>
      </c>
      <c r="AR148" s="50">
        <v>16470.46</v>
      </c>
      <c r="AS148" s="50"/>
      <c r="AT148" s="50">
        <f t="shared" si="4"/>
        <v>0</v>
      </c>
      <c r="AU148" s="50">
        <v>0</v>
      </c>
      <c r="AV148" s="50">
        <v>0</v>
      </c>
      <c r="AW148" s="50">
        <v>0</v>
      </c>
      <c r="AX148" s="50">
        <v>0</v>
      </c>
      <c r="AY148" s="50"/>
      <c r="AZ148" s="50">
        <f t="shared" si="133"/>
        <v>0</v>
      </c>
      <c r="BA148" s="50">
        <v>0</v>
      </c>
      <c r="BB148" s="50">
        <v>0</v>
      </c>
      <c r="BC148" s="50">
        <v>0</v>
      </c>
      <c r="BD148" s="50">
        <v>0</v>
      </c>
      <c r="BE148" s="50"/>
      <c r="BF148" s="50">
        <f t="shared" si="6"/>
        <v>0</v>
      </c>
      <c r="BG148" s="50">
        <v>0</v>
      </c>
      <c r="BH148" s="50">
        <v>0</v>
      </c>
      <c r="BI148" s="50">
        <v>0</v>
      </c>
      <c r="BJ148" s="50">
        <v>0</v>
      </c>
      <c r="BK148" s="50"/>
      <c r="BL148" s="20"/>
    </row>
    <row r="149" spans="1:64" ht="96" x14ac:dyDescent="0.2">
      <c r="A149" s="69">
        <v>145</v>
      </c>
      <c r="B149" s="48" t="str">
        <f ca="1">IFERROR(__xludf.DUMMYFUNCTION("""COMPUTED_VALUE"""),"г.о. Щелково")</f>
        <v>г.о. Щелково</v>
      </c>
      <c r="C14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49" s="52" t="str">
        <f ca="1">IFERROR(__xludf.DUMMYFUNCTION("""COMPUTED_VALUE"""),"МинЖКХ")</f>
        <v>МинЖКХ</v>
      </c>
      <c r="E149" s="45" t="s">
        <v>205</v>
      </c>
      <c r="F149" s="48" t="str">
        <f ca="1">IFERROR(__xludf.DUMMYFUNCTION("""COMPUTED_VALUE"""),"ВЗУ")</f>
        <v>ВЗУ</v>
      </c>
      <c r="G149" s="48" t="str">
        <f ca="1">IFERROR(__xludf.DUMMYFUNCTION("""COMPUTED_VALUE"""),"Н/Л")</f>
        <v>Н/Л</v>
      </c>
      <c r="H149" s="48"/>
      <c r="I149" s="48" t="str">
        <f ca="1">IFERROR(__xludf.DUMMYFUNCTION("""COMPUTED_VALUE"""),"СМР")</f>
        <v>СМР</v>
      </c>
      <c r="J149" s="48"/>
      <c r="K149" s="48"/>
      <c r="L149" s="48"/>
      <c r="M149" s="48"/>
      <c r="N149" s="48" t="str">
        <f ca="1">IFERROR(__xludf.DUMMYFUNCTION("""COMPUTED_VALUE"""),"10 1 02 60330")</f>
        <v>10 1 02 60330</v>
      </c>
      <c r="O149" s="48">
        <f ca="1">IFERROR(__xludf.DUMMYFUNCTION("""COMPUTED_VALUE"""),520)</f>
        <v>520</v>
      </c>
      <c r="P149" s="24">
        <f t="shared" ref="P149:T149" si="155">SUM(V149,AB149,AH149,AN149,AT149,AZ149,BF149)</f>
        <v>0</v>
      </c>
      <c r="Q149" s="24">
        <f t="shared" si="155"/>
        <v>0</v>
      </c>
      <c r="R149" s="24">
        <f t="shared" si="155"/>
        <v>0</v>
      </c>
      <c r="S149" s="24">
        <f t="shared" si="155"/>
        <v>0</v>
      </c>
      <c r="T149" s="24">
        <f t="shared" si="155"/>
        <v>0</v>
      </c>
      <c r="U149" s="20"/>
      <c r="V149" s="24"/>
      <c r="W149" s="24"/>
      <c r="X149" s="24"/>
      <c r="Y149" s="24"/>
      <c r="Z149" s="24"/>
      <c r="AA149" s="24"/>
      <c r="AB149" s="24"/>
      <c r="AC149" s="50"/>
      <c r="AD149" s="50"/>
      <c r="AE149" s="50"/>
      <c r="AF149" s="50"/>
      <c r="AG149" s="50"/>
      <c r="AH149" s="50">
        <f t="shared" si="2"/>
        <v>0</v>
      </c>
      <c r="AI149" s="50">
        <v>0</v>
      </c>
      <c r="AJ149" s="50">
        <v>0</v>
      </c>
      <c r="AK149" s="50">
        <v>0</v>
      </c>
      <c r="AL149" s="50">
        <v>0</v>
      </c>
      <c r="AM149" s="50"/>
      <c r="AN149" s="24">
        <f t="shared" si="3"/>
        <v>0</v>
      </c>
      <c r="AO149" s="50">
        <v>0</v>
      </c>
      <c r="AP149" s="50">
        <v>0</v>
      </c>
      <c r="AQ149" s="50">
        <v>0</v>
      </c>
      <c r="AR149" s="50">
        <v>0</v>
      </c>
      <c r="AS149" s="50"/>
      <c r="AT149" s="50">
        <f t="shared" si="4"/>
        <v>0</v>
      </c>
      <c r="AU149" s="50">
        <v>0</v>
      </c>
      <c r="AV149" s="50">
        <v>0</v>
      </c>
      <c r="AW149" s="50">
        <v>0</v>
      </c>
      <c r="AX149" s="50">
        <v>0</v>
      </c>
      <c r="AY149" s="50"/>
      <c r="AZ149" s="50">
        <f t="shared" si="133"/>
        <v>0</v>
      </c>
      <c r="BA149" s="50">
        <v>0</v>
      </c>
      <c r="BB149" s="50">
        <v>0</v>
      </c>
      <c r="BC149" s="50">
        <v>0</v>
      </c>
      <c r="BD149" s="50">
        <v>0</v>
      </c>
      <c r="BE149" s="50"/>
      <c r="BF149" s="50">
        <f t="shared" si="6"/>
        <v>0</v>
      </c>
      <c r="BG149" s="50">
        <v>0</v>
      </c>
      <c r="BH149" s="50">
        <v>0</v>
      </c>
      <c r="BI149" s="50">
        <v>0</v>
      </c>
      <c r="BJ149" s="50">
        <v>0</v>
      </c>
      <c r="BK149" s="50"/>
      <c r="BL149" s="20"/>
    </row>
    <row r="150" spans="1:64" ht="96" x14ac:dyDescent="0.2">
      <c r="A150" s="69">
        <v>146</v>
      </c>
      <c r="B150" s="48" t="str">
        <f ca="1">IFERROR(__xludf.DUMMYFUNCTION("""COMPUTED_VALUE"""),"г.о. Щелково")</f>
        <v>г.о. Щелково</v>
      </c>
      <c r="C15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0" s="52" t="str">
        <f ca="1">IFERROR(__xludf.DUMMYFUNCTION("""COMPUTED_VALUE"""),"МинЖКХ")</f>
        <v>МинЖКХ</v>
      </c>
      <c r="E150" s="45" t="s">
        <v>206</v>
      </c>
      <c r="F150" s="48" t="str">
        <f ca="1">IFERROR(__xludf.DUMMYFUNCTION("""COMPUTED_VALUE"""),"ВЗУ")</f>
        <v>ВЗУ</v>
      </c>
      <c r="G150" s="48" t="str">
        <f ca="1">IFERROR(__xludf.DUMMYFUNCTION("""COMPUTED_VALUE"""),"Н/Л")</f>
        <v>Н/Л</v>
      </c>
      <c r="H150" s="48"/>
      <c r="I150" s="48" t="str">
        <f ca="1">IFERROR(__xludf.DUMMYFUNCTION("""COMPUTED_VALUE"""),"Приобретение, монтаж")</f>
        <v>Приобретение, монтаж</v>
      </c>
      <c r="J150" s="48"/>
      <c r="K150" s="48"/>
      <c r="L150" s="48"/>
      <c r="M150" s="48"/>
      <c r="N150" s="48" t="str">
        <f ca="1">IFERROR(__xludf.DUMMYFUNCTION("""COMPUTED_VALUE"""),"10 1 02 60330")</f>
        <v>10 1 02 60330</v>
      </c>
      <c r="O150" s="48">
        <f ca="1">IFERROR(__xludf.DUMMYFUNCTION("""COMPUTED_VALUE"""),520)</f>
        <v>520</v>
      </c>
      <c r="P150" s="24">
        <f t="shared" ref="P150:T150" si="156">SUM(V150,AB150,AH150,AN150,AT150,AZ150,BF150)</f>
        <v>0</v>
      </c>
      <c r="Q150" s="24">
        <f t="shared" si="156"/>
        <v>0</v>
      </c>
      <c r="R150" s="24">
        <f t="shared" si="156"/>
        <v>0</v>
      </c>
      <c r="S150" s="24">
        <f t="shared" si="156"/>
        <v>0</v>
      </c>
      <c r="T150" s="24">
        <f t="shared" si="156"/>
        <v>0</v>
      </c>
      <c r="U150" s="20"/>
      <c r="V150" s="24"/>
      <c r="W150" s="24"/>
      <c r="X150" s="24"/>
      <c r="Y150" s="24"/>
      <c r="Z150" s="24"/>
      <c r="AA150" s="24"/>
      <c r="AB150" s="24"/>
      <c r="AC150" s="50"/>
      <c r="AD150" s="50"/>
      <c r="AE150" s="50"/>
      <c r="AF150" s="50"/>
      <c r="AG150" s="50"/>
      <c r="AH150" s="50">
        <f t="shared" si="2"/>
        <v>0</v>
      </c>
      <c r="AI150" s="50">
        <v>0</v>
      </c>
      <c r="AJ150" s="50">
        <v>0</v>
      </c>
      <c r="AK150" s="50">
        <v>0</v>
      </c>
      <c r="AL150" s="50">
        <v>0</v>
      </c>
      <c r="AM150" s="50"/>
      <c r="AN150" s="24">
        <f t="shared" si="3"/>
        <v>0</v>
      </c>
      <c r="AO150" s="50">
        <v>0</v>
      </c>
      <c r="AP150" s="50">
        <v>0</v>
      </c>
      <c r="AQ150" s="50">
        <v>0</v>
      </c>
      <c r="AR150" s="50">
        <v>0</v>
      </c>
      <c r="AS150" s="50"/>
      <c r="AT150" s="50">
        <f t="shared" si="4"/>
        <v>0</v>
      </c>
      <c r="AU150" s="50">
        <v>0</v>
      </c>
      <c r="AV150" s="50">
        <v>0</v>
      </c>
      <c r="AW150" s="50">
        <v>0</v>
      </c>
      <c r="AX150" s="50">
        <v>0</v>
      </c>
      <c r="AY150" s="50"/>
      <c r="AZ150" s="50">
        <f t="shared" si="133"/>
        <v>0</v>
      </c>
      <c r="BA150" s="50">
        <v>0</v>
      </c>
      <c r="BB150" s="50">
        <v>0</v>
      </c>
      <c r="BC150" s="50">
        <v>0</v>
      </c>
      <c r="BD150" s="50">
        <v>0</v>
      </c>
      <c r="BE150" s="50"/>
      <c r="BF150" s="50">
        <f t="shared" si="6"/>
        <v>0</v>
      </c>
      <c r="BG150" s="50">
        <v>0</v>
      </c>
      <c r="BH150" s="50">
        <v>0</v>
      </c>
      <c r="BI150" s="50">
        <v>0</v>
      </c>
      <c r="BJ150" s="50">
        <v>0</v>
      </c>
      <c r="BK150" s="50"/>
      <c r="BL150" s="20"/>
    </row>
    <row r="151" spans="1:64" ht="96" x14ac:dyDescent="0.2">
      <c r="A151" s="69">
        <v>147</v>
      </c>
      <c r="B151" s="48" t="str">
        <f ca="1">IFERROR(__xludf.DUMMYFUNCTION("""COMPUTED_VALUE"""),"г.о. Щелково")</f>
        <v>г.о. Щелково</v>
      </c>
      <c r="C15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1" s="52" t="str">
        <f ca="1">IFERROR(__xludf.DUMMYFUNCTION("""COMPUTED_VALUE"""),"МинЖКХ")</f>
        <v>МинЖКХ</v>
      </c>
      <c r="E151" s="45" t="s">
        <v>207</v>
      </c>
      <c r="F151" s="48" t="str">
        <f ca="1">IFERROR(__xludf.DUMMYFUNCTION("""COMPUTED_VALUE"""),"ВЗУ")</f>
        <v>ВЗУ</v>
      </c>
      <c r="G151" s="48" t="str">
        <f ca="1">IFERROR(__xludf.DUMMYFUNCTION("""COMPUTED_VALUE"""),"Н/Л")</f>
        <v>Н/Л</v>
      </c>
      <c r="H151" s="48"/>
      <c r="I151" s="48" t="str">
        <f ca="1">IFERROR(__xludf.DUMMYFUNCTION("""COMPUTED_VALUE"""),"Приобретение, монтаж")</f>
        <v>Приобретение, монтаж</v>
      </c>
      <c r="J151" s="48"/>
      <c r="K151" s="48"/>
      <c r="L151" s="48"/>
      <c r="M151" s="48"/>
      <c r="N151" s="48" t="str">
        <f ca="1">IFERROR(__xludf.DUMMYFUNCTION("""COMPUTED_VALUE"""),"10 1 02 60330")</f>
        <v>10 1 02 60330</v>
      </c>
      <c r="O151" s="48">
        <f ca="1">IFERROR(__xludf.DUMMYFUNCTION("""COMPUTED_VALUE"""),520)</f>
        <v>520</v>
      </c>
      <c r="P151" s="24">
        <f t="shared" ref="P151:T151" si="157">SUM(V151,AB151,AH151,AN151,AT151,AZ151,BF151)</f>
        <v>0</v>
      </c>
      <c r="Q151" s="24">
        <f t="shared" si="157"/>
        <v>0</v>
      </c>
      <c r="R151" s="24">
        <f t="shared" si="157"/>
        <v>0</v>
      </c>
      <c r="S151" s="24">
        <f t="shared" si="157"/>
        <v>0</v>
      </c>
      <c r="T151" s="24">
        <f t="shared" si="157"/>
        <v>0</v>
      </c>
      <c r="U151" s="20"/>
      <c r="V151" s="24"/>
      <c r="W151" s="24"/>
      <c r="X151" s="24"/>
      <c r="Y151" s="24"/>
      <c r="Z151" s="24"/>
      <c r="AA151" s="24"/>
      <c r="AB151" s="24"/>
      <c r="AC151" s="50"/>
      <c r="AD151" s="50"/>
      <c r="AE151" s="50"/>
      <c r="AF151" s="50"/>
      <c r="AG151" s="50"/>
      <c r="AH151" s="50">
        <f t="shared" si="2"/>
        <v>0</v>
      </c>
      <c r="AI151" s="50">
        <v>0</v>
      </c>
      <c r="AJ151" s="50">
        <v>0</v>
      </c>
      <c r="AK151" s="50">
        <v>0</v>
      </c>
      <c r="AL151" s="50">
        <v>0</v>
      </c>
      <c r="AM151" s="50"/>
      <c r="AN151" s="24">
        <f t="shared" si="3"/>
        <v>0</v>
      </c>
      <c r="AO151" s="50">
        <v>0</v>
      </c>
      <c r="AP151" s="50">
        <v>0</v>
      </c>
      <c r="AQ151" s="50">
        <v>0</v>
      </c>
      <c r="AR151" s="50">
        <v>0</v>
      </c>
      <c r="AS151" s="50"/>
      <c r="AT151" s="50">
        <f t="shared" si="4"/>
        <v>0</v>
      </c>
      <c r="AU151" s="50">
        <v>0</v>
      </c>
      <c r="AV151" s="50">
        <v>0</v>
      </c>
      <c r="AW151" s="50">
        <v>0</v>
      </c>
      <c r="AX151" s="50">
        <v>0</v>
      </c>
      <c r="AY151" s="50"/>
      <c r="AZ151" s="50">
        <f t="shared" si="133"/>
        <v>0</v>
      </c>
      <c r="BA151" s="50">
        <v>0</v>
      </c>
      <c r="BB151" s="50">
        <v>0</v>
      </c>
      <c r="BC151" s="50">
        <v>0</v>
      </c>
      <c r="BD151" s="50">
        <v>0</v>
      </c>
      <c r="BE151" s="50"/>
      <c r="BF151" s="50">
        <f t="shared" si="6"/>
        <v>0</v>
      </c>
      <c r="BG151" s="50">
        <v>0</v>
      </c>
      <c r="BH151" s="50">
        <v>0</v>
      </c>
      <c r="BI151" s="50">
        <v>0</v>
      </c>
      <c r="BJ151" s="50">
        <v>0</v>
      </c>
      <c r="BK151" s="50"/>
      <c r="BL151" s="20"/>
    </row>
    <row r="152" spans="1:64" ht="96" x14ac:dyDescent="0.2">
      <c r="A152" s="69">
        <v>148</v>
      </c>
      <c r="B152" s="48" t="str">
        <f ca="1">IFERROR(__xludf.DUMMYFUNCTION("""COMPUTED_VALUE"""),"г.о. Сергиев Посад")</f>
        <v>г.о. Сергиев Посад</v>
      </c>
      <c r="C15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2" s="52" t="str">
        <f ca="1">IFERROR(__xludf.DUMMYFUNCTION("""COMPUTED_VALUE"""),"МинЖКХ")</f>
        <v>МинЖКХ</v>
      </c>
      <c r="E152" s="45" t="s">
        <v>208</v>
      </c>
      <c r="F152" s="48" t="str">
        <f ca="1">IFERROR(__xludf.DUMMYFUNCTION("""COMPUTED_VALUE"""),"ВЗУ")</f>
        <v>ВЗУ</v>
      </c>
      <c r="G152" s="48" t="str">
        <f ca="1">IFERROR(__xludf.DUMMYFUNCTION("""COMPUTED_VALUE"""),"Н/Л")</f>
        <v>Н/Л</v>
      </c>
      <c r="H152" s="48"/>
      <c r="I152" s="48" t="str">
        <f ca="1">IFERROR(__xludf.DUMMYFUNCTION("""COMPUTED_VALUE"""),"Приобретение, монтаж")</f>
        <v>Приобретение, монтаж</v>
      </c>
      <c r="J152" s="48"/>
      <c r="K152" s="48"/>
      <c r="L152" s="48"/>
      <c r="M152" s="48"/>
      <c r="N152" s="48" t="str">
        <f ca="1">IFERROR(__xludf.DUMMYFUNCTION("""COMPUTED_VALUE"""),"10 1 02 60330")</f>
        <v>10 1 02 60330</v>
      </c>
      <c r="O152" s="48">
        <f ca="1">IFERROR(__xludf.DUMMYFUNCTION("""COMPUTED_VALUE"""),520)</f>
        <v>520</v>
      </c>
      <c r="P152" s="24">
        <f t="shared" ref="P152:T152" si="158">SUM(V152,AB152,AH152,AN152,AT152,AZ152,BF152)</f>
        <v>0</v>
      </c>
      <c r="Q152" s="24">
        <f t="shared" si="158"/>
        <v>0</v>
      </c>
      <c r="R152" s="24">
        <f t="shared" si="158"/>
        <v>0</v>
      </c>
      <c r="S152" s="24">
        <f t="shared" si="158"/>
        <v>0</v>
      </c>
      <c r="T152" s="24">
        <f t="shared" si="158"/>
        <v>0</v>
      </c>
      <c r="U152" s="20"/>
      <c r="V152" s="24"/>
      <c r="W152" s="24"/>
      <c r="X152" s="24"/>
      <c r="Y152" s="24"/>
      <c r="Z152" s="24"/>
      <c r="AA152" s="24"/>
      <c r="AB152" s="24"/>
      <c r="AC152" s="50"/>
      <c r="AD152" s="50"/>
      <c r="AE152" s="50"/>
      <c r="AF152" s="50"/>
      <c r="AG152" s="50"/>
      <c r="AH152" s="50">
        <f t="shared" si="2"/>
        <v>0</v>
      </c>
      <c r="AI152" s="50">
        <v>0</v>
      </c>
      <c r="AJ152" s="50">
        <v>0</v>
      </c>
      <c r="AK152" s="50">
        <v>0</v>
      </c>
      <c r="AL152" s="50">
        <v>0</v>
      </c>
      <c r="AM152" s="50"/>
      <c r="AN152" s="24">
        <f t="shared" si="3"/>
        <v>0</v>
      </c>
      <c r="AO152" s="50">
        <v>0</v>
      </c>
      <c r="AP152" s="50">
        <v>0</v>
      </c>
      <c r="AQ152" s="50">
        <v>0</v>
      </c>
      <c r="AR152" s="50">
        <v>0</v>
      </c>
      <c r="AS152" s="50"/>
      <c r="AT152" s="50">
        <f t="shared" si="4"/>
        <v>0</v>
      </c>
      <c r="AU152" s="50">
        <v>0</v>
      </c>
      <c r="AV152" s="50">
        <v>0</v>
      </c>
      <c r="AW152" s="50">
        <v>0</v>
      </c>
      <c r="AX152" s="50">
        <v>0</v>
      </c>
      <c r="AY152" s="50"/>
      <c r="AZ152" s="50">
        <f t="shared" si="133"/>
        <v>0</v>
      </c>
      <c r="BA152" s="50">
        <v>0</v>
      </c>
      <c r="BB152" s="50">
        <v>0</v>
      </c>
      <c r="BC152" s="50">
        <v>0</v>
      </c>
      <c r="BD152" s="50">
        <v>0</v>
      </c>
      <c r="BE152" s="50"/>
      <c r="BF152" s="50">
        <f t="shared" si="6"/>
        <v>0</v>
      </c>
      <c r="BG152" s="50">
        <v>0</v>
      </c>
      <c r="BH152" s="50">
        <v>0</v>
      </c>
      <c r="BI152" s="50">
        <v>0</v>
      </c>
      <c r="BJ152" s="50">
        <v>0</v>
      </c>
      <c r="BK152" s="50"/>
      <c r="BL152" s="20"/>
    </row>
    <row r="153" spans="1:64" ht="96" x14ac:dyDescent="0.2">
      <c r="A153" s="69">
        <v>149</v>
      </c>
      <c r="B153" s="48" t="str">
        <f ca="1">IFERROR(__xludf.DUMMYFUNCTION("""COMPUTED_VALUE"""),"г.о. Сергиев Посад")</f>
        <v>г.о. Сергиев Посад</v>
      </c>
      <c r="C15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3" s="52" t="str">
        <f ca="1">IFERROR(__xludf.DUMMYFUNCTION("""COMPUTED_VALUE"""),"МинЖКХ")</f>
        <v>МинЖКХ</v>
      </c>
      <c r="E153" s="45" t="s">
        <v>209</v>
      </c>
      <c r="F153" s="48" t="str">
        <f ca="1">IFERROR(__xludf.DUMMYFUNCTION("""COMPUTED_VALUE"""),"ВЗУ")</f>
        <v>ВЗУ</v>
      </c>
      <c r="G153" s="48" t="str">
        <f ca="1">IFERROR(__xludf.DUMMYFUNCTION("""COMPUTED_VALUE"""),"Н/Л")</f>
        <v>Н/Л</v>
      </c>
      <c r="H153" s="48"/>
      <c r="I153" s="48" t="str">
        <f ca="1">IFERROR(__xludf.DUMMYFUNCTION("""COMPUTED_VALUE"""),"Приобретение, монтаж")</f>
        <v>Приобретение, монтаж</v>
      </c>
      <c r="J153" s="48"/>
      <c r="K153" s="48"/>
      <c r="L153" s="48"/>
      <c r="M153" s="48"/>
      <c r="N153" s="48" t="str">
        <f ca="1">IFERROR(__xludf.DUMMYFUNCTION("""COMPUTED_VALUE"""),"10 1 02 60330")</f>
        <v>10 1 02 60330</v>
      </c>
      <c r="O153" s="48">
        <f ca="1">IFERROR(__xludf.DUMMYFUNCTION("""COMPUTED_VALUE"""),520)</f>
        <v>520</v>
      </c>
      <c r="P153" s="24">
        <f t="shared" ref="P153:T153" si="159">SUM(V153,AB153,AH153,AN153,AT153,AZ153,BF153)</f>
        <v>0</v>
      </c>
      <c r="Q153" s="24">
        <f t="shared" si="159"/>
        <v>0</v>
      </c>
      <c r="R153" s="24">
        <f t="shared" si="159"/>
        <v>0</v>
      </c>
      <c r="S153" s="24">
        <f t="shared" si="159"/>
        <v>0</v>
      </c>
      <c r="T153" s="24">
        <f t="shared" si="159"/>
        <v>0</v>
      </c>
      <c r="U153" s="20"/>
      <c r="V153" s="24"/>
      <c r="W153" s="24"/>
      <c r="X153" s="24"/>
      <c r="Y153" s="24"/>
      <c r="Z153" s="24"/>
      <c r="AA153" s="24"/>
      <c r="AB153" s="24"/>
      <c r="AC153" s="50"/>
      <c r="AD153" s="50"/>
      <c r="AE153" s="50"/>
      <c r="AF153" s="50"/>
      <c r="AG153" s="50"/>
      <c r="AH153" s="50">
        <f t="shared" si="2"/>
        <v>0</v>
      </c>
      <c r="AI153" s="50">
        <v>0</v>
      </c>
      <c r="AJ153" s="50">
        <v>0</v>
      </c>
      <c r="AK153" s="50">
        <v>0</v>
      </c>
      <c r="AL153" s="50">
        <v>0</v>
      </c>
      <c r="AM153" s="50"/>
      <c r="AN153" s="24">
        <f t="shared" si="3"/>
        <v>0</v>
      </c>
      <c r="AO153" s="50">
        <v>0</v>
      </c>
      <c r="AP153" s="50">
        <v>0</v>
      </c>
      <c r="AQ153" s="50">
        <v>0</v>
      </c>
      <c r="AR153" s="50">
        <v>0</v>
      </c>
      <c r="AS153" s="50"/>
      <c r="AT153" s="50">
        <f t="shared" si="4"/>
        <v>0</v>
      </c>
      <c r="AU153" s="50">
        <v>0</v>
      </c>
      <c r="AV153" s="50">
        <v>0</v>
      </c>
      <c r="AW153" s="50">
        <v>0</v>
      </c>
      <c r="AX153" s="50">
        <v>0</v>
      </c>
      <c r="AY153" s="50"/>
      <c r="AZ153" s="50">
        <f t="shared" si="133"/>
        <v>0</v>
      </c>
      <c r="BA153" s="50">
        <v>0</v>
      </c>
      <c r="BB153" s="50">
        <v>0</v>
      </c>
      <c r="BC153" s="50">
        <v>0</v>
      </c>
      <c r="BD153" s="50">
        <v>0</v>
      </c>
      <c r="BE153" s="50"/>
      <c r="BF153" s="50">
        <f t="shared" si="6"/>
        <v>0</v>
      </c>
      <c r="BG153" s="50">
        <v>0</v>
      </c>
      <c r="BH153" s="50">
        <v>0</v>
      </c>
      <c r="BI153" s="50">
        <v>0</v>
      </c>
      <c r="BJ153" s="50">
        <v>0</v>
      </c>
      <c r="BK153" s="50"/>
      <c r="BL153" s="20"/>
    </row>
    <row r="154" spans="1:64" ht="96" x14ac:dyDescent="0.2">
      <c r="A154" s="69">
        <v>150</v>
      </c>
      <c r="B154" s="48" t="str">
        <f ca="1">IFERROR(__xludf.DUMMYFUNCTION("""COMPUTED_VALUE"""),"г.о. Красногорск")</f>
        <v>г.о. Красногорск</v>
      </c>
      <c r="C15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4" s="52" t="str">
        <f ca="1">IFERROR(__xludf.DUMMYFUNCTION("""COMPUTED_VALUE"""),"МинЖКХ")</f>
        <v>МинЖКХ</v>
      </c>
      <c r="E154" s="45" t="s">
        <v>210</v>
      </c>
      <c r="F154" s="48" t="str">
        <f ca="1">IFERROR(__xludf.DUMMYFUNCTION("""COMPUTED_VALUE"""),"ВЗУ")</f>
        <v>ВЗУ</v>
      </c>
      <c r="G154" s="48" t="str">
        <f ca="1">IFERROR(__xludf.DUMMYFUNCTION("""COMPUTED_VALUE"""),"Н/Л")</f>
        <v>Н/Л</v>
      </c>
      <c r="H154" s="48"/>
      <c r="I154" s="48" t="str">
        <f ca="1">IFERROR(__xludf.DUMMYFUNCTION("""COMPUTED_VALUE"""),"СМР")</f>
        <v>СМР</v>
      </c>
      <c r="J154" s="48"/>
      <c r="K154" s="48"/>
      <c r="L154" s="48"/>
      <c r="M154" s="48"/>
      <c r="N154" s="48" t="str">
        <f ca="1">IFERROR(__xludf.DUMMYFUNCTION("""COMPUTED_VALUE"""),"10 1 02 60330")</f>
        <v>10 1 02 60330</v>
      </c>
      <c r="O154" s="48">
        <f ca="1">IFERROR(__xludf.DUMMYFUNCTION("""COMPUTED_VALUE"""),520)</f>
        <v>520</v>
      </c>
      <c r="P154" s="24">
        <f t="shared" ref="P154:T154" si="160">SUM(V154,AB154,AH154,AN154,AT154,AZ154,BF154)</f>
        <v>0</v>
      </c>
      <c r="Q154" s="24">
        <f t="shared" si="160"/>
        <v>0</v>
      </c>
      <c r="R154" s="24">
        <f t="shared" si="160"/>
        <v>0</v>
      </c>
      <c r="S154" s="24">
        <f t="shared" si="160"/>
        <v>0</v>
      </c>
      <c r="T154" s="24">
        <f t="shared" si="160"/>
        <v>0</v>
      </c>
      <c r="U154" s="20"/>
      <c r="V154" s="24"/>
      <c r="W154" s="24"/>
      <c r="X154" s="24"/>
      <c r="Y154" s="24"/>
      <c r="Z154" s="24"/>
      <c r="AA154" s="24"/>
      <c r="AB154" s="24"/>
      <c r="AC154" s="50"/>
      <c r="AD154" s="50"/>
      <c r="AE154" s="50"/>
      <c r="AF154" s="50"/>
      <c r="AG154" s="50"/>
      <c r="AH154" s="50">
        <f t="shared" si="2"/>
        <v>0</v>
      </c>
      <c r="AI154" s="50">
        <v>0</v>
      </c>
      <c r="AJ154" s="50">
        <v>0</v>
      </c>
      <c r="AK154" s="50">
        <v>0</v>
      </c>
      <c r="AL154" s="50">
        <v>0</v>
      </c>
      <c r="AM154" s="50"/>
      <c r="AN154" s="24">
        <f t="shared" si="3"/>
        <v>0</v>
      </c>
      <c r="AO154" s="50">
        <v>0</v>
      </c>
      <c r="AP154" s="50">
        <v>0</v>
      </c>
      <c r="AQ154" s="50">
        <v>0</v>
      </c>
      <c r="AR154" s="50">
        <v>0</v>
      </c>
      <c r="AS154" s="50"/>
      <c r="AT154" s="50">
        <f t="shared" si="4"/>
        <v>0</v>
      </c>
      <c r="AU154" s="50">
        <v>0</v>
      </c>
      <c r="AV154" s="50">
        <v>0</v>
      </c>
      <c r="AW154" s="50">
        <v>0</v>
      </c>
      <c r="AX154" s="50">
        <v>0</v>
      </c>
      <c r="AY154" s="50"/>
      <c r="AZ154" s="50">
        <f t="shared" si="133"/>
        <v>0</v>
      </c>
      <c r="BA154" s="50">
        <v>0</v>
      </c>
      <c r="BB154" s="50">
        <v>0</v>
      </c>
      <c r="BC154" s="50">
        <v>0</v>
      </c>
      <c r="BD154" s="50">
        <v>0</v>
      </c>
      <c r="BE154" s="50"/>
      <c r="BF154" s="50">
        <f t="shared" si="6"/>
        <v>0</v>
      </c>
      <c r="BG154" s="50">
        <v>0</v>
      </c>
      <c r="BH154" s="50">
        <v>0</v>
      </c>
      <c r="BI154" s="50">
        <v>0</v>
      </c>
      <c r="BJ154" s="50">
        <v>0</v>
      </c>
      <c r="BK154" s="50"/>
      <c r="BL154" s="20"/>
    </row>
    <row r="155" spans="1:64" ht="96" x14ac:dyDescent="0.2">
      <c r="A155" s="69">
        <v>151</v>
      </c>
      <c r="B155" s="48" t="str">
        <f ca="1">IFERROR(__xludf.DUMMYFUNCTION("""COMPUTED_VALUE"""),"г.о. Балашиха")</f>
        <v>г.о. Балашиха</v>
      </c>
      <c r="C15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5" s="52" t="str">
        <f ca="1">IFERROR(__xludf.DUMMYFUNCTION("""COMPUTED_VALUE"""),"МинЖКХ")</f>
        <v>МинЖКХ</v>
      </c>
      <c r="E155" s="45" t="s">
        <v>211</v>
      </c>
      <c r="F155" s="48" t="str">
        <f ca="1">IFERROR(__xludf.DUMMYFUNCTION("""COMPUTED_VALUE"""),"ВЗУ")</f>
        <v>ВЗУ</v>
      </c>
      <c r="G155" s="48" t="str">
        <f ca="1">IFERROR(__xludf.DUMMYFUNCTION("""COMPUTED_VALUE"""),"Н/Л")</f>
        <v>Н/Л</v>
      </c>
      <c r="H155" s="48"/>
      <c r="I155" s="48" t="str">
        <f ca="1">IFERROR(__xludf.DUMMYFUNCTION("""COMPUTED_VALUE"""),"Приобретение, монтаж")</f>
        <v>Приобретение, монтаж</v>
      </c>
      <c r="J155" s="48"/>
      <c r="K155" s="48"/>
      <c r="L155" s="48"/>
      <c r="M155" s="48"/>
      <c r="N155" s="48" t="str">
        <f ca="1">IFERROR(__xludf.DUMMYFUNCTION("""COMPUTED_VALUE"""),"10 1 02 60330")</f>
        <v>10 1 02 60330</v>
      </c>
      <c r="O155" s="48">
        <f ca="1">IFERROR(__xludf.DUMMYFUNCTION("""COMPUTED_VALUE"""),520)</f>
        <v>520</v>
      </c>
      <c r="P155" s="24">
        <f t="shared" ref="P155:T155" si="161">SUM(V155,AB155,AH155,AN155,AT155,AZ155,BF155)</f>
        <v>0</v>
      </c>
      <c r="Q155" s="24">
        <f t="shared" si="161"/>
        <v>0</v>
      </c>
      <c r="R155" s="24">
        <f t="shared" si="161"/>
        <v>0</v>
      </c>
      <c r="S155" s="24">
        <f t="shared" si="161"/>
        <v>0</v>
      </c>
      <c r="T155" s="24">
        <f t="shared" si="161"/>
        <v>0</v>
      </c>
      <c r="U155" s="20"/>
      <c r="V155" s="24"/>
      <c r="W155" s="24"/>
      <c r="X155" s="24"/>
      <c r="Y155" s="24"/>
      <c r="Z155" s="24"/>
      <c r="AA155" s="24"/>
      <c r="AB155" s="24"/>
      <c r="AC155" s="50"/>
      <c r="AD155" s="50"/>
      <c r="AE155" s="50"/>
      <c r="AF155" s="50"/>
      <c r="AG155" s="50"/>
      <c r="AH155" s="50">
        <f t="shared" si="2"/>
        <v>0</v>
      </c>
      <c r="AI155" s="50">
        <v>0</v>
      </c>
      <c r="AJ155" s="50">
        <v>0</v>
      </c>
      <c r="AK155" s="50">
        <v>0</v>
      </c>
      <c r="AL155" s="50">
        <v>0</v>
      </c>
      <c r="AM155" s="50"/>
      <c r="AN155" s="24">
        <f t="shared" si="3"/>
        <v>0</v>
      </c>
      <c r="AO155" s="50">
        <v>0</v>
      </c>
      <c r="AP155" s="50">
        <v>0</v>
      </c>
      <c r="AQ155" s="50">
        <v>0</v>
      </c>
      <c r="AR155" s="50">
        <v>0</v>
      </c>
      <c r="AS155" s="50"/>
      <c r="AT155" s="50">
        <f t="shared" si="4"/>
        <v>0</v>
      </c>
      <c r="AU155" s="50">
        <v>0</v>
      </c>
      <c r="AV155" s="50">
        <v>0</v>
      </c>
      <c r="AW155" s="50">
        <v>0</v>
      </c>
      <c r="AX155" s="50">
        <v>0</v>
      </c>
      <c r="AY155" s="50"/>
      <c r="AZ155" s="50">
        <f t="shared" si="133"/>
        <v>0</v>
      </c>
      <c r="BA155" s="50">
        <v>0</v>
      </c>
      <c r="BB155" s="50">
        <v>0</v>
      </c>
      <c r="BC155" s="50">
        <v>0</v>
      </c>
      <c r="BD155" s="50">
        <v>0</v>
      </c>
      <c r="BE155" s="50"/>
      <c r="BF155" s="50">
        <f t="shared" si="6"/>
        <v>0</v>
      </c>
      <c r="BG155" s="50">
        <v>0</v>
      </c>
      <c r="BH155" s="50">
        <v>0</v>
      </c>
      <c r="BI155" s="50">
        <v>0</v>
      </c>
      <c r="BJ155" s="50">
        <v>0</v>
      </c>
      <c r="BK155" s="50"/>
      <c r="BL155" s="20"/>
    </row>
    <row r="156" spans="1:64" ht="96" x14ac:dyDescent="0.2">
      <c r="A156" s="69">
        <v>152</v>
      </c>
      <c r="B156" s="48" t="str">
        <f ca="1">IFERROR(__xludf.DUMMYFUNCTION("""COMPUTED_VALUE"""),"г.о. Пушкинский")</f>
        <v>г.о. Пушкинский</v>
      </c>
      <c r="C15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6" s="52" t="str">
        <f ca="1">IFERROR(__xludf.DUMMYFUNCTION("""COMPUTED_VALUE"""),"МинЖКХ")</f>
        <v>МинЖКХ</v>
      </c>
      <c r="E156" s="45" t="s">
        <v>212</v>
      </c>
      <c r="F156" s="48" t="str">
        <f ca="1">IFERROR(__xludf.DUMMYFUNCTION("""COMPUTED_VALUE"""),"ВЗУ")</f>
        <v>ВЗУ</v>
      </c>
      <c r="G156" s="48" t="str">
        <f ca="1">IFERROR(__xludf.DUMMYFUNCTION("""COMPUTED_VALUE"""),"Н/Л")</f>
        <v>Н/Л</v>
      </c>
      <c r="H156" s="48"/>
      <c r="I156" s="48" t="str">
        <f ca="1">IFERROR(__xludf.DUMMYFUNCTION("""COMPUTED_VALUE"""),"СМР")</f>
        <v>СМР</v>
      </c>
      <c r="J156" s="48"/>
      <c r="K156" s="48"/>
      <c r="L156" s="48"/>
      <c r="M156" s="48"/>
      <c r="N156" s="48" t="str">
        <f ca="1">IFERROR(__xludf.DUMMYFUNCTION("""COMPUTED_VALUE"""),"10 1 02 60330")</f>
        <v>10 1 02 60330</v>
      </c>
      <c r="O156" s="48">
        <f ca="1">IFERROR(__xludf.DUMMYFUNCTION("""COMPUTED_VALUE"""),520)</f>
        <v>520</v>
      </c>
      <c r="P156" s="24">
        <f t="shared" ref="P156:T156" si="162">SUM(V156,AB156,AH156,AN156,AT156,AZ156,BF156)</f>
        <v>0</v>
      </c>
      <c r="Q156" s="24">
        <f t="shared" si="162"/>
        <v>0</v>
      </c>
      <c r="R156" s="24">
        <f t="shared" si="162"/>
        <v>0</v>
      </c>
      <c r="S156" s="24">
        <f t="shared" si="162"/>
        <v>0</v>
      </c>
      <c r="T156" s="24">
        <f t="shared" si="162"/>
        <v>0</v>
      </c>
      <c r="U156" s="20"/>
      <c r="V156" s="24"/>
      <c r="W156" s="24"/>
      <c r="X156" s="24"/>
      <c r="Y156" s="24"/>
      <c r="Z156" s="24"/>
      <c r="AA156" s="24"/>
      <c r="AB156" s="24"/>
      <c r="AC156" s="50"/>
      <c r="AD156" s="50"/>
      <c r="AE156" s="50"/>
      <c r="AF156" s="50"/>
      <c r="AG156" s="50"/>
      <c r="AH156" s="50">
        <f t="shared" si="2"/>
        <v>0</v>
      </c>
      <c r="AI156" s="50">
        <v>0</v>
      </c>
      <c r="AJ156" s="50">
        <v>0</v>
      </c>
      <c r="AK156" s="50">
        <v>0</v>
      </c>
      <c r="AL156" s="50">
        <v>0</v>
      </c>
      <c r="AM156" s="50"/>
      <c r="AN156" s="24">
        <f t="shared" si="3"/>
        <v>0</v>
      </c>
      <c r="AO156" s="50">
        <v>0</v>
      </c>
      <c r="AP156" s="50">
        <v>0</v>
      </c>
      <c r="AQ156" s="50">
        <v>0</v>
      </c>
      <c r="AR156" s="50">
        <v>0</v>
      </c>
      <c r="AS156" s="50"/>
      <c r="AT156" s="50">
        <f t="shared" si="4"/>
        <v>0</v>
      </c>
      <c r="AU156" s="50">
        <v>0</v>
      </c>
      <c r="AV156" s="50">
        <v>0</v>
      </c>
      <c r="AW156" s="50">
        <v>0</v>
      </c>
      <c r="AX156" s="50">
        <v>0</v>
      </c>
      <c r="AY156" s="50"/>
      <c r="AZ156" s="50">
        <f t="shared" si="133"/>
        <v>0</v>
      </c>
      <c r="BA156" s="50">
        <v>0</v>
      </c>
      <c r="BB156" s="50">
        <v>0</v>
      </c>
      <c r="BC156" s="50">
        <v>0</v>
      </c>
      <c r="BD156" s="50">
        <v>0</v>
      </c>
      <c r="BE156" s="50"/>
      <c r="BF156" s="50">
        <f t="shared" si="6"/>
        <v>0</v>
      </c>
      <c r="BG156" s="50">
        <v>0</v>
      </c>
      <c r="BH156" s="50">
        <v>0</v>
      </c>
      <c r="BI156" s="50">
        <v>0</v>
      </c>
      <c r="BJ156" s="50">
        <v>0</v>
      </c>
      <c r="BK156" s="50"/>
      <c r="BL156" s="20"/>
    </row>
    <row r="157" spans="1:64" ht="96" x14ac:dyDescent="0.2">
      <c r="A157" s="69">
        <v>153</v>
      </c>
      <c r="B157" s="48" t="str">
        <f ca="1">IFERROR(__xludf.DUMMYFUNCTION("""COMPUTED_VALUE"""),"г.о. Егорьевск")</f>
        <v>г.о. Егорьевск</v>
      </c>
      <c r="C15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7" s="52" t="str">
        <f ca="1">IFERROR(__xludf.DUMMYFUNCTION("""COMPUTED_VALUE"""),"МинЖКХ")</f>
        <v>МинЖКХ</v>
      </c>
      <c r="E157" s="45" t="s">
        <v>213</v>
      </c>
      <c r="F157" s="48" t="str">
        <f ca="1">IFERROR(__xludf.DUMMYFUNCTION("""COMPUTED_VALUE"""),"ВЗУ")</f>
        <v>ВЗУ</v>
      </c>
      <c r="G157" s="48" t="str">
        <f ca="1">IFERROR(__xludf.DUMMYFUNCTION("""COMPUTED_VALUE"""),"Н/Л")</f>
        <v>Н/Л</v>
      </c>
      <c r="H157" s="48"/>
      <c r="I157" s="48" t="str">
        <f ca="1">IFERROR(__xludf.DUMMYFUNCTION("""COMPUTED_VALUE"""),"Приобретение, монтаж")</f>
        <v>Приобретение, монтаж</v>
      </c>
      <c r="J157" s="48"/>
      <c r="K157" s="48"/>
      <c r="L157" s="48"/>
      <c r="M157" s="48"/>
      <c r="N157" s="48" t="str">
        <f ca="1">IFERROR(__xludf.DUMMYFUNCTION("""COMPUTED_VALUE"""),"10 1 02 60330")</f>
        <v>10 1 02 60330</v>
      </c>
      <c r="O157" s="48">
        <f ca="1">IFERROR(__xludf.DUMMYFUNCTION("""COMPUTED_VALUE"""),520)</f>
        <v>520</v>
      </c>
      <c r="P157" s="24">
        <f t="shared" ref="P157:T157" si="163">SUM(V157,AB157,AH157,AN157,AT157,AZ157,BF157)</f>
        <v>0</v>
      </c>
      <c r="Q157" s="24">
        <f t="shared" si="163"/>
        <v>0</v>
      </c>
      <c r="R157" s="24">
        <f t="shared" si="163"/>
        <v>0</v>
      </c>
      <c r="S157" s="24">
        <f t="shared" si="163"/>
        <v>0</v>
      </c>
      <c r="T157" s="24">
        <f t="shared" si="163"/>
        <v>0</v>
      </c>
      <c r="U157" s="20"/>
      <c r="V157" s="24"/>
      <c r="W157" s="24"/>
      <c r="X157" s="24"/>
      <c r="Y157" s="24"/>
      <c r="Z157" s="24"/>
      <c r="AA157" s="24"/>
      <c r="AB157" s="24"/>
      <c r="AC157" s="50"/>
      <c r="AD157" s="50"/>
      <c r="AE157" s="50"/>
      <c r="AF157" s="50"/>
      <c r="AG157" s="50"/>
      <c r="AH157" s="50">
        <f t="shared" si="2"/>
        <v>0</v>
      </c>
      <c r="AI157" s="50">
        <v>0</v>
      </c>
      <c r="AJ157" s="50">
        <v>0</v>
      </c>
      <c r="AK157" s="50">
        <v>0</v>
      </c>
      <c r="AL157" s="50">
        <v>0</v>
      </c>
      <c r="AM157" s="50"/>
      <c r="AN157" s="24">
        <f t="shared" si="3"/>
        <v>0</v>
      </c>
      <c r="AO157" s="50">
        <v>0</v>
      </c>
      <c r="AP157" s="50">
        <v>0</v>
      </c>
      <c r="AQ157" s="50">
        <v>0</v>
      </c>
      <c r="AR157" s="50">
        <v>0</v>
      </c>
      <c r="AS157" s="50"/>
      <c r="AT157" s="50">
        <f t="shared" si="4"/>
        <v>0</v>
      </c>
      <c r="AU157" s="50">
        <v>0</v>
      </c>
      <c r="AV157" s="50">
        <v>0</v>
      </c>
      <c r="AW157" s="50">
        <v>0</v>
      </c>
      <c r="AX157" s="50">
        <v>0</v>
      </c>
      <c r="AY157" s="50"/>
      <c r="AZ157" s="50">
        <f t="shared" si="133"/>
        <v>0</v>
      </c>
      <c r="BA157" s="50">
        <v>0</v>
      </c>
      <c r="BB157" s="50">
        <v>0</v>
      </c>
      <c r="BC157" s="50">
        <v>0</v>
      </c>
      <c r="BD157" s="50">
        <v>0</v>
      </c>
      <c r="BE157" s="50"/>
      <c r="BF157" s="50">
        <f t="shared" si="6"/>
        <v>0</v>
      </c>
      <c r="BG157" s="50">
        <v>0</v>
      </c>
      <c r="BH157" s="50">
        <v>0</v>
      </c>
      <c r="BI157" s="50">
        <v>0</v>
      </c>
      <c r="BJ157" s="50">
        <v>0</v>
      </c>
      <c r="BK157" s="50"/>
      <c r="BL157" s="20"/>
    </row>
    <row r="158" spans="1:64" ht="96" x14ac:dyDescent="0.2">
      <c r="A158" s="69">
        <v>154</v>
      </c>
      <c r="B158" s="48" t="str">
        <f ca="1">IFERROR(__xludf.DUMMYFUNCTION("""COMPUTED_VALUE"""),"г.о. Егорьевск")</f>
        <v>г.о. Егорьевск</v>
      </c>
      <c r="C15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8" s="52" t="str">
        <f ca="1">IFERROR(__xludf.DUMMYFUNCTION("""COMPUTED_VALUE"""),"МинЖКХ")</f>
        <v>МинЖКХ</v>
      </c>
      <c r="E158" s="45" t="s">
        <v>214</v>
      </c>
      <c r="F158" s="48" t="str">
        <f ca="1">IFERROR(__xludf.DUMMYFUNCTION("""COMPUTED_VALUE"""),"ВЗУ")</f>
        <v>ВЗУ</v>
      </c>
      <c r="G158" s="48" t="str">
        <f ca="1">IFERROR(__xludf.DUMMYFUNCTION("""COMPUTED_VALUE"""),"Н/Л")</f>
        <v>Н/Л</v>
      </c>
      <c r="H158" s="48"/>
      <c r="I158" s="48" t="str">
        <f ca="1">IFERROR(__xludf.DUMMYFUNCTION("""COMPUTED_VALUE"""),"Приобретение, монтаж")</f>
        <v>Приобретение, монтаж</v>
      </c>
      <c r="J158" s="48"/>
      <c r="K158" s="48"/>
      <c r="L158" s="48"/>
      <c r="M158" s="48"/>
      <c r="N158" s="48" t="str">
        <f ca="1">IFERROR(__xludf.DUMMYFUNCTION("""COMPUTED_VALUE"""),"10 1 02 60330")</f>
        <v>10 1 02 60330</v>
      </c>
      <c r="O158" s="48">
        <f ca="1">IFERROR(__xludf.DUMMYFUNCTION("""COMPUTED_VALUE"""),520)</f>
        <v>520</v>
      </c>
      <c r="P158" s="24">
        <f t="shared" ref="P158:T158" si="164">SUM(V158,AB158,AH158,AN158,AT158,AZ158,BF158)</f>
        <v>0</v>
      </c>
      <c r="Q158" s="24">
        <f t="shared" si="164"/>
        <v>0</v>
      </c>
      <c r="R158" s="24">
        <f t="shared" si="164"/>
        <v>0</v>
      </c>
      <c r="S158" s="24">
        <f t="shared" si="164"/>
        <v>0</v>
      </c>
      <c r="T158" s="24">
        <f t="shared" si="164"/>
        <v>0</v>
      </c>
      <c r="U158" s="20"/>
      <c r="V158" s="24"/>
      <c r="W158" s="24"/>
      <c r="X158" s="24"/>
      <c r="Y158" s="24"/>
      <c r="Z158" s="24"/>
      <c r="AA158" s="24"/>
      <c r="AB158" s="24"/>
      <c r="AC158" s="50"/>
      <c r="AD158" s="50"/>
      <c r="AE158" s="50"/>
      <c r="AF158" s="50"/>
      <c r="AG158" s="50"/>
      <c r="AH158" s="50">
        <f t="shared" si="2"/>
        <v>0</v>
      </c>
      <c r="AI158" s="50">
        <v>0</v>
      </c>
      <c r="AJ158" s="50">
        <v>0</v>
      </c>
      <c r="AK158" s="50">
        <v>0</v>
      </c>
      <c r="AL158" s="50">
        <v>0</v>
      </c>
      <c r="AM158" s="50"/>
      <c r="AN158" s="24">
        <f t="shared" si="3"/>
        <v>0</v>
      </c>
      <c r="AO158" s="50">
        <v>0</v>
      </c>
      <c r="AP158" s="50">
        <v>0</v>
      </c>
      <c r="AQ158" s="50">
        <v>0</v>
      </c>
      <c r="AR158" s="50">
        <v>0</v>
      </c>
      <c r="AS158" s="50"/>
      <c r="AT158" s="50">
        <f t="shared" si="4"/>
        <v>0</v>
      </c>
      <c r="AU158" s="50">
        <v>0</v>
      </c>
      <c r="AV158" s="50">
        <v>0</v>
      </c>
      <c r="AW158" s="50">
        <v>0</v>
      </c>
      <c r="AX158" s="50">
        <v>0</v>
      </c>
      <c r="AY158" s="50"/>
      <c r="AZ158" s="50">
        <f t="shared" si="133"/>
        <v>0</v>
      </c>
      <c r="BA158" s="50">
        <v>0</v>
      </c>
      <c r="BB158" s="50">
        <v>0</v>
      </c>
      <c r="BC158" s="50">
        <v>0</v>
      </c>
      <c r="BD158" s="50">
        <v>0</v>
      </c>
      <c r="BE158" s="50"/>
      <c r="BF158" s="50">
        <f t="shared" si="6"/>
        <v>0</v>
      </c>
      <c r="BG158" s="50">
        <v>0</v>
      </c>
      <c r="BH158" s="50">
        <v>0</v>
      </c>
      <c r="BI158" s="50">
        <v>0</v>
      </c>
      <c r="BJ158" s="50">
        <v>0</v>
      </c>
      <c r="BK158" s="50"/>
      <c r="BL158" s="20"/>
    </row>
    <row r="159" spans="1:64" ht="96" x14ac:dyDescent="0.2">
      <c r="A159" s="69">
        <v>155</v>
      </c>
      <c r="B159" s="48" t="str">
        <f ca="1">IFERROR(__xludf.DUMMYFUNCTION("""COMPUTED_VALUE"""),"г.о. Егорьевск")</f>
        <v>г.о. Егорьевск</v>
      </c>
      <c r="C15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59" s="52" t="str">
        <f ca="1">IFERROR(__xludf.DUMMYFUNCTION("""COMPUTED_VALUE"""),"МинЖКХ")</f>
        <v>МинЖКХ</v>
      </c>
      <c r="E159" s="45" t="s">
        <v>215</v>
      </c>
      <c r="F159" s="48" t="str">
        <f ca="1">IFERROR(__xludf.DUMMYFUNCTION("""COMPUTED_VALUE"""),"ВЗУ")</f>
        <v>ВЗУ</v>
      </c>
      <c r="G159" s="48" t="str">
        <f ca="1">IFERROR(__xludf.DUMMYFUNCTION("""COMPUTED_VALUE"""),"Н/Л")</f>
        <v>Н/Л</v>
      </c>
      <c r="H159" s="48"/>
      <c r="I159" s="48" t="str">
        <f ca="1">IFERROR(__xludf.DUMMYFUNCTION("""COMPUTED_VALUE"""),"Приобретение, монтаж")</f>
        <v>Приобретение, монтаж</v>
      </c>
      <c r="J159" s="48"/>
      <c r="K159" s="48"/>
      <c r="L159" s="48"/>
      <c r="M159" s="48"/>
      <c r="N159" s="48" t="str">
        <f ca="1">IFERROR(__xludf.DUMMYFUNCTION("""COMPUTED_VALUE"""),"10 1 02 60330")</f>
        <v>10 1 02 60330</v>
      </c>
      <c r="O159" s="48">
        <f ca="1">IFERROR(__xludf.DUMMYFUNCTION("""COMPUTED_VALUE"""),520)</f>
        <v>520</v>
      </c>
      <c r="P159" s="24">
        <f t="shared" ref="P159:T159" si="165">SUM(V159,AB159,AH159,AN159,AT159,AZ159,BF159)</f>
        <v>0</v>
      </c>
      <c r="Q159" s="24">
        <f t="shared" si="165"/>
        <v>0</v>
      </c>
      <c r="R159" s="24">
        <f t="shared" si="165"/>
        <v>0</v>
      </c>
      <c r="S159" s="24">
        <f t="shared" si="165"/>
        <v>0</v>
      </c>
      <c r="T159" s="24">
        <f t="shared" si="165"/>
        <v>0</v>
      </c>
      <c r="U159" s="20"/>
      <c r="V159" s="24"/>
      <c r="W159" s="24"/>
      <c r="X159" s="24"/>
      <c r="Y159" s="24"/>
      <c r="Z159" s="24"/>
      <c r="AA159" s="24"/>
      <c r="AB159" s="24"/>
      <c r="AC159" s="50"/>
      <c r="AD159" s="50"/>
      <c r="AE159" s="50"/>
      <c r="AF159" s="50"/>
      <c r="AG159" s="50"/>
      <c r="AH159" s="50">
        <f t="shared" si="2"/>
        <v>0</v>
      </c>
      <c r="AI159" s="50">
        <v>0</v>
      </c>
      <c r="AJ159" s="50">
        <v>0</v>
      </c>
      <c r="AK159" s="50">
        <v>0</v>
      </c>
      <c r="AL159" s="50">
        <v>0</v>
      </c>
      <c r="AM159" s="50"/>
      <c r="AN159" s="24">
        <f t="shared" si="3"/>
        <v>0</v>
      </c>
      <c r="AO159" s="50">
        <v>0</v>
      </c>
      <c r="AP159" s="50">
        <v>0</v>
      </c>
      <c r="AQ159" s="50">
        <v>0</v>
      </c>
      <c r="AR159" s="50">
        <v>0</v>
      </c>
      <c r="AS159" s="50"/>
      <c r="AT159" s="50">
        <f t="shared" si="4"/>
        <v>0</v>
      </c>
      <c r="AU159" s="50">
        <v>0</v>
      </c>
      <c r="AV159" s="50">
        <v>0</v>
      </c>
      <c r="AW159" s="50">
        <v>0</v>
      </c>
      <c r="AX159" s="50">
        <v>0</v>
      </c>
      <c r="AY159" s="50"/>
      <c r="AZ159" s="50">
        <f t="shared" si="133"/>
        <v>0</v>
      </c>
      <c r="BA159" s="50">
        <v>0</v>
      </c>
      <c r="BB159" s="50">
        <v>0</v>
      </c>
      <c r="BC159" s="50">
        <v>0</v>
      </c>
      <c r="BD159" s="50">
        <v>0</v>
      </c>
      <c r="BE159" s="50"/>
      <c r="BF159" s="50">
        <f t="shared" si="6"/>
        <v>0</v>
      </c>
      <c r="BG159" s="50">
        <v>0</v>
      </c>
      <c r="BH159" s="50">
        <v>0</v>
      </c>
      <c r="BI159" s="50">
        <v>0</v>
      </c>
      <c r="BJ159" s="50">
        <v>0</v>
      </c>
      <c r="BK159" s="50"/>
      <c r="BL159" s="20"/>
    </row>
    <row r="160" spans="1:64" ht="96" x14ac:dyDescent="0.2">
      <c r="A160" s="69">
        <v>156</v>
      </c>
      <c r="B160" s="48" t="str">
        <f ca="1">IFERROR(__xludf.DUMMYFUNCTION("""COMPUTED_VALUE"""),"г.о. Егорьевск")</f>
        <v>г.о. Егорьевск</v>
      </c>
      <c r="C16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0" s="52" t="str">
        <f ca="1">IFERROR(__xludf.DUMMYFUNCTION("""COMPUTED_VALUE"""),"МинЖКХ")</f>
        <v>МинЖКХ</v>
      </c>
      <c r="E160" s="45" t="s">
        <v>216</v>
      </c>
      <c r="F160" s="48" t="str">
        <f ca="1">IFERROR(__xludf.DUMMYFUNCTION("""COMPUTED_VALUE"""),"ВЗУ")</f>
        <v>ВЗУ</v>
      </c>
      <c r="G160" s="48" t="str">
        <f ca="1">IFERROR(__xludf.DUMMYFUNCTION("""COMPUTED_VALUE"""),"Н/Л")</f>
        <v>Н/Л</v>
      </c>
      <c r="H160" s="48"/>
      <c r="I160" s="48" t="str">
        <f ca="1">IFERROR(__xludf.DUMMYFUNCTION("""COMPUTED_VALUE"""),"Приобретение, монтаж")</f>
        <v>Приобретение, монтаж</v>
      </c>
      <c r="J160" s="48"/>
      <c r="K160" s="48"/>
      <c r="L160" s="48"/>
      <c r="M160" s="48"/>
      <c r="N160" s="48" t="str">
        <f ca="1">IFERROR(__xludf.DUMMYFUNCTION("""COMPUTED_VALUE"""),"10 1 02 60330")</f>
        <v>10 1 02 60330</v>
      </c>
      <c r="O160" s="48">
        <f ca="1">IFERROR(__xludf.DUMMYFUNCTION("""COMPUTED_VALUE"""),520)</f>
        <v>520</v>
      </c>
      <c r="P160" s="24">
        <f t="shared" ref="P160:T160" si="166">SUM(V160,AB160,AH160,AN160,AT160,AZ160,BF160)</f>
        <v>0</v>
      </c>
      <c r="Q160" s="24">
        <f t="shared" si="166"/>
        <v>0</v>
      </c>
      <c r="R160" s="24">
        <f t="shared" si="166"/>
        <v>0</v>
      </c>
      <c r="S160" s="24">
        <f t="shared" si="166"/>
        <v>0</v>
      </c>
      <c r="T160" s="24">
        <f t="shared" si="166"/>
        <v>0</v>
      </c>
      <c r="U160" s="20"/>
      <c r="V160" s="24"/>
      <c r="W160" s="24"/>
      <c r="X160" s="24"/>
      <c r="Y160" s="24"/>
      <c r="Z160" s="24"/>
      <c r="AA160" s="24"/>
      <c r="AB160" s="24"/>
      <c r="AC160" s="50"/>
      <c r="AD160" s="50"/>
      <c r="AE160" s="50"/>
      <c r="AF160" s="50"/>
      <c r="AG160" s="50"/>
      <c r="AH160" s="50">
        <f t="shared" si="2"/>
        <v>0</v>
      </c>
      <c r="AI160" s="50">
        <v>0</v>
      </c>
      <c r="AJ160" s="50">
        <v>0</v>
      </c>
      <c r="AK160" s="50">
        <v>0</v>
      </c>
      <c r="AL160" s="50">
        <v>0</v>
      </c>
      <c r="AM160" s="50"/>
      <c r="AN160" s="24">
        <f t="shared" si="3"/>
        <v>0</v>
      </c>
      <c r="AO160" s="50">
        <v>0</v>
      </c>
      <c r="AP160" s="50">
        <v>0</v>
      </c>
      <c r="AQ160" s="50">
        <v>0</v>
      </c>
      <c r="AR160" s="50">
        <v>0</v>
      </c>
      <c r="AS160" s="50"/>
      <c r="AT160" s="50">
        <f t="shared" si="4"/>
        <v>0</v>
      </c>
      <c r="AU160" s="50">
        <v>0</v>
      </c>
      <c r="AV160" s="50">
        <v>0</v>
      </c>
      <c r="AW160" s="50">
        <v>0</v>
      </c>
      <c r="AX160" s="50">
        <v>0</v>
      </c>
      <c r="AY160" s="50"/>
      <c r="AZ160" s="50">
        <f t="shared" si="133"/>
        <v>0</v>
      </c>
      <c r="BA160" s="50">
        <v>0</v>
      </c>
      <c r="BB160" s="50">
        <v>0</v>
      </c>
      <c r="BC160" s="50">
        <v>0</v>
      </c>
      <c r="BD160" s="50">
        <v>0</v>
      </c>
      <c r="BE160" s="50"/>
      <c r="BF160" s="50">
        <f t="shared" si="6"/>
        <v>0</v>
      </c>
      <c r="BG160" s="50">
        <v>0</v>
      </c>
      <c r="BH160" s="50">
        <v>0</v>
      </c>
      <c r="BI160" s="50">
        <v>0</v>
      </c>
      <c r="BJ160" s="50">
        <v>0</v>
      </c>
      <c r="BK160" s="50"/>
      <c r="BL160" s="20"/>
    </row>
    <row r="161" spans="1:64" ht="96" x14ac:dyDescent="0.2">
      <c r="A161" s="69">
        <v>157</v>
      </c>
      <c r="B161" s="48" t="str">
        <f ca="1">IFERROR(__xludf.DUMMYFUNCTION("""COMPUTED_VALUE"""),"г.о. Егорьевск")</f>
        <v>г.о. Егорьевск</v>
      </c>
      <c r="C16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1" s="52" t="str">
        <f ca="1">IFERROR(__xludf.DUMMYFUNCTION("""COMPUTED_VALUE"""),"МинЖКХ")</f>
        <v>МинЖКХ</v>
      </c>
      <c r="E161" s="45" t="s">
        <v>217</v>
      </c>
      <c r="F161" s="48" t="str">
        <f ca="1">IFERROR(__xludf.DUMMYFUNCTION("""COMPUTED_VALUE"""),"ВЗУ")</f>
        <v>ВЗУ</v>
      </c>
      <c r="G161" s="48" t="str">
        <f ca="1">IFERROR(__xludf.DUMMYFUNCTION("""COMPUTED_VALUE"""),"Н/Л")</f>
        <v>Н/Л</v>
      </c>
      <c r="H161" s="48"/>
      <c r="I161" s="48" t="str">
        <f ca="1">IFERROR(__xludf.DUMMYFUNCTION("""COMPUTED_VALUE"""),"Приобретение, монтаж")</f>
        <v>Приобретение, монтаж</v>
      </c>
      <c r="J161" s="48"/>
      <c r="K161" s="48"/>
      <c r="L161" s="48"/>
      <c r="M161" s="48"/>
      <c r="N161" s="48" t="str">
        <f ca="1">IFERROR(__xludf.DUMMYFUNCTION("""COMPUTED_VALUE"""),"10 1 02 60330")</f>
        <v>10 1 02 60330</v>
      </c>
      <c r="O161" s="48">
        <f ca="1">IFERROR(__xludf.DUMMYFUNCTION("""COMPUTED_VALUE"""),520)</f>
        <v>520</v>
      </c>
      <c r="P161" s="24">
        <f t="shared" ref="P161:T161" si="167">SUM(V161,AB161,AH161,AN161,AT161,AZ161,BF161)</f>
        <v>0</v>
      </c>
      <c r="Q161" s="24">
        <f t="shared" si="167"/>
        <v>0</v>
      </c>
      <c r="R161" s="24">
        <f t="shared" si="167"/>
        <v>0</v>
      </c>
      <c r="S161" s="24">
        <f t="shared" si="167"/>
        <v>0</v>
      </c>
      <c r="T161" s="24">
        <f t="shared" si="167"/>
        <v>0</v>
      </c>
      <c r="U161" s="20"/>
      <c r="V161" s="24"/>
      <c r="W161" s="24"/>
      <c r="X161" s="24"/>
      <c r="Y161" s="24"/>
      <c r="Z161" s="24"/>
      <c r="AA161" s="24"/>
      <c r="AB161" s="24"/>
      <c r="AC161" s="50"/>
      <c r="AD161" s="50"/>
      <c r="AE161" s="50"/>
      <c r="AF161" s="50"/>
      <c r="AG161" s="50"/>
      <c r="AH161" s="50">
        <f t="shared" si="2"/>
        <v>0</v>
      </c>
      <c r="AI161" s="50">
        <v>0</v>
      </c>
      <c r="AJ161" s="50">
        <v>0</v>
      </c>
      <c r="AK161" s="50">
        <v>0</v>
      </c>
      <c r="AL161" s="50">
        <v>0</v>
      </c>
      <c r="AM161" s="50"/>
      <c r="AN161" s="24">
        <f t="shared" si="3"/>
        <v>0</v>
      </c>
      <c r="AO161" s="50">
        <v>0</v>
      </c>
      <c r="AP161" s="50">
        <v>0</v>
      </c>
      <c r="AQ161" s="50">
        <v>0</v>
      </c>
      <c r="AR161" s="50">
        <v>0</v>
      </c>
      <c r="AS161" s="50"/>
      <c r="AT161" s="50">
        <f t="shared" si="4"/>
        <v>0</v>
      </c>
      <c r="AU161" s="50">
        <v>0</v>
      </c>
      <c r="AV161" s="50">
        <v>0</v>
      </c>
      <c r="AW161" s="50">
        <v>0</v>
      </c>
      <c r="AX161" s="50">
        <v>0</v>
      </c>
      <c r="AY161" s="50"/>
      <c r="AZ161" s="50">
        <f t="shared" si="133"/>
        <v>0</v>
      </c>
      <c r="BA161" s="50">
        <v>0</v>
      </c>
      <c r="BB161" s="50">
        <v>0</v>
      </c>
      <c r="BC161" s="50">
        <v>0</v>
      </c>
      <c r="BD161" s="50">
        <v>0</v>
      </c>
      <c r="BE161" s="50"/>
      <c r="BF161" s="50">
        <f t="shared" si="6"/>
        <v>0</v>
      </c>
      <c r="BG161" s="50">
        <v>0</v>
      </c>
      <c r="BH161" s="50">
        <v>0</v>
      </c>
      <c r="BI161" s="50">
        <v>0</v>
      </c>
      <c r="BJ161" s="50">
        <v>0</v>
      </c>
      <c r="BK161" s="50"/>
      <c r="BL161" s="20"/>
    </row>
    <row r="162" spans="1:64" ht="96" x14ac:dyDescent="0.2">
      <c r="A162" s="69">
        <v>158</v>
      </c>
      <c r="B162" s="48" t="str">
        <f ca="1">IFERROR(__xludf.DUMMYFUNCTION("""COMPUTED_VALUE"""),"г.о. Егорьевск")</f>
        <v>г.о. Егорьевск</v>
      </c>
      <c r="C16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2" s="52" t="str">
        <f ca="1">IFERROR(__xludf.DUMMYFUNCTION("""COMPUTED_VALUE"""),"МинЖКХ")</f>
        <v>МинЖКХ</v>
      </c>
      <c r="E162" s="45" t="s">
        <v>218</v>
      </c>
      <c r="F162" s="48" t="str">
        <f ca="1">IFERROR(__xludf.DUMMYFUNCTION("""COMPUTED_VALUE"""),"ВЗУ")</f>
        <v>ВЗУ</v>
      </c>
      <c r="G162" s="48" t="str">
        <f ca="1">IFERROR(__xludf.DUMMYFUNCTION("""COMPUTED_VALUE"""),"Н/Л")</f>
        <v>Н/Л</v>
      </c>
      <c r="H162" s="48"/>
      <c r="I162" s="48" t="str">
        <f ca="1">IFERROR(__xludf.DUMMYFUNCTION("""COMPUTED_VALUE"""),"Приобретение, монтаж")</f>
        <v>Приобретение, монтаж</v>
      </c>
      <c r="J162" s="48"/>
      <c r="K162" s="48"/>
      <c r="L162" s="48"/>
      <c r="M162" s="48"/>
      <c r="N162" s="48" t="str">
        <f ca="1">IFERROR(__xludf.DUMMYFUNCTION("""COMPUTED_VALUE"""),"10 1 02 60330")</f>
        <v>10 1 02 60330</v>
      </c>
      <c r="O162" s="48">
        <f ca="1">IFERROR(__xludf.DUMMYFUNCTION("""COMPUTED_VALUE"""),520)</f>
        <v>520</v>
      </c>
      <c r="P162" s="24">
        <f t="shared" ref="P162:T162" si="168">SUM(V162,AB162,AH162,AN162,AT162,AZ162,BF162)</f>
        <v>0</v>
      </c>
      <c r="Q162" s="24">
        <f t="shared" si="168"/>
        <v>0</v>
      </c>
      <c r="R162" s="24">
        <f t="shared" si="168"/>
        <v>0</v>
      </c>
      <c r="S162" s="24">
        <f t="shared" si="168"/>
        <v>0</v>
      </c>
      <c r="T162" s="24">
        <f t="shared" si="168"/>
        <v>0</v>
      </c>
      <c r="U162" s="20"/>
      <c r="V162" s="24"/>
      <c r="W162" s="24"/>
      <c r="X162" s="24"/>
      <c r="Y162" s="24"/>
      <c r="Z162" s="24"/>
      <c r="AA162" s="24"/>
      <c r="AB162" s="24"/>
      <c r="AC162" s="50"/>
      <c r="AD162" s="50"/>
      <c r="AE162" s="50"/>
      <c r="AF162" s="50"/>
      <c r="AG162" s="50"/>
      <c r="AH162" s="50">
        <f t="shared" si="2"/>
        <v>0</v>
      </c>
      <c r="AI162" s="50">
        <v>0</v>
      </c>
      <c r="AJ162" s="50">
        <v>0</v>
      </c>
      <c r="AK162" s="50">
        <v>0</v>
      </c>
      <c r="AL162" s="50">
        <v>0</v>
      </c>
      <c r="AM162" s="50"/>
      <c r="AN162" s="24">
        <f t="shared" si="3"/>
        <v>0</v>
      </c>
      <c r="AO162" s="50">
        <v>0</v>
      </c>
      <c r="AP162" s="50">
        <v>0</v>
      </c>
      <c r="AQ162" s="50">
        <v>0</v>
      </c>
      <c r="AR162" s="50">
        <v>0</v>
      </c>
      <c r="AS162" s="50"/>
      <c r="AT162" s="50">
        <f t="shared" si="4"/>
        <v>0</v>
      </c>
      <c r="AU162" s="50">
        <v>0</v>
      </c>
      <c r="AV162" s="50">
        <v>0</v>
      </c>
      <c r="AW162" s="50">
        <v>0</v>
      </c>
      <c r="AX162" s="50">
        <v>0</v>
      </c>
      <c r="AY162" s="50"/>
      <c r="AZ162" s="50">
        <f t="shared" si="133"/>
        <v>0</v>
      </c>
      <c r="BA162" s="50">
        <v>0</v>
      </c>
      <c r="BB162" s="50">
        <v>0</v>
      </c>
      <c r="BC162" s="50">
        <v>0</v>
      </c>
      <c r="BD162" s="50">
        <v>0</v>
      </c>
      <c r="BE162" s="50"/>
      <c r="BF162" s="50">
        <f t="shared" si="6"/>
        <v>0</v>
      </c>
      <c r="BG162" s="50">
        <v>0</v>
      </c>
      <c r="BH162" s="50">
        <v>0</v>
      </c>
      <c r="BI162" s="50">
        <v>0</v>
      </c>
      <c r="BJ162" s="50">
        <v>0</v>
      </c>
      <c r="BK162" s="50"/>
      <c r="BL162" s="20"/>
    </row>
    <row r="163" spans="1:64" ht="96" x14ac:dyDescent="0.2">
      <c r="A163" s="69">
        <v>159</v>
      </c>
      <c r="B163" s="48" t="str">
        <f ca="1">IFERROR(__xludf.DUMMYFUNCTION("""COMPUTED_VALUE"""),"г.о. Егорьевск")</f>
        <v>г.о. Егорьевск</v>
      </c>
      <c r="C16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3" s="52" t="str">
        <f ca="1">IFERROR(__xludf.DUMMYFUNCTION("""COMPUTED_VALUE"""),"МинЖКХ")</f>
        <v>МинЖКХ</v>
      </c>
      <c r="E163" s="45" t="s">
        <v>219</v>
      </c>
      <c r="F163" s="48" t="str">
        <f ca="1">IFERROR(__xludf.DUMMYFUNCTION("""COMPUTED_VALUE"""),"ВЗУ")</f>
        <v>ВЗУ</v>
      </c>
      <c r="G163" s="48" t="str">
        <f ca="1">IFERROR(__xludf.DUMMYFUNCTION("""COMPUTED_VALUE"""),"Н/Л")</f>
        <v>Н/Л</v>
      </c>
      <c r="H163" s="48"/>
      <c r="I163" s="48" t="str">
        <f ca="1">IFERROR(__xludf.DUMMYFUNCTION("""COMPUTED_VALUE"""),"Приобретение, монтаж")</f>
        <v>Приобретение, монтаж</v>
      </c>
      <c r="J163" s="48"/>
      <c r="K163" s="48"/>
      <c r="L163" s="48"/>
      <c r="M163" s="48"/>
      <c r="N163" s="48" t="str">
        <f ca="1">IFERROR(__xludf.DUMMYFUNCTION("""COMPUTED_VALUE"""),"10 1 02 60330")</f>
        <v>10 1 02 60330</v>
      </c>
      <c r="O163" s="48">
        <f ca="1">IFERROR(__xludf.DUMMYFUNCTION("""COMPUTED_VALUE"""),520)</f>
        <v>520</v>
      </c>
      <c r="P163" s="24">
        <f t="shared" ref="P163:T163" si="169">SUM(V163,AB163,AH163,AN163,AT163,AZ163,BF163)</f>
        <v>0</v>
      </c>
      <c r="Q163" s="24">
        <f t="shared" si="169"/>
        <v>0</v>
      </c>
      <c r="R163" s="24">
        <f t="shared" si="169"/>
        <v>0</v>
      </c>
      <c r="S163" s="24">
        <f t="shared" si="169"/>
        <v>0</v>
      </c>
      <c r="T163" s="24">
        <f t="shared" si="169"/>
        <v>0</v>
      </c>
      <c r="U163" s="20"/>
      <c r="V163" s="24"/>
      <c r="W163" s="24"/>
      <c r="X163" s="24"/>
      <c r="Y163" s="24"/>
      <c r="Z163" s="24"/>
      <c r="AA163" s="24"/>
      <c r="AB163" s="24"/>
      <c r="AC163" s="50"/>
      <c r="AD163" s="50"/>
      <c r="AE163" s="50"/>
      <c r="AF163" s="50"/>
      <c r="AG163" s="50"/>
      <c r="AH163" s="50">
        <f t="shared" si="2"/>
        <v>0</v>
      </c>
      <c r="AI163" s="50">
        <v>0</v>
      </c>
      <c r="AJ163" s="50">
        <v>0</v>
      </c>
      <c r="AK163" s="50">
        <v>0</v>
      </c>
      <c r="AL163" s="50">
        <v>0</v>
      </c>
      <c r="AM163" s="50"/>
      <c r="AN163" s="24">
        <f t="shared" si="3"/>
        <v>0</v>
      </c>
      <c r="AO163" s="50">
        <v>0</v>
      </c>
      <c r="AP163" s="50">
        <v>0</v>
      </c>
      <c r="AQ163" s="50">
        <v>0</v>
      </c>
      <c r="AR163" s="50">
        <v>0</v>
      </c>
      <c r="AS163" s="50"/>
      <c r="AT163" s="50">
        <f t="shared" si="4"/>
        <v>0</v>
      </c>
      <c r="AU163" s="50">
        <v>0</v>
      </c>
      <c r="AV163" s="50">
        <v>0</v>
      </c>
      <c r="AW163" s="50">
        <v>0</v>
      </c>
      <c r="AX163" s="50">
        <v>0</v>
      </c>
      <c r="AY163" s="50"/>
      <c r="AZ163" s="50">
        <f t="shared" si="133"/>
        <v>0</v>
      </c>
      <c r="BA163" s="50">
        <v>0</v>
      </c>
      <c r="BB163" s="50">
        <v>0</v>
      </c>
      <c r="BC163" s="50">
        <v>0</v>
      </c>
      <c r="BD163" s="50">
        <v>0</v>
      </c>
      <c r="BE163" s="50"/>
      <c r="BF163" s="50">
        <f t="shared" si="6"/>
        <v>0</v>
      </c>
      <c r="BG163" s="50">
        <v>0</v>
      </c>
      <c r="BH163" s="50">
        <v>0</v>
      </c>
      <c r="BI163" s="50">
        <v>0</v>
      </c>
      <c r="BJ163" s="50">
        <v>0</v>
      </c>
      <c r="BK163" s="50"/>
      <c r="BL163" s="20"/>
    </row>
    <row r="164" spans="1:64" ht="96" x14ac:dyDescent="0.2">
      <c r="A164" s="69">
        <v>160</v>
      </c>
      <c r="B164" s="48" t="str">
        <f ca="1">IFERROR(__xludf.DUMMYFUNCTION("""COMPUTED_VALUE"""),"г.о. Егорьевск")</f>
        <v>г.о. Егорьевск</v>
      </c>
      <c r="C16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4" s="52" t="str">
        <f ca="1">IFERROR(__xludf.DUMMYFUNCTION("""COMPUTED_VALUE"""),"МинЖКХ")</f>
        <v>МинЖКХ</v>
      </c>
      <c r="E164" s="45" t="s">
        <v>220</v>
      </c>
      <c r="F164" s="48" t="str">
        <f ca="1">IFERROR(__xludf.DUMMYFUNCTION("""COMPUTED_VALUE"""),"ВЗУ")</f>
        <v>ВЗУ</v>
      </c>
      <c r="G164" s="48" t="str">
        <f ca="1">IFERROR(__xludf.DUMMYFUNCTION("""COMPUTED_VALUE"""),"Н/Л")</f>
        <v>Н/Л</v>
      </c>
      <c r="H164" s="48"/>
      <c r="I164" s="48" t="str">
        <f ca="1">IFERROR(__xludf.DUMMYFUNCTION("""COMPUTED_VALUE"""),"Приобретение, монтаж")</f>
        <v>Приобретение, монтаж</v>
      </c>
      <c r="J164" s="48"/>
      <c r="K164" s="48"/>
      <c r="L164" s="48"/>
      <c r="M164" s="48"/>
      <c r="N164" s="48" t="str">
        <f ca="1">IFERROR(__xludf.DUMMYFUNCTION("""COMPUTED_VALUE"""),"10 1 02 60330")</f>
        <v>10 1 02 60330</v>
      </c>
      <c r="O164" s="48">
        <f ca="1">IFERROR(__xludf.DUMMYFUNCTION("""COMPUTED_VALUE"""),520)</f>
        <v>520</v>
      </c>
      <c r="P164" s="24">
        <f t="shared" ref="P164:T164" si="170">SUM(V164,AB164,AH164,AN164,AT164,AZ164,BF164)</f>
        <v>0</v>
      </c>
      <c r="Q164" s="24">
        <f t="shared" si="170"/>
        <v>0</v>
      </c>
      <c r="R164" s="24">
        <f t="shared" si="170"/>
        <v>0</v>
      </c>
      <c r="S164" s="24">
        <f t="shared" si="170"/>
        <v>0</v>
      </c>
      <c r="T164" s="24">
        <f t="shared" si="170"/>
        <v>0</v>
      </c>
      <c r="U164" s="20"/>
      <c r="V164" s="24"/>
      <c r="W164" s="24"/>
      <c r="X164" s="24"/>
      <c r="Y164" s="24"/>
      <c r="Z164" s="24"/>
      <c r="AA164" s="24"/>
      <c r="AB164" s="24"/>
      <c r="AC164" s="50"/>
      <c r="AD164" s="50"/>
      <c r="AE164" s="50"/>
      <c r="AF164" s="50"/>
      <c r="AG164" s="50"/>
      <c r="AH164" s="50">
        <f t="shared" si="2"/>
        <v>0</v>
      </c>
      <c r="AI164" s="50">
        <v>0</v>
      </c>
      <c r="AJ164" s="50">
        <v>0</v>
      </c>
      <c r="AK164" s="50">
        <v>0</v>
      </c>
      <c r="AL164" s="50">
        <v>0</v>
      </c>
      <c r="AM164" s="50"/>
      <c r="AN164" s="24">
        <f t="shared" si="3"/>
        <v>0</v>
      </c>
      <c r="AO164" s="50">
        <v>0</v>
      </c>
      <c r="AP164" s="50">
        <v>0</v>
      </c>
      <c r="AQ164" s="50">
        <v>0</v>
      </c>
      <c r="AR164" s="50">
        <v>0</v>
      </c>
      <c r="AS164" s="50"/>
      <c r="AT164" s="50">
        <f t="shared" si="4"/>
        <v>0</v>
      </c>
      <c r="AU164" s="50">
        <v>0</v>
      </c>
      <c r="AV164" s="50">
        <v>0</v>
      </c>
      <c r="AW164" s="50">
        <v>0</v>
      </c>
      <c r="AX164" s="50">
        <v>0</v>
      </c>
      <c r="AY164" s="50"/>
      <c r="AZ164" s="50">
        <f t="shared" si="133"/>
        <v>0</v>
      </c>
      <c r="BA164" s="50">
        <v>0</v>
      </c>
      <c r="BB164" s="50">
        <v>0</v>
      </c>
      <c r="BC164" s="50">
        <v>0</v>
      </c>
      <c r="BD164" s="50">
        <v>0</v>
      </c>
      <c r="BE164" s="50"/>
      <c r="BF164" s="50">
        <f t="shared" si="6"/>
        <v>0</v>
      </c>
      <c r="BG164" s="50">
        <v>0</v>
      </c>
      <c r="BH164" s="50">
        <v>0</v>
      </c>
      <c r="BI164" s="50">
        <v>0</v>
      </c>
      <c r="BJ164" s="50">
        <v>0</v>
      </c>
      <c r="BK164" s="50"/>
      <c r="BL164" s="20"/>
    </row>
    <row r="165" spans="1:64" ht="96" x14ac:dyDescent="0.2">
      <c r="A165" s="69">
        <v>161</v>
      </c>
      <c r="B165" s="48" t="str">
        <f ca="1">IFERROR(__xludf.DUMMYFUNCTION("""COMPUTED_VALUE"""),"г.о. Егорьевск")</f>
        <v>г.о. Егорьевск</v>
      </c>
      <c r="C16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5" s="52" t="str">
        <f ca="1">IFERROR(__xludf.DUMMYFUNCTION("""COMPUTED_VALUE"""),"МинЖКХ")</f>
        <v>МинЖКХ</v>
      </c>
      <c r="E165" s="45" t="s">
        <v>221</v>
      </c>
      <c r="F165" s="48" t="str">
        <f ca="1">IFERROR(__xludf.DUMMYFUNCTION("""COMPUTED_VALUE"""),"ВЗУ")</f>
        <v>ВЗУ</v>
      </c>
      <c r="G165" s="48" t="str">
        <f ca="1">IFERROR(__xludf.DUMMYFUNCTION("""COMPUTED_VALUE"""),"Н/Л")</f>
        <v>Н/Л</v>
      </c>
      <c r="H165" s="48"/>
      <c r="I165" s="48" t="str">
        <f ca="1">IFERROR(__xludf.DUMMYFUNCTION("""COMPUTED_VALUE"""),"Приобретение, монтаж")</f>
        <v>Приобретение, монтаж</v>
      </c>
      <c r="J165" s="48"/>
      <c r="K165" s="48"/>
      <c r="L165" s="48"/>
      <c r="M165" s="48"/>
      <c r="N165" s="48" t="str">
        <f ca="1">IFERROR(__xludf.DUMMYFUNCTION("""COMPUTED_VALUE"""),"10 1 02 60330")</f>
        <v>10 1 02 60330</v>
      </c>
      <c r="O165" s="48">
        <f ca="1">IFERROR(__xludf.DUMMYFUNCTION("""COMPUTED_VALUE"""),520)</f>
        <v>520</v>
      </c>
      <c r="P165" s="24">
        <f t="shared" ref="P165:T165" si="171">SUM(V165,AB165,AH165,AN165,AT165,AZ165,BF165)</f>
        <v>0</v>
      </c>
      <c r="Q165" s="24">
        <f t="shared" si="171"/>
        <v>0</v>
      </c>
      <c r="R165" s="24">
        <f t="shared" si="171"/>
        <v>0</v>
      </c>
      <c r="S165" s="24">
        <f t="shared" si="171"/>
        <v>0</v>
      </c>
      <c r="T165" s="24">
        <f t="shared" si="171"/>
        <v>0</v>
      </c>
      <c r="U165" s="20"/>
      <c r="V165" s="24"/>
      <c r="W165" s="24"/>
      <c r="X165" s="24"/>
      <c r="Y165" s="24"/>
      <c r="Z165" s="24"/>
      <c r="AA165" s="24"/>
      <c r="AB165" s="24"/>
      <c r="AC165" s="50"/>
      <c r="AD165" s="50"/>
      <c r="AE165" s="50"/>
      <c r="AF165" s="50"/>
      <c r="AG165" s="50"/>
      <c r="AH165" s="50">
        <f t="shared" si="2"/>
        <v>0</v>
      </c>
      <c r="AI165" s="50">
        <v>0</v>
      </c>
      <c r="AJ165" s="50">
        <v>0</v>
      </c>
      <c r="AK165" s="50">
        <v>0</v>
      </c>
      <c r="AL165" s="50">
        <v>0</v>
      </c>
      <c r="AM165" s="50"/>
      <c r="AN165" s="24">
        <f t="shared" si="3"/>
        <v>0</v>
      </c>
      <c r="AO165" s="50">
        <v>0</v>
      </c>
      <c r="AP165" s="50">
        <v>0</v>
      </c>
      <c r="AQ165" s="50">
        <v>0</v>
      </c>
      <c r="AR165" s="50">
        <v>0</v>
      </c>
      <c r="AS165" s="50"/>
      <c r="AT165" s="50">
        <f t="shared" si="4"/>
        <v>0</v>
      </c>
      <c r="AU165" s="50">
        <v>0</v>
      </c>
      <c r="AV165" s="50">
        <v>0</v>
      </c>
      <c r="AW165" s="50">
        <v>0</v>
      </c>
      <c r="AX165" s="50">
        <v>0</v>
      </c>
      <c r="AY165" s="50"/>
      <c r="AZ165" s="50">
        <f t="shared" si="133"/>
        <v>0</v>
      </c>
      <c r="BA165" s="50">
        <v>0</v>
      </c>
      <c r="BB165" s="50">
        <v>0</v>
      </c>
      <c r="BC165" s="50">
        <v>0</v>
      </c>
      <c r="BD165" s="50">
        <v>0</v>
      </c>
      <c r="BE165" s="50"/>
      <c r="BF165" s="50">
        <f t="shared" si="6"/>
        <v>0</v>
      </c>
      <c r="BG165" s="50">
        <v>0</v>
      </c>
      <c r="BH165" s="50">
        <v>0</v>
      </c>
      <c r="BI165" s="50">
        <v>0</v>
      </c>
      <c r="BJ165" s="50">
        <v>0</v>
      </c>
      <c r="BK165" s="50"/>
      <c r="BL165" s="20"/>
    </row>
    <row r="166" spans="1:64" ht="96" x14ac:dyDescent="0.2">
      <c r="A166" s="69">
        <v>162</v>
      </c>
      <c r="B166" s="48" t="str">
        <f ca="1">IFERROR(__xludf.DUMMYFUNCTION("""COMPUTED_VALUE"""),"г.о. Коломенский")</f>
        <v>г.о. Коломенский</v>
      </c>
      <c r="C16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6" s="52" t="str">
        <f ca="1">IFERROR(__xludf.DUMMYFUNCTION("""COMPUTED_VALUE"""),"МинЖКХ")</f>
        <v>МинЖКХ</v>
      </c>
      <c r="E166" s="45" t="s">
        <v>222</v>
      </c>
      <c r="F166" s="46" t="str">
        <f ca="1">IFERROR(__xludf.DUMMYFUNCTION("""COMPUTED_VALUE"""),"ВЗУ")</f>
        <v>ВЗУ</v>
      </c>
      <c r="G166" s="46">
        <f ca="1">IFERROR(__xludf.DUMMYFUNCTION("""COMPUTED_VALUE"""),2020)</f>
        <v>2020</v>
      </c>
      <c r="H166" s="48" t="str">
        <f ca="1">IFERROR(__xludf.DUMMYFUNCTION("""COMPUTED_VALUE"""),"ЗАВЕРШЕНО")</f>
        <v>ЗАВЕРШЕНО</v>
      </c>
      <c r="I166" s="48" t="str">
        <f ca="1">IFERROR(__xludf.DUMMYFUNCTION("""COMPUTED_VALUE"""),"Приобретение, монтаж")</f>
        <v>Приобретение, монтаж</v>
      </c>
      <c r="J166" s="70">
        <f ca="1">IFERROR(__xludf.DUMMYFUNCTION("""COMPUTED_VALUE"""),1)</f>
        <v>1</v>
      </c>
      <c r="K166" s="48"/>
      <c r="L166" s="48"/>
      <c r="M166" s="48"/>
      <c r="N166" s="48" t="str">
        <f ca="1">IFERROR(__xludf.DUMMYFUNCTION("""COMPUTED_VALUE"""),"10 1 02 60330")</f>
        <v>10 1 02 60330</v>
      </c>
      <c r="O166" s="48">
        <f ca="1">IFERROR(__xludf.DUMMYFUNCTION("""COMPUTED_VALUE"""),520)</f>
        <v>520</v>
      </c>
      <c r="P166" s="24">
        <f t="shared" ref="P166:T166" si="172">SUM(V166,AB166,AH166,AN166,AT166,AZ166,BF166)</f>
        <v>1972.8700000000001</v>
      </c>
      <c r="Q166" s="24">
        <f t="shared" si="172"/>
        <v>0</v>
      </c>
      <c r="R166" s="24">
        <f t="shared" si="172"/>
        <v>0</v>
      </c>
      <c r="S166" s="24">
        <f t="shared" si="172"/>
        <v>1874.2</v>
      </c>
      <c r="T166" s="24">
        <f t="shared" si="172"/>
        <v>98.67</v>
      </c>
      <c r="U166" s="20"/>
      <c r="V166" s="24"/>
      <c r="W166" s="24"/>
      <c r="X166" s="24"/>
      <c r="Y166" s="24"/>
      <c r="Z166" s="24"/>
      <c r="AA166" s="24"/>
      <c r="AB166" s="24"/>
      <c r="AC166" s="50"/>
      <c r="AD166" s="50"/>
      <c r="AE166" s="50"/>
      <c r="AF166" s="50"/>
      <c r="AG166" s="50"/>
      <c r="AH166" s="50">
        <f t="shared" si="2"/>
        <v>1972.8700000000001</v>
      </c>
      <c r="AI166" s="50">
        <v>0</v>
      </c>
      <c r="AJ166" s="50">
        <v>0</v>
      </c>
      <c r="AK166" s="50">
        <v>1874.2</v>
      </c>
      <c r="AL166" s="50">
        <v>98.67</v>
      </c>
      <c r="AM166" s="50"/>
      <c r="AN166" s="24">
        <f t="shared" si="3"/>
        <v>0</v>
      </c>
      <c r="AO166" s="50">
        <v>0</v>
      </c>
      <c r="AP166" s="50">
        <v>0</v>
      </c>
      <c r="AQ166" s="50">
        <v>0</v>
      </c>
      <c r="AR166" s="50">
        <v>0</v>
      </c>
      <c r="AS166" s="50"/>
      <c r="AT166" s="50">
        <f t="shared" si="4"/>
        <v>0</v>
      </c>
      <c r="AU166" s="50">
        <v>0</v>
      </c>
      <c r="AV166" s="50">
        <v>0</v>
      </c>
      <c r="AW166" s="50">
        <v>0</v>
      </c>
      <c r="AX166" s="50">
        <v>0</v>
      </c>
      <c r="AY166" s="50"/>
      <c r="AZ166" s="50">
        <f t="shared" si="133"/>
        <v>0</v>
      </c>
      <c r="BA166" s="50">
        <v>0</v>
      </c>
      <c r="BB166" s="50">
        <v>0</v>
      </c>
      <c r="BC166" s="50">
        <v>0</v>
      </c>
      <c r="BD166" s="50">
        <v>0</v>
      </c>
      <c r="BE166" s="50"/>
      <c r="BF166" s="50">
        <f t="shared" si="6"/>
        <v>0</v>
      </c>
      <c r="BG166" s="50">
        <v>0</v>
      </c>
      <c r="BH166" s="50">
        <v>0</v>
      </c>
      <c r="BI166" s="50">
        <v>0</v>
      </c>
      <c r="BJ166" s="50">
        <v>0</v>
      </c>
      <c r="BK166" s="50"/>
      <c r="BL166" s="20"/>
    </row>
    <row r="167" spans="1:64" ht="96" x14ac:dyDescent="0.2">
      <c r="A167" s="69">
        <v>163</v>
      </c>
      <c r="B167" s="48" t="str">
        <f ca="1">IFERROR(__xludf.DUMMYFUNCTION("""COMPUTED_VALUE"""),"г.о. Коломенский")</f>
        <v>г.о. Коломенский</v>
      </c>
      <c r="C16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7" s="52" t="str">
        <f ca="1">IFERROR(__xludf.DUMMYFUNCTION("""COMPUTED_VALUE"""),"МинЖКХ")</f>
        <v>МинЖКХ</v>
      </c>
      <c r="E167" s="45" t="s">
        <v>223</v>
      </c>
      <c r="F167" s="46" t="str">
        <f ca="1">IFERROR(__xludf.DUMMYFUNCTION("""COMPUTED_VALUE"""),"ВЗУ")</f>
        <v>ВЗУ</v>
      </c>
      <c r="G167" s="46">
        <f ca="1">IFERROR(__xludf.DUMMYFUNCTION("""COMPUTED_VALUE"""),2020)</f>
        <v>2020</v>
      </c>
      <c r="H167" s="48" t="str">
        <f ca="1">IFERROR(__xludf.DUMMYFUNCTION("""COMPUTED_VALUE"""),"Доставка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f>
        <v>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v>
      </c>
      <c r="I167" s="48" t="str">
        <f ca="1">IFERROR(__xludf.DUMMYFUNCTION("""COMPUTED_VALUE"""),"Приобретение, монтаж")</f>
        <v>Приобретение, монтаж</v>
      </c>
      <c r="J167" s="70">
        <f ca="1">IFERROR(__xludf.DUMMYFUNCTION("""COMPUTED_VALUE"""),0.6)</f>
        <v>0.6</v>
      </c>
      <c r="K167" s="48"/>
      <c r="L167" s="48"/>
      <c r="M167" s="48"/>
      <c r="N167" s="48" t="str">
        <f ca="1">IFERROR(__xludf.DUMMYFUNCTION("""COMPUTED_VALUE"""),"10 1 02 60330")</f>
        <v>10 1 02 60330</v>
      </c>
      <c r="O167" s="48">
        <f ca="1">IFERROR(__xludf.DUMMYFUNCTION("""COMPUTED_VALUE"""),520)</f>
        <v>520</v>
      </c>
      <c r="P167" s="24">
        <f t="shared" ref="P167:T167" si="173">SUM(V167,AB167,AH167,AN167,AT167,AZ167,BF167)</f>
        <v>1665.9399999999998</v>
      </c>
      <c r="Q167" s="24">
        <f t="shared" si="173"/>
        <v>0</v>
      </c>
      <c r="R167" s="24">
        <f t="shared" si="173"/>
        <v>0</v>
      </c>
      <c r="S167" s="24">
        <f t="shared" si="173"/>
        <v>1582.61</v>
      </c>
      <c r="T167" s="24">
        <f t="shared" si="173"/>
        <v>83.33</v>
      </c>
      <c r="U167" s="20"/>
      <c r="V167" s="24"/>
      <c r="W167" s="24"/>
      <c r="X167" s="24"/>
      <c r="Y167" s="24"/>
      <c r="Z167" s="24"/>
      <c r="AA167" s="24"/>
      <c r="AB167" s="24"/>
      <c r="AC167" s="50"/>
      <c r="AD167" s="50"/>
      <c r="AE167" s="50"/>
      <c r="AF167" s="50"/>
      <c r="AG167" s="50"/>
      <c r="AH167" s="50">
        <f t="shared" si="2"/>
        <v>1665.9399999999998</v>
      </c>
      <c r="AI167" s="50">
        <v>0</v>
      </c>
      <c r="AJ167" s="50">
        <v>0</v>
      </c>
      <c r="AK167" s="50">
        <v>1582.61</v>
      </c>
      <c r="AL167" s="50">
        <v>83.33</v>
      </c>
      <c r="AM167" s="50"/>
      <c r="AN167" s="24">
        <f t="shared" si="3"/>
        <v>0</v>
      </c>
      <c r="AO167" s="50">
        <v>0</v>
      </c>
      <c r="AP167" s="50">
        <v>0</v>
      </c>
      <c r="AQ167" s="50">
        <v>0</v>
      </c>
      <c r="AR167" s="50">
        <v>0</v>
      </c>
      <c r="AS167" s="50"/>
      <c r="AT167" s="50">
        <f t="shared" si="4"/>
        <v>0</v>
      </c>
      <c r="AU167" s="50">
        <v>0</v>
      </c>
      <c r="AV167" s="50">
        <v>0</v>
      </c>
      <c r="AW167" s="50">
        <v>0</v>
      </c>
      <c r="AX167" s="50">
        <v>0</v>
      </c>
      <c r="AY167" s="50"/>
      <c r="AZ167" s="50">
        <f t="shared" si="133"/>
        <v>0</v>
      </c>
      <c r="BA167" s="50">
        <v>0</v>
      </c>
      <c r="BB167" s="50">
        <v>0</v>
      </c>
      <c r="BC167" s="50">
        <v>0</v>
      </c>
      <c r="BD167" s="50">
        <v>0</v>
      </c>
      <c r="BE167" s="50"/>
      <c r="BF167" s="50">
        <f t="shared" si="6"/>
        <v>0</v>
      </c>
      <c r="BG167" s="50">
        <v>0</v>
      </c>
      <c r="BH167" s="50">
        <v>0</v>
      </c>
      <c r="BI167" s="50">
        <v>0</v>
      </c>
      <c r="BJ167" s="50">
        <v>0</v>
      </c>
      <c r="BK167" s="50"/>
      <c r="BL167" s="20"/>
    </row>
    <row r="168" spans="1:64" ht="96" x14ac:dyDescent="0.2">
      <c r="A168" s="69">
        <v>164</v>
      </c>
      <c r="B168" s="48" t="str">
        <f ca="1">IFERROR(__xludf.DUMMYFUNCTION("""COMPUTED_VALUE"""),"г.о. Коломенский")</f>
        <v>г.о. Коломенский</v>
      </c>
      <c r="C16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8" s="52" t="str">
        <f ca="1">IFERROR(__xludf.DUMMYFUNCTION("""COMPUTED_VALUE"""),"МинЖКХ")</f>
        <v>МинЖКХ</v>
      </c>
      <c r="E168" s="45" t="s">
        <v>224</v>
      </c>
      <c r="F168" s="48" t="str">
        <f ca="1">IFERROR(__xludf.DUMMYFUNCTION("""COMPUTED_VALUE"""),"ВЗУ")</f>
        <v>ВЗУ</v>
      </c>
      <c r="G168" s="48">
        <f ca="1">IFERROR(__xludf.DUMMYFUNCTION("""COMPUTED_VALUE"""),2020)</f>
        <v>2020</v>
      </c>
      <c r="H168" s="48"/>
      <c r="I168" s="48" t="str">
        <f ca="1">IFERROR(__xludf.DUMMYFUNCTION("""COMPUTED_VALUE"""),"Приобретение, монтаж")</f>
        <v>Приобретение, монтаж</v>
      </c>
      <c r="J168" s="48"/>
      <c r="K168" s="48"/>
      <c r="L168" s="48"/>
      <c r="M168" s="48"/>
      <c r="N168" s="48" t="str">
        <f ca="1">IFERROR(__xludf.DUMMYFUNCTION("""COMPUTED_VALUE"""),"10 1 02 60330")</f>
        <v>10 1 02 60330</v>
      </c>
      <c r="O168" s="48">
        <f ca="1">IFERROR(__xludf.DUMMYFUNCTION("""COMPUTED_VALUE"""),520)</f>
        <v>520</v>
      </c>
      <c r="P168" s="24">
        <f t="shared" ref="P168:T168" si="174">SUM(V168,AB168,AH168,AN168,AT168,AZ168,BF168)</f>
        <v>0</v>
      </c>
      <c r="Q168" s="24">
        <f t="shared" si="174"/>
        <v>0</v>
      </c>
      <c r="R168" s="24">
        <f t="shared" si="174"/>
        <v>0</v>
      </c>
      <c r="S168" s="24">
        <f t="shared" si="174"/>
        <v>0</v>
      </c>
      <c r="T168" s="24">
        <f t="shared" si="174"/>
        <v>0</v>
      </c>
      <c r="U168" s="20"/>
      <c r="V168" s="24"/>
      <c r="W168" s="24"/>
      <c r="X168" s="24"/>
      <c r="Y168" s="24"/>
      <c r="Z168" s="24"/>
      <c r="AA168" s="24"/>
      <c r="AB168" s="24"/>
      <c r="AC168" s="50"/>
      <c r="AD168" s="50"/>
      <c r="AE168" s="50"/>
      <c r="AF168" s="50"/>
      <c r="AG168" s="50"/>
      <c r="AH168" s="50">
        <f t="shared" si="2"/>
        <v>0</v>
      </c>
      <c r="AI168" s="50">
        <v>0</v>
      </c>
      <c r="AJ168" s="50">
        <v>0</v>
      </c>
      <c r="AK168" s="50">
        <v>0</v>
      </c>
      <c r="AL168" s="50">
        <v>0</v>
      </c>
      <c r="AM168" s="50"/>
      <c r="AN168" s="24">
        <f t="shared" si="3"/>
        <v>0</v>
      </c>
      <c r="AO168" s="50">
        <v>0</v>
      </c>
      <c r="AP168" s="50">
        <v>0</v>
      </c>
      <c r="AQ168" s="50">
        <v>0</v>
      </c>
      <c r="AR168" s="50">
        <v>0</v>
      </c>
      <c r="AS168" s="50"/>
      <c r="AT168" s="50">
        <f t="shared" si="4"/>
        <v>0</v>
      </c>
      <c r="AU168" s="50">
        <v>0</v>
      </c>
      <c r="AV168" s="50">
        <v>0</v>
      </c>
      <c r="AW168" s="50">
        <v>0</v>
      </c>
      <c r="AX168" s="50">
        <v>0</v>
      </c>
      <c r="AY168" s="50"/>
      <c r="AZ168" s="50">
        <f t="shared" si="133"/>
        <v>0</v>
      </c>
      <c r="BA168" s="50">
        <v>0</v>
      </c>
      <c r="BB168" s="50">
        <v>0</v>
      </c>
      <c r="BC168" s="50">
        <v>0</v>
      </c>
      <c r="BD168" s="50">
        <v>0</v>
      </c>
      <c r="BE168" s="50"/>
      <c r="BF168" s="50">
        <f t="shared" si="6"/>
        <v>0</v>
      </c>
      <c r="BG168" s="50">
        <v>0</v>
      </c>
      <c r="BH168" s="50">
        <v>0</v>
      </c>
      <c r="BI168" s="50">
        <v>0</v>
      </c>
      <c r="BJ168" s="50">
        <v>0</v>
      </c>
      <c r="BK168" s="50"/>
      <c r="BL168" s="20"/>
    </row>
    <row r="169" spans="1:64" ht="96" x14ac:dyDescent="0.2">
      <c r="A169" s="69">
        <v>165</v>
      </c>
      <c r="B169" s="48" t="str">
        <f ca="1">IFERROR(__xludf.DUMMYFUNCTION("""COMPUTED_VALUE"""),"г.о. Коломенский")</f>
        <v>г.о. Коломенский</v>
      </c>
      <c r="C16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69" s="52" t="str">
        <f ca="1">IFERROR(__xludf.DUMMYFUNCTION("""COMPUTED_VALUE"""),"МинЖКХ")</f>
        <v>МинЖКХ</v>
      </c>
      <c r="E169" s="45" t="s">
        <v>225</v>
      </c>
      <c r="F169" s="46" t="str">
        <f ca="1">IFERROR(__xludf.DUMMYFUNCTION("""COMPUTED_VALUE"""),"ВЗУ")</f>
        <v>ВЗУ</v>
      </c>
      <c r="G169" s="46">
        <f ca="1">IFERROR(__xludf.DUMMYFUNCTION("""COMPUTED_VALUE"""),2020)</f>
        <v>2020</v>
      </c>
      <c r="H169" s="48" t="str">
        <f ca="1">IFERROR(__xludf.DUMMYFUNCTION("""COMPUTED_VALUE"""),"Осуществлена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f>
        <v>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v>
      </c>
      <c r="I169" s="48" t="str">
        <f ca="1">IFERROR(__xludf.DUMMYFUNCTION("""COMPUTED_VALUE"""),"Приобретение, монтаж")</f>
        <v>Приобретение, монтаж</v>
      </c>
      <c r="J169" s="70">
        <f ca="1">IFERROR(__xludf.DUMMYFUNCTION("""COMPUTED_VALUE"""),0.8)</f>
        <v>0.8</v>
      </c>
      <c r="K169" s="48"/>
      <c r="L169" s="48"/>
      <c r="M169" s="48"/>
      <c r="N169" s="48" t="str">
        <f ca="1">IFERROR(__xludf.DUMMYFUNCTION("""COMPUTED_VALUE"""),"10 1 02 60330")</f>
        <v>10 1 02 60330</v>
      </c>
      <c r="O169" s="48">
        <f ca="1">IFERROR(__xludf.DUMMYFUNCTION("""COMPUTED_VALUE"""),520)</f>
        <v>520</v>
      </c>
      <c r="P169" s="24">
        <f t="shared" ref="P169:T169" si="175">SUM(V169,AB169,AH169,AN169,AT169,AZ169,BF169)</f>
        <v>2715.33</v>
      </c>
      <c r="Q169" s="24">
        <f t="shared" si="175"/>
        <v>0</v>
      </c>
      <c r="R169" s="24">
        <f t="shared" si="175"/>
        <v>0</v>
      </c>
      <c r="S169" s="24">
        <f t="shared" si="175"/>
        <v>2579.5</v>
      </c>
      <c r="T169" s="24">
        <f t="shared" si="175"/>
        <v>135.83000000000001</v>
      </c>
      <c r="U169" s="20"/>
      <c r="V169" s="24"/>
      <c r="W169" s="24"/>
      <c r="X169" s="24"/>
      <c r="Y169" s="24"/>
      <c r="Z169" s="24"/>
      <c r="AA169" s="24"/>
      <c r="AB169" s="24"/>
      <c r="AC169" s="50"/>
      <c r="AD169" s="50"/>
      <c r="AE169" s="50"/>
      <c r="AF169" s="50"/>
      <c r="AG169" s="50"/>
      <c r="AH169" s="50">
        <f t="shared" si="2"/>
        <v>2715.33</v>
      </c>
      <c r="AI169" s="50">
        <v>0</v>
      </c>
      <c r="AJ169" s="50">
        <v>0</v>
      </c>
      <c r="AK169" s="50">
        <v>2579.5</v>
      </c>
      <c r="AL169" s="50">
        <v>135.83000000000001</v>
      </c>
      <c r="AM169" s="50"/>
      <c r="AN169" s="24">
        <f t="shared" si="3"/>
        <v>0</v>
      </c>
      <c r="AO169" s="50">
        <v>0</v>
      </c>
      <c r="AP169" s="50">
        <v>0</v>
      </c>
      <c r="AQ169" s="50">
        <v>0</v>
      </c>
      <c r="AR169" s="50">
        <v>0</v>
      </c>
      <c r="AS169" s="50"/>
      <c r="AT169" s="50">
        <f t="shared" si="4"/>
        <v>0</v>
      </c>
      <c r="AU169" s="50">
        <v>0</v>
      </c>
      <c r="AV169" s="50">
        <v>0</v>
      </c>
      <c r="AW169" s="50">
        <v>0</v>
      </c>
      <c r="AX169" s="50">
        <v>0</v>
      </c>
      <c r="AY169" s="50"/>
      <c r="AZ169" s="50">
        <f t="shared" si="133"/>
        <v>0</v>
      </c>
      <c r="BA169" s="50">
        <v>0</v>
      </c>
      <c r="BB169" s="50">
        <v>0</v>
      </c>
      <c r="BC169" s="50">
        <v>0</v>
      </c>
      <c r="BD169" s="50">
        <v>0</v>
      </c>
      <c r="BE169" s="50"/>
      <c r="BF169" s="50">
        <f t="shared" si="6"/>
        <v>0</v>
      </c>
      <c r="BG169" s="50">
        <v>0</v>
      </c>
      <c r="BH169" s="50">
        <v>0</v>
      </c>
      <c r="BI169" s="50">
        <v>0</v>
      </c>
      <c r="BJ169" s="50">
        <v>0</v>
      </c>
      <c r="BK169" s="50"/>
      <c r="BL169" s="20"/>
    </row>
    <row r="170" spans="1:64" ht="96" x14ac:dyDescent="0.2">
      <c r="A170" s="69">
        <v>166</v>
      </c>
      <c r="B170" s="48" t="str">
        <f ca="1">IFERROR(__xludf.DUMMYFUNCTION("""COMPUTED_VALUE"""),"г.о. Коломенский")</f>
        <v>г.о. Коломенский</v>
      </c>
      <c r="C17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0" s="52" t="str">
        <f ca="1">IFERROR(__xludf.DUMMYFUNCTION("""COMPUTED_VALUE"""),"МинЖКХ")</f>
        <v>МинЖКХ</v>
      </c>
      <c r="E170" s="45" t="s">
        <v>226</v>
      </c>
      <c r="F170" s="48" t="str">
        <f ca="1">IFERROR(__xludf.DUMMYFUNCTION("""COMPUTED_VALUE"""),"ВЗУ")</f>
        <v>ВЗУ</v>
      </c>
      <c r="G170" s="48">
        <f ca="1">IFERROR(__xludf.DUMMYFUNCTION("""COMPUTED_VALUE"""),2020)</f>
        <v>2020</v>
      </c>
      <c r="H170" s="48"/>
      <c r="I170" s="48" t="str">
        <f ca="1">IFERROR(__xludf.DUMMYFUNCTION("""COMPUTED_VALUE"""),"Приобретение, монтаж")</f>
        <v>Приобретение, монтаж</v>
      </c>
      <c r="J170" s="48"/>
      <c r="K170" s="48"/>
      <c r="L170" s="48"/>
      <c r="M170" s="48"/>
      <c r="N170" s="48" t="str">
        <f ca="1">IFERROR(__xludf.DUMMYFUNCTION("""COMPUTED_VALUE"""),"10 1 02 60330")</f>
        <v>10 1 02 60330</v>
      </c>
      <c r="O170" s="48">
        <f ca="1">IFERROR(__xludf.DUMMYFUNCTION("""COMPUTED_VALUE"""),520)</f>
        <v>520</v>
      </c>
      <c r="P170" s="24">
        <f t="shared" ref="P170:T170" si="176">SUM(V170,AB170,AH170,AN170,AT170,AZ170,BF170)</f>
        <v>0</v>
      </c>
      <c r="Q170" s="24">
        <f t="shared" si="176"/>
        <v>0</v>
      </c>
      <c r="R170" s="24">
        <f t="shared" si="176"/>
        <v>0</v>
      </c>
      <c r="S170" s="24">
        <f t="shared" si="176"/>
        <v>0</v>
      </c>
      <c r="T170" s="24">
        <f t="shared" si="176"/>
        <v>0</v>
      </c>
      <c r="U170" s="20"/>
      <c r="V170" s="24"/>
      <c r="W170" s="24"/>
      <c r="X170" s="24"/>
      <c r="Y170" s="24"/>
      <c r="Z170" s="24"/>
      <c r="AA170" s="24"/>
      <c r="AB170" s="24"/>
      <c r="AC170" s="50"/>
      <c r="AD170" s="50"/>
      <c r="AE170" s="50"/>
      <c r="AF170" s="50"/>
      <c r="AG170" s="50"/>
      <c r="AH170" s="50">
        <f t="shared" si="2"/>
        <v>0</v>
      </c>
      <c r="AI170" s="50">
        <v>0</v>
      </c>
      <c r="AJ170" s="50">
        <v>0</v>
      </c>
      <c r="AK170" s="50">
        <v>0</v>
      </c>
      <c r="AL170" s="50">
        <v>0</v>
      </c>
      <c r="AM170" s="50"/>
      <c r="AN170" s="24">
        <f t="shared" si="3"/>
        <v>0</v>
      </c>
      <c r="AO170" s="50">
        <v>0</v>
      </c>
      <c r="AP170" s="50">
        <v>0</v>
      </c>
      <c r="AQ170" s="50">
        <v>0</v>
      </c>
      <c r="AR170" s="50">
        <v>0</v>
      </c>
      <c r="AS170" s="50"/>
      <c r="AT170" s="50">
        <f t="shared" si="4"/>
        <v>0</v>
      </c>
      <c r="AU170" s="50">
        <v>0</v>
      </c>
      <c r="AV170" s="50">
        <v>0</v>
      </c>
      <c r="AW170" s="50">
        <v>0</v>
      </c>
      <c r="AX170" s="50">
        <v>0</v>
      </c>
      <c r="AY170" s="50"/>
      <c r="AZ170" s="50">
        <f t="shared" si="133"/>
        <v>0</v>
      </c>
      <c r="BA170" s="50">
        <v>0</v>
      </c>
      <c r="BB170" s="50">
        <v>0</v>
      </c>
      <c r="BC170" s="50">
        <v>0</v>
      </c>
      <c r="BD170" s="50">
        <v>0</v>
      </c>
      <c r="BE170" s="50"/>
      <c r="BF170" s="50">
        <f t="shared" si="6"/>
        <v>0</v>
      </c>
      <c r="BG170" s="50">
        <v>0</v>
      </c>
      <c r="BH170" s="50">
        <v>0</v>
      </c>
      <c r="BI170" s="50">
        <v>0</v>
      </c>
      <c r="BJ170" s="50">
        <v>0</v>
      </c>
      <c r="BK170" s="50"/>
      <c r="BL170" s="20"/>
    </row>
    <row r="171" spans="1:64" ht="96" x14ac:dyDescent="0.2">
      <c r="A171" s="69">
        <v>167</v>
      </c>
      <c r="B171" s="48" t="str">
        <f ca="1">IFERROR(__xludf.DUMMYFUNCTION("""COMPUTED_VALUE"""),"г.о. Коломенский")</f>
        <v>г.о. Коломенский</v>
      </c>
      <c r="C17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1" s="52" t="str">
        <f ca="1">IFERROR(__xludf.DUMMYFUNCTION("""COMPUTED_VALUE"""),"МинЖКХ")</f>
        <v>МинЖКХ</v>
      </c>
      <c r="E171" s="45" t="s">
        <v>227</v>
      </c>
      <c r="F171" s="46" t="str">
        <f ca="1">IFERROR(__xludf.DUMMYFUNCTION("""COMPUTED_VALUE"""),"ВЗУ")</f>
        <v>ВЗУ</v>
      </c>
      <c r="G171" s="46">
        <f ca="1">IFERROR(__xludf.DUMMYFUNCTION("""COMPUTED_VALUE"""),2020)</f>
        <v>2020</v>
      </c>
      <c r="H171" s="48" t="str">
        <f ca="1">IFERROR(__xludf.DUMMYFUNCTION("""COMPUTED_VALUE"""),"ЗАВЕРШЕНО")</f>
        <v>ЗАВЕРШЕНО</v>
      </c>
      <c r="I171" s="48" t="str">
        <f ca="1">IFERROR(__xludf.DUMMYFUNCTION("""COMPUTED_VALUE"""),"Приобретение, монтаж")</f>
        <v>Приобретение, монтаж</v>
      </c>
      <c r="J171" s="70">
        <f ca="1">IFERROR(__xludf.DUMMYFUNCTION("""COMPUTED_VALUE"""),1)</f>
        <v>1</v>
      </c>
      <c r="K171" s="48"/>
      <c r="L171" s="48"/>
      <c r="M171" s="48"/>
      <c r="N171" s="48" t="str">
        <f ca="1">IFERROR(__xludf.DUMMYFUNCTION("""COMPUTED_VALUE"""),"10 1 02 60330")</f>
        <v>10 1 02 60330</v>
      </c>
      <c r="O171" s="48">
        <f ca="1">IFERROR(__xludf.DUMMYFUNCTION("""COMPUTED_VALUE"""),520)</f>
        <v>520</v>
      </c>
      <c r="P171" s="24">
        <f t="shared" ref="P171:T171" si="177">SUM(V171,AB171,AH171,AN171,AT171,AZ171,BF171)</f>
        <v>1985.81</v>
      </c>
      <c r="Q171" s="24">
        <f t="shared" si="177"/>
        <v>0</v>
      </c>
      <c r="R171" s="24">
        <f t="shared" si="177"/>
        <v>0</v>
      </c>
      <c r="S171" s="24">
        <f t="shared" si="177"/>
        <v>1886.52</v>
      </c>
      <c r="T171" s="24">
        <f t="shared" si="177"/>
        <v>99.29</v>
      </c>
      <c r="U171" s="20"/>
      <c r="V171" s="24"/>
      <c r="W171" s="24"/>
      <c r="X171" s="24"/>
      <c r="Y171" s="24"/>
      <c r="Z171" s="24"/>
      <c r="AA171" s="24"/>
      <c r="AB171" s="24"/>
      <c r="AC171" s="50"/>
      <c r="AD171" s="50"/>
      <c r="AE171" s="50"/>
      <c r="AF171" s="50"/>
      <c r="AG171" s="50"/>
      <c r="AH171" s="50">
        <f t="shared" si="2"/>
        <v>1985.81</v>
      </c>
      <c r="AI171" s="50">
        <v>0</v>
      </c>
      <c r="AJ171" s="50">
        <v>0</v>
      </c>
      <c r="AK171" s="50">
        <v>1886.52</v>
      </c>
      <c r="AL171" s="59">
        <v>99.29</v>
      </c>
      <c r="AM171" s="59"/>
      <c r="AN171" s="24">
        <f t="shared" si="3"/>
        <v>0</v>
      </c>
      <c r="AO171" s="50">
        <v>0</v>
      </c>
      <c r="AP171" s="50">
        <v>0</v>
      </c>
      <c r="AQ171" s="50">
        <v>0</v>
      </c>
      <c r="AR171" s="50">
        <v>0</v>
      </c>
      <c r="AS171" s="50"/>
      <c r="AT171" s="50">
        <f t="shared" si="4"/>
        <v>0</v>
      </c>
      <c r="AU171" s="50">
        <v>0</v>
      </c>
      <c r="AV171" s="50">
        <v>0</v>
      </c>
      <c r="AW171" s="50">
        <v>0</v>
      </c>
      <c r="AX171" s="50">
        <v>0</v>
      </c>
      <c r="AY171" s="50"/>
      <c r="AZ171" s="50">
        <f t="shared" si="133"/>
        <v>0</v>
      </c>
      <c r="BA171" s="50">
        <v>0</v>
      </c>
      <c r="BB171" s="50">
        <v>0</v>
      </c>
      <c r="BC171" s="50">
        <v>0</v>
      </c>
      <c r="BD171" s="50">
        <v>0</v>
      </c>
      <c r="BE171" s="50"/>
      <c r="BF171" s="50">
        <f t="shared" si="6"/>
        <v>0</v>
      </c>
      <c r="BG171" s="50">
        <v>0</v>
      </c>
      <c r="BH171" s="50">
        <v>0</v>
      </c>
      <c r="BI171" s="50">
        <v>0</v>
      </c>
      <c r="BJ171" s="50">
        <v>0</v>
      </c>
      <c r="BK171" s="50"/>
      <c r="BL171" s="20"/>
    </row>
    <row r="172" spans="1:64" ht="96" x14ac:dyDescent="0.2">
      <c r="A172" s="69">
        <v>168</v>
      </c>
      <c r="B172" s="48" t="str">
        <f ca="1">IFERROR(__xludf.DUMMYFUNCTION("""COMPUTED_VALUE"""),"г.о. Коломенский")</f>
        <v>г.о. Коломенский</v>
      </c>
      <c r="C17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2" s="52" t="str">
        <f ca="1">IFERROR(__xludf.DUMMYFUNCTION("""COMPUTED_VALUE"""),"МинЖКХ")</f>
        <v>МинЖКХ</v>
      </c>
      <c r="E172" s="45" t="s">
        <v>228</v>
      </c>
      <c r="F172" s="46" t="str">
        <f ca="1">IFERROR(__xludf.DUMMYFUNCTION("""COMPUTED_VALUE"""),"ВЗУ")</f>
        <v>ВЗУ</v>
      </c>
      <c r="G172" s="46">
        <f ca="1">IFERROR(__xludf.DUMMYFUNCTION("""COMPUTED_VALUE"""),2020)</f>
        <v>2020</v>
      </c>
      <c r="H172" s="48" t="str">
        <f ca="1">IFERROR(__xludf.DUMMYFUNCTION("""COMPUTED_VALUE"""),"Доставка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f>
        <v>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v>
      </c>
      <c r="I172" s="48" t="str">
        <f ca="1">IFERROR(__xludf.DUMMYFUNCTION("""COMPUTED_VALUE"""),"Приобретение, монтаж")</f>
        <v>Приобретение, монтаж</v>
      </c>
      <c r="J172" s="70">
        <f ca="1">IFERROR(__xludf.DUMMYFUNCTION("""COMPUTED_VALUE"""),0.6)</f>
        <v>0.6</v>
      </c>
      <c r="K172" s="48"/>
      <c r="L172" s="48"/>
      <c r="M172" s="48"/>
      <c r="N172" s="48" t="str">
        <f ca="1">IFERROR(__xludf.DUMMYFUNCTION("""COMPUTED_VALUE"""),"10 1 02 60330")</f>
        <v>10 1 02 60330</v>
      </c>
      <c r="O172" s="48">
        <f ca="1">IFERROR(__xludf.DUMMYFUNCTION("""COMPUTED_VALUE"""),520)</f>
        <v>520</v>
      </c>
      <c r="P172" s="24">
        <f t="shared" ref="P172:T172" si="178">SUM(V172,AB172,AH172,AN172,AT172,AZ172,BF172)</f>
        <v>1557.4299999999998</v>
      </c>
      <c r="Q172" s="24">
        <f t="shared" si="178"/>
        <v>0</v>
      </c>
      <c r="R172" s="24">
        <f t="shared" si="178"/>
        <v>0</v>
      </c>
      <c r="S172" s="24">
        <f t="shared" si="178"/>
        <v>1479.56</v>
      </c>
      <c r="T172" s="24">
        <f t="shared" si="178"/>
        <v>77.87</v>
      </c>
      <c r="U172" s="20"/>
      <c r="V172" s="24"/>
      <c r="W172" s="24"/>
      <c r="X172" s="24"/>
      <c r="Y172" s="24"/>
      <c r="Z172" s="24"/>
      <c r="AA172" s="24"/>
      <c r="AB172" s="24"/>
      <c r="AC172" s="50"/>
      <c r="AD172" s="50"/>
      <c r="AE172" s="50"/>
      <c r="AF172" s="50"/>
      <c r="AG172" s="50"/>
      <c r="AH172" s="50">
        <f t="shared" si="2"/>
        <v>1557.4299999999998</v>
      </c>
      <c r="AI172" s="50">
        <v>0</v>
      </c>
      <c r="AJ172" s="50">
        <v>0</v>
      </c>
      <c r="AK172" s="50">
        <v>1479.56</v>
      </c>
      <c r="AL172" s="50">
        <v>77.87</v>
      </c>
      <c r="AM172" s="50"/>
      <c r="AN172" s="24">
        <f t="shared" si="3"/>
        <v>0</v>
      </c>
      <c r="AO172" s="50">
        <v>0</v>
      </c>
      <c r="AP172" s="50">
        <v>0</v>
      </c>
      <c r="AQ172" s="50">
        <v>0</v>
      </c>
      <c r="AR172" s="50">
        <v>0</v>
      </c>
      <c r="AS172" s="50"/>
      <c r="AT172" s="50">
        <f t="shared" si="4"/>
        <v>0</v>
      </c>
      <c r="AU172" s="50">
        <v>0</v>
      </c>
      <c r="AV172" s="50">
        <v>0</v>
      </c>
      <c r="AW172" s="50">
        <v>0</v>
      </c>
      <c r="AX172" s="50">
        <v>0</v>
      </c>
      <c r="AY172" s="50"/>
      <c r="AZ172" s="50">
        <f t="shared" si="133"/>
        <v>0</v>
      </c>
      <c r="BA172" s="50">
        <v>0</v>
      </c>
      <c r="BB172" s="50">
        <v>0</v>
      </c>
      <c r="BC172" s="50">
        <v>0</v>
      </c>
      <c r="BD172" s="50">
        <v>0</v>
      </c>
      <c r="BE172" s="50"/>
      <c r="BF172" s="50">
        <f t="shared" si="6"/>
        <v>0</v>
      </c>
      <c r="BG172" s="50">
        <v>0</v>
      </c>
      <c r="BH172" s="50">
        <v>0</v>
      </c>
      <c r="BI172" s="50">
        <v>0</v>
      </c>
      <c r="BJ172" s="50">
        <v>0</v>
      </c>
      <c r="BK172" s="50"/>
      <c r="BL172" s="20"/>
    </row>
    <row r="173" spans="1:64" ht="96" x14ac:dyDescent="0.2">
      <c r="A173" s="69">
        <v>169</v>
      </c>
      <c r="B173" s="48" t="str">
        <f ca="1">IFERROR(__xludf.DUMMYFUNCTION("""COMPUTED_VALUE"""),"г.о. Коломенский")</f>
        <v>г.о. Коломенский</v>
      </c>
      <c r="C17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3" s="52" t="str">
        <f ca="1">IFERROR(__xludf.DUMMYFUNCTION("""COMPUTED_VALUE"""),"МинЖКХ")</f>
        <v>МинЖКХ</v>
      </c>
      <c r="E173" s="45" t="s">
        <v>229</v>
      </c>
      <c r="F173" s="48" t="str">
        <f ca="1">IFERROR(__xludf.DUMMYFUNCTION("""COMPUTED_VALUE"""),"ВЗУ")</f>
        <v>ВЗУ</v>
      </c>
      <c r="G173" s="48">
        <f ca="1">IFERROR(__xludf.DUMMYFUNCTION("""COMPUTED_VALUE"""),2020)</f>
        <v>2020</v>
      </c>
      <c r="H173" s="48"/>
      <c r="I173" s="48" t="str">
        <f ca="1">IFERROR(__xludf.DUMMYFUNCTION("""COMPUTED_VALUE"""),"Приобретение, монтаж")</f>
        <v>Приобретение, монтаж</v>
      </c>
      <c r="J173" s="48"/>
      <c r="K173" s="48"/>
      <c r="L173" s="48"/>
      <c r="M173" s="48"/>
      <c r="N173" s="48" t="str">
        <f ca="1">IFERROR(__xludf.DUMMYFUNCTION("""COMPUTED_VALUE"""),"10 1 02 60330")</f>
        <v>10 1 02 60330</v>
      </c>
      <c r="O173" s="48">
        <f ca="1">IFERROR(__xludf.DUMMYFUNCTION("""COMPUTED_VALUE"""),520)</f>
        <v>520</v>
      </c>
      <c r="P173" s="24">
        <f t="shared" ref="P173:T173" si="179">SUM(V173,AB173,AH173,AN173,AT173,AZ173,BF173)</f>
        <v>0</v>
      </c>
      <c r="Q173" s="24">
        <f t="shared" si="179"/>
        <v>0</v>
      </c>
      <c r="R173" s="24">
        <f t="shared" si="179"/>
        <v>0</v>
      </c>
      <c r="S173" s="24">
        <f t="shared" si="179"/>
        <v>0</v>
      </c>
      <c r="T173" s="24">
        <f t="shared" si="179"/>
        <v>0</v>
      </c>
      <c r="U173" s="20"/>
      <c r="V173" s="24"/>
      <c r="W173" s="24"/>
      <c r="X173" s="24"/>
      <c r="Y173" s="24"/>
      <c r="Z173" s="24"/>
      <c r="AA173" s="24"/>
      <c r="AB173" s="24"/>
      <c r="AC173" s="50"/>
      <c r="AD173" s="50"/>
      <c r="AE173" s="50"/>
      <c r="AF173" s="50"/>
      <c r="AG173" s="50"/>
      <c r="AH173" s="50">
        <f t="shared" si="2"/>
        <v>0</v>
      </c>
      <c r="AI173" s="50">
        <v>0</v>
      </c>
      <c r="AJ173" s="50">
        <v>0</v>
      </c>
      <c r="AK173" s="50">
        <v>0</v>
      </c>
      <c r="AL173" s="50">
        <v>0</v>
      </c>
      <c r="AM173" s="50"/>
      <c r="AN173" s="24">
        <f t="shared" si="3"/>
        <v>0</v>
      </c>
      <c r="AO173" s="50">
        <v>0</v>
      </c>
      <c r="AP173" s="50">
        <v>0</v>
      </c>
      <c r="AQ173" s="50">
        <v>0</v>
      </c>
      <c r="AR173" s="50">
        <v>0</v>
      </c>
      <c r="AS173" s="50"/>
      <c r="AT173" s="50">
        <f t="shared" si="4"/>
        <v>0</v>
      </c>
      <c r="AU173" s="50">
        <v>0</v>
      </c>
      <c r="AV173" s="50">
        <v>0</v>
      </c>
      <c r="AW173" s="50">
        <v>0</v>
      </c>
      <c r="AX173" s="50">
        <v>0</v>
      </c>
      <c r="AY173" s="50"/>
      <c r="AZ173" s="50">
        <f t="shared" si="133"/>
        <v>0</v>
      </c>
      <c r="BA173" s="50">
        <v>0</v>
      </c>
      <c r="BB173" s="50">
        <v>0</v>
      </c>
      <c r="BC173" s="50">
        <v>0</v>
      </c>
      <c r="BD173" s="50">
        <v>0</v>
      </c>
      <c r="BE173" s="50"/>
      <c r="BF173" s="50">
        <f t="shared" si="6"/>
        <v>0</v>
      </c>
      <c r="BG173" s="50">
        <v>0</v>
      </c>
      <c r="BH173" s="50">
        <v>0</v>
      </c>
      <c r="BI173" s="50">
        <v>0</v>
      </c>
      <c r="BJ173" s="50">
        <v>0</v>
      </c>
      <c r="BK173" s="50"/>
      <c r="BL173" s="20"/>
    </row>
    <row r="174" spans="1:64" ht="96" x14ac:dyDescent="0.2">
      <c r="A174" s="69">
        <v>170</v>
      </c>
      <c r="B174" s="48" t="str">
        <f ca="1">IFERROR(__xludf.DUMMYFUNCTION("""COMPUTED_VALUE"""),"г.о. Коломенский")</f>
        <v>г.о. Коломенский</v>
      </c>
      <c r="C17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4" s="52" t="str">
        <f ca="1">IFERROR(__xludf.DUMMYFUNCTION("""COMPUTED_VALUE"""),"МинЖКХ")</f>
        <v>МинЖКХ</v>
      </c>
      <c r="E174" s="45" t="s">
        <v>230</v>
      </c>
      <c r="F174" s="46" t="str">
        <f ca="1">IFERROR(__xludf.DUMMYFUNCTION("""COMPUTED_VALUE"""),"ВЗУ")</f>
        <v>ВЗУ</v>
      </c>
      <c r="G174" s="46">
        <f ca="1">IFERROR(__xludf.DUMMYFUNCTION("""COMPUTED_VALUE"""),2020)</f>
        <v>2020</v>
      </c>
      <c r="H174" s="48" t="str">
        <f ca="1">IFERROR(__xludf.DUMMYFUNCTION("""COMPUTED_VALUE"""),"Доставка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f>
        <v>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v>
      </c>
      <c r="I174" s="48" t="str">
        <f ca="1">IFERROR(__xludf.DUMMYFUNCTION("""COMPUTED_VALUE"""),"Приобретение, монтаж")</f>
        <v>Приобретение, монтаж</v>
      </c>
      <c r="J174" s="70">
        <f ca="1">IFERROR(__xludf.DUMMYFUNCTION("""COMPUTED_VALUE"""),0.6)</f>
        <v>0.6</v>
      </c>
      <c r="K174" s="48"/>
      <c r="L174" s="48"/>
      <c r="M174" s="48"/>
      <c r="N174" s="48" t="str">
        <f ca="1">IFERROR(__xludf.DUMMYFUNCTION("""COMPUTED_VALUE"""),"10 1 02 60330")</f>
        <v>10 1 02 60330</v>
      </c>
      <c r="O174" s="48">
        <f ca="1">IFERROR(__xludf.DUMMYFUNCTION("""COMPUTED_VALUE"""),520)</f>
        <v>520</v>
      </c>
      <c r="P174" s="24">
        <f t="shared" ref="P174:T174" si="180">SUM(V174,AB174,AH174,AN174,AT174,AZ174,BF174)</f>
        <v>1586.49</v>
      </c>
      <c r="Q174" s="24">
        <f t="shared" si="180"/>
        <v>0</v>
      </c>
      <c r="R174" s="24">
        <f t="shared" si="180"/>
        <v>0</v>
      </c>
      <c r="S174" s="24">
        <f t="shared" si="180"/>
        <v>1507.14</v>
      </c>
      <c r="T174" s="24">
        <f t="shared" si="180"/>
        <v>79.349999999999994</v>
      </c>
      <c r="U174" s="20"/>
      <c r="V174" s="24"/>
      <c r="W174" s="24"/>
      <c r="X174" s="24"/>
      <c r="Y174" s="24"/>
      <c r="Z174" s="24"/>
      <c r="AA174" s="24"/>
      <c r="AB174" s="24"/>
      <c r="AC174" s="50"/>
      <c r="AD174" s="50"/>
      <c r="AE174" s="50"/>
      <c r="AF174" s="50"/>
      <c r="AG174" s="50"/>
      <c r="AH174" s="50">
        <f t="shared" si="2"/>
        <v>1586.49</v>
      </c>
      <c r="AI174" s="50">
        <v>0</v>
      </c>
      <c r="AJ174" s="50">
        <v>0</v>
      </c>
      <c r="AK174" s="50">
        <v>1507.14</v>
      </c>
      <c r="AL174" s="50">
        <v>79.349999999999994</v>
      </c>
      <c r="AM174" s="50"/>
      <c r="AN174" s="24">
        <f t="shared" si="3"/>
        <v>0</v>
      </c>
      <c r="AO174" s="50">
        <v>0</v>
      </c>
      <c r="AP174" s="50">
        <v>0</v>
      </c>
      <c r="AQ174" s="50">
        <v>0</v>
      </c>
      <c r="AR174" s="50">
        <v>0</v>
      </c>
      <c r="AS174" s="50"/>
      <c r="AT174" s="50">
        <f t="shared" si="4"/>
        <v>0</v>
      </c>
      <c r="AU174" s="50">
        <v>0</v>
      </c>
      <c r="AV174" s="50">
        <v>0</v>
      </c>
      <c r="AW174" s="50">
        <v>0</v>
      </c>
      <c r="AX174" s="50">
        <v>0</v>
      </c>
      <c r="AY174" s="50"/>
      <c r="AZ174" s="50">
        <f t="shared" si="133"/>
        <v>0</v>
      </c>
      <c r="BA174" s="50">
        <v>0</v>
      </c>
      <c r="BB174" s="50">
        <v>0</v>
      </c>
      <c r="BC174" s="50">
        <v>0</v>
      </c>
      <c r="BD174" s="50">
        <v>0</v>
      </c>
      <c r="BE174" s="50"/>
      <c r="BF174" s="50">
        <f t="shared" si="6"/>
        <v>0</v>
      </c>
      <c r="BG174" s="50">
        <v>0</v>
      </c>
      <c r="BH174" s="50">
        <v>0</v>
      </c>
      <c r="BI174" s="50">
        <v>0</v>
      </c>
      <c r="BJ174" s="50">
        <v>0</v>
      </c>
      <c r="BK174" s="50"/>
      <c r="BL174" s="20"/>
    </row>
    <row r="175" spans="1:64" ht="96" x14ac:dyDescent="0.2">
      <c r="A175" s="69">
        <v>171</v>
      </c>
      <c r="B175" s="48" t="str">
        <f ca="1">IFERROR(__xludf.DUMMYFUNCTION("""COMPUTED_VALUE"""),"г.о. Коломенский")</f>
        <v>г.о. Коломенский</v>
      </c>
      <c r="C17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5" s="52" t="str">
        <f ca="1">IFERROR(__xludf.DUMMYFUNCTION("""COMPUTED_VALUE"""),"МинЖКХ")</f>
        <v>МинЖКХ</v>
      </c>
      <c r="E175" s="45" t="s">
        <v>231</v>
      </c>
      <c r="F175" s="46" t="str">
        <f ca="1">IFERROR(__xludf.DUMMYFUNCTION("""COMPUTED_VALUE"""),"ВЗУ")</f>
        <v>ВЗУ</v>
      </c>
      <c r="G175" s="46">
        <f ca="1">IFERROR(__xludf.DUMMYFUNCTION("""COMPUTED_VALUE"""),2020)</f>
        <v>2020</v>
      </c>
      <c r="H175" s="48" t="str">
        <f ca="1">IFERROR(__xludf.DUMMYFUNCTION("""COMPUTED_VALUE"""),"Доставка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f>
        <v>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v>
      </c>
      <c r="I175" s="48" t="str">
        <f ca="1">IFERROR(__xludf.DUMMYFUNCTION("""COMPUTED_VALUE"""),"Приобретение, монтаж")</f>
        <v>Приобретение, монтаж</v>
      </c>
      <c r="J175" s="70">
        <f ca="1">IFERROR(__xludf.DUMMYFUNCTION("""COMPUTED_VALUE"""),0.5)</f>
        <v>0.5</v>
      </c>
      <c r="K175" s="48"/>
      <c r="L175" s="48"/>
      <c r="M175" s="48"/>
      <c r="N175" s="48" t="str">
        <f ca="1">IFERROR(__xludf.DUMMYFUNCTION("""COMPUTED_VALUE"""),"10 1 02 60330")</f>
        <v>10 1 02 60330</v>
      </c>
      <c r="O175" s="48">
        <f ca="1">IFERROR(__xludf.DUMMYFUNCTION("""COMPUTED_VALUE"""),520)</f>
        <v>520</v>
      </c>
      <c r="P175" s="24">
        <f t="shared" ref="P175:T175" si="181">SUM(V175,AB175,AH175,AN175,AT175,AZ175,BF175)</f>
        <v>2715.33</v>
      </c>
      <c r="Q175" s="24">
        <f t="shared" si="181"/>
        <v>0</v>
      </c>
      <c r="R175" s="24">
        <f t="shared" si="181"/>
        <v>0</v>
      </c>
      <c r="S175" s="24">
        <f t="shared" si="181"/>
        <v>2579.5</v>
      </c>
      <c r="T175" s="24">
        <f t="shared" si="181"/>
        <v>135.83000000000001</v>
      </c>
      <c r="U175" s="20"/>
      <c r="V175" s="24"/>
      <c r="W175" s="24"/>
      <c r="X175" s="24"/>
      <c r="Y175" s="24"/>
      <c r="Z175" s="24"/>
      <c r="AA175" s="24"/>
      <c r="AB175" s="24"/>
      <c r="AC175" s="50"/>
      <c r="AD175" s="50"/>
      <c r="AE175" s="50"/>
      <c r="AF175" s="50"/>
      <c r="AG175" s="50"/>
      <c r="AH175" s="50">
        <f t="shared" si="2"/>
        <v>2715.33</v>
      </c>
      <c r="AI175" s="50">
        <v>0</v>
      </c>
      <c r="AJ175" s="50">
        <v>0</v>
      </c>
      <c r="AK175" s="50">
        <v>2579.5</v>
      </c>
      <c r="AL175" s="50">
        <v>135.83000000000001</v>
      </c>
      <c r="AM175" s="50"/>
      <c r="AN175" s="24">
        <f t="shared" si="3"/>
        <v>0</v>
      </c>
      <c r="AO175" s="50">
        <v>0</v>
      </c>
      <c r="AP175" s="50">
        <v>0</v>
      </c>
      <c r="AQ175" s="50">
        <v>0</v>
      </c>
      <c r="AR175" s="50">
        <v>0</v>
      </c>
      <c r="AS175" s="50"/>
      <c r="AT175" s="50">
        <f t="shared" si="4"/>
        <v>0</v>
      </c>
      <c r="AU175" s="50">
        <v>0</v>
      </c>
      <c r="AV175" s="50">
        <v>0</v>
      </c>
      <c r="AW175" s="50">
        <v>0</v>
      </c>
      <c r="AX175" s="50">
        <v>0</v>
      </c>
      <c r="AY175" s="50"/>
      <c r="AZ175" s="50">
        <f t="shared" si="133"/>
        <v>0</v>
      </c>
      <c r="BA175" s="50">
        <v>0</v>
      </c>
      <c r="BB175" s="50">
        <v>0</v>
      </c>
      <c r="BC175" s="50">
        <v>0</v>
      </c>
      <c r="BD175" s="50">
        <v>0</v>
      </c>
      <c r="BE175" s="50"/>
      <c r="BF175" s="50">
        <f t="shared" si="6"/>
        <v>0</v>
      </c>
      <c r="BG175" s="50">
        <v>0</v>
      </c>
      <c r="BH175" s="50">
        <v>0</v>
      </c>
      <c r="BI175" s="50">
        <v>0</v>
      </c>
      <c r="BJ175" s="50">
        <v>0</v>
      </c>
      <c r="BK175" s="50"/>
      <c r="BL175" s="20"/>
    </row>
    <row r="176" spans="1:64" ht="96" x14ac:dyDescent="0.2">
      <c r="A176" s="69">
        <v>172</v>
      </c>
      <c r="B176" s="48" t="str">
        <f ca="1">IFERROR(__xludf.DUMMYFUNCTION("""COMPUTED_VALUE"""),"г.о. Коломенский")</f>
        <v>г.о. Коломенский</v>
      </c>
      <c r="C17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6" s="52" t="str">
        <f ca="1">IFERROR(__xludf.DUMMYFUNCTION("""COMPUTED_VALUE"""),"МинЖКХ")</f>
        <v>МинЖКХ</v>
      </c>
      <c r="E176" s="45" t="s">
        <v>232</v>
      </c>
      <c r="F176" s="46" t="str">
        <f ca="1">IFERROR(__xludf.DUMMYFUNCTION("""COMPUTED_VALUE"""),"ВЗУ")</f>
        <v>ВЗУ</v>
      </c>
      <c r="G176" s="46">
        <f ca="1">IFERROR(__xludf.DUMMYFUNCTION("""COMPUTED_VALUE"""),2020)</f>
        <v>2020</v>
      </c>
      <c r="H176" s="48" t="str">
        <f ca="1">IFERROR(__xludf.DUMMYFUNCTION("""COMPUTED_VALUE"""),"Осуществлена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f>
        <v>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v>
      </c>
      <c r="I176" s="48" t="str">
        <f ca="1">IFERROR(__xludf.DUMMYFUNCTION("""COMPUTED_VALUE"""),"Приобретение, монтаж")</f>
        <v>Приобретение, монтаж</v>
      </c>
      <c r="J176" s="70">
        <f ca="1">IFERROR(__xludf.DUMMYFUNCTION("""COMPUTED_VALUE"""),0.8)</f>
        <v>0.8</v>
      </c>
      <c r="K176" s="48"/>
      <c r="L176" s="48"/>
      <c r="M176" s="48"/>
      <c r="N176" s="48" t="str">
        <f ca="1">IFERROR(__xludf.DUMMYFUNCTION("""COMPUTED_VALUE"""),"10 1 02 60330")</f>
        <v>10 1 02 60330</v>
      </c>
      <c r="O176" s="48">
        <f ca="1">IFERROR(__xludf.DUMMYFUNCTION("""COMPUTED_VALUE"""),520)</f>
        <v>520</v>
      </c>
      <c r="P176" s="24">
        <f t="shared" ref="P176:T176" si="182">SUM(V176,AB176,AH176,AN176,AT176,AZ176,BF176)</f>
        <v>2748.6699999999996</v>
      </c>
      <c r="Q176" s="24">
        <f t="shared" si="182"/>
        <v>0</v>
      </c>
      <c r="R176" s="24">
        <f t="shared" si="182"/>
        <v>0</v>
      </c>
      <c r="S176" s="24">
        <f t="shared" si="182"/>
        <v>2611.1999999999998</v>
      </c>
      <c r="T176" s="24">
        <f t="shared" si="182"/>
        <v>137.47</v>
      </c>
      <c r="U176" s="20"/>
      <c r="V176" s="24"/>
      <c r="W176" s="24"/>
      <c r="X176" s="24"/>
      <c r="Y176" s="24"/>
      <c r="Z176" s="24"/>
      <c r="AA176" s="24"/>
      <c r="AB176" s="24"/>
      <c r="AC176" s="50"/>
      <c r="AD176" s="50"/>
      <c r="AE176" s="50"/>
      <c r="AF176" s="50"/>
      <c r="AG176" s="50"/>
      <c r="AH176" s="50">
        <f t="shared" si="2"/>
        <v>2748.6699999999996</v>
      </c>
      <c r="AI176" s="50">
        <v>0</v>
      </c>
      <c r="AJ176" s="50">
        <v>0</v>
      </c>
      <c r="AK176" s="50">
        <v>2611.1999999999998</v>
      </c>
      <c r="AL176" s="50">
        <v>137.47</v>
      </c>
      <c r="AM176" s="50"/>
      <c r="AN176" s="24">
        <f t="shared" si="3"/>
        <v>0</v>
      </c>
      <c r="AO176" s="50">
        <v>0</v>
      </c>
      <c r="AP176" s="50">
        <v>0</v>
      </c>
      <c r="AQ176" s="50">
        <v>0</v>
      </c>
      <c r="AR176" s="50">
        <v>0</v>
      </c>
      <c r="AS176" s="50"/>
      <c r="AT176" s="50">
        <f t="shared" si="4"/>
        <v>0</v>
      </c>
      <c r="AU176" s="50">
        <v>0</v>
      </c>
      <c r="AV176" s="50">
        <v>0</v>
      </c>
      <c r="AW176" s="50">
        <v>0</v>
      </c>
      <c r="AX176" s="50">
        <v>0</v>
      </c>
      <c r="AY176" s="50"/>
      <c r="AZ176" s="50">
        <f t="shared" si="133"/>
        <v>0</v>
      </c>
      <c r="BA176" s="50">
        <v>0</v>
      </c>
      <c r="BB176" s="50">
        <v>0</v>
      </c>
      <c r="BC176" s="50">
        <v>0</v>
      </c>
      <c r="BD176" s="50">
        <v>0</v>
      </c>
      <c r="BE176" s="50"/>
      <c r="BF176" s="50">
        <f t="shared" si="6"/>
        <v>0</v>
      </c>
      <c r="BG176" s="50">
        <v>0</v>
      </c>
      <c r="BH176" s="50">
        <v>0</v>
      </c>
      <c r="BI176" s="50">
        <v>0</v>
      </c>
      <c r="BJ176" s="50">
        <v>0</v>
      </c>
      <c r="BK176" s="50"/>
      <c r="BL176" s="20"/>
    </row>
    <row r="177" spans="1:64" ht="96" x14ac:dyDescent="0.2">
      <c r="A177" s="69">
        <v>173</v>
      </c>
      <c r="B177" s="48" t="str">
        <f ca="1">IFERROR(__xludf.DUMMYFUNCTION("""COMPUTED_VALUE"""),"г.о. Коломенский")</f>
        <v>г.о. Коломенский</v>
      </c>
      <c r="C17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7" s="52" t="str">
        <f ca="1">IFERROR(__xludf.DUMMYFUNCTION("""COMPUTED_VALUE"""),"МинЖКХ")</f>
        <v>МинЖКХ</v>
      </c>
      <c r="E177" s="45" t="s">
        <v>233</v>
      </c>
      <c r="F177" s="46" t="str">
        <f ca="1">IFERROR(__xludf.DUMMYFUNCTION("""COMPUTED_VALUE"""),"ВЗУ")</f>
        <v>ВЗУ</v>
      </c>
      <c r="G177" s="46">
        <f ca="1">IFERROR(__xludf.DUMMYFUNCTION("""COMPUTED_VALUE"""),2020)</f>
        <v>2020</v>
      </c>
      <c r="H177" s="48" t="str">
        <f ca="1">IFERROR(__xludf.DUMMYFUNCTION("""COMPUTED_VALUE"""),"Осуществлена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f>
        <v>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v>
      </c>
      <c r="I177" s="48" t="str">
        <f ca="1">IFERROR(__xludf.DUMMYFUNCTION("""COMPUTED_VALUE"""),"Приобретение, монтаж")</f>
        <v>Приобретение, монтаж</v>
      </c>
      <c r="J177" s="70">
        <f ca="1">IFERROR(__xludf.DUMMYFUNCTION("""COMPUTED_VALUE"""),0.8)</f>
        <v>0.8</v>
      </c>
      <c r="K177" s="48"/>
      <c r="L177" s="48"/>
      <c r="M177" s="48"/>
      <c r="N177" s="48" t="str">
        <f ca="1">IFERROR(__xludf.DUMMYFUNCTION("""COMPUTED_VALUE"""),"10 1 02 60330")</f>
        <v>10 1 02 60330</v>
      </c>
      <c r="O177" s="48">
        <f ca="1">IFERROR(__xludf.DUMMYFUNCTION("""COMPUTED_VALUE"""),520)</f>
        <v>520</v>
      </c>
      <c r="P177" s="24">
        <f t="shared" ref="P177:T177" si="183">SUM(V177,AB177,AH177,AN177,AT177,AZ177,BF177)</f>
        <v>2715.36</v>
      </c>
      <c r="Q177" s="24">
        <f t="shared" si="183"/>
        <v>0</v>
      </c>
      <c r="R177" s="24">
        <f t="shared" si="183"/>
        <v>0</v>
      </c>
      <c r="S177" s="24">
        <f t="shared" si="183"/>
        <v>2579.54</v>
      </c>
      <c r="T177" s="24">
        <f t="shared" si="183"/>
        <v>135.82</v>
      </c>
      <c r="U177" s="20"/>
      <c r="V177" s="24"/>
      <c r="W177" s="24"/>
      <c r="X177" s="24"/>
      <c r="Y177" s="24"/>
      <c r="Z177" s="24"/>
      <c r="AA177" s="24"/>
      <c r="AB177" s="24"/>
      <c r="AC177" s="50"/>
      <c r="AD177" s="50"/>
      <c r="AE177" s="50"/>
      <c r="AF177" s="50"/>
      <c r="AG177" s="50"/>
      <c r="AH177" s="50">
        <f t="shared" si="2"/>
        <v>2715.36</v>
      </c>
      <c r="AI177" s="50">
        <v>0</v>
      </c>
      <c r="AJ177" s="50">
        <v>0</v>
      </c>
      <c r="AK177" s="50">
        <v>2579.54</v>
      </c>
      <c r="AL177" s="50">
        <v>135.82</v>
      </c>
      <c r="AM177" s="50"/>
      <c r="AN177" s="24">
        <f t="shared" si="3"/>
        <v>0</v>
      </c>
      <c r="AO177" s="50">
        <v>0</v>
      </c>
      <c r="AP177" s="50">
        <v>0</v>
      </c>
      <c r="AQ177" s="50">
        <v>0</v>
      </c>
      <c r="AR177" s="50">
        <v>0</v>
      </c>
      <c r="AS177" s="50"/>
      <c r="AT177" s="50">
        <f t="shared" si="4"/>
        <v>0</v>
      </c>
      <c r="AU177" s="50">
        <v>0</v>
      </c>
      <c r="AV177" s="50">
        <v>0</v>
      </c>
      <c r="AW177" s="50">
        <v>0</v>
      </c>
      <c r="AX177" s="50">
        <v>0</v>
      </c>
      <c r="AY177" s="50"/>
      <c r="AZ177" s="50">
        <f t="shared" si="133"/>
        <v>0</v>
      </c>
      <c r="BA177" s="50">
        <v>0</v>
      </c>
      <c r="BB177" s="50">
        <v>0</v>
      </c>
      <c r="BC177" s="50">
        <v>0</v>
      </c>
      <c r="BD177" s="50">
        <v>0</v>
      </c>
      <c r="BE177" s="50"/>
      <c r="BF177" s="50">
        <f t="shared" si="6"/>
        <v>0</v>
      </c>
      <c r="BG177" s="50">
        <v>0</v>
      </c>
      <c r="BH177" s="50">
        <v>0</v>
      </c>
      <c r="BI177" s="50">
        <v>0</v>
      </c>
      <c r="BJ177" s="50">
        <v>0</v>
      </c>
      <c r="BK177" s="50"/>
      <c r="BL177" s="20"/>
    </row>
    <row r="178" spans="1:64" ht="96" x14ac:dyDescent="0.2">
      <c r="A178" s="69">
        <v>174</v>
      </c>
      <c r="B178" s="48" t="str">
        <f ca="1">IFERROR(__xludf.DUMMYFUNCTION("""COMPUTED_VALUE"""),"г.о. Коломенский")</f>
        <v>г.о. Коломенский</v>
      </c>
      <c r="C17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8" s="52" t="str">
        <f ca="1">IFERROR(__xludf.DUMMYFUNCTION("""COMPUTED_VALUE"""),"МинЖКХ")</f>
        <v>МинЖКХ</v>
      </c>
      <c r="E178" s="45" t="s">
        <v>234</v>
      </c>
      <c r="F178" s="46" t="str">
        <f ca="1">IFERROR(__xludf.DUMMYFUNCTION("""COMPUTED_VALUE"""),"ВЗУ")</f>
        <v>ВЗУ</v>
      </c>
      <c r="G178" s="46">
        <f ca="1">IFERROR(__xludf.DUMMYFUNCTION("""COMPUTED_VALUE"""),2020)</f>
        <v>2020</v>
      </c>
      <c r="H178" s="48" t="str">
        <f ca="1">IFERROR(__xludf.DUMMYFUNCTION("""COMPUTED_VALUE"""),"Доставка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f>
        <v>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v>
      </c>
      <c r="I178" s="48" t="str">
        <f ca="1">IFERROR(__xludf.DUMMYFUNCTION("""COMPUTED_VALUE"""),"Приобретение, монтаж")</f>
        <v>Приобретение, монтаж</v>
      </c>
      <c r="J178" s="70">
        <f ca="1">IFERROR(__xludf.DUMMYFUNCTION("""COMPUTED_VALUE"""),0.5)</f>
        <v>0.5</v>
      </c>
      <c r="K178" s="48"/>
      <c r="L178" s="48"/>
      <c r="M178" s="48"/>
      <c r="N178" s="48" t="str">
        <f ca="1">IFERROR(__xludf.DUMMYFUNCTION("""COMPUTED_VALUE"""),"10 1 02 60330")</f>
        <v>10 1 02 60330</v>
      </c>
      <c r="O178" s="48">
        <f ca="1">IFERROR(__xludf.DUMMYFUNCTION("""COMPUTED_VALUE"""),520)</f>
        <v>520</v>
      </c>
      <c r="P178" s="24">
        <f t="shared" ref="P178:T178" si="184">SUM(V178,AB178,AH178,AN178,AT178,AZ178,BF178)</f>
        <v>2851.4</v>
      </c>
      <c r="Q178" s="24">
        <f t="shared" si="184"/>
        <v>0</v>
      </c>
      <c r="R178" s="24">
        <f t="shared" si="184"/>
        <v>0</v>
      </c>
      <c r="S178" s="24">
        <f t="shared" si="184"/>
        <v>2708.83</v>
      </c>
      <c r="T178" s="24">
        <f t="shared" si="184"/>
        <v>142.57</v>
      </c>
      <c r="U178" s="20"/>
      <c r="V178" s="24"/>
      <c r="W178" s="24"/>
      <c r="X178" s="24"/>
      <c r="Y178" s="24"/>
      <c r="Z178" s="24"/>
      <c r="AA178" s="24"/>
      <c r="AB178" s="24"/>
      <c r="AC178" s="50"/>
      <c r="AD178" s="50"/>
      <c r="AE178" s="50"/>
      <c r="AF178" s="50"/>
      <c r="AG178" s="50"/>
      <c r="AH178" s="50">
        <f t="shared" si="2"/>
        <v>2851.4</v>
      </c>
      <c r="AI178" s="50">
        <v>0</v>
      </c>
      <c r="AJ178" s="50">
        <v>0</v>
      </c>
      <c r="AK178" s="50">
        <v>2708.83</v>
      </c>
      <c r="AL178" s="50">
        <v>142.57</v>
      </c>
      <c r="AM178" s="50"/>
      <c r="AN178" s="24">
        <f t="shared" si="3"/>
        <v>0</v>
      </c>
      <c r="AO178" s="50">
        <v>0</v>
      </c>
      <c r="AP178" s="50">
        <v>0</v>
      </c>
      <c r="AQ178" s="50">
        <v>0</v>
      </c>
      <c r="AR178" s="50">
        <v>0</v>
      </c>
      <c r="AS178" s="50"/>
      <c r="AT178" s="50">
        <f t="shared" si="4"/>
        <v>0</v>
      </c>
      <c r="AU178" s="50">
        <v>0</v>
      </c>
      <c r="AV178" s="50">
        <v>0</v>
      </c>
      <c r="AW178" s="50">
        <v>0</v>
      </c>
      <c r="AX178" s="50">
        <v>0</v>
      </c>
      <c r="AY178" s="50"/>
      <c r="AZ178" s="50">
        <f t="shared" si="133"/>
        <v>0</v>
      </c>
      <c r="BA178" s="50">
        <v>0</v>
      </c>
      <c r="BB178" s="50">
        <v>0</v>
      </c>
      <c r="BC178" s="50">
        <v>0</v>
      </c>
      <c r="BD178" s="50">
        <v>0</v>
      </c>
      <c r="BE178" s="50"/>
      <c r="BF178" s="50">
        <f t="shared" si="6"/>
        <v>0</v>
      </c>
      <c r="BG178" s="50">
        <v>0</v>
      </c>
      <c r="BH178" s="50">
        <v>0</v>
      </c>
      <c r="BI178" s="50">
        <v>0</v>
      </c>
      <c r="BJ178" s="50">
        <v>0</v>
      </c>
      <c r="BK178" s="50"/>
      <c r="BL178" s="20"/>
    </row>
    <row r="179" spans="1:64" ht="96" x14ac:dyDescent="0.2">
      <c r="A179" s="69">
        <v>175</v>
      </c>
      <c r="B179" s="48" t="str">
        <f ca="1">IFERROR(__xludf.DUMMYFUNCTION("""COMPUTED_VALUE"""),"г.о. Коломенский")</f>
        <v>г.о. Коломенский</v>
      </c>
      <c r="C17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79" s="52" t="str">
        <f ca="1">IFERROR(__xludf.DUMMYFUNCTION("""COMPUTED_VALUE"""),"МинЖКХ")</f>
        <v>МинЖКХ</v>
      </c>
      <c r="E179" s="45" t="s">
        <v>581</v>
      </c>
      <c r="F179" s="46" t="str">
        <f ca="1">IFERROR(__xludf.DUMMYFUNCTION("""COMPUTED_VALUE"""),"ВЗУ")</f>
        <v>ВЗУ</v>
      </c>
      <c r="G179" s="46">
        <f ca="1">IFERROR(__xludf.DUMMYFUNCTION("""COMPUTED_VALUE"""),2020)</f>
        <v>2020</v>
      </c>
      <c r="H179" s="48" t="str">
        <f ca="1">IFERROR(__xludf.DUMMYFUNCTION("""COMPUTED_VALUE"""),"Осуществлена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f>
        <v>Осуществлена поставка контейнеров под технологическое оборудование. Осуществляется доукомлектация оборудованием с последующей пусконаладкой. Поставка шкафов управления запланирована 16.11.2020.</v>
      </c>
      <c r="I179" s="48" t="str">
        <f ca="1">IFERROR(__xludf.DUMMYFUNCTION("""COMPUTED_VALUE"""),"Приобретение, монтаж")</f>
        <v>Приобретение, монтаж</v>
      </c>
      <c r="J179" s="70">
        <f ca="1">IFERROR(__xludf.DUMMYFUNCTION("""COMPUTED_VALUE"""),0.8)</f>
        <v>0.8</v>
      </c>
      <c r="K179" s="48"/>
      <c r="L179" s="48"/>
      <c r="M179" s="48"/>
      <c r="N179" s="48" t="str">
        <f ca="1">IFERROR(__xludf.DUMMYFUNCTION("""COMPUTED_VALUE"""),"10 1 02 60330")</f>
        <v>10 1 02 60330</v>
      </c>
      <c r="O179" s="48">
        <f ca="1">IFERROR(__xludf.DUMMYFUNCTION("""COMPUTED_VALUE"""),520)</f>
        <v>520</v>
      </c>
      <c r="P179" s="24">
        <f t="shared" ref="P179:T179" si="185">SUM(V179,AB179,AH179,AN179,AT179,AZ179,BF179)</f>
        <v>2782.03</v>
      </c>
      <c r="Q179" s="24">
        <f t="shared" si="185"/>
        <v>0</v>
      </c>
      <c r="R179" s="24">
        <f t="shared" si="185"/>
        <v>0</v>
      </c>
      <c r="S179" s="24">
        <f t="shared" si="185"/>
        <v>2642.78</v>
      </c>
      <c r="T179" s="24">
        <f t="shared" si="185"/>
        <v>139.25</v>
      </c>
      <c r="U179" s="20"/>
      <c r="V179" s="24"/>
      <c r="W179" s="24"/>
      <c r="X179" s="24"/>
      <c r="Y179" s="24"/>
      <c r="Z179" s="24"/>
      <c r="AA179" s="24"/>
      <c r="AB179" s="24"/>
      <c r="AC179" s="50"/>
      <c r="AD179" s="50"/>
      <c r="AE179" s="50"/>
      <c r="AF179" s="50"/>
      <c r="AG179" s="50"/>
      <c r="AH179" s="50">
        <f t="shared" si="2"/>
        <v>2782.03</v>
      </c>
      <c r="AI179" s="50">
        <v>0</v>
      </c>
      <c r="AJ179" s="50">
        <v>0</v>
      </c>
      <c r="AK179" s="50">
        <v>2642.78</v>
      </c>
      <c r="AL179" s="50">
        <v>139.25</v>
      </c>
      <c r="AM179" s="50"/>
      <c r="AN179" s="24">
        <f t="shared" si="3"/>
        <v>0</v>
      </c>
      <c r="AO179" s="50">
        <v>0</v>
      </c>
      <c r="AP179" s="50">
        <v>0</v>
      </c>
      <c r="AQ179" s="50">
        <v>0</v>
      </c>
      <c r="AR179" s="50">
        <v>0</v>
      </c>
      <c r="AS179" s="50"/>
      <c r="AT179" s="50">
        <f t="shared" si="4"/>
        <v>0</v>
      </c>
      <c r="AU179" s="50">
        <v>0</v>
      </c>
      <c r="AV179" s="50">
        <v>0</v>
      </c>
      <c r="AW179" s="50">
        <v>0</v>
      </c>
      <c r="AX179" s="50">
        <v>0</v>
      </c>
      <c r="AY179" s="50"/>
      <c r="AZ179" s="50">
        <f t="shared" si="133"/>
        <v>0</v>
      </c>
      <c r="BA179" s="50">
        <v>0</v>
      </c>
      <c r="BB179" s="50">
        <v>0</v>
      </c>
      <c r="BC179" s="50">
        <v>0</v>
      </c>
      <c r="BD179" s="50">
        <v>0</v>
      </c>
      <c r="BE179" s="50"/>
      <c r="BF179" s="50">
        <f t="shared" si="6"/>
        <v>0</v>
      </c>
      <c r="BG179" s="50">
        <v>0</v>
      </c>
      <c r="BH179" s="50">
        <v>0</v>
      </c>
      <c r="BI179" s="50">
        <v>0</v>
      </c>
      <c r="BJ179" s="50">
        <v>0</v>
      </c>
      <c r="BK179" s="50"/>
      <c r="BL179" s="20"/>
    </row>
    <row r="180" spans="1:64" ht="96" x14ac:dyDescent="0.2">
      <c r="A180" s="69">
        <v>176</v>
      </c>
      <c r="B180" s="48" t="str">
        <f ca="1">IFERROR(__xludf.DUMMYFUNCTION("""COMPUTED_VALUE"""),"г.о. Коломенский")</f>
        <v>г.о. Коломенский</v>
      </c>
      <c r="C18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0" s="52" t="str">
        <f ca="1">IFERROR(__xludf.DUMMYFUNCTION("""COMPUTED_VALUE"""),"МинЖКХ")</f>
        <v>МинЖКХ</v>
      </c>
      <c r="E180" s="45" t="s">
        <v>235</v>
      </c>
      <c r="F180" s="48" t="str">
        <f ca="1">IFERROR(__xludf.DUMMYFUNCTION("""COMPUTED_VALUE"""),"ВЗУ")</f>
        <v>ВЗУ</v>
      </c>
      <c r="G180" s="48">
        <f ca="1">IFERROR(__xludf.DUMMYFUNCTION("""COMPUTED_VALUE"""),2020)</f>
        <v>2020</v>
      </c>
      <c r="H180" s="48"/>
      <c r="I180" s="48" t="str">
        <f ca="1">IFERROR(__xludf.DUMMYFUNCTION("""COMPUTED_VALUE"""),"Приобретение, монтаж")</f>
        <v>Приобретение, монтаж</v>
      </c>
      <c r="J180" s="48"/>
      <c r="K180" s="48"/>
      <c r="L180" s="48"/>
      <c r="M180" s="48"/>
      <c r="N180" s="48" t="str">
        <f ca="1">IFERROR(__xludf.DUMMYFUNCTION("""COMPUTED_VALUE"""),"10 1 02 60330")</f>
        <v>10 1 02 60330</v>
      </c>
      <c r="O180" s="48">
        <f ca="1">IFERROR(__xludf.DUMMYFUNCTION("""COMPUTED_VALUE"""),520)</f>
        <v>520</v>
      </c>
      <c r="P180" s="24">
        <f t="shared" ref="P180:T180" si="186">SUM(V180,AB180,AH180,AN180,AT180,AZ180,BF180)</f>
        <v>0</v>
      </c>
      <c r="Q180" s="24">
        <f t="shared" si="186"/>
        <v>0</v>
      </c>
      <c r="R180" s="24">
        <f t="shared" si="186"/>
        <v>0</v>
      </c>
      <c r="S180" s="24">
        <f t="shared" si="186"/>
        <v>0</v>
      </c>
      <c r="T180" s="24">
        <f t="shared" si="186"/>
        <v>0</v>
      </c>
      <c r="U180" s="20"/>
      <c r="V180" s="24"/>
      <c r="W180" s="24"/>
      <c r="X180" s="24"/>
      <c r="Y180" s="24"/>
      <c r="Z180" s="24"/>
      <c r="AA180" s="24"/>
      <c r="AB180" s="24"/>
      <c r="AC180" s="50"/>
      <c r="AD180" s="50"/>
      <c r="AE180" s="50"/>
      <c r="AF180" s="50"/>
      <c r="AG180" s="50"/>
      <c r="AH180" s="50">
        <f t="shared" si="2"/>
        <v>0</v>
      </c>
      <c r="AI180" s="50">
        <v>0</v>
      </c>
      <c r="AJ180" s="50">
        <v>0</v>
      </c>
      <c r="AK180" s="50">
        <v>0</v>
      </c>
      <c r="AL180" s="50">
        <v>0</v>
      </c>
      <c r="AM180" s="50"/>
      <c r="AN180" s="24">
        <f t="shared" si="3"/>
        <v>0</v>
      </c>
      <c r="AO180" s="50">
        <v>0</v>
      </c>
      <c r="AP180" s="50">
        <v>0</v>
      </c>
      <c r="AQ180" s="50">
        <v>0</v>
      </c>
      <c r="AR180" s="50">
        <v>0</v>
      </c>
      <c r="AS180" s="50"/>
      <c r="AT180" s="50">
        <f t="shared" si="4"/>
        <v>0</v>
      </c>
      <c r="AU180" s="50">
        <v>0</v>
      </c>
      <c r="AV180" s="50">
        <v>0</v>
      </c>
      <c r="AW180" s="50">
        <v>0</v>
      </c>
      <c r="AX180" s="50">
        <v>0</v>
      </c>
      <c r="AY180" s="50"/>
      <c r="AZ180" s="50">
        <f t="shared" si="133"/>
        <v>0</v>
      </c>
      <c r="BA180" s="50">
        <v>0</v>
      </c>
      <c r="BB180" s="50">
        <v>0</v>
      </c>
      <c r="BC180" s="50">
        <v>0</v>
      </c>
      <c r="BD180" s="50">
        <v>0</v>
      </c>
      <c r="BE180" s="50"/>
      <c r="BF180" s="50">
        <f t="shared" si="6"/>
        <v>0</v>
      </c>
      <c r="BG180" s="50">
        <v>0</v>
      </c>
      <c r="BH180" s="50">
        <v>0</v>
      </c>
      <c r="BI180" s="50">
        <v>0</v>
      </c>
      <c r="BJ180" s="50">
        <v>0</v>
      </c>
      <c r="BK180" s="50"/>
      <c r="BL180" s="20"/>
    </row>
    <row r="181" spans="1:64" ht="96" x14ac:dyDescent="0.2">
      <c r="A181" s="69">
        <v>177</v>
      </c>
      <c r="B181" s="48" t="str">
        <f ca="1">IFERROR(__xludf.DUMMYFUNCTION("""COMPUTED_VALUE"""),"г.о. Коломенский")</f>
        <v>г.о. Коломенский</v>
      </c>
      <c r="C18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1" s="52" t="str">
        <f ca="1">IFERROR(__xludf.DUMMYFUNCTION("""COMPUTED_VALUE"""),"МинЖКХ")</f>
        <v>МинЖКХ</v>
      </c>
      <c r="E181" s="45" t="s">
        <v>236</v>
      </c>
      <c r="F181" s="48" t="str">
        <f ca="1">IFERROR(__xludf.DUMMYFUNCTION("""COMPUTED_VALUE"""),"ВЗУ")</f>
        <v>ВЗУ</v>
      </c>
      <c r="G181" s="48">
        <f ca="1">IFERROR(__xludf.DUMMYFUNCTION("""COMPUTED_VALUE"""),2020)</f>
        <v>2020</v>
      </c>
      <c r="H181" s="48"/>
      <c r="I181" s="48" t="str">
        <f ca="1">IFERROR(__xludf.DUMMYFUNCTION("""COMPUTED_VALUE"""),"Приобретение, монтаж")</f>
        <v>Приобретение, монтаж</v>
      </c>
      <c r="J181" s="48"/>
      <c r="K181" s="48"/>
      <c r="L181" s="48"/>
      <c r="M181" s="48"/>
      <c r="N181" s="48" t="str">
        <f ca="1">IFERROR(__xludf.DUMMYFUNCTION("""COMPUTED_VALUE"""),"10 1 02 60330")</f>
        <v>10 1 02 60330</v>
      </c>
      <c r="O181" s="48">
        <f ca="1">IFERROR(__xludf.DUMMYFUNCTION("""COMPUTED_VALUE"""),520)</f>
        <v>520</v>
      </c>
      <c r="P181" s="24">
        <f t="shared" ref="P181:T181" si="187">SUM(V181,AB181,AH181,AN181,AT181,AZ181,BF181)</f>
        <v>0</v>
      </c>
      <c r="Q181" s="24">
        <f t="shared" si="187"/>
        <v>0</v>
      </c>
      <c r="R181" s="24">
        <f t="shared" si="187"/>
        <v>0</v>
      </c>
      <c r="S181" s="24">
        <f t="shared" si="187"/>
        <v>0</v>
      </c>
      <c r="T181" s="24">
        <f t="shared" si="187"/>
        <v>0</v>
      </c>
      <c r="U181" s="20"/>
      <c r="V181" s="24"/>
      <c r="W181" s="24"/>
      <c r="X181" s="24"/>
      <c r="Y181" s="24"/>
      <c r="Z181" s="24"/>
      <c r="AA181" s="24"/>
      <c r="AB181" s="24"/>
      <c r="AC181" s="50"/>
      <c r="AD181" s="50"/>
      <c r="AE181" s="50"/>
      <c r="AF181" s="50"/>
      <c r="AG181" s="50"/>
      <c r="AH181" s="50">
        <f t="shared" si="2"/>
        <v>0</v>
      </c>
      <c r="AI181" s="50">
        <v>0</v>
      </c>
      <c r="AJ181" s="50">
        <v>0</v>
      </c>
      <c r="AK181" s="50">
        <v>0</v>
      </c>
      <c r="AL181" s="50">
        <v>0</v>
      </c>
      <c r="AM181" s="50"/>
      <c r="AN181" s="24">
        <f t="shared" si="3"/>
        <v>0</v>
      </c>
      <c r="AO181" s="50">
        <v>0</v>
      </c>
      <c r="AP181" s="50">
        <v>0</v>
      </c>
      <c r="AQ181" s="50">
        <v>0</v>
      </c>
      <c r="AR181" s="50">
        <v>0</v>
      </c>
      <c r="AS181" s="50"/>
      <c r="AT181" s="50">
        <f t="shared" si="4"/>
        <v>0</v>
      </c>
      <c r="AU181" s="50">
        <v>0</v>
      </c>
      <c r="AV181" s="50">
        <v>0</v>
      </c>
      <c r="AW181" s="50">
        <v>0</v>
      </c>
      <c r="AX181" s="50">
        <v>0</v>
      </c>
      <c r="AY181" s="50"/>
      <c r="AZ181" s="50">
        <f t="shared" si="133"/>
        <v>0</v>
      </c>
      <c r="BA181" s="50">
        <v>0</v>
      </c>
      <c r="BB181" s="50">
        <v>0</v>
      </c>
      <c r="BC181" s="50">
        <v>0</v>
      </c>
      <c r="BD181" s="50">
        <v>0</v>
      </c>
      <c r="BE181" s="50"/>
      <c r="BF181" s="50">
        <f t="shared" si="6"/>
        <v>0</v>
      </c>
      <c r="BG181" s="50">
        <v>0</v>
      </c>
      <c r="BH181" s="50">
        <v>0</v>
      </c>
      <c r="BI181" s="50">
        <v>0</v>
      </c>
      <c r="BJ181" s="50">
        <v>0</v>
      </c>
      <c r="BK181" s="50"/>
      <c r="BL181" s="20"/>
    </row>
    <row r="182" spans="1:64" ht="96" x14ac:dyDescent="0.2">
      <c r="A182" s="69">
        <v>178</v>
      </c>
      <c r="B182" s="48" t="str">
        <f ca="1">IFERROR(__xludf.DUMMYFUNCTION("""COMPUTED_VALUE"""),"г.о. Коломенский")</f>
        <v>г.о. Коломенский</v>
      </c>
      <c r="C18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2" s="52" t="str">
        <f ca="1">IFERROR(__xludf.DUMMYFUNCTION("""COMPUTED_VALUE"""),"МинЖКХ")</f>
        <v>МинЖКХ</v>
      </c>
      <c r="E182" s="45" t="s">
        <v>237</v>
      </c>
      <c r="F182" s="46" t="str">
        <f ca="1">IFERROR(__xludf.DUMMYFUNCTION("""COMPUTED_VALUE"""),"ВЗУ")</f>
        <v>ВЗУ</v>
      </c>
      <c r="G182" s="46">
        <f ca="1">IFERROR(__xludf.DUMMYFUNCTION("""COMPUTED_VALUE"""),2020)</f>
        <v>2020</v>
      </c>
      <c r="H182" s="48" t="str">
        <f ca="1">IFERROR(__xludf.DUMMYFUNCTION("""COMPUTED_VALUE"""),"Доставка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f>
        <v>Доставка и установка станции до 18.11.2020 с последующим подсоединением ВЗУ и настройки диспетчеризации до 20.11.2020. Запуск после поставки шкафов управления. Поставка ШУ до 29.11.2020. Оборудование закуплено.</v>
      </c>
      <c r="I182" s="48" t="str">
        <f ca="1">IFERROR(__xludf.DUMMYFUNCTION("""COMPUTED_VALUE"""),"Приобретение, монтаж")</f>
        <v>Приобретение, монтаж</v>
      </c>
      <c r="J182" s="70">
        <f ca="1">IFERROR(__xludf.DUMMYFUNCTION("""COMPUTED_VALUE"""),0.6)</f>
        <v>0.6</v>
      </c>
      <c r="K182" s="48"/>
      <c r="L182" s="48"/>
      <c r="M182" s="48"/>
      <c r="N182" s="48" t="str">
        <f ca="1">IFERROR(__xludf.DUMMYFUNCTION("""COMPUTED_VALUE"""),"10 1 02 60330")</f>
        <v>10 1 02 60330</v>
      </c>
      <c r="O182" s="48">
        <f ca="1">IFERROR(__xludf.DUMMYFUNCTION("""COMPUTED_VALUE"""),520)</f>
        <v>520</v>
      </c>
      <c r="P182" s="24">
        <f t="shared" ref="P182:T182" si="188">SUM(V182,AB182,AH182,AN182,AT182,AZ182,BF182)</f>
        <v>2715.33</v>
      </c>
      <c r="Q182" s="24">
        <f t="shared" si="188"/>
        <v>0</v>
      </c>
      <c r="R182" s="24">
        <f t="shared" si="188"/>
        <v>0</v>
      </c>
      <c r="S182" s="24">
        <f t="shared" si="188"/>
        <v>2579.5</v>
      </c>
      <c r="T182" s="24">
        <f t="shared" si="188"/>
        <v>135.83000000000001</v>
      </c>
      <c r="U182" s="20"/>
      <c r="V182" s="24"/>
      <c r="W182" s="24"/>
      <c r="X182" s="24"/>
      <c r="Y182" s="24"/>
      <c r="Z182" s="24"/>
      <c r="AA182" s="24"/>
      <c r="AB182" s="24"/>
      <c r="AC182" s="50"/>
      <c r="AD182" s="50"/>
      <c r="AE182" s="50"/>
      <c r="AF182" s="50"/>
      <c r="AG182" s="50"/>
      <c r="AH182" s="50">
        <f t="shared" si="2"/>
        <v>2715.33</v>
      </c>
      <c r="AI182" s="50">
        <v>0</v>
      </c>
      <c r="AJ182" s="50">
        <v>0</v>
      </c>
      <c r="AK182" s="50">
        <v>2579.5</v>
      </c>
      <c r="AL182" s="50">
        <v>135.83000000000001</v>
      </c>
      <c r="AM182" s="50"/>
      <c r="AN182" s="24">
        <f t="shared" si="3"/>
        <v>0</v>
      </c>
      <c r="AO182" s="50">
        <v>0</v>
      </c>
      <c r="AP182" s="50">
        <v>0</v>
      </c>
      <c r="AQ182" s="50">
        <v>0</v>
      </c>
      <c r="AR182" s="50">
        <v>0</v>
      </c>
      <c r="AS182" s="50"/>
      <c r="AT182" s="50">
        <f t="shared" si="4"/>
        <v>0</v>
      </c>
      <c r="AU182" s="50">
        <v>0</v>
      </c>
      <c r="AV182" s="50">
        <v>0</v>
      </c>
      <c r="AW182" s="50">
        <v>0</v>
      </c>
      <c r="AX182" s="50">
        <v>0</v>
      </c>
      <c r="AY182" s="50"/>
      <c r="AZ182" s="50">
        <f t="shared" si="133"/>
        <v>0</v>
      </c>
      <c r="BA182" s="50">
        <v>0</v>
      </c>
      <c r="BB182" s="50">
        <v>0</v>
      </c>
      <c r="BC182" s="50">
        <v>0</v>
      </c>
      <c r="BD182" s="50">
        <v>0</v>
      </c>
      <c r="BE182" s="50"/>
      <c r="BF182" s="50">
        <f t="shared" si="6"/>
        <v>0</v>
      </c>
      <c r="BG182" s="50">
        <v>0</v>
      </c>
      <c r="BH182" s="50">
        <v>0</v>
      </c>
      <c r="BI182" s="50">
        <v>0</v>
      </c>
      <c r="BJ182" s="50">
        <v>0</v>
      </c>
      <c r="BK182" s="50"/>
      <c r="BL182" s="20"/>
    </row>
    <row r="183" spans="1:64" ht="96" x14ac:dyDescent="0.2">
      <c r="A183" s="69">
        <v>179</v>
      </c>
      <c r="B183" s="48" t="str">
        <f ca="1">IFERROR(__xludf.DUMMYFUNCTION("""COMPUTED_VALUE"""),"г.о. Коломенский")</f>
        <v>г.о. Коломенский</v>
      </c>
      <c r="C18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3" s="52" t="str">
        <f ca="1">IFERROR(__xludf.DUMMYFUNCTION("""COMPUTED_VALUE"""),"МинЖКХ")</f>
        <v>МинЖКХ</v>
      </c>
      <c r="E183" s="45" t="s">
        <v>238</v>
      </c>
      <c r="F183" s="46" t="str">
        <f ca="1">IFERROR(__xludf.DUMMYFUNCTION("""COMPUTED_VALUE"""),"ВЗУ")</f>
        <v>ВЗУ</v>
      </c>
      <c r="G183" s="46">
        <f ca="1">IFERROR(__xludf.DUMMYFUNCTION("""COMPUTED_VALUE"""),2020)</f>
        <v>2020</v>
      </c>
      <c r="H183" s="48" t="str">
        <f ca="1">IFERROR(__xludf.DUMMYFUNCTION("""COMPUTED_VALUE"""),"Доставка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f>
        <v>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v>
      </c>
      <c r="I183" s="48" t="str">
        <f ca="1">IFERROR(__xludf.DUMMYFUNCTION("""COMPUTED_VALUE"""),"Приобретение, монтаж")</f>
        <v>Приобретение, монтаж</v>
      </c>
      <c r="J183" s="70">
        <f ca="1">IFERROR(__xludf.DUMMYFUNCTION("""COMPUTED_VALUE"""),0.5)</f>
        <v>0.5</v>
      </c>
      <c r="K183" s="48"/>
      <c r="L183" s="48"/>
      <c r="M183" s="48"/>
      <c r="N183" s="48" t="str">
        <f ca="1">IFERROR(__xludf.DUMMYFUNCTION("""COMPUTED_VALUE"""),"10 1 02 60330")</f>
        <v>10 1 02 60330</v>
      </c>
      <c r="O183" s="48">
        <f ca="1">IFERROR(__xludf.DUMMYFUNCTION("""COMPUTED_VALUE"""),520)</f>
        <v>520</v>
      </c>
      <c r="P183" s="24">
        <f t="shared" ref="P183:T183" si="189">SUM(V183,AB183,AH183,AN183,AT183,AZ183,BF183)</f>
        <v>2605.0300000000002</v>
      </c>
      <c r="Q183" s="24">
        <f t="shared" si="189"/>
        <v>0</v>
      </c>
      <c r="R183" s="24">
        <f t="shared" si="189"/>
        <v>0</v>
      </c>
      <c r="S183" s="24">
        <f t="shared" si="189"/>
        <v>2474.67</v>
      </c>
      <c r="T183" s="24">
        <f t="shared" si="189"/>
        <v>130.36000000000001</v>
      </c>
      <c r="U183" s="20"/>
      <c r="V183" s="24"/>
      <c r="W183" s="24"/>
      <c r="X183" s="24"/>
      <c r="Y183" s="24"/>
      <c r="Z183" s="24"/>
      <c r="AA183" s="24"/>
      <c r="AB183" s="24"/>
      <c r="AC183" s="50"/>
      <c r="AD183" s="50"/>
      <c r="AE183" s="50"/>
      <c r="AF183" s="50"/>
      <c r="AG183" s="50"/>
      <c r="AH183" s="50">
        <f t="shared" si="2"/>
        <v>2605.0300000000002</v>
      </c>
      <c r="AI183" s="50">
        <v>0</v>
      </c>
      <c r="AJ183" s="50">
        <v>0</v>
      </c>
      <c r="AK183" s="50">
        <v>2474.67</v>
      </c>
      <c r="AL183" s="50">
        <v>130.36000000000001</v>
      </c>
      <c r="AM183" s="50"/>
      <c r="AN183" s="24">
        <f t="shared" si="3"/>
        <v>0</v>
      </c>
      <c r="AO183" s="50">
        <v>0</v>
      </c>
      <c r="AP183" s="50">
        <v>0</v>
      </c>
      <c r="AQ183" s="50">
        <v>0</v>
      </c>
      <c r="AR183" s="50">
        <v>0</v>
      </c>
      <c r="AS183" s="50"/>
      <c r="AT183" s="50">
        <f t="shared" si="4"/>
        <v>0</v>
      </c>
      <c r="AU183" s="50">
        <v>0</v>
      </c>
      <c r="AV183" s="50">
        <v>0</v>
      </c>
      <c r="AW183" s="50">
        <v>0</v>
      </c>
      <c r="AX183" s="50">
        <v>0</v>
      </c>
      <c r="AY183" s="50"/>
      <c r="AZ183" s="50">
        <f t="shared" si="133"/>
        <v>0</v>
      </c>
      <c r="BA183" s="50">
        <v>0</v>
      </c>
      <c r="BB183" s="50">
        <v>0</v>
      </c>
      <c r="BC183" s="50">
        <v>0</v>
      </c>
      <c r="BD183" s="50">
        <v>0</v>
      </c>
      <c r="BE183" s="50"/>
      <c r="BF183" s="50">
        <f t="shared" si="6"/>
        <v>0</v>
      </c>
      <c r="BG183" s="50">
        <v>0</v>
      </c>
      <c r="BH183" s="50">
        <v>0</v>
      </c>
      <c r="BI183" s="50">
        <v>0</v>
      </c>
      <c r="BJ183" s="50">
        <v>0</v>
      </c>
      <c r="BK183" s="50"/>
      <c r="BL183" s="20"/>
    </row>
    <row r="184" spans="1:64" ht="96" x14ac:dyDescent="0.2">
      <c r="A184" s="69">
        <v>180</v>
      </c>
      <c r="B184" s="48" t="str">
        <f ca="1">IFERROR(__xludf.DUMMYFUNCTION("""COMPUTED_VALUE"""),"г.о. Коломенский")</f>
        <v>г.о. Коломенский</v>
      </c>
      <c r="C18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4" s="52" t="str">
        <f ca="1">IFERROR(__xludf.DUMMYFUNCTION("""COMPUTED_VALUE"""),"МинЖКХ")</f>
        <v>МинЖКХ</v>
      </c>
      <c r="E184" s="45" t="s">
        <v>239</v>
      </c>
      <c r="F184" s="46" t="str">
        <f ca="1">IFERROR(__xludf.DUMMYFUNCTION("""COMPUTED_VALUE"""),"ВЗУ")</f>
        <v>ВЗУ</v>
      </c>
      <c r="G184" s="46">
        <f ca="1">IFERROR(__xludf.DUMMYFUNCTION("""COMPUTED_VALUE"""),2020)</f>
        <v>2020</v>
      </c>
      <c r="H184" s="48" t="str">
        <f ca="1">IFERROR(__xludf.DUMMYFUNCTION("""COMPUTED_VALUE"""),"Монтаж станции осуществлен. Решается вопрос замены насосного оборудования для достижения плановой производительности.")</f>
        <v>Монтаж станции осуществлен. Решается вопрос замены насосного оборудования для достижения плановой производительности.</v>
      </c>
      <c r="I184" s="48" t="str">
        <f ca="1">IFERROR(__xludf.DUMMYFUNCTION("""COMPUTED_VALUE"""),"Приобретение, монтаж")</f>
        <v>Приобретение, монтаж</v>
      </c>
      <c r="J184" s="70">
        <f ca="1">IFERROR(__xludf.DUMMYFUNCTION("""COMPUTED_VALUE"""),0.95)</f>
        <v>0.95</v>
      </c>
      <c r="K184" s="48"/>
      <c r="L184" s="48"/>
      <c r="M184" s="48"/>
      <c r="N184" s="48" t="str">
        <f ca="1">IFERROR(__xludf.DUMMYFUNCTION("""COMPUTED_VALUE"""),"10 1 02 60330")</f>
        <v>10 1 02 60330</v>
      </c>
      <c r="O184" s="48">
        <f ca="1">IFERROR(__xludf.DUMMYFUNCTION("""COMPUTED_VALUE"""),520)</f>
        <v>520</v>
      </c>
      <c r="P184" s="24">
        <f t="shared" ref="P184:T184" si="190">SUM(V184,AB184,AH184,AN184,AT184,AZ184,BF184)</f>
        <v>1572.39</v>
      </c>
      <c r="Q184" s="24">
        <f t="shared" si="190"/>
        <v>0</v>
      </c>
      <c r="R184" s="24">
        <f t="shared" si="190"/>
        <v>0</v>
      </c>
      <c r="S184" s="24">
        <f t="shared" si="190"/>
        <v>1493.74</v>
      </c>
      <c r="T184" s="24">
        <f t="shared" si="190"/>
        <v>78.650000000000006</v>
      </c>
      <c r="U184" s="20"/>
      <c r="V184" s="24"/>
      <c r="W184" s="24"/>
      <c r="X184" s="24"/>
      <c r="Y184" s="24"/>
      <c r="Z184" s="24"/>
      <c r="AA184" s="24"/>
      <c r="AB184" s="24"/>
      <c r="AC184" s="50"/>
      <c r="AD184" s="50"/>
      <c r="AE184" s="50"/>
      <c r="AF184" s="50"/>
      <c r="AG184" s="50"/>
      <c r="AH184" s="50">
        <f t="shared" si="2"/>
        <v>1572.39</v>
      </c>
      <c r="AI184" s="50">
        <v>0</v>
      </c>
      <c r="AJ184" s="50">
        <v>0</v>
      </c>
      <c r="AK184" s="50">
        <v>1493.74</v>
      </c>
      <c r="AL184" s="50">
        <v>78.650000000000006</v>
      </c>
      <c r="AM184" s="50"/>
      <c r="AN184" s="24">
        <f t="shared" si="3"/>
        <v>0</v>
      </c>
      <c r="AO184" s="50">
        <v>0</v>
      </c>
      <c r="AP184" s="50">
        <v>0</v>
      </c>
      <c r="AQ184" s="50">
        <v>0</v>
      </c>
      <c r="AR184" s="50">
        <v>0</v>
      </c>
      <c r="AS184" s="50"/>
      <c r="AT184" s="50">
        <f t="shared" si="4"/>
        <v>0</v>
      </c>
      <c r="AU184" s="50">
        <v>0</v>
      </c>
      <c r="AV184" s="50">
        <v>0</v>
      </c>
      <c r="AW184" s="50">
        <v>0</v>
      </c>
      <c r="AX184" s="50">
        <v>0</v>
      </c>
      <c r="AY184" s="50"/>
      <c r="AZ184" s="50">
        <f t="shared" si="133"/>
        <v>0</v>
      </c>
      <c r="BA184" s="50">
        <v>0</v>
      </c>
      <c r="BB184" s="50">
        <v>0</v>
      </c>
      <c r="BC184" s="50">
        <v>0</v>
      </c>
      <c r="BD184" s="50">
        <v>0</v>
      </c>
      <c r="BE184" s="50"/>
      <c r="BF184" s="50">
        <f t="shared" si="6"/>
        <v>0</v>
      </c>
      <c r="BG184" s="50">
        <v>0</v>
      </c>
      <c r="BH184" s="50">
        <v>0</v>
      </c>
      <c r="BI184" s="50">
        <v>0</v>
      </c>
      <c r="BJ184" s="50">
        <v>0</v>
      </c>
      <c r="BK184" s="50"/>
      <c r="BL184" s="20"/>
    </row>
    <row r="185" spans="1:64" ht="96" x14ac:dyDescent="0.2">
      <c r="A185" s="69">
        <v>181</v>
      </c>
      <c r="B185" s="48" t="str">
        <f ca="1">IFERROR(__xludf.DUMMYFUNCTION("""COMPUTED_VALUE"""),"г.о. Коломенский")</f>
        <v>г.о. Коломенский</v>
      </c>
      <c r="C18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5" s="52" t="str">
        <f ca="1">IFERROR(__xludf.DUMMYFUNCTION("""COMPUTED_VALUE"""),"МинЖКХ")</f>
        <v>МинЖКХ</v>
      </c>
      <c r="E185" s="45" t="s">
        <v>240</v>
      </c>
      <c r="F185" s="46" t="str">
        <f ca="1">IFERROR(__xludf.DUMMYFUNCTION("""COMPUTED_VALUE"""),"ВЗУ")</f>
        <v>ВЗУ</v>
      </c>
      <c r="G185" s="46">
        <f ca="1">IFERROR(__xludf.DUMMYFUNCTION("""COMPUTED_VALUE"""),2020)</f>
        <v>2020</v>
      </c>
      <c r="H185" s="48" t="str">
        <f ca="1">IFERROR(__xludf.DUMMYFUNCTION("""COMPUTED_VALUE"""),"Доставка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f>
        <v>Доставка и установка станции до 28.11.2020 с последующим подсоединением ВЗУ и настройки диспетчеризации до 30.11.2020. Запуск после поставки шкафов управления. Поставка ШУ до 29.11.2020.</v>
      </c>
      <c r="I185" s="48" t="str">
        <f ca="1">IFERROR(__xludf.DUMMYFUNCTION("""COMPUTED_VALUE"""),"Приобретение, монтаж")</f>
        <v>Приобретение, монтаж</v>
      </c>
      <c r="J185" s="70">
        <f ca="1">IFERROR(__xludf.DUMMYFUNCTION("""COMPUTED_VALUE"""),0.5)</f>
        <v>0.5</v>
      </c>
      <c r="K185" s="48"/>
      <c r="L185" s="48"/>
      <c r="M185" s="48"/>
      <c r="N185" s="48" t="str">
        <f ca="1">IFERROR(__xludf.DUMMYFUNCTION("""COMPUTED_VALUE"""),"10 1 02 60330")</f>
        <v>10 1 02 60330</v>
      </c>
      <c r="O185" s="48">
        <f ca="1">IFERROR(__xludf.DUMMYFUNCTION("""COMPUTED_VALUE"""),520)</f>
        <v>520</v>
      </c>
      <c r="P185" s="24">
        <f t="shared" ref="P185:T185" si="191">SUM(V185,AB185,AH185,AN185,AT185,AZ185,BF185)</f>
        <v>2748.67</v>
      </c>
      <c r="Q185" s="24">
        <f t="shared" si="191"/>
        <v>0</v>
      </c>
      <c r="R185" s="24">
        <f t="shared" si="191"/>
        <v>0</v>
      </c>
      <c r="S185" s="24">
        <f t="shared" si="191"/>
        <v>2611.17</v>
      </c>
      <c r="T185" s="24">
        <f t="shared" si="191"/>
        <v>137.5</v>
      </c>
      <c r="U185" s="20"/>
      <c r="V185" s="24"/>
      <c r="W185" s="24"/>
      <c r="X185" s="24"/>
      <c r="Y185" s="24"/>
      <c r="Z185" s="24"/>
      <c r="AA185" s="24"/>
      <c r="AB185" s="24"/>
      <c r="AC185" s="50"/>
      <c r="AD185" s="50"/>
      <c r="AE185" s="50"/>
      <c r="AF185" s="50"/>
      <c r="AG185" s="50"/>
      <c r="AH185" s="50">
        <f t="shared" si="2"/>
        <v>2748.67</v>
      </c>
      <c r="AI185" s="50">
        <v>0</v>
      </c>
      <c r="AJ185" s="50">
        <v>0</v>
      </c>
      <c r="AK185" s="50">
        <v>2611.17</v>
      </c>
      <c r="AL185" s="50">
        <v>137.5</v>
      </c>
      <c r="AM185" s="50"/>
      <c r="AN185" s="24">
        <f t="shared" si="3"/>
        <v>0</v>
      </c>
      <c r="AO185" s="50">
        <v>0</v>
      </c>
      <c r="AP185" s="50">
        <v>0</v>
      </c>
      <c r="AQ185" s="50">
        <v>0</v>
      </c>
      <c r="AR185" s="50">
        <v>0</v>
      </c>
      <c r="AS185" s="50"/>
      <c r="AT185" s="50">
        <f t="shared" si="4"/>
        <v>0</v>
      </c>
      <c r="AU185" s="50">
        <v>0</v>
      </c>
      <c r="AV185" s="50">
        <v>0</v>
      </c>
      <c r="AW185" s="50">
        <v>0</v>
      </c>
      <c r="AX185" s="50">
        <v>0</v>
      </c>
      <c r="AY185" s="50"/>
      <c r="AZ185" s="50">
        <f t="shared" si="133"/>
        <v>0</v>
      </c>
      <c r="BA185" s="50">
        <v>0</v>
      </c>
      <c r="BB185" s="50">
        <v>0</v>
      </c>
      <c r="BC185" s="50">
        <v>0</v>
      </c>
      <c r="BD185" s="50">
        <v>0</v>
      </c>
      <c r="BE185" s="50"/>
      <c r="BF185" s="50">
        <f t="shared" si="6"/>
        <v>0</v>
      </c>
      <c r="BG185" s="50">
        <v>0</v>
      </c>
      <c r="BH185" s="50">
        <v>0</v>
      </c>
      <c r="BI185" s="50">
        <v>0</v>
      </c>
      <c r="BJ185" s="50">
        <v>0</v>
      </c>
      <c r="BK185" s="50"/>
      <c r="BL185" s="20"/>
    </row>
    <row r="186" spans="1:64" ht="132" x14ac:dyDescent="0.2">
      <c r="A186" s="69">
        <v>182</v>
      </c>
      <c r="B186" s="48" t="str">
        <f ca="1">IFERROR(__xludf.DUMMYFUNCTION("""COMPUTED_VALUE"""),"г.о. Пушкинский")</f>
        <v>г.о. Пушкинский</v>
      </c>
      <c r="C18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6" s="52" t="str">
        <f ca="1">IFERROR(__xludf.DUMMYFUNCTION("""COMPUTED_VALUE"""),"МинЖКХ")</f>
        <v>МинЖКХ</v>
      </c>
      <c r="E186" s="45" t="s">
        <v>241</v>
      </c>
      <c r="F186" s="46" t="str">
        <f ca="1">IFERROR(__xludf.DUMMYFUNCTION("""COMPUTED_VALUE"""),"ВЗУ")</f>
        <v>ВЗУ</v>
      </c>
      <c r="G186" s="46">
        <f ca="1">IFERROR(__xludf.DUMMYFUNCTION("""COMPUTED_VALUE"""),2020)</f>
        <v>2020</v>
      </c>
      <c r="H186" s="48" t="str">
        <f ca="1">IFERROR(__xludf.DUMMYFUNCTION("""COMPUTED_VALUE"""),"Завершены работы по вырубке зеленых насаждений и устройству фундамента. Осуществлен монтаж модульной станции для системы обезжелезивания. Вырыта траншея под укладку инженерных сетей. Устройство шкафа управления насосами с последующей пусконаладкой будет о"&amp;"существлен до 20.11.2020. Завершены работы на первой линии. Возможен забор проб воды для сдачи анализов в случае подачи водоснабжения.")</f>
        <v>Завершены работы по вырубке зеленых насаждений и устройству фундамента. Осуществлен монтаж модульной станции для системы обезжелезивания. Вырыта траншея под укладку инженерных сетей. Устройство шкафа управления насосами с последующей пусконаладкой будет осуществлен до 20.11.2020. Завершены работы на первой линии. Возможен забор проб воды для сдачи анализов в случае подачи водоснабжения.</v>
      </c>
      <c r="I186" s="48" t="str">
        <f ca="1">IFERROR(__xludf.DUMMYFUNCTION("""COMPUTED_VALUE"""),"Приобретение, монтаж")</f>
        <v>Приобретение, монтаж</v>
      </c>
      <c r="J186" s="70">
        <f ca="1">IFERROR(__xludf.DUMMYFUNCTION("""COMPUTED_VALUE"""),0.7)</f>
        <v>0.7</v>
      </c>
      <c r="K186" s="48">
        <f ca="1">IFERROR(__xludf.DUMMYFUNCTION("""COMPUTED_VALUE"""),18000)</f>
        <v>18000</v>
      </c>
      <c r="L186" s="48">
        <f ca="1">IFERROR(__xludf.DUMMYFUNCTION("""COMPUTED_VALUE"""),18000)</f>
        <v>18000</v>
      </c>
      <c r="M186" s="48"/>
      <c r="N186" s="48" t="str">
        <f ca="1">IFERROR(__xludf.DUMMYFUNCTION("""COMPUTED_VALUE"""),"10 1 02 60330")</f>
        <v>10 1 02 60330</v>
      </c>
      <c r="O186" s="48">
        <f ca="1">IFERROR(__xludf.DUMMYFUNCTION("""COMPUTED_VALUE"""),520)</f>
        <v>520</v>
      </c>
      <c r="P186" s="24">
        <f t="shared" ref="P186:T186" si="192">SUM(V186,AB186,AH186,AN186,AT186,AZ186,BF186)</f>
        <v>9900</v>
      </c>
      <c r="Q186" s="24">
        <f t="shared" si="192"/>
        <v>0</v>
      </c>
      <c r="R186" s="24">
        <f t="shared" si="192"/>
        <v>7485</v>
      </c>
      <c r="S186" s="24">
        <f t="shared" si="192"/>
        <v>0</v>
      </c>
      <c r="T186" s="24">
        <f t="shared" si="192"/>
        <v>2415</v>
      </c>
      <c r="U186" s="20"/>
      <c r="V186" s="24"/>
      <c r="W186" s="24"/>
      <c r="X186" s="24"/>
      <c r="Y186" s="24"/>
      <c r="Z186" s="24"/>
      <c r="AA186" s="24"/>
      <c r="AB186" s="24"/>
      <c r="AC186" s="50"/>
      <c r="AD186" s="50"/>
      <c r="AE186" s="50"/>
      <c r="AF186" s="50"/>
      <c r="AG186" s="50"/>
      <c r="AH186" s="50">
        <f t="shared" si="2"/>
        <v>9900</v>
      </c>
      <c r="AI186" s="50">
        <v>0</v>
      </c>
      <c r="AJ186" s="50">
        <v>7485</v>
      </c>
      <c r="AK186" s="50">
        <v>0</v>
      </c>
      <c r="AL186" s="50">
        <v>2415</v>
      </c>
      <c r="AM186" s="50"/>
      <c r="AN186" s="24">
        <f t="shared" si="3"/>
        <v>0</v>
      </c>
      <c r="AO186" s="50">
        <v>0</v>
      </c>
      <c r="AP186" s="50">
        <v>0</v>
      </c>
      <c r="AQ186" s="50">
        <v>0</v>
      </c>
      <c r="AR186" s="50">
        <v>0</v>
      </c>
      <c r="AS186" s="50"/>
      <c r="AT186" s="50">
        <f t="shared" si="4"/>
        <v>0</v>
      </c>
      <c r="AU186" s="50">
        <v>0</v>
      </c>
      <c r="AV186" s="50">
        <v>0</v>
      </c>
      <c r="AW186" s="50">
        <v>0</v>
      </c>
      <c r="AX186" s="50">
        <v>0</v>
      </c>
      <c r="AY186" s="50"/>
      <c r="AZ186" s="50">
        <f t="shared" si="133"/>
        <v>0</v>
      </c>
      <c r="BA186" s="50">
        <v>0</v>
      </c>
      <c r="BB186" s="50">
        <v>0</v>
      </c>
      <c r="BC186" s="50">
        <v>0</v>
      </c>
      <c r="BD186" s="50">
        <v>0</v>
      </c>
      <c r="BE186" s="50"/>
      <c r="BF186" s="50">
        <f t="shared" si="6"/>
        <v>0</v>
      </c>
      <c r="BG186" s="50">
        <v>0</v>
      </c>
      <c r="BH186" s="50">
        <v>0</v>
      </c>
      <c r="BI186" s="50">
        <v>0</v>
      </c>
      <c r="BJ186" s="50">
        <v>0</v>
      </c>
      <c r="BK186" s="50"/>
      <c r="BL186" s="20"/>
    </row>
    <row r="187" spans="1:64" ht="96" x14ac:dyDescent="0.2">
      <c r="A187" s="69">
        <v>183</v>
      </c>
      <c r="B187" s="48" t="str">
        <f ca="1">IFERROR(__xludf.DUMMYFUNCTION("""COMPUTED_VALUE"""),"г.о. Рузский")</f>
        <v>г.о. Рузский</v>
      </c>
      <c r="C18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7" s="52" t="str">
        <f ca="1">IFERROR(__xludf.DUMMYFUNCTION("""COMPUTED_VALUE"""),"МинЖКХ")</f>
        <v>МинЖКХ</v>
      </c>
      <c r="E187" s="45" t="s">
        <v>242</v>
      </c>
      <c r="F187" s="46" t="str">
        <f ca="1">IFERROR(__xludf.DUMMYFUNCTION("""COMPUTED_VALUE"""),"ВЗУ")</f>
        <v>ВЗУ</v>
      </c>
      <c r="G187" s="46">
        <f ca="1">IFERROR(__xludf.DUMMYFUNCTION("""COMPUTED_VALUE"""),2020)</f>
        <v>2020</v>
      </c>
      <c r="H187" s="48" t="str">
        <f ca="1">IFERROR(__xludf.DUMMYFUNCTION("""COMPUTED_VALUE"""),"ЗАВЕРШЕНО")</f>
        <v>ЗАВЕРШЕНО</v>
      </c>
      <c r="I187" s="48" t="str">
        <f ca="1">IFERROR(__xludf.DUMMYFUNCTION("""COMPUTED_VALUE"""),"Приобретение, монтаж")</f>
        <v>Приобретение, монтаж</v>
      </c>
      <c r="J187" s="70">
        <f ca="1">IFERROR(__xludf.DUMMYFUNCTION("""COMPUTED_VALUE"""),1)</f>
        <v>1</v>
      </c>
      <c r="K187" s="48">
        <f ca="1">IFERROR(__xludf.DUMMYFUNCTION("""COMPUTED_VALUE"""),696)</f>
        <v>696</v>
      </c>
      <c r="L187" s="48">
        <f ca="1">IFERROR(__xludf.DUMMYFUNCTION("""COMPUTED_VALUE"""),696)</f>
        <v>696</v>
      </c>
      <c r="M187" s="48"/>
      <c r="N187" s="48" t="str">
        <f ca="1">IFERROR(__xludf.DUMMYFUNCTION("""COMPUTED_VALUE"""),"10 1 02 60330")</f>
        <v>10 1 02 60330</v>
      </c>
      <c r="O187" s="48">
        <f ca="1">IFERROR(__xludf.DUMMYFUNCTION("""COMPUTED_VALUE"""),520)</f>
        <v>520</v>
      </c>
      <c r="P187" s="24">
        <f t="shared" ref="P187:T187" si="193">SUM(V187,AB187,AH187,AN187,AT187,AZ187,BF187)</f>
        <v>2489</v>
      </c>
      <c r="Q187" s="24">
        <f t="shared" si="193"/>
        <v>0</v>
      </c>
      <c r="R187" s="24">
        <f t="shared" si="193"/>
        <v>1874.22</v>
      </c>
      <c r="S187" s="24">
        <f t="shared" si="193"/>
        <v>0</v>
      </c>
      <c r="T187" s="24">
        <f t="shared" si="193"/>
        <v>614.78</v>
      </c>
      <c r="U187" s="20"/>
      <c r="V187" s="24"/>
      <c r="W187" s="24"/>
      <c r="X187" s="24"/>
      <c r="Y187" s="24"/>
      <c r="Z187" s="24"/>
      <c r="AA187" s="24"/>
      <c r="AB187" s="24"/>
      <c r="AC187" s="50"/>
      <c r="AD187" s="50"/>
      <c r="AE187" s="50"/>
      <c r="AF187" s="50"/>
      <c r="AG187" s="50"/>
      <c r="AH187" s="50">
        <f t="shared" si="2"/>
        <v>2489</v>
      </c>
      <c r="AI187" s="50">
        <v>0</v>
      </c>
      <c r="AJ187" s="50">
        <v>1874.22</v>
      </c>
      <c r="AK187" s="50">
        <v>0</v>
      </c>
      <c r="AL187" s="50">
        <v>614.78</v>
      </c>
      <c r="AM187" s="50"/>
      <c r="AN187" s="24">
        <f t="shared" si="3"/>
        <v>0</v>
      </c>
      <c r="AO187" s="50">
        <v>0</v>
      </c>
      <c r="AP187" s="50">
        <v>0</v>
      </c>
      <c r="AQ187" s="50">
        <v>0</v>
      </c>
      <c r="AR187" s="50">
        <v>0</v>
      </c>
      <c r="AS187" s="50"/>
      <c r="AT187" s="50">
        <f t="shared" si="4"/>
        <v>0</v>
      </c>
      <c r="AU187" s="50">
        <v>0</v>
      </c>
      <c r="AV187" s="50">
        <v>0</v>
      </c>
      <c r="AW187" s="50">
        <v>0</v>
      </c>
      <c r="AX187" s="50">
        <v>0</v>
      </c>
      <c r="AY187" s="50"/>
      <c r="AZ187" s="50">
        <f t="shared" si="133"/>
        <v>0</v>
      </c>
      <c r="BA187" s="50">
        <v>0</v>
      </c>
      <c r="BB187" s="50">
        <v>0</v>
      </c>
      <c r="BC187" s="50">
        <v>0</v>
      </c>
      <c r="BD187" s="50">
        <v>0</v>
      </c>
      <c r="BE187" s="50"/>
      <c r="BF187" s="50">
        <f t="shared" si="6"/>
        <v>0</v>
      </c>
      <c r="BG187" s="50">
        <v>0</v>
      </c>
      <c r="BH187" s="50">
        <v>0</v>
      </c>
      <c r="BI187" s="50">
        <v>0</v>
      </c>
      <c r="BJ187" s="50">
        <v>0</v>
      </c>
      <c r="BK187" s="50"/>
      <c r="BL187" s="20"/>
    </row>
    <row r="188" spans="1:64" ht="96" x14ac:dyDescent="0.2">
      <c r="A188" s="69">
        <v>184</v>
      </c>
      <c r="B188" s="48" t="str">
        <f ca="1">IFERROR(__xludf.DUMMYFUNCTION("""COMPUTED_VALUE"""),"г.о. Рузский")</f>
        <v>г.о. Рузский</v>
      </c>
      <c r="C18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8" s="52" t="str">
        <f ca="1">IFERROR(__xludf.DUMMYFUNCTION("""COMPUTED_VALUE"""),"МинЖКХ")</f>
        <v>МинЖКХ</v>
      </c>
      <c r="E188" s="45" t="s">
        <v>243</v>
      </c>
      <c r="F188" s="46" t="str">
        <f ca="1">IFERROR(__xludf.DUMMYFUNCTION("""COMPUTED_VALUE"""),"ВЗУ")</f>
        <v>ВЗУ</v>
      </c>
      <c r="G188" s="46">
        <f ca="1">IFERROR(__xludf.DUMMYFUNCTION("""COMPUTED_VALUE"""),2020)</f>
        <v>2020</v>
      </c>
      <c r="H188" s="48" t="str">
        <f ca="1">IFERROR(__xludf.DUMMYFUNCTION("""COMPUTED_VALUE"""),"ЗАВЕРШЕНО")</f>
        <v>ЗАВЕРШЕНО</v>
      </c>
      <c r="I188" s="48" t="str">
        <f ca="1">IFERROR(__xludf.DUMMYFUNCTION("""COMPUTED_VALUE"""),"Приобретение, монтаж")</f>
        <v>Приобретение, монтаж</v>
      </c>
      <c r="J188" s="70">
        <f ca="1">IFERROR(__xludf.DUMMYFUNCTION("""COMPUTED_VALUE"""),1)</f>
        <v>1</v>
      </c>
      <c r="K188" s="48">
        <f ca="1">IFERROR(__xludf.DUMMYFUNCTION("""COMPUTED_VALUE"""),685)</f>
        <v>685</v>
      </c>
      <c r="L188" s="48">
        <f ca="1">IFERROR(__xludf.DUMMYFUNCTION("""COMPUTED_VALUE"""),685)</f>
        <v>685</v>
      </c>
      <c r="M188" s="48"/>
      <c r="N188" s="48" t="str">
        <f ca="1">IFERROR(__xludf.DUMMYFUNCTION("""COMPUTED_VALUE"""),"10 1 02 60330")</f>
        <v>10 1 02 60330</v>
      </c>
      <c r="O188" s="48">
        <f ca="1">IFERROR(__xludf.DUMMYFUNCTION("""COMPUTED_VALUE"""),520)</f>
        <v>520</v>
      </c>
      <c r="P188" s="24">
        <f t="shared" ref="P188:T188" si="194">SUM(V188,AB188,AH188,AN188,AT188,AZ188,BF188)</f>
        <v>2448.5299999999997</v>
      </c>
      <c r="Q188" s="24">
        <f t="shared" si="194"/>
        <v>0</v>
      </c>
      <c r="R188" s="24">
        <f t="shared" si="194"/>
        <v>1843.74</v>
      </c>
      <c r="S188" s="24">
        <f t="shared" si="194"/>
        <v>0</v>
      </c>
      <c r="T188" s="24">
        <f t="shared" si="194"/>
        <v>604.79</v>
      </c>
      <c r="U188" s="20"/>
      <c r="V188" s="24"/>
      <c r="W188" s="24"/>
      <c r="X188" s="24"/>
      <c r="Y188" s="24"/>
      <c r="Z188" s="24"/>
      <c r="AA188" s="24"/>
      <c r="AB188" s="24"/>
      <c r="AC188" s="50"/>
      <c r="AD188" s="50"/>
      <c r="AE188" s="50"/>
      <c r="AF188" s="50"/>
      <c r="AG188" s="50"/>
      <c r="AH188" s="50">
        <f t="shared" si="2"/>
        <v>2448.5299999999997</v>
      </c>
      <c r="AI188" s="50">
        <v>0</v>
      </c>
      <c r="AJ188" s="50">
        <v>1843.74</v>
      </c>
      <c r="AK188" s="50">
        <v>0</v>
      </c>
      <c r="AL188" s="50">
        <v>604.79</v>
      </c>
      <c r="AM188" s="50"/>
      <c r="AN188" s="24">
        <f t="shared" si="3"/>
        <v>0</v>
      </c>
      <c r="AO188" s="50">
        <v>0</v>
      </c>
      <c r="AP188" s="50">
        <v>0</v>
      </c>
      <c r="AQ188" s="50">
        <v>0</v>
      </c>
      <c r="AR188" s="50">
        <v>0</v>
      </c>
      <c r="AS188" s="50"/>
      <c r="AT188" s="50">
        <f t="shared" si="4"/>
        <v>0</v>
      </c>
      <c r="AU188" s="50">
        <v>0</v>
      </c>
      <c r="AV188" s="50">
        <v>0</v>
      </c>
      <c r="AW188" s="50">
        <v>0</v>
      </c>
      <c r="AX188" s="50">
        <v>0</v>
      </c>
      <c r="AY188" s="50"/>
      <c r="AZ188" s="50">
        <f t="shared" si="133"/>
        <v>0</v>
      </c>
      <c r="BA188" s="50">
        <v>0</v>
      </c>
      <c r="BB188" s="50">
        <v>0</v>
      </c>
      <c r="BC188" s="50">
        <v>0</v>
      </c>
      <c r="BD188" s="50">
        <v>0</v>
      </c>
      <c r="BE188" s="50"/>
      <c r="BF188" s="50">
        <f t="shared" si="6"/>
        <v>0</v>
      </c>
      <c r="BG188" s="50">
        <v>0</v>
      </c>
      <c r="BH188" s="50">
        <v>0</v>
      </c>
      <c r="BI188" s="50">
        <v>0</v>
      </c>
      <c r="BJ188" s="50">
        <v>0</v>
      </c>
      <c r="BK188" s="50"/>
      <c r="BL188" s="20"/>
    </row>
    <row r="189" spans="1:64" ht="96" x14ac:dyDescent="0.2">
      <c r="A189" s="69">
        <v>185</v>
      </c>
      <c r="B189" s="48" t="str">
        <f ca="1">IFERROR(__xludf.DUMMYFUNCTION("""COMPUTED_VALUE"""),"г.о. Рузский")</f>
        <v>г.о. Рузский</v>
      </c>
      <c r="C18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89" s="52" t="str">
        <f ca="1">IFERROR(__xludf.DUMMYFUNCTION("""COMPUTED_VALUE"""),"МинЖКХ")</f>
        <v>МинЖКХ</v>
      </c>
      <c r="E189" s="45" t="s">
        <v>244</v>
      </c>
      <c r="F189" s="46" t="str">
        <f ca="1">IFERROR(__xludf.DUMMYFUNCTION("""COMPUTED_VALUE"""),"ВЗУ")</f>
        <v>ВЗУ</v>
      </c>
      <c r="G189" s="46">
        <f ca="1">IFERROR(__xludf.DUMMYFUNCTION("""COMPUTED_VALUE"""),2021)</f>
        <v>2021</v>
      </c>
      <c r="H189" s="48"/>
      <c r="I189" s="48" t="str">
        <f ca="1">IFERROR(__xludf.DUMMYFUNCTION("""COMPUTED_VALUE"""),"Приобретение, монтаж")</f>
        <v>Приобретение, монтаж</v>
      </c>
      <c r="J189" s="48"/>
      <c r="K189" s="48"/>
      <c r="L189" s="48"/>
      <c r="M189" s="48"/>
      <c r="N189" s="48" t="str">
        <f ca="1">IFERROR(__xludf.DUMMYFUNCTION("""COMPUTED_VALUE"""),"10 1 02 60330")</f>
        <v>10 1 02 60330</v>
      </c>
      <c r="O189" s="48">
        <f ca="1">IFERROR(__xludf.DUMMYFUNCTION("""COMPUTED_VALUE"""),520)</f>
        <v>520</v>
      </c>
      <c r="P189" s="24">
        <f t="shared" ref="P189:T189" si="195">SUM(V189,AB189,AH189,AN189,AT189,AZ189,BF189)</f>
        <v>2200</v>
      </c>
      <c r="Q189" s="24">
        <f t="shared" si="195"/>
        <v>0</v>
      </c>
      <c r="R189" s="24">
        <f t="shared" si="195"/>
        <v>1656.6</v>
      </c>
      <c r="S189" s="24">
        <f t="shared" si="195"/>
        <v>0</v>
      </c>
      <c r="T189" s="24">
        <f t="shared" si="195"/>
        <v>543.4</v>
      </c>
      <c r="U189" s="20"/>
      <c r="V189" s="24"/>
      <c r="W189" s="24"/>
      <c r="X189" s="24"/>
      <c r="Y189" s="24"/>
      <c r="Z189" s="24"/>
      <c r="AA189" s="24"/>
      <c r="AB189" s="24"/>
      <c r="AC189" s="50"/>
      <c r="AD189" s="50"/>
      <c r="AE189" s="50"/>
      <c r="AF189" s="50"/>
      <c r="AG189" s="50"/>
      <c r="AH189" s="50">
        <f t="shared" si="2"/>
        <v>0</v>
      </c>
      <c r="AI189" s="50">
        <v>0</v>
      </c>
      <c r="AJ189" s="50">
        <v>0</v>
      </c>
      <c r="AK189" s="50">
        <v>0</v>
      </c>
      <c r="AL189" s="50">
        <v>0</v>
      </c>
      <c r="AM189" s="50"/>
      <c r="AN189" s="24">
        <f t="shared" si="3"/>
        <v>2200</v>
      </c>
      <c r="AO189" s="50">
        <v>0</v>
      </c>
      <c r="AP189" s="50">
        <v>1656.6</v>
      </c>
      <c r="AQ189" s="50">
        <v>0</v>
      </c>
      <c r="AR189" s="50">
        <v>543.4</v>
      </c>
      <c r="AS189" s="50"/>
      <c r="AT189" s="50">
        <f t="shared" si="4"/>
        <v>0</v>
      </c>
      <c r="AU189" s="50">
        <v>0</v>
      </c>
      <c r="AV189" s="50">
        <v>0</v>
      </c>
      <c r="AW189" s="50">
        <v>0</v>
      </c>
      <c r="AX189" s="50">
        <v>0</v>
      </c>
      <c r="AY189" s="50"/>
      <c r="AZ189" s="50">
        <f t="shared" si="133"/>
        <v>0</v>
      </c>
      <c r="BA189" s="50">
        <v>0</v>
      </c>
      <c r="BB189" s="50">
        <v>0</v>
      </c>
      <c r="BC189" s="50">
        <v>0</v>
      </c>
      <c r="BD189" s="50">
        <v>0</v>
      </c>
      <c r="BE189" s="50"/>
      <c r="BF189" s="50">
        <f t="shared" si="6"/>
        <v>0</v>
      </c>
      <c r="BG189" s="50">
        <v>0</v>
      </c>
      <c r="BH189" s="50">
        <v>0</v>
      </c>
      <c r="BI189" s="50">
        <v>0</v>
      </c>
      <c r="BJ189" s="50">
        <v>0</v>
      </c>
      <c r="BK189" s="50"/>
      <c r="BL189" s="20"/>
    </row>
    <row r="190" spans="1:64" ht="96" x14ac:dyDescent="0.2">
      <c r="A190" s="69">
        <v>186</v>
      </c>
      <c r="B190" s="48" t="str">
        <f ca="1">IFERROR(__xludf.DUMMYFUNCTION("""COMPUTED_VALUE"""),"г.о. Рузский")</f>
        <v>г.о. Рузский</v>
      </c>
      <c r="C19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0" s="52" t="str">
        <f ca="1">IFERROR(__xludf.DUMMYFUNCTION("""COMPUTED_VALUE"""),"МинЖКХ")</f>
        <v>МинЖКХ</v>
      </c>
      <c r="E190" s="45" t="s">
        <v>245</v>
      </c>
      <c r="F190" s="46" t="str">
        <f ca="1">IFERROR(__xludf.DUMMYFUNCTION("""COMPUTED_VALUE"""),"ВЗУ")</f>
        <v>ВЗУ</v>
      </c>
      <c r="G190" s="46">
        <f ca="1">IFERROR(__xludf.DUMMYFUNCTION("""COMPUTED_VALUE"""),2021)</f>
        <v>2021</v>
      </c>
      <c r="H190" s="48"/>
      <c r="I190" s="48" t="str">
        <f ca="1">IFERROR(__xludf.DUMMYFUNCTION("""COMPUTED_VALUE"""),"Приобретение, монтаж")</f>
        <v>Приобретение, монтаж</v>
      </c>
      <c r="J190" s="48"/>
      <c r="K190" s="48"/>
      <c r="L190" s="48"/>
      <c r="M190" s="48"/>
      <c r="N190" s="48" t="str">
        <f ca="1">IFERROR(__xludf.DUMMYFUNCTION("""COMPUTED_VALUE"""),"10 1 02 60330")</f>
        <v>10 1 02 60330</v>
      </c>
      <c r="O190" s="48">
        <f ca="1">IFERROR(__xludf.DUMMYFUNCTION("""COMPUTED_VALUE"""),520)</f>
        <v>520</v>
      </c>
      <c r="P190" s="24">
        <f t="shared" ref="P190:T190" si="196">SUM(V190,AB190,AH190,AN190,AT190,AZ190,BF190)</f>
        <v>2206</v>
      </c>
      <c r="Q190" s="24">
        <f t="shared" si="196"/>
        <v>0</v>
      </c>
      <c r="R190" s="24">
        <f t="shared" si="196"/>
        <v>1661.1</v>
      </c>
      <c r="S190" s="24">
        <f t="shared" si="196"/>
        <v>0</v>
      </c>
      <c r="T190" s="24">
        <f t="shared" si="196"/>
        <v>544.9</v>
      </c>
      <c r="U190" s="20"/>
      <c r="V190" s="24"/>
      <c r="W190" s="24"/>
      <c r="X190" s="24"/>
      <c r="Y190" s="24"/>
      <c r="Z190" s="24"/>
      <c r="AA190" s="24"/>
      <c r="AB190" s="24"/>
      <c r="AC190" s="50"/>
      <c r="AD190" s="50"/>
      <c r="AE190" s="50"/>
      <c r="AF190" s="50"/>
      <c r="AG190" s="50"/>
      <c r="AH190" s="50">
        <f t="shared" si="2"/>
        <v>0</v>
      </c>
      <c r="AI190" s="50">
        <v>0</v>
      </c>
      <c r="AJ190" s="50">
        <v>0</v>
      </c>
      <c r="AK190" s="50">
        <v>0</v>
      </c>
      <c r="AL190" s="50">
        <v>0</v>
      </c>
      <c r="AM190" s="50"/>
      <c r="AN190" s="24">
        <f t="shared" si="3"/>
        <v>2206</v>
      </c>
      <c r="AO190" s="50">
        <v>0</v>
      </c>
      <c r="AP190" s="50">
        <v>1661.1</v>
      </c>
      <c r="AQ190" s="50">
        <v>0</v>
      </c>
      <c r="AR190" s="50">
        <v>544.9</v>
      </c>
      <c r="AS190" s="50"/>
      <c r="AT190" s="50">
        <f t="shared" si="4"/>
        <v>0</v>
      </c>
      <c r="AU190" s="50">
        <v>0</v>
      </c>
      <c r="AV190" s="50">
        <v>0</v>
      </c>
      <c r="AW190" s="50">
        <v>0</v>
      </c>
      <c r="AX190" s="50">
        <v>0</v>
      </c>
      <c r="AY190" s="50"/>
      <c r="AZ190" s="50">
        <f t="shared" si="133"/>
        <v>0</v>
      </c>
      <c r="BA190" s="50">
        <v>0</v>
      </c>
      <c r="BB190" s="50">
        <v>0</v>
      </c>
      <c r="BC190" s="50">
        <v>0</v>
      </c>
      <c r="BD190" s="50">
        <v>0</v>
      </c>
      <c r="BE190" s="50"/>
      <c r="BF190" s="50">
        <f t="shared" si="6"/>
        <v>0</v>
      </c>
      <c r="BG190" s="50">
        <v>0</v>
      </c>
      <c r="BH190" s="50">
        <v>0</v>
      </c>
      <c r="BI190" s="50">
        <v>0</v>
      </c>
      <c r="BJ190" s="50">
        <v>0</v>
      </c>
      <c r="BK190" s="50"/>
      <c r="BL190" s="20"/>
    </row>
    <row r="191" spans="1:64" ht="96" x14ac:dyDescent="0.2">
      <c r="A191" s="69">
        <v>187</v>
      </c>
      <c r="B191" s="48" t="str">
        <f ca="1">IFERROR(__xludf.DUMMYFUNCTION("""COMPUTED_VALUE"""),"г.о. Рузский")</f>
        <v>г.о. Рузский</v>
      </c>
      <c r="C19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1" s="52" t="str">
        <f ca="1">IFERROR(__xludf.DUMMYFUNCTION("""COMPUTED_VALUE"""),"МинЖКХ")</f>
        <v>МинЖКХ</v>
      </c>
      <c r="E191" s="45" t="s">
        <v>246</v>
      </c>
      <c r="F191" s="46" t="str">
        <f ca="1">IFERROR(__xludf.DUMMYFUNCTION("""COMPUTED_VALUE"""),"ВЗУ")</f>
        <v>ВЗУ</v>
      </c>
      <c r="G191" s="46">
        <f ca="1">IFERROR(__xludf.DUMMYFUNCTION("""COMPUTED_VALUE"""),2021)</f>
        <v>2021</v>
      </c>
      <c r="H191" s="48"/>
      <c r="I191" s="48" t="str">
        <f ca="1">IFERROR(__xludf.DUMMYFUNCTION("""COMPUTED_VALUE"""),"Приобретение, монтаж")</f>
        <v>Приобретение, монтаж</v>
      </c>
      <c r="J191" s="48"/>
      <c r="K191" s="48"/>
      <c r="L191" s="48"/>
      <c r="M191" s="48"/>
      <c r="N191" s="48" t="str">
        <f ca="1">IFERROR(__xludf.DUMMYFUNCTION("""COMPUTED_VALUE"""),"10 1 02 60330")</f>
        <v>10 1 02 60330</v>
      </c>
      <c r="O191" s="48">
        <f ca="1">IFERROR(__xludf.DUMMYFUNCTION("""COMPUTED_VALUE"""),520)</f>
        <v>520</v>
      </c>
      <c r="P191" s="24">
        <f t="shared" ref="P191:T191" si="197">SUM(V191,AB191,AH191,AN191,AT191,AZ191,BF191)</f>
        <v>2700</v>
      </c>
      <c r="Q191" s="24">
        <f t="shared" si="197"/>
        <v>0</v>
      </c>
      <c r="R191" s="24">
        <f t="shared" si="197"/>
        <v>2033.1</v>
      </c>
      <c r="S191" s="24">
        <f t="shared" si="197"/>
        <v>0</v>
      </c>
      <c r="T191" s="24">
        <f t="shared" si="197"/>
        <v>666.9</v>
      </c>
      <c r="U191" s="20"/>
      <c r="V191" s="24"/>
      <c r="W191" s="24"/>
      <c r="X191" s="24"/>
      <c r="Y191" s="24"/>
      <c r="Z191" s="24"/>
      <c r="AA191" s="24"/>
      <c r="AB191" s="24"/>
      <c r="AC191" s="50"/>
      <c r="AD191" s="50"/>
      <c r="AE191" s="50"/>
      <c r="AF191" s="50"/>
      <c r="AG191" s="50"/>
      <c r="AH191" s="50">
        <f t="shared" si="2"/>
        <v>0</v>
      </c>
      <c r="AI191" s="50">
        <v>0</v>
      </c>
      <c r="AJ191" s="50">
        <v>0</v>
      </c>
      <c r="AK191" s="50">
        <v>0</v>
      </c>
      <c r="AL191" s="50">
        <v>0</v>
      </c>
      <c r="AM191" s="50"/>
      <c r="AN191" s="24">
        <f t="shared" si="3"/>
        <v>2700</v>
      </c>
      <c r="AO191" s="50">
        <v>0</v>
      </c>
      <c r="AP191" s="50">
        <v>2033.1</v>
      </c>
      <c r="AQ191" s="50">
        <v>0</v>
      </c>
      <c r="AR191" s="50">
        <v>666.9</v>
      </c>
      <c r="AS191" s="50"/>
      <c r="AT191" s="50">
        <f t="shared" si="4"/>
        <v>0</v>
      </c>
      <c r="AU191" s="50">
        <v>0</v>
      </c>
      <c r="AV191" s="50">
        <v>0</v>
      </c>
      <c r="AW191" s="50">
        <v>0</v>
      </c>
      <c r="AX191" s="50">
        <v>0</v>
      </c>
      <c r="AY191" s="50"/>
      <c r="AZ191" s="50">
        <f t="shared" si="133"/>
        <v>0</v>
      </c>
      <c r="BA191" s="50">
        <v>0</v>
      </c>
      <c r="BB191" s="50">
        <v>0</v>
      </c>
      <c r="BC191" s="50">
        <v>0</v>
      </c>
      <c r="BD191" s="50">
        <v>0</v>
      </c>
      <c r="BE191" s="50"/>
      <c r="BF191" s="50">
        <f t="shared" si="6"/>
        <v>0</v>
      </c>
      <c r="BG191" s="50">
        <v>0</v>
      </c>
      <c r="BH191" s="50">
        <v>0</v>
      </c>
      <c r="BI191" s="50">
        <v>0</v>
      </c>
      <c r="BJ191" s="50">
        <v>0</v>
      </c>
      <c r="BK191" s="50"/>
      <c r="BL191" s="20"/>
    </row>
    <row r="192" spans="1:64" ht="96" x14ac:dyDescent="0.2">
      <c r="A192" s="69">
        <v>188</v>
      </c>
      <c r="B192" s="48" t="str">
        <f ca="1">IFERROR(__xludf.DUMMYFUNCTION("""COMPUTED_VALUE"""),"г.о. Рузский")</f>
        <v>г.о. Рузский</v>
      </c>
      <c r="C19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2" s="52" t="str">
        <f ca="1">IFERROR(__xludf.DUMMYFUNCTION("""COMPUTED_VALUE"""),"МинЖКХ")</f>
        <v>МинЖКХ</v>
      </c>
      <c r="E192" s="45" t="s">
        <v>247</v>
      </c>
      <c r="F192" s="46" t="str">
        <f ca="1">IFERROR(__xludf.DUMMYFUNCTION("""COMPUTED_VALUE"""),"ВЗУ")</f>
        <v>ВЗУ</v>
      </c>
      <c r="G192" s="46">
        <f ca="1">IFERROR(__xludf.DUMMYFUNCTION("""COMPUTED_VALUE"""),2021)</f>
        <v>2021</v>
      </c>
      <c r="H192" s="48"/>
      <c r="I192" s="48" t="str">
        <f ca="1">IFERROR(__xludf.DUMMYFUNCTION("""COMPUTED_VALUE"""),"Приобретение, монтаж")</f>
        <v>Приобретение, монтаж</v>
      </c>
      <c r="J192" s="48"/>
      <c r="K192" s="48"/>
      <c r="L192" s="48"/>
      <c r="M192" s="48"/>
      <c r="N192" s="48" t="str">
        <f ca="1">IFERROR(__xludf.DUMMYFUNCTION("""COMPUTED_VALUE"""),"10 1 02 60330")</f>
        <v>10 1 02 60330</v>
      </c>
      <c r="O192" s="48">
        <f ca="1">IFERROR(__xludf.DUMMYFUNCTION("""COMPUTED_VALUE"""),520)</f>
        <v>520</v>
      </c>
      <c r="P192" s="24">
        <f t="shared" ref="P192:T192" si="198">SUM(V192,AB192,AH192,AN192,AT192,AZ192,BF192)</f>
        <v>2306</v>
      </c>
      <c r="Q192" s="24">
        <f t="shared" si="198"/>
        <v>0</v>
      </c>
      <c r="R192" s="24">
        <f t="shared" si="198"/>
        <v>1736.4</v>
      </c>
      <c r="S192" s="24">
        <f t="shared" si="198"/>
        <v>0</v>
      </c>
      <c r="T192" s="24">
        <f t="shared" si="198"/>
        <v>569.6</v>
      </c>
      <c r="U192" s="20"/>
      <c r="V192" s="24"/>
      <c r="W192" s="24"/>
      <c r="X192" s="24"/>
      <c r="Y192" s="24"/>
      <c r="Z192" s="24"/>
      <c r="AA192" s="24"/>
      <c r="AB192" s="24"/>
      <c r="AC192" s="50"/>
      <c r="AD192" s="50"/>
      <c r="AE192" s="50"/>
      <c r="AF192" s="50"/>
      <c r="AG192" s="50"/>
      <c r="AH192" s="50">
        <f t="shared" si="2"/>
        <v>0</v>
      </c>
      <c r="AI192" s="50">
        <v>0</v>
      </c>
      <c r="AJ192" s="50">
        <v>0</v>
      </c>
      <c r="AK192" s="50">
        <v>0</v>
      </c>
      <c r="AL192" s="50">
        <v>0</v>
      </c>
      <c r="AM192" s="50"/>
      <c r="AN192" s="24">
        <f t="shared" si="3"/>
        <v>2306</v>
      </c>
      <c r="AO192" s="50">
        <v>0</v>
      </c>
      <c r="AP192" s="50">
        <v>1736.4</v>
      </c>
      <c r="AQ192" s="50">
        <v>0</v>
      </c>
      <c r="AR192" s="50">
        <v>569.6</v>
      </c>
      <c r="AS192" s="50"/>
      <c r="AT192" s="50">
        <f t="shared" si="4"/>
        <v>0</v>
      </c>
      <c r="AU192" s="50">
        <v>0</v>
      </c>
      <c r="AV192" s="50">
        <v>0</v>
      </c>
      <c r="AW192" s="50">
        <v>0</v>
      </c>
      <c r="AX192" s="50">
        <v>0</v>
      </c>
      <c r="AY192" s="50"/>
      <c r="AZ192" s="50">
        <f t="shared" si="133"/>
        <v>0</v>
      </c>
      <c r="BA192" s="50">
        <v>0</v>
      </c>
      <c r="BB192" s="50">
        <v>0</v>
      </c>
      <c r="BC192" s="50">
        <v>0</v>
      </c>
      <c r="BD192" s="50">
        <v>0</v>
      </c>
      <c r="BE192" s="50"/>
      <c r="BF192" s="50">
        <f t="shared" si="6"/>
        <v>0</v>
      </c>
      <c r="BG192" s="50">
        <v>0</v>
      </c>
      <c r="BH192" s="50">
        <v>0</v>
      </c>
      <c r="BI192" s="50">
        <v>0</v>
      </c>
      <c r="BJ192" s="50">
        <v>0</v>
      </c>
      <c r="BK192" s="50"/>
      <c r="BL192" s="20"/>
    </row>
    <row r="193" spans="1:64" ht="96" x14ac:dyDescent="0.2">
      <c r="A193" s="69">
        <v>189</v>
      </c>
      <c r="B193" s="48" t="str">
        <f ca="1">IFERROR(__xludf.DUMMYFUNCTION("""COMPUTED_VALUE"""),"г.о. Рузский")</f>
        <v>г.о. Рузский</v>
      </c>
      <c r="C19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3" s="52" t="str">
        <f ca="1">IFERROR(__xludf.DUMMYFUNCTION("""COMPUTED_VALUE"""),"МинЖКХ")</f>
        <v>МинЖКХ</v>
      </c>
      <c r="E193" s="45" t="s">
        <v>248</v>
      </c>
      <c r="F193" s="46" t="str">
        <f ca="1">IFERROR(__xludf.DUMMYFUNCTION("""COMPUTED_VALUE"""),"ВЗУ")</f>
        <v>ВЗУ</v>
      </c>
      <c r="G193" s="46">
        <f ca="1">IFERROR(__xludf.DUMMYFUNCTION("""COMPUTED_VALUE"""),2020)</f>
        <v>2020</v>
      </c>
      <c r="H193" s="48" t="str">
        <f ca="1">IFERROR(__xludf.DUMMYFUNCTION("""COMPUTED_VALUE"""),"ЗАВЕРШЕНО")</f>
        <v>ЗАВЕРШЕНО</v>
      </c>
      <c r="I193" s="48" t="str">
        <f ca="1">IFERROR(__xludf.DUMMYFUNCTION("""COMPUTED_VALUE"""),"Приобретение, монтаж")</f>
        <v>Приобретение, монтаж</v>
      </c>
      <c r="J193" s="70">
        <f ca="1">IFERROR(__xludf.DUMMYFUNCTION("""COMPUTED_VALUE"""),1)</f>
        <v>1</v>
      </c>
      <c r="K193" s="48">
        <f ca="1">IFERROR(__xludf.DUMMYFUNCTION("""COMPUTED_VALUE"""),57)</f>
        <v>57</v>
      </c>
      <c r="L193" s="48">
        <f ca="1">IFERROR(__xludf.DUMMYFUNCTION("""COMPUTED_VALUE"""),57)</f>
        <v>57</v>
      </c>
      <c r="M193" s="48"/>
      <c r="N193" s="48" t="str">
        <f ca="1">IFERROR(__xludf.DUMMYFUNCTION("""COMPUTED_VALUE"""),"10 1 02 60330")</f>
        <v>10 1 02 60330</v>
      </c>
      <c r="O193" s="48">
        <f ca="1">IFERROR(__xludf.DUMMYFUNCTION("""COMPUTED_VALUE"""),520)</f>
        <v>520</v>
      </c>
      <c r="P193" s="24">
        <f t="shared" ref="P193:T193" si="199">SUM(V193,AB193,AH193,AN193,AT193,AZ193,BF193)</f>
        <v>793.25</v>
      </c>
      <c r="Q193" s="24">
        <f t="shared" si="199"/>
        <v>0</v>
      </c>
      <c r="R193" s="24">
        <f t="shared" si="199"/>
        <v>597.41999999999996</v>
      </c>
      <c r="S193" s="24">
        <f t="shared" si="199"/>
        <v>0</v>
      </c>
      <c r="T193" s="24">
        <f t="shared" si="199"/>
        <v>195.83</v>
      </c>
      <c r="U193" s="20"/>
      <c r="V193" s="24"/>
      <c r="W193" s="24"/>
      <c r="X193" s="24"/>
      <c r="Y193" s="24"/>
      <c r="Z193" s="24"/>
      <c r="AA193" s="24"/>
      <c r="AB193" s="24"/>
      <c r="AC193" s="50"/>
      <c r="AD193" s="50"/>
      <c r="AE193" s="50"/>
      <c r="AF193" s="50"/>
      <c r="AG193" s="50"/>
      <c r="AH193" s="50">
        <f t="shared" si="2"/>
        <v>793.25</v>
      </c>
      <c r="AI193" s="50">
        <v>0</v>
      </c>
      <c r="AJ193" s="50">
        <v>597.41999999999996</v>
      </c>
      <c r="AK193" s="50">
        <v>0</v>
      </c>
      <c r="AL193" s="50">
        <v>195.83</v>
      </c>
      <c r="AM193" s="50"/>
      <c r="AN193" s="24">
        <f t="shared" si="3"/>
        <v>0</v>
      </c>
      <c r="AO193" s="50">
        <v>0</v>
      </c>
      <c r="AP193" s="50">
        <v>0</v>
      </c>
      <c r="AQ193" s="50">
        <v>0</v>
      </c>
      <c r="AR193" s="50">
        <v>0</v>
      </c>
      <c r="AS193" s="50"/>
      <c r="AT193" s="50">
        <f t="shared" si="4"/>
        <v>0</v>
      </c>
      <c r="AU193" s="50">
        <v>0</v>
      </c>
      <c r="AV193" s="50">
        <v>0</v>
      </c>
      <c r="AW193" s="50">
        <v>0</v>
      </c>
      <c r="AX193" s="50">
        <v>0</v>
      </c>
      <c r="AY193" s="50"/>
      <c r="AZ193" s="50">
        <f t="shared" si="133"/>
        <v>0</v>
      </c>
      <c r="BA193" s="50">
        <v>0</v>
      </c>
      <c r="BB193" s="50">
        <v>0</v>
      </c>
      <c r="BC193" s="50">
        <v>0</v>
      </c>
      <c r="BD193" s="50">
        <v>0</v>
      </c>
      <c r="BE193" s="50"/>
      <c r="BF193" s="50">
        <f t="shared" si="6"/>
        <v>0</v>
      </c>
      <c r="BG193" s="50">
        <v>0</v>
      </c>
      <c r="BH193" s="50">
        <v>0</v>
      </c>
      <c r="BI193" s="50">
        <v>0</v>
      </c>
      <c r="BJ193" s="50">
        <v>0</v>
      </c>
      <c r="BK193" s="50"/>
      <c r="BL193" s="20"/>
    </row>
    <row r="194" spans="1:64" ht="96" x14ac:dyDescent="0.2">
      <c r="A194" s="69">
        <v>190</v>
      </c>
      <c r="B194" s="48" t="str">
        <f ca="1">IFERROR(__xludf.DUMMYFUNCTION("""COMPUTED_VALUE"""),"г.о. Рузский")</f>
        <v>г.о. Рузский</v>
      </c>
      <c r="C19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4" s="52" t="str">
        <f ca="1">IFERROR(__xludf.DUMMYFUNCTION("""COMPUTED_VALUE"""),"МинЖКХ")</f>
        <v>МинЖКХ</v>
      </c>
      <c r="E194" s="45" t="s">
        <v>249</v>
      </c>
      <c r="F194" s="46" t="str">
        <f ca="1">IFERROR(__xludf.DUMMYFUNCTION("""COMPUTED_VALUE"""),"ВЗУ")</f>
        <v>ВЗУ</v>
      </c>
      <c r="G194" s="46">
        <f ca="1">IFERROR(__xludf.DUMMYFUNCTION("""COMPUTED_VALUE"""),2020)</f>
        <v>2020</v>
      </c>
      <c r="H194" s="48" t="str">
        <f ca="1">IFERROR(__xludf.DUMMYFUNCTION("""COMPUTED_VALUE"""),"Монтаж станций водоочистки осуществлен, станции не введены в эксплуатацию. Заказчиком ведется претензионная работа.")</f>
        <v>Монтаж станций водоочистки осуществлен, станции не введены в эксплуатацию. Заказчиком ведется претензионная работа.</v>
      </c>
      <c r="I194" s="48" t="str">
        <f ca="1">IFERROR(__xludf.DUMMYFUNCTION("""COMPUTED_VALUE"""),"Приобретение, монтаж")</f>
        <v>Приобретение, монтаж</v>
      </c>
      <c r="J194" s="70">
        <f ca="1">IFERROR(__xludf.DUMMYFUNCTION("""COMPUTED_VALUE"""),0.9)</f>
        <v>0.9</v>
      </c>
      <c r="K194" s="48">
        <f ca="1">IFERROR(__xludf.DUMMYFUNCTION("""COMPUTED_VALUE"""),142)</f>
        <v>142</v>
      </c>
      <c r="L194" s="48">
        <f ca="1">IFERROR(__xludf.DUMMYFUNCTION("""COMPUTED_VALUE"""),142)</f>
        <v>142</v>
      </c>
      <c r="M194" s="48"/>
      <c r="N194" s="48" t="str">
        <f ca="1">IFERROR(__xludf.DUMMYFUNCTION("""COMPUTED_VALUE"""),"10 1 02 60330")</f>
        <v>10 1 02 60330</v>
      </c>
      <c r="O194" s="48">
        <f ca="1">IFERROR(__xludf.DUMMYFUNCTION("""COMPUTED_VALUE"""),520)</f>
        <v>520</v>
      </c>
      <c r="P194" s="24">
        <f t="shared" ref="P194:T194" si="200">SUM(V194,AB194,AH194,AN194,AT194,AZ194,BF194)</f>
        <v>2326.0300000000002</v>
      </c>
      <c r="Q194" s="24">
        <f t="shared" si="200"/>
        <v>0</v>
      </c>
      <c r="R194" s="24">
        <f t="shared" si="200"/>
        <v>1752.42</v>
      </c>
      <c r="S194" s="24">
        <f t="shared" si="200"/>
        <v>0</v>
      </c>
      <c r="T194" s="24">
        <f t="shared" si="200"/>
        <v>573.61</v>
      </c>
      <c r="U194" s="20"/>
      <c r="V194" s="24"/>
      <c r="W194" s="24"/>
      <c r="X194" s="24"/>
      <c r="Y194" s="24"/>
      <c r="Z194" s="24"/>
      <c r="AA194" s="24"/>
      <c r="AB194" s="24"/>
      <c r="AC194" s="50"/>
      <c r="AD194" s="50"/>
      <c r="AE194" s="50"/>
      <c r="AF194" s="50"/>
      <c r="AG194" s="50"/>
      <c r="AH194" s="50">
        <f t="shared" si="2"/>
        <v>2326.0300000000002</v>
      </c>
      <c r="AI194" s="50">
        <v>0</v>
      </c>
      <c r="AJ194" s="50">
        <v>1752.42</v>
      </c>
      <c r="AK194" s="50">
        <v>0</v>
      </c>
      <c r="AL194" s="50">
        <v>573.61</v>
      </c>
      <c r="AM194" s="50"/>
      <c r="AN194" s="24">
        <f t="shared" si="3"/>
        <v>0</v>
      </c>
      <c r="AO194" s="50">
        <v>0</v>
      </c>
      <c r="AP194" s="50">
        <v>0</v>
      </c>
      <c r="AQ194" s="50">
        <v>0</v>
      </c>
      <c r="AR194" s="50">
        <v>0</v>
      </c>
      <c r="AS194" s="50"/>
      <c r="AT194" s="50">
        <f t="shared" si="4"/>
        <v>0</v>
      </c>
      <c r="AU194" s="50">
        <v>0</v>
      </c>
      <c r="AV194" s="50">
        <v>0</v>
      </c>
      <c r="AW194" s="50">
        <v>0</v>
      </c>
      <c r="AX194" s="50">
        <v>0</v>
      </c>
      <c r="AY194" s="50"/>
      <c r="AZ194" s="50">
        <f t="shared" si="133"/>
        <v>0</v>
      </c>
      <c r="BA194" s="50">
        <v>0</v>
      </c>
      <c r="BB194" s="50">
        <v>0</v>
      </c>
      <c r="BC194" s="50">
        <v>0</v>
      </c>
      <c r="BD194" s="50">
        <v>0</v>
      </c>
      <c r="BE194" s="50"/>
      <c r="BF194" s="50">
        <f t="shared" si="6"/>
        <v>0</v>
      </c>
      <c r="BG194" s="50">
        <v>0</v>
      </c>
      <c r="BH194" s="50">
        <v>0</v>
      </c>
      <c r="BI194" s="50">
        <v>0</v>
      </c>
      <c r="BJ194" s="50">
        <v>0</v>
      </c>
      <c r="BK194" s="50"/>
      <c r="BL194" s="20"/>
    </row>
    <row r="195" spans="1:64" ht="96" x14ac:dyDescent="0.2">
      <c r="A195" s="69">
        <v>191</v>
      </c>
      <c r="B195" s="48" t="str">
        <f ca="1">IFERROR(__xludf.DUMMYFUNCTION("""COMPUTED_VALUE"""),"г.о. Рузский")</f>
        <v>г.о. Рузский</v>
      </c>
      <c r="C19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5" s="52" t="str">
        <f ca="1">IFERROR(__xludf.DUMMYFUNCTION("""COMPUTED_VALUE"""),"МинЖКХ")</f>
        <v>МинЖКХ</v>
      </c>
      <c r="E195" s="45" t="s">
        <v>250</v>
      </c>
      <c r="F195" s="46" t="str">
        <f ca="1">IFERROR(__xludf.DUMMYFUNCTION("""COMPUTED_VALUE"""),"ВЗУ")</f>
        <v>ВЗУ</v>
      </c>
      <c r="G195" s="46">
        <f ca="1">IFERROR(__xludf.DUMMYFUNCTION("""COMPUTED_VALUE"""),2020)</f>
        <v>2020</v>
      </c>
      <c r="H195" s="48" t="str">
        <f ca="1">IFERROR(__xludf.DUMMYFUNCTION("""COMPUTED_VALUE"""),"Монтаж станций водоочистки осуществлен, станции не введены в эксплуатацию. Заказчиком ведется претензионная работа.")</f>
        <v>Монтаж станций водоочистки осуществлен, станции не введены в эксплуатацию. Заказчиком ведется претензионная работа.</v>
      </c>
      <c r="I195" s="48" t="str">
        <f ca="1">IFERROR(__xludf.DUMMYFUNCTION("""COMPUTED_VALUE"""),"Приобретение, монтаж")</f>
        <v>Приобретение, монтаж</v>
      </c>
      <c r="J195" s="70">
        <f ca="1">IFERROR(__xludf.DUMMYFUNCTION("""COMPUTED_VALUE"""),0.9)</f>
        <v>0.9</v>
      </c>
      <c r="K195" s="48">
        <f ca="1">IFERROR(__xludf.DUMMYFUNCTION("""COMPUTED_VALUE"""),316)</f>
        <v>316</v>
      </c>
      <c r="L195" s="48">
        <f ca="1">IFERROR(__xludf.DUMMYFUNCTION("""COMPUTED_VALUE"""),316)</f>
        <v>316</v>
      </c>
      <c r="M195" s="48"/>
      <c r="N195" s="48" t="str">
        <f ca="1">IFERROR(__xludf.DUMMYFUNCTION("""COMPUTED_VALUE"""),"10 1 02 60330")</f>
        <v>10 1 02 60330</v>
      </c>
      <c r="O195" s="48">
        <f ca="1">IFERROR(__xludf.DUMMYFUNCTION("""COMPUTED_VALUE"""),520)</f>
        <v>520</v>
      </c>
      <c r="P195" s="24">
        <f t="shared" ref="P195:T195" si="201">SUM(V195,AB195,AH195,AN195,AT195,AZ195,BF195)</f>
        <v>2338.91</v>
      </c>
      <c r="Q195" s="24">
        <f t="shared" si="201"/>
        <v>0</v>
      </c>
      <c r="R195" s="24">
        <f t="shared" si="201"/>
        <v>1761.42</v>
      </c>
      <c r="S195" s="24">
        <f t="shared" si="201"/>
        <v>0</v>
      </c>
      <c r="T195" s="24">
        <f t="shared" si="201"/>
        <v>577.49</v>
      </c>
      <c r="U195" s="20"/>
      <c r="V195" s="24"/>
      <c r="W195" s="24"/>
      <c r="X195" s="24"/>
      <c r="Y195" s="24"/>
      <c r="Z195" s="24"/>
      <c r="AA195" s="24"/>
      <c r="AB195" s="24"/>
      <c r="AC195" s="50"/>
      <c r="AD195" s="50"/>
      <c r="AE195" s="50"/>
      <c r="AF195" s="50"/>
      <c r="AG195" s="50"/>
      <c r="AH195" s="50">
        <f t="shared" si="2"/>
        <v>2338.91</v>
      </c>
      <c r="AI195" s="50">
        <v>0</v>
      </c>
      <c r="AJ195" s="50">
        <v>1761.42</v>
      </c>
      <c r="AK195" s="50">
        <v>0</v>
      </c>
      <c r="AL195" s="50">
        <v>577.49</v>
      </c>
      <c r="AM195" s="50"/>
      <c r="AN195" s="24">
        <f t="shared" si="3"/>
        <v>0</v>
      </c>
      <c r="AO195" s="50">
        <v>0</v>
      </c>
      <c r="AP195" s="50">
        <v>0</v>
      </c>
      <c r="AQ195" s="50">
        <v>0</v>
      </c>
      <c r="AR195" s="50">
        <v>0</v>
      </c>
      <c r="AS195" s="50"/>
      <c r="AT195" s="50">
        <f t="shared" si="4"/>
        <v>0</v>
      </c>
      <c r="AU195" s="50">
        <v>0</v>
      </c>
      <c r="AV195" s="50">
        <v>0</v>
      </c>
      <c r="AW195" s="50">
        <v>0</v>
      </c>
      <c r="AX195" s="50">
        <v>0</v>
      </c>
      <c r="AY195" s="50"/>
      <c r="AZ195" s="50">
        <f t="shared" si="133"/>
        <v>0</v>
      </c>
      <c r="BA195" s="50">
        <v>0</v>
      </c>
      <c r="BB195" s="50">
        <v>0</v>
      </c>
      <c r="BC195" s="50">
        <v>0</v>
      </c>
      <c r="BD195" s="50">
        <v>0</v>
      </c>
      <c r="BE195" s="50"/>
      <c r="BF195" s="50">
        <f t="shared" si="6"/>
        <v>0</v>
      </c>
      <c r="BG195" s="50">
        <v>0</v>
      </c>
      <c r="BH195" s="50">
        <v>0</v>
      </c>
      <c r="BI195" s="50">
        <v>0</v>
      </c>
      <c r="BJ195" s="50">
        <v>0</v>
      </c>
      <c r="BK195" s="50"/>
      <c r="BL195" s="20"/>
    </row>
    <row r="196" spans="1:64" ht="96" x14ac:dyDescent="0.2">
      <c r="A196" s="69">
        <v>192</v>
      </c>
      <c r="B196" s="48" t="str">
        <f ca="1">IFERROR(__xludf.DUMMYFUNCTION("""COMPUTED_VALUE"""),"г.о. Рузский")</f>
        <v>г.о. Рузский</v>
      </c>
      <c r="C19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6" s="52" t="str">
        <f ca="1">IFERROR(__xludf.DUMMYFUNCTION("""COMPUTED_VALUE"""),"МинЖКХ")</f>
        <v>МинЖКХ</v>
      </c>
      <c r="E196" s="45" t="s">
        <v>251</v>
      </c>
      <c r="F196" s="46" t="str">
        <f ca="1">IFERROR(__xludf.DUMMYFUNCTION("""COMPUTED_VALUE"""),"ВЗУ")</f>
        <v>ВЗУ</v>
      </c>
      <c r="G196" s="46">
        <f ca="1">IFERROR(__xludf.DUMMYFUNCTION("""COMPUTED_VALUE"""),2021)</f>
        <v>2021</v>
      </c>
      <c r="H196" s="48"/>
      <c r="I196" s="48" t="str">
        <f ca="1">IFERROR(__xludf.DUMMYFUNCTION("""COMPUTED_VALUE"""),"Приобретение, монтаж")</f>
        <v>Приобретение, монтаж</v>
      </c>
      <c r="J196" s="48"/>
      <c r="K196" s="48"/>
      <c r="L196" s="48"/>
      <c r="M196" s="48"/>
      <c r="N196" s="48" t="str">
        <f ca="1">IFERROR(__xludf.DUMMYFUNCTION("""COMPUTED_VALUE"""),"10 1 02 60330")</f>
        <v>10 1 02 60330</v>
      </c>
      <c r="O196" s="48">
        <f ca="1">IFERROR(__xludf.DUMMYFUNCTION("""COMPUTED_VALUE"""),520)</f>
        <v>520</v>
      </c>
      <c r="P196" s="24">
        <f t="shared" ref="P196:T196" si="202">SUM(V196,AB196,AH196,AN196,AT196,AZ196,BF196)</f>
        <v>2306</v>
      </c>
      <c r="Q196" s="24">
        <f t="shared" si="202"/>
        <v>0</v>
      </c>
      <c r="R196" s="24">
        <f t="shared" si="202"/>
        <v>1736.4</v>
      </c>
      <c r="S196" s="24">
        <f t="shared" si="202"/>
        <v>0</v>
      </c>
      <c r="T196" s="24">
        <f t="shared" si="202"/>
        <v>569.6</v>
      </c>
      <c r="U196" s="20"/>
      <c r="V196" s="24"/>
      <c r="W196" s="24"/>
      <c r="X196" s="24"/>
      <c r="Y196" s="24"/>
      <c r="Z196" s="24"/>
      <c r="AA196" s="24"/>
      <c r="AB196" s="24"/>
      <c r="AC196" s="50"/>
      <c r="AD196" s="50"/>
      <c r="AE196" s="50"/>
      <c r="AF196" s="50"/>
      <c r="AG196" s="50"/>
      <c r="AH196" s="50">
        <f t="shared" si="2"/>
        <v>0</v>
      </c>
      <c r="AI196" s="50">
        <v>0</v>
      </c>
      <c r="AJ196" s="50">
        <v>0</v>
      </c>
      <c r="AK196" s="50">
        <v>0</v>
      </c>
      <c r="AL196" s="50">
        <v>0</v>
      </c>
      <c r="AM196" s="50"/>
      <c r="AN196" s="24">
        <f t="shared" si="3"/>
        <v>2306</v>
      </c>
      <c r="AO196" s="50">
        <v>0</v>
      </c>
      <c r="AP196" s="50">
        <v>1736.4</v>
      </c>
      <c r="AQ196" s="50">
        <v>0</v>
      </c>
      <c r="AR196" s="50">
        <v>569.6</v>
      </c>
      <c r="AS196" s="50"/>
      <c r="AT196" s="50">
        <f t="shared" si="4"/>
        <v>0</v>
      </c>
      <c r="AU196" s="50">
        <v>0</v>
      </c>
      <c r="AV196" s="50">
        <v>0</v>
      </c>
      <c r="AW196" s="50">
        <v>0</v>
      </c>
      <c r="AX196" s="50">
        <v>0</v>
      </c>
      <c r="AY196" s="50"/>
      <c r="AZ196" s="50">
        <f t="shared" si="133"/>
        <v>0</v>
      </c>
      <c r="BA196" s="50">
        <v>0</v>
      </c>
      <c r="BB196" s="50">
        <v>0</v>
      </c>
      <c r="BC196" s="50">
        <v>0</v>
      </c>
      <c r="BD196" s="50">
        <v>0</v>
      </c>
      <c r="BE196" s="50"/>
      <c r="BF196" s="50">
        <f t="shared" si="6"/>
        <v>0</v>
      </c>
      <c r="BG196" s="50">
        <v>0</v>
      </c>
      <c r="BH196" s="50">
        <v>0</v>
      </c>
      <c r="BI196" s="50">
        <v>0</v>
      </c>
      <c r="BJ196" s="50">
        <v>0</v>
      </c>
      <c r="BK196" s="50"/>
      <c r="BL196" s="20"/>
    </row>
    <row r="197" spans="1:64" ht="96" x14ac:dyDescent="0.2">
      <c r="A197" s="69">
        <v>193</v>
      </c>
      <c r="B197" s="48" t="str">
        <f ca="1">IFERROR(__xludf.DUMMYFUNCTION("""COMPUTED_VALUE"""),"г.о. Рузский")</f>
        <v>г.о. Рузский</v>
      </c>
      <c r="C19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7" s="52" t="str">
        <f ca="1">IFERROR(__xludf.DUMMYFUNCTION("""COMPUTED_VALUE"""),"МинЖКХ")</f>
        <v>МинЖКХ</v>
      </c>
      <c r="E197" s="45" t="s">
        <v>252</v>
      </c>
      <c r="F197" s="46" t="str">
        <f ca="1">IFERROR(__xludf.DUMMYFUNCTION("""COMPUTED_VALUE"""),"ВЗУ")</f>
        <v>ВЗУ</v>
      </c>
      <c r="G197" s="46">
        <f ca="1">IFERROR(__xludf.DUMMYFUNCTION("""COMPUTED_VALUE"""),2021)</f>
        <v>2021</v>
      </c>
      <c r="H197" s="48"/>
      <c r="I197" s="48" t="str">
        <f ca="1">IFERROR(__xludf.DUMMYFUNCTION("""COMPUTED_VALUE"""),"Приобретение, монтаж")</f>
        <v>Приобретение, монтаж</v>
      </c>
      <c r="J197" s="48"/>
      <c r="K197" s="48"/>
      <c r="L197" s="48"/>
      <c r="M197" s="48"/>
      <c r="N197" s="48" t="str">
        <f ca="1">IFERROR(__xludf.DUMMYFUNCTION("""COMPUTED_VALUE"""),"10 1 02 60330")</f>
        <v>10 1 02 60330</v>
      </c>
      <c r="O197" s="48">
        <f ca="1">IFERROR(__xludf.DUMMYFUNCTION("""COMPUTED_VALUE"""),520)</f>
        <v>520</v>
      </c>
      <c r="P197" s="24">
        <f t="shared" ref="P197:T197" si="203">SUM(V197,AB197,AH197,AN197,AT197,AZ197,BF197)</f>
        <v>2306</v>
      </c>
      <c r="Q197" s="24">
        <f t="shared" si="203"/>
        <v>0</v>
      </c>
      <c r="R197" s="24">
        <f t="shared" si="203"/>
        <v>1736.4</v>
      </c>
      <c r="S197" s="24">
        <f t="shared" si="203"/>
        <v>0</v>
      </c>
      <c r="T197" s="24">
        <f t="shared" si="203"/>
        <v>569.6</v>
      </c>
      <c r="U197" s="20"/>
      <c r="V197" s="24"/>
      <c r="W197" s="24"/>
      <c r="X197" s="24"/>
      <c r="Y197" s="24"/>
      <c r="Z197" s="24"/>
      <c r="AA197" s="24"/>
      <c r="AB197" s="24"/>
      <c r="AC197" s="50"/>
      <c r="AD197" s="50"/>
      <c r="AE197" s="50"/>
      <c r="AF197" s="50"/>
      <c r="AG197" s="50"/>
      <c r="AH197" s="50">
        <f t="shared" si="2"/>
        <v>0</v>
      </c>
      <c r="AI197" s="50">
        <v>0</v>
      </c>
      <c r="AJ197" s="50">
        <v>0</v>
      </c>
      <c r="AK197" s="50">
        <v>0</v>
      </c>
      <c r="AL197" s="50">
        <v>0</v>
      </c>
      <c r="AM197" s="50"/>
      <c r="AN197" s="24">
        <f t="shared" si="3"/>
        <v>2306</v>
      </c>
      <c r="AO197" s="50">
        <v>0</v>
      </c>
      <c r="AP197" s="50">
        <v>1736.4</v>
      </c>
      <c r="AQ197" s="50">
        <v>0</v>
      </c>
      <c r="AR197" s="50">
        <v>569.6</v>
      </c>
      <c r="AS197" s="50"/>
      <c r="AT197" s="50">
        <f t="shared" si="4"/>
        <v>0</v>
      </c>
      <c r="AU197" s="50">
        <v>0</v>
      </c>
      <c r="AV197" s="50">
        <v>0</v>
      </c>
      <c r="AW197" s="50">
        <v>0</v>
      </c>
      <c r="AX197" s="50">
        <v>0</v>
      </c>
      <c r="AY197" s="50"/>
      <c r="AZ197" s="50">
        <f t="shared" si="133"/>
        <v>0</v>
      </c>
      <c r="BA197" s="50">
        <v>0</v>
      </c>
      <c r="BB197" s="50">
        <v>0</v>
      </c>
      <c r="BC197" s="50">
        <v>0</v>
      </c>
      <c r="BD197" s="50">
        <v>0</v>
      </c>
      <c r="BE197" s="50"/>
      <c r="BF197" s="50">
        <f t="shared" si="6"/>
        <v>0</v>
      </c>
      <c r="BG197" s="50">
        <v>0</v>
      </c>
      <c r="BH197" s="50">
        <v>0</v>
      </c>
      <c r="BI197" s="50">
        <v>0</v>
      </c>
      <c r="BJ197" s="50">
        <v>0</v>
      </c>
      <c r="BK197" s="50"/>
      <c r="BL197" s="20"/>
    </row>
    <row r="198" spans="1:64" ht="96" x14ac:dyDescent="0.2">
      <c r="A198" s="69">
        <v>194</v>
      </c>
      <c r="B198" s="48" t="str">
        <f ca="1">IFERROR(__xludf.DUMMYFUNCTION("""COMPUTED_VALUE"""),"г.о. Рузский")</f>
        <v>г.о. Рузский</v>
      </c>
      <c r="C19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8" s="52" t="str">
        <f ca="1">IFERROR(__xludf.DUMMYFUNCTION("""COMPUTED_VALUE"""),"МинЖКХ")</f>
        <v>МинЖКХ</v>
      </c>
      <c r="E198" s="45" t="s">
        <v>582</v>
      </c>
      <c r="F198" s="46" t="str">
        <f ca="1">IFERROR(__xludf.DUMMYFUNCTION("""COMPUTED_VALUE"""),"ВЗУ")</f>
        <v>ВЗУ</v>
      </c>
      <c r="G198" s="46">
        <f ca="1">IFERROR(__xludf.DUMMYFUNCTION("""COMPUTED_VALUE"""),2020)</f>
        <v>2020</v>
      </c>
      <c r="H198" s="48" t="str">
        <f ca="1">IFERROR(__xludf.DUMMYFUNCTION("""COMPUTED_VALUE"""),"ЗАВЕРШЕНО")</f>
        <v>ЗАВЕРШЕНО</v>
      </c>
      <c r="I198" s="48" t="str">
        <f ca="1">IFERROR(__xludf.DUMMYFUNCTION("""COMPUTED_VALUE"""),"Приобретение, монтаж")</f>
        <v>Приобретение, монтаж</v>
      </c>
      <c r="J198" s="70">
        <f ca="1">IFERROR(__xludf.DUMMYFUNCTION("""COMPUTED_VALUE"""),1)</f>
        <v>1</v>
      </c>
      <c r="K198" s="48">
        <f ca="1">IFERROR(__xludf.DUMMYFUNCTION("""COMPUTED_VALUE"""),446)</f>
        <v>446</v>
      </c>
      <c r="L198" s="48">
        <f ca="1">IFERROR(__xludf.DUMMYFUNCTION("""COMPUTED_VALUE"""),446)</f>
        <v>446</v>
      </c>
      <c r="M198" s="48"/>
      <c r="N198" s="48" t="str">
        <f ca="1">IFERROR(__xludf.DUMMYFUNCTION("""COMPUTED_VALUE"""),"10 1 02 60330")</f>
        <v>10 1 02 60330</v>
      </c>
      <c r="O198" s="48">
        <f ca="1">IFERROR(__xludf.DUMMYFUNCTION("""COMPUTED_VALUE"""),520)</f>
        <v>520</v>
      </c>
      <c r="P198" s="24">
        <f t="shared" ref="P198:T198" si="204">SUM(V198,AB198,AH198,AN198,AT198,AZ198,BF198)</f>
        <v>2489</v>
      </c>
      <c r="Q198" s="24">
        <f t="shared" si="204"/>
        <v>0</v>
      </c>
      <c r="R198" s="24">
        <f t="shared" si="204"/>
        <v>1874.22</v>
      </c>
      <c r="S198" s="24">
        <f t="shared" si="204"/>
        <v>0</v>
      </c>
      <c r="T198" s="24">
        <f t="shared" si="204"/>
        <v>614.78</v>
      </c>
      <c r="U198" s="20"/>
      <c r="V198" s="24"/>
      <c r="W198" s="24"/>
      <c r="X198" s="24"/>
      <c r="Y198" s="24"/>
      <c r="Z198" s="24"/>
      <c r="AA198" s="24"/>
      <c r="AB198" s="24"/>
      <c r="AC198" s="50"/>
      <c r="AD198" s="50"/>
      <c r="AE198" s="50"/>
      <c r="AF198" s="50"/>
      <c r="AG198" s="50"/>
      <c r="AH198" s="50">
        <f t="shared" si="2"/>
        <v>2489</v>
      </c>
      <c r="AI198" s="50">
        <v>0</v>
      </c>
      <c r="AJ198" s="50">
        <v>1874.22</v>
      </c>
      <c r="AK198" s="50">
        <v>0</v>
      </c>
      <c r="AL198" s="50">
        <v>614.78</v>
      </c>
      <c r="AM198" s="50"/>
      <c r="AN198" s="24">
        <f t="shared" si="3"/>
        <v>0</v>
      </c>
      <c r="AO198" s="50">
        <v>0</v>
      </c>
      <c r="AP198" s="50">
        <v>0</v>
      </c>
      <c r="AQ198" s="50">
        <v>0</v>
      </c>
      <c r="AR198" s="50">
        <v>0</v>
      </c>
      <c r="AS198" s="50"/>
      <c r="AT198" s="50">
        <f t="shared" si="4"/>
        <v>0</v>
      </c>
      <c r="AU198" s="50">
        <v>0</v>
      </c>
      <c r="AV198" s="50">
        <v>0</v>
      </c>
      <c r="AW198" s="50">
        <v>0</v>
      </c>
      <c r="AX198" s="50">
        <v>0</v>
      </c>
      <c r="AY198" s="50"/>
      <c r="AZ198" s="50">
        <f t="shared" si="133"/>
        <v>0</v>
      </c>
      <c r="BA198" s="50">
        <v>0</v>
      </c>
      <c r="BB198" s="50">
        <v>0</v>
      </c>
      <c r="BC198" s="50">
        <v>0</v>
      </c>
      <c r="BD198" s="50">
        <v>0</v>
      </c>
      <c r="BE198" s="50"/>
      <c r="BF198" s="50">
        <f t="shared" si="6"/>
        <v>0</v>
      </c>
      <c r="BG198" s="50">
        <v>0</v>
      </c>
      <c r="BH198" s="50">
        <v>0</v>
      </c>
      <c r="BI198" s="50">
        <v>0</v>
      </c>
      <c r="BJ198" s="50">
        <v>0</v>
      </c>
      <c r="BK198" s="50"/>
      <c r="BL198" s="20"/>
    </row>
    <row r="199" spans="1:64" ht="96" x14ac:dyDescent="0.2">
      <c r="A199" s="69">
        <v>195</v>
      </c>
      <c r="B199" s="48" t="str">
        <f ca="1">IFERROR(__xludf.DUMMYFUNCTION("""COMPUTED_VALUE"""),"г.о. Шатура")</f>
        <v>г.о. Шатура</v>
      </c>
      <c r="C19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199" s="52" t="str">
        <f ca="1">IFERROR(__xludf.DUMMYFUNCTION("""COMPUTED_VALUE"""),"МинЖКХ")</f>
        <v>МинЖКХ</v>
      </c>
      <c r="E199" s="45" t="s">
        <v>253</v>
      </c>
      <c r="F199" s="46" t="str">
        <f ca="1">IFERROR(__xludf.DUMMYFUNCTION("""COMPUTED_VALUE"""),"ВЗУ")</f>
        <v>ВЗУ</v>
      </c>
      <c r="G199" s="46">
        <f ca="1">IFERROR(__xludf.DUMMYFUNCTION("""COMPUTED_VALUE"""),2021)</f>
        <v>2021</v>
      </c>
      <c r="H199" s="48"/>
      <c r="I199" s="48" t="str">
        <f ca="1">IFERROR(__xludf.DUMMYFUNCTION("""COMPUTED_VALUE"""),"Приобретение, монтаж")</f>
        <v>Приобретение, монтаж</v>
      </c>
      <c r="J199" s="48"/>
      <c r="K199" s="48"/>
      <c r="L199" s="48"/>
      <c r="M199" s="48"/>
      <c r="N199" s="48" t="str">
        <f ca="1">IFERROR(__xludf.DUMMYFUNCTION("""COMPUTED_VALUE"""),"10 1 02 60330")</f>
        <v>10 1 02 60330</v>
      </c>
      <c r="O199" s="48">
        <f ca="1">IFERROR(__xludf.DUMMYFUNCTION("""COMPUTED_VALUE"""),520)</f>
        <v>520</v>
      </c>
      <c r="P199" s="24">
        <f t="shared" ref="P199:T199" si="205">SUM(V199,AB199,AH199,AN199,AT199,AZ199,BF199)</f>
        <v>7506.08</v>
      </c>
      <c r="Q199" s="24">
        <f t="shared" si="205"/>
        <v>0</v>
      </c>
      <c r="R199" s="24">
        <f t="shared" si="205"/>
        <v>5869.68</v>
      </c>
      <c r="S199" s="24">
        <f t="shared" si="205"/>
        <v>0</v>
      </c>
      <c r="T199" s="24">
        <f t="shared" si="205"/>
        <v>1636.4</v>
      </c>
      <c r="U199" s="20"/>
      <c r="V199" s="24"/>
      <c r="W199" s="24"/>
      <c r="X199" s="24"/>
      <c r="Y199" s="24"/>
      <c r="Z199" s="24"/>
      <c r="AA199" s="24"/>
      <c r="AB199" s="24"/>
      <c r="AC199" s="50"/>
      <c r="AD199" s="50"/>
      <c r="AE199" s="50"/>
      <c r="AF199" s="50"/>
      <c r="AG199" s="50"/>
      <c r="AH199" s="50">
        <f t="shared" si="2"/>
        <v>0</v>
      </c>
      <c r="AI199" s="50">
        <v>0</v>
      </c>
      <c r="AJ199" s="50">
        <v>0</v>
      </c>
      <c r="AK199" s="50">
        <v>0</v>
      </c>
      <c r="AL199" s="50">
        <v>0</v>
      </c>
      <c r="AM199" s="50"/>
      <c r="AN199" s="24">
        <f t="shared" si="3"/>
        <v>7506.08</v>
      </c>
      <c r="AO199" s="50">
        <v>0</v>
      </c>
      <c r="AP199" s="50">
        <v>5869.68</v>
      </c>
      <c r="AQ199" s="50">
        <v>0</v>
      </c>
      <c r="AR199" s="50">
        <v>1636.4</v>
      </c>
      <c r="AS199" s="50"/>
      <c r="AT199" s="50">
        <f t="shared" si="4"/>
        <v>0</v>
      </c>
      <c r="AU199" s="50">
        <v>0</v>
      </c>
      <c r="AV199" s="50">
        <v>0</v>
      </c>
      <c r="AW199" s="50">
        <v>0</v>
      </c>
      <c r="AX199" s="50">
        <v>0</v>
      </c>
      <c r="AY199" s="50"/>
      <c r="AZ199" s="50">
        <f t="shared" si="133"/>
        <v>0</v>
      </c>
      <c r="BA199" s="50">
        <v>0</v>
      </c>
      <c r="BB199" s="50">
        <v>0</v>
      </c>
      <c r="BC199" s="50">
        <v>0</v>
      </c>
      <c r="BD199" s="50">
        <v>0</v>
      </c>
      <c r="BE199" s="50"/>
      <c r="BF199" s="50">
        <f t="shared" si="6"/>
        <v>0</v>
      </c>
      <c r="BG199" s="50">
        <v>0</v>
      </c>
      <c r="BH199" s="50">
        <v>0</v>
      </c>
      <c r="BI199" s="50">
        <v>0</v>
      </c>
      <c r="BJ199" s="50">
        <v>0</v>
      </c>
      <c r="BK199" s="50"/>
      <c r="BL199" s="20"/>
    </row>
    <row r="200" spans="1:64" ht="96" x14ac:dyDescent="0.2">
      <c r="A200" s="69">
        <v>196</v>
      </c>
      <c r="B200" s="48" t="str">
        <f ca="1">IFERROR(__xludf.DUMMYFUNCTION("""COMPUTED_VALUE"""),"г.о. Шатура")</f>
        <v>г.о. Шатура</v>
      </c>
      <c r="C20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0" s="52" t="str">
        <f ca="1">IFERROR(__xludf.DUMMYFUNCTION("""COMPUTED_VALUE"""),"МинЖКХ")</f>
        <v>МинЖКХ</v>
      </c>
      <c r="E200" s="45" t="s">
        <v>254</v>
      </c>
      <c r="F200" s="46" t="str">
        <f ca="1">IFERROR(__xludf.DUMMYFUNCTION("""COMPUTED_VALUE"""),"ВЗУ")</f>
        <v>ВЗУ</v>
      </c>
      <c r="G200" s="46">
        <f ca="1">IFERROR(__xludf.DUMMYFUNCTION("""COMPUTED_VALUE"""),2021)</f>
        <v>2021</v>
      </c>
      <c r="H200" s="48"/>
      <c r="I200" s="48" t="str">
        <f ca="1">IFERROR(__xludf.DUMMYFUNCTION("""COMPUTED_VALUE"""),"Приобретение, монтаж")</f>
        <v>Приобретение, монтаж</v>
      </c>
      <c r="J200" s="48"/>
      <c r="K200" s="48"/>
      <c r="L200" s="48"/>
      <c r="M200" s="48"/>
      <c r="N200" s="48" t="str">
        <f ca="1">IFERROR(__xludf.DUMMYFUNCTION("""COMPUTED_VALUE"""),"10 1 02 60330")</f>
        <v>10 1 02 60330</v>
      </c>
      <c r="O200" s="48">
        <f ca="1">IFERROR(__xludf.DUMMYFUNCTION("""COMPUTED_VALUE"""),520)</f>
        <v>520</v>
      </c>
      <c r="P200" s="24">
        <f t="shared" ref="P200:T200" si="206">SUM(V200,AB200,AH200,AN200,AT200,AZ200,BF200)</f>
        <v>3827.8500000000004</v>
      </c>
      <c r="Q200" s="24">
        <f t="shared" si="206"/>
        <v>0</v>
      </c>
      <c r="R200" s="24">
        <f t="shared" si="206"/>
        <v>2993.32</v>
      </c>
      <c r="S200" s="24">
        <f t="shared" si="206"/>
        <v>0</v>
      </c>
      <c r="T200" s="24">
        <f t="shared" si="206"/>
        <v>834.53</v>
      </c>
      <c r="U200" s="20"/>
      <c r="V200" s="24"/>
      <c r="W200" s="24"/>
      <c r="X200" s="24"/>
      <c r="Y200" s="24"/>
      <c r="Z200" s="24"/>
      <c r="AA200" s="24"/>
      <c r="AB200" s="24"/>
      <c r="AC200" s="50"/>
      <c r="AD200" s="50"/>
      <c r="AE200" s="50"/>
      <c r="AF200" s="50"/>
      <c r="AG200" s="50"/>
      <c r="AH200" s="50">
        <f t="shared" si="2"/>
        <v>0</v>
      </c>
      <c r="AI200" s="50">
        <v>0</v>
      </c>
      <c r="AJ200" s="50">
        <v>0</v>
      </c>
      <c r="AK200" s="50">
        <v>0</v>
      </c>
      <c r="AL200" s="50">
        <v>0</v>
      </c>
      <c r="AM200" s="50"/>
      <c r="AN200" s="24">
        <f t="shared" si="3"/>
        <v>3827.8500000000004</v>
      </c>
      <c r="AO200" s="50">
        <v>0</v>
      </c>
      <c r="AP200" s="50">
        <v>2993.32</v>
      </c>
      <c r="AQ200" s="50">
        <v>0</v>
      </c>
      <c r="AR200" s="50">
        <v>834.53</v>
      </c>
      <c r="AS200" s="50"/>
      <c r="AT200" s="50">
        <f t="shared" si="4"/>
        <v>0</v>
      </c>
      <c r="AU200" s="50">
        <v>0</v>
      </c>
      <c r="AV200" s="50">
        <v>0</v>
      </c>
      <c r="AW200" s="50">
        <v>0</v>
      </c>
      <c r="AX200" s="50">
        <v>0</v>
      </c>
      <c r="AY200" s="50"/>
      <c r="AZ200" s="50">
        <f t="shared" si="133"/>
        <v>0</v>
      </c>
      <c r="BA200" s="50">
        <v>0</v>
      </c>
      <c r="BB200" s="50">
        <v>0</v>
      </c>
      <c r="BC200" s="50">
        <v>0</v>
      </c>
      <c r="BD200" s="50">
        <v>0</v>
      </c>
      <c r="BE200" s="50"/>
      <c r="BF200" s="50">
        <f t="shared" si="6"/>
        <v>0</v>
      </c>
      <c r="BG200" s="50">
        <v>0</v>
      </c>
      <c r="BH200" s="50">
        <v>0</v>
      </c>
      <c r="BI200" s="50">
        <v>0</v>
      </c>
      <c r="BJ200" s="50">
        <v>0</v>
      </c>
      <c r="BK200" s="50"/>
      <c r="BL200" s="20"/>
    </row>
    <row r="201" spans="1:64" ht="96" x14ac:dyDescent="0.2">
      <c r="A201" s="69">
        <v>197</v>
      </c>
      <c r="B201" s="48" t="str">
        <f ca="1">IFERROR(__xludf.DUMMYFUNCTION("""COMPUTED_VALUE"""),"г.о. Электросталь")</f>
        <v>г.о. Электросталь</v>
      </c>
      <c r="C20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1" s="52" t="str">
        <f ca="1">IFERROR(__xludf.DUMMYFUNCTION("""COMPUTED_VALUE"""),"МинЖКХ")</f>
        <v>МинЖКХ</v>
      </c>
      <c r="E201" s="45" t="s">
        <v>255</v>
      </c>
      <c r="F201" s="46" t="str">
        <f ca="1">IFERROR(__xludf.DUMMYFUNCTION("""COMPUTED_VALUE"""),"ВЗУ")</f>
        <v>ВЗУ</v>
      </c>
      <c r="G201" s="46">
        <f ca="1">IFERROR(__xludf.DUMMYFUNCTION("""COMPUTED_VALUE"""),2021)</f>
        <v>2021</v>
      </c>
      <c r="H201" s="48"/>
      <c r="I201" s="48" t="str">
        <f ca="1">IFERROR(__xludf.DUMMYFUNCTION("""COMPUTED_VALUE"""),"Приобретение, монтаж")</f>
        <v>Приобретение, монтаж</v>
      </c>
      <c r="J201" s="48"/>
      <c r="K201" s="48"/>
      <c r="L201" s="48"/>
      <c r="M201" s="48"/>
      <c r="N201" s="48" t="str">
        <f ca="1">IFERROR(__xludf.DUMMYFUNCTION("""COMPUTED_VALUE"""),"10 1 02 60330")</f>
        <v>10 1 02 60330</v>
      </c>
      <c r="O201" s="48">
        <f ca="1">IFERROR(__xludf.DUMMYFUNCTION("""COMPUTED_VALUE"""),520)</f>
        <v>520</v>
      </c>
      <c r="P201" s="24">
        <f t="shared" ref="P201:T201" si="207">SUM(V201,AB201,AH201,AN201,AT201,AZ201,BF201)</f>
        <v>9300</v>
      </c>
      <c r="Q201" s="24">
        <f t="shared" si="207"/>
        <v>0</v>
      </c>
      <c r="R201" s="24">
        <f t="shared" si="207"/>
        <v>7393.5</v>
      </c>
      <c r="S201" s="24">
        <f t="shared" si="207"/>
        <v>0</v>
      </c>
      <c r="T201" s="24">
        <f t="shared" si="207"/>
        <v>1906.5</v>
      </c>
      <c r="U201" s="20"/>
      <c r="V201" s="24"/>
      <c r="W201" s="24"/>
      <c r="X201" s="24"/>
      <c r="Y201" s="24"/>
      <c r="Z201" s="24"/>
      <c r="AA201" s="24"/>
      <c r="AB201" s="24"/>
      <c r="AC201" s="50"/>
      <c r="AD201" s="50"/>
      <c r="AE201" s="50"/>
      <c r="AF201" s="50"/>
      <c r="AG201" s="50"/>
      <c r="AH201" s="50">
        <f t="shared" si="2"/>
        <v>0</v>
      </c>
      <c r="AI201" s="50">
        <v>0</v>
      </c>
      <c r="AJ201" s="50">
        <v>0</v>
      </c>
      <c r="AK201" s="50">
        <v>0</v>
      </c>
      <c r="AL201" s="50">
        <v>0</v>
      </c>
      <c r="AM201" s="50"/>
      <c r="AN201" s="24">
        <f t="shared" si="3"/>
        <v>9300</v>
      </c>
      <c r="AO201" s="50">
        <v>0</v>
      </c>
      <c r="AP201" s="50">
        <v>7393.5</v>
      </c>
      <c r="AQ201" s="50">
        <v>0</v>
      </c>
      <c r="AR201" s="50">
        <v>1906.5</v>
      </c>
      <c r="AS201" s="50"/>
      <c r="AT201" s="50">
        <f t="shared" si="4"/>
        <v>0</v>
      </c>
      <c r="AU201" s="50">
        <v>0</v>
      </c>
      <c r="AV201" s="50">
        <v>0</v>
      </c>
      <c r="AW201" s="50">
        <v>0</v>
      </c>
      <c r="AX201" s="50">
        <v>0</v>
      </c>
      <c r="AY201" s="50"/>
      <c r="AZ201" s="50">
        <f t="shared" si="133"/>
        <v>0</v>
      </c>
      <c r="BA201" s="50">
        <v>0</v>
      </c>
      <c r="BB201" s="50">
        <v>0</v>
      </c>
      <c r="BC201" s="50">
        <v>0</v>
      </c>
      <c r="BD201" s="50">
        <v>0</v>
      </c>
      <c r="BE201" s="50"/>
      <c r="BF201" s="50">
        <f t="shared" si="6"/>
        <v>0</v>
      </c>
      <c r="BG201" s="50">
        <v>0</v>
      </c>
      <c r="BH201" s="50">
        <v>0</v>
      </c>
      <c r="BI201" s="50">
        <v>0</v>
      </c>
      <c r="BJ201" s="50">
        <v>0</v>
      </c>
      <c r="BK201" s="50"/>
      <c r="BL201" s="20"/>
    </row>
    <row r="202" spans="1:64" ht="96" x14ac:dyDescent="0.2">
      <c r="A202" s="69">
        <v>198</v>
      </c>
      <c r="B202" s="48" t="str">
        <f ca="1">IFERROR(__xludf.DUMMYFUNCTION("""COMPUTED_VALUE"""),"г.о. Воскресенск")</f>
        <v>г.о. Воскресенск</v>
      </c>
      <c r="C20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2" s="52" t="str">
        <f ca="1">IFERROR(__xludf.DUMMYFUNCTION("""COMPUTED_VALUE"""),"МинЖКХ")</f>
        <v>МинЖКХ</v>
      </c>
      <c r="E202" s="45" t="s">
        <v>583</v>
      </c>
      <c r="F202" s="46" t="str">
        <f ca="1">IFERROR(__xludf.DUMMYFUNCTION("""COMPUTED_VALUE"""),"ВЗУ")</f>
        <v>ВЗУ</v>
      </c>
      <c r="G202" s="46">
        <f ca="1">IFERROR(__xludf.DUMMYFUNCTION("""COMPUTED_VALUE"""),2020)</f>
        <v>2020</v>
      </c>
      <c r="H202" s="48" t="str">
        <f ca="1">IFERROR(__xludf.DUMMYFUNCTION("""COMPUTED_VALUE"""),"Завершено в 2019 году. Кредиторка оплачена.")</f>
        <v>Завершено в 2019 году. Кредиторка оплачена.</v>
      </c>
      <c r="I202" s="48" t="str">
        <f ca="1">IFERROR(__xludf.DUMMYFUNCTION("""COMPUTED_VALUE"""),"Приобретение, монтаж")</f>
        <v>Приобретение, монтаж</v>
      </c>
      <c r="J202" s="70">
        <f ca="1">IFERROR(__xludf.DUMMYFUNCTION("""COMPUTED_VALUE"""),1)</f>
        <v>1</v>
      </c>
      <c r="K202" s="48">
        <f ca="1">IFERROR(__xludf.DUMMYFUNCTION("""COMPUTED_VALUE"""),3500)</f>
        <v>3500</v>
      </c>
      <c r="L202" s="48">
        <f ca="1">IFERROR(__xludf.DUMMYFUNCTION("""COMPUTED_VALUE"""),3500)</f>
        <v>3500</v>
      </c>
      <c r="M202" s="48"/>
      <c r="N202" s="48" t="str">
        <f ca="1">IFERROR(__xludf.DUMMYFUNCTION("""COMPUTED_VALUE"""),"10 1 02 60330")</f>
        <v>10 1 02 60330</v>
      </c>
      <c r="O202" s="48">
        <f ca="1">IFERROR(__xludf.DUMMYFUNCTION("""COMPUTED_VALUE"""),520)</f>
        <v>520</v>
      </c>
      <c r="P202" s="24">
        <f t="shared" ref="P202:T202" si="208">SUM(V202,AB202,AH202,AN202,AT202,AZ202,BF202)</f>
        <v>7943</v>
      </c>
      <c r="Q202" s="24">
        <f t="shared" si="208"/>
        <v>0</v>
      </c>
      <c r="R202" s="24">
        <f t="shared" si="208"/>
        <v>7943</v>
      </c>
      <c r="S202" s="24">
        <f t="shared" si="208"/>
        <v>0</v>
      </c>
      <c r="T202" s="24">
        <f t="shared" si="208"/>
        <v>0</v>
      </c>
      <c r="U202" s="20"/>
      <c r="V202" s="24"/>
      <c r="W202" s="24"/>
      <c r="X202" s="24"/>
      <c r="Y202" s="24"/>
      <c r="Z202" s="24"/>
      <c r="AA202" s="24"/>
      <c r="AB202" s="24"/>
      <c r="AC202" s="50"/>
      <c r="AD202" s="50"/>
      <c r="AE202" s="50"/>
      <c r="AF202" s="50"/>
      <c r="AG202" s="50"/>
      <c r="AH202" s="50">
        <f t="shared" si="2"/>
        <v>7943</v>
      </c>
      <c r="AI202" s="50">
        <v>0</v>
      </c>
      <c r="AJ202" s="50">
        <v>7943</v>
      </c>
      <c r="AK202" s="50">
        <v>0</v>
      </c>
      <c r="AL202" s="50">
        <v>0</v>
      </c>
      <c r="AM202" s="50"/>
      <c r="AN202" s="24">
        <f t="shared" si="3"/>
        <v>0</v>
      </c>
      <c r="AO202" s="50">
        <v>0</v>
      </c>
      <c r="AP202" s="50">
        <v>0</v>
      </c>
      <c r="AQ202" s="50">
        <v>0</v>
      </c>
      <c r="AR202" s="50">
        <v>0</v>
      </c>
      <c r="AS202" s="50"/>
      <c r="AT202" s="50">
        <f t="shared" si="4"/>
        <v>0</v>
      </c>
      <c r="AU202" s="50">
        <v>0</v>
      </c>
      <c r="AV202" s="50">
        <v>0</v>
      </c>
      <c r="AW202" s="50">
        <v>0</v>
      </c>
      <c r="AX202" s="50">
        <v>0</v>
      </c>
      <c r="AY202" s="50"/>
      <c r="AZ202" s="50">
        <f t="shared" si="133"/>
        <v>0</v>
      </c>
      <c r="BA202" s="50">
        <v>0</v>
      </c>
      <c r="BB202" s="50">
        <v>0</v>
      </c>
      <c r="BC202" s="50">
        <v>0</v>
      </c>
      <c r="BD202" s="50">
        <v>0</v>
      </c>
      <c r="BE202" s="50"/>
      <c r="BF202" s="50">
        <f t="shared" si="6"/>
        <v>0</v>
      </c>
      <c r="BG202" s="50">
        <v>0</v>
      </c>
      <c r="BH202" s="50">
        <v>0</v>
      </c>
      <c r="BI202" s="50">
        <v>0</v>
      </c>
      <c r="BJ202" s="50">
        <v>0</v>
      </c>
      <c r="BK202" s="50"/>
      <c r="BL202" s="20"/>
    </row>
    <row r="203" spans="1:64" ht="96" x14ac:dyDescent="0.2">
      <c r="A203" s="69">
        <v>199</v>
      </c>
      <c r="B203" s="48" t="str">
        <f ca="1">IFERROR(__xludf.DUMMYFUNCTION("""COMPUTED_VALUE"""),"г.о. Зарайск")</f>
        <v>г.о. Зарайск</v>
      </c>
      <c r="C20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3" s="52" t="str">
        <f ca="1">IFERROR(__xludf.DUMMYFUNCTION("""COMPUTED_VALUE"""),"МинЖКХ")</f>
        <v>МинЖКХ</v>
      </c>
      <c r="E203" s="45" t="s">
        <v>584</v>
      </c>
      <c r="F203" s="46" t="str">
        <f ca="1">IFERROR(__xludf.DUMMYFUNCTION("""COMPUTED_VALUE"""),"ВЗУ")</f>
        <v>ВЗУ</v>
      </c>
      <c r="G203" s="46">
        <f ca="1">IFERROR(__xludf.DUMMYFUNCTION("""COMPUTED_VALUE"""),2021)</f>
        <v>2021</v>
      </c>
      <c r="H203" s="48"/>
      <c r="I203" s="48" t="str">
        <f ca="1">IFERROR(__xludf.DUMMYFUNCTION("""COMPUTED_VALUE"""),"Приобретение, монтаж")</f>
        <v>Приобретение, монтаж</v>
      </c>
      <c r="J203" s="48"/>
      <c r="K203" s="48"/>
      <c r="L203" s="48"/>
      <c r="M203" s="48"/>
      <c r="N203" s="48" t="str">
        <f ca="1">IFERROR(__xludf.DUMMYFUNCTION("""COMPUTED_VALUE"""),"10 1 02 60330")</f>
        <v>10 1 02 60330</v>
      </c>
      <c r="O203" s="48">
        <f ca="1">IFERROR(__xludf.DUMMYFUNCTION("""COMPUTED_VALUE"""),520)</f>
        <v>520</v>
      </c>
      <c r="P203" s="24">
        <f t="shared" ref="P203:T203" si="209">SUM(V203,AB203,AH203,AN203,AT203,AZ203,BF203)</f>
        <v>2778</v>
      </c>
      <c r="Q203" s="24">
        <f t="shared" si="209"/>
        <v>0</v>
      </c>
      <c r="R203" s="24">
        <f t="shared" si="209"/>
        <v>0</v>
      </c>
      <c r="S203" s="24">
        <f t="shared" si="209"/>
        <v>2572.4299999999998</v>
      </c>
      <c r="T203" s="24">
        <f t="shared" si="209"/>
        <v>205.57</v>
      </c>
      <c r="U203" s="20"/>
      <c r="V203" s="24"/>
      <c r="W203" s="24"/>
      <c r="X203" s="24"/>
      <c r="Y203" s="24"/>
      <c r="Z203" s="24"/>
      <c r="AA203" s="24"/>
      <c r="AB203" s="24"/>
      <c r="AC203" s="50"/>
      <c r="AD203" s="50"/>
      <c r="AE203" s="50"/>
      <c r="AF203" s="50"/>
      <c r="AG203" s="50"/>
      <c r="AH203" s="50">
        <f t="shared" si="2"/>
        <v>0</v>
      </c>
      <c r="AI203" s="50">
        <v>0</v>
      </c>
      <c r="AJ203" s="50">
        <v>0</v>
      </c>
      <c r="AK203" s="50">
        <v>0</v>
      </c>
      <c r="AL203" s="50">
        <v>0</v>
      </c>
      <c r="AM203" s="50"/>
      <c r="AN203" s="24">
        <f t="shared" si="3"/>
        <v>2778</v>
      </c>
      <c r="AO203" s="50">
        <v>0</v>
      </c>
      <c r="AP203" s="50">
        <v>0</v>
      </c>
      <c r="AQ203" s="50">
        <v>2572.4299999999998</v>
      </c>
      <c r="AR203" s="50">
        <v>205.57</v>
      </c>
      <c r="AS203" s="50"/>
      <c r="AT203" s="50">
        <f t="shared" si="4"/>
        <v>0</v>
      </c>
      <c r="AU203" s="50">
        <v>0</v>
      </c>
      <c r="AV203" s="50">
        <v>0</v>
      </c>
      <c r="AW203" s="50">
        <v>0</v>
      </c>
      <c r="AX203" s="50">
        <v>0</v>
      </c>
      <c r="AY203" s="50"/>
      <c r="AZ203" s="50">
        <f t="shared" si="133"/>
        <v>0</v>
      </c>
      <c r="BA203" s="50">
        <v>0</v>
      </c>
      <c r="BB203" s="50">
        <v>0</v>
      </c>
      <c r="BC203" s="50">
        <v>0</v>
      </c>
      <c r="BD203" s="50">
        <v>0</v>
      </c>
      <c r="BE203" s="50"/>
      <c r="BF203" s="50">
        <f t="shared" si="6"/>
        <v>0</v>
      </c>
      <c r="BG203" s="50">
        <v>0</v>
      </c>
      <c r="BH203" s="50">
        <v>0</v>
      </c>
      <c r="BI203" s="50">
        <v>0</v>
      </c>
      <c r="BJ203" s="50">
        <v>0</v>
      </c>
      <c r="BK203" s="50"/>
      <c r="BL203" s="20"/>
    </row>
    <row r="204" spans="1:64" ht="96" x14ac:dyDescent="0.2">
      <c r="A204" s="69">
        <v>200</v>
      </c>
      <c r="B204" s="48" t="str">
        <f ca="1">IFERROR(__xludf.DUMMYFUNCTION("""COMPUTED_VALUE"""),"г.о. Зарайск")</f>
        <v>г.о. Зарайск</v>
      </c>
      <c r="C20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4" s="52" t="str">
        <f ca="1">IFERROR(__xludf.DUMMYFUNCTION("""COMPUTED_VALUE"""),"МинЖКХ")</f>
        <v>МинЖКХ</v>
      </c>
      <c r="E204" s="45" t="s">
        <v>585</v>
      </c>
      <c r="F204" s="46" t="str">
        <f ca="1">IFERROR(__xludf.DUMMYFUNCTION("""COMPUTED_VALUE"""),"ВЗУ")</f>
        <v>ВЗУ</v>
      </c>
      <c r="G204" s="46">
        <f ca="1">IFERROR(__xludf.DUMMYFUNCTION("""COMPUTED_VALUE"""),2021)</f>
        <v>2021</v>
      </c>
      <c r="H204" s="48"/>
      <c r="I204" s="48" t="str">
        <f ca="1">IFERROR(__xludf.DUMMYFUNCTION("""COMPUTED_VALUE"""),"Приобретение, монтаж")</f>
        <v>Приобретение, монтаж</v>
      </c>
      <c r="J204" s="48"/>
      <c r="K204" s="48"/>
      <c r="L204" s="48"/>
      <c r="M204" s="48"/>
      <c r="N204" s="48" t="str">
        <f ca="1">IFERROR(__xludf.DUMMYFUNCTION("""COMPUTED_VALUE"""),"10 1 02 60330")</f>
        <v>10 1 02 60330</v>
      </c>
      <c r="O204" s="48">
        <f ca="1">IFERROR(__xludf.DUMMYFUNCTION("""COMPUTED_VALUE"""),520)</f>
        <v>520</v>
      </c>
      <c r="P204" s="24">
        <f t="shared" ref="P204:T204" si="210">SUM(V204,AB204,AH204,AN204,AT204,AZ204,BF204)</f>
        <v>1578.01</v>
      </c>
      <c r="Q204" s="24">
        <f t="shared" si="210"/>
        <v>0</v>
      </c>
      <c r="R204" s="24">
        <f t="shared" si="210"/>
        <v>0</v>
      </c>
      <c r="S204" s="24">
        <f t="shared" si="210"/>
        <v>1461.23</v>
      </c>
      <c r="T204" s="24">
        <f t="shared" si="210"/>
        <v>116.78</v>
      </c>
      <c r="U204" s="20"/>
      <c r="V204" s="24"/>
      <c r="W204" s="24"/>
      <c r="X204" s="24"/>
      <c r="Y204" s="24"/>
      <c r="Z204" s="24"/>
      <c r="AA204" s="24"/>
      <c r="AB204" s="24"/>
      <c r="AC204" s="50"/>
      <c r="AD204" s="50"/>
      <c r="AE204" s="50"/>
      <c r="AF204" s="50"/>
      <c r="AG204" s="50"/>
      <c r="AH204" s="50">
        <f t="shared" si="2"/>
        <v>0</v>
      </c>
      <c r="AI204" s="50">
        <v>0</v>
      </c>
      <c r="AJ204" s="50">
        <v>0</v>
      </c>
      <c r="AK204" s="50">
        <v>0</v>
      </c>
      <c r="AL204" s="50">
        <v>0</v>
      </c>
      <c r="AM204" s="50"/>
      <c r="AN204" s="24">
        <f t="shared" si="3"/>
        <v>1578.01</v>
      </c>
      <c r="AO204" s="50">
        <v>0</v>
      </c>
      <c r="AP204" s="50">
        <v>0</v>
      </c>
      <c r="AQ204" s="50">
        <v>1461.23</v>
      </c>
      <c r="AR204" s="50">
        <v>116.78</v>
      </c>
      <c r="AS204" s="50"/>
      <c r="AT204" s="50">
        <f t="shared" si="4"/>
        <v>0</v>
      </c>
      <c r="AU204" s="50">
        <v>0</v>
      </c>
      <c r="AV204" s="50">
        <v>0</v>
      </c>
      <c r="AW204" s="50">
        <v>0</v>
      </c>
      <c r="AX204" s="50">
        <v>0</v>
      </c>
      <c r="AY204" s="50"/>
      <c r="AZ204" s="50">
        <f t="shared" si="133"/>
        <v>0</v>
      </c>
      <c r="BA204" s="50">
        <v>0</v>
      </c>
      <c r="BB204" s="50">
        <v>0</v>
      </c>
      <c r="BC204" s="50">
        <v>0</v>
      </c>
      <c r="BD204" s="50">
        <v>0</v>
      </c>
      <c r="BE204" s="50"/>
      <c r="BF204" s="50">
        <f t="shared" si="6"/>
        <v>0</v>
      </c>
      <c r="BG204" s="50">
        <v>0</v>
      </c>
      <c r="BH204" s="50">
        <v>0</v>
      </c>
      <c r="BI204" s="50">
        <v>0</v>
      </c>
      <c r="BJ204" s="50">
        <v>0</v>
      </c>
      <c r="BK204" s="50"/>
      <c r="BL204" s="20"/>
    </row>
    <row r="205" spans="1:64" ht="96" x14ac:dyDescent="0.2">
      <c r="A205" s="69">
        <v>201</v>
      </c>
      <c r="B205" s="48" t="str">
        <f ca="1">IFERROR(__xludf.DUMMYFUNCTION("""COMPUTED_VALUE"""),"г.о. Зарайск")</f>
        <v>г.о. Зарайск</v>
      </c>
      <c r="C20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5" s="52" t="str">
        <f ca="1">IFERROR(__xludf.DUMMYFUNCTION("""COMPUTED_VALUE"""),"МинЖКХ")</f>
        <v>МинЖКХ</v>
      </c>
      <c r="E205" s="45" t="s">
        <v>256</v>
      </c>
      <c r="F205" s="46" t="str">
        <f ca="1">IFERROR(__xludf.DUMMYFUNCTION("""COMPUTED_VALUE"""),"ВЗУ")</f>
        <v>ВЗУ</v>
      </c>
      <c r="G205" s="46">
        <f ca="1">IFERROR(__xludf.DUMMYFUNCTION("""COMPUTED_VALUE"""),2021)</f>
        <v>2021</v>
      </c>
      <c r="H205" s="48"/>
      <c r="I205" s="48" t="str">
        <f ca="1">IFERROR(__xludf.DUMMYFUNCTION("""COMPUTED_VALUE"""),"Приобретение, монтаж")</f>
        <v>Приобретение, монтаж</v>
      </c>
      <c r="J205" s="48"/>
      <c r="K205" s="48"/>
      <c r="L205" s="48"/>
      <c r="M205" s="48"/>
      <c r="N205" s="48" t="str">
        <f ca="1">IFERROR(__xludf.DUMMYFUNCTION("""COMPUTED_VALUE"""),"10 1 02 60330")</f>
        <v>10 1 02 60330</v>
      </c>
      <c r="O205" s="48">
        <f ca="1">IFERROR(__xludf.DUMMYFUNCTION("""COMPUTED_VALUE"""),520)</f>
        <v>520</v>
      </c>
      <c r="P205" s="24">
        <f t="shared" ref="P205:T205" si="211">SUM(V205,AB205,AH205,AN205,AT205,AZ205,BF205)</f>
        <v>1741.76</v>
      </c>
      <c r="Q205" s="24">
        <f t="shared" si="211"/>
        <v>0</v>
      </c>
      <c r="R205" s="24">
        <f t="shared" si="211"/>
        <v>0</v>
      </c>
      <c r="S205" s="24">
        <f t="shared" si="211"/>
        <v>1461.34</v>
      </c>
      <c r="T205" s="24">
        <f t="shared" si="211"/>
        <v>280.42</v>
      </c>
      <c r="U205" s="20"/>
      <c r="V205" s="24"/>
      <c r="W205" s="24"/>
      <c r="X205" s="24"/>
      <c r="Y205" s="24"/>
      <c r="Z205" s="24"/>
      <c r="AA205" s="24"/>
      <c r="AB205" s="24"/>
      <c r="AC205" s="50"/>
      <c r="AD205" s="50"/>
      <c r="AE205" s="50"/>
      <c r="AF205" s="50"/>
      <c r="AG205" s="50"/>
      <c r="AH205" s="50">
        <f t="shared" si="2"/>
        <v>0</v>
      </c>
      <c r="AI205" s="50">
        <v>0</v>
      </c>
      <c r="AJ205" s="50">
        <v>0</v>
      </c>
      <c r="AK205" s="50">
        <v>0</v>
      </c>
      <c r="AL205" s="50">
        <v>0</v>
      </c>
      <c r="AM205" s="50"/>
      <c r="AN205" s="24">
        <f t="shared" si="3"/>
        <v>1741.76</v>
      </c>
      <c r="AO205" s="50">
        <v>0</v>
      </c>
      <c r="AP205" s="50">
        <v>0</v>
      </c>
      <c r="AQ205" s="50">
        <v>1461.34</v>
      </c>
      <c r="AR205" s="50">
        <v>280.42</v>
      </c>
      <c r="AS205" s="50"/>
      <c r="AT205" s="50">
        <f t="shared" si="4"/>
        <v>0</v>
      </c>
      <c r="AU205" s="50">
        <v>0</v>
      </c>
      <c r="AV205" s="50">
        <v>0</v>
      </c>
      <c r="AW205" s="50">
        <v>0</v>
      </c>
      <c r="AX205" s="50">
        <v>0</v>
      </c>
      <c r="AY205" s="50"/>
      <c r="AZ205" s="50">
        <f t="shared" si="133"/>
        <v>0</v>
      </c>
      <c r="BA205" s="50">
        <v>0</v>
      </c>
      <c r="BB205" s="50">
        <v>0</v>
      </c>
      <c r="BC205" s="50">
        <v>0</v>
      </c>
      <c r="BD205" s="50">
        <v>0</v>
      </c>
      <c r="BE205" s="50"/>
      <c r="BF205" s="50">
        <f t="shared" si="6"/>
        <v>0</v>
      </c>
      <c r="BG205" s="50">
        <v>0</v>
      </c>
      <c r="BH205" s="50">
        <v>0</v>
      </c>
      <c r="BI205" s="50">
        <v>0</v>
      </c>
      <c r="BJ205" s="50">
        <v>0</v>
      </c>
      <c r="BK205" s="50"/>
      <c r="BL205" s="20"/>
    </row>
    <row r="206" spans="1:64" ht="96" x14ac:dyDescent="0.2">
      <c r="A206" s="69">
        <v>202</v>
      </c>
      <c r="B206" s="48" t="str">
        <f ca="1">IFERROR(__xludf.DUMMYFUNCTION("""COMPUTED_VALUE"""),"г.о. Егорьевск")</f>
        <v>г.о. Егорьевск</v>
      </c>
      <c r="C20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6" s="52" t="str">
        <f ca="1">IFERROR(__xludf.DUMMYFUNCTION("""COMPUTED_VALUE"""),"МинЖКХ")</f>
        <v>МинЖКХ</v>
      </c>
      <c r="E206" s="45" t="s">
        <v>257</v>
      </c>
      <c r="F206" s="46" t="str">
        <f ca="1">IFERROR(__xludf.DUMMYFUNCTION("""COMPUTED_VALUE"""),"ВЗУ")</f>
        <v>ВЗУ</v>
      </c>
      <c r="G206" s="46">
        <f ca="1">IFERROR(__xludf.DUMMYFUNCTION("""COMPUTED_VALUE"""),2020)</f>
        <v>2020</v>
      </c>
      <c r="H206" s="48" t="str">
        <f ca="1">IFERROR(__xludf.DUMMYFUNCTION("""COMPUTED_VALUE"""),"Осуществлен монтаж модульной станции. Ведется укомплектование станции водоочистки для дальнейшего ПНР.")</f>
        <v>Осуществлен монтаж модульной станции. Ведется укомплектование станции водоочистки для дальнейшего ПНР.</v>
      </c>
      <c r="I206" s="48" t="str">
        <f ca="1">IFERROR(__xludf.DUMMYFUNCTION("""COMPUTED_VALUE"""),"Приобретение, монтаж")</f>
        <v>Приобретение, монтаж</v>
      </c>
      <c r="J206" s="70">
        <f ca="1">IFERROR(__xludf.DUMMYFUNCTION("""COMPUTED_VALUE"""),0.7)</f>
        <v>0.7</v>
      </c>
      <c r="K206" s="48"/>
      <c r="L206" s="48"/>
      <c r="M206" s="48"/>
      <c r="N206" s="48" t="str">
        <f ca="1">IFERROR(__xludf.DUMMYFUNCTION("""COMPUTED_VALUE"""),"10 1 02 60330")</f>
        <v>10 1 02 60330</v>
      </c>
      <c r="O206" s="48">
        <f ca="1">IFERROR(__xludf.DUMMYFUNCTION("""COMPUTED_VALUE"""),520)</f>
        <v>520</v>
      </c>
      <c r="P206" s="24">
        <f t="shared" ref="P206:T206" si="212">SUM(V206,AB206,AH206,AN206,AT206,AZ206,BF206)</f>
        <v>4650</v>
      </c>
      <c r="Q206" s="24">
        <f t="shared" si="212"/>
        <v>0</v>
      </c>
      <c r="R206" s="24">
        <f t="shared" si="212"/>
        <v>0</v>
      </c>
      <c r="S206" s="24">
        <f t="shared" si="212"/>
        <v>4264</v>
      </c>
      <c r="T206" s="24">
        <f t="shared" si="212"/>
        <v>386</v>
      </c>
      <c r="U206" s="20"/>
      <c r="V206" s="24"/>
      <c r="W206" s="24"/>
      <c r="X206" s="24"/>
      <c r="Y206" s="24"/>
      <c r="Z206" s="24"/>
      <c r="AA206" s="24"/>
      <c r="AB206" s="24"/>
      <c r="AC206" s="50"/>
      <c r="AD206" s="50"/>
      <c r="AE206" s="50"/>
      <c r="AF206" s="50"/>
      <c r="AG206" s="50"/>
      <c r="AH206" s="50">
        <f t="shared" si="2"/>
        <v>4650</v>
      </c>
      <c r="AI206" s="50">
        <v>0</v>
      </c>
      <c r="AJ206" s="50">
        <v>0</v>
      </c>
      <c r="AK206" s="50">
        <v>4264</v>
      </c>
      <c r="AL206" s="50">
        <v>386</v>
      </c>
      <c r="AM206" s="50"/>
      <c r="AN206" s="24">
        <f t="shared" si="3"/>
        <v>0</v>
      </c>
      <c r="AO206" s="50">
        <v>0</v>
      </c>
      <c r="AP206" s="50">
        <v>0</v>
      </c>
      <c r="AQ206" s="50">
        <v>0</v>
      </c>
      <c r="AR206" s="50">
        <v>0</v>
      </c>
      <c r="AS206" s="50"/>
      <c r="AT206" s="50">
        <f t="shared" si="4"/>
        <v>0</v>
      </c>
      <c r="AU206" s="50">
        <v>0</v>
      </c>
      <c r="AV206" s="50">
        <v>0</v>
      </c>
      <c r="AW206" s="50">
        <v>0</v>
      </c>
      <c r="AX206" s="50">
        <v>0</v>
      </c>
      <c r="AY206" s="50"/>
      <c r="AZ206" s="50">
        <f t="shared" si="133"/>
        <v>0</v>
      </c>
      <c r="BA206" s="50">
        <v>0</v>
      </c>
      <c r="BB206" s="50">
        <v>0</v>
      </c>
      <c r="BC206" s="50">
        <v>0</v>
      </c>
      <c r="BD206" s="50">
        <v>0</v>
      </c>
      <c r="BE206" s="50"/>
      <c r="BF206" s="50">
        <f t="shared" si="6"/>
        <v>0</v>
      </c>
      <c r="BG206" s="50">
        <v>0</v>
      </c>
      <c r="BH206" s="50">
        <v>0</v>
      </c>
      <c r="BI206" s="50">
        <v>0</v>
      </c>
      <c r="BJ206" s="50">
        <v>0</v>
      </c>
      <c r="BK206" s="50"/>
      <c r="BL206" s="20"/>
    </row>
    <row r="207" spans="1:64" ht="96" x14ac:dyDescent="0.2">
      <c r="A207" s="69">
        <v>203</v>
      </c>
      <c r="B207" s="48" t="str">
        <f ca="1">IFERROR(__xludf.DUMMYFUNCTION("""COMPUTED_VALUE"""),"г.о. Егорьевск")</f>
        <v>г.о. Егорьевск</v>
      </c>
      <c r="C20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7" s="52" t="str">
        <f ca="1">IFERROR(__xludf.DUMMYFUNCTION("""COMPUTED_VALUE"""),"МинЖКХ")</f>
        <v>МинЖКХ</v>
      </c>
      <c r="E207" s="45" t="s">
        <v>258</v>
      </c>
      <c r="F207" s="46" t="str">
        <f ca="1">IFERROR(__xludf.DUMMYFUNCTION("""COMPUTED_VALUE"""),"ВЗУ")</f>
        <v>ВЗУ</v>
      </c>
      <c r="G207" s="46" t="str">
        <f ca="1">IFERROR(__xludf.DUMMYFUNCTION("""COMPUTED_VALUE"""),"Н/Л")</f>
        <v>Н/Л</v>
      </c>
      <c r="H207" s="48"/>
      <c r="I207" s="48" t="str">
        <f ca="1">IFERROR(__xludf.DUMMYFUNCTION("""COMPUTED_VALUE"""),"Приобретение, монтаж")</f>
        <v>Приобретение, монтаж</v>
      </c>
      <c r="J207" s="48"/>
      <c r="K207" s="48"/>
      <c r="L207" s="48"/>
      <c r="M207" s="48"/>
      <c r="N207" s="48" t="str">
        <f ca="1">IFERROR(__xludf.DUMMYFUNCTION("""COMPUTED_VALUE"""),"10 1 02 60330")</f>
        <v>10 1 02 60330</v>
      </c>
      <c r="O207" s="48">
        <f ca="1">IFERROR(__xludf.DUMMYFUNCTION("""COMPUTED_VALUE"""),520)</f>
        <v>520</v>
      </c>
      <c r="P207" s="24">
        <f t="shared" ref="P207:T207" si="213">SUM(V207,AB207,AH207,AN207,AT207,AZ207,BF207)</f>
        <v>0</v>
      </c>
      <c r="Q207" s="24">
        <f t="shared" si="213"/>
        <v>0</v>
      </c>
      <c r="R207" s="24">
        <f t="shared" si="213"/>
        <v>0</v>
      </c>
      <c r="S207" s="24">
        <f t="shared" si="213"/>
        <v>0</v>
      </c>
      <c r="T207" s="24">
        <f t="shared" si="213"/>
        <v>0</v>
      </c>
      <c r="U207" s="20"/>
      <c r="V207" s="24"/>
      <c r="W207" s="24"/>
      <c r="X207" s="24"/>
      <c r="Y207" s="24"/>
      <c r="Z207" s="24"/>
      <c r="AA207" s="24"/>
      <c r="AB207" s="24"/>
      <c r="AC207" s="50"/>
      <c r="AD207" s="50"/>
      <c r="AE207" s="50"/>
      <c r="AF207" s="50"/>
      <c r="AG207" s="50"/>
      <c r="AH207" s="50">
        <f t="shared" si="2"/>
        <v>0</v>
      </c>
      <c r="AI207" s="50">
        <v>0</v>
      </c>
      <c r="AJ207" s="50">
        <v>0</v>
      </c>
      <c r="AK207" s="50">
        <v>0</v>
      </c>
      <c r="AL207" s="50">
        <v>0</v>
      </c>
      <c r="AM207" s="50"/>
      <c r="AN207" s="24">
        <f t="shared" si="3"/>
        <v>0</v>
      </c>
      <c r="AO207" s="50">
        <v>0</v>
      </c>
      <c r="AP207" s="50">
        <v>0</v>
      </c>
      <c r="AQ207" s="50">
        <v>0</v>
      </c>
      <c r="AR207" s="50">
        <v>0</v>
      </c>
      <c r="AS207" s="50"/>
      <c r="AT207" s="50">
        <f t="shared" si="4"/>
        <v>0</v>
      </c>
      <c r="AU207" s="50">
        <v>0</v>
      </c>
      <c r="AV207" s="50">
        <v>0</v>
      </c>
      <c r="AW207" s="50">
        <v>0</v>
      </c>
      <c r="AX207" s="50">
        <v>0</v>
      </c>
      <c r="AY207" s="50"/>
      <c r="AZ207" s="50">
        <f t="shared" si="133"/>
        <v>0</v>
      </c>
      <c r="BA207" s="50">
        <v>0</v>
      </c>
      <c r="BB207" s="50">
        <v>0</v>
      </c>
      <c r="BC207" s="50">
        <v>0</v>
      </c>
      <c r="BD207" s="50">
        <v>0</v>
      </c>
      <c r="BE207" s="50"/>
      <c r="BF207" s="50">
        <f t="shared" si="6"/>
        <v>0</v>
      </c>
      <c r="BG207" s="50">
        <v>0</v>
      </c>
      <c r="BH207" s="50">
        <v>0</v>
      </c>
      <c r="BI207" s="50">
        <v>0</v>
      </c>
      <c r="BJ207" s="50">
        <v>0</v>
      </c>
      <c r="BK207" s="50"/>
      <c r="BL207" s="20"/>
    </row>
    <row r="208" spans="1:64" ht="96" x14ac:dyDescent="0.2">
      <c r="A208" s="69">
        <v>204</v>
      </c>
      <c r="B208" s="48" t="str">
        <f ca="1">IFERROR(__xludf.DUMMYFUNCTION("""COMPUTED_VALUE"""),"г.о. Коломенский")</f>
        <v>г.о. Коломенский</v>
      </c>
      <c r="C20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8" s="52" t="str">
        <f ca="1">IFERROR(__xludf.DUMMYFUNCTION("""COMPUTED_VALUE"""),"МинЖКХ")</f>
        <v>МинЖКХ</v>
      </c>
      <c r="E208" s="45" t="s">
        <v>259</v>
      </c>
      <c r="F208" s="46" t="str">
        <f ca="1">IFERROR(__xludf.DUMMYFUNCTION("""COMPUTED_VALUE"""),"ВЗУ")</f>
        <v>ВЗУ</v>
      </c>
      <c r="G208" s="46">
        <f ca="1">IFERROR(__xludf.DUMMYFUNCTION("""COMPUTED_VALUE"""),2020)</f>
        <v>2020</v>
      </c>
      <c r="H208" s="48" t="str">
        <f ca="1">IFERROR(__xludf.DUMMYFUNCTION("""COMPUTED_VALUE"""),"ЗАВЕРШЕНО")</f>
        <v>ЗАВЕРШЕНО</v>
      </c>
      <c r="I208" s="48" t="str">
        <f ca="1">IFERROR(__xludf.DUMMYFUNCTION("""COMPUTED_VALUE"""),"Приобретение, монтаж")</f>
        <v>Приобретение, монтаж</v>
      </c>
      <c r="J208" s="70">
        <f ca="1">IFERROR(__xludf.DUMMYFUNCTION("""COMPUTED_VALUE"""),1)</f>
        <v>1</v>
      </c>
      <c r="K208" s="48"/>
      <c r="L208" s="48"/>
      <c r="M208" s="48"/>
      <c r="N208" s="48" t="str">
        <f ca="1">IFERROR(__xludf.DUMMYFUNCTION("""COMPUTED_VALUE"""),"10 1 02 60330")</f>
        <v>10 1 02 60330</v>
      </c>
      <c r="O208" s="48">
        <f ca="1">IFERROR(__xludf.DUMMYFUNCTION("""COMPUTED_VALUE"""),520)</f>
        <v>520</v>
      </c>
      <c r="P208" s="24">
        <f t="shared" ref="P208:T208" si="214">SUM(V208,AB208,AH208,AN208,AT208,AZ208,BF208)</f>
        <v>3678.95</v>
      </c>
      <c r="Q208" s="24">
        <f t="shared" si="214"/>
        <v>0</v>
      </c>
      <c r="R208" s="24">
        <f t="shared" si="214"/>
        <v>0</v>
      </c>
      <c r="S208" s="24">
        <f t="shared" si="214"/>
        <v>3495</v>
      </c>
      <c r="T208" s="24">
        <f t="shared" si="214"/>
        <v>183.95</v>
      </c>
      <c r="U208" s="20"/>
      <c r="V208" s="24"/>
      <c r="W208" s="24"/>
      <c r="X208" s="24"/>
      <c r="Y208" s="24"/>
      <c r="Z208" s="24"/>
      <c r="AA208" s="24"/>
      <c r="AB208" s="24"/>
      <c r="AC208" s="50"/>
      <c r="AD208" s="50"/>
      <c r="AE208" s="50"/>
      <c r="AF208" s="50"/>
      <c r="AG208" s="50"/>
      <c r="AH208" s="50">
        <f t="shared" si="2"/>
        <v>3678.95</v>
      </c>
      <c r="AI208" s="50">
        <v>0</v>
      </c>
      <c r="AJ208" s="50">
        <v>0</v>
      </c>
      <c r="AK208" s="50">
        <v>3495</v>
      </c>
      <c r="AL208" s="50">
        <v>183.95</v>
      </c>
      <c r="AM208" s="50"/>
      <c r="AN208" s="24">
        <f t="shared" si="3"/>
        <v>0</v>
      </c>
      <c r="AO208" s="50">
        <v>0</v>
      </c>
      <c r="AP208" s="50">
        <v>0</v>
      </c>
      <c r="AQ208" s="50">
        <v>0</v>
      </c>
      <c r="AR208" s="50">
        <v>0</v>
      </c>
      <c r="AS208" s="50"/>
      <c r="AT208" s="50">
        <f t="shared" si="4"/>
        <v>0</v>
      </c>
      <c r="AU208" s="50">
        <v>0</v>
      </c>
      <c r="AV208" s="50">
        <v>0</v>
      </c>
      <c r="AW208" s="50">
        <v>0</v>
      </c>
      <c r="AX208" s="50">
        <v>0</v>
      </c>
      <c r="AY208" s="50"/>
      <c r="AZ208" s="50">
        <f t="shared" si="133"/>
        <v>0</v>
      </c>
      <c r="BA208" s="50">
        <v>0</v>
      </c>
      <c r="BB208" s="50">
        <v>0</v>
      </c>
      <c r="BC208" s="50">
        <v>0</v>
      </c>
      <c r="BD208" s="50">
        <v>0</v>
      </c>
      <c r="BE208" s="50"/>
      <c r="BF208" s="50">
        <f t="shared" si="6"/>
        <v>0</v>
      </c>
      <c r="BG208" s="50">
        <v>0</v>
      </c>
      <c r="BH208" s="50">
        <v>0</v>
      </c>
      <c r="BI208" s="50">
        <v>0</v>
      </c>
      <c r="BJ208" s="50">
        <v>0</v>
      </c>
      <c r="BK208" s="50"/>
      <c r="BL208" s="20"/>
    </row>
    <row r="209" spans="1:64" ht="96" x14ac:dyDescent="0.2">
      <c r="A209" s="69">
        <v>205</v>
      </c>
      <c r="B209" s="48" t="str">
        <f ca="1">IFERROR(__xludf.DUMMYFUNCTION("""COMPUTED_VALUE"""),"г.о. Истра")</f>
        <v>г.о. Истра</v>
      </c>
      <c r="C20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09" s="52" t="str">
        <f ca="1">IFERROR(__xludf.DUMMYFUNCTION("""COMPUTED_VALUE"""),"МинЖКХ")</f>
        <v>МинЖКХ</v>
      </c>
      <c r="E209" s="45" t="s">
        <v>260</v>
      </c>
      <c r="F209" s="48" t="str">
        <f ca="1">IFERROR(__xludf.DUMMYFUNCTION("""COMPUTED_VALUE"""),"ВЗУ")</f>
        <v>ВЗУ</v>
      </c>
      <c r="G209" s="48" t="str">
        <f ca="1">IFERROR(__xludf.DUMMYFUNCTION("""COMPUTED_VALUE"""),"Н/Л")</f>
        <v>Н/Л</v>
      </c>
      <c r="H209" s="48"/>
      <c r="I209" s="48" t="str">
        <f ca="1">IFERROR(__xludf.DUMMYFUNCTION("""COMPUTED_VALUE"""),"Приобретение, монтаж")</f>
        <v>Приобретение, монтаж</v>
      </c>
      <c r="J209" s="48"/>
      <c r="K209" s="48"/>
      <c r="L209" s="48"/>
      <c r="M209" s="48"/>
      <c r="N209" s="48" t="str">
        <f ca="1">IFERROR(__xludf.DUMMYFUNCTION("""COMPUTED_VALUE"""),"10 1 02 60330")</f>
        <v>10 1 02 60330</v>
      </c>
      <c r="O209" s="48">
        <f ca="1">IFERROR(__xludf.DUMMYFUNCTION("""COMPUTED_VALUE"""),520)</f>
        <v>520</v>
      </c>
      <c r="P209" s="24">
        <f t="shared" ref="P209:T209" si="215">SUM(V209,AB209,AH209,AN209,AT209,AZ209,BF209)</f>
        <v>0</v>
      </c>
      <c r="Q209" s="24">
        <f t="shared" si="215"/>
        <v>0</v>
      </c>
      <c r="R209" s="24">
        <f t="shared" si="215"/>
        <v>0</v>
      </c>
      <c r="S209" s="24">
        <f t="shared" si="215"/>
        <v>0</v>
      </c>
      <c r="T209" s="24">
        <f t="shared" si="215"/>
        <v>0</v>
      </c>
      <c r="U209" s="20"/>
      <c r="V209" s="24"/>
      <c r="W209" s="24"/>
      <c r="X209" s="24"/>
      <c r="Y209" s="24"/>
      <c r="Z209" s="24"/>
      <c r="AA209" s="24"/>
      <c r="AB209" s="24"/>
      <c r="AC209" s="50"/>
      <c r="AD209" s="50"/>
      <c r="AE209" s="50"/>
      <c r="AF209" s="50"/>
      <c r="AG209" s="50"/>
      <c r="AH209" s="50">
        <f t="shared" si="2"/>
        <v>0</v>
      </c>
      <c r="AI209" s="50">
        <v>0</v>
      </c>
      <c r="AJ209" s="50">
        <v>0</v>
      </c>
      <c r="AK209" s="50">
        <v>0</v>
      </c>
      <c r="AL209" s="50">
        <v>0</v>
      </c>
      <c r="AM209" s="50"/>
      <c r="AN209" s="24">
        <f t="shared" si="3"/>
        <v>0</v>
      </c>
      <c r="AO209" s="50">
        <v>0</v>
      </c>
      <c r="AP209" s="50">
        <v>0</v>
      </c>
      <c r="AQ209" s="50">
        <v>0</v>
      </c>
      <c r="AR209" s="50">
        <v>0</v>
      </c>
      <c r="AS209" s="50"/>
      <c r="AT209" s="50">
        <f t="shared" si="4"/>
        <v>0</v>
      </c>
      <c r="AU209" s="50">
        <v>0</v>
      </c>
      <c r="AV209" s="50">
        <v>0</v>
      </c>
      <c r="AW209" s="50">
        <v>0</v>
      </c>
      <c r="AX209" s="50">
        <v>0</v>
      </c>
      <c r="AY209" s="50"/>
      <c r="AZ209" s="50">
        <f t="shared" si="133"/>
        <v>0</v>
      </c>
      <c r="BA209" s="50">
        <v>0</v>
      </c>
      <c r="BB209" s="50">
        <v>0</v>
      </c>
      <c r="BC209" s="50">
        <v>0</v>
      </c>
      <c r="BD209" s="50">
        <v>0</v>
      </c>
      <c r="BE209" s="50"/>
      <c r="BF209" s="50">
        <f t="shared" si="6"/>
        <v>0</v>
      </c>
      <c r="BG209" s="50">
        <v>0</v>
      </c>
      <c r="BH209" s="50">
        <v>0</v>
      </c>
      <c r="BI209" s="50">
        <v>0</v>
      </c>
      <c r="BJ209" s="50">
        <v>0</v>
      </c>
      <c r="BK209" s="50"/>
      <c r="BL209" s="20"/>
    </row>
    <row r="210" spans="1:64" ht="96" x14ac:dyDescent="0.2">
      <c r="A210" s="69">
        <v>206</v>
      </c>
      <c r="B210" s="48" t="str">
        <f ca="1">IFERROR(__xludf.DUMMYFUNCTION("""COMPUTED_VALUE"""),"г.о. Истра")</f>
        <v>г.о. Истра</v>
      </c>
      <c r="C21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0" s="52" t="str">
        <f ca="1">IFERROR(__xludf.DUMMYFUNCTION("""COMPUTED_VALUE"""),"МинЖКХ")</f>
        <v>МинЖКХ</v>
      </c>
      <c r="E210" s="45" t="s">
        <v>261</v>
      </c>
      <c r="F210" s="48" t="str">
        <f ca="1">IFERROR(__xludf.DUMMYFUNCTION("""COMPUTED_VALUE"""),"ВЗУ")</f>
        <v>ВЗУ</v>
      </c>
      <c r="G210" s="48" t="str">
        <f ca="1">IFERROR(__xludf.DUMMYFUNCTION("""COMPUTED_VALUE"""),"Н/Л")</f>
        <v>Н/Л</v>
      </c>
      <c r="H210" s="48"/>
      <c r="I210" s="48" t="str">
        <f ca="1">IFERROR(__xludf.DUMMYFUNCTION("""COMPUTED_VALUE"""),"Приобретение, монтаж")</f>
        <v>Приобретение, монтаж</v>
      </c>
      <c r="J210" s="48"/>
      <c r="K210" s="48"/>
      <c r="L210" s="48"/>
      <c r="M210" s="48"/>
      <c r="N210" s="48" t="str">
        <f ca="1">IFERROR(__xludf.DUMMYFUNCTION("""COMPUTED_VALUE"""),"10 1 02 60330")</f>
        <v>10 1 02 60330</v>
      </c>
      <c r="O210" s="48">
        <f ca="1">IFERROR(__xludf.DUMMYFUNCTION("""COMPUTED_VALUE"""),520)</f>
        <v>520</v>
      </c>
      <c r="P210" s="24">
        <f t="shared" ref="P210:T210" si="216">SUM(V210,AB210,AH210,AN210,AT210,AZ210,BF210)</f>
        <v>0</v>
      </c>
      <c r="Q210" s="24">
        <f t="shared" si="216"/>
        <v>0</v>
      </c>
      <c r="R210" s="24">
        <f t="shared" si="216"/>
        <v>0</v>
      </c>
      <c r="S210" s="24">
        <f t="shared" si="216"/>
        <v>0</v>
      </c>
      <c r="T210" s="24">
        <f t="shared" si="216"/>
        <v>0</v>
      </c>
      <c r="U210" s="20"/>
      <c r="V210" s="24"/>
      <c r="W210" s="24"/>
      <c r="X210" s="24"/>
      <c r="Y210" s="24"/>
      <c r="Z210" s="24"/>
      <c r="AA210" s="24"/>
      <c r="AB210" s="24"/>
      <c r="AC210" s="50"/>
      <c r="AD210" s="50"/>
      <c r="AE210" s="50"/>
      <c r="AF210" s="50"/>
      <c r="AG210" s="50"/>
      <c r="AH210" s="50">
        <f t="shared" si="2"/>
        <v>0</v>
      </c>
      <c r="AI210" s="50">
        <v>0</v>
      </c>
      <c r="AJ210" s="50">
        <v>0</v>
      </c>
      <c r="AK210" s="50">
        <v>0</v>
      </c>
      <c r="AL210" s="50">
        <v>0</v>
      </c>
      <c r="AM210" s="50"/>
      <c r="AN210" s="24">
        <f t="shared" si="3"/>
        <v>0</v>
      </c>
      <c r="AO210" s="50">
        <v>0</v>
      </c>
      <c r="AP210" s="50">
        <v>0</v>
      </c>
      <c r="AQ210" s="50">
        <v>0</v>
      </c>
      <c r="AR210" s="50">
        <v>0</v>
      </c>
      <c r="AS210" s="50"/>
      <c r="AT210" s="50">
        <f t="shared" si="4"/>
        <v>0</v>
      </c>
      <c r="AU210" s="50">
        <v>0</v>
      </c>
      <c r="AV210" s="50">
        <v>0</v>
      </c>
      <c r="AW210" s="50">
        <v>0</v>
      </c>
      <c r="AX210" s="50">
        <v>0</v>
      </c>
      <c r="AY210" s="50"/>
      <c r="AZ210" s="50">
        <f t="shared" si="133"/>
        <v>0</v>
      </c>
      <c r="BA210" s="50">
        <v>0</v>
      </c>
      <c r="BB210" s="50">
        <v>0</v>
      </c>
      <c r="BC210" s="50">
        <v>0</v>
      </c>
      <c r="BD210" s="50">
        <v>0</v>
      </c>
      <c r="BE210" s="50"/>
      <c r="BF210" s="50">
        <f t="shared" si="6"/>
        <v>0</v>
      </c>
      <c r="BG210" s="50">
        <v>0</v>
      </c>
      <c r="BH210" s="50">
        <v>0</v>
      </c>
      <c r="BI210" s="50">
        <v>0</v>
      </c>
      <c r="BJ210" s="50">
        <v>0</v>
      </c>
      <c r="BK210" s="50"/>
      <c r="BL210" s="20"/>
    </row>
    <row r="211" spans="1:64" ht="96" x14ac:dyDescent="0.2">
      <c r="A211" s="69">
        <v>207</v>
      </c>
      <c r="B211" s="48" t="str">
        <f ca="1">IFERROR(__xludf.DUMMYFUNCTION("""COMPUTED_VALUE"""),"г.о. Истра")</f>
        <v>г.о. Истра</v>
      </c>
      <c r="C21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1" s="52" t="str">
        <f ca="1">IFERROR(__xludf.DUMMYFUNCTION("""COMPUTED_VALUE"""),"МинЖКХ")</f>
        <v>МинЖКХ</v>
      </c>
      <c r="E211" s="45" t="s">
        <v>262</v>
      </c>
      <c r="F211" s="48" t="str">
        <f ca="1">IFERROR(__xludf.DUMMYFUNCTION("""COMPUTED_VALUE"""),"ВЗУ")</f>
        <v>ВЗУ</v>
      </c>
      <c r="G211" s="48" t="str">
        <f ca="1">IFERROR(__xludf.DUMMYFUNCTION("""COMPUTED_VALUE"""),"Н/Л")</f>
        <v>Н/Л</v>
      </c>
      <c r="H211" s="48"/>
      <c r="I211" s="48" t="str">
        <f ca="1">IFERROR(__xludf.DUMMYFUNCTION("""COMPUTED_VALUE"""),"Приобретение, монтаж")</f>
        <v>Приобретение, монтаж</v>
      </c>
      <c r="J211" s="48"/>
      <c r="K211" s="48"/>
      <c r="L211" s="48"/>
      <c r="M211" s="48"/>
      <c r="N211" s="48" t="str">
        <f ca="1">IFERROR(__xludf.DUMMYFUNCTION("""COMPUTED_VALUE"""),"10 1 02 60330")</f>
        <v>10 1 02 60330</v>
      </c>
      <c r="O211" s="48">
        <f ca="1">IFERROR(__xludf.DUMMYFUNCTION("""COMPUTED_VALUE"""),520)</f>
        <v>520</v>
      </c>
      <c r="P211" s="24">
        <f t="shared" ref="P211:T211" si="217">SUM(V211,AB211,AH211,AN211,AT211,AZ211,BF211)</f>
        <v>0</v>
      </c>
      <c r="Q211" s="24">
        <f t="shared" si="217"/>
        <v>0</v>
      </c>
      <c r="R211" s="24">
        <f t="shared" si="217"/>
        <v>0</v>
      </c>
      <c r="S211" s="24">
        <f t="shared" si="217"/>
        <v>0</v>
      </c>
      <c r="T211" s="24">
        <f t="shared" si="217"/>
        <v>0</v>
      </c>
      <c r="U211" s="20"/>
      <c r="V211" s="24"/>
      <c r="W211" s="24"/>
      <c r="X211" s="24"/>
      <c r="Y211" s="24"/>
      <c r="Z211" s="24"/>
      <c r="AA211" s="24"/>
      <c r="AB211" s="24"/>
      <c r="AC211" s="50"/>
      <c r="AD211" s="50"/>
      <c r="AE211" s="50"/>
      <c r="AF211" s="50"/>
      <c r="AG211" s="50"/>
      <c r="AH211" s="50">
        <f t="shared" si="2"/>
        <v>0</v>
      </c>
      <c r="AI211" s="50">
        <v>0</v>
      </c>
      <c r="AJ211" s="50">
        <v>0</v>
      </c>
      <c r="AK211" s="50">
        <v>0</v>
      </c>
      <c r="AL211" s="50">
        <v>0</v>
      </c>
      <c r="AM211" s="50"/>
      <c r="AN211" s="24">
        <f t="shared" si="3"/>
        <v>0</v>
      </c>
      <c r="AO211" s="50">
        <v>0</v>
      </c>
      <c r="AP211" s="50">
        <v>0</v>
      </c>
      <c r="AQ211" s="50">
        <v>0</v>
      </c>
      <c r="AR211" s="50">
        <v>0</v>
      </c>
      <c r="AS211" s="50"/>
      <c r="AT211" s="50">
        <f t="shared" si="4"/>
        <v>0</v>
      </c>
      <c r="AU211" s="50">
        <v>0</v>
      </c>
      <c r="AV211" s="50">
        <v>0</v>
      </c>
      <c r="AW211" s="50">
        <v>0</v>
      </c>
      <c r="AX211" s="50">
        <v>0</v>
      </c>
      <c r="AY211" s="50"/>
      <c r="AZ211" s="50">
        <f t="shared" si="133"/>
        <v>0</v>
      </c>
      <c r="BA211" s="50">
        <v>0</v>
      </c>
      <c r="BB211" s="50">
        <v>0</v>
      </c>
      <c r="BC211" s="50">
        <v>0</v>
      </c>
      <c r="BD211" s="50">
        <v>0</v>
      </c>
      <c r="BE211" s="50"/>
      <c r="BF211" s="50">
        <f t="shared" si="6"/>
        <v>0</v>
      </c>
      <c r="BG211" s="50">
        <v>0</v>
      </c>
      <c r="BH211" s="50">
        <v>0</v>
      </c>
      <c r="BI211" s="50">
        <v>0</v>
      </c>
      <c r="BJ211" s="50">
        <v>0</v>
      </c>
      <c r="BK211" s="50"/>
      <c r="BL211" s="20"/>
    </row>
    <row r="212" spans="1:64" ht="96" x14ac:dyDescent="0.2">
      <c r="A212" s="69">
        <v>208</v>
      </c>
      <c r="B212" s="48" t="str">
        <f ca="1">IFERROR(__xludf.DUMMYFUNCTION("""COMPUTED_VALUE"""),"г.о. Истра")</f>
        <v>г.о. Истра</v>
      </c>
      <c r="C21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2" s="52" t="str">
        <f ca="1">IFERROR(__xludf.DUMMYFUNCTION("""COMPUTED_VALUE"""),"МинЖКХ")</f>
        <v>МинЖКХ</v>
      </c>
      <c r="E212" s="45" t="s">
        <v>263</v>
      </c>
      <c r="F212" s="48" t="str">
        <f ca="1">IFERROR(__xludf.DUMMYFUNCTION("""COMPUTED_VALUE"""),"ВЗУ")</f>
        <v>ВЗУ</v>
      </c>
      <c r="G212" s="48" t="str">
        <f ca="1">IFERROR(__xludf.DUMMYFUNCTION("""COMPUTED_VALUE"""),"Н/Л")</f>
        <v>Н/Л</v>
      </c>
      <c r="H212" s="48"/>
      <c r="I212" s="48" t="str">
        <f ca="1">IFERROR(__xludf.DUMMYFUNCTION("""COMPUTED_VALUE"""),"Приобретение, монтаж")</f>
        <v>Приобретение, монтаж</v>
      </c>
      <c r="J212" s="48"/>
      <c r="K212" s="48"/>
      <c r="L212" s="48"/>
      <c r="M212" s="48"/>
      <c r="N212" s="48" t="str">
        <f ca="1">IFERROR(__xludf.DUMMYFUNCTION("""COMPUTED_VALUE"""),"10 1 02 60330")</f>
        <v>10 1 02 60330</v>
      </c>
      <c r="O212" s="48">
        <f ca="1">IFERROR(__xludf.DUMMYFUNCTION("""COMPUTED_VALUE"""),520)</f>
        <v>520</v>
      </c>
      <c r="P212" s="24">
        <f t="shared" ref="P212:T212" si="218">SUM(V212,AB212,AH212,AN212,AT212,AZ212,BF212)</f>
        <v>0</v>
      </c>
      <c r="Q212" s="24">
        <f t="shared" si="218"/>
        <v>0</v>
      </c>
      <c r="R212" s="24">
        <f t="shared" si="218"/>
        <v>0</v>
      </c>
      <c r="S212" s="24">
        <f t="shared" si="218"/>
        <v>0</v>
      </c>
      <c r="T212" s="24">
        <f t="shared" si="218"/>
        <v>0</v>
      </c>
      <c r="U212" s="20"/>
      <c r="V212" s="24"/>
      <c r="W212" s="24"/>
      <c r="X212" s="24"/>
      <c r="Y212" s="24"/>
      <c r="Z212" s="24"/>
      <c r="AA212" s="24"/>
      <c r="AB212" s="24"/>
      <c r="AC212" s="50"/>
      <c r="AD212" s="50"/>
      <c r="AE212" s="50"/>
      <c r="AF212" s="50"/>
      <c r="AG212" s="50"/>
      <c r="AH212" s="50">
        <f t="shared" si="2"/>
        <v>0</v>
      </c>
      <c r="AI212" s="50">
        <v>0</v>
      </c>
      <c r="AJ212" s="50">
        <v>0</v>
      </c>
      <c r="AK212" s="50">
        <v>0</v>
      </c>
      <c r="AL212" s="50">
        <v>0</v>
      </c>
      <c r="AM212" s="50"/>
      <c r="AN212" s="24">
        <f t="shared" si="3"/>
        <v>0</v>
      </c>
      <c r="AO212" s="50">
        <v>0</v>
      </c>
      <c r="AP212" s="50">
        <v>0</v>
      </c>
      <c r="AQ212" s="50">
        <v>0</v>
      </c>
      <c r="AR212" s="50">
        <v>0</v>
      </c>
      <c r="AS212" s="50"/>
      <c r="AT212" s="50">
        <f t="shared" si="4"/>
        <v>0</v>
      </c>
      <c r="AU212" s="50">
        <v>0</v>
      </c>
      <c r="AV212" s="50">
        <v>0</v>
      </c>
      <c r="AW212" s="50">
        <v>0</v>
      </c>
      <c r="AX212" s="50">
        <v>0</v>
      </c>
      <c r="AY212" s="50"/>
      <c r="AZ212" s="50">
        <f t="shared" si="133"/>
        <v>0</v>
      </c>
      <c r="BA212" s="50">
        <v>0</v>
      </c>
      <c r="BB212" s="50">
        <v>0</v>
      </c>
      <c r="BC212" s="50">
        <v>0</v>
      </c>
      <c r="BD212" s="50">
        <v>0</v>
      </c>
      <c r="BE212" s="50"/>
      <c r="BF212" s="50">
        <f t="shared" si="6"/>
        <v>0</v>
      </c>
      <c r="BG212" s="50">
        <v>0</v>
      </c>
      <c r="BH212" s="50">
        <v>0</v>
      </c>
      <c r="BI212" s="50">
        <v>0</v>
      </c>
      <c r="BJ212" s="50">
        <v>0</v>
      </c>
      <c r="BK212" s="50"/>
      <c r="BL212" s="20"/>
    </row>
    <row r="213" spans="1:64" ht="96" x14ac:dyDescent="0.2">
      <c r="A213" s="69">
        <v>209</v>
      </c>
      <c r="B213" s="48" t="str">
        <f ca="1">IFERROR(__xludf.DUMMYFUNCTION("""COMPUTED_VALUE"""),"г.о. Истра")</f>
        <v>г.о. Истра</v>
      </c>
      <c r="C21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3" s="52" t="str">
        <f ca="1">IFERROR(__xludf.DUMMYFUNCTION("""COMPUTED_VALUE"""),"МинЖКХ")</f>
        <v>МинЖКХ</v>
      </c>
      <c r="E213" s="45" t="s">
        <v>264</v>
      </c>
      <c r="F213" s="48" t="str">
        <f ca="1">IFERROR(__xludf.DUMMYFUNCTION("""COMPUTED_VALUE"""),"ВЗУ")</f>
        <v>ВЗУ</v>
      </c>
      <c r="G213" s="48" t="str">
        <f ca="1">IFERROR(__xludf.DUMMYFUNCTION("""COMPUTED_VALUE"""),"Н/Л")</f>
        <v>Н/Л</v>
      </c>
      <c r="H213" s="48"/>
      <c r="I213" s="48" t="str">
        <f ca="1">IFERROR(__xludf.DUMMYFUNCTION("""COMPUTED_VALUE"""),"Приобретение, монтаж")</f>
        <v>Приобретение, монтаж</v>
      </c>
      <c r="J213" s="48"/>
      <c r="K213" s="48"/>
      <c r="L213" s="48"/>
      <c r="M213" s="48"/>
      <c r="N213" s="48" t="str">
        <f ca="1">IFERROR(__xludf.DUMMYFUNCTION("""COMPUTED_VALUE"""),"10 1 02 60330")</f>
        <v>10 1 02 60330</v>
      </c>
      <c r="O213" s="48">
        <f ca="1">IFERROR(__xludf.DUMMYFUNCTION("""COMPUTED_VALUE"""),520)</f>
        <v>520</v>
      </c>
      <c r="P213" s="24">
        <f t="shared" ref="P213:T213" si="219">SUM(V213,AB213,AH213,AN213,AT213,AZ213,BF213)</f>
        <v>0</v>
      </c>
      <c r="Q213" s="20">
        <f t="shared" si="219"/>
        <v>0</v>
      </c>
      <c r="R213" s="20">
        <f t="shared" si="219"/>
        <v>0</v>
      </c>
      <c r="S213" s="20">
        <f t="shared" si="219"/>
        <v>0</v>
      </c>
      <c r="T213" s="20">
        <f t="shared" si="219"/>
        <v>0</v>
      </c>
      <c r="U213" s="20"/>
      <c r="V213" s="20"/>
      <c r="W213" s="20"/>
      <c r="X213" s="20"/>
      <c r="Y213" s="20"/>
      <c r="Z213" s="20"/>
      <c r="AA213" s="20"/>
      <c r="AB213" s="20"/>
      <c r="AC213" s="24"/>
      <c r="AD213" s="24"/>
      <c r="AE213" s="24"/>
      <c r="AF213" s="24"/>
      <c r="AG213" s="24"/>
      <c r="AH213" s="50">
        <f t="shared" si="2"/>
        <v>0</v>
      </c>
      <c r="AI213" s="50">
        <v>0</v>
      </c>
      <c r="AJ213" s="50">
        <v>0</v>
      </c>
      <c r="AK213" s="50">
        <v>0</v>
      </c>
      <c r="AL213" s="50">
        <v>0</v>
      </c>
      <c r="AM213" s="50"/>
      <c r="AN213" s="24">
        <f t="shared" si="3"/>
        <v>0</v>
      </c>
      <c r="AO213" s="50">
        <v>0</v>
      </c>
      <c r="AP213" s="50">
        <v>0</v>
      </c>
      <c r="AQ213" s="50">
        <v>0</v>
      </c>
      <c r="AR213" s="50">
        <v>0</v>
      </c>
      <c r="AS213" s="50"/>
      <c r="AT213" s="50">
        <f t="shared" si="4"/>
        <v>0</v>
      </c>
      <c r="AU213" s="50">
        <v>0</v>
      </c>
      <c r="AV213" s="50">
        <v>0</v>
      </c>
      <c r="AW213" s="50">
        <v>0</v>
      </c>
      <c r="AX213" s="50">
        <v>0</v>
      </c>
      <c r="AY213" s="50"/>
      <c r="AZ213" s="50">
        <f t="shared" si="133"/>
        <v>0</v>
      </c>
      <c r="BA213" s="50">
        <v>0</v>
      </c>
      <c r="BB213" s="50">
        <v>0</v>
      </c>
      <c r="BC213" s="50">
        <v>0</v>
      </c>
      <c r="BD213" s="50">
        <v>0</v>
      </c>
      <c r="BE213" s="50"/>
      <c r="BF213" s="50">
        <f t="shared" si="6"/>
        <v>0</v>
      </c>
      <c r="BG213" s="50">
        <v>0</v>
      </c>
      <c r="BH213" s="50">
        <v>0</v>
      </c>
      <c r="BI213" s="50">
        <v>0</v>
      </c>
      <c r="BJ213" s="50">
        <v>0</v>
      </c>
      <c r="BK213" s="50"/>
      <c r="BL213" s="20"/>
    </row>
    <row r="214" spans="1:64" ht="96" x14ac:dyDescent="0.2">
      <c r="A214" s="69">
        <v>210</v>
      </c>
      <c r="B214" s="48" t="str">
        <f ca="1">IFERROR(__xludf.DUMMYFUNCTION("""COMPUTED_VALUE"""),"г.о. Пушкинский")</f>
        <v>г.о. Пушкинский</v>
      </c>
      <c r="C21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приобретение, монтаж и ввод в эксплуатацию  объектов водоснабжения </v>
      </c>
      <c r="D214" s="52" t="str">
        <f ca="1">IFERROR(__xludf.DUMMYFUNCTION("""COMPUTED_VALUE"""),"МинЖКХ")</f>
        <v>МинЖКХ</v>
      </c>
      <c r="E214" s="45" t="s">
        <v>265</v>
      </c>
      <c r="F214" s="46" t="str">
        <f ca="1">IFERROR(__xludf.DUMMYFUNCTION("""COMPUTED_VALUE"""),"ВЗУ")</f>
        <v>ВЗУ</v>
      </c>
      <c r="G214" s="46">
        <f ca="1">IFERROR(__xludf.DUMMYFUNCTION("""COMPUTED_VALUE"""),2020)</f>
        <v>2020</v>
      </c>
      <c r="H214" s="48" t="str">
        <f ca="1">IFERROR(__xludf.DUMMYFUNCTION("""COMPUTED_VALUE"""),"ЗАВЕРШЕНО
Аварийный контракт. Включено в ГП для возмещения затрат.")</f>
        <v>ЗАВЕРШЕНО
Аварийный контракт. Включено в ГП для возмещения затрат.</v>
      </c>
      <c r="I214" s="48" t="str">
        <f ca="1">IFERROR(__xludf.DUMMYFUNCTION("""COMPUTED_VALUE"""),"Приобретение, монтаж")</f>
        <v>Приобретение, монтаж</v>
      </c>
      <c r="J214" s="70">
        <f ca="1">IFERROR(__xludf.DUMMYFUNCTION("""COMPUTED_VALUE"""),1)</f>
        <v>1</v>
      </c>
      <c r="K214" s="48">
        <f ca="1">IFERROR(__xludf.DUMMYFUNCTION("""COMPUTED_VALUE"""),559)</f>
        <v>559</v>
      </c>
      <c r="L214" s="48">
        <f ca="1">IFERROR(__xludf.DUMMYFUNCTION("""COMPUTED_VALUE"""),559)</f>
        <v>559</v>
      </c>
      <c r="M214" s="48"/>
      <c r="N214" s="48" t="str">
        <f ca="1">IFERROR(__xludf.DUMMYFUNCTION("""COMPUTED_VALUE"""),"10 1 02 60330")</f>
        <v>10 1 02 60330</v>
      </c>
      <c r="O214" s="48">
        <f ca="1">IFERROR(__xludf.DUMMYFUNCTION("""COMPUTED_VALUE"""),520)</f>
        <v>520</v>
      </c>
      <c r="P214" s="24">
        <f t="shared" ref="P214:T214" si="220">SUM(V214,AB214,AH214,AN214,AT214,AZ214,BF214)</f>
        <v>3988</v>
      </c>
      <c r="Q214" s="20">
        <f t="shared" si="220"/>
        <v>0</v>
      </c>
      <c r="R214" s="24">
        <f t="shared" si="220"/>
        <v>3015</v>
      </c>
      <c r="S214" s="20">
        <f t="shared" si="220"/>
        <v>0</v>
      </c>
      <c r="T214" s="24">
        <f t="shared" si="220"/>
        <v>973</v>
      </c>
      <c r="U214" s="24"/>
      <c r="V214" s="20"/>
      <c r="W214" s="20"/>
      <c r="X214" s="20"/>
      <c r="Y214" s="20"/>
      <c r="Z214" s="20"/>
      <c r="AA214" s="20"/>
      <c r="AB214" s="20"/>
      <c r="AC214" s="24"/>
      <c r="AD214" s="24"/>
      <c r="AE214" s="24"/>
      <c r="AF214" s="24"/>
      <c r="AG214" s="24"/>
      <c r="AH214" s="50">
        <f t="shared" si="2"/>
        <v>3988</v>
      </c>
      <c r="AI214" s="50">
        <v>0</v>
      </c>
      <c r="AJ214" s="50">
        <v>3015</v>
      </c>
      <c r="AK214" s="50">
        <v>0</v>
      </c>
      <c r="AL214" s="50">
        <v>973</v>
      </c>
      <c r="AM214" s="50"/>
      <c r="AN214" s="24">
        <f t="shared" si="3"/>
        <v>0</v>
      </c>
      <c r="AO214" s="50">
        <v>0</v>
      </c>
      <c r="AP214" s="50">
        <v>0</v>
      </c>
      <c r="AQ214" s="50">
        <v>0</v>
      </c>
      <c r="AR214" s="50">
        <v>0</v>
      </c>
      <c r="AS214" s="50"/>
      <c r="AT214" s="50">
        <f t="shared" si="4"/>
        <v>0</v>
      </c>
      <c r="AU214" s="50">
        <v>0</v>
      </c>
      <c r="AV214" s="50">
        <v>0</v>
      </c>
      <c r="AW214" s="50">
        <v>0</v>
      </c>
      <c r="AX214" s="50">
        <v>0</v>
      </c>
      <c r="AY214" s="50"/>
      <c r="AZ214" s="50">
        <f t="shared" si="133"/>
        <v>0</v>
      </c>
      <c r="BA214" s="50">
        <v>0</v>
      </c>
      <c r="BB214" s="50">
        <v>0</v>
      </c>
      <c r="BC214" s="50">
        <v>0</v>
      </c>
      <c r="BD214" s="50">
        <v>0</v>
      </c>
      <c r="BE214" s="50"/>
      <c r="BF214" s="50">
        <f t="shared" si="6"/>
        <v>0</v>
      </c>
      <c r="BG214" s="50">
        <v>0</v>
      </c>
      <c r="BH214" s="50">
        <v>0</v>
      </c>
      <c r="BI214" s="50">
        <v>0</v>
      </c>
      <c r="BJ214" s="50">
        <v>0</v>
      </c>
      <c r="BK214" s="50"/>
      <c r="BL214" s="20"/>
    </row>
    <row r="215" spans="1:64" ht="60" x14ac:dyDescent="0.2">
      <c r="A215" s="69">
        <v>211</v>
      </c>
      <c r="B215" s="48" t="str">
        <f ca="1">IFERROR(__xludf.DUMMYFUNCTION("""COMPUTED_VALUE"""),"МинЖКХ г.о. Можайск")</f>
        <v>МинЖКХ г.о. Можайск</v>
      </c>
      <c r="C215" s="46"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5" s="52" t="str">
        <f ca="1">IFERROR(__xludf.DUMMYFUNCTION("""COMPUTED_VALUE"""),"МинЖКХ")</f>
        <v>МинЖКХ</v>
      </c>
      <c r="E215" s="45" t="s">
        <v>266</v>
      </c>
      <c r="F215" s="46" t="str">
        <f ca="1">IFERROR(__xludf.DUMMYFUNCTION("""COMPUTED_VALUE"""),"ВЗУ")</f>
        <v>ВЗУ</v>
      </c>
      <c r="G215" s="46" t="str">
        <f ca="1">IFERROR(__xludf.DUMMYFUNCTION("""COMPUTED_VALUE"""),"2020-2022")</f>
        <v>2020-2022</v>
      </c>
      <c r="H215" s="48" t="str">
        <f ca="1">IFERROR(__xludf.DUMMYFUNCTION("""COMPUTED_VALUE"""),"Получение положительного заключения МОГЭ получено. Перенос лимитов на 2022 год.")</f>
        <v>Получение положительного заключения МОГЭ получено. Перенос лимитов на 2022 год.</v>
      </c>
      <c r="I215" s="48" t="str">
        <f ca="1">IFERROR(__xludf.DUMMYFUNCTION("""COMPUTED_VALUE"""),"СМР")</f>
        <v>СМР</v>
      </c>
      <c r="J215" s="70">
        <f ca="1">IFERROR(__xludf.DUMMYFUNCTION("""COMPUTED_VALUE"""),0)</f>
        <v>0</v>
      </c>
      <c r="K215" s="48"/>
      <c r="L215" s="48"/>
      <c r="M215" s="48"/>
      <c r="N215" s="48" t="str">
        <f ca="1">IFERROR(__xludf.DUMMYFUNCTION("""COMPUTED_VALUE"""),"10 2 01 40010")</f>
        <v>10 2 01 40010</v>
      </c>
      <c r="O215" s="48">
        <f ca="1">IFERROR(__xludf.DUMMYFUNCTION("""COMPUTED_VALUE"""),414)</f>
        <v>414</v>
      </c>
      <c r="P215" s="24">
        <f t="shared" ref="P215:T215" si="221">SUM(V215,AB215,AH215,AN215,AT215,AZ215,BF215)</f>
        <v>88290</v>
      </c>
      <c r="Q215" s="20">
        <f t="shared" si="221"/>
        <v>0</v>
      </c>
      <c r="R215" s="24">
        <f t="shared" si="221"/>
        <v>88290</v>
      </c>
      <c r="S215" s="20">
        <f t="shared" si="221"/>
        <v>0</v>
      </c>
      <c r="T215" s="20">
        <f t="shared" si="221"/>
        <v>0</v>
      </c>
      <c r="U215" s="20"/>
      <c r="V215" s="20"/>
      <c r="W215" s="20"/>
      <c r="X215" s="20"/>
      <c r="Y215" s="20"/>
      <c r="Z215" s="20"/>
      <c r="AA215" s="20"/>
      <c r="AB215" s="20"/>
      <c r="AC215" s="24"/>
      <c r="AD215" s="24"/>
      <c r="AE215" s="24"/>
      <c r="AF215" s="24"/>
      <c r="AG215" s="24"/>
      <c r="AH215" s="50">
        <f t="shared" si="2"/>
        <v>4790</v>
      </c>
      <c r="AI215" s="50">
        <v>0</v>
      </c>
      <c r="AJ215" s="50">
        <v>4790</v>
      </c>
      <c r="AK215" s="50">
        <v>0</v>
      </c>
      <c r="AL215" s="50">
        <v>0</v>
      </c>
      <c r="AM215" s="50"/>
      <c r="AN215" s="24">
        <f t="shared" si="3"/>
        <v>16700</v>
      </c>
      <c r="AO215" s="50">
        <v>0</v>
      </c>
      <c r="AP215" s="50">
        <v>16700</v>
      </c>
      <c r="AQ215" s="50">
        <v>0</v>
      </c>
      <c r="AR215" s="50">
        <v>0</v>
      </c>
      <c r="AS215" s="50"/>
      <c r="AT215" s="50">
        <f t="shared" si="4"/>
        <v>66800</v>
      </c>
      <c r="AU215" s="50">
        <v>0</v>
      </c>
      <c r="AV215" s="50">
        <v>66800</v>
      </c>
      <c r="AW215" s="50">
        <v>0</v>
      </c>
      <c r="AX215" s="50">
        <v>0</v>
      </c>
      <c r="AY215" s="50"/>
      <c r="AZ215" s="50">
        <f t="shared" si="133"/>
        <v>0</v>
      </c>
      <c r="BA215" s="50">
        <v>0</v>
      </c>
      <c r="BB215" s="50">
        <v>0</v>
      </c>
      <c r="BC215" s="50">
        <v>0</v>
      </c>
      <c r="BD215" s="50">
        <v>0</v>
      </c>
      <c r="BE215" s="50"/>
      <c r="BF215" s="50">
        <f t="shared" si="6"/>
        <v>0</v>
      </c>
      <c r="BG215" s="50">
        <v>0</v>
      </c>
      <c r="BH215" s="50">
        <v>0</v>
      </c>
      <c r="BI215" s="50">
        <v>0</v>
      </c>
      <c r="BJ215" s="50">
        <v>0</v>
      </c>
      <c r="BK215" s="50"/>
      <c r="BL215" s="20"/>
    </row>
    <row r="216" spans="1:64" ht="60" x14ac:dyDescent="0.2">
      <c r="A216" s="69">
        <v>212</v>
      </c>
      <c r="B216" s="48" t="str">
        <f ca="1">IFERROR(__xludf.DUMMYFUNCTION("""COMPUTED_VALUE"""),"МинЖКХ г.о. Можайск")</f>
        <v>МинЖКХ г.о. Можайск</v>
      </c>
      <c r="C216" s="46"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6" s="52" t="str">
        <f ca="1">IFERROR(__xludf.DUMMYFUNCTION("""COMPUTED_VALUE"""),"МинЖКХ")</f>
        <v>МинЖКХ</v>
      </c>
      <c r="E216" s="45" t="s">
        <v>267</v>
      </c>
      <c r="F216" s="46" t="str">
        <f ca="1">IFERROR(__xludf.DUMMYFUNCTION("""COMPUTED_VALUE"""),"ВЗУ")</f>
        <v>ВЗУ</v>
      </c>
      <c r="G216" s="46">
        <f ca="1">IFERROR(__xludf.DUMMYFUNCTION("""COMPUTED_VALUE"""),2020)</f>
        <v>2020</v>
      </c>
      <c r="H216" s="48" t="str">
        <f ca="1">IFERROR(__xludf.DUMMYFUNCTION("""COMPUTED_VALUE"""),"Выполнен демонтаж водонапорной башни. Ведутся работы по монтажу ж/б основания и бурения скважины. Оборудование на ВЗУ закуплено. ")</f>
        <v xml:space="preserve">Выполнен демонтаж водонапорной башни. Ведутся работы по монтажу ж/б основания и бурения скважины. Оборудование на ВЗУ закуплено. </v>
      </c>
      <c r="I216" s="48" t="str">
        <f ca="1">IFERROR(__xludf.DUMMYFUNCTION("""COMPUTED_VALUE"""),"СМР")</f>
        <v>СМР</v>
      </c>
      <c r="J216" s="70">
        <f ca="1">IFERROR(__xludf.DUMMYFUNCTION("""COMPUTED_VALUE"""),0.6)</f>
        <v>0.6</v>
      </c>
      <c r="K216" s="48"/>
      <c r="L216" s="48"/>
      <c r="M216" s="48"/>
      <c r="N216" s="48" t="str">
        <f ca="1">IFERROR(__xludf.DUMMYFUNCTION("""COMPUTED_VALUE"""),"10 1 02 40010")</f>
        <v>10 1 02 40010</v>
      </c>
      <c r="O216" s="48">
        <f ca="1">IFERROR(__xludf.DUMMYFUNCTION("""COMPUTED_VALUE"""),414)</f>
        <v>414</v>
      </c>
      <c r="P216" s="24">
        <f t="shared" ref="P216:T216" si="222">SUM(V216,AB216,AH216,AN216,AT216,AZ216,BF216)</f>
        <v>30076</v>
      </c>
      <c r="Q216" s="20">
        <f t="shared" si="222"/>
        <v>0</v>
      </c>
      <c r="R216" s="24">
        <f t="shared" si="222"/>
        <v>30076</v>
      </c>
      <c r="S216" s="20">
        <f t="shared" si="222"/>
        <v>0</v>
      </c>
      <c r="T216" s="20">
        <f t="shared" si="222"/>
        <v>0</v>
      </c>
      <c r="U216" s="20"/>
      <c r="V216" s="20"/>
      <c r="W216" s="20"/>
      <c r="X216" s="20"/>
      <c r="Y216" s="20"/>
      <c r="Z216" s="20"/>
      <c r="AA216" s="20"/>
      <c r="AB216" s="20"/>
      <c r="AC216" s="24"/>
      <c r="AD216" s="24"/>
      <c r="AE216" s="24"/>
      <c r="AF216" s="24"/>
      <c r="AG216" s="24"/>
      <c r="AH216" s="50">
        <f t="shared" si="2"/>
        <v>30076</v>
      </c>
      <c r="AI216" s="50">
        <v>0</v>
      </c>
      <c r="AJ216" s="50">
        <v>30076</v>
      </c>
      <c r="AK216" s="50">
        <v>0</v>
      </c>
      <c r="AL216" s="50">
        <v>0</v>
      </c>
      <c r="AM216" s="50"/>
      <c r="AN216" s="24">
        <f t="shared" si="3"/>
        <v>0</v>
      </c>
      <c r="AO216" s="50">
        <v>0</v>
      </c>
      <c r="AP216" s="50">
        <v>0</v>
      </c>
      <c r="AQ216" s="50">
        <v>0</v>
      </c>
      <c r="AR216" s="50">
        <v>0</v>
      </c>
      <c r="AS216" s="50"/>
      <c r="AT216" s="50">
        <f t="shared" si="4"/>
        <v>0</v>
      </c>
      <c r="AU216" s="50">
        <v>0</v>
      </c>
      <c r="AV216" s="50">
        <v>0</v>
      </c>
      <c r="AW216" s="50">
        <v>0</v>
      </c>
      <c r="AX216" s="50">
        <v>0</v>
      </c>
      <c r="AY216" s="50"/>
      <c r="AZ216" s="50">
        <f t="shared" si="133"/>
        <v>0</v>
      </c>
      <c r="BA216" s="50">
        <v>0</v>
      </c>
      <c r="BB216" s="50">
        <v>0</v>
      </c>
      <c r="BC216" s="50">
        <v>0</v>
      </c>
      <c r="BD216" s="50">
        <v>0</v>
      </c>
      <c r="BE216" s="50"/>
      <c r="BF216" s="50">
        <f t="shared" si="6"/>
        <v>0</v>
      </c>
      <c r="BG216" s="50">
        <v>0</v>
      </c>
      <c r="BH216" s="50">
        <v>0</v>
      </c>
      <c r="BI216" s="50">
        <v>0</v>
      </c>
      <c r="BJ216" s="50">
        <v>0</v>
      </c>
      <c r="BK216" s="50"/>
      <c r="BL216" s="20"/>
    </row>
    <row r="217" spans="1:64" ht="120" x14ac:dyDescent="0.2">
      <c r="A217" s="69">
        <v>213</v>
      </c>
      <c r="B217" s="48" t="str">
        <f ca="1">IFERROR(__xludf.DUMMYFUNCTION("""COMPUTED_VALUE"""),"МинЖКХ г.о. Можайск")</f>
        <v>МинЖКХ г.о. Можайск</v>
      </c>
      <c r="C217" s="46"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7" s="52" t="str">
        <f ca="1">IFERROR(__xludf.DUMMYFUNCTION("""COMPUTED_VALUE"""),"МинЖКХ")</f>
        <v>МинЖКХ</v>
      </c>
      <c r="E217" s="45" t="s">
        <v>268</v>
      </c>
      <c r="F217" s="46" t="str">
        <f ca="1">IFERROR(__xludf.DUMMYFUNCTION("""COMPUTED_VALUE"""),"ВЗУ")</f>
        <v>ВЗУ</v>
      </c>
      <c r="G217" s="46">
        <f ca="1">IFERROR(__xludf.DUMMYFUNCTION("""COMPUTED_VALUE"""),2020)</f>
        <v>2020</v>
      </c>
      <c r="H217" s="48" t="str">
        <f ca="1">IFERROR(__xludf.DUMMYFUNCTION("""COMPUTED_VALUE"""),"Выполнены работы по капитальному ремонту РЧВ, монтажу внешних инженерных сетей, работы по укреплению и гидроизоляции фундамента станции обезжелезивания, монтаж кровли станции второго подъёма. Оборудование на ВЗУ закуплено. Ведется работа по внутренней отд"&amp;"елке станции второго подъёма и станции обезжелезивания, монтаж внутренних инженерных сетей, монтаж дверных блоков. ")</f>
        <v xml:space="preserve">Выполнены работы по капитальному ремонту РЧВ, монтажу внешних инженерных сетей, работы по укреплению и гидроизоляции фундамента станции обезжелезивания, монтаж кровли станции второго подъёма. Оборудование на ВЗУ закуплено. Ведется работа по внутренней отделке станции второго подъёма и станции обезжелезивания, монтаж внутренних инженерных сетей, монтаж дверных блоков. </v>
      </c>
      <c r="I217" s="48" t="str">
        <f ca="1">IFERROR(__xludf.DUMMYFUNCTION("""COMPUTED_VALUE"""),"СМР")</f>
        <v>СМР</v>
      </c>
      <c r="J217" s="70">
        <f ca="1">IFERROR(__xludf.DUMMYFUNCTION("""COMPUTED_VALUE"""),0.7)</f>
        <v>0.7</v>
      </c>
      <c r="K217" s="48"/>
      <c r="L217" s="48"/>
      <c r="M217" s="48"/>
      <c r="N217" s="48" t="str">
        <f ca="1">IFERROR(__xludf.DUMMYFUNCTION("""COMPUTED_VALUE"""),"10 1 02 40010")</f>
        <v>10 1 02 40010</v>
      </c>
      <c r="O217" s="48">
        <f ca="1">IFERROR(__xludf.DUMMYFUNCTION("""COMPUTED_VALUE"""),414)</f>
        <v>414</v>
      </c>
      <c r="P217" s="24">
        <f t="shared" ref="P217:T217" si="223">SUM(V217,AB217,AH217,AN217,AT217,AZ217,BF217)</f>
        <v>53524</v>
      </c>
      <c r="Q217" s="20">
        <f t="shared" si="223"/>
        <v>0</v>
      </c>
      <c r="R217" s="24">
        <f t="shared" si="223"/>
        <v>53524</v>
      </c>
      <c r="S217" s="20">
        <f t="shared" si="223"/>
        <v>0</v>
      </c>
      <c r="T217" s="20">
        <f t="shared" si="223"/>
        <v>0</v>
      </c>
      <c r="U217" s="20"/>
      <c r="V217" s="20"/>
      <c r="W217" s="20"/>
      <c r="X217" s="20"/>
      <c r="Y217" s="20"/>
      <c r="Z217" s="20"/>
      <c r="AA217" s="20"/>
      <c r="AB217" s="20"/>
      <c r="AC217" s="24"/>
      <c r="AD217" s="24"/>
      <c r="AE217" s="24"/>
      <c r="AF217" s="24"/>
      <c r="AG217" s="24"/>
      <c r="AH217" s="50">
        <f t="shared" si="2"/>
        <v>53524</v>
      </c>
      <c r="AI217" s="50">
        <v>0</v>
      </c>
      <c r="AJ217" s="50">
        <v>53524</v>
      </c>
      <c r="AK217" s="50">
        <v>0</v>
      </c>
      <c r="AL217" s="50">
        <v>0</v>
      </c>
      <c r="AM217" s="50"/>
      <c r="AN217" s="24">
        <f t="shared" si="3"/>
        <v>0</v>
      </c>
      <c r="AO217" s="50">
        <v>0</v>
      </c>
      <c r="AP217" s="50">
        <v>0</v>
      </c>
      <c r="AQ217" s="50">
        <v>0</v>
      </c>
      <c r="AR217" s="50">
        <v>0</v>
      </c>
      <c r="AS217" s="50"/>
      <c r="AT217" s="50">
        <f t="shared" si="4"/>
        <v>0</v>
      </c>
      <c r="AU217" s="50">
        <v>0</v>
      </c>
      <c r="AV217" s="50">
        <v>0</v>
      </c>
      <c r="AW217" s="50">
        <v>0</v>
      </c>
      <c r="AX217" s="50">
        <v>0</v>
      </c>
      <c r="AY217" s="50"/>
      <c r="AZ217" s="50">
        <f t="shared" si="133"/>
        <v>0</v>
      </c>
      <c r="BA217" s="50">
        <v>0</v>
      </c>
      <c r="BB217" s="50">
        <v>0</v>
      </c>
      <c r="BC217" s="50">
        <v>0</v>
      </c>
      <c r="BD217" s="50">
        <v>0</v>
      </c>
      <c r="BE217" s="50"/>
      <c r="BF217" s="50">
        <f t="shared" si="6"/>
        <v>0</v>
      </c>
      <c r="BG217" s="50">
        <v>0</v>
      </c>
      <c r="BH217" s="50">
        <v>0</v>
      </c>
      <c r="BI217" s="50">
        <v>0</v>
      </c>
      <c r="BJ217" s="50">
        <v>0</v>
      </c>
      <c r="BK217" s="50"/>
      <c r="BL217" s="20"/>
    </row>
    <row r="218" spans="1:64" ht="60" x14ac:dyDescent="0.2">
      <c r="A218" s="69">
        <v>214</v>
      </c>
      <c r="B218" s="48" t="str">
        <f ca="1">IFERROR(__xludf.DUMMYFUNCTION("""COMPUTED_VALUE"""),"МинЖКХ г.о. Можайск")</f>
        <v>МинЖКХ г.о. Можайск</v>
      </c>
      <c r="C218" s="46" t="str">
        <f ca="1">IFERROR(__xludf.DUMMYFUNCTION("""COMPUTED_VALUE"""),"Мероприятие 4 - Бюджетные инвестиции в обьекты капитального строителсьтва  государственной собственности Московской области")</f>
        <v>Мероприятие 4 - Бюджетные инвестиции в обьекты капитального строителсьтва  государственной собственности Московской области</v>
      </c>
      <c r="D218" s="52" t="str">
        <f ca="1">IFERROR(__xludf.DUMMYFUNCTION("""COMPUTED_VALUE"""),"МинЖКХ")</f>
        <v>МинЖКХ</v>
      </c>
      <c r="E218" s="45" t="s">
        <v>269</v>
      </c>
      <c r="F218" s="46" t="str">
        <f ca="1">IFERROR(__xludf.DUMMYFUNCTION("""COMPUTED_VALUE"""),"ВЗУ")</f>
        <v>ВЗУ</v>
      </c>
      <c r="G218" s="46">
        <f ca="1">IFERROR(__xludf.DUMMYFUNCTION("""COMPUTED_VALUE"""),2020)</f>
        <v>2020</v>
      </c>
      <c r="H218" s="48" t="str">
        <f ca="1">IFERROR(__xludf.DUMMYFUNCTION("""COMPUTED_VALUE"""),"Выполнены работы по демонтажу бака водонапорной башни и оборудования. Ведутся работы по ремонту водонапорной башни Оборудование на ВЗУ закуплено.")</f>
        <v>Выполнены работы по демонтажу бака водонапорной башни и оборудования. Ведутся работы по ремонту водонапорной башни Оборудование на ВЗУ закуплено.</v>
      </c>
      <c r="I218" s="48" t="str">
        <f ca="1">IFERROR(__xludf.DUMMYFUNCTION("""COMPUTED_VALUE"""),"СМР")</f>
        <v>СМР</v>
      </c>
      <c r="J218" s="70">
        <f ca="1">IFERROR(__xludf.DUMMYFUNCTION("""COMPUTED_VALUE"""),0.4)</f>
        <v>0.4</v>
      </c>
      <c r="K218" s="48"/>
      <c r="L218" s="48"/>
      <c r="M218" s="48"/>
      <c r="N218" s="48" t="str">
        <f ca="1">IFERROR(__xludf.DUMMYFUNCTION("""COMPUTED_VALUE"""),"10 1 02 40010")</f>
        <v>10 1 02 40010</v>
      </c>
      <c r="O218" s="48">
        <f ca="1">IFERROR(__xludf.DUMMYFUNCTION("""COMPUTED_VALUE"""),414)</f>
        <v>414</v>
      </c>
      <c r="P218" s="24">
        <f t="shared" ref="P218:T218" si="224">SUM(V218,AB218,AH218,AN218,AT218,AZ218,BF218)</f>
        <v>27638</v>
      </c>
      <c r="Q218" s="20">
        <f t="shared" si="224"/>
        <v>0</v>
      </c>
      <c r="R218" s="24">
        <f t="shared" si="224"/>
        <v>27638</v>
      </c>
      <c r="S218" s="20">
        <f t="shared" si="224"/>
        <v>0</v>
      </c>
      <c r="T218" s="20">
        <f t="shared" si="224"/>
        <v>0</v>
      </c>
      <c r="U218" s="20"/>
      <c r="V218" s="20"/>
      <c r="W218" s="20"/>
      <c r="X218" s="20"/>
      <c r="Y218" s="20"/>
      <c r="Z218" s="20"/>
      <c r="AA218" s="20"/>
      <c r="AB218" s="20"/>
      <c r="AC218" s="24"/>
      <c r="AD218" s="24"/>
      <c r="AE218" s="24"/>
      <c r="AF218" s="24"/>
      <c r="AG218" s="24"/>
      <c r="AH218" s="50">
        <f t="shared" si="2"/>
        <v>27638</v>
      </c>
      <c r="AI218" s="50">
        <v>0</v>
      </c>
      <c r="AJ218" s="50">
        <v>27638</v>
      </c>
      <c r="AK218" s="50">
        <v>0</v>
      </c>
      <c r="AL218" s="50">
        <v>0</v>
      </c>
      <c r="AM218" s="50"/>
      <c r="AN218" s="24">
        <f t="shared" si="3"/>
        <v>0</v>
      </c>
      <c r="AO218" s="50">
        <v>0</v>
      </c>
      <c r="AP218" s="50">
        <v>0</v>
      </c>
      <c r="AQ218" s="50">
        <v>0</v>
      </c>
      <c r="AR218" s="50">
        <v>0</v>
      </c>
      <c r="AS218" s="50"/>
      <c r="AT218" s="50">
        <f t="shared" si="4"/>
        <v>0</v>
      </c>
      <c r="AU218" s="50">
        <v>0</v>
      </c>
      <c r="AV218" s="50">
        <v>0</v>
      </c>
      <c r="AW218" s="50">
        <v>0</v>
      </c>
      <c r="AX218" s="50">
        <v>0</v>
      </c>
      <c r="AY218" s="50"/>
      <c r="AZ218" s="50">
        <f t="shared" si="133"/>
        <v>0</v>
      </c>
      <c r="BA218" s="50">
        <v>0</v>
      </c>
      <c r="BB218" s="50">
        <v>0</v>
      </c>
      <c r="BC218" s="50">
        <v>0</v>
      </c>
      <c r="BD218" s="50">
        <v>0</v>
      </c>
      <c r="BE218" s="50"/>
      <c r="BF218" s="50">
        <f t="shared" si="6"/>
        <v>0</v>
      </c>
      <c r="BG218" s="50">
        <v>0</v>
      </c>
      <c r="BH218" s="50">
        <v>0</v>
      </c>
      <c r="BI218" s="50">
        <v>0</v>
      </c>
      <c r="BJ218" s="50">
        <v>0</v>
      </c>
      <c r="BK218" s="50"/>
      <c r="BL218" s="20"/>
    </row>
    <row r="219" spans="1:64" ht="48" x14ac:dyDescent="0.2">
      <c r="A219" s="69">
        <v>215</v>
      </c>
      <c r="B219" s="48" t="str">
        <f ca="1">IFERROR(__xludf.DUMMYFUNCTION("""COMPUTED_VALUE"""),"г.о. Можайск")</f>
        <v>г.о. Можайск</v>
      </c>
      <c r="C219" s="46" t="str">
        <f ca="1">IFERROR(__xludf.DUMMYFUNCTION("""COMPUTED_VALUE"""),"Мероприятие 5 - Финансовое обеспечение (возмещение) затрат, связанных с капитальным ремонтом объектов водоснабжения")</f>
        <v>Мероприятие 5 - Финансовое обеспечение (возмещение) затрат, связанных с капитальным ремонтом объектов водоснабжения</v>
      </c>
      <c r="D219" s="52" t="str">
        <f ca="1">IFERROR(__xludf.DUMMYFUNCTION("""COMPUTED_VALUE"""),"МинЖКХ")</f>
        <v>МинЖКХ</v>
      </c>
      <c r="E219" s="45" t="s">
        <v>270</v>
      </c>
      <c r="F219" s="48" t="str">
        <f ca="1">IFERROR(__xludf.DUMMYFUNCTION("""COMPUTED_VALUE"""),"ВЗУ")</f>
        <v>ВЗУ</v>
      </c>
      <c r="G219" s="48" t="str">
        <f ca="1">IFERROR(__xludf.DUMMYFUNCTION("""COMPUTED_VALUE"""),"Н/Л")</f>
        <v>Н/Л</v>
      </c>
      <c r="H219" s="48"/>
      <c r="I219" s="48" t="str">
        <f ca="1">IFERROR(__xludf.DUMMYFUNCTION("""COMPUTED_VALUE"""),"СМР")</f>
        <v>СМР</v>
      </c>
      <c r="J219" s="48"/>
      <c r="K219" s="48"/>
      <c r="L219" s="48"/>
      <c r="M219" s="48"/>
      <c r="N219" s="48" t="str">
        <f ca="1">IFERROR(__xludf.DUMMYFUNCTION("""COMPUTED_VALUE"""),"10 1 01 00080")</f>
        <v>10 1 01 00080</v>
      </c>
      <c r="O219" s="48">
        <f ca="1">IFERROR(__xludf.DUMMYFUNCTION("""COMPUTED_VALUE"""),812)</f>
        <v>812</v>
      </c>
      <c r="P219" s="24">
        <f t="shared" ref="P219:T219" si="225">SUM(V219,AB219,AH219,AN219,AT219,AZ219,BF219)</f>
        <v>0</v>
      </c>
      <c r="Q219" s="20">
        <f t="shared" si="225"/>
        <v>0</v>
      </c>
      <c r="R219" s="20">
        <f t="shared" si="225"/>
        <v>0</v>
      </c>
      <c r="S219" s="20">
        <f t="shared" si="225"/>
        <v>0</v>
      </c>
      <c r="T219" s="20">
        <f t="shared" si="225"/>
        <v>0</v>
      </c>
      <c r="U219" s="20"/>
      <c r="V219" s="20"/>
      <c r="W219" s="20"/>
      <c r="X219" s="20"/>
      <c r="Y219" s="20"/>
      <c r="Z219" s="20"/>
      <c r="AA219" s="20"/>
      <c r="AB219" s="20"/>
      <c r="AC219" s="24"/>
      <c r="AD219" s="24"/>
      <c r="AE219" s="24"/>
      <c r="AF219" s="24"/>
      <c r="AG219" s="24"/>
      <c r="AH219" s="50">
        <f t="shared" si="2"/>
        <v>0</v>
      </c>
      <c r="AI219" s="50">
        <v>0</v>
      </c>
      <c r="AJ219" s="50">
        <v>0</v>
      </c>
      <c r="AK219" s="50">
        <v>0</v>
      </c>
      <c r="AL219" s="50">
        <v>0</v>
      </c>
      <c r="AM219" s="50"/>
      <c r="AN219" s="24">
        <f t="shared" si="3"/>
        <v>0</v>
      </c>
      <c r="AO219" s="50">
        <v>0</v>
      </c>
      <c r="AP219" s="50">
        <v>0</v>
      </c>
      <c r="AQ219" s="50">
        <v>0</v>
      </c>
      <c r="AR219" s="50">
        <v>0</v>
      </c>
      <c r="AS219" s="50"/>
      <c r="AT219" s="50">
        <f t="shared" si="4"/>
        <v>0</v>
      </c>
      <c r="AU219" s="50">
        <v>0</v>
      </c>
      <c r="AV219" s="50">
        <v>0</v>
      </c>
      <c r="AW219" s="50">
        <v>0</v>
      </c>
      <c r="AX219" s="50">
        <v>0</v>
      </c>
      <c r="AY219" s="50"/>
      <c r="AZ219" s="50">
        <f t="shared" si="133"/>
        <v>0</v>
      </c>
      <c r="BA219" s="50">
        <v>0</v>
      </c>
      <c r="BB219" s="50">
        <v>0</v>
      </c>
      <c r="BC219" s="50">
        <v>0</v>
      </c>
      <c r="BD219" s="50">
        <v>0</v>
      </c>
      <c r="BE219" s="50"/>
      <c r="BF219" s="50">
        <f t="shared" si="6"/>
        <v>0</v>
      </c>
      <c r="BG219" s="50">
        <v>0</v>
      </c>
      <c r="BH219" s="50">
        <v>0</v>
      </c>
      <c r="BI219" s="50">
        <v>0</v>
      </c>
      <c r="BJ219" s="50">
        <v>0</v>
      </c>
      <c r="BK219" s="50"/>
      <c r="BL219" s="20"/>
    </row>
    <row r="220" spans="1:64" ht="108" x14ac:dyDescent="0.2">
      <c r="A220" s="63">
        <v>216</v>
      </c>
      <c r="B220" s="76" t="str">
        <f ca="1">IFERROR(__xludf.DUMMYFUNCTION("""COMPUTED_VALUE"""),"г.о. Лыткарино")</f>
        <v>г.о. Лыткарино</v>
      </c>
      <c r="C220" s="61"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0" s="75" t="str">
        <f ca="1">IFERROR(__xludf.DUMMYFUNCTION("""COMPUTED_VALUE"""),"МинЖКХ")</f>
        <v>МинЖКХ</v>
      </c>
      <c r="E220" s="61" t="s">
        <v>271</v>
      </c>
      <c r="F220" s="61" t="str">
        <f ca="1">IFERROR(__xludf.DUMMYFUNCTION("""COMPUTED_VALUE"""),"ОС")</f>
        <v>ОС</v>
      </c>
      <c r="G220" s="61" t="str">
        <f ca="1">IFERROR(__xludf.DUMMYFUNCTION("""COMPUTED_VALUE"""),"2020-2022")</f>
        <v>2020-2022</v>
      </c>
      <c r="H220" s="76" t="str">
        <f ca="1">IFERROR(__xludf.DUMMYFUNCTION("""COMPUTED_VALUE"""),"Мероприятия в стадии контрактации. закупка опубликована 02.11.2020. Окончание подачи заявок - 19.11.2020.  Заключение контракта - 10.12.2020. Оплата аванаса до 15.12.2020")</f>
        <v>Мероприятия в стадии контрактации. закупка опубликована 02.11.2020. Окончание подачи заявок - 19.11.2020.  Заключение контракта - 10.12.2020. Оплата аванаса до 15.12.2020</v>
      </c>
      <c r="I220" s="76" t="str">
        <f ca="1">IFERROR(__xludf.DUMMYFUNCTION("""COMPUTED_VALUE"""),"СМР")</f>
        <v>СМР</v>
      </c>
      <c r="J220" s="76">
        <f ca="1">IFERROR(__xludf.DUMMYFUNCTION("""COMPUTED_VALUE"""),0)</f>
        <v>0</v>
      </c>
      <c r="K220" s="76">
        <f ca="1">IFERROR(__xludf.DUMMYFUNCTION("""COMPUTED_VALUE"""),59150)</f>
        <v>59150</v>
      </c>
      <c r="L220" s="76">
        <f ca="1">IFERROR(__xludf.DUMMYFUNCTION("""COMPUTED_VALUE"""),59150)</f>
        <v>59150</v>
      </c>
      <c r="M220" s="76"/>
      <c r="N220" s="76" t="str">
        <f ca="1">IFERROR(__xludf.DUMMYFUNCTION("""COMPUTED_VALUE"""),"10 2 G6 50130")</f>
        <v>10 2 G6 50130</v>
      </c>
      <c r="O220" s="76">
        <f ca="1">IFERROR(__xludf.DUMMYFUNCTION("""COMPUTED_VALUE"""),522)</f>
        <v>522</v>
      </c>
      <c r="P220" s="78">
        <f t="shared" ref="P220:T220" si="226">SUM(V220,AB220,AH220,AN220,AT220,AZ220,BF220)</f>
        <v>3233910.44</v>
      </c>
      <c r="Q220" s="78">
        <f t="shared" si="226"/>
        <v>2401178.4000000004</v>
      </c>
      <c r="R220" s="78">
        <f t="shared" si="226"/>
        <v>800392.83000000007</v>
      </c>
      <c r="S220" s="78">
        <f t="shared" si="226"/>
        <v>0</v>
      </c>
      <c r="T220" s="78">
        <f t="shared" si="226"/>
        <v>32339.21</v>
      </c>
      <c r="U220" s="76"/>
      <c r="V220" s="78"/>
      <c r="W220" s="78"/>
      <c r="X220" s="78"/>
      <c r="Y220" s="78"/>
      <c r="Z220" s="78"/>
      <c r="AA220" s="78"/>
      <c r="AB220" s="78"/>
      <c r="AC220" s="79"/>
      <c r="AD220" s="79"/>
      <c r="AE220" s="79"/>
      <c r="AF220" s="79"/>
      <c r="AG220" s="79"/>
      <c r="AH220" s="79">
        <f t="shared" si="2"/>
        <v>869636.9</v>
      </c>
      <c r="AI220" s="79">
        <v>645705.4</v>
      </c>
      <c r="AJ220" s="79">
        <v>215235.13</v>
      </c>
      <c r="AK220" s="79">
        <v>0</v>
      </c>
      <c r="AL220" s="79">
        <v>8696.3700000000008</v>
      </c>
      <c r="AM220" s="79"/>
      <c r="AN220" s="78">
        <f t="shared" si="3"/>
        <v>1712875.8900000001</v>
      </c>
      <c r="AO220" s="79">
        <v>1271810.3</v>
      </c>
      <c r="AP220" s="79">
        <v>423936.78</v>
      </c>
      <c r="AQ220" s="79">
        <v>0</v>
      </c>
      <c r="AR220" s="79">
        <v>17128.810000000001</v>
      </c>
      <c r="AS220" s="79"/>
      <c r="AT220" s="79">
        <f t="shared" si="4"/>
        <v>651397.65</v>
      </c>
      <c r="AU220" s="79">
        <v>483662.7</v>
      </c>
      <c r="AV220" s="79">
        <v>161220.92000000001</v>
      </c>
      <c r="AW220" s="79">
        <v>0</v>
      </c>
      <c r="AX220" s="79">
        <v>6514.03</v>
      </c>
      <c r="AY220" s="79"/>
      <c r="AZ220" s="79">
        <f t="shared" ref="AZ220:AZ420" si="227">SUM(BA220:BD220)</f>
        <v>0</v>
      </c>
      <c r="BA220" s="79">
        <v>0</v>
      </c>
      <c r="BB220" s="79">
        <v>0</v>
      </c>
      <c r="BC220" s="79">
        <v>0</v>
      </c>
      <c r="BD220" s="79">
        <v>0</v>
      </c>
      <c r="BE220" s="79"/>
      <c r="BF220" s="79">
        <f t="shared" si="6"/>
        <v>0</v>
      </c>
      <c r="BG220" s="79">
        <v>0</v>
      </c>
      <c r="BH220" s="79">
        <v>0</v>
      </c>
      <c r="BI220" s="79">
        <v>0</v>
      </c>
      <c r="BJ220" s="79">
        <v>0</v>
      </c>
      <c r="BK220" s="79"/>
      <c r="BL220" s="76"/>
    </row>
    <row r="221" spans="1:64" ht="108" x14ac:dyDescent="0.2">
      <c r="A221" s="69">
        <v>217</v>
      </c>
      <c r="B221" s="48" t="str">
        <f ca="1">IFERROR(__xludf.DUMMYFUNCTION("""COMPUTED_VALUE"""),"г.о. Подольск")</f>
        <v>г.о. Подольск</v>
      </c>
      <c r="C22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1" s="52" t="str">
        <f ca="1">IFERROR(__xludf.DUMMYFUNCTION("""COMPUTED_VALUE"""),"МинЖКХ")</f>
        <v>МинЖКХ</v>
      </c>
      <c r="E221" s="45" t="s">
        <v>272</v>
      </c>
      <c r="F221" s="46" t="str">
        <f ca="1">IFERROR(__xludf.DUMMYFUNCTION("""COMPUTED_VALUE"""),"ОС")</f>
        <v>ОС</v>
      </c>
      <c r="G221" s="46" t="str">
        <f ca="1">IFERROR(__xludf.DUMMYFUNCTION("""COMPUTED_VALUE"""),"2019-2020")</f>
        <v>2019-2020</v>
      </c>
      <c r="H221" s="48" t="str">
        <f ca="1">IFERROR(__xludf.DUMMYFUNCTION("""COMPUTED_VALUE"""),"СМР завершены. Оплата оставшейся части до конца ноября")</f>
        <v>СМР завершены. Оплата оставшейся части до конца ноября</v>
      </c>
      <c r="I221" s="48" t="str">
        <f ca="1">IFERROR(__xludf.DUMMYFUNCTION("""COMPUTED_VALUE"""),"СМР")</f>
        <v>СМР</v>
      </c>
      <c r="J221" s="48">
        <f ca="1">IFERROR(__xludf.DUMMYFUNCTION("""COMPUTED_VALUE"""),100)</f>
        <v>100</v>
      </c>
      <c r="K221" s="48">
        <f ca="1">IFERROR(__xludf.DUMMYFUNCTION("""COMPUTED_VALUE"""),329000)</f>
        <v>329000</v>
      </c>
      <c r="L221" s="48">
        <f ca="1">IFERROR(__xludf.DUMMYFUNCTION("""COMPUTED_VALUE"""),360000)</f>
        <v>360000</v>
      </c>
      <c r="M221" s="48"/>
      <c r="N221" s="48" t="str">
        <f ca="1">IFERROR(__xludf.DUMMYFUNCTION("""COMPUTED_VALUE"""),"10 2 G6 50130")</f>
        <v>10 2 G6 50130</v>
      </c>
      <c r="O221" s="48">
        <f ca="1">IFERROR(__xludf.DUMMYFUNCTION("""COMPUTED_VALUE"""),522)</f>
        <v>522</v>
      </c>
      <c r="P221" s="24">
        <f t="shared" ref="P221:T221" si="228">SUM(V221,AB221,AH221,AN221,AT221,AZ221,BF221)</f>
        <v>770285.91</v>
      </c>
      <c r="Q221" s="24">
        <f t="shared" si="228"/>
        <v>571937.29</v>
      </c>
      <c r="R221" s="24">
        <f t="shared" si="228"/>
        <v>0</v>
      </c>
      <c r="S221" s="24">
        <f t="shared" si="228"/>
        <v>190645.76000000001</v>
      </c>
      <c r="T221" s="24">
        <f t="shared" si="228"/>
        <v>7702.86</v>
      </c>
      <c r="U221" s="20"/>
      <c r="V221" s="24"/>
      <c r="W221" s="24"/>
      <c r="X221" s="24"/>
      <c r="Y221" s="24"/>
      <c r="Z221" s="24"/>
      <c r="AA221" s="24"/>
      <c r="AB221" s="24"/>
      <c r="AC221" s="50"/>
      <c r="AD221" s="50"/>
      <c r="AE221" s="50"/>
      <c r="AF221" s="50"/>
      <c r="AG221" s="50"/>
      <c r="AH221" s="50">
        <f t="shared" si="2"/>
        <v>770285.91</v>
      </c>
      <c r="AI221" s="50">
        <v>571937.29</v>
      </c>
      <c r="AJ221" s="50">
        <v>0</v>
      </c>
      <c r="AK221" s="50">
        <v>190645.76000000001</v>
      </c>
      <c r="AL221" s="50">
        <v>7702.86</v>
      </c>
      <c r="AM221" s="50"/>
      <c r="AN221" s="24">
        <f t="shared" si="3"/>
        <v>0</v>
      </c>
      <c r="AO221" s="50">
        <v>0</v>
      </c>
      <c r="AP221" s="50">
        <v>0</v>
      </c>
      <c r="AQ221" s="50">
        <v>0</v>
      </c>
      <c r="AR221" s="50">
        <v>0</v>
      </c>
      <c r="AS221" s="50"/>
      <c r="AT221" s="50">
        <f t="shared" si="4"/>
        <v>0</v>
      </c>
      <c r="AU221" s="50">
        <v>0</v>
      </c>
      <c r="AV221" s="50">
        <v>0</v>
      </c>
      <c r="AW221" s="50">
        <v>0</v>
      </c>
      <c r="AX221" s="50">
        <v>0</v>
      </c>
      <c r="AY221" s="50"/>
      <c r="AZ221" s="50">
        <f t="shared" si="227"/>
        <v>0</v>
      </c>
      <c r="BA221" s="50">
        <v>0</v>
      </c>
      <c r="BB221" s="50">
        <v>0</v>
      </c>
      <c r="BC221" s="50">
        <v>0</v>
      </c>
      <c r="BD221" s="50">
        <v>0</v>
      </c>
      <c r="BE221" s="50"/>
      <c r="BF221" s="50">
        <f t="shared" si="6"/>
        <v>0</v>
      </c>
      <c r="BG221" s="50">
        <v>0</v>
      </c>
      <c r="BH221" s="50">
        <v>0</v>
      </c>
      <c r="BI221" s="50">
        <v>0</v>
      </c>
      <c r="BJ221" s="50">
        <v>0</v>
      </c>
      <c r="BK221" s="50"/>
      <c r="BL221" s="20"/>
    </row>
    <row r="222" spans="1:64" ht="108" x14ac:dyDescent="0.2">
      <c r="A222" s="69">
        <v>218</v>
      </c>
      <c r="B222" s="48" t="str">
        <f ca="1">IFERROR(__xludf.DUMMYFUNCTION("""COMPUTED_VALUE"""),"г.о. Подольск")</f>
        <v>г.о. Подольск</v>
      </c>
      <c r="C22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2" s="52" t="str">
        <f ca="1">IFERROR(__xludf.DUMMYFUNCTION("""COMPUTED_VALUE"""),"МинЖКХ")</f>
        <v>МинЖКХ</v>
      </c>
      <c r="E222" s="45" t="s">
        <v>273</v>
      </c>
      <c r="F222" s="46" t="str">
        <f ca="1">IFERROR(__xludf.DUMMYFUNCTION("""COMPUTED_VALUE"""),"КНК")</f>
        <v>КНК</v>
      </c>
      <c r="G222" s="46" t="str">
        <f ca="1">IFERROR(__xludf.DUMMYFUNCTION("""COMPUTED_VALUE"""),"2019-2020")</f>
        <v>2019-2020</v>
      </c>
      <c r="H222" s="48" t="str">
        <f ca="1">IFERROR(__xludf.DUMMYFUNCTION("""COMPUTED_VALUE"""),"СМР завершены. Оплата оставшейся части до 20.11.2020")</f>
        <v>СМР завершены. Оплата оставшейся части до 20.11.2020</v>
      </c>
      <c r="I222" s="48" t="str">
        <f ca="1">IFERROR(__xludf.DUMMYFUNCTION("""COMPUTED_VALUE"""),"СМР")</f>
        <v>СМР</v>
      </c>
      <c r="J222" s="48">
        <f ca="1">IFERROR(__xludf.DUMMYFUNCTION("""COMPUTED_VALUE"""),100)</f>
        <v>100</v>
      </c>
      <c r="K222" s="48">
        <f ca="1">IFERROR(__xludf.DUMMYFUNCTION("""COMPUTED_VALUE"""),30000)</f>
        <v>30000</v>
      </c>
      <c r="L222" s="48">
        <f ca="1">IFERROR(__xludf.DUMMYFUNCTION("""COMPUTED_VALUE"""),30000)</f>
        <v>30000</v>
      </c>
      <c r="M222" s="48"/>
      <c r="N222" s="48" t="str">
        <f ca="1">IFERROR(__xludf.DUMMYFUNCTION("""COMPUTED_VALUE"""),"10 2 G6 50130")</f>
        <v>10 2 G6 50130</v>
      </c>
      <c r="O222" s="48">
        <f ca="1">IFERROR(__xludf.DUMMYFUNCTION("""COMPUTED_VALUE"""),522)</f>
        <v>522</v>
      </c>
      <c r="P222" s="24">
        <f t="shared" ref="P222:T222" si="229">SUM(V222,AB222,AH222,AN222,AT222,AZ222,BF222)</f>
        <v>375404.04</v>
      </c>
      <c r="Q222" s="24">
        <f t="shared" si="229"/>
        <v>278737.5</v>
      </c>
      <c r="R222" s="24">
        <f t="shared" si="229"/>
        <v>0</v>
      </c>
      <c r="S222" s="24">
        <f t="shared" si="229"/>
        <v>92912.5</v>
      </c>
      <c r="T222" s="24">
        <f t="shared" si="229"/>
        <v>3754.04</v>
      </c>
      <c r="U222" s="20"/>
      <c r="V222" s="24"/>
      <c r="W222" s="24"/>
      <c r="X222" s="24"/>
      <c r="Y222" s="24"/>
      <c r="Z222" s="24"/>
      <c r="AA222" s="24"/>
      <c r="AB222" s="24"/>
      <c r="AC222" s="50"/>
      <c r="AD222" s="50"/>
      <c r="AE222" s="50"/>
      <c r="AF222" s="50"/>
      <c r="AG222" s="50"/>
      <c r="AH222" s="50">
        <f t="shared" si="2"/>
        <v>375404.04</v>
      </c>
      <c r="AI222" s="50">
        <v>278737.5</v>
      </c>
      <c r="AJ222" s="50">
        <v>0</v>
      </c>
      <c r="AK222" s="50">
        <v>92912.5</v>
      </c>
      <c r="AL222" s="50">
        <v>3754.04</v>
      </c>
      <c r="AM222" s="50"/>
      <c r="AN222" s="24">
        <f t="shared" si="3"/>
        <v>0</v>
      </c>
      <c r="AO222" s="50">
        <v>0</v>
      </c>
      <c r="AP222" s="50">
        <v>0</v>
      </c>
      <c r="AQ222" s="50">
        <v>0</v>
      </c>
      <c r="AR222" s="50">
        <v>0</v>
      </c>
      <c r="AS222" s="50"/>
      <c r="AT222" s="50">
        <f t="shared" si="4"/>
        <v>0</v>
      </c>
      <c r="AU222" s="50">
        <v>0</v>
      </c>
      <c r="AV222" s="50">
        <v>0</v>
      </c>
      <c r="AW222" s="50">
        <v>0</v>
      </c>
      <c r="AX222" s="50">
        <v>0</v>
      </c>
      <c r="AY222" s="50"/>
      <c r="AZ222" s="50">
        <f t="shared" si="227"/>
        <v>0</v>
      </c>
      <c r="BA222" s="50">
        <v>0</v>
      </c>
      <c r="BB222" s="50">
        <v>0</v>
      </c>
      <c r="BC222" s="50">
        <v>0</v>
      </c>
      <c r="BD222" s="50">
        <v>0</v>
      </c>
      <c r="BE222" s="50"/>
      <c r="BF222" s="50">
        <f t="shared" si="6"/>
        <v>0</v>
      </c>
      <c r="BG222" s="50">
        <v>0</v>
      </c>
      <c r="BH222" s="50">
        <v>0</v>
      </c>
      <c r="BI222" s="50">
        <v>0</v>
      </c>
      <c r="BJ222" s="50">
        <v>0</v>
      </c>
      <c r="BK222" s="50"/>
      <c r="BL222" s="20"/>
    </row>
    <row r="223" spans="1:64" ht="108" x14ac:dyDescent="0.2">
      <c r="A223" s="69">
        <v>219</v>
      </c>
      <c r="B223" s="48" t="str">
        <f ca="1">IFERROR(__xludf.DUMMYFUNCTION("""COMPUTED_VALUE"""),"г.о. Шатура")</f>
        <v>г.о. Шатура</v>
      </c>
      <c r="C22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реконструкция объектов очистки сточных вод в целях сохранения и предотвращения загрязнения реки Волги </v>
      </c>
      <c r="D223" s="52" t="str">
        <f ca="1">IFERROR(__xludf.DUMMYFUNCTION("""COMPUTED_VALUE"""),"МинЖКХ")</f>
        <v>МинЖКХ</v>
      </c>
      <c r="E223" s="45" t="s">
        <v>586</v>
      </c>
      <c r="F223" s="46" t="str">
        <f ca="1">IFERROR(__xludf.DUMMYFUNCTION("""COMPUTED_VALUE"""),"ОС")</f>
        <v>ОС</v>
      </c>
      <c r="G223" s="46" t="str">
        <f ca="1">IFERROR(__xludf.DUMMYFUNCTION("""COMPUTED_VALUE"""),"2020-2021")</f>
        <v>2020-2021</v>
      </c>
      <c r="H223" s="48" t="str">
        <f ca="1">IFERROR(__xludf.DUMMYFUNCTION("""COMPUTED_VALUE"""),"Частично закуплены материалы. Площадка передана подрядчику для проведения работ. Выполняются Зем работы. РС отсутвует. Заявка на увеличение мощности направлена в Мособлэнерго. ")</f>
        <v xml:space="preserve">Частично закуплены материалы. Площадка передана подрядчику для проведения работ. Выполняются Зем работы. РС отсутвует. Заявка на увеличение мощности направлена в Мособлэнерго. </v>
      </c>
      <c r="I223" s="48" t="str">
        <f ca="1">IFERROR(__xludf.DUMMYFUNCTION("""COMPUTED_VALUE"""),"СМР")</f>
        <v>СМР</v>
      </c>
      <c r="J223" s="48">
        <f ca="1">IFERROR(__xludf.DUMMYFUNCTION("""COMPUTED_VALUE"""),0)</f>
        <v>0</v>
      </c>
      <c r="K223" s="48">
        <f ca="1">IFERROR(__xludf.DUMMYFUNCTION("""COMPUTED_VALUE"""),32400)</f>
        <v>32400</v>
      </c>
      <c r="L223" s="48">
        <f ca="1">IFERROR(__xludf.DUMMYFUNCTION("""COMPUTED_VALUE"""),32400)</f>
        <v>32400</v>
      </c>
      <c r="M223" s="48"/>
      <c r="N223" s="48" t="str">
        <f ca="1">IFERROR(__xludf.DUMMYFUNCTION("""COMPUTED_VALUE"""),"10 2 G6 50130")</f>
        <v>10 2 G6 50130</v>
      </c>
      <c r="O223" s="48">
        <f ca="1">IFERROR(__xludf.DUMMYFUNCTION("""COMPUTED_VALUE"""),522)</f>
        <v>522</v>
      </c>
      <c r="P223" s="24">
        <f t="shared" ref="P223:T223" si="230">SUM(V223,AB223,AH223,AN223,AT223,AZ223,BF223)</f>
        <v>918416.15000000014</v>
      </c>
      <c r="Q223" s="24">
        <f t="shared" si="230"/>
        <v>681924</v>
      </c>
      <c r="R223" s="24">
        <f t="shared" si="230"/>
        <v>227308</v>
      </c>
      <c r="S223" s="24">
        <f t="shared" si="230"/>
        <v>0</v>
      </c>
      <c r="T223" s="24">
        <f t="shared" si="230"/>
        <v>9184.15</v>
      </c>
      <c r="U223" s="20"/>
      <c r="V223" s="24"/>
      <c r="W223" s="24"/>
      <c r="X223" s="24"/>
      <c r="Y223" s="24"/>
      <c r="Z223" s="24"/>
      <c r="AA223" s="24"/>
      <c r="AB223" s="24"/>
      <c r="AC223" s="50"/>
      <c r="AD223" s="50"/>
      <c r="AE223" s="50"/>
      <c r="AF223" s="50"/>
      <c r="AG223" s="50"/>
      <c r="AH223" s="50">
        <f t="shared" si="2"/>
        <v>827630.97000000009</v>
      </c>
      <c r="AI223" s="50">
        <v>614516</v>
      </c>
      <c r="AJ223" s="50">
        <v>204838.67</v>
      </c>
      <c r="AK223" s="50">
        <v>0</v>
      </c>
      <c r="AL223" s="50">
        <v>8276.2999999999993</v>
      </c>
      <c r="AM223" s="50"/>
      <c r="AN223" s="24">
        <f t="shared" si="3"/>
        <v>90785.180000000008</v>
      </c>
      <c r="AO223" s="50">
        <v>67408</v>
      </c>
      <c r="AP223" s="50">
        <v>22469.33</v>
      </c>
      <c r="AQ223" s="50">
        <v>0</v>
      </c>
      <c r="AR223" s="50">
        <v>907.85</v>
      </c>
      <c r="AS223" s="50"/>
      <c r="AT223" s="50">
        <f t="shared" si="4"/>
        <v>0</v>
      </c>
      <c r="AU223" s="50">
        <v>0</v>
      </c>
      <c r="AV223" s="50">
        <v>0</v>
      </c>
      <c r="AW223" s="50">
        <v>0</v>
      </c>
      <c r="AX223" s="50">
        <v>0</v>
      </c>
      <c r="AY223" s="50"/>
      <c r="AZ223" s="50">
        <f t="shared" si="227"/>
        <v>0</v>
      </c>
      <c r="BA223" s="50">
        <v>0</v>
      </c>
      <c r="BB223" s="50">
        <v>0</v>
      </c>
      <c r="BC223" s="50">
        <v>0</v>
      </c>
      <c r="BD223" s="50">
        <v>0</v>
      </c>
      <c r="BE223" s="50"/>
      <c r="BF223" s="50">
        <f t="shared" si="6"/>
        <v>0</v>
      </c>
      <c r="BG223" s="50">
        <v>0</v>
      </c>
      <c r="BH223" s="50">
        <v>0</v>
      </c>
      <c r="BI223" s="50">
        <v>0</v>
      </c>
      <c r="BJ223" s="50">
        <v>0</v>
      </c>
      <c r="BK223" s="50"/>
      <c r="BL223" s="20"/>
    </row>
    <row r="224" spans="1:64" ht="72" x14ac:dyDescent="0.2">
      <c r="A224" s="69">
        <v>220</v>
      </c>
      <c r="B224" s="48" t="str">
        <f ca="1">IFERROR(__xludf.DUMMYFUNCTION("""COMPUTED_VALUE"""),"КСМО")</f>
        <v>КСМО</v>
      </c>
      <c r="C224" s="46" t="str">
        <f ca="1">IFERROR(__xludf.DUMMYFUNCTION("""COMPUTED_VALUE"""),"Субсидия  государственным унитарным предприятиям Московской области на осуществление строительства (реконструкции) объектов очистки сточных вод")</f>
        <v>Субсидия  государственным унитарным предприятиям Московской области на осуществление строительства (реконструкции) объектов очистки сточных вод</v>
      </c>
      <c r="D224" s="52" t="str">
        <f ca="1">IFERROR(__xludf.DUMMYFUNCTION("""COMPUTED_VALUE"""),"МинЖКХ")</f>
        <v>МинЖКХ</v>
      </c>
      <c r="E224" s="127" t="s">
        <v>587</v>
      </c>
      <c r="F224" s="46" t="str">
        <f ca="1">IFERROR(__xludf.DUMMYFUNCTION("""COMPUTED_VALUE"""),"ОС")</f>
        <v>ОС</v>
      </c>
      <c r="G224" s="46" t="str">
        <f ca="1">IFERROR(__xludf.DUMMYFUNCTION("""COMPUTED_VALUE"""),"2019-2024")</f>
        <v>2019-2024</v>
      </c>
      <c r="H224" s="48" t="str">
        <f ca="1">IFERROR(__xludf.DUMMYFUNCTION("""COMPUTED_VALUE"""),"Проводятся СМР 1 этапа  строительства. Проект на корректировке, дата выхода из МОГЭ 30.11.2020.Оформление сервитута на зем участок под сбросной коллектор. Техприз в стадии проекта разногласий")</f>
        <v>Проводятся СМР 1 этапа  строительства. Проект на корректировке, дата выхода из МОГЭ 30.11.2020.Оформление сервитута на зем участок под сбросной коллектор. Техприз в стадии проекта разногласий</v>
      </c>
      <c r="I224" s="48" t="str">
        <f ca="1">IFERROR(__xludf.DUMMYFUNCTION("""COMPUTED_VALUE"""),"СМР")</f>
        <v>СМР</v>
      </c>
      <c r="J224" s="48">
        <f ca="1">IFERROR(__xludf.DUMMYFUNCTION("""COMPUTED_VALUE"""),6)</f>
        <v>6</v>
      </c>
      <c r="K224" s="48">
        <f ca="1">IFERROR(__xludf.DUMMYFUNCTION("""COMPUTED_VALUE"""),700000)</f>
        <v>700000</v>
      </c>
      <c r="L224" s="48">
        <f ca="1">IFERROR(__xludf.DUMMYFUNCTION("""COMPUTED_VALUE"""),700000)</f>
        <v>700000</v>
      </c>
      <c r="M224" s="48"/>
      <c r="N224" s="48" t="str">
        <f ca="1">IFERROR(__xludf.DUMMYFUNCTION("""COMPUTED_VALUE"""),"10 2 G6 50130")</f>
        <v>10 2 G6 50130</v>
      </c>
      <c r="O224" s="48">
        <f ca="1">IFERROR(__xludf.DUMMYFUNCTION("""COMPUTED_VALUE"""),466)</f>
        <v>466</v>
      </c>
      <c r="P224" s="24">
        <f t="shared" ref="P224:T224" si="231">SUM(V224,AB224,AH224,AN224,AT224,AZ224,BF224)</f>
        <v>10850628.449999999</v>
      </c>
      <c r="Q224" s="24">
        <f t="shared" si="231"/>
        <v>6375739.0999999996</v>
      </c>
      <c r="R224" s="24">
        <f t="shared" si="231"/>
        <v>3972315.3099999996</v>
      </c>
      <c r="S224" s="24">
        <f t="shared" si="231"/>
        <v>502574.04</v>
      </c>
      <c r="T224" s="24">
        <f t="shared" si="231"/>
        <v>0</v>
      </c>
      <c r="U224" s="20"/>
      <c r="V224" s="24"/>
      <c r="W224" s="24"/>
      <c r="X224" s="24"/>
      <c r="Y224" s="24"/>
      <c r="Z224" s="24"/>
      <c r="AA224" s="24"/>
      <c r="AB224" s="24"/>
      <c r="AC224" s="50"/>
      <c r="AD224" s="50"/>
      <c r="AE224" s="50"/>
      <c r="AF224" s="50"/>
      <c r="AG224" s="50"/>
      <c r="AH224" s="50">
        <f t="shared" si="2"/>
        <v>2573664.14</v>
      </c>
      <c r="AI224" s="50">
        <v>1671687.1</v>
      </c>
      <c r="AJ224" s="50">
        <v>449798</v>
      </c>
      <c r="AK224" s="50">
        <v>452179.04</v>
      </c>
      <c r="AL224" s="50">
        <v>0</v>
      </c>
      <c r="AM224" s="50"/>
      <c r="AN224" s="24">
        <f t="shared" si="3"/>
        <v>1437049.14</v>
      </c>
      <c r="AO224" s="50">
        <v>1039990.6</v>
      </c>
      <c r="AP224" s="50">
        <v>346663.54</v>
      </c>
      <c r="AQ224" s="50">
        <v>50395</v>
      </c>
      <c r="AR224" s="50">
        <v>0</v>
      </c>
      <c r="AS224" s="50"/>
      <c r="AT224" s="50">
        <f t="shared" si="4"/>
        <v>149662.07</v>
      </c>
      <c r="AU224" s="50">
        <v>112245.8</v>
      </c>
      <c r="AV224" s="50">
        <v>37416.269999999997</v>
      </c>
      <c r="AW224" s="50">
        <v>0</v>
      </c>
      <c r="AX224" s="50">
        <v>0</v>
      </c>
      <c r="AY224" s="50"/>
      <c r="AZ224" s="50">
        <f t="shared" si="227"/>
        <v>1534380.8</v>
      </c>
      <c r="BA224" s="50">
        <v>1150785.6000000001</v>
      </c>
      <c r="BB224" s="50">
        <v>383595.2</v>
      </c>
      <c r="BC224" s="50">
        <v>0</v>
      </c>
      <c r="BD224" s="50">
        <v>0</v>
      </c>
      <c r="BE224" s="50"/>
      <c r="BF224" s="50">
        <f t="shared" si="6"/>
        <v>5155872.3</v>
      </c>
      <c r="BG224" s="50">
        <v>2401030</v>
      </c>
      <c r="BH224" s="50">
        <v>2754842.3</v>
      </c>
      <c r="BI224" s="50">
        <v>0</v>
      </c>
      <c r="BJ224" s="50">
        <v>0</v>
      </c>
      <c r="BK224" s="50"/>
      <c r="BL224" s="20"/>
    </row>
    <row r="225" spans="1:64" ht="72" x14ac:dyDescent="0.2">
      <c r="A225" s="63">
        <v>221</v>
      </c>
      <c r="B225" s="76" t="str">
        <f ca="1">IFERROR(__xludf.DUMMYFUNCTION("""COMPUTED_VALUE"""),"г.о. Воскресенск")</f>
        <v>г.о. Воскресенск</v>
      </c>
      <c r="C225" s="61"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5" s="75" t="str">
        <f ca="1">IFERROR(__xludf.DUMMYFUNCTION("""COMPUTED_VALUE"""),"МинЖКХ")</f>
        <v>МинЖКХ</v>
      </c>
      <c r="E225" s="61" t="s">
        <v>274</v>
      </c>
      <c r="F225" s="61" t="str">
        <f ca="1">IFERROR(__xludf.DUMMYFUNCTION("""COMPUTED_VALUE"""),"ОС")</f>
        <v>ОС</v>
      </c>
      <c r="G225" s="61" t="str">
        <f ca="1">IFERROR(__xludf.DUMMYFUNCTION("""COMPUTED_VALUE"""),"2022-2023")</f>
        <v>2022-2023</v>
      </c>
      <c r="H225" s="76"/>
      <c r="I225" s="76" t="str">
        <f ca="1">IFERROR(__xludf.DUMMYFUNCTION("""COMPUTED_VALUE"""),"СМР")</f>
        <v>СМР</v>
      </c>
      <c r="J225" s="76"/>
      <c r="K225" s="76"/>
      <c r="L225" s="76"/>
      <c r="M225" s="76"/>
      <c r="N225" s="76" t="str">
        <f ca="1">IFERROR(__xludf.DUMMYFUNCTION("""COMPUTED_VALUE"""),"10 2 01 64020")</f>
        <v>10 2 01 64020</v>
      </c>
      <c r="O225" s="76">
        <f ca="1">IFERROR(__xludf.DUMMYFUNCTION("""COMPUTED_VALUE"""),522)</f>
        <v>522</v>
      </c>
      <c r="P225" s="78">
        <f t="shared" ref="P225:T225" si="232">SUM(V225,AB225,AH225,AN225,AT225,AZ225,BF225)</f>
        <v>165463.38</v>
      </c>
      <c r="Q225" s="78">
        <f t="shared" si="232"/>
        <v>0</v>
      </c>
      <c r="R225" s="78">
        <f t="shared" si="232"/>
        <v>157190</v>
      </c>
      <c r="S225" s="78">
        <f t="shared" si="232"/>
        <v>0</v>
      </c>
      <c r="T225" s="78">
        <f t="shared" si="232"/>
        <v>8273.380000000001</v>
      </c>
      <c r="U225" s="76"/>
      <c r="V225" s="78"/>
      <c r="W225" s="78"/>
      <c r="X225" s="78"/>
      <c r="Y225" s="78"/>
      <c r="Z225" s="78"/>
      <c r="AA225" s="78"/>
      <c r="AB225" s="78"/>
      <c r="AC225" s="79"/>
      <c r="AD225" s="79"/>
      <c r="AE225" s="79"/>
      <c r="AF225" s="79"/>
      <c r="AG225" s="79"/>
      <c r="AH225" s="79">
        <f t="shared" si="2"/>
        <v>0</v>
      </c>
      <c r="AI225" s="79">
        <v>0</v>
      </c>
      <c r="AJ225" s="79">
        <v>0</v>
      </c>
      <c r="AK225" s="79">
        <v>0</v>
      </c>
      <c r="AL225" s="79">
        <v>0</v>
      </c>
      <c r="AM225" s="79"/>
      <c r="AN225" s="78">
        <f t="shared" si="3"/>
        <v>0</v>
      </c>
      <c r="AO225" s="79">
        <v>0</v>
      </c>
      <c r="AP225" s="79">
        <v>0</v>
      </c>
      <c r="AQ225" s="79">
        <v>0</v>
      </c>
      <c r="AR225" s="79">
        <v>0</v>
      </c>
      <c r="AS225" s="79"/>
      <c r="AT225" s="79">
        <f t="shared" si="4"/>
        <v>90163.38</v>
      </c>
      <c r="AU225" s="79">
        <v>0</v>
      </c>
      <c r="AV225" s="79">
        <v>85655</v>
      </c>
      <c r="AW225" s="79">
        <v>0</v>
      </c>
      <c r="AX225" s="79">
        <v>4508.38</v>
      </c>
      <c r="AY225" s="79"/>
      <c r="AZ225" s="79">
        <f t="shared" si="227"/>
        <v>75300</v>
      </c>
      <c r="BA225" s="79">
        <v>0</v>
      </c>
      <c r="BB225" s="79">
        <v>71535</v>
      </c>
      <c r="BC225" s="79"/>
      <c r="BD225" s="79">
        <v>3765</v>
      </c>
      <c r="BE225" s="79"/>
      <c r="BF225" s="79">
        <f t="shared" si="6"/>
        <v>0</v>
      </c>
      <c r="BG225" s="79">
        <v>0</v>
      </c>
      <c r="BH225" s="79">
        <v>0</v>
      </c>
      <c r="BI225" s="79">
        <v>0</v>
      </c>
      <c r="BJ225" s="79">
        <v>0</v>
      </c>
      <c r="BK225" s="79"/>
      <c r="BL225" s="76"/>
    </row>
    <row r="226" spans="1:64" ht="72" x14ac:dyDescent="0.2">
      <c r="A226" s="69">
        <v>222</v>
      </c>
      <c r="B226" s="48" t="str">
        <f ca="1">IFERROR(__xludf.DUMMYFUNCTION("""COMPUTED_VALUE"""),"г.о. Коломенский")</f>
        <v>г.о. Коломенский</v>
      </c>
      <c r="C226"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6" s="52" t="str">
        <f ca="1">IFERROR(__xludf.DUMMYFUNCTION("""COMPUTED_VALUE"""),"МинЖКХ")</f>
        <v>МинЖКХ</v>
      </c>
      <c r="E226" s="45" t="s">
        <v>275</v>
      </c>
      <c r="F226" s="46" t="str">
        <f ca="1">IFERROR(__xludf.DUMMYFUNCTION("""COMPUTED_VALUE"""),"ОС")</f>
        <v>ОС</v>
      </c>
      <c r="G226" s="46" t="str">
        <f ca="1">IFERROR(__xludf.DUMMYFUNCTION("""COMPUTED_VALUE"""),"2020-2022")</f>
        <v>2020-2022</v>
      </c>
      <c r="H226" s="48" t="str">
        <f ca="1">IFERROR(__xludf.DUMMYFUNCTION("""COMPUTED_VALUE"""),"Заключение МОГЭ получено")</f>
        <v>Заключение МОГЭ получено</v>
      </c>
      <c r="I226" s="48" t="str">
        <f ca="1">IFERROR(__xludf.DUMMYFUNCTION("""COMPUTED_VALUE"""),"ПИР")</f>
        <v>ПИР</v>
      </c>
      <c r="J226" s="48">
        <f ca="1">IFERROR(__xludf.DUMMYFUNCTION("""COMPUTED_VALUE"""),100)</f>
        <v>100</v>
      </c>
      <c r="K226" s="48"/>
      <c r="L226" s="48"/>
      <c r="M226" s="48"/>
      <c r="N226" s="48" t="str">
        <f ca="1">IFERROR(__xludf.DUMMYFUNCTION("""COMPUTED_VALUE"""),"10 2 01 64020")</f>
        <v>10 2 01 64020</v>
      </c>
      <c r="O226" s="48">
        <f ca="1">IFERROR(__xludf.DUMMYFUNCTION("""COMPUTED_VALUE"""),522)</f>
        <v>522</v>
      </c>
      <c r="P226" s="24">
        <f t="shared" ref="P226:T226" si="233">SUM(V226,AB226,AH226,AN226,AT226,AZ226,BF226)</f>
        <v>50600</v>
      </c>
      <c r="Q226" s="24">
        <f t="shared" si="233"/>
        <v>0</v>
      </c>
      <c r="R226" s="24">
        <f t="shared" si="233"/>
        <v>48070</v>
      </c>
      <c r="S226" s="24">
        <f t="shared" si="233"/>
        <v>0</v>
      </c>
      <c r="T226" s="24">
        <f t="shared" si="233"/>
        <v>2530</v>
      </c>
      <c r="U226" s="20"/>
      <c r="V226" s="24"/>
      <c r="W226" s="24"/>
      <c r="X226" s="24"/>
      <c r="Y226" s="24"/>
      <c r="Z226" s="24"/>
      <c r="AA226" s="24"/>
      <c r="AB226" s="24"/>
      <c r="AC226" s="50"/>
      <c r="AD226" s="50"/>
      <c r="AE226" s="50"/>
      <c r="AF226" s="50"/>
      <c r="AG226" s="50"/>
      <c r="AH226" s="50">
        <f t="shared" si="2"/>
        <v>7752.61</v>
      </c>
      <c r="AI226" s="50">
        <v>0</v>
      </c>
      <c r="AJ226" s="50">
        <v>7365</v>
      </c>
      <c r="AK226" s="50">
        <v>0</v>
      </c>
      <c r="AL226" s="50">
        <v>387.61</v>
      </c>
      <c r="AM226" s="50"/>
      <c r="AN226" s="24">
        <f t="shared" si="3"/>
        <v>0</v>
      </c>
      <c r="AO226" s="50">
        <v>0</v>
      </c>
      <c r="AP226" s="50">
        <v>0</v>
      </c>
      <c r="AQ226" s="50">
        <v>0</v>
      </c>
      <c r="AR226" s="50">
        <v>0</v>
      </c>
      <c r="AS226" s="50"/>
      <c r="AT226" s="50">
        <f t="shared" si="4"/>
        <v>42847.39</v>
      </c>
      <c r="AU226" s="50">
        <v>0</v>
      </c>
      <c r="AV226" s="50">
        <v>40705</v>
      </c>
      <c r="AW226" s="50">
        <v>0</v>
      </c>
      <c r="AX226" s="50">
        <v>2142.39</v>
      </c>
      <c r="AY226" s="50"/>
      <c r="AZ226" s="50">
        <f t="shared" si="227"/>
        <v>0</v>
      </c>
      <c r="BA226" s="50">
        <v>0</v>
      </c>
      <c r="BB226" s="50">
        <v>0</v>
      </c>
      <c r="BC226" s="50">
        <v>0</v>
      </c>
      <c r="BD226" s="50">
        <v>0</v>
      </c>
      <c r="BE226" s="50"/>
      <c r="BF226" s="50">
        <f t="shared" si="6"/>
        <v>0</v>
      </c>
      <c r="BG226" s="50">
        <v>0</v>
      </c>
      <c r="BH226" s="50">
        <v>0</v>
      </c>
      <c r="BI226" s="50">
        <v>0</v>
      </c>
      <c r="BJ226" s="50">
        <v>0</v>
      </c>
      <c r="BK226" s="50"/>
      <c r="BL226" s="20"/>
    </row>
    <row r="227" spans="1:64" ht="72" x14ac:dyDescent="0.2">
      <c r="A227" s="69">
        <v>223</v>
      </c>
      <c r="B227" s="48" t="str">
        <f ca="1">IFERROR(__xludf.DUMMYFUNCTION("""COMPUTED_VALUE"""),"г.о. Коломенский")</f>
        <v>г.о. Коломенский</v>
      </c>
      <c r="C227"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7" s="52" t="str">
        <f ca="1">IFERROR(__xludf.DUMMYFUNCTION("""COMPUTED_VALUE"""),"МинЖКХ")</f>
        <v>МинЖКХ</v>
      </c>
      <c r="E227" s="45" t="s">
        <v>276</v>
      </c>
      <c r="F227" s="46" t="str">
        <f ca="1">IFERROR(__xludf.DUMMYFUNCTION("""COMPUTED_VALUE"""),"ОС")</f>
        <v>ОС</v>
      </c>
      <c r="G227" s="46">
        <f ca="1">IFERROR(__xludf.DUMMYFUNCTION("""COMPUTED_VALUE"""),2020)</f>
        <v>2020</v>
      </c>
      <c r="H227" s="48" t="str">
        <f ca="1">IFERROR(__xludf.DUMMYFUNCTION("""COMPUTED_VALUE"""),"Заключение МОГЭ получено")</f>
        <v>Заключение МОГЭ получено</v>
      </c>
      <c r="I227" s="48" t="str">
        <f ca="1">IFERROR(__xludf.DUMMYFUNCTION("""COMPUTED_VALUE"""),"ПИР")</f>
        <v>ПИР</v>
      </c>
      <c r="J227" s="48">
        <f ca="1">IFERROR(__xludf.DUMMYFUNCTION("""COMPUTED_VALUE"""),100)</f>
        <v>100</v>
      </c>
      <c r="K227" s="48"/>
      <c r="L227" s="48"/>
      <c r="M227" s="48"/>
      <c r="N227" s="48" t="str">
        <f ca="1">IFERROR(__xludf.DUMMYFUNCTION("""COMPUTED_VALUE"""),"10 2 01 64020")</f>
        <v>10 2 01 64020</v>
      </c>
      <c r="O227" s="48">
        <f ca="1">IFERROR(__xludf.DUMMYFUNCTION("""COMPUTED_VALUE"""),522)</f>
        <v>522</v>
      </c>
      <c r="P227" s="24">
        <f t="shared" ref="P227:T227" si="234">SUM(V227,AB227,AH227,AN227,AT227,AZ227,BF227)</f>
        <v>55556</v>
      </c>
      <c r="Q227" s="24">
        <f t="shared" si="234"/>
        <v>0</v>
      </c>
      <c r="R227" s="24">
        <f t="shared" si="234"/>
        <v>0</v>
      </c>
      <c r="S227" s="24">
        <f t="shared" si="234"/>
        <v>52778</v>
      </c>
      <c r="T227" s="24">
        <f t="shared" si="234"/>
        <v>2778</v>
      </c>
      <c r="U227" s="20"/>
      <c r="V227" s="24"/>
      <c r="W227" s="24"/>
      <c r="X227" s="24"/>
      <c r="Y227" s="24"/>
      <c r="Z227" s="24"/>
      <c r="AA227" s="24"/>
      <c r="AB227" s="24"/>
      <c r="AC227" s="50"/>
      <c r="AD227" s="50"/>
      <c r="AE227" s="50"/>
      <c r="AF227" s="50"/>
      <c r="AG227" s="50"/>
      <c r="AH227" s="50">
        <f t="shared" si="2"/>
        <v>55556</v>
      </c>
      <c r="AI227" s="50">
        <v>0</v>
      </c>
      <c r="AJ227" s="50">
        <v>0</v>
      </c>
      <c r="AK227" s="50">
        <v>52778</v>
      </c>
      <c r="AL227" s="50">
        <v>2778</v>
      </c>
      <c r="AM227" s="50"/>
      <c r="AN227" s="24">
        <f t="shared" si="3"/>
        <v>0</v>
      </c>
      <c r="AO227" s="50">
        <v>0</v>
      </c>
      <c r="AP227" s="50">
        <v>0</v>
      </c>
      <c r="AQ227" s="50">
        <v>0</v>
      </c>
      <c r="AR227" s="50">
        <v>0</v>
      </c>
      <c r="AS227" s="50"/>
      <c r="AT227" s="50">
        <f t="shared" si="4"/>
        <v>0</v>
      </c>
      <c r="AU227" s="50">
        <v>0</v>
      </c>
      <c r="AV227" s="50">
        <v>0</v>
      </c>
      <c r="AW227" s="50">
        <v>0</v>
      </c>
      <c r="AX227" s="50">
        <v>0</v>
      </c>
      <c r="AY227" s="50"/>
      <c r="AZ227" s="50">
        <f t="shared" si="227"/>
        <v>0</v>
      </c>
      <c r="BA227" s="50">
        <v>0</v>
      </c>
      <c r="BB227" s="50">
        <v>0</v>
      </c>
      <c r="BC227" s="50">
        <v>0</v>
      </c>
      <c r="BD227" s="50">
        <v>0</v>
      </c>
      <c r="BE227" s="50"/>
      <c r="BF227" s="50">
        <f t="shared" si="6"/>
        <v>0</v>
      </c>
      <c r="BG227" s="50">
        <v>0</v>
      </c>
      <c r="BH227" s="50">
        <v>0</v>
      </c>
      <c r="BI227" s="50">
        <v>0</v>
      </c>
      <c r="BJ227" s="50">
        <v>0</v>
      </c>
      <c r="BK227" s="50"/>
      <c r="BL227" s="20"/>
    </row>
    <row r="228" spans="1:64" ht="72" x14ac:dyDescent="0.2">
      <c r="A228" s="69">
        <v>224</v>
      </c>
      <c r="B228" s="48" t="str">
        <f ca="1">IFERROR(__xludf.DUMMYFUNCTION("""COMPUTED_VALUE"""),"г.о. Серпухов")</f>
        <v>г.о. Серпухов</v>
      </c>
      <c r="C228"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8" s="52" t="str">
        <f ca="1">IFERROR(__xludf.DUMMYFUNCTION("""COMPUTED_VALUE"""),"МинЖКХ")</f>
        <v>МинЖКХ</v>
      </c>
      <c r="E228" s="45" t="s">
        <v>277</v>
      </c>
      <c r="F228" s="46" t="str">
        <f ca="1">IFERROR(__xludf.DUMMYFUNCTION("""COMPUTED_VALUE"""),"ОС")</f>
        <v>ОС</v>
      </c>
      <c r="G228" s="46" t="str">
        <f ca="1">IFERROR(__xludf.DUMMYFUNCTION("""COMPUTED_VALUE"""),"2022-2024")</f>
        <v>2022-2024</v>
      </c>
      <c r="H228" s="48"/>
      <c r="I228" s="48" t="str">
        <f ca="1">IFERROR(__xludf.DUMMYFUNCTION("""COMPUTED_VALUE"""),"СМР")</f>
        <v>СМР</v>
      </c>
      <c r="J228" s="48"/>
      <c r="K228" s="48"/>
      <c r="L228" s="48"/>
      <c r="M228" s="48"/>
      <c r="N228" s="48" t="str">
        <f ca="1">IFERROR(__xludf.DUMMYFUNCTION("""COMPUTED_VALUE"""),"10 2 01 64020")</f>
        <v>10 2 01 64020</v>
      </c>
      <c r="O228" s="48">
        <f ca="1">IFERROR(__xludf.DUMMYFUNCTION("""COMPUTED_VALUE"""),522)</f>
        <v>522</v>
      </c>
      <c r="P228" s="24">
        <f t="shared" ref="P228:T228" si="235">SUM(V228,AB228,AH228,AN228,AT228,AZ228,BF228)</f>
        <v>54252</v>
      </c>
      <c r="Q228" s="24">
        <f t="shared" si="235"/>
        <v>0</v>
      </c>
      <c r="R228" s="24">
        <f t="shared" si="235"/>
        <v>44920</v>
      </c>
      <c r="S228" s="24">
        <f t="shared" si="235"/>
        <v>1155</v>
      </c>
      <c r="T228" s="24">
        <f t="shared" si="235"/>
        <v>8177</v>
      </c>
      <c r="U228" s="20"/>
      <c r="V228" s="24"/>
      <c r="W228" s="24"/>
      <c r="X228" s="24"/>
      <c r="Y228" s="24"/>
      <c r="Z228" s="24"/>
      <c r="AA228" s="24"/>
      <c r="AB228" s="24"/>
      <c r="AC228" s="50"/>
      <c r="AD228" s="50"/>
      <c r="AE228" s="50"/>
      <c r="AF228" s="50"/>
      <c r="AG228" s="50"/>
      <c r="AH228" s="50">
        <f t="shared" si="2"/>
        <v>0</v>
      </c>
      <c r="AI228" s="50">
        <v>0</v>
      </c>
      <c r="AJ228" s="50">
        <v>0</v>
      </c>
      <c r="AK228" s="50">
        <v>0</v>
      </c>
      <c r="AL228" s="50">
        <v>0</v>
      </c>
      <c r="AM228" s="50"/>
      <c r="AN228" s="24">
        <f t="shared" si="3"/>
        <v>0</v>
      </c>
      <c r="AO228" s="50">
        <v>0</v>
      </c>
      <c r="AP228" s="50">
        <v>0</v>
      </c>
      <c r="AQ228" s="50">
        <v>0</v>
      </c>
      <c r="AR228" s="50">
        <v>0</v>
      </c>
      <c r="AS228" s="50"/>
      <c r="AT228" s="50">
        <f t="shared" si="4"/>
        <v>6723</v>
      </c>
      <c r="AU228" s="50">
        <v>0</v>
      </c>
      <c r="AV228" s="50">
        <v>5568</v>
      </c>
      <c r="AW228" s="50">
        <v>1155</v>
      </c>
      <c r="AX228" s="50">
        <v>0</v>
      </c>
      <c r="AY228" s="50"/>
      <c r="AZ228" s="50">
        <f t="shared" si="227"/>
        <v>27126</v>
      </c>
      <c r="BA228" s="50">
        <v>0</v>
      </c>
      <c r="BB228" s="50">
        <v>22460</v>
      </c>
      <c r="BC228" s="50"/>
      <c r="BD228" s="50">
        <v>4666</v>
      </c>
      <c r="BE228" s="50"/>
      <c r="BF228" s="50">
        <f t="shared" si="6"/>
        <v>20403</v>
      </c>
      <c r="BG228" s="50">
        <v>0</v>
      </c>
      <c r="BH228" s="50">
        <v>16892</v>
      </c>
      <c r="BI228" s="50">
        <v>0</v>
      </c>
      <c r="BJ228" s="50">
        <v>3511</v>
      </c>
      <c r="BK228" s="50"/>
      <c r="BL228" s="20"/>
    </row>
    <row r="229" spans="1:64" ht="72" x14ac:dyDescent="0.2">
      <c r="A229" s="69">
        <v>225</v>
      </c>
      <c r="B229" s="48" t="str">
        <f ca="1">IFERROR(__xludf.DUMMYFUNCTION("""COMPUTED_VALUE"""),"г.о. Одинцово")</f>
        <v>г.о. Одинцово</v>
      </c>
      <c r="C229"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29" s="52" t="str">
        <f ca="1">IFERROR(__xludf.DUMMYFUNCTION("""COMPUTED_VALUE"""),"МинЖКХ")</f>
        <v>МинЖКХ</v>
      </c>
      <c r="E229" s="45" t="s">
        <v>278</v>
      </c>
      <c r="F229" s="46" t="str">
        <f ca="1">IFERROR(__xludf.DUMMYFUNCTION("""COMPUTED_VALUE"""),"ОС")</f>
        <v>ОС</v>
      </c>
      <c r="G229" s="46" t="str">
        <f ca="1">IFERROR(__xludf.DUMMYFUNCTION("""COMPUTED_VALUE"""),"2020-2021")</f>
        <v>2020-2021</v>
      </c>
      <c r="H229" s="48" t="str">
        <f ca="1">IFERROR(__xludf.DUMMYFUNCTION("""COMPUTED_VALUE"""),"Работы в соотвествии  в графиком. необходимо корректировка проекта. Получено письмо от ОМСУ о переносе лимитов финасирования 2020 года в размере 140 млн. руб.")</f>
        <v>Работы в соотвествии  в графиком. необходимо корректировка проекта. Получено письмо от ОМСУ о переносе лимитов финасирования 2020 года в размере 140 млн. руб.</v>
      </c>
      <c r="I229" s="48" t="str">
        <f ca="1">IFERROR(__xludf.DUMMYFUNCTION("""COMPUTED_VALUE"""),"СМР")</f>
        <v>СМР</v>
      </c>
      <c r="J229" s="48">
        <f ca="1">IFERROR(__xludf.DUMMYFUNCTION("""COMPUTED_VALUE"""),25)</f>
        <v>25</v>
      </c>
      <c r="K229" s="48"/>
      <c r="L229" s="48"/>
      <c r="M229" s="48"/>
      <c r="N229" s="48" t="str">
        <f ca="1">IFERROR(__xludf.DUMMYFUNCTION("""COMPUTED_VALUE"""),"10 2 01 64020")</f>
        <v>10 2 01 64020</v>
      </c>
      <c r="O229" s="48">
        <f ca="1">IFERROR(__xludf.DUMMYFUNCTION("""COMPUTED_VALUE"""),522)</f>
        <v>522</v>
      </c>
      <c r="P229" s="24">
        <f t="shared" ref="P229:T229" si="236">SUM(V229,AB229,AH229,AN229,AT229,AZ229,BF229)</f>
        <v>407768.42000000004</v>
      </c>
      <c r="Q229" s="24">
        <f t="shared" si="236"/>
        <v>0</v>
      </c>
      <c r="R229" s="24">
        <f t="shared" si="236"/>
        <v>116459.98</v>
      </c>
      <c r="S229" s="24">
        <f t="shared" si="236"/>
        <v>138222</v>
      </c>
      <c r="T229" s="24">
        <f t="shared" si="236"/>
        <v>153086.44</v>
      </c>
      <c r="U229" s="20"/>
      <c r="V229" s="24"/>
      <c r="W229" s="24"/>
      <c r="X229" s="24"/>
      <c r="Y229" s="24"/>
      <c r="Z229" s="24"/>
      <c r="AA229" s="24"/>
      <c r="AB229" s="24"/>
      <c r="AC229" s="50"/>
      <c r="AD229" s="50"/>
      <c r="AE229" s="50"/>
      <c r="AF229" s="50"/>
      <c r="AG229" s="50"/>
      <c r="AH229" s="50">
        <f t="shared" si="2"/>
        <v>373104.77</v>
      </c>
      <c r="AI229" s="50">
        <v>0</v>
      </c>
      <c r="AJ229" s="50">
        <v>94968.98</v>
      </c>
      <c r="AK229" s="50">
        <v>138222</v>
      </c>
      <c r="AL229" s="50">
        <v>139913.79</v>
      </c>
      <c r="AM229" s="50"/>
      <c r="AN229" s="24">
        <f t="shared" si="3"/>
        <v>34663.65</v>
      </c>
      <c r="AO229" s="50">
        <v>0</v>
      </c>
      <c r="AP229" s="50">
        <v>21491</v>
      </c>
      <c r="AQ229" s="50">
        <v>0</v>
      </c>
      <c r="AR229" s="50">
        <v>13172.65</v>
      </c>
      <c r="AS229" s="50"/>
      <c r="AT229" s="50">
        <f t="shared" si="4"/>
        <v>0</v>
      </c>
      <c r="AU229" s="50">
        <v>0</v>
      </c>
      <c r="AV229" s="50">
        <v>0</v>
      </c>
      <c r="AW229" s="50">
        <v>0</v>
      </c>
      <c r="AX229" s="50">
        <v>0</v>
      </c>
      <c r="AY229" s="50"/>
      <c r="AZ229" s="50">
        <f t="shared" si="227"/>
        <v>0</v>
      </c>
      <c r="BA229" s="50">
        <v>0</v>
      </c>
      <c r="BB229" s="50">
        <v>0</v>
      </c>
      <c r="BC229" s="50">
        <v>0</v>
      </c>
      <c r="BD229" s="50">
        <v>0</v>
      </c>
      <c r="BE229" s="50"/>
      <c r="BF229" s="50">
        <f t="shared" si="6"/>
        <v>0</v>
      </c>
      <c r="BG229" s="50">
        <v>0</v>
      </c>
      <c r="BH229" s="50">
        <v>0</v>
      </c>
      <c r="BI229" s="50">
        <v>0</v>
      </c>
      <c r="BJ229" s="50">
        <v>0</v>
      </c>
      <c r="BK229" s="50"/>
      <c r="BL229" s="20"/>
    </row>
    <row r="230" spans="1:64" ht="72" x14ac:dyDescent="0.2">
      <c r="A230" s="69">
        <v>226</v>
      </c>
      <c r="B230" s="48" t="str">
        <f ca="1">IFERROR(__xludf.DUMMYFUNCTION("""COMPUTED_VALUE"""),"г.о. Коломенский")</f>
        <v>г.о. Коломенский</v>
      </c>
      <c r="C230"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0" s="52" t="str">
        <f ca="1">IFERROR(__xludf.DUMMYFUNCTION("""COMPUTED_VALUE"""),"МинЖКХ")</f>
        <v>МинЖКХ</v>
      </c>
      <c r="E230" s="45" t="s">
        <v>62</v>
      </c>
      <c r="F230" s="46" t="str">
        <f ca="1">IFERROR(__xludf.DUMMYFUNCTION("""COMPUTED_VALUE"""),"ОС")</f>
        <v>ОС</v>
      </c>
      <c r="G230" s="46" t="str">
        <f ca="1">IFERROR(__xludf.DUMMYFUNCTION("""COMPUTED_VALUE"""),"2020-2021")</f>
        <v>2020-2021</v>
      </c>
      <c r="H230" s="48" t="str">
        <f ca="1">IFERROR(__xludf.DUMMYFUNCTION("""COMPUTED_VALUE"""),"низкий темп раелизации.")</f>
        <v>низкий темп раелизации.</v>
      </c>
      <c r="I230" s="48" t="str">
        <f ca="1">IFERROR(__xludf.DUMMYFUNCTION("""COMPUTED_VALUE"""),"СМР")</f>
        <v>СМР</v>
      </c>
      <c r="J230" s="48">
        <f ca="1">IFERROR(__xludf.DUMMYFUNCTION("""COMPUTED_VALUE"""),30)</f>
        <v>30</v>
      </c>
      <c r="K230" s="48"/>
      <c r="L230" s="48"/>
      <c r="M230" s="48"/>
      <c r="N230" s="48" t="str">
        <f ca="1">IFERROR(__xludf.DUMMYFUNCTION("""COMPUTED_VALUE"""),"10 2 01 64020")</f>
        <v>10 2 01 64020</v>
      </c>
      <c r="O230" s="48">
        <f ca="1">IFERROR(__xludf.DUMMYFUNCTION("""COMPUTED_VALUE"""),522)</f>
        <v>522</v>
      </c>
      <c r="P230" s="24">
        <f t="shared" ref="P230:T230" si="237">SUM(V230,AB230,AH230,AN230,AT230,AZ230,BF230)</f>
        <v>152012.13</v>
      </c>
      <c r="Q230" s="24">
        <f t="shared" si="237"/>
        <v>0</v>
      </c>
      <c r="R230" s="24">
        <f t="shared" si="237"/>
        <v>126143.3</v>
      </c>
      <c r="S230" s="24">
        <f t="shared" si="237"/>
        <v>0</v>
      </c>
      <c r="T230" s="24">
        <f t="shared" si="237"/>
        <v>25868.829999999998</v>
      </c>
      <c r="U230" s="20"/>
      <c r="V230" s="24"/>
      <c r="W230" s="24"/>
      <c r="X230" s="24"/>
      <c r="Y230" s="24"/>
      <c r="Z230" s="24"/>
      <c r="AA230" s="24"/>
      <c r="AB230" s="24"/>
      <c r="AC230" s="50"/>
      <c r="AD230" s="50"/>
      <c r="AE230" s="50"/>
      <c r="AF230" s="50"/>
      <c r="AG230" s="50"/>
      <c r="AH230" s="50">
        <f t="shared" si="2"/>
        <v>68897.510000000009</v>
      </c>
      <c r="AI230" s="50">
        <v>0</v>
      </c>
      <c r="AJ230" s="50">
        <v>63059.3</v>
      </c>
      <c r="AK230" s="50">
        <v>0</v>
      </c>
      <c r="AL230" s="50">
        <v>5838.21</v>
      </c>
      <c r="AM230" s="50"/>
      <c r="AN230" s="24">
        <f t="shared" si="3"/>
        <v>83114.62</v>
      </c>
      <c r="AO230" s="50">
        <v>0</v>
      </c>
      <c r="AP230" s="50">
        <v>63084</v>
      </c>
      <c r="AQ230" s="50">
        <v>0</v>
      </c>
      <c r="AR230" s="50">
        <v>20030.62</v>
      </c>
      <c r="AS230" s="50"/>
      <c r="AT230" s="50">
        <f t="shared" si="4"/>
        <v>0</v>
      </c>
      <c r="AU230" s="50">
        <v>0</v>
      </c>
      <c r="AV230" s="50">
        <v>0</v>
      </c>
      <c r="AW230" s="50">
        <v>0</v>
      </c>
      <c r="AX230" s="50">
        <v>0</v>
      </c>
      <c r="AY230" s="50"/>
      <c r="AZ230" s="50">
        <f t="shared" si="227"/>
        <v>0</v>
      </c>
      <c r="BA230" s="50">
        <v>0</v>
      </c>
      <c r="BB230" s="50">
        <v>0</v>
      </c>
      <c r="BC230" s="50">
        <v>0</v>
      </c>
      <c r="BD230" s="50">
        <v>0</v>
      </c>
      <c r="BE230" s="50"/>
      <c r="BF230" s="50">
        <f t="shared" si="6"/>
        <v>0</v>
      </c>
      <c r="BG230" s="50">
        <v>0</v>
      </c>
      <c r="BH230" s="50">
        <v>0</v>
      </c>
      <c r="BI230" s="50">
        <v>0</v>
      </c>
      <c r="BJ230" s="50">
        <v>0</v>
      </c>
      <c r="BK230" s="50"/>
      <c r="BL230" s="20"/>
    </row>
    <row r="231" spans="1:64" ht="72" x14ac:dyDescent="0.2">
      <c r="A231" s="69">
        <v>227</v>
      </c>
      <c r="B231" s="48" t="str">
        <f ca="1">IFERROR(__xludf.DUMMYFUNCTION("""COMPUTED_VALUE"""),"г.о. Электросталь")</f>
        <v>г.о. Электросталь</v>
      </c>
      <c r="C231"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1" s="52" t="str">
        <f ca="1">IFERROR(__xludf.DUMMYFUNCTION("""COMPUTED_VALUE"""),"МинЖКХ")</f>
        <v>МинЖКХ</v>
      </c>
      <c r="E231" s="45" t="s">
        <v>279</v>
      </c>
      <c r="F231" s="46" t="str">
        <f ca="1">IFERROR(__xludf.DUMMYFUNCTION("""COMPUTED_VALUE"""),"ОС")</f>
        <v>ОС</v>
      </c>
      <c r="G231" s="46" t="str">
        <f ca="1">IFERROR(__xludf.DUMMYFUNCTION("""COMPUTED_VALUE"""),"2021-2023")</f>
        <v>2021-2023</v>
      </c>
      <c r="H231" s="48"/>
      <c r="I231" s="48" t="str">
        <f ca="1">IFERROR(__xludf.DUMMYFUNCTION("""COMPUTED_VALUE"""),"СМР")</f>
        <v>СМР</v>
      </c>
      <c r="J231" s="48"/>
      <c r="K231" s="48"/>
      <c r="L231" s="48"/>
      <c r="M231" s="48"/>
      <c r="N231" s="48" t="str">
        <f ca="1">IFERROR(__xludf.DUMMYFUNCTION("""COMPUTED_VALUE"""),"10 2 01 64020")</f>
        <v>10 2 01 64020</v>
      </c>
      <c r="O231" s="48">
        <f ca="1">IFERROR(__xludf.DUMMYFUNCTION("""COMPUTED_VALUE"""),522)</f>
        <v>522</v>
      </c>
      <c r="P231" s="24">
        <f t="shared" ref="P231:T231" si="238">SUM(V231,AB231,AH231,AN231,AT231,AZ231,BF231)</f>
        <v>42013.369999999995</v>
      </c>
      <c r="Q231" s="24">
        <f t="shared" si="238"/>
        <v>0</v>
      </c>
      <c r="R231" s="24">
        <f t="shared" si="238"/>
        <v>37812</v>
      </c>
      <c r="S231" s="24">
        <f t="shared" si="238"/>
        <v>0</v>
      </c>
      <c r="T231" s="24">
        <f t="shared" si="238"/>
        <v>4201.37</v>
      </c>
      <c r="U231" s="20"/>
      <c r="V231" s="24"/>
      <c r="W231" s="24"/>
      <c r="X231" s="24"/>
      <c r="Y231" s="24"/>
      <c r="Z231" s="24"/>
      <c r="AA231" s="24"/>
      <c r="AB231" s="24"/>
      <c r="AC231" s="50"/>
      <c r="AD231" s="50"/>
      <c r="AE231" s="50"/>
      <c r="AF231" s="50"/>
      <c r="AG231" s="50"/>
      <c r="AH231" s="50">
        <f t="shared" si="2"/>
        <v>0</v>
      </c>
      <c r="AI231" s="50">
        <v>0</v>
      </c>
      <c r="AJ231" s="50">
        <v>0</v>
      </c>
      <c r="AK231" s="50">
        <v>0</v>
      </c>
      <c r="AL231" s="50">
        <v>0</v>
      </c>
      <c r="AM231" s="50"/>
      <c r="AN231" s="24">
        <f t="shared" si="3"/>
        <v>7986.63</v>
      </c>
      <c r="AO231" s="50">
        <v>0</v>
      </c>
      <c r="AP231" s="50">
        <v>7188</v>
      </c>
      <c r="AQ231" s="50">
        <v>0</v>
      </c>
      <c r="AR231" s="50">
        <v>798.63</v>
      </c>
      <c r="AS231" s="50"/>
      <c r="AT231" s="50">
        <f t="shared" si="4"/>
        <v>34026.74</v>
      </c>
      <c r="AU231" s="50">
        <v>0</v>
      </c>
      <c r="AV231" s="50">
        <v>30624</v>
      </c>
      <c r="AW231" s="50">
        <v>0</v>
      </c>
      <c r="AX231" s="50">
        <v>3402.74</v>
      </c>
      <c r="AY231" s="50"/>
      <c r="AZ231" s="50">
        <f t="shared" si="227"/>
        <v>0</v>
      </c>
      <c r="BA231" s="50">
        <v>0</v>
      </c>
      <c r="BB231" s="50">
        <v>0</v>
      </c>
      <c r="BC231" s="50">
        <v>0</v>
      </c>
      <c r="BD231" s="50">
        <v>0</v>
      </c>
      <c r="BE231" s="50"/>
      <c r="BF231" s="50">
        <f t="shared" si="6"/>
        <v>0</v>
      </c>
      <c r="BG231" s="50">
        <v>0</v>
      </c>
      <c r="BH231" s="50">
        <v>0</v>
      </c>
      <c r="BI231" s="50">
        <v>0</v>
      </c>
      <c r="BJ231" s="50">
        <v>0</v>
      </c>
      <c r="BK231" s="50"/>
      <c r="BL231" s="20"/>
    </row>
    <row r="232" spans="1:64" ht="72" x14ac:dyDescent="0.2">
      <c r="A232" s="69">
        <v>228</v>
      </c>
      <c r="B232" s="48" t="str">
        <f ca="1">IFERROR(__xludf.DUMMYFUNCTION("""COMPUTED_VALUE"""),"г.о. Подольск")</f>
        <v>г.о. Подольск</v>
      </c>
      <c r="C232"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2" s="52" t="str">
        <f ca="1">IFERROR(__xludf.DUMMYFUNCTION("""COMPUTED_VALUE"""),"МинЖКХ")</f>
        <v>МинЖКХ</v>
      </c>
      <c r="E232" s="45" t="s">
        <v>280</v>
      </c>
      <c r="F232" s="46" t="str">
        <f ca="1">IFERROR(__xludf.DUMMYFUNCTION("""COMPUTED_VALUE"""),"ОС")</f>
        <v>ОС</v>
      </c>
      <c r="G232" s="46" t="str">
        <f ca="1">IFERROR(__xludf.DUMMYFUNCTION("""COMPUTED_VALUE"""),"2021-2022")</f>
        <v>2021-2022</v>
      </c>
      <c r="H232" s="48"/>
      <c r="I232" s="48" t="str">
        <f ca="1">IFERROR(__xludf.DUMMYFUNCTION("""COMPUTED_VALUE"""),"СМР")</f>
        <v>СМР</v>
      </c>
      <c r="J232" s="48"/>
      <c r="K232" s="48"/>
      <c r="L232" s="48"/>
      <c r="M232" s="48"/>
      <c r="N232" s="48" t="str">
        <f ca="1">IFERROR(__xludf.DUMMYFUNCTION("""COMPUTED_VALUE"""),"10 2 01 64020")</f>
        <v>10 2 01 64020</v>
      </c>
      <c r="O232" s="48">
        <f ca="1">IFERROR(__xludf.DUMMYFUNCTION("""COMPUTED_VALUE"""),522)</f>
        <v>522</v>
      </c>
      <c r="P232" s="24">
        <f t="shared" ref="P232:T232" si="239">SUM(V232,AB232,AH232,AN232,AT232,AZ232,BF232)</f>
        <v>123500</v>
      </c>
      <c r="Q232" s="24">
        <f t="shared" si="239"/>
        <v>0</v>
      </c>
      <c r="R232" s="24">
        <f t="shared" si="239"/>
        <v>0</v>
      </c>
      <c r="S232" s="24">
        <f t="shared" si="239"/>
        <v>0</v>
      </c>
      <c r="T232" s="24">
        <f t="shared" si="239"/>
        <v>123500</v>
      </c>
      <c r="U232" s="20"/>
      <c r="V232" s="24"/>
      <c r="W232" s="24"/>
      <c r="X232" s="24"/>
      <c r="Y232" s="24"/>
      <c r="Z232" s="24"/>
      <c r="AA232" s="24"/>
      <c r="AB232" s="24"/>
      <c r="AC232" s="50"/>
      <c r="AD232" s="50"/>
      <c r="AE232" s="50"/>
      <c r="AF232" s="50"/>
      <c r="AG232" s="50"/>
      <c r="AH232" s="50">
        <f t="shared" si="2"/>
        <v>0</v>
      </c>
      <c r="AI232" s="50">
        <v>0</v>
      </c>
      <c r="AJ232" s="50">
        <v>0</v>
      </c>
      <c r="AK232" s="50">
        <v>0</v>
      </c>
      <c r="AL232" s="50">
        <v>0</v>
      </c>
      <c r="AM232" s="50"/>
      <c r="AN232" s="24">
        <f t="shared" si="3"/>
        <v>20200</v>
      </c>
      <c r="AO232" s="50">
        <v>0</v>
      </c>
      <c r="AP232" s="50">
        <v>0</v>
      </c>
      <c r="AQ232" s="50">
        <v>0</v>
      </c>
      <c r="AR232" s="50">
        <v>20200</v>
      </c>
      <c r="AS232" s="50"/>
      <c r="AT232" s="50">
        <f t="shared" si="4"/>
        <v>103300</v>
      </c>
      <c r="AU232" s="50">
        <v>0</v>
      </c>
      <c r="AV232" s="50">
        <v>0</v>
      </c>
      <c r="AW232" s="50">
        <v>0</v>
      </c>
      <c r="AX232" s="50">
        <v>103300</v>
      </c>
      <c r="AY232" s="50"/>
      <c r="AZ232" s="50">
        <f t="shared" si="227"/>
        <v>0</v>
      </c>
      <c r="BA232" s="50">
        <v>0</v>
      </c>
      <c r="BB232" s="50">
        <v>0</v>
      </c>
      <c r="BC232" s="50">
        <v>0</v>
      </c>
      <c r="BD232" s="50">
        <v>0</v>
      </c>
      <c r="BE232" s="50"/>
      <c r="BF232" s="50">
        <f t="shared" si="6"/>
        <v>0</v>
      </c>
      <c r="BG232" s="50">
        <v>0</v>
      </c>
      <c r="BH232" s="50">
        <v>0</v>
      </c>
      <c r="BI232" s="50">
        <v>0</v>
      </c>
      <c r="BJ232" s="50">
        <v>0</v>
      </c>
      <c r="BK232" s="50"/>
      <c r="BL232" s="45" t="s">
        <v>281</v>
      </c>
    </row>
    <row r="233" spans="1:64" ht="72" x14ac:dyDescent="0.2">
      <c r="A233" s="69">
        <v>229</v>
      </c>
      <c r="B233" s="48" t="str">
        <f ca="1">IFERROR(__xludf.DUMMYFUNCTION("""COMPUTED_VALUE"""),"г.о. Лосино-Петровский")</f>
        <v>г.о. Лосино-Петровский</v>
      </c>
      <c r="C233"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3" s="52" t="str">
        <f ca="1">IFERROR(__xludf.DUMMYFUNCTION("""COMPUTED_VALUE"""),"МинЖКХ")</f>
        <v>МинЖКХ</v>
      </c>
      <c r="E233" s="45" t="s">
        <v>282</v>
      </c>
      <c r="F233" s="46" t="str">
        <f ca="1">IFERROR(__xludf.DUMMYFUNCTION("""COMPUTED_VALUE"""),"ОС")</f>
        <v>ОС</v>
      </c>
      <c r="G233" s="46" t="str">
        <f ca="1">IFERROR(__xludf.DUMMYFUNCTION("""COMPUTED_VALUE"""),"2022-2023")</f>
        <v>2022-2023</v>
      </c>
      <c r="H233" s="48"/>
      <c r="I233" s="48" t="str">
        <f ca="1">IFERROR(__xludf.DUMMYFUNCTION("""COMPUTED_VALUE"""),"СМР")</f>
        <v>СМР</v>
      </c>
      <c r="J233" s="48"/>
      <c r="K233" s="48"/>
      <c r="L233" s="48"/>
      <c r="M233" s="48"/>
      <c r="N233" s="48" t="str">
        <f ca="1">IFERROR(__xludf.DUMMYFUNCTION("""COMPUTED_VALUE"""),"10 2 01 64020")</f>
        <v>10 2 01 64020</v>
      </c>
      <c r="O233" s="48">
        <f ca="1">IFERROR(__xludf.DUMMYFUNCTION("""COMPUTED_VALUE"""),522)</f>
        <v>522</v>
      </c>
      <c r="P233" s="24">
        <f t="shared" ref="P233:T233" si="240">SUM(V233,AB233,AH233,AN233,AT233,AZ233,BF233)</f>
        <v>110000</v>
      </c>
      <c r="Q233" s="24">
        <f t="shared" si="240"/>
        <v>0</v>
      </c>
      <c r="R233" s="24">
        <f t="shared" si="240"/>
        <v>98780</v>
      </c>
      <c r="S233" s="24">
        <f t="shared" si="240"/>
        <v>0</v>
      </c>
      <c r="T233" s="24">
        <f t="shared" si="240"/>
        <v>11220</v>
      </c>
      <c r="U233" s="20"/>
      <c r="V233" s="24"/>
      <c r="W233" s="24"/>
      <c r="X233" s="24"/>
      <c r="Y233" s="24"/>
      <c r="Z233" s="24"/>
      <c r="AA233" s="24"/>
      <c r="AB233" s="24"/>
      <c r="AC233" s="50"/>
      <c r="AD233" s="50"/>
      <c r="AE233" s="50"/>
      <c r="AF233" s="50"/>
      <c r="AG233" s="50"/>
      <c r="AH233" s="50">
        <f t="shared" si="2"/>
        <v>0</v>
      </c>
      <c r="AI233" s="50">
        <v>0</v>
      </c>
      <c r="AJ233" s="50">
        <v>0</v>
      </c>
      <c r="AK233" s="50">
        <v>0</v>
      </c>
      <c r="AL233" s="50">
        <v>0</v>
      </c>
      <c r="AM233" s="50"/>
      <c r="AN233" s="24">
        <f t="shared" si="3"/>
        <v>0</v>
      </c>
      <c r="AO233" s="50">
        <v>0</v>
      </c>
      <c r="AP233" s="50">
        <v>0</v>
      </c>
      <c r="AQ233" s="50">
        <v>0</v>
      </c>
      <c r="AR233" s="50">
        <v>0</v>
      </c>
      <c r="AS233" s="50"/>
      <c r="AT233" s="50">
        <f t="shared" si="4"/>
        <v>74085</v>
      </c>
      <c r="AU233" s="50">
        <v>0</v>
      </c>
      <c r="AV233" s="50">
        <v>66528</v>
      </c>
      <c r="AW233" s="50">
        <v>0</v>
      </c>
      <c r="AX233" s="50">
        <v>7557</v>
      </c>
      <c r="AY233" s="50"/>
      <c r="AZ233" s="50">
        <f t="shared" si="227"/>
        <v>35915</v>
      </c>
      <c r="BA233" s="50">
        <v>0</v>
      </c>
      <c r="BB233" s="50">
        <v>32252</v>
      </c>
      <c r="BC233" s="50">
        <v>0</v>
      </c>
      <c r="BD233" s="50">
        <v>3663</v>
      </c>
      <c r="BE233" s="50"/>
      <c r="BF233" s="50">
        <f t="shared" si="6"/>
        <v>0</v>
      </c>
      <c r="BG233" s="50">
        <v>0</v>
      </c>
      <c r="BH233" s="50">
        <v>0</v>
      </c>
      <c r="BI233" s="50">
        <v>0</v>
      </c>
      <c r="BJ233" s="50">
        <v>0</v>
      </c>
      <c r="BK233" s="50"/>
      <c r="BL233" s="20"/>
    </row>
    <row r="234" spans="1:64" ht="72" x14ac:dyDescent="0.2">
      <c r="A234" s="69">
        <v>230</v>
      </c>
      <c r="B234" s="48" t="str">
        <f ca="1">IFERROR(__xludf.DUMMYFUNCTION("""COMPUTED_VALUE"""),"г.о. Серпухов")</f>
        <v>г.о. Серпухов</v>
      </c>
      <c r="C234"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4" s="52" t="str">
        <f ca="1">IFERROR(__xludf.DUMMYFUNCTION("""COMPUTED_VALUE"""),"МинЖКХ")</f>
        <v>МинЖКХ</v>
      </c>
      <c r="E234" s="45" t="s">
        <v>283</v>
      </c>
      <c r="F234" s="46" t="str">
        <f ca="1">IFERROR(__xludf.DUMMYFUNCTION("""COMPUTED_VALUE"""),"ОС")</f>
        <v>ОС</v>
      </c>
      <c r="G234" s="46">
        <f ca="1">IFERROR(__xludf.DUMMYFUNCTION("""COMPUTED_VALUE"""),2020)</f>
        <v>2020</v>
      </c>
      <c r="H234" s="48" t="str">
        <f ca="1">IFERROR(__xludf.DUMMYFUNCTION("""COMPUTED_VALUE"""),"ПСД  в МОГЭ и ГЭЭ получения заключения МОГЭ - декабрь.")</f>
        <v>ПСД  в МОГЭ и ГЭЭ получения заключения МОГЭ - декабрь.</v>
      </c>
      <c r="I234" s="48" t="str">
        <f ca="1">IFERROR(__xludf.DUMMYFUNCTION("""COMPUTED_VALUE"""),"ПИР")</f>
        <v>ПИР</v>
      </c>
      <c r="J234" s="48">
        <f ca="1">IFERROR(__xludf.DUMMYFUNCTION("""COMPUTED_VALUE"""),0)</f>
        <v>0</v>
      </c>
      <c r="K234" s="48"/>
      <c r="L234" s="48"/>
      <c r="M234" s="48"/>
      <c r="N234" s="48" t="str">
        <f ca="1">IFERROR(__xludf.DUMMYFUNCTION("""COMPUTED_VALUE"""),"10 2 01 64020")</f>
        <v>10 2 01 64020</v>
      </c>
      <c r="O234" s="48">
        <f ca="1">IFERROR(__xludf.DUMMYFUNCTION("""COMPUTED_VALUE"""),522)</f>
        <v>522</v>
      </c>
      <c r="P234" s="24">
        <f t="shared" ref="P234:T234" si="241">SUM(V234,AB234,AH234,AN234,AT234,AZ234,BF234)</f>
        <v>68180.5</v>
      </c>
      <c r="Q234" s="24">
        <f t="shared" si="241"/>
        <v>0</v>
      </c>
      <c r="R234" s="24">
        <f t="shared" si="241"/>
        <v>0</v>
      </c>
      <c r="S234" s="24">
        <f t="shared" si="241"/>
        <v>64772</v>
      </c>
      <c r="T234" s="24">
        <f t="shared" si="241"/>
        <v>3408.5</v>
      </c>
      <c r="U234" s="20"/>
      <c r="V234" s="24"/>
      <c r="W234" s="24"/>
      <c r="X234" s="24"/>
      <c r="Y234" s="24"/>
      <c r="Z234" s="24"/>
      <c r="AA234" s="24"/>
      <c r="AB234" s="24"/>
      <c r="AC234" s="50"/>
      <c r="AD234" s="50"/>
      <c r="AE234" s="50"/>
      <c r="AF234" s="50"/>
      <c r="AG234" s="50"/>
      <c r="AH234" s="50">
        <f t="shared" si="2"/>
        <v>68180.5</v>
      </c>
      <c r="AI234" s="50">
        <v>0</v>
      </c>
      <c r="AJ234" s="50">
        <v>0</v>
      </c>
      <c r="AK234" s="50">
        <v>64772</v>
      </c>
      <c r="AL234" s="50">
        <v>3408.5</v>
      </c>
      <c r="AM234" s="50"/>
      <c r="AN234" s="24">
        <f t="shared" si="3"/>
        <v>0</v>
      </c>
      <c r="AO234" s="50">
        <v>0</v>
      </c>
      <c r="AP234" s="50">
        <v>0</v>
      </c>
      <c r="AQ234" s="50">
        <v>0</v>
      </c>
      <c r="AR234" s="50">
        <v>0</v>
      </c>
      <c r="AS234" s="50"/>
      <c r="AT234" s="50">
        <f t="shared" si="4"/>
        <v>0</v>
      </c>
      <c r="AU234" s="50">
        <v>0</v>
      </c>
      <c r="AV234" s="50">
        <v>0</v>
      </c>
      <c r="AW234" s="50">
        <v>0</v>
      </c>
      <c r="AX234" s="50">
        <v>0</v>
      </c>
      <c r="AY234" s="50"/>
      <c r="AZ234" s="50">
        <f t="shared" si="227"/>
        <v>0</v>
      </c>
      <c r="BA234" s="50">
        <v>0</v>
      </c>
      <c r="BB234" s="50">
        <v>0</v>
      </c>
      <c r="BC234" s="50">
        <v>0</v>
      </c>
      <c r="BD234" s="50">
        <v>0</v>
      </c>
      <c r="BE234" s="50"/>
      <c r="BF234" s="50">
        <f t="shared" si="6"/>
        <v>0</v>
      </c>
      <c r="BG234" s="50">
        <v>0</v>
      </c>
      <c r="BH234" s="50">
        <v>0</v>
      </c>
      <c r="BI234" s="50">
        <v>0</v>
      </c>
      <c r="BJ234" s="50">
        <v>0</v>
      </c>
      <c r="BK234" s="50"/>
      <c r="BL234" s="20"/>
    </row>
    <row r="235" spans="1:64" ht="72" x14ac:dyDescent="0.2">
      <c r="A235" s="69">
        <v>231</v>
      </c>
      <c r="B235" s="48" t="str">
        <f ca="1">IFERROR(__xludf.DUMMYFUNCTION("""COMPUTED_VALUE"""),"г.о. Павловский Посад")</f>
        <v>г.о. Павловский Посад</v>
      </c>
      <c r="C235"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5" s="52" t="str">
        <f ca="1">IFERROR(__xludf.DUMMYFUNCTION("""COMPUTED_VALUE"""),"МинЖКХ")</f>
        <v>МинЖКХ</v>
      </c>
      <c r="E235" s="45" t="s">
        <v>284</v>
      </c>
      <c r="F235" s="46" t="str">
        <f ca="1">IFERROR(__xludf.DUMMYFUNCTION("""COMPUTED_VALUE"""),"ОС")</f>
        <v>ОС</v>
      </c>
      <c r="G235" s="46">
        <f ca="1">IFERROR(__xludf.DUMMYFUNCTION("""COMPUTED_VALUE"""),2020)</f>
        <v>2020</v>
      </c>
      <c r="H235" s="48" t="str">
        <f ca="1">IFERROR(__xludf.DUMMYFUNCTION("""COMPUTED_VALUE"""),"ПСД в МОГЭ срок получения заключения - декабрь")</f>
        <v>ПСД в МОГЭ срок получения заключения - декабрь</v>
      </c>
      <c r="I235" s="48" t="str">
        <f ca="1">IFERROR(__xludf.DUMMYFUNCTION("""COMPUTED_VALUE"""),"ПИР")</f>
        <v>ПИР</v>
      </c>
      <c r="J235" s="48">
        <f ca="1">IFERROR(__xludf.DUMMYFUNCTION("""COMPUTED_VALUE"""),0)</f>
        <v>0</v>
      </c>
      <c r="K235" s="48"/>
      <c r="L235" s="48"/>
      <c r="M235" s="48"/>
      <c r="N235" s="48" t="str">
        <f ca="1">IFERROR(__xludf.DUMMYFUNCTION("""COMPUTED_VALUE"""),"10 2 01 64020")</f>
        <v>10 2 01 64020</v>
      </c>
      <c r="O235" s="48">
        <f ca="1">IFERROR(__xludf.DUMMYFUNCTION("""COMPUTED_VALUE"""),522)</f>
        <v>522</v>
      </c>
      <c r="P235" s="24">
        <f t="shared" ref="P235:T235" si="242">SUM(V235,AB235,AH235,AN235,AT235,AZ235,BF235)</f>
        <v>53937.979999999996</v>
      </c>
      <c r="Q235" s="24">
        <f t="shared" si="242"/>
        <v>0</v>
      </c>
      <c r="R235" s="24">
        <f t="shared" si="242"/>
        <v>0</v>
      </c>
      <c r="S235" s="24">
        <f t="shared" si="242"/>
        <v>50136.639999999999</v>
      </c>
      <c r="T235" s="24">
        <f t="shared" si="242"/>
        <v>3801.34</v>
      </c>
      <c r="U235" s="20"/>
      <c r="V235" s="24"/>
      <c r="W235" s="24"/>
      <c r="X235" s="24"/>
      <c r="Y235" s="24"/>
      <c r="Z235" s="24"/>
      <c r="AA235" s="24"/>
      <c r="AB235" s="24"/>
      <c r="AC235" s="50"/>
      <c r="AD235" s="50"/>
      <c r="AE235" s="50"/>
      <c r="AF235" s="50"/>
      <c r="AG235" s="50"/>
      <c r="AH235" s="50">
        <f t="shared" si="2"/>
        <v>53937.979999999996</v>
      </c>
      <c r="AI235" s="50">
        <v>0</v>
      </c>
      <c r="AJ235" s="50">
        <v>0</v>
      </c>
      <c r="AK235" s="50">
        <v>50136.639999999999</v>
      </c>
      <c r="AL235" s="50">
        <v>3801.34</v>
      </c>
      <c r="AM235" s="50"/>
      <c r="AN235" s="24">
        <f t="shared" si="3"/>
        <v>0</v>
      </c>
      <c r="AO235" s="50">
        <v>0</v>
      </c>
      <c r="AP235" s="50">
        <v>0</v>
      </c>
      <c r="AQ235" s="50">
        <v>0</v>
      </c>
      <c r="AR235" s="50">
        <v>0</v>
      </c>
      <c r="AS235" s="50"/>
      <c r="AT235" s="50">
        <f t="shared" si="4"/>
        <v>0</v>
      </c>
      <c r="AU235" s="50">
        <v>0</v>
      </c>
      <c r="AV235" s="50">
        <v>0</v>
      </c>
      <c r="AW235" s="50">
        <v>0</v>
      </c>
      <c r="AX235" s="50">
        <v>0</v>
      </c>
      <c r="AY235" s="50"/>
      <c r="AZ235" s="50">
        <f t="shared" si="227"/>
        <v>0</v>
      </c>
      <c r="BA235" s="50">
        <v>0</v>
      </c>
      <c r="BB235" s="50">
        <v>0</v>
      </c>
      <c r="BC235" s="50">
        <v>0</v>
      </c>
      <c r="BD235" s="50">
        <v>0</v>
      </c>
      <c r="BE235" s="50"/>
      <c r="BF235" s="50">
        <f t="shared" si="6"/>
        <v>0</v>
      </c>
      <c r="BG235" s="50">
        <v>0</v>
      </c>
      <c r="BH235" s="50">
        <v>0</v>
      </c>
      <c r="BI235" s="50">
        <v>0</v>
      </c>
      <c r="BJ235" s="50">
        <v>0</v>
      </c>
      <c r="BK235" s="50"/>
      <c r="BL235" s="20"/>
    </row>
    <row r="236" spans="1:64" ht="72" x14ac:dyDescent="0.2">
      <c r="A236" s="69">
        <v>232</v>
      </c>
      <c r="B236" s="48" t="str">
        <f ca="1">IFERROR(__xludf.DUMMYFUNCTION("""COMPUTED_VALUE"""),"г.о. Солнечногорск")</f>
        <v>г.о. Солнечногорск</v>
      </c>
      <c r="C236"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6" s="52" t="str">
        <f ca="1">IFERROR(__xludf.DUMMYFUNCTION("""COMPUTED_VALUE"""),"МинЖКХ")</f>
        <v>МинЖКХ</v>
      </c>
      <c r="E236" s="45" t="s">
        <v>285</v>
      </c>
      <c r="F236" s="46" t="str">
        <f ca="1">IFERROR(__xludf.DUMMYFUNCTION("""COMPUTED_VALUE"""),"ОС")</f>
        <v>ОС</v>
      </c>
      <c r="G236" s="46">
        <f ca="1">IFERROR(__xludf.DUMMYFUNCTION("""COMPUTED_VALUE"""),2020)</f>
        <v>2020</v>
      </c>
      <c r="H236" s="48" t="str">
        <f ca="1">IFERROR(__xludf.DUMMYFUNCTION("""COMPUTED_VALUE"""),"Получения заключения МОГЭ - ноябрь. ГЭЭ получено")</f>
        <v>Получения заключения МОГЭ - ноябрь. ГЭЭ получено</v>
      </c>
      <c r="I236" s="48" t="str">
        <f ca="1">IFERROR(__xludf.DUMMYFUNCTION("""COMPUTED_VALUE"""),"ПИР")</f>
        <v>ПИР</v>
      </c>
      <c r="J236" s="48">
        <f ca="1">IFERROR(__xludf.DUMMYFUNCTION("""COMPUTED_VALUE"""),0)</f>
        <v>0</v>
      </c>
      <c r="K236" s="48"/>
      <c r="L236" s="48"/>
      <c r="M236" s="48"/>
      <c r="N236" s="48" t="str">
        <f ca="1">IFERROR(__xludf.DUMMYFUNCTION("""COMPUTED_VALUE"""),"10 2 01 64020")</f>
        <v>10 2 01 64020</v>
      </c>
      <c r="O236" s="48">
        <f ca="1">IFERROR(__xludf.DUMMYFUNCTION("""COMPUTED_VALUE"""),522)</f>
        <v>522</v>
      </c>
      <c r="P236" s="24">
        <f t="shared" ref="P236:T236" si="243">SUM(V236,AB236,AH236,AN236,AT236,AZ236,BF236)</f>
        <v>17955</v>
      </c>
      <c r="Q236" s="24">
        <f t="shared" si="243"/>
        <v>0</v>
      </c>
      <c r="R236" s="24">
        <f t="shared" si="243"/>
        <v>0</v>
      </c>
      <c r="S236" s="24">
        <f t="shared" si="243"/>
        <v>17057.25</v>
      </c>
      <c r="T236" s="24">
        <f t="shared" si="243"/>
        <v>897.75</v>
      </c>
      <c r="U236" s="20"/>
      <c r="V236" s="24"/>
      <c r="W236" s="24"/>
      <c r="X236" s="24"/>
      <c r="Y236" s="24"/>
      <c r="Z236" s="24"/>
      <c r="AA236" s="24"/>
      <c r="AB236" s="24"/>
      <c r="AC236" s="50"/>
      <c r="AD236" s="50"/>
      <c r="AE236" s="50"/>
      <c r="AF236" s="50"/>
      <c r="AG236" s="50"/>
      <c r="AH236" s="50">
        <f t="shared" si="2"/>
        <v>17955</v>
      </c>
      <c r="AI236" s="50">
        <v>0</v>
      </c>
      <c r="AJ236" s="50">
        <v>0</v>
      </c>
      <c r="AK236" s="50">
        <v>17057.25</v>
      </c>
      <c r="AL236" s="50">
        <v>897.75</v>
      </c>
      <c r="AM236" s="50"/>
      <c r="AN236" s="24">
        <f t="shared" si="3"/>
        <v>0</v>
      </c>
      <c r="AO236" s="50">
        <v>0</v>
      </c>
      <c r="AP236" s="50">
        <v>0</v>
      </c>
      <c r="AQ236" s="50">
        <v>0</v>
      </c>
      <c r="AR236" s="50">
        <v>0</v>
      </c>
      <c r="AS236" s="50"/>
      <c r="AT236" s="50">
        <f t="shared" si="4"/>
        <v>0</v>
      </c>
      <c r="AU236" s="50">
        <v>0</v>
      </c>
      <c r="AV236" s="50">
        <v>0</v>
      </c>
      <c r="AW236" s="50">
        <v>0</v>
      </c>
      <c r="AX236" s="50">
        <v>0</v>
      </c>
      <c r="AY236" s="50"/>
      <c r="AZ236" s="50">
        <f t="shared" si="227"/>
        <v>0</v>
      </c>
      <c r="BA236" s="50">
        <v>0</v>
      </c>
      <c r="BB236" s="50">
        <v>0</v>
      </c>
      <c r="BC236" s="50">
        <v>0</v>
      </c>
      <c r="BD236" s="50">
        <v>0</v>
      </c>
      <c r="BE236" s="50"/>
      <c r="BF236" s="50">
        <f t="shared" si="6"/>
        <v>0</v>
      </c>
      <c r="BG236" s="50">
        <v>0</v>
      </c>
      <c r="BH236" s="50">
        <v>0</v>
      </c>
      <c r="BI236" s="50">
        <v>0</v>
      </c>
      <c r="BJ236" s="50">
        <v>0</v>
      </c>
      <c r="BK236" s="50"/>
      <c r="BL236" s="20"/>
    </row>
    <row r="237" spans="1:64" ht="72" x14ac:dyDescent="0.2">
      <c r="A237" s="69">
        <v>233</v>
      </c>
      <c r="B237" s="48" t="str">
        <f ca="1">IFERROR(__xludf.DUMMYFUNCTION("""COMPUTED_VALUE"""),"г.о. Наро-Фоминск")</f>
        <v>г.о. Наро-Фоминск</v>
      </c>
      <c r="C237"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7" s="52" t="str">
        <f ca="1">IFERROR(__xludf.DUMMYFUNCTION("""COMPUTED_VALUE"""),"МинЖКХ")</f>
        <v>МинЖКХ</v>
      </c>
      <c r="E237" s="45" t="s">
        <v>286</v>
      </c>
      <c r="F237" s="46" t="str">
        <f ca="1">IFERROR(__xludf.DUMMYFUNCTION("""COMPUTED_VALUE"""),"ОС")</f>
        <v>ОС</v>
      </c>
      <c r="G237" s="46">
        <f ca="1">IFERROR(__xludf.DUMMYFUNCTION("""COMPUTED_VALUE"""),2020)</f>
        <v>2020</v>
      </c>
      <c r="H237" s="48" t="str">
        <f ca="1">IFERROR(__xludf.DUMMYFUNCTION("""COMPUTED_VALUE"""),"сняты замечания  ГЭЭ. получения заключени МОГЭ - ноябрь 2020")</f>
        <v>сняты замечания  ГЭЭ. получения заключени МОГЭ - ноябрь 2020</v>
      </c>
      <c r="I237" s="48" t="str">
        <f ca="1">IFERROR(__xludf.DUMMYFUNCTION("""COMPUTED_VALUE"""),"ПИР")</f>
        <v>ПИР</v>
      </c>
      <c r="J237" s="48">
        <f ca="1">IFERROR(__xludf.DUMMYFUNCTION("""COMPUTED_VALUE"""),0)</f>
        <v>0</v>
      </c>
      <c r="K237" s="48"/>
      <c r="L237" s="48"/>
      <c r="M237" s="48"/>
      <c r="N237" s="48" t="str">
        <f ca="1">IFERROR(__xludf.DUMMYFUNCTION("""COMPUTED_VALUE"""),"10 2 01 64020")</f>
        <v>10 2 01 64020</v>
      </c>
      <c r="O237" s="48">
        <f ca="1">IFERROR(__xludf.DUMMYFUNCTION("""COMPUTED_VALUE"""),522)</f>
        <v>522</v>
      </c>
      <c r="P237" s="24">
        <f t="shared" ref="P237:T237" si="244">SUM(V237,AB237,AH237,AN237,AT237,AZ237,BF237)</f>
        <v>34079.089999999997</v>
      </c>
      <c r="Q237" s="24">
        <f t="shared" si="244"/>
        <v>0</v>
      </c>
      <c r="R237" s="24">
        <f t="shared" si="244"/>
        <v>0</v>
      </c>
      <c r="S237" s="24">
        <f t="shared" si="244"/>
        <v>32375</v>
      </c>
      <c r="T237" s="24">
        <f t="shared" si="244"/>
        <v>1704.09</v>
      </c>
      <c r="U237" s="20"/>
      <c r="V237" s="24"/>
      <c r="W237" s="24"/>
      <c r="X237" s="24"/>
      <c r="Y237" s="24"/>
      <c r="Z237" s="24"/>
      <c r="AA237" s="24"/>
      <c r="AB237" s="24"/>
      <c r="AC237" s="50"/>
      <c r="AD237" s="50"/>
      <c r="AE237" s="50"/>
      <c r="AF237" s="50"/>
      <c r="AG237" s="50"/>
      <c r="AH237" s="50">
        <f t="shared" si="2"/>
        <v>34079.089999999997</v>
      </c>
      <c r="AI237" s="50">
        <v>0</v>
      </c>
      <c r="AJ237" s="50">
        <v>0</v>
      </c>
      <c r="AK237" s="50">
        <v>32375</v>
      </c>
      <c r="AL237" s="50">
        <v>1704.09</v>
      </c>
      <c r="AM237" s="50"/>
      <c r="AN237" s="24">
        <f t="shared" si="3"/>
        <v>0</v>
      </c>
      <c r="AO237" s="50">
        <v>0</v>
      </c>
      <c r="AP237" s="50">
        <v>0</v>
      </c>
      <c r="AQ237" s="50">
        <v>0</v>
      </c>
      <c r="AR237" s="50">
        <v>0</v>
      </c>
      <c r="AS237" s="50"/>
      <c r="AT237" s="50">
        <f t="shared" si="4"/>
        <v>0</v>
      </c>
      <c r="AU237" s="50">
        <v>0</v>
      </c>
      <c r="AV237" s="50">
        <v>0</v>
      </c>
      <c r="AW237" s="50">
        <v>0</v>
      </c>
      <c r="AX237" s="50">
        <v>0</v>
      </c>
      <c r="AY237" s="50"/>
      <c r="AZ237" s="50">
        <f t="shared" si="227"/>
        <v>0</v>
      </c>
      <c r="BA237" s="50">
        <v>0</v>
      </c>
      <c r="BB237" s="50">
        <v>0</v>
      </c>
      <c r="BC237" s="50">
        <v>0</v>
      </c>
      <c r="BD237" s="50">
        <v>0</v>
      </c>
      <c r="BE237" s="50"/>
      <c r="BF237" s="50">
        <f t="shared" si="6"/>
        <v>0</v>
      </c>
      <c r="BG237" s="50">
        <v>0</v>
      </c>
      <c r="BH237" s="50">
        <v>0</v>
      </c>
      <c r="BI237" s="50">
        <v>0</v>
      </c>
      <c r="BJ237" s="50">
        <v>0</v>
      </c>
      <c r="BK237" s="50"/>
      <c r="BL237" s="20"/>
    </row>
    <row r="238" spans="1:64" ht="72" x14ac:dyDescent="0.2">
      <c r="A238" s="69">
        <v>234</v>
      </c>
      <c r="B238" s="48" t="str">
        <f ca="1">IFERROR(__xludf.DUMMYFUNCTION("""COMPUTED_VALUE"""),"г.о. Сергиев Посад")</f>
        <v>г.о. Сергиев Посад</v>
      </c>
      <c r="C238"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8" s="52" t="str">
        <f ca="1">IFERROR(__xludf.DUMMYFUNCTION("""COMPUTED_VALUE"""),"МинЖКХ")</f>
        <v>МинЖКХ</v>
      </c>
      <c r="E238" s="45" t="s">
        <v>287</v>
      </c>
      <c r="F238" s="46" t="str">
        <f ca="1">IFERROR(__xludf.DUMMYFUNCTION("""COMPUTED_VALUE"""),"ОС")</f>
        <v>ОС</v>
      </c>
      <c r="G238" s="46">
        <f ca="1">IFERROR(__xludf.DUMMYFUNCTION("""COMPUTED_VALUE"""),2020)</f>
        <v>2020</v>
      </c>
      <c r="H238" s="48" t="str">
        <f ca="1">IFERROR(__xludf.DUMMYFUNCTION("""COMPUTED_VALUE"""),"ПСД в МОГЭ, Сформированы локальные залючения по разделам, кроме Смет и пожарное безопасности. Получения заключени - ноябрь 2020")</f>
        <v>ПСД в МОГЭ, Сформированы локальные залючения по разделам, кроме Смет и пожарное безопасности. Получения заключени - ноябрь 2020</v>
      </c>
      <c r="I238" s="48" t="str">
        <f ca="1">IFERROR(__xludf.DUMMYFUNCTION("""COMPUTED_VALUE"""),"ПИР")</f>
        <v>ПИР</v>
      </c>
      <c r="J238" s="48">
        <f ca="1">IFERROR(__xludf.DUMMYFUNCTION("""COMPUTED_VALUE"""),25)</f>
        <v>25</v>
      </c>
      <c r="K238" s="48"/>
      <c r="L238" s="48"/>
      <c r="M238" s="48"/>
      <c r="N238" s="48" t="str">
        <f ca="1">IFERROR(__xludf.DUMMYFUNCTION("""COMPUTED_VALUE"""),"10 2 01 64020")</f>
        <v>10 2 01 64020</v>
      </c>
      <c r="O238" s="48">
        <f ca="1">IFERROR(__xludf.DUMMYFUNCTION("""COMPUTED_VALUE"""),522)</f>
        <v>522</v>
      </c>
      <c r="P238" s="24">
        <f t="shared" ref="P238:T238" si="245">SUM(V238,AB238,AH238,AN238,AT238,AZ238,BF238)</f>
        <v>34000</v>
      </c>
      <c r="Q238" s="24">
        <f t="shared" si="245"/>
        <v>0</v>
      </c>
      <c r="R238" s="24">
        <f t="shared" si="245"/>
        <v>0</v>
      </c>
      <c r="S238" s="24">
        <f t="shared" si="245"/>
        <v>32300</v>
      </c>
      <c r="T238" s="24">
        <f t="shared" si="245"/>
        <v>1700</v>
      </c>
      <c r="U238" s="20"/>
      <c r="V238" s="24"/>
      <c r="W238" s="24"/>
      <c r="X238" s="24"/>
      <c r="Y238" s="24"/>
      <c r="Z238" s="24"/>
      <c r="AA238" s="24"/>
      <c r="AB238" s="24"/>
      <c r="AC238" s="50"/>
      <c r="AD238" s="50"/>
      <c r="AE238" s="50"/>
      <c r="AF238" s="50"/>
      <c r="AG238" s="50"/>
      <c r="AH238" s="50">
        <f t="shared" si="2"/>
        <v>34000</v>
      </c>
      <c r="AI238" s="50">
        <v>0</v>
      </c>
      <c r="AJ238" s="50">
        <v>0</v>
      </c>
      <c r="AK238" s="50">
        <v>32300</v>
      </c>
      <c r="AL238" s="50">
        <v>1700</v>
      </c>
      <c r="AM238" s="50"/>
      <c r="AN238" s="24">
        <f t="shared" si="3"/>
        <v>0</v>
      </c>
      <c r="AO238" s="50">
        <v>0</v>
      </c>
      <c r="AP238" s="50">
        <v>0</v>
      </c>
      <c r="AQ238" s="50">
        <v>0</v>
      </c>
      <c r="AR238" s="50">
        <v>0</v>
      </c>
      <c r="AS238" s="50"/>
      <c r="AT238" s="50">
        <f t="shared" si="4"/>
        <v>0</v>
      </c>
      <c r="AU238" s="50">
        <v>0</v>
      </c>
      <c r="AV238" s="50">
        <v>0</v>
      </c>
      <c r="AW238" s="50">
        <v>0</v>
      </c>
      <c r="AX238" s="50">
        <v>0</v>
      </c>
      <c r="AY238" s="50"/>
      <c r="AZ238" s="50">
        <f t="shared" si="227"/>
        <v>0</v>
      </c>
      <c r="BA238" s="50">
        <v>0</v>
      </c>
      <c r="BB238" s="50">
        <v>0</v>
      </c>
      <c r="BC238" s="50">
        <v>0</v>
      </c>
      <c r="BD238" s="50">
        <v>0</v>
      </c>
      <c r="BE238" s="50"/>
      <c r="BF238" s="50">
        <f t="shared" si="6"/>
        <v>0</v>
      </c>
      <c r="BG238" s="50">
        <v>0</v>
      </c>
      <c r="BH238" s="50">
        <v>0</v>
      </c>
      <c r="BI238" s="50">
        <v>0</v>
      </c>
      <c r="BJ238" s="50">
        <v>0</v>
      </c>
      <c r="BK238" s="50"/>
      <c r="BL238" s="20"/>
    </row>
    <row r="239" spans="1:64" ht="72" x14ac:dyDescent="0.2">
      <c r="A239" s="69">
        <v>235</v>
      </c>
      <c r="B239" s="48" t="str">
        <f ca="1">IFERROR(__xludf.DUMMYFUNCTION("""COMPUTED_VALUE"""),"г.о. Дмитровский")</f>
        <v>г.о. Дмитровский</v>
      </c>
      <c r="C239"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39" s="52" t="str">
        <f ca="1">IFERROR(__xludf.DUMMYFUNCTION("""COMPUTED_VALUE"""),"МинЖКХ")</f>
        <v>МинЖКХ</v>
      </c>
      <c r="E239" s="45" t="s">
        <v>288</v>
      </c>
      <c r="F239" s="46" t="str">
        <f ca="1">IFERROR(__xludf.DUMMYFUNCTION("""COMPUTED_VALUE"""),"ОС")</f>
        <v>ОС</v>
      </c>
      <c r="G239" s="46">
        <f ca="1">IFERROR(__xludf.DUMMYFUNCTION("""COMPUTED_VALUE"""),2020)</f>
        <v>2020</v>
      </c>
      <c r="H239" s="48" t="str">
        <f ca="1">IFERROR(__xludf.DUMMYFUNCTION("""COMPUTED_VALUE"""),"Заключение МОГЭ получено")</f>
        <v>Заключение МОГЭ получено</v>
      </c>
      <c r="I239" s="48" t="str">
        <f ca="1">IFERROR(__xludf.DUMMYFUNCTION("""COMPUTED_VALUE"""),"ПИР")</f>
        <v>ПИР</v>
      </c>
      <c r="J239" s="48">
        <f ca="1">IFERROR(__xludf.DUMMYFUNCTION("""COMPUTED_VALUE"""),100)</f>
        <v>100</v>
      </c>
      <c r="K239" s="48"/>
      <c r="L239" s="48"/>
      <c r="M239" s="48"/>
      <c r="N239" s="48" t="str">
        <f ca="1">IFERROR(__xludf.DUMMYFUNCTION("""COMPUTED_VALUE"""),"10 2 01 64020")</f>
        <v>10 2 01 64020</v>
      </c>
      <c r="O239" s="48">
        <f ca="1">IFERROR(__xludf.DUMMYFUNCTION("""COMPUTED_VALUE"""),522)</f>
        <v>522</v>
      </c>
      <c r="P239" s="24">
        <f t="shared" ref="P239:T239" si="246">SUM(V239,AB239,AH239,AN239,AT239,AZ239,BF239)</f>
        <v>8049.41</v>
      </c>
      <c r="Q239" s="24">
        <f t="shared" si="246"/>
        <v>0</v>
      </c>
      <c r="R239" s="24">
        <f t="shared" si="246"/>
        <v>0</v>
      </c>
      <c r="S239" s="24">
        <f t="shared" si="246"/>
        <v>7970.03</v>
      </c>
      <c r="T239" s="24">
        <f t="shared" si="246"/>
        <v>79.38</v>
      </c>
      <c r="U239" s="20"/>
      <c r="V239" s="24"/>
      <c r="W239" s="24"/>
      <c r="X239" s="24"/>
      <c r="Y239" s="24"/>
      <c r="Z239" s="24"/>
      <c r="AA239" s="24"/>
      <c r="AB239" s="24"/>
      <c r="AC239" s="50"/>
      <c r="AD239" s="50"/>
      <c r="AE239" s="50"/>
      <c r="AF239" s="50"/>
      <c r="AG239" s="50"/>
      <c r="AH239" s="50">
        <f t="shared" si="2"/>
        <v>8049.41</v>
      </c>
      <c r="AI239" s="50">
        <v>0</v>
      </c>
      <c r="AJ239" s="50">
        <v>0</v>
      </c>
      <c r="AK239" s="50">
        <v>7970.03</v>
      </c>
      <c r="AL239" s="50">
        <v>79.38</v>
      </c>
      <c r="AM239" s="50"/>
      <c r="AN239" s="24">
        <f t="shared" si="3"/>
        <v>0</v>
      </c>
      <c r="AO239" s="50">
        <v>0</v>
      </c>
      <c r="AP239" s="50">
        <v>0</v>
      </c>
      <c r="AQ239" s="50">
        <v>0</v>
      </c>
      <c r="AR239" s="50">
        <v>0</v>
      </c>
      <c r="AS239" s="50"/>
      <c r="AT239" s="50">
        <f t="shared" si="4"/>
        <v>0</v>
      </c>
      <c r="AU239" s="50">
        <v>0</v>
      </c>
      <c r="AV239" s="50">
        <v>0</v>
      </c>
      <c r="AW239" s="50">
        <v>0</v>
      </c>
      <c r="AX239" s="50">
        <v>0</v>
      </c>
      <c r="AY239" s="50"/>
      <c r="AZ239" s="50">
        <f t="shared" si="227"/>
        <v>0</v>
      </c>
      <c r="BA239" s="50">
        <v>0</v>
      </c>
      <c r="BB239" s="50">
        <v>0</v>
      </c>
      <c r="BC239" s="50">
        <v>0</v>
      </c>
      <c r="BD239" s="50">
        <v>0</v>
      </c>
      <c r="BE239" s="50"/>
      <c r="BF239" s="50">
        <f t="shared" si="6"/>
        <v>0</v>
      </c>
      <c r="BG239" s="50">
        <v>0</v>
      </c>
      <c r="BH239" s="50">
        <v>0</v>
      </c>
      <c r="BI239" s="50">
        <v>0</v>
      </c>
      <c r="BJ239" s="50">
        <v>0</v>
      </c>
      <c r="BK239" s="50"/>
      <c r="BL239" s="20"/>
    </row>
    <row r="240" spans="1:64" ht="72" x14ac:dyDescent="0.2">
      <c r="A240" s="69">
        <v>236</v>
      </c>
      <c r="B240" s="48" t="str">
        <f ca="1">IFERROR(__xludf.DUMMYFUNCTION("""COMPUTED_VALUE"""),"г.о. Кашира")</f>
        <v>г.о. Кашира</v>
      </c>
      <c r="C240"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0" s="52" t="str">
        <f ca="1">IFERROR(__xludf.DUMMYFUNCTION("""COMPUTED_VALUE"""),"МинЖКХ")</f>
        <v>МинЖКХ</v>
      </c>
      <c r="E240" s="45" t="s">
        <v>63</v>
      </c>
      <c r="F240" s="46" t="str">
        <f ca="1">IFERROR(__xludf.DUMMYFUNCTION("""COMPUTED_VALUE"""),"ОС")</f>
        <v>ОС</v>
      </c>
      <c r="G240" s="46">
        <f ca="1">IFERROR(__xludf.DUMMYFUNCTION("""COMPUTED_VALUE"""),2020)</f>
        <v>2020</v>
      </c>
      <c r="H240" s="48" t="str">
        <f ca="1">IFERROR(__xludf.DUMMYFUNCTION("""COMPUTED_VALUE"""),"Заключение МОГЭ получено")</f>
        <v>Заключение МОГЭ получено</v>
      </c>
      <c r="I240" s="48" t="str">
        <f ca="1">IFERROR(__xludf.DUMMYFUNCTION("""COMPUTED_VALUE"""),"ПИР")</f>
        <v>ПИР</v>
      </c>
      <c r="J240" s="48">
        <f ca="1">IFERROR(__xludf.DUMMYFUNCTION("""COMPUTED_VALUE"""),100)</f>
        <v>100</v>
      </c>
      <c r="K240" s="48"/>
      <c r="L240" s="48"/>
      <c r="M240" s="48"/>
      <c r="N240" s="48" t="str">
        <f ca="1">IFERROR(__xludf.DUMMYFUNCTION("""COMPUTED_VALUE"""),"10 2 01 64020")</f>
        <v>10 2 01 64020</v>
      </c>
      <c r="O240" s="48">
        <f ca="1">IFERROR(__xludf.DUMMYFUNCTION("""COMPUTED_VALUE"""),522)</f>
        <v>522</v>
      </c>
      <c r="P240" s="24">
        <f t="shared" ref="P240:T240" si="247">SUM(V240,AB240,AH240,AN240,AT240,AZ240,BF240)</f>
        <v>6900</v>
      </c>
      <c r="Q240" s="24">
        <f t="shared" si="247"/>
        <v>0</v>
      </c>
      <c r="R240" s="24">
        <f t="shared" si="247"/>
        <v>0</v>
      </c>
      <c r="S240" s="24">
        <f t="shared" si="247"/>
        <v>6555</v>
      </c>
      <c r="T240" s="24">
        <f t="shared" si="247"/>
        <v>345</v>
      </c>
      <c r="U240" s="20"/>
      <c r="V240" s="24"/>
      <c r="W240" s="24"/>
      <c r="X240" s="24"/>
      <c r="Y240" s="24"/>
      <c r="Z240" s="24"/>
      <c r="AA240" s="24"/>
      <c r="AB240" s="24"/>
      <c r="AC240" s="50"/>
      <c r="AD240" s="50"/>
      <c r="AE240" s="50"/>
      <c r="AF240" s="50"/>
      <c r="AG240" s="50"/>
      <c r="AH240" s="50">
        <f t="shared" si="2"/>
        <v>6900</v>
      </c>
      <c r="AI240" s="50">
        <v>0</v>
      </c>
      <c r="AJ240" s="50">
        <v>0</v>
      </c>
      <c r="AK240" s="50">
        <v>6555</v>
      </c>
      <c r="AL240" s="50">
        <v>345</v>
      </c>
      <c r="AM240" s="50"/>
      <c r="AN240" s="24">
        <f t="shared" si="3"/>
        <v>0</v>
      </c>
      <c r="AO240" s="50">
        <v>0</v>
      </c>
      <c r="AP240" s="50">
        <v>0</v>
      </c>
      <c r="AQ240" s="50">
        <v>0</v>
      </c>
      <c r="AR240" s="50">
        <v>0</v>
      </c>
      <c r="AS240" s="50"/>
      <c r="AT240" s="50">
        <f t="shared" si="4"/>
        <v>0</v>
      </c>
      <c r="AU240" s="50">
        <v>0</v>
      </c>
      <c r="AV240" s="50">
        <v>0</v>
      </c>
      <c r="AW240" s="50">
        <v>0</v>
      </c>
      <c r="AX240" s="50">
        <v>0</v>
      </c>
      <c r="AY240" s="50"/>
      <c r="AZ240" s="50">
        <f t="shared" si="227"/>
        <v>0</v>
      </c>
      <c r="BA240" s="50">
        <v>0</v>
      </c>
      <c r="BB240" s="50">
        <v>0</v>
      </c>
      <c r="BC240" s="50">
        <v>0</v>
      </c>
      <c r="BD240" s="50">
        <v>0</v>
      </c>
      <c r="BE240" s="50"/>
      <c r="BF240" s="50">
        <f t="shared" si="6"/>
        <v>0</v>
      </c>
      <c r="BG240" s="50">
        <v>0</v>
      </c>
      <c r="BH240" s="50">
        <v>0</v>
      </c>
      <c r="BI240" s="50">
        <v>0</v>
      </c>
      <c r="BJ240" s="50">
        <v>0</v>
      </c>
      <c r="BK240" s="50"/>
      <c r="BL240" s="20"/>
    </row>
    <row r="241" spans="1:64" ht="72" x14ac:dyDescent="0.2">
      <c r="A241" s="69">
        <v>237</v>
      </c>
      <c r="B241" s="48" t="str">
        <f ca="1">IFERROR(__xludf.DUMMYFUNCTION("""COMPUTED_VALUE"""),"г.о. Шатура")</f>
        <v>г.о. Шатура</v>
      </c>
      <c r="C241"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1" s="52" t="str">
        <f ca="1">IFERROR(__xludf.DUMMYFUNCTION("""COMPUTED_VALUE"""),"МинЖКХ")</f>
        <v>МинЖКХ</v>
      </c>
      <c r="E241" s="45" t="s">
        <v>289</v>
      </c>
      <c r="F241" s="46" t="str">
        <f ca="1">IFERROR(__xludf.DUMMYFUNCTION("""COMPUTED_VALUE"""),"ОС")</f>
        <v>ОС</v>
      </c>
      <c r="G241" s="46">
        <f ca="1">IFERROR(__xludf.DUMMYFUNCTION("""COMPUTED_VALUE"""),2020)</f>
        <v>2020</v>
      </c>
      <c r="H241" s="48" t="str">
        <f ca="1">IFERROR(__xludf.DUMMYFUNCTION("""COMPUTED_VALUE"""),"Заключение МОГЭ получено")</f>
        <v>Заключение МОГЭ получено</v>
      </c>
      <c r="I241" s="48" t="str">
        <f ca="1">IFERROR(__xludf.DUMMYFUNCTION("""COMPUTED_VALUE"""),"ПИР")</f>
        <v>ПИР</v>
      </c>
      <c r="J241" s="48">
        <f ca="1">IFERROR(__xludf.DUMMYFUNCTION("""COMPUTED_VALUE"""),100)</f>
        <v>100</v>
      </c>
      <c r="K241" s="48"/>
      <c r="L241" s="48"/>
      <c r="M241" s="48"/>
      <c r="N241" s="48" t="str">
        <f ca="1">IFERROR(__xludf.DUMMYFUNCTION("""COMPUTED_VALUE"""),"10 2 01 64020")</f>
        <v>10 2 01 64020</v>
      </c>
      <c r="O241" s="48">
        <f ca="1">IFERROR(__xludf.DUMMYFUNCTION("""COMPUTED_VALUE"""),522)</f>
        <v>522</v>
      </c>
      <c r="P241" s="24">
        <f t="shared" ref="P241:T241" si="248">SUM(V241,AB241,AH241,AN241,AT241,AZ241,BF241)</f>
        <v>23950.5</v>
      </c>
      <c r="Q241" s="24">
        <f t="shared" si="248"/>
        <v>0</v>
      </c>
      <c r="R241" s="24">
        <f t="shared" si="248"/>
        <v>0</v>
      </c>
      <c r="S241" s="24">
        <f t="shared" si="248"/>
        <v>23950.49</v>
      </c>
      <c r="T241" s="24">
        <f t="shared" si="248"/>
        <v>0.01</v>
      </c>
      <c r="U241" s="20"/>
      <c r="V241" s="24"/>
      <c r="W241" s="24"/>
      <c r="X241" s="24"/>
      <c r="Y241" s="24"/>
      <c r="Z241" s="24"/>
      <c r="AA241" s="24"/>
      <c r="AB241" s="24"/>
      <c r="AC241" s="50"/>
      <c r="AD241" s="50"/>
      <c r="AE241" s="50"/>
      <c r="AF241" s="50"/>
      <c r="AG241" s="50"/>
      <c r="AH241" s="50">
        <f t="shared" si="2"/>
        <v>23950.5</v>
      </c>
      <c r="AI241" s="50">
        <v>0</v>
      </c>
      <c r="AJ241" s="50">
        <v>0</v>
      </c>
      <c r="AK241" s="50">
        <v>23950.49</v>
      </c>
      <c r="AL241" s="50">
        <v>0.01</v>
      </c>
      <c r="AM241" s="50"/>
      <c r="AN241" s="24">
        <f t="shared" si="3"/>
        <v>0</v>
      </c>
      <c r="AO241" s="50">
        <v>0</v>
      </c>
      <c r="AP241" s="50">
        <v>0</v>
      </c>
      <c r="AQ241" s="50">
        <v>0</v>
      </c>
      <c r="AR241" s="50">
        <v>0</v>
      </c>
      <c r="AS241" s="50"/>
      <c r="AT241" s="50">
        <f t="shared" si="4"/>
        <v>0</v>
      </c>
      <c r="AU241" s="50">
        <v>0</v>
      </c>
      <c r="AV241" s="50">
        <v>0</v>
      </c>
      <c r="AW241" s="50">
        <v>0</v>
      </c>
      <c r="AX241" s="50">
        <v>0</v>
      </c>
      <c r="AY241" s="50"/>
      <c r="AZ241" s="50">
        <f t="shared" si="227"/>
        <v>0</v>
      </c>
      <c r="BA241" s="50">
        <v>0</v>
      </c>
      <c r="BB241" s="50">
        <v>0</v>
      </c>
      <c r="BC241" s="50">
        <v>0</v>
      </c>
      <c r="BD241" s="50">
        <v>0</v>
      </c>
      <c r="BE241" s="50"/>
      <c r="BF241" s="50">
        <f t="shared" si="6"/>
        <v>0</v>
      </c>
      <c r="BG241" s="50">
        <v>0</v>
      </c>
      <c r="BH241" s="50">
        <v>0</v>
      </c>
      <c r="BI241" s="50">
        <v>0</v>
      </c>
      <c r="BJ241" s="50">
        <v>0</v>
      </c>
      <c r="BK241" s="50"/>
      <c r="BL241" s="20"/>
    </row>
    <row r="242" spans="1:64" ht="72" x14ac:dyDescent="0.2">
      <c r="A242" s="69">
        <v>238</v>
      </c>
      <c r="B242" s="48" t="str">
        <f ca="1">IFERROR(__xludf.DUMMYFUNCTION("""COMPUTED_VALUE"""),"г.о. Истра")</f>
        <v>г.о. Истра</v>
      </c>
      <c r="C242"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2" s="52" t="str">
        <f ca="1">IFERROR(__xludf.DUMMYFUNCTION("""COMPUTED_VALUE"""),"МинЖКХ")</f>
        <v>МинЖКХ</v>
      </c>
      <c r="E242" s="45" t="s">
        <v>290</v>
      </c>
      <c r="F242" s="46" t="str">
        <f ca="1">IFERROR(__xludf.DUMMYFUNCTION("""COMPUTED_VALUE"""),"ОС")</f>
        <v>ОС</v>
      </c>
      <c r="G242" s="46" t="str">
        <f ca="1">IFERROR(__xludf.DUMMYFUNCTION("""COMPUTED_VALUE"""),"2020-2021")</f>
        <v>2020-2021</v>
      </c>
      <c r="H242" s="48" t="str">
        <f ca="1">IFERROR(__xludf.DUMMYFUNCTION("""COMPUTED_VALUE"""),"СМР в соответсии с графиком. Направление ПСД по подводящему коллектору в МОГЭ до 16.11.2020. ")</f>
        <v xml:space="preserve">СМР в соответсии с графиком. Направление ПСД по подводящему коллектору в МОГЭ до 16.11.2020. </v>
      </c>
      <c r="I242" s="48" t="str">
        <f ca="1">IFERROR(__xludf.DUMMYFUNCTION("""COMPUTED_VALUE"""),"СМР")</f>
        <v>СМР</v>
      </c>
      <c r="J242" s="48">
        <f ca="1">IFERROR(__xludf.DUMMYFUNCTION("""COMPUTED_VALUE"""),3)</f>
        <v>3</v>
      </c>
      <c r="K242" s="48"/>
      <c r="L242" s="48"/>
      <c r="M242" s="48"/>
      <c r="N242" s="48" t="str">
        <f ca="1">IFERROR(__xludf.DUMMYFUNCTION("""COMPUTED_VALUE"""),"10 2 01 64020")</f>
        <v>10 2 01 64020</v>
      </c>
      <c r="O242" s="48">
        <f ca="1">IFERROR(__xludf.DUMMYFUNCTION("""COMPUTED_VALUE"""),522)</f>
        <v>522</v>
      </c>
      <c r="P242" s="24">
        <f t="shared" ref="P242:T242" si="249">SUM(V242,AB242,AH242,AN242,AT242,AZ242,BF242)</f>
        <v>241811.74</v>
      </c>
      <c r="Q242" s="24">
        <f t="shared" si="249"/>
        <v>0</v>
      </c>
      <c r="R242" s="24">
        <f t="shared" si="249"/>
        <v>168542.78</v>
      </c>
      <c r="S242" s="24">
        <f t="shared" si="249"/>
        <v>0</v>
      </c>
      <c r="T242" s="24">
        <f t="shared" si="249"/>
        <v>73268.959999999992</v>
      </c>
      <c r="U242" s="20"/>
      <c r="V242" s="24"/>
      <c r="W242" s="24"/>
      <c r="X242" s="24"/>
      <c r="Y242" s="24"/>
      <c r="Z242" s="24"/>
      <c r="AA242" s="24"/>
      <c r="AB242" s="24"/>
      <c r="AC242" s="50"/>
      <c r="AD242" s="50"/>
      <c r="AE242" s="50"/>
      <c r="AF242" s="50"/>
      <c r="AG242" s="50"/>
      <c r="AH242" s="50">
        <f t="shared" si="2"/>
        <v>66000</v>
      </c>
      <c r="AI242" s="50">
        <v>0</v>
      </c>
      <c r="AJ242" s="50">
        <v>46002</v>
      </c>
      <c r="AK242" s="50">
        <v>0</v>
      </c>
      <c r="AL242" s="50">
        <v>19998</v>
      </c>
      <c r="AM242" s="50"/>
      <c r="AN242" s="24">
        <f t="shared" si="3"/>
        <v>175811.74</v>
      </c>
      <c r="AO242" s="50">
        <v>0</v>
      </c>
      <c r="AP242" s="50">
        <v>122540.78</v>
      </c>
      <c r="AQ242" s="50">
        <v>0</v>
      </c>
      <c r="AR242" s="50">
        <v>53270.96</v>
      </c>
      <c r="AS242" s="50"/>
      <c r="AT242" s="50">
        <f t="shared" si="4"/>
        <v>0</v>
      </c>
      <c r="AU242" s="50">
        <v>0</v>
      </c>
      <c r="AV242" s="50">
        <v>0</v>
      </c>
      <c r="AW242" s="50">
        <v>0</v>
      </c>
      <c r="AX242" s="50">
        <v>0</v>
      </c>
      <c r="AY242" s="50"/>
      <c r="AZ242" s="50">
        <f t="shared" si="227"/>
        <v>0</v>
      </c>
      <c r="BA242" s="50">
        <v>0</v>
      </c>
      <c r="BB242" s="50">
        <v>0</v>
      </c>
      <c r="BC242" s="50">
        <v>0</v>
      </c>
      <c r="BD242" s="50">
        <v>0</v>
      </c>
      <c r="BE242" s="50"/>
      <c r="BF242" s="50">
        <f t="shared" si="6"/>
        <v>0</v>
      </c>
      <c r="BG242" s="50">
        <v>0</v>
      </c>
      <c r="BH242" s="50">
        <v>0</v>
      </c>
      <c r="BI242" s="50">
        <v>0</v>
      </c>
      <c r="BJ242" s="50">
        <v>0</v>
      </c>
      <c r="BK242" s="50"/>
      <c r="BL242" s="20"/>
    </row>
    <row r="243" spans="1:64" ht="72" x14ac:dyDescent="0.2">
      <c r="A243" s="69">
        <v>239</v>
      </c>
      <c r="B243" s="48" t="str">
        <f ca="1">IFERROR(__xludf.DUMMYFUNCTION("""COMPUTED_VALUE"""),"г.о. Мытищи")</f>
        <v>г.о. Мытищи</v>
      </c>
      <c r="C243"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очистки сточных вод </v>
      </c>
      <c r="D243" s="52" t="str">
        <f ca="1">IFERROR(__xludf.DUMMYFUNCTION("""COMPUTED_VALUE"""),"МинЖКХ")</f>
        <v>МинЖКХ</v>
      </c>
      <c r="E243" s="45" t="s">
        <v>291</v>
      </c>
      <c r="F243" s="46" t="str">
        <f ca="1">IFERROR(__xludf.DUMMYFUNCTION("""COMPUTED_VALUE"""),"ОС")</f>
        <v>ОС</v>
      </c>
      <c r="G243" s="46" t="str">
        <f ca="1">IFERROR(__xludf.DUMMYFUNCTION("""COMPUTED_VALUE"""),"2020-2021")</f>
        <v>2020-2021</v>
      </c>
      <c r="H243" s="48" t="str">
        <f ca="1">IFERROR(__xludf.DUMMYFUNCTION("""COMPUTED_VALUE"""),"Работы в соотвествии с графиком. Отсутсвует РС. ")</f>
        <v xml:space="preserve">Работы в соотвествии с графиком. Отсутсвует РС. </v>
      </c>
      <c r="I243" s="48" t="str">
        <f ca="1">IFERROR(__xludf.DUMMYFUNCTION("""COMPUTED_VALUE"""),"СМР")</f>
        <v>СМР</v>
      </c>
      <c r="J243" s="48">
        <f ca="1">IFERROR(__xludf.DUMMYFUNCTION("""COMPUTED_VALUE"""),3)</f>
        <v>3</v>
      </c>
      <c r="K243" s="48"/>
      <c r="L243" s="48"/>
      <c r="M243" s="48"/>
      <c r="N243" s="48" t="str">
        <f ca="1">IFERROR(__xludf.DUMMYFUNCTION("""COMPUTED_VALUE"""),"10 2 01 64020")</f>
        <v>10 2 01 64020</v>
      </c>
      <c r="O243" s="48">
        <f ca="1">IFERROR(__xludf.DUMMYFUNCTION("""COMPUTED_VALUE"""),522)</f>
        <v>522</v>
      </c>
      <c r="P243" s="24">
        <f t="shared" ref="P243:T243" si="250">SUM(V243,AB243,AH243,AN243,AT243,AZ243,BF243)</f>
        <v>329548.98</v>
      </c>
      <c r="Q243" s="24">
        <f t="shared" si="250"/>
        <v>0</v>
      </c>
      <c r="R243" s="24">
        <f t="shared" si="250"/>
        <v>205967.72</v>
      </c>
      <c r="S243" s="24">
        <f t="shared" si="250"/>
        <v>0</v>
      </c>
      <c r="T243" s="24">
        <f t="shared" si="250"/>
        <v>123581.26000000001</v>
      </c>
      <c r="U243" s="20"/>
      <c r="V243" s="24"/>
      <c r="W243" s="24"/>
      <c r="X243" s="24"/>
      <c r="Y243" s="24"/>
      <c r="Z243" s="24"/>
      <c r="AA243" s="24"/>
      <c r="AB243" s="24"/>
      <c r="AC243" s="50"/>
      <c r="AD243" s="50"/>
      <c r="AE243" s="50"/>
      <c r="AF243" s="50"/>
      <c r="AG243" s="50"/>
      <c r="AH243" s="50">
        <f t="shared" si="2"/>
        <v>98865.15</v>
      </c>
      <c r="AI243" s="50">
        <v>0</v>
      </c>
      <c r="AJ243" s="50">
        <v>61790.720000000001</v>
      </c>
      <c r="AK243" s="50">
        <v>0</v>
      </c>
      <c r="AL243" s="50">
        <v>37074.43</v>
      </c>
      <c r="AM243" s="50"/>
      <c r="AN243" s="24">
        <f t="shared" si="3"/>
        <v>230683.83000000002</v>
      </c>
      <c r="AO243" s="50">
        <v>0</v>
      </c>
      <c r="AP243" s="50">
        <v>144177</v>
      </c>
      <c r="AQ243" s="50">
        <v>0</v>
      </c>
      <c r="AR243" s="50">
        <v>86506.83</v>
      </c>
      <c r="AS243" s="50"/>
      <c r="AT243" s="50">
        <f t="shared" si="4"/>
        <v>0</v>
      </c>
      <c r="AU243" s="50">
        <v>0</v>
      </c>
      <c r="AV243" s="50">
        <v>0</v>
      </c>
      <c r="AW243" s="50">
        <v>0</v>
      </c>
      <c r="AX243" s="50">
        <v>0</v>
      </c>
      <c r="AY243" s="50"/>
      <c r="AZ243" s="50">
        <f t="shared" si="227"/>
        <v>0</v>
      </c>
      <c r="BA243" s="50">
        <v>0</v>
      </c>
      <c r="BB243" s="50">
        <v>0</v>
      </c>
      <c r="BC243" s="50">
        <v>0</v>
      </c>
      <c r="BD243" s="50">
        <v>0</v>
      </c>
      <c r="BE243" s="50"/>
      <c r="BF243" s="50">
        <f t="shared" si="6"/>
        <v>0</v>
      </c>
      <c r="BG243" s="50">
        <v>0</v>
      </c>
      <c r="BH243" s="50">
        <v>0</v>
      </c>
      <c r="BI243" s="50">
        <v>0</v>
      </c>
      <c r="BJ243" s="50">
        <v>0</v>
      </c>
      <c r="BK243" s="50"/>
      <c r="BL243" s="20"/>
    </row>
    <row r="244" spans="1:64" ht="72" x14ac:dyDescent="0.2">
      <c r="A244" s="69">
        <v>240</v>
      </c>
      <c r="B244" s="48" t="str">
        <f ca="1">IFERROR(__xludf.DUMMYFUNCTION("""COMPUTED_VALUE"""),"г.о. Зарайск")</f>
        <v>г.о. Зарайск</v>
      </c>
      <c r="C244" s="46"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4" s="52" t="str">
        <f ca="1">IFERROR(__xludf.DUMMYFUNCTION("""COMPUTED_VALUE"""),"МинЖКХ")</f>
        <v>МинЖКХ</v>
      </c>
      <c r="E244" s="45" t="s">
        <v>588</v>
      </c>
      <c r="F244" s="46" t="str">
        <f ca="1">IFERROR(__xludf.DUMMYFUNCTION("""COMPUTED_VALUE"""),"ОС")</f>
        <v>ОС</v>
      </c>
      <c r="G244" s="46">
        <f ca="1">IFERROR(__xludf.DUMMYFUNCTION("""COMPUTED_VALUE"""),2020)</f>
        <v>2020</v>
      </c>
      <c r="H244" s="48" t="str">
        <f ca="1">IFERROR(__xludf.DUMMYFUNCTION("""COMPUTED_VALUE"""),"работы завршены и оплачены")</f>
        <v>работы завршены и оплачены</v>
      </c>
      <c r="I244" s="48" t="str">
        <f ca="1">IFERROR(__xludf.DUMMYFUNCTION("""COMPUTED_VALUE"""),"СМР")</f>
        <v>СМР</v>
      </c>
      <c r="J244" s="48">
        <f ca="1">IFERROR(__xludf.DUMMYFUNCTION("""COMPUTED_VALUE"""),100)</f>
        <v>100</v>
      </c>
      <c r="K244" s="48"/>
      <c r="L244" s="48"/>
      <c r="M244" s="48"/>
      <c r="N244" s="48" t="str">
        <f ca="1">IFERROR(__xludf.DUMMYFUNCTION("""COMPUTED_VALUE"""),"10 2 01 60350")</f>
        <v>10 2 01 60350</v>
      </c>
      <c r="O244" s="48">
        <f ca="1">IFERROR(__xludf.DUMMYFUNCTION("""COMPUTED_VALUE"""),522)</f>
        <v>522</v>
      </c>
      <c r="P244" s="24">
        <f t="shared" ref="P244:T244" si="251">SUM(V244,AB244,AH244,AN244,AT244,AZ244,BF244)</f>
        <v>40641.480000000003</v>
      </c>
      <c r="Q244" s="24">
        <f t="shared" si="251"/>
        <v>0</v>
      </c>
      <c r="R244" s="24">
        <f t="shared" si="251"/>
        <v>37431</v>
      </c>
      <c r="S244" s="24">
        <f t="shared" si="251"/>
        <v>0</v>
      </c>
      <c r="T244" s="24">
        <f t="shared" si="251"/>
        <v>3210.48</v>
      </c>
      <c r="U244" s="20"/>
      <c r="V244" s="24"/>
      <c r="W244" s="24"/>
      <c r="X244" s="24"/>
      <c r="Y244" s="24"/>
      <c r="Z244" s="24"/>
      <c r="AA244" s="24"/>
      <c r="AB244" s="24"/>
      <c r="AC244" s="50"/>
      <c r="AD244" s="50"/>
      <c r="AE244" s="50"/>
      <c r="AF244" s="50"/>
      <c r="AG244" s="50"/>
      <c r="AH244" s="50">
        <f t="shared" si="2"/>
        <v>40641.480000000003</v>
      </c>
      <c r="AI244" s="50">
        <v>0</v>
      </c>
      <c r="AJ244" s="50">
        <v>37431</v>
      </c>
      <c r="AK244" s="50">
        <v>0</v>
      </c>
      <c r="AL244" s="50">
        <v>3210.48</v>
      </c>
      <c r="AM244" s="50"/>
      <c r="AN244" s="24">
        <f t="shared" si="3"/>
        <v>0</v>
      </c>
      <c r="AO244" s="50">
        <v>0</v>
      </c>
      <c r="AP244" s="50">
        <v>0</v>
      </c>
      <c r="AQ244" s="50">
        <v>0</v>
      </c>
      <c r="AR244" s="50">
        <v>0</v>
      </c>
      <c r="AS244" s="50"/>
      <c r="AT244" s="50">
        <f t="shared" si="4"/>
        <v>0</v>
      </c>
      <c r="AU244" s="50">
        <v>0</v>
      </c>
      <c r="AV244" s="50">
        <v>0</v>
      </c>
      <c r="AW244" s="50">
        <v>0</v>
      </c>
      <c r="AX244" s="50">
        <v>0</v>
      </c>
      <c r="AY244" s="50"/>
      <c r="AZ244" s="50">
        <f t="shared" si="227"/>
        <v>0</v>
      </c>
      <c r="BA244" s="50">
        <v>0</v>
      </c>
      <c r="BB244" s="50">
        <v>0</v>
      </c>
      <c r="BC244" s="50">
        <v>0</v>
      </c>
      <c r="BD244" s="50">
        <v>0</v>
      </c>
      <c r="BE244" s="50"/>
      <c r="BF244" s="50">
        <f t="shared" si="6"/>
        <v>0</v>
      </c>
      <c r="BG244" s="50">
        <v>0</v>
      </c>
      <c r="BH244" s="50">
        <v>0</v>
      </c>
      <c r="BI244" s="50">
        <v>0</v>
      </c>
      <c r="BJ244" s="50">
        <v>0</v>
      </c>
      <c r="BK244" s="50"/>
      <c r="BL244" s="20"/>
    </row>
    <row r="245" spans="1:64" ht="72" x14ac:dyDescent="0.2">
      <c r="A245" s="69">
        <v>241</v>
      </c>
      <c r="B245" s="48" t="str">
        <f ca="1">IFERROR(__xludf.DUMMYFUNCTION("""COMPUTED_VALUE"""),"г.о. Фряново")</f>
        <v>г.о. Фряново</v>
      </c>
      <c r="C245" s="46"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5" s="52" t="str">
        <f ca="1">IFERROR(__xludf.DUMMYFUNCTION("""COMPUTED_VALUE"""),"МинЖКХ")</f>
        <v>МинЖКХ</v>
      </c>
      <c r="E245" s="45" t="s">
        <v>589</v>
      </c>
      <c r="F245" s="46" t="str">
        <f ca="1">IFERROR(__xludf.DUMMYFUNCTION("""COMPUTED_VALUE"""),"ОС")</f>
        <v>ОС</v>
      </c>
      <c r="G245" s="46" t="str">
        <f ca="1">IFERROR(__xludf.DUMMYFUNCTION("""COMPUTED_VALUE"""),"2021-2023")</f>
        <v>2021-2023</v>
      </c>
      <c r="H245" s="48"/>
      <c r="I245" s="48" t="str">
        <f ca="1">IFERROR(__xludf.DUMMYFUNCTION("""COMPUTED_VALUE"""),"СМР")</f>
        <v>СМР</v>
      </c>
      <c r="J245" s="48"/>
      <c r="K245" s="48"/>
      <c r="L245" s="48"/>
      <c r="M245" s="48"/>
      <c r="N245" s="48" t="str">
        <f ca="1">IFERROR(__xludf.DUMMYFUNCTION("""COMPUTED_VALUE"""),"10 2 01 60350")</f>
        <v>10 2 01 60350</v>
      </c>
      <c r="O245" s="48">
        <f ca="1">IFERROR(__xludf.DUMMYFUNCTION("""COMPUTED_VALUE"""),522)</f>
        <v>522</v>
      </c>
      <c r="P245" s="24">
        <f t="shared" ref="P245:T245" si="252">SUM(V245,AB245,AH245,AN245,AT245,AZ245,BF245)</f>
        <v>289190.52</v>
      </c>
      <c r="Q245" s="24">
        <f t="shared" si="252"/>
        <v>0</v>
      </c>
      <c r="R245" s="24">
        <f t="shared" si="252"/>
        <v>274731</v>
      </c>
      <c r="S245" s="24">
        <f t="shared" si="252"/>
        <v>0</v>
      </c>
      <c r="T245" s="24">
        <f t="shared" si="252"/>
        <v>14459.52</v>
      </c>
      <c r="U245" s="20"/>
      <c r="V245" s="24"/>
      <c r="W245" s="24"/>
      <c r="X245" s="24"/>
      <c r="Y245" s="24"/>
      <c r="Z245" s="24"/>
      <c r="AA245" s="24"/>
      <c r="AB245" s="24"/>
      <c r="AC245" s="50"/>
      <c r="AD245" s="50"/>
      <c r="AE245" s="50"/>
      <c r="AF245" s="50"/>
      <c r="AG245" s="50"/>
      <c r="AH245" s="50">
        <f t="shared" si="2"/>
        <v>0</v>
      </c>
      <c r="AI245" s="50">
        <v>0</v>
      </c>
      <c r="AJ245" s="50">
        <v>0</v>
      </c>
      <c r="AK245" s="50">
        <v>0</v>
      </c>
      <c r="AL245" s="50">
        <v>0</v>
      </c>
      <c r="AM245" s="50"/>
      <c r="AN245" s="24">
        <f t="shared" si="3"/>
        <v>14956.84</v>
      </c>
      <c r="AO245" s="50">
        <v>0</v>
      </c>
      <c r="AP245" s="50">
        <v>14209</v>
      </c>
      <c r="AQ245" s="50">
        <v>0</v>
      </c>
      <c r="AR245" s="50">
        <v>747.84</v>
      </c>
      <c r="AS245" s="50"/>
      <c r="AT245" s="50">
        <f t="shared" si="4"/>
        <v>109693.68</v>
      </c>
      <c r="AU245" s="50">
        <v>0</v>
      </c>
      <c r="AV245" s="50">
        <v>104209</v>
      </c>
      <c r="AW245" s="50">
        <v>0</v>
      </c>
      <c r="AX245" s="50">
        <v>5484.68</v>
      </c>
      <c r="AY245" s="50"/>
      <c r="AZ245" s="50">
        <f t="shared" si="227"/>
        <v>164540</v>
      </c>
      <c r="BA245" s="50">
        <v>0</v>
      </c>
      <c r="BB245" s="50">
        <v>156313</v>
      </c>
      <c r="BC245" s="50">
        <v>0</v>
      </c>
      <c r="BD245" s="50">
        <v>8227</v>
      </c>
      <c r="BE245" s="50"/>
      <c r="BF245" s="50">
        <f t="shared" si="6"/>
        <v>0</v>
      </c>
      <c r="BG245" s="50">
        <v>0</v>
      </c>
      <c r="BH245" s="50">
        <v>0</v>
      </c>
      <c r="BI245" s="50">
        <v>0</v>
      </c>
      <c r="BJ245" s="50">
        <v>0</v>
      </c>
      <c r="BK245" s="50"/>
      <c r="BL245" s="20"/>
    </row>
    <row r="246" spans="1:64" ht="72" x14ac:dyDescent="0.2">
      <c r="A246" s="69">
        <v>242</v>
      </c>
      <c r="B246" s="48" t="str">
        <f ca="1">IFERROR(__xludf.DUMMYFUNCTION("""COMPUTED_VALUE"""),"г.о. Рошаль")</f>
        <v>г.о. Рошаль</v>
      </c>
      <c r="C246" s="46" t="str">
        <f ca="1">IFERROR(__xludf.DUMMYFUNCTION("""COMPUTED_VALUE"""),"Мероприятие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f>
        <v>Мероприятие 3 - Предоставление субсидий из бюджета Московской области бюджетам муниципальных образований Московской области на капитальный ремонт объектов очистки сточных вод</v>
      </c>
      <c r="D246" s="52" t="str">
        <f ca="1">IFERROR(__xludf.DUMMYFUNCTION("""COMPUTED_VALUE"""),"МинЖКХ")</f>
        <v>МинЖКХ</v>
      </c>
      <c r="E246" s="45" t="s">
        <v>292</v>
      </c>
      <c r="F246" s="46" t="str">
        <f ca="1">IFERROR(__xludf.DUMMYFUNCTION("""COMPUTED_VALUE"""),"ОС")</f>
        <v>ОС</v>
      </c>
      <c r="G246" s="46">
        <f ca="1">IFERROR(__xludf.DUMMYFUNCTION("""COMPUTED_VALUE"""),2020)</f>
        <v>2020</v>
      </c>
      <c r="H246" s="48" t="str">
        <f ca="1">IFERROR(__xludf.DUMMYFUNCTION("""COMPUTED_VALUE"""),"согласование конкурсной документации")</f>
        <v>согласование конкурсной документации</v>
      </c>
      <c r="I246" s="48" t="str">
        <f ca="1">IFERROR(__xludf.DUMMYFUNCTION("""COMPUTED_VALUE"""),"СМР")</f>
        <v>СМР</v>
      </c>
      <c r="J246" s="48">
        <f ca="1">IFERROR(__xludf.DUMMYFUNCTION("""COMPUTED_VALUE"""),0)</f>
        <v>0</v>
      </c>
      <c r="K246" s="48"/>
      <c r="L246" s="48"/>
      <c r="M246" s="48"/>
      <c r="N246" s="48" t="str">
        <f ca="1">IFERROR(__xludf.DUMMYFUNCTION("""COMPUTED_VALUE"""),"10 2 01 60350")</f>
        <v>10 2 01 60350</v>
      </c>
      <c r="O246" s="48">
        <f ca="1">IFERROR(__xludf.DUMMYFUNCTION("""COMPUTED_VALUE"""),522)</f>
        <v>522</v>
      </c>
      <c r="P246" s="24">
        <f t="shared" ref="P246:T246" si="253">SUM(V246,AB246,AH246,AN246,AT246,AZ246,BF246)</f>
        <v>3000</v>
      </c>
      <c r="Q246" s="24">
        <f t="shared" si="253"/>
        <v>0</v>
      </c>
      <c r="R246" s="24">
        <f t="shared" si="253"/>
        <v>0</v>
      </c>
      <c r="S246" s="24">
        <f t="shared" si="253"/>
        <v>2820</v>
      </c>
      <c r="T246" s="24">
        <f t="shared" si="253"/>
        <v>180</v>
      </c>
      <c r="U246" s="20"/>
      <c r="V246" s="24"/>
      <c r="W246" s="24"/>
      <c r="X246" s="24"/>
      <c r="Y246" s="24"/>
      <c r="Z246" s="24"/>
      <c r="AA246" s="24"/>
      <c r="AB246" s="24"/>
      <c r="AC246" s="50"/>
      <c r="AD246" s="50"/>
      <c r="AE246" s="50"/>
      <c r="AF246" s="50"/>
      <c r="AG246" s="50"/>
      <c r="AH246" s="50">
        <f t="shared" si="2"/>
        <v>3000</v>
      </c>
      <c r="AI246" s="50">
        <v>0</v>
      </c>
      <c r="AJ246" s="50">
        <v>0</v>
      </c>
      <c r="AK246" s="50">
        <v>2820</v>
      </c>
      <c r="AL246" s="50">
        <v>180</v>
      </c>
      <c r="AM246" s="50"/>
      <c r="AN246" s="24">
        <f t="shared" si="3"/>
        <v>0</v>
      </c>
      <c r="AO246" s="50">
        <v>0</v>
      </c>
      <c r="AP246" s="50">
        <v>0</v>
      </c>
      <c r="AQ246" s="50">
        <v>0</v>
      </c>
      <c r="AR246" s="50">
        <v>0</v>
      </c>
      <c r="AS246" s="50"/>
      <c r="AT246" s="50">
        <f t="shared" si="4"/>
        <v>0</v>
      </c>
      <c r="AU246" s="50">
        <v>0</v>
      </c>
      <c r="AV246" s="50">
        <v>0</v>
      </c>
      <c r="AW246" s="50">
        <v>0</v>
      </c>
      <c r="AX246" s="50">
        <v>0</v>
      </c>
      <c r="AY246" s="50"/>
      <c r="AZ246" s="50">
        <f t="shared" si="227"/>
        <v>0</v>
      </c>
      <c r="BA246" s="50">
        <v>0</v>
      </c>
      <c r="BB246" s="50">
        <v>0</v>
      </c>
      <c r="BC246" s="50">
        <v>0</v>
      </c>
      <c r="BD246" s="50">
        <v>0</v>
      </c>
      <c r="BE246" s="50"/>
      <c r="BF246" s="50">
        <f t="shared" si="6"/>
        <v>0</v>
      </c>
      <c r="BG246" s="50">
        <v>0</v>
      </c>
      <c r="BH246" s="50">
        <v>0</v>
      </c>
      <c r="BI246" s="50">
        <v>0</v>
      </c>
      <c r="BJ246" s="50">
        <v>0</v>
      </c>
      <c r="BK246" s="50"/>
      <c r="BL246" s="20"/>
    </row>
    <row r="247" spans="1:64" ht="60" x14ac:dyDescent="0.2">
      <c r="A247" s="69">
        <v>243</v>
      </c>
      <c r="B247" s="48" t="str">
        <f ca="1">IFERROR(__xludf.DUMMYFUNCTION("""COMPUTED_VALUE"""),"МинЖКХ г.о. Можайск")</f>
        <v>МинЖКХ г.о. Можайск</v>
      </c>
      <c r="C247" s="46" t="str">
        <f ca="1">IFERROR(__xludf.DUMMYFUNCTION("""COMPUTED_VALUE"""),"Мероприятие 4 - Бюджетные инвестиции в объекты капитального строительства государственной собственности Московской области")</f>
        <v>Мероприятие 4 - Бюджетные инвестиции в объекты капитального строительства государственной собственности Московской области</v>
      </c>
      <c r="D247" s="52" t="str">
        <f ca="1">IFERROR(__xludf.DUMMYFUNCTION("""COMPUTED_VALUE"""),"МинЖКХ")</f>
        <v>МинЖКХ</v>
      </c>
      <c r="E247" s="45" t="s">
        <v>293</v>
      </c>
      <c r="F247" s="46" t="str">
        <f ca="1">IFERROR(__xludf.DUMMYFUNCTION("""COMPUTED_VALUE"""),"ОС")</f>
        <v>ОС</v>
      </c>
      <c r="G247" s="46">
        <f ca="1">IFERROR(__xludf.DUMMYFUNCTION("""COMPUTED_VALUE"""),2020)</f>
        <v>2020</v>
      </c>
      <c r="H247" s="48" t="str">
        <f ca="1">IFERROR(__xludf.DUMMYFUNCTION("""COMPUTED_VALUE"""),"Получения заключения МОГЭ - ноябрь. ГЭЭ не требуется")</f>
        <v>Получения заключения МОГЭ - ноябрь. ГЭЭ не требуется</v>
      </c>
      <c r="I247" s="48" t="str">
        <f ca="1">IFERROR(__xludf.DUMMYFUNCTION("""COMPUTED_VALUE"""),"СМР")</f>
        <v>СМР</v>
      </c>
      <c r="J247" s="48">
        <f ca="1">IFERROR(__xludf.DUMMYFUNCTION("""COMPUTED_VALUE"""),0)</f>
        <v>0</v>
      </c>
      <c r="K247" s="48"/>
      <c r="L247" s="48"/>
      <c r="M247" s="48"/>
      <c r="N247" s="48" t="str">
        <f ca="1">IFERROR(__xludf.DUMMYFUNCTION("""COMPUTED_VALUE"""),"10 2 01 40010")</f>
        <v>10 2 01 40010</v>
      </c>
      <c r="O247" s="48">
        <f ca="1">IFERROR(__xludf.DUMMYFUNCTION("""COMPUTED_VALUE"""),414)</f>
        <v>414</v>
      </c>
      <c r="P247" s="24">
        <f t="shared" ref="P247:T247" si="254">SUM(V247,AB247,AH247,AN247,AT247,AZ247,BF247)</f>
        <v>34403</v>
      </c>
      <c r="Q247" s="24">
        <f t="shared" si="254"/>
        <v>0</v>
      </c>
      <c r="R247" s="24">
        <f t="shared" si="254"/>
        <v>0</v>
      </c>
      <c r="S247" s="24">
        <f t="shared" si="254"/>
        <v>34403</v>
      </c>
      <c r="T247" s="24">
        <f t="shared" si="254"/>
        <v>0</v>
      </c>
      <c r="U247" s="20"/>
      <c r="V247" s="24"/>
      <c r="W247" s="24"/>
      <c r="X247" s="24"/>
      <c r="Y247" s="24"/>
      <c r="Z247" s="24"/>
      <c r="AA247" s="24"/>
      <c r="AB247" s="24"/>
      <c r="AC247" s="50"/>
      <c r="AD247" s="50"/>
      <c r="AE247" s="50"/>
      <c r="AF247" s="50"/>
      <c r="AG247" s="50"/>
      <c r="AH247" s="50">
        <f t="shared" si="2"/>
        <v>34403</v>
      </c>
      <c r="AI247" s="50">
        <v>0</v>
      </c>
      <c r="AJ247" s="50">
        <v>0</v>
      </c>
      <c r="AK247" s="50">
        <v>34403</v>
      </c>
      <c r="AL247" s="50">
        <v>0</v>
      </c>
      <c r="AM247" s="50"/>
      <c r="AN247" s="24">
        <f t="shared" si="3"/>
        <v>0</v>
      </c>
      <c r="AO247" s="50">
        <v>0</v>
      </c>
      <c r="AP247" s="50">
        <v>0</v>
      </c>
      <c r="AQ247" s="50">
        <v>0</v>
      </c>
      <c r="AR247" s="50">
        <v>0</v>
      </c>
      <c r="AS247" s="50"/>
      <c r="AT247" s="50">
        <f t="shared" si="4"/>
        <v>0</v>
      </c>
      <c r="AU247" s="50">
        <v>0</v>
      </c>
      <c r="AV247" s="50">
        <v>0</v>
      </c>
      <c r="AW247" s="50">
        <v>0</v>
      </c>
      <c r="AX247" s="50">
        <v>0</v>
      </c>
      <c r="AY247" s="50"/>
      <c r="AZ247" s="50">
        <f t="shared" si="227"/>
        <v>0</v>
      </c>
      <c r="BA247" s="50">
        <v>0</v>
      </c>
      <c r="BB247" s="50">
        <v>0</v>
      </c>
      <c r="BC247" s="50">
        <v>0</v>
      </c>
      <c r="BD247" s="50">
        <v>0</v>
      </c>
      <c r="BE247" s="50"/>
      <c r="BF247" s="50">
        <f t="shared" si="6"/>
        <v>0</v>
      </c>
      <c r="BG247" s="50">
        <v>0</v>
      </c>
      <c r="BH247" s="50">
        <v>0</v>
      </c>
      <c r="BI247" s="50">
        <v>0</v>
      </c>
      <c r="BJ247" s="50">
        <v>0</v>
      </c>
      <c r="BK247" s="50"/>
      <c r="BL247" s="20"/>
    </row>
    <row r="248" spans="1:64" ht="84" x14ac:dyDescent="0.2">
      <c r="A248" s="63">
        <v>244</v>
      </c>
      <c r="B248" s="76" t="str">
        <f ca="1">IFERROR(__xludf.DUMMYFUNCTION("""COMPUTED_VALUE"""),"г.о. Воскресенск")</f>
        <v>г.о. Воскресенск</v>
      </c>
      <c r="C248" s="61"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48" s="75" t="str">
        <f ca="1">IFERROR(__xludf.DUMMYFUNCTION("""COMPUTED_VALUE"""),"МинЖКХ")</f>
        <v>МинЖКХ</v>
      </c>
      <c r="E248" s="61" t="s">
        <v>294</v>
      </c>
      <c r="F248" s="61" t="str">
        <f ca="1">IFERROR(__xludf.DUMMYFUNCTION("""COMPUTED_VALUE"""),"КНК")</f>
        <v>КНК</v>
      </c>
      <c r="G248" s="61" t="str">
        <f ca="1">IFERROR(__xludf.DUMMYFUNCTION("""COMPUTED_VALUE"""),"2020-2021")</f>
        <v>2020-2021</v>
      </c>
      <c r="H248" s="76" t="str">
        <f ca="1">IFERROR(__xludf.DUMMYFUNCTION("""COMPUTED_VALUE"""),"Псд в МОГЭ ожидается получения заключения на сметы до 20.11.2020")</f>
        <v>Псд в МОГЭ ожидается получения заключения на сметы до 20.11.2020</v>
      </c>
      <c r="I248" s="76" t="str">
        <f ca="1">IFERROR(__xludf.DUMMYFUNCTION("""COMPUTED_VALUE"""),"СМР")</f>
        <v>СМР</v>
      </c>
      <c r="J248" s="76">
        <f ca="1">IFERROR(__xludf.DUMMYFUNCTION("""COMPUTED_VALUE"""),0)</f>
        <v>0</v>
      </c>
      <c r="K248" s="76">
        <f ca="1">IFERROR(__xludf.DUMMYFUNCTION("""COMPUTED_VALUE"""),3250)</f>
        <v>3250</v>
      </c>
      <c r="L248" s="76">
        <f ca="1">IFERROR(__xludf.DUMMYFUNCTION("""COMPUTED_VALUE"""),3250)</f>
        <v>3250</v>
      </c>
      <c r="M248" s="76"/>
      <c r="N248" s="76" t="str">
        <f ca="1">IFERROR(__xludf.DUMMYFUNCTION("""COMPUTED_VALUE"""),"10 2 02 64030")</f>
        <v>10 2 02 64030</v>
      </c>
      <c r="O248" s="76">
        <f ca="1">IFERROR(__xludf.DUMMYFUNCTION("""COMPUTED_VALUE"""),522)</f>
        <v>522</v>
      </c>
      <c r="P248" s="78">
        <f t="shared" ref="P248:T248" si="255">SUM(V248,AB248,AH248,AN248,AT248,AZ248,BF248)</f>
        <v>22570</v>
      </c>
      <c r="Q248" s="78">
        <f t="shared" si="255"/>
        <v>0</v>
      </c>
      <c r="R248" s="78">
        <f t="shared" si="255"/>
        <v>17582.940000000002</v>
      </c>
      <c r="S248" s="78">
        <f t="shared" si="255"/>
        <v>0</v>
      </c>
      <c r="T248" s="78">
        <f t="shared" si="255"/>
        <v>4987.0599999999995</v>
      </c>
      <c r="U248" s="76"/>
      <c r="V248" s="78"/>
      <c r="W248" s="78"/>
      <c r="X248" s="78"/>
      <c r="Y248" s="78"/>
      <c r="Z248" s="78"/>
      <c r="AA248" s="78"/>
      <c r="AB248" s="78"/>
      <c r="AC248" s="79"/>
      <c r="AD248" s="79"/>
      <c r="AE248" s="79"/>
      <c r="AF248" s="79"/>
      <c r="AG248" s="79"/>
      <c r="AH248" s="79">
        <f t="shared" si="2"/>
        <v>14650</v>
      </c>
      <c r="AI248" s="79">
        <v>0</v>
      </c>
      <c r="AJ248" s="79">
        <v>11412.94</v>
      </c>
      <c r="AK248" s="79">
        <v>0</v>
      </c>
      <c r="AL248" s="79">
        <v>3237.06</v>
      </c>
      <c r="AM248" s="79"/>
      <c r="AN248" s="78">
        <f t="shared" si="3"/>
        <v>7920</v>
      </c>
      <c r="AO248" s="79">
        <v>0</v>
      </c>
      <c r="AP248" s="79">
        <v>6170</v>
      </c>
      <c r="AQ248" s="79">
        <v>0</v>
      </c>
      <c r="AR248" s="79">
        <v>1750</v>
      </c>
      <c r="AS248" s="79"/>
      <c r="AT248" s="79">
        <f t="shared" si="4"/>
        <v>0</v>
      </c>
      <c r="AU248" s="79">
        <v>0</v>
      </c>
      <c r="AV248" s="79">
        <v>0</v>
      </c>
      <c r="AW248" s="79">
        <v>0</v>
      </c>
      <c r="AX248" s="79">
        <v>0</v>
      </c>
      <c r="AY248" s="79"/>
      <c r="AZ248" s="79">
        <f t="shared" si="227"/>
        <v>0</v>
      </c>
      <c r="BA248" s="79">
        <v>0</v>
      </c>
      <c r="BB248" s="79">
        <v>0</v>
      </c>
      <c r="BC248" s="79">
        <v>0</v>
      </c>
      <c r="BD248" s="79">
        <v>0</v>
      </c>
      <c r="BE248" s="79"/>
      <c r="BF248" s="79">
        <f t="shared" si="6"/>
        <v>0</v>
      </c>
      <c r="BG248" s="79">
        <v>0</v>
      </c>
      <c r="BH248" s="79">
        <v>0</v>
      </c>
      <c r="BI248" s="79">
        <v>0</v>
      </c>
      <c r="BJ248" s="79">
        <v>0</v>
      </c>
      <c r="BK248" s="79"/>
      <c r="BL248" s="76"/>
    </row>
    <row r="249" spans="1:64" ht="84" x14ac:dyDescent="0.2">
      <c r="A249" s="69">
        <v>245</v>
      </c>
      <c r="B249" s="48" t="str">
        <f ca="1">IFERROR(__xludf.DUMMYFUNCTION("""COMPUTED_VALUE"""),"г.о. Воскресенск")</f>
        <v>г.о. Воскресенск</v>
      </c>
      <c r="C249"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49" s="52" t="str">
        <f ca="1">IFERROR(__xludf.DUMMYFUNCTION("""COMPUTED_VALUE"""),"МинЖКХ")</f>
        <v>МинЖКХ</v>
      </c>
      <c r="E249" s="45" t="s">
        <v>295</v>
      </c>
      <c r="F249" s="46" t="str">
        <f ca="1">IFERROR(__xludf.DUMMYFUNCTION("""COMPUTED_VALUE"""),"КНК")</f>
        <v>КНК</v>
      </c>
      <c r="G249" s="46" t="str">
        <f ca="1">IFERROR(__xludf.DUMMYFUNCTION("""COMPUTED_VALUE"""),"2020-2021")</f>
        <v>2020-2021</v>
      </c>
      <c r="H249" s="48" t="str">
        <f ca="1">IFERROR(__xludf.DUMMYFUNCTION("""COMPUTED_VALUE"""),"контрактация. Закупка опубликована. 16.11.2020 поведение итогов. 27.11.2020 Плановая дата заключения котракта.")</f>
        <v>контрактация. Закупка опубликована. 16.11.2020 поведение итогов. 27.11.2020 Плановая дата заключения котракта.</v>
      </c>
      <c r="I249" s="48" t="str">
        <f ca="1">IFERROR(__xludf.DUMMYFUNCTION("""COMPUTED_VALUE"""),"СМР")</f>
        <v>СМР</v>
      </c>
      <c r="J249" s="48">
        <f ca="1">IFERROR(__xludf.DUMMYFUNCTION("""COMPUTED_VALUE"""),0)</f>
        <v>0</v>
      </c>
      <c r="K249" s="48">
        <f ca="1">IFERROR(__xludf.DUMMYFUNCTION("""COMPUTED_VALUE"""),14200)</f>
        <v>14200</v>
      </c>
      <c r="L249" s="48">
        <f ca="1">IFERROR(__xludf.DUMMYFUNCTION("""COMPUTED_VALUE"""),14200)</f>
        <v>14200</v>
      </c>
      <c r="M249" s="48"/>
      <c r="N249" s="48" t="str">
        <f ca="1">IFERROR(__xludf.DUMMYFUNCTION("""COMPUTED_VALUE"""),"10 2 02 64030")</f>
        <v>10 2 02 64030</v>
      </c>
      <c r="O249" s="48">
        <f ca="1">IFERROR(__xludf.DUMMYFUNCTION("""COMPUTED_VALUE"""),522)</f>
        <v>522</v>
      </c>
      <c r="P249" s="24">
        <f t="shared" ref="P249:T249" si="256">SUM(V249,AB249,AH249,AN249,AT249,AZ249,BF249)</f>
        <v>57441.19</v>
      </c>
      <c r="Q249" s="24">
        <f t="shared" si="256"/>
        <v>0</v>
      </c>
      <c r="R249" s="24">
        <f t="shared" si="256"/>
        <v>44747.06</v>
      </c>
      <c r="S249" s="24">
        <f t="shared" si="256"/>
        <v>0</v>
      </c>
      <c r="T249" s="24">
        <f t="shared" si="256"/>
        <v>12694.130000000001</v>
      </c>
      <c r="U249" s="20"/>
      <c r="V249" s="24"/>
      <c r="W249" s="24"/>
      <c r="X249" s="24"/>
      <c r="Y249" s="24"/>
      <c r="Z249" s="24"/>
      <c r="AA249" s="24"/>
      <c r="AB249" s="24"/>
      <c r="AC249" s="50"/>
      <c r="AD249" s="50"/>
      <c r="AE249" s="50"/>
      <c r="AF249" s="50"/>
      <c r="AG249" s="50"/>
      <c r="AH249" s="50">
        <f t="shared" si="2"/>
        <v>26241.190000000002</v>
      </c>
      <c r="AI249" s="50">
        <v>0</v>
      </c>
      <c r="AJ249" s="50">
        <v>20442.060000000001</v>
      </c>
      <c r="AK249" s="50">
        <v>0</v>
      </c>
      <c r="AL249" s="50">
        <v>5799.13</v>
      </c>
      <c r="AM249" s="50"/>
      <c r="AN249" s="24">
        <f t="shared" si="3"/>
        <v>31200</v>
      </c>
      <c r="AO249" s="50">
        <v>0</v>
      </c>
      <c r="AP249" s="50">
        <v>24305</v>
      </c>
      <c r="AQ249" s="50">
        <v>0</v>
      </c>
      <c r="AR249" s="50">
        <v>6895</v>
      </c>
      <c r="AS249" s="50"/>
      <c r="AT249" s="50">
        <f t="shared" si="4"/>
        <v>0</v>
      </c>
      <c r="AU249" s="50">
        <v>0</v>
      </c>
      <c r="AV249" s="50">
        <v>0</v>
      </c>
      <c r="AW249" s="50">
        <v>0</v>
      </c>
      <c r="AX249" s="50">
        <v>0</v>
      </c>
      <c r="AY249" s="50"/>
      <c r="AZ249" s="50">
        <f t="shared" si="227"/>
        <v>0</v>
      </c>
      <c r="BA249" s="50">
        <v>0</v>
      </c>
      <c r="BB249" s="50">
        <v>0</v>
      </c>
      <c r="BC249" s="50">
        <v>0</v>
      </c>
      <c r="BD249" s="50">
        <v>0</v>
      </c>
      <c r="BE249" s="50"/>
      <c r="BF249" s="50">
        <f t="shared" si="6"/>
        <v>0</v>
      </c>
      <c r="BG249" s="50">
        <v>0</v>
      </c>
      <c r="BH249" s="50">
        <v>0</v>
      </c>
      <c r="BI249" s="50">
        <v>0</v>
      </c>
      <c r="BJ249" s="50">
        <v>0</v>
      </c>
      <c r="BK249" s="50"/>
      <c r="BL249" s="20"/>
    </row>
    <row r="250" spans="1:64" ht="84" x14ac:dyDescent="0.2">
      <c r="A250" s="69">
        <v>246</v>
      </c>
      <c r="B250" s="48" t="str">
        <f ca="1">IFERROR(__xludf.DUMMYFUNCTION("""COMPUTED_VALUE"""),"г.о. Воскресенск")</f>
        <v>г.о. Воскресенск</v>
      </c>
      <c r="C250"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0" s="52" t="str">
        <f ca="1">IFERROR(__xludf.DUMMYFUNCTION("""COMPUTED_VALUE"""),"МинЖКХ")</f>
        <v>МинЖКХ</v>
      </c>
      <c r="E250" s="45" t="s">
        <v>296</v>
      </c>
      <c r="F250" s="46" t="str">
        <f ca="1">IFERROR(__xludf.DUMMYFUNCTION("""COMPUTED_VALUE"""),"КНК")</f>
        <v>КНК</v>
      </c>
      <c r="G250" s="46">
        <f ca="1">IFERROR(__xludf.DUMMYFUNCTION("""COMPUTED_VALUE"""),2022)</f>
        <v>2022</v>
      </c>
      <c r="H250" s="48"/>
      <c r="I250" s="48" t="str">
        <f ca="1">IFERROR(__xludf.DUMMYFUNCTION("""COMPUTED_VALUE"""),"СМР")</f>
        <v>СМР</v>
      </c>
      <c r="J250" s="48"/>
      <c r="K250" s="48"/>
      <c r="L250" s="48"/>
      <c r="M250" s="48"/>
      <c r="N250" s="48" t="str">
        <f ca="1">IFERROR(__xludf.DUMMYFUNCTION("""COMPUTED_VALUE"""),"10 2 02 64030")</f>
        <v>10 2 02 64030</v>
      </c>
      <c r="O250" s="48">
        <f ca="1">IFERROR(__xludf.DUMMYFUNCTION("""COMPUTED_VALUE"""),522)</f>
        <v>522</v>
      </c>
      <c r="P250" s="24">
        <f t="shared" ref="P250:T250" si="257">SUM(V250,AB250,AH250,AN250,AT250,AZ250,BF250)</f>
        <v>61578.520000000004</v>
      </c>
      <c r="Q250" s="24">
        <f t="shared" si="257"/>
        <v>0</v>
      </c>
      <c r="R250" s="24">
        <f t="shared" si="257"/>
        <v>47970</v>
      </c>
      <c r="S250" s="24">
        <f t="shared" si="257"/>
        <v>0</v>
      </c>
      <c r="T250" s="24">
        <f t="shared" si="257"/>
        <v>13608.52</v>
      </c>
      <c r="U250" s="20"/>
      <c r="V250" s="24"/>
      <c r="W250" s="24"/>
      <c r="X250" s="24"/>
      <c r="Y250" s="24"/>
      <c r="Z250" s="24"/>
      <c r="AA250" s="24"/>
      <c r="AB250" s="24"/>
      <c r="AC250" s="50"/>
      <c r="AD250" s="50"/>
      <c r="AE250" s="50"/>
      <c r="AF250" s="50"/>
      <c r="AG250" s="50"/>
      <c r="AH250" s="50">
        <f t="shared" si="2"/>
        <v>0</v>
      </c>
      <c r="AI250" s="50">
        <v>0</v>
      </c>
      <c r="AJ250" s="50">
        <v>0</v>
      </c>
      <c r="AK250" s="50">
        <v>0</v>
      </c>
      <c r="AL250" s="50">
        <v>0</v>
      </c>
      <c r="AM250" s="50"/>
      <c r="AN250" s="24">
        <f t="shared" si="3"/>
        <v>0</v>
      </c>
      <c r="AO250" s="50">
        <v>0</v>
      </c>
      <c r="AP250" s="50">
        <v>0</v>
      </c>
      <c r="AQ250" s="50">
        <v>0</v>
      </c>
      <c r="AR250" s="50">
        <v>0</v>
      </c>
      <c r="AS250" s="50"/>
      <c r="AT250" s="50">
        <f t="shared" si="4"/>
        <v>61578.520000000004</v>
      </c>
      <c r="AU250" s="50">
        <v>0</v>
      </c>
      <c r="AV250" s="50">
        <v>47970</v>
      </c>
      <c r="AW250" s="50">
        <v>0</v>
      </c>
      <c r="AX250" s="50">
        <v>13608.52</v>
      </c>
      <c r="AY250" s="50"/>
      <c r="AZ250" s="50">
        <f t="shared" si="227"/>
        <v>0</v>
      </c>
      <c r="BA250" s="50">
        <v>0</v>
      </c>
      <c r="BB250" s="50">
        <v>0</v>
      </c>
      <c r="BC250" s="50">
        <v>0</v>
      </c>
      <c r="BD250" s="50">
        <v>0</v>
      </c>
      <c r="BE250" s="50"/>
      <c r="BF250" s="50">
        <f t="shared" si="6"/>
        <v>0</v>
      </c>
      <c r="BG250" s="50">
        <v>0</v>
      </c>
      <c r="BH250" s="50">
        <v>0</v>
      </c>
      <c r="BI250" s="50">
        <v>0</v>
      </c>
      <c r="BJ250" s="50">
        <v>0</v>
      </c>
      <c r="BK250" s="50"/>
      <c r="BL250" s="20"/>
    </row>
    <row r="251" spans="1:64" ht="84" x14ac:dyDescent="0.2">
      <c r="A251" s="69">
        <v>247</v>
      </c>
      <c r="B251" s="48" t="str">
        <f ca="1">IFERROR(__xludf.DUMMYFUNCTION("""COMPUTED_VALUE"""),"г.о. Воскресенск")</f>
        <v>г.о. Воскресенск</v>
      </c>
      <c r="C251"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1" s="52" t="str">
        <f ca="1">IFERROR(__xludf.DUMMYFUNCTION("""COMPUTED_VALUE"""),"МинЖКХ")</f>
        <v>МинЖКХ</v>
      </c>
      <c r="E251" s="45" t="s">
        <v>297</v>
      </c>
      <c r="F251" s="46" t="str">
        <f ca="1">IFERROR(__xludf.DUMMYFUNCTION("""COMPUTED_VALUE"""),"КНС")</f>
        <v>КНС</v>
      </c>
      <c r="G251" s="46">
        <f ca="1">IFERROR(__xludf.DUMMYFUNCTION("""COMPUTED_VALUE"""),2023)</f>
        <v>2023</v>
      </c>
      <c r="H251" s="48"/>
      <c r="I251" s="48" t="str">
        <f ca="1">IFERROR(__xludf.DUMMYFUNCTION("""COMPUTED_VALUE"""),"СМР")</f>
        <v>СМР</v>
      </c>
      <c r="J251" s="48"/>
      <c r="K251" s="48"/>
      <c r="L251" s="48"/>
      <c r="M251" s="48"/>
      <c r="N251" s="48" t="str">
        <f ca="1">IFERROR(__xludf.DUMMYFUNCTION("""COMPUTED_VALUE"""),"10 2 02 64030")</f>
        <v>10 2 02 64030</v>
      </c>
      <c r="O251" s="48">
        <f ca="1">IFERROR(__xludf.DUMMYFUNCTION("""COMPUTED_VALUE"""),522)</f>
        <v>522</v>
      </c>
      <c r="P251" s="24">
        <f t="shared" ref="P251:T251" si="258">SUM(V251,AB251,AH251,AN251,AT251,AZ251,BF251)</f>
        <v>31984</v>
      </c>
      <c r="Q251" s="24">
        <f t="shared" si="258"/>
        <v>0</v>
      </c>
      <c r="R251" s="24">
        <f t="shared" si="258"/>
        <v>23370</v>
      </c>
      <c r="S251" s="24">
        <f t="shared" si="258"/>
        <v>0</v>
      </c>
      <c r="T251" s="24">
        <f t="shared" si="258"/>
        <v>8614</v>
      </c>
      <c r="U251" s="20"/>
      <c r="V251" s="24"/>
      <c r="W251" s="24"/>
      <c r="X251" s="24"/>
      <c r="Y251" s="24"/>
      <c r="Z251" s="24"/>
      <c r="AA251" s="24"/>
      <c r="AB251" s="24"/>
      <c r="AC251" s="50"/>
      <c r="AD251" s="50"/>
      <c r="AE251" s="50"/>
      <c r="AF251" s="50"/>
      <c r="AG251" s="50"/>
      <c r="AH251" s="50">
        <f t="shared" si="2"/>
        <v>0</v>
      </c>
      <c r="AI251" s="50">
        <v>0</v>
      </c>
      <c r="AJ251" s="50">
        <v>0</v>
      </c>
      <c r="AK251" s="50">
        <v>0</v>
      </c>
      <c r="AL251" s="50">
        <v>0</v>
      </c>
      <c r="AM251" s="50"/>
      <c r="AN251" s="24">
        <f t="shared" si="3"/>
        <v>0</v>
      </c>
      <c r="AO251" s="50">
        <v>0</v>
      </c>
      <c r="AP251" s="50">
        <v>0</v>
      </c>
      <c r="AQ251" s="50">
        <v>0</v>
      </c>
      <c r="AR251" s="50">
        <v>0</v>
      </c>
      <c r="AS251" s="50"/>
      <c r="AT251" s="50">
        <f t="shared" si="4"/>
        <v>0</v>
      </c>
      <c r="AU251" s="50">
        <v>0</v>
      </c>
      <c r="AV251" s="50">
        <v>0</v>
      </c>
      <c r="AW251" s="50">
        <v>0</v>
      </c>
      <c r="AX251" s="50">
        <v>0</v>
      </c>
      <c r="AY251" s="50"/>
      <c r="AZ251" s="50">
        <f t="shared" si="227"/>
        <v>31984</v>
      </c>
      <c r="BA251" s="50">
        <v>0</v>
      </c>
      <c r="BB251" s="50">
        <v>23370</v>
      </c>
      <c r="BC251" s="50">
        <v>0</v>
      </c>
      <c r="BD251" s="50">
        <v>8614</v>
      </c>
      <c r="BE251" s="50"/>
      <c r="BF251" s="50">
        <f t="shared" si="6"/>
        <v>0</v>
      </c>
      <c r="BG251" s="50">
        <v>0</v>
      </c>
      <c r="BH251" s="50">
        <v>0</v>
      </c>
      <c r="BI251" s="50">
        <v>0</v>
      </c>
      <c r="BJ251" s="50">
        <v>0</v>
      </c>
      <c r="BK251" s="50"/>
      <c r="BL251" s="20"/>
    </row>
    <row r="252" spans="1:64" ht="84" x14ac:dyDescent="0.2">
      <c r="A252" s="69">
        <v>248</v>
      </c>
      <c r="B252" s="48" t="str">
        <f ca="1">IFERROR(__xludf.DUMMYFUNCTION("""COMPUTED_VALUE"""),"г.о. Богородский")</f>
        <v>г.о. Богородский</v>
      </c>
      <c r="C252"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2" s="52" t="str">
        <f ca="1">IFERROR(__xludf.DUMMYFUNCTION("""COMPUTED_VALUE"""),"МинЖКХ")</f>
        <v>МинЖКХ</v>
      </c>
      <c r="E252" s="45" t="s">
        <v>298</v>
      </c>
      <c r="F252" s="46" t="str">
        <f ca="1">IFERROR(__xludf.DUMMYFUNCTION("""COMPUTED_VALUE"""),"КНС")</f>
        <v>КНС</v>
      </c>
      <c r="G252" s="46" t="str">
        <f ca="1">IFERROR(__xludf.DUMMYFUNCTION("""COMPUTED_VALUE"""),"2021-2023")</f>
        <v>2021-2023</v>
      </c>
      <c r="H252" s="48"/>
      <c r="I252" s="48" t="str">
        <f ca="1">IFERROR(__xludf.DUMMYFUNCTION("""COMPUTED_VALUE"""),"СМР")</f>
        <v>СМР</v>
      </c>
      <c r="J252" s="48"/>
      <c r="K252" s="48"/>
      <c r="L252" s="48"/>
      <c r="M252" s="48"/>
      <c r="N252" s="48" t="str">
        <f ca="1">IFERROR(__xludf.DUMMYFUNCTION("""COMPUTED_VALUE"""),"10 2 02 64030")</f>
        <v>10 2 02 64030</v>
      </c>
      <c r="O252" s="48">
        <f ca="1">IFERROR(__xludf.DUMMYFUNCTION("""COMPUTED_VALUE"""),522)</f>
        <v>522</v>
      </c>
      <c r="P252" s="24">
        <f t="shared" ref="P252:T252" si="259">SUM(V252,AB252,AH252,AN252,AT252,AZ252,BF252)</f>
        <v>570678.30000000005</v>
      </c>
      <c r="Q252" s="24">
        <f t="shared" si="259"/>
        <v>0</v>
      </c>
      <c r="R252" s="24">
        <f t="shared" si="259"/>
        <v>397194</v>
      </c>
      <c r="S252" s="24">
        <f t="shared" si="259"/>
        <v>0</v>
      </c>
      <c r="T252" s="24">
        <f t="shared" si="259"/>
        <v>173484.3</v>
      </c>
      <c r="U252" s="20"/>
      <c r="V252" s="24"/>
      <c r="W252" s="24"/>
      <c r="X252" s="24"/>
      <c r="Y252" s="24"/>
      <c r="Z252" s="24"/>
      <c r="AA252" s="24"/>
      <c r="AB252" s="24"/>
      <c r="AC252" s="50"/>
      <c r="AD252" s="50"/>
      <c r="AE252" s="50"/>
      <c r="AF252" s="50"/>
      <c r="AG252" s="50"/>
      <c r="AH252" s="50">
        <f t="shared" si="2"/>
        <v>0</v>
      </c>
      <c r="AI252" s="50">
        <v>0</v>
      </c>
      <c r="AJ252" s="50">
        <v>0</v>
      </c>
      <c r="AK252" s="50">
        <v>0</v>
      </c>
      <c r="AL252" s="50">
        <v>0</v>
      </c>
      <c r="AM252" s="50"/>
      <c r="AN252" s="24">
        <f t="shared" si="3"/>
        <v>13297.85</v>
      </c>
      <c r="AO252" s="50">
        <v>0</v>
      </c>
      <c r="AP252" s="50">
        <v>10000</v>
      </c>
      <c r="AQ252" s="50">
        <v>0</v>
      </c>
      <c r="AR252" s="50">
        <v>3297.85</v>
      </c>
      <c r="AS252" s="50"/>
      <c r="AT252" s="50">
        <f t="shared" si="4"/>
        <v>283000</v>
      </c>
      <c r="AU252" s="50">
        <v>0</v>
      </c>
      <c r="AV252" s="50">
        <v>191874</v>
      </c>
      <c r="AW252" s="50">
        <v>0</v>
      </c>
      <c r="AX252" s="50">
        <v>91126</v>
      </c>
      <c r="AY252" s="50"/>
      <c r="AZ252" s="50">
        <f t="shared" si="227"/>
        <v>274380.45</v>
      </c>
      <c r="BA252" s="50">
        <v>0</v>
      </c>
      <c r="BB252" s="50">
        <v>195320</v>
      </c>
      <c r="BC252" s="50">
        <v>0</v>
      </c>
      <c r="BD252" s="50">
        <v>79060.45</v>
      </c>
      <c r="BE252" s="50"/>
      <c r="BF252" s="50">
        <f t="shared" si="6"/>
        <v>0</v>
      </c>
      <c r="BG252" s="50">
        <v>0</v>
      </c>
      <c r="BH252" s="50">
        <v>0</v>
      </c>
      <c r="BI252" s="50">
        <v>0</v>
      </c>
      <c r="BJ252" s="50">
        <v>0</v>
      </c>
      <c r="BK252" s="50"/>
      <c r="BL252" s="20"/>
    </row>
    <row r="253" spans="1:64" ht="84" x14ac:dyDescent="0.2">
      <c r="A253" s="69">
        <v>249</v>
      </c>
      <c r="B253" s="48" t="str">
        <f ca="1">IFERROR(__xludf.DUMMYFUNCTION("""COMPUTED_VALUE"""),"г.о. Щелково")</f>
        <v>г.о. Щелково</v>
      </c>
      <c r="C253"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3" s="52" t="str">
        <f ca="1">IFERROR(__xludf.DUMMYFUNCTION("""COMPUTED_VALUE"""),"МинЖКХ")</f>
        <v>МинЖКХ</v>
      </c>
      <c r="E253" s="45" t="s">
        <v>299</v>
      </c>
      <c r="F253" s="46" t="str">
        <f ca="1">IFERROR(__xludf.DUMMYFUNCTION("""COMPUTED_VALUE"""),"КНС")</f>
        <v>КНС</v>
      </c>
      <c r="G253" s="46" t="str">
        <f ca="1">IFERROR(__xludf.DUMMYFUNCTION("""COMPUTED_VALUE"""),"2020-2021")</f>
        <v>2020-2021</v>
      </c>
      <c r="H253" s="48" t="str">
        <f ca="1">IFERROR(__xludf.DUMMYFUNCTION("""COMPUTED_VALUE"""),"Направление проекта в МОГЭ - оринтировочно начало декабря. Оплата аванса в размере 82,9 млн. руб до 20.11.2020. освоения по КС не планируется до вснесения изменений в  проект")</f>
        <v>Направление проекта в МОГЭ - оринтировочно начало декабря. Оплата аванса в размере 82,9 млн. руб до 20.11.2020. освоения по КС не планируется до вснесения изменений в  проект</v>
      </c>
      <c r="I253" s="48" t="str">
        <f ca="1">IFERROR(__xludf.DUMMYFUNCTION("""COMPUTED_VALUE"""),"СМР")</f>
        <v>СМР</v>
      </c>
      <c r="J253" s="48">
        <f ca="1">IFERROR(__xludf.DUMMYFUNCTION("""COMPUTED_VALUE"""),30)</f>
        <v>30</v>
      </c>
      <c r="K253" s="48">
        <f ca="1">IFERROR(__xludf.DUMMYFUNCTION("""COMPUTED_VALUE"""),527000)</f>
        <v>527000</v>
      </c>
      <c r="L253" s="48">
        <f ca="1">IFERROR(__xludf.DUMMYFUNCTION("""COMPUTED_VALUE"""),527000)</f>
        <v>527000</v>
      </c>
      <c r="M253" s="48"/>
      <c r="N253" s="48" t="str">
        <f ca="1">IFERROR(__xludf.DUMMYFUNCTION("""COMPUTED_VALUE"""),"10 2 02 64030")</f>
        <v>10 2 02 64030</v>
      </c>
      <c r="O253" s="48">
        <f ca="1">IFERROR(__xludf.DUMMYFUNCTION("""COMPUTED_VALUE"""),522)</f>
        <v>522</v>
      </c>
      <c r="P253" s="24">
        <f t="shared" ref="P253:T253" si="260">SUM(V253,AB253,AH253,AN253,AT253,AZ253,BF253)</f>
        <v>729397.98</v>
      </c>
      <c r="Q253" s="24">
        <f t="shared" si="260"/>
        <v>0</v>
      </c>
      <c r="R253" s="24">
        <f t="shared" si="260"/>
        <v>405601.08</v>
      </c>
      <c r="S253" s="24">
        <f t="shared" si="260"/>
        <v>287327</v>
      </c>
      <c r="T253" s="24">
        <f t="shared" si="260"/>
        <v>36469.9</v>
      </c>
      <c r="U253" s="20"/>
      <c r="V253" s="24"/>
      <c r="W253" s="24"/>
      <c r="X253" s="24"/>
      <c r="Y253" s="24"/>
      <c r="Z253" s="24"/>
      <c r="AA253" s="24"/>
      <c r="AB253" s="24"/>
      <c r="AC253" s="50"/>
      <c r="AD253" s="50"/>
      <c r="AE253" s="50"/>
      <c r="AF253" s="50"/>
      <c r="AG253" s="50"/>
      <c r="AH253" s="50">
        <f t="shared" si="2"/>
        <v>341833.68</v>
      </c>
      <c r="AI253" s="50">
        <v>0</v>
      </c>
      <c r="AJ253" s="50">
        <v>71394</v>
      </c>
      <c r="AK253" s="50">
        <v>253348</v>
      </c>
      <c r="AL253" s="50">
        <v>17091.68</v>
      </c>
      <c r="AM253" s="50"/>
      <c r="AN253" s="24">
        <f t="shared" si="3"/>
        <v>387564.30000000005</v>
      </c>
      <c r="AO253" s="50">
        <v>0</v>
      </c>
      <c r="AP253" s="50">
        <v>334207.08</v>
      </c>
      <c r="AQ253" s="50">
        <v>33979</v>
      </c>
      <c r="AR253" s="50">
        <v>19378.22</v>
      </c>
      <c r="AS253" s="50"/>
      <c r="AT253" s="50">
        <f t="shared" si="4"/>
        <v>0</v>
      </c>
      <c r="AU253" s="50">
        <v>0</v>
      </c>
      <c r="AV253" s="50">
        <v>0</v>
      </c>
      <c r="AW253" s="50">
        <v>0</v>
      </c>
      <c r="AX253" s="50">
        <v>0</v>
      </c>
      <c r="AY253" s="50"/>
      <c r="AZ253" s="50">
        <f t="shared" si="227"/>
        <v>0</v>
      </c>
      <c r="BA253" s="50">
        <v>0</v>
      </c>
      <c r="BB253" s="50">
        <v>0</v>
      </c>
      <c r="BC253" s="50">
        <v>0</v>
      </c>
      <c r="BD253" s="50">
        <v>0</v>
      </c>
      <c r="BE253" s="50"/>
      <c r="BF253" s="50">
        <f t="shared" si="6"/>
        <v>0</v>
      </c>
      <c r="BG253" s="50">
        <v>0</v>
      </c>
      <c r="BH253" s="50">
        <v>0</v>
      </c>
      <c r="BI253" s="50">
        <v>0</v>
      </c>
      <c r="BJ253" s="50">
        <v>0</v>
      </c>
      <c r="BK253" s="50"/>
      <c r="BL253" s="20"/>
    </row>
    <row r="254" spans="1:64" ht="84" x14ac:dyDescent="0.2">
      <c r="A254" s="69">
        <v>250</v>
      </c>
      <c r="B254" s="48" t="str">
        <f ca="1">IFERROR(__xludf.DUMMYFUNCTION("""COMPUTED_VALUE"""),"г.о. Щелково")</f>
        <v>г.о. Щелково</v>
      </c>
      <c r="C254"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4" s="52" t="str">
        <f ca="1">IFERROR(__xludf.DUMMYFUNCTION("""COMPUTED_VALUE"""),"МинЖКХ")</f>
        <v>МинЖКХ</v>
      </c>
      <c r="E254" s="45" t="s">
        <v>300</v>
      </c>
      <c r="F254" s="46" t="str">
        <f ca="1">IFERROR(__xludf.DUMMYFUNCTION("""COMPUTED_VALUE"""),"КНС")</f>
        <v>КНС</v>
      </c>
      <c r="G254" s="46" t="str">
        <f ca="1">IFERROR(__xludf.DUMMYFUNCTION("""COMPUTED_VALUE"""),"Н/Л")</f>
        <v>Н/Л</v>
      </c>
      <c r="H254" s="48" t="str">
        <f ca="1">IFERROR(__xludf.DUMMYFUNCTION("""COMPUTED_VALUE"""),"Документация разрабатвается в соотвествии с принятыми техническими решениями. необходимо направлять док в могэ.")</f>
        <v>Документация разрабатвается в соотвествии с принятыми техническими решениями. необходимо направлять док в могэ.</v>
      </c>
      <c r="I254" s="48" t="str">
        <f ca="1">IFERROR(__xludf.DUMMYFUNCTION("""COMPUTED_VALUE"""),"ПИР")</f>
        <v>ПИР</v>
      </c>
      <c r="J254" s="48" t="str">
        <f ca="1">IFERROR(__xludf.DUMMYFUNCTION("""COMPUTED_VALUE"""),"-")</f>
        <v>-</v>
      </c>
      <c r="K254" s="48" t="str">
        <f ca="1">IFERROR(__xludf.DUMMYFUNCTION("""COMPUTED_VALUE"""),"-")</f>
        <v>-</v>
      </c>
      <c r="L254" s="48" t="str">
        <f ca="1">IFERROR(__xludf.DUMMYFUNCTION("""COMPUTED_VALUE"""),"-")</f>
        <v>-</v>
      </c>
      <c r="M254" s="48"/>
      <c r="N254" s="48" t="str">
        <f ca="1">IFERROR(__xludf.DUMMYFUNCTION("""COMPUTED_VALUE"""),"10 2 02 64030")</f>
        <v>10 2 02 64030</v>
      </c>
      <c r="O254" s="48">
        <f ca="1">IFERROR(__xludf.DUMMYFUNCTION("""COMPUTED_VALUE"""),522)</f>
        <v>522</v>
      </c>
      <c r="P254" s="24">
        <f t="shared" ref="P254:T254" si="261">SUM(V254,AB254,AH254,AN254,AT254,AZ254,BF254)</f>
        <v>11000</v>
      </c>
      <c r="Q254" s="24">
        <f t="shared" si="261"/>
        <v>0</v>
      </c>
      <c r="R254" s="24">
        <f t="shared" si="261"/>
        <v>10450</v>
      </c>
      <c r="S254" s="24">
        <f t="shared" si="261"/>
        <v>0</v>
      </c>
      <c r="T254" s="24">
        <f t="shared" si="261"/>
        <v>550</v>
      </c>
      <c r="U254" s="20"/>
      <c r="V254" s="24"/>
      <c r="W254" s="24"/>
      <c r="X254" s="24"/>
      <c r="Y254" s="24"/>
      <c r="Z254" s="24"/>
      <c r="AA254" s="24"/>
      <c r="AB254" s="24"/>
      <c r="AC254" s="50"/>
      <c r="AD254" s="50"/>
      <c r="AE254" s="50"/>
      <c r="AF254" s="50"/>
      <c r="AG254" s="50"/>
      <c r="AH254" s="50">
        <f t="shared" si="2"/>
        <v>11000</v>
      </c>
      <c r="AI254" s="50">
        <v>0</v>
      </c>
      <c r="AJ254" s="50">
        <v>10450</v>
      </c>
      <c r="AK254" s="50">
        <v>0</v>
      </c>
      <c r="AL254" s="50">
        <v>550</v>
      </c>
      <c r="AM254" s="50"/>
      <c r="AN254" s="24">
        <f t="shared" si="3"/>
        <v>0</v>
      </c>
      <c r="AO254" s="50">
        <v>0</v>
      </c>
      <c r="AP254" s="50">
        <v>0</v>
      </c>
      <c r="AQ254" s="50">
        <v>0</v>
      </c>
      <c r="AR254" s="50">
        <v>0</v>
      </c>
      <c r="AS254" s="50"/>
      <c r="AT254" s="50">
        <f t="shared" si="4"/>
        <v>0</v>
      </c>
      <c r="AU254" s="50">
        <v>0</v>
      </c>
      <c r="AV254" s="50">
        <v>0</v>
      </c>
      <c r="AW254" s="50">
        <v>0</v>
      </c>
      <c r="AX254" s="50">
        <v>0</v>
      </c>
      <c r="AY254" s="50"/>
      <c r="AZ254" s="50">
        <f t="shared" si="227"/>
        <v>0</v>
      </c>
      <c r="BA254" s="50">
        <v>0</v>
      </c>
      <c r="BB254" s="50">
        <v>0</v>
      </c>
      <c r="BC254" s="50">
        <v>0</v>
      </c>
      <c r="BD254" s="50">
        <v>0</v>
      </c>
      <c r="BE254" s="50"/>
      <c r="BF254" s="50">
        <f t="shared" si="6"/>
        <v>0</v>
      </c>
      <c r="BG254" s="50">
        <v>0</v>
      </c>
      <c r="BH254" s="50">
        <v>0</v>
      </c>
      <c r="BI254" s="50">
        <v>0</v>
      </c>
      <c r="BJ254" s="50">
        <v>0</v>
      </c>
      <c r="BK254" s="50"/>
      <c r="BL254" s="20"/>
    </row>
    <row r="255" spans="1:64" ht="84" x14ac:dyDescent="0.2">
      <c r="A255" s="69">
        <v>251</v>
      </c>
      <c r="B255" s="48" t="str">
        <f ca="1">IFERROR(__xludf.DUMMYFUNCTION("""COMPUTED_VALUE"""),"г.о. Красногорск")</f>
        <v>г.о. Красногорск</v>
      </c>
      <c r="C255"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5" s="52" t="str">
        <f ca="1">IFERROR(__xludf.DUMMYFUNCTION("""COMPUTED_VALUE"""),"МинЖКХ")</f>
        <v>МинЖКХ</v>
      </c>
      <c r="E255" s="45" t="s">
        <v>301</v>
      </c>
      <c r="F255" s="46" t="str">
        <f ca="1">IFERROR(__xludf.DUMMYFUNCTION("""COMPUTED_VALUE"""),"КНК")</f>
        <v>КНК</v>
      </c>
      <c r="G255" s="46" t="str">
        <f ca="1">IFERROR(__xludf.DUMMYFUNCTION("""COMPUTED_VALUE"""),"2019-2020")</f>
        <v>2019-2020</v>
      </c>
      <c r="H255" s="48"/>
      <c r="I255" s="48" t="str">
        <f ca="1">IFERROR(__xludf.DUMMYFUNCTION("""COMPUTED_VALUE"""),"СМР")</f>
        <v>СМР</v>
      </c>
      <c r="J255" s="48">
        <f ca="1">IFERROR(__xludf.DUMMYFUNCTION("""COMPUTED_VALUE"""),100)</f>
        <v>100</v>
      </c>
      <c r="K255" s="48">
        <f ca="1">IFERROR(__xludf.DUMMYFUNCTION("""COMPUTED_VALUE"""),35000)</f>
        <v>35000</v>
      </c>
      <c r="L255" s="48">
        <f ca="1">IFERROR(__xludf.DUMMYFUNCTION("""COMPUTED_VALUE"""),35000)</f>
        <v>35000</v>
      </c>
      <c r="M255" s="48"/>
      <c r="N255" s="48" t="str">
        <f ca="1">IFERROR(__xludf.DUMMYFUNCTION("""COMPUTED_VALUE"""),"10 2 02 64030")</f>
        <v>10 2 02 64030</v>
      </c>
      <c r="O255" s="48">
        <f ca="1">IFERROR(__xludf.DUMMYFUNCTION("""COMPUTED_VALUE"""),522)</f>
        <v>522</v>
      </c>
      <c r="P255" s="24">
        <f t="shared" ref="P255:T255" si="262">SUM(V255,AB255,AH255,AN255,AT255,AZ255,BF255)</f>
        <v>121550.43</v>
      </c>
      <c r="Q255" s="24">
        <f t="shared" si="262"/>
        <v>0</v>
      </c>
      <c r="R255" s="24">
        <f t="shared" si="262"/>
        <v>0</v>
      </c>
      <c r="S255" s="24">
        <f t="shared" si="262"/>
        <v>82782</v>
      </c>
      <c r="T255" s="24">
        <f t="shared" si="262"/>
        <v>38768.43</v>
      </c>
      <c r="U255" s="20"/>
      <c r="V255" s="24"/>
      <c r="W255" s="24"/>
      <c r="X255" s="24"/>
      <c r="Y255" s="24"/>
      <c r="Z255" s="24"/>
      <c r="AA255" s="24"/>
      <c r="AB255" s="24"/>
      <c r="AC255" s="50"/>
      <c r="AD255" s="50"/>
      <c r="AE255" s="50"/>
      <c r="AF255" s="50"/>
      <c r="AG255" s="50"/>
      <c r="AH255" s="50">
        <f t="shared" si="2"/>
        <v>121550.43</v>
      </c>
      <c r="AI255" s="50">
        <v>0</v>
      </c>
      <c r="AJ255" s="50">
        <v>0</v>
      </c>
      <c r="AK255" s="50">
        <v>82782</v>
      </c>
      <c r="AL255" s="50">
        <v>38768.43</v>
      </c>
      <c r="AM255" s="50"/>
      <c r="AN255" s="24">
        <f t="shared" si="3"/>
        <v>0</v>
      </c>
      <c r="AO255" s="50">
        <v>0</v>
      </c>
      <c r="AP255" s="50">
        <v>0</v>
      </c>
      <c r="AQ255" s="50">
        <v>0</v>
      </c>
      <c r="AR255" s="50">
        <v>0</v>
      </c>
      <c r="AS255" s="50"/>
      <c r="AT255" s="50">
        <f t="shared" si="4"/>
        <v>0</v>
      </c>
      <c r="AU255" s="50">
        <v>0</v>
      </c>
      <c r="AV255" s="50">
        <v>0</v>
      </c>
      <c r="AW255" s="50">
        <v>0</v>
      </c>
      <c r="AX255" s="50">
        <v>0</v>
      </c>
      <c r="AY255" s="50"/>
      <c r="AZ255" s="50">
        <f t="shared" si="227"/>
        <v>0</v>
      </c>
      <c r="BA255" s="50">
        <v>0</v>
      </c>
      <c r="BB255" s="50">
        <v>0</v>
      </c>
      <c r="BC255" s="50">
        <v>0</v>
      </c>
      <c r="BD255" s="50">
        <v>0</v>
      </c>
      <c r="BE255" s="50"/>
      <c r="BF255" s="50">
        <f t="shared" si="6"/>
        <v>0</v>
      </c>
      <c r="BG255" s="50">
        <v>0</v>
      </c>
      <c r="BH255" s="50">
        <v>0</v>
      </c>
      <c r="BI255" s="50">
        <v>0</v>
      </c>
      <c r="BJ255" s="50">
        <v>0</v>
      </c>
      <c r="BK255" s="50"/>
      <c r="BL255" s="20"/>
    </row>
    <row r="256" spans="1:64" ht="96" x14ac:dyDescent="0.2">
      <c r="A256" s="69">
        <v>252</v>
      </c>
      <c r="B256" s="48" t="str">
        <f ca="1">IFERROR(__xludf.DUMMYFUNCTION("""COMPUTED_VALUE"""),"г.о. Подольск")</f>
        <v>г.о. Подольск</v>
      </c>
      <c r="C256"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6" s="52" t="str">
        <f ca="1">IFERROR(__xludf.DUMMYFUNCTION("""COMPUTED_VALUE"""),"МинЖКХ")</f>
        <v>МинЖКХ</v>
      </c>
      <c r="E256" s="45" t="s">
        <v>302</v>
      </c>
      <c r="F256" s="46" t="str">
        <f ca="1">IFERROR(__xludf.DUMMYFUNCTION("""COMPUTED_VALUE"""),"КНК")</f>
        <v>КНК</v>
      </c>
      <c r="G256" s="46" t="str">
        <f ca="1">IFERROR(__xludf.DUMMYFUNCTION("""COMPUTED_VALUE"""),"2021-2022")</f>
        <v>2021-2022</v>
      </c>
      <c r="H256" s="48"/>
      <c r="I256" s="48" t="str">
        <f ca="1">IFERROR(__xludf.DUMMYFUNCTION("""COMPUTED_VALUE"""),"СМР")</f>
        <v>СМР</v>
      </c>
      <c r="J256" s="48"/>
      <c r="K256" s="48"/>
      <c r="L256" s="48"/>
      <c r="M256" s="48"/>
      <c r="N256" s="48" t="str">
        <f ca="1">IFERROR(__xludf.DUMMYFUNCTION("""COMPUTED_VALUE"""),"10 2 02 64030")</f>
        <v>10 2 02 64030</v>
      </c>
      <c r="O256" s="48">
        <f ca="1">IFERROR(__xludf.DUMMYFUNCTION("""COMPUTED_VALUE"""),522)</f>
        <v>522</v>
      </c>
      <c r="P256" s="24">
        <f t="shared" ref="P256:T256" si="263">SUM(V256,AB256,AH256,AN256,AT256,AZ256,BF256)</f>
        <v>65000</v>
      </c>
      <c r="Q256" s="24">
        <f t="shared" si="263"/>
        <v>0</v>
      </c>
      <c r="R256" s="24">
        <f t="shared" si="263"/>
        <v>0</v>
      </c>
      <c r="S256" s="24">
        <f t="shared" si="263"/>
        <v>0</v>
      </c>
      <c r="T256" s="24">
        <f t="shared" si="263"/>
        <v>65000</v>
      </c>
      <c r="U256" s="20"/>
      <c r="V256" s="24"/>
      <c r="W256" s="24"/>
      <c r="X256" s="24"/>
      <c r="Y256" s="24"/>
      <c r="Z256" s="24"/>
      <c r="AA256" s="24"/>
      <c r="AB256" s="24"/>
      <c r="AC256" s="50"/>
      <c r="AD256" s="50"/>
      <c r="AE256" s="50"/>
      <c r="AF256" s="50"/>
      <c r="AG256" s="50"/>
      <c r="AH256" s="50">
        <f t="shared" si="2"/>
        <v>0</v>
      </c>
      <c r="AI256" s="50">
        <v>0</v>
      </c>
      <c r="AJ256" s="50">
        <v>0</v>
      </c>
      <c r="AK256" s="50">
        <v>0</v>
      </c>
      <c r="AL256" s="50">
        <v>0</v>
      </c>
      <c r="AM256" s="50"/>
      <c r="AN256" s="24">
        <f t="shared" si="3"/>
        <v>45000</v>
      </c>
      <c r="AO256" s="50">
        <v>0</v>
      </c>
      <c r="AP256" s="50">
        <v>0</v>
      </c>
      <c r="AQ256" s="50">
        <v>0</v>
      </c>
      <c r="AR256" s="50">
        <v>45000</v>
      </c>
      <c r="AS256" s="50"/>
      <c r="AT256" s="50">
        <f t="shared" si="4"/>
        <v>20000</v>
      </c>
      <c r="AU256" s="50">
        <v>0</v>
      </c>
      <c r="AV256" s="50">
        <v>0</v>
      </c>
      <c r="AW256" s="50">
        <v>0</v>
      </c>
      <c r="AX256" s="50">
        <v>20000</v>
      </c>
      <c r="AY256" s="50"/>
      <c r="AZ256" s="50">
        <f t="shared" si="227"/>
        <v>0</v>
      </c>
      <c r="BA256" s="50">
        <v>0</v>
      </c>
      <c r="BB256" s="50">
        <v>0</v>
      </c>
      <c r="BC256" s="50">
        <v>0</v>
      </c>
      <c r="BD256" s="50">
        <v>0</v>
      </c>
      <c r="BE256" s="50"/>
      <c r="BF256" s="50">
        <f t="shared" si="6"/>
        <v>0</v>
      </c>
      <c r="BG256" s="50">
        <v>0</v>
      </c>
      <c r="BH256" s="50">
        <v>0</v>
      </c>
      <c r="BI256" s="50">
        <v>0</v>
      </c>
      <c r="BJ256" s="50">
        <v>0</v>
      </c>
      <c r="BK256" s="50"/>
      <c r="BL256" s="20"/>
    </row>
    <row r="257" spans="1:64" ht="84" x14ac:dyDescent="0.2">
      <c r="A257" s="69">
        <v>253</v>
      </c>
      <c r="B257" s="48" t="str">
        <f ca="1">IFERROR(__xludf.DUMMYFUNCTION("""COMPUTED_VALUE"""),"г.о. Одинцово")</f>
        <v>г.о. Одинцово</v>
      </c>
      <c r="C257"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7" s="52" t="str">
        <f ca="1">IFERROR(__xludf.DUMMYFUNCTION("""COMPUTED_VALUE"""),"МинЖКХ")</f>
        <v>МинЖКХ</v>
      </c>
      <c r="E257" s="45" t="s">
        <v>303</v>
      </c>
      <c r="F257" s="46" t="str">
        <f ca="1">IFERROR(__xludf.DUMMYFUNCTION("""COMPUTED_VALUE"""),"КНК")</f>
        <v>КНК</v>
      </c>
      <c r="G257" s="46">
        <f ca="1">IFERROR(__xludf.DUMMYFUNCTION("""COMPUTED_VALUE"""),2021)</f>
        <v>2021</v>
      </c>
      <c r="H257" s="48" t="str">
        <f ca="1">IFERROR(__xludf.DUMMYFUNCTION("""COMPUTED_VALUE"""),"Направлено письмо от администрации о переносе лимитов 2020 на 2021 год. Проект на проверке МОГЭ. Заключение ориентировочно в декабре.")</f>
        <v>Направлено письмо от администрации о переносе лимитов 2020 на 2021 год. Проект на проверке МОГЭ. Заключение ориентировочно в декабре.</v>
      </c>
      <c r="I257" s="48" t="str">
        <f ca="1">IFERROR(__xludf.DUMMYFUNCTION("""COMPUTED_VALUE"""),"СМР")</f>
        <v>СМР</v>
      </c>
      <c r="J257" s="48">
        <f ca="1">IFERROR(__xludf.DUMMYFUNCTION("""COMPUTED_VALUE"""),0)</f>
        <v>0</v>
      </c>
      <c r="K257" s="48">
        <f ca="1">IFERROR(__xludf.DUMMYFUNCTION("""COMPUTED_VALUE"""),2500)</f>
        <v>2500</v>
      </c>
      <c r="L257" s="48">
        <f ca="1">IFERROR(__xludf.DUMMYFUNCTION("""COMPUTED_VALUE"""),2500)</f>
        <v>2500</v>
      </c>
      <c r="M257" s="48"/>
      <c r="N257" s="48" t="str">
        <f ca="1">IFERROR(__xludf.DUMMYFUNCTION("""COMPUTED_VALUE"""),"10 2 02 64030")</f>
        <v>10 2 02 64030</v>
      </c>
      <c r="O257" s="48">
        <f ca="1">IFERROR(__xludf.DUMMYFUNCTION("""COMPUTED_VALUE"""),522)</f>
        <v>522</v>
      </c>
      <c r="P257" s="24">
        <f t="shared" ref="P257:T257" si="264">SUM(V257,AB257,AH257,AN257,AT257,AZ257,BF257)</f>
        <v>440625</v>
      </c>
      <c r="Q257" s="24">
        <f t="shared" si="264"/>
        <v>0</v>
      </c>
      <c r="R257" s="24">
        <f t="shared" si="264"/>
        <v>275390</v>
      </c>
      <c r="S257" s="24">
        <f t="shared" si="264"/>
        <v>0</v>
      </c>
      <c r="T257" s="24">
        <f t="shared" si="264"/>
        <v>165235</v>
      </c>
      <c r="U257" s="20"/>
      <c r="V257" s="24"/>
      <c r="W257" s="24"/>
      <c r="X257" s="24"/>
      <c r="Y257" s="24"/>
      <c r="Z257" s="24"/>
      <c r="AA257" s="24"/>
      <c r="AB257" s="24"/>
      <c r="AC257" s="50"/>
      <c r="AD257" s="50"/>
      <c r="AE257" s="50"/>
      <c r="AF257" s="50"/>
      <c r="AG257" s="50"/>
      <c r="AH257" s="50">
        <f t="shared" si="2"/>
        <v>32000</v>
      </c>
      <c r="AI257" s="50">
        <v>0</v>
      </c>
      <c r="AJ257" s="50">
        <v>20000</v>
      </c>
      <c r="AK257" s="50">
        <v>0</v>
      </c>
      <c r="AL257" s="50">
        <v>12000</v>
      </c>
      <c r="AM257" s="50"/>
      <c r="AN257" s="24">
        <f t="shared" si="3"/>
        <v>408625</v>
      </c>
      <c r="AO257" s="50">
        <v>0</v>
      </c>
      <c r="AP257" s="50">
        <v>255390</v>
      </c>
      <c r="AQ257" s="50">
        <v>0</v>
      </c>
      <c r="AR257" s="50">
        <v>153235</v>
      </c>
      <c r="AS257" s="50"/>
      <c r="AT257" s="50">
        <f t="shared" si="4"/>
        <v>0</v>
      </c>
      <c r="AU257" s="50">
        <v>0</v>
      </c>
      <c r="AV257" s="50">
        <v>0</v>
      </c>
      <c r="AW257" s="50">
        <v>0</v>
      </c>
      <c r="AX257" s="50">
        <v>0</v>
      </c>
      <c r="AY257" s="50"/>
      <c r="AZ257" s="50">
        <f t="shared" si="227"/>
        <v>0</v>
      </c>
      <c r="BA257" s="50">
        <v>0</v>
      </c>
      <c r="BB257" s="50">
        <v>0</v>
      </c>
      <c r="BC257" s="50">
        <v>0</v>
      </c>
      <c r="BD257" s="50">
        <v>0</v>
      </c>
      <c r="BE257" s="50"/>
      <c r="BF257" s="50">
        <f t="shared" si="6"/>
        <v>0</v>
      </c>
      <c r="BG257" s="50">
        <v>0</v>
      </c>
      <c r="BH257" s="50">
        <v>0</v>
      </c>
      <c r="BI257" s="50">
        <v>0</v>
      </c>
      <c r="BJ257" s="50">
        <v>0</v>
      </c>
      <c r="BK257" s="50"/>
      <c r="BL257" s="20"/>
    </row>
    <row r="258" spans="1:64" ht="84" x14ac:dyDescent="0.2">
      <c r="A258" s="69">
        <v>254</v>
      </c>
      <c r="B258" s="48" t="str">
        <f ca="1">IFERROR(__xludf.DUMMYFUNCTION("""COMPUTED_VALUE"""),"г.о. Солнечногорск")</f>
        <v>г.о. Солнечногорск</v>
      </c>
      <c r="C258"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8" s="52" t="str">
        <f ca="1">IFERROR(__xludf.DUMMYFUNCTION("""COMPUTED_VALUE"""),"МинЖКХ")</f>
        <v>МинЖКХ</v>
      </c>
      <c r="E258" s="45" t="s">
        <v>304</v>
      </c>
      <c r="F258" s="46" t="str">
        <f ca="1">IFERROR(__xludf.DUMMYFUNCTION("""COMPUTED_VALUE"""),"КНК")</f>
        <v>КНК</v>
      </c>
      <c r="G258" s="46">
        <f ca="1">IFERROR(__xludf.DUMMYFUNCTION("""COMPUTED_VALUE"""),2022)</f>
        <v>2022</v>
      </c>
      <c r="H258" s="48"/>
      <c r="I258" s="48" t="str">
        <f ca="1">IFERROR(__xludf.DUMMYFUNCTION("""COMPUTED_VALUE"""),"СМР")</f>
        <v>СМР</v>
      </c>
      <c r="J258" s="48"/>
      <c r="K258" s="48"/>
      <c r="L258" s="48"/>
      <c r="M258" s="48"/>
      <c r="N258" s="48" t="str">
        <f ca="1">IFERROR(__xludf.DUMMYFUNCTION("""COMPUTED_VALUE"""),"10 2 02 64030")</f>
        <v>10 2 02 64030</v>
      </c>
      <c r="O258" s="48">
        <f ca="1">IFERROR(__xludf.DUMMYFUNCTION("""COMPUTED_VALUE"""),522)</f>
        <v>522</v>
      </c>
      <c r="P258" s="24">
        <f t="shared" ref="P258:T258" si="265">SUM(V258,AB258,AH258,AN258,AT258,AZ258,BF258)</f>
        <v>27000</v>
      </c>
      <c r="Q258" s="24">
        <f t="shared" si="265"/>
        <v>0</v>
      </c>
      <c r="R258" s="24">
        <f t="shared" si="265"/>
        <v>18900</v>
      </c>
      <c r="S258" s="24">
        <f t="shared" si="265"/>
        <v>0</v>
      </c>
      <c r="T258" s="24">
        <f t="shared" si="265"/>
        <v>8100</v>
      </c>
      <c r="U258" s="20"/>
      <c r="V258" s="24"/>
      <c r="W258" s="24"/>
      <c r="X258" s="24"/>
      <c r="Y258" s="24"/>
      <c r="Z258" s="24"/>
      <c r="AA258" s="24"/>
      <c r="AB258" s="24"/>
      <c r="AC258" s="50"/>
      <c r="AD258" s="50"/>
      <c r="AE258" s="50"/>
      <c r="AF258" s="50"/>
      <c r="AG258" s="50"/>
      <c r="AH258" s="50">
        <f t="shared" si="2"/>
        <v>0</v>
      </c>
      <c r="AI258" s="50">
        <v>0</v>
      </c>
      <c r="AJ258" s="50">
        <v>0</v>
      </c>
      <c r="AK258" s="50">
        <v>0</v>
      </c>
      <c r="AL258" s="50">
        <v>0</v>
      </c>
      <c r="AM258" s="50"/>
      <c r="AN258" s="24">
        <f t="shared" si="3"/>
        <v>0</v>
      </c>
      <c r="AO258" s="50">
        <v>0</v>
      </c>
      <c r="AP258" s="50">
        <v>0</v>
      </c>
      <c r="AQ258" s="50">
        <v>0</v>
      </c>
      <c r="AR258" s="50">
        <v>0</v>
      </c>
      <c r="AS258" s="50"/>
      <c r="AT258" s="50">
        <f t="shared" si="4"/>
        <v>27000</v>
      </c>
      <c r="AU258" s="50">
        <v>0</v>
      </c>
      <c r="AV258" s="50">
        <v>18900</v>
      </c>
      <c r="AW258" s="50">
        <v>0</v>
      </c>
      <c r="AX258" s="50">
        <v>8100</v>
      </c>
      <c r="AY258" s="50"/>
      <c r="AZ258" s="50">
        <f t="shared" si="227"/>
        <v>0</v>
      </c>
      <c r="BA258" s="50">
        <v>0</v>
      </c>
      <c r="BB258" s="50">
        <v>0</v>
      </c>
      <c r="BC258" s="50">
        <v>0</v>
      </c>
      <c r="BD258" s="50">
        <v>0</v>
      </c>
      <c r="BE258" s="50"/>
      <c r="BF258" s="50">
        <f t="shared" si="6"/>
        <v>0</v>
      </c>
      <c r="BG258" s="50">
        <v>0</v>
      </c>
      <c r="BH258" s="50">
        <v>0</v>
      </c>
      <c r="BI258" s="50">
        <v>0</v>
      </c>
      <c r="BJ258" s="50">
        <v>0</v>
      </c>
      <c r="BK258" s="50"/>
      <c r="BL258" s="20"/>
    </row>
    <row r="259" spans="1:64" ht="84" x14ac:dyDescent="0.2">
      <c r="A259" s="69">
        <v>255</v>
      </c>
      <c r="B259" s="48" t="str">
        <f ca="1">IFERROR(__xludf.DUMMYFUNCTION("""COMPUTED_VALUE"""),"г.о. Сергиев Посад")</f>
        <v>г.о. Сергиев Посад</v>
      </c>
      <c r="C259"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59" s="52" t="str">
        <f ca="1">IFERROR(__xludf.DUMMYFUNCTION("""COMPUTED_VALUE"""),"МинЖКХ")</f>
        <v>МинЖКХ</v>
      </c>
      <c r="E259" s="45" t="s">
        <v>590</v>
      </c>
      <c r="F259" s="46" t="str">
        <f ca="1">IFERROR(__xludf.DUMMYFUNCTION("""COMPUTED_VALUE"""),"КНК")</f>
        <v>КНК</v>
      </c>
      <c r="G259" s="46" t="str">
        <f ca="1">IFERROR(__xludf.DUMMYFUNCTION("""COMPUTED_VALUE"""),"2020-2021")</f>
        <v>2020-2021</v>
      </c>
      <c r="H259" s="48"/>
      <c r="I259" s="48" t="str">
        <f ca="1">IFERROR(__xludf.DUMMYFUNCTION("""COMPUTED_VALUE"""),"СМР")</f>
        <v>СМР</v>
      </c>
      <c r="J259" s="48">
        <f ca="1">IFERROR(__xludf.DUMMYFUNCTION("""COMPUTED_VALUE"""),0)</f>
        <v>0</v>
      </c>
      <c r="K259" s="48">
        <f ca="1">IFERROR(__xludf.DUMMYFUNCTION("""COMPUTED_VALUE"""),80000)</f>
        <v>80000</v>
      </c>
      <c r="L259" s="48">
        <f ca="1">IFERROR(__xludf.DUMMYFUNCTION("""COMPUTED_VALUE"""),80000)</f>
        <v>80000</v>
      </c>
      <c r="M259" s="48"/>
      <c r="N259" s="48" t="str">
        <f ca="1">IFERROR(__xludf.DUMMYFUNCTION("""COMPUTED_VALUE"""),"10 2 02 64030")</f>
        <v>10 2 02 64030</v>
      </c>
      <c r="O259" s="48">
        <f ca="1">IFERROR(__xludf.DUMMYFUNCTION("""COMPUTED_VALUE"""),522)</f>
        <v>522</v>
      </c>
      <c r="P259" s="24">
        <f t="shared" ref="P259:T259" si="266">SUM(V259,AB259,AH259,AN259,AT259,AZ259,BF259)</f>
        <v>204279.71</v>
      </c>
      <c r="Q259" s="24">
        <f t="shared" si="266"/>
        <v>0</v>
      </c>
      <c r="R259" s="24">
        <f t="shared" si="266"/>
        <v>107201.92</v>
      </c>
      <c r="S259" s="24">
        <f t="shared" si="266"/>
        <v>95035</v>
      </c>
      <c r="T259" s="24">
        <f t="shared" si="266"/>
        <v>2042.79</v>
      </c>
      <c r="U259" s="20"/>
      <c r="V259" s="24"/>
      <c r="W259" s="24"/>
      <c r="X259" s="24"/>
      <c r="Y259" s="24"/>
      <c r="Z259" s="24"/>
      <c r="AA259" s="24"/>
      <c r="AB259" s="24"/>
      <c r="AC259" s="50"/>
      <c r="AD259" s="50"/>
      <c r="AE259" s="50"/>
      <c r="AF259" s="50"/>
      <c r="AG259" s="50"/>
      <c r="AH259" s="50">
        <f t="shared" si="2"/>
        <v>95994.95</v>
      </c>
      <c r="AI259" s="50">
        <v>0</v>
      </c>
      <c r="AJ259" s="50">
        <v>0</v>
      </c>
      <c r="AK259" s="50">
        <v>95035</v>
      </c>
      <c r="AL259" s="50">
        <v>959.95</v>
      </c>
      <c r="AM259" s="50"/>
      <c r="AN259" s="24">
        <f t="shared" si="3"/>
        <v>108284.76</v>
      </c>
      <c r="AO259" s="50">
        <v>0</v>
      </c>
      <c r="AP259" s="50">
        <v>107201.92</v>
      </c>
      <c r="AQ259" s="50">
        <v>0</v>
      </c>
      <c r="AR259" s="50">
        <v>1082.8399999999999</v>
      </c>
      <c r="AS259" s="50"/>
      <c r="AT259" s="50">
        <f t="shared" si="4"/>
        <v>0</v>
      </c>
      <c r="AU259" s="50">
        <v>0</v>
      </c>
      <c r="AV259" s="50">
        <v>0</v>
      </c>
      <c r="AW259" s="50">
        <v>0</v>
      </c>
      <c r="AX259" s="50">
        <v>0</v>
      </c>
      <c r="AY259" s="50"/>
      <c r="AZ259" s="50">
        <f t="shared" si="227"/>
        <v>0</v>
      </c>
      <c r="BA259" s="50">
        <v>0</v>
      </c>
      <c r="BB259" s="50">
        <v>0</v>
      </c>
      <c r="BC259" s="50">
        <v>0</v>
      </c>
      <c r="BD259" s="50">
        <v>0</v>
      </c>
      <c r="BE259" s="50"/>
      <c r="BF259" s="50">
        <f t="shared" si="6"/>
        <v>0</v>
      </c>
      <c r="BG259" s="50">
        <v>0</v>
      </c>
      <c r="BH259" s="50">
        <v>0</v>
      </c>
      <c r="BI259" s="50">
        <v>0</v>
      </c>
      <c r="BJ259" s="50">
        <v>0</v>
      </c>
      <c r="BK259" s="50"/>
      <c r="BL259" s="20"/>
    </row>
    <row r="260" spans="1:64" ht="84" x14ac:dyDescent="0.2">
      <c r="A260" s="69">
        <v>256</v>
      </c>
      <c r="B260" s="48" t="str">
        <f ca="1">IFERROR(__xludf.DUMMYFUNCTION("""COMPUTED_VALUE"""),"г.о. Ленинский")</f>
        <v>г.о. Ленинский</v>
      </c>
      <c r="C260" s="46" t="str">
        <f ca="1">IFERROR(__xludf.DUMMYFUNCTION("""COMPUTED_VALUE"""),"Мероприятие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f>
        <v xml:space="preserve">Мероприятие 1 - Предоставление субсидий из бюджета Московской области бюджетам муниципальных образований Московской области  на строительство (реконструкция) канализационных коллекторов,  канализационных насосных станций </v>
      </c>
      <c r="D260" s="52" t="str">
        <f ca="1">IFERROR(__xludf.DUMMYFUNCTION("""COMPUTED_VALUE"""),"МинЖКХ")</f>
        <v>МинЖКХ</v>
      </c>
      <c r="E260" s="45" t="s">
        <v>305</v>
      </c>
      <c r="F260" s="46" t="str">
        <f ca="1">IFERROR(__xludf.DUMMYFUNCTION("""COMPUTED_VALUE"""),"Сети")</f>
        <v>Сети</v>
      </c>
      <c r="G260" s="46" t="str">
        <f ca="1">IFERROR(__xludf.DUMMYFUNCTION("""COMPUTED_VALUE"""),"2022-2023")</f>
        <v>2022-2023</v>
      </c>
      <c r="H260" s="48"/>
      <c r="I260" s="48" t="str">
        <f ca="1">IFERROR(__xludf.DUMMYFUNCTION("""COMPUTED_VALUE"""),"СМР")</f>
        <v>СМР</v>
      </c>
      <c r="J260" s="48"/>
      <c r="K260" s="48"/>
      <c r="L260" s="48"/>
      <c r="M260" s="48"/>
      <c r="N260" s="48" t="str">
        <f ca="1">IFERROR(__xludf.DUMMYFUNCTION("""COMPUTED_VALUE"""),"10 2 02 64030")</f>
        <v>10 2 02 64030</v>
      </c>
      <c r="O260" s="48">
        <f ca="1">IFERROR(__xludf.DUMMYFUNCTION("""COMPUTED_VALUE"""),522)</f>
        <v>522</v>
      </c>
      <c r="P260" s="24">
        <f t="shared" ref="P260:T260" si="267">SUM(V260,AB260,AH260,AN260,AT260,AZ260,BF260)</f>
        <v>102087.44</v>
      </c>
      <c r="Q260" s="24">
        <f t="shared" si="267"/>
        <v>0</v>
      </c>
      <c r="R260" s="24">
        <f t="shared" si="267"/>
        <v>78198</v>
      </c>
      <c r="S260" s="24">
        <f t="shared" si="267"/>
        <v>0</v>
      </c>
      <c r="T260" s="24">
        <f t="shared" si="267"/>
        <v>23889.440000000002</v>
      </c>
      <c r="U260" s="20"/>
      <c r="V260" s="24"/>
      <c r="W260" s="24"/>
      <c r="X260" s="24"/>
      <c r="Y260" s="24"/>
      <c r="Z260" s="24"/>
      <c r="AA260" s="24"/>
      <c r="AB260" s="24"/>
      <c r="AC260" s="50"/>
      <c r="AD260" s="50"/>
      <c r="AE260" s="50"/>
      <c r="AF260" s="50"/>
      <c r="AG260" s="50"/>
      <c r="AH260" s="50">
        <f t="shared" si="2"/>
        <v>0</v>
      </c>
      <c r="AI260" s="50">
        <v>0</v>
      </c>
      <c r="AJ260" s="50">
        <v>0</v>
      </c>
      <c r="AK260" s="50">
        <v>0</v>
      </c>
      <c r="AL260" s="50">
        <v>0</v>
      </c>
      <c r="AM260" s="50"/>
      <c r="AN260" s="24">
        <f t="shared" si="3"/>
        <v>0</v>
      </c>
      <c r="AO260" s="50">
        <v>0</v>
      </c>
      <c r="AP260" s="50">
        <v>0</v>
      </c>
      <c r="AQ260" s="50">
        <v>0</v>
      </c>
      <c r="AR260" s="50">
        <v>0</v>
      </c>
      <c r="AS260" s="50"/>
      <c r="AT260" s="50">
        <f t="shared" si="4"/>
        <v>61252.42</v>
      </c>
      <c r="AU260" s="50">
        <v>0</v>
      </c>
      <c r="AV260" s="50">
        <v>46919</v>
      </c>
      <c r="AW260" s="50">
        <v>0</v>
      </c>
      <c r="AX260" s="50">
        <v>14333.42</v>
      </c>
      <c r="AY260" s="50"/>
      <c r="AZ260" s="50">
        <f t="shared" si="227"/>
        <v>40835.020000000004</v>
      </c>
      <c r="BA260" s="50">
        <v>0</v>
      </c>
      <c r="BB260" s="50">
        <v>31279</v>
      </c>
      <c r="BC260" s="50">
        <v>0</v>
      </c>
      <c r="BD260" s="50">
        <v>9556.02</v>
      </c>
      <c r="BE260" s="50"/>
      <c r="BF260" s="50">
        <f t="shared" si="6"/>
        <v>0</v>
      </c>
      <c r="BG260" s="50">
        <v>0</v>
      </c>
      <c r="BH260" s="50">
        <v>0</v>
      </c>
      <c r="BI260" s="50">
        <v>0</v>
      </c>
      <c r="BJ260" s="50">
        <v>0</v>
      </c>
      <c r="BK260" s="50"/>
      <c r="BL260" s="20"/>
    </row>
    <row r="261" spans="1:64" ht="84" x14ac:dyDescent="0.2">
      <c r="A261" s="69">
        <v>257</v>
      </c>
      <c r="B261" s="48" t="str">
        <f ca="1">IFERROR(__xludf.DUMMYFUNCTION("""COMPUTED_VALUE"""),"г.о. Коломенский")</f>
        <v>г.о. Коломенский</v>
      </c>
      <c r="C26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1" s="52" t="str">
        <f ca="1">IFERROR(__xludf.DUMMYFUNCTION("""COMPUTED_VALUE"""),"МинЖКХ")</f>
        <v>МинЖКХ</v>
      </c>
      <c r="E261" s="45" t="s">
        <v>591</v>
      </c>
      <c r="F261" s="46" t="str">
        <f ca="1">IFERROR(__xludf.DUMMYFUNCTION("""COMPUTED_VALUE"""),"КНС")</f>
        <v>КНС</v>
      </c>
      <c r="G261" s="46">
        <f ca="1">IFERROR(__xludf.DUMMYFUNCTION("""COMPUTED_VALUE"""),2022)</f>
        <v>2022</v>
      </c>
      <c r="H261" s="48"/>
      <c r="I261" s="48" t="str">
        <f ca="1">IFERROR(__xludf.DUMMYFUNCTION("""COMPUTED_VALUE"""),"СМР")</f>
        <v>СМР</v>
      </c>
      <c r="J261" s="48"/>
      <c r="K261" s="48"/>
      <c r="L261" s="48"/>
      <c r="M261" s="48"/>
      <c r="N261" s="48" t="str">
        <f ca="1">IFERROR(__xludf.DUMMYFUNCTION("""COMPUTED_VALUE"""),"10 2 02 60310")</f>
        <v>10 2 02 60310</v>
      </c>
      <c r="O261" s="48">
        <f ca="1">IFERROR(__xludf.DUMMYFUNCTION("""COMPUTED_VALUE"""),521)</f>
        <v>521</v>
      </c>
      <c r="P261" s="24">
        <f t="shared" ref="P261:T261" si="268">SUM(V261,AB261,AH261,AN261,AT261,AZ261,BF261)</f>
        <v>4470.55</v>
      </c>
      <c r="Q261" s="24">
        <f t="shared" si="268"/>
        <v>0</v>
      </c>
      <c r="R261" s="24">
        <f t="shared" si="268"/>
        <v>4247.0200000000004</v>
      </c>
      <c r="S261" s="24">
        <f t="shared" si="268"/>
        <v>0</v>
      </c>
      <c r="T261" s="24">
        <f t="shared" si="268"/>
        <v>223.53</v>
      </c>
      <c r="U261" s="20"/>
      <c r="V261" s="24"/>
      <c r="W261" s="24"/>
      <c r="X261" s="24"/>
      <c r="Y261" s="24"/>
      <c r="Z261" s="24"/>
      <c r="AA261" s="24"/>
      <c r="AB261" s="24"/>
      <c r="AC261" s="50"/>
      <c r="AD261" s="50"/>
      <c r="AE261" s="50"/>
      <c r="AF261" s="50"/>
      <c r="AG261" s="50"/>
      <c r="AH261" s="50">
        <f t="shared" si="2"/>
        <v>0</v>
      </c>
      <c r="AI261" s="50">
        <v>0</v>
      </c>
      <c r="AJ261" s="50">
        <v>0</v>
      </c>
      <c r="AK261" s="50">
        <v>0</v>
      </c>
      <c r="AL261" s="50">
        <v>0</v>
      </c>
      <c r="AM261" s="50"/>
      <c r="AN261" s="24">
        <f t="shared" si="3"/>
        <v>0</v>
      </c>
      <c r="AO261" s="50">
        <v>0</v>
      </c>
      <c r="AP261" s="50">
        <v>0</v>
      </c>
      <c r="AQ261" s="50">
        <v>0</v>
      </c>
      <c r="AR261" s="50">
        <v>0</v>
      </c>
      <c r="AS261" s="50"/>
      <c r="AT261" s="50">
        <f t="shared" si="4"/>
        <v>4470.55</v>
      </c>
      <c r="AU261" s="50">
        <v>0</v>
      </c>
      <c r="AV261" s="50">
        <v>4247.0200000000004</v>
      </c>
      <c r="AW261" s="50">
        <v>0</v>
      </c>
      <c r="AX261" s="50">
        <v>223.53</v>
      </c>
      <c r="AY261" s="50"/>
      <c r="AZ261" s="50">
        <f t="shared" si="227"/>
        <v>0</v>
      </c>
      <c r="BA261" s="50">
        <v>0</v>
      </c>
      <c r="BB261" s="50">
        <v>0</v>
      </c>
      <c r="BC261" s="50">
        <v>0</v>
      </c>
      <c r="BD261" s="50">
        <v>0</v>
      </c>
      <c r="BE261" s="50"/>
      <c r="BF261" s="50">
        <f t="shared" si="6"/>
        <v>0</v>
      </c>
      <c r="BG261" s="50">
        <v>0</v>
      </c>
      <c r="BH261" s="50">
        <v>0</v>
      </c>
      <c r="BI261" s="50">
        <v>0</v>
      </c>
      <c r="BJ261" s="50">
        <v>0</v>
      </c>
      <c r="BK261" s="50"/>
      <c r="BL261" s="20"/>
    </row>
    <row r="262" spans="1:64" ht="84" x14ac:dyDescent="0.2">
      <c r="A262" s="69">
        <v>258</v>
      </c>
      <c r="B262" s="48" t="str">
        <f ca="1">IFERROR(__xludf.DUMMYFUNCTION("""COMPUTED_VALUE"""),"г.о. Коломенский")</f>
        <v>г.о. Коломенский</v>
      </c>
      <c r="C26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2" s="52" t="str">
        <f ca="1">IFERROR(__xludf.DUMMYFUNCTION("""COMPUTED_VALUE"""),"МинЖКХ")</f>
        <v>МинЖКХ</v>
      </c>
      <c r="E262" s="45" t="s">
        <v>592</v>
      </c>
      <c r="F262" s="46" t="str">
        <f ca="1">IFERROR(__xludf.DUMMYFUNCTION("""COMPUTED_VALUE"""),"КНС")</f>
        <v>КНС</v>
      </c>
      <c r="G262" s="46">
        <f ca="1">IFERROR(__xludf.DUMMYFUNCTION("""COMPUTED_VALUE"""),2022)</f>
        <v>2022</v>
      </c>
      <c r="H262" s="48"/>
      <c r="I262" s="48" t="str">
        <f ca="1">IFERROR(__xludf.DUMMYFUNCTION("""COMPUTED_VALUE"""),"СМР")</f>
        <v>СМР</v>
      </c>
      <c r="J262" s="48"/>
      <c r="K262" s="48"/>
      <c r="L262" s="48"/>
      <c r="M262" s="48"/>
      <c r="N262" s="48" t="str">
        <f ca="1">IFERROR(__xludf.DUMMYFUNCTION("""COMPUTED_VALUE"""),"10 2 02 60310")</f>
        <v>10 2 02 60310</v>
      </c>
      <c r="O262" s="48">
        <f ca="1">IFERROR(__xludf.DUMMYFUNCTION("""COMPUTED_VALUE"""),521)</f>
        <v>521</v>
      </c>
      <c r="P262" s="24">
        <f t="shared" ref="P262:T262" si="269">SUM(V262,AB262,AH262,AN262,AT262,AZ262,BF262)</f>
        <v>8501.0299999999988</v>
      </c>
      <c r="Q262" s="24">
        <f t="shared" si="269"/>
        <v>0</v>
      </c>
      <c r="R262" s="24">
        <f t="shared" si="269"/>
        <v>8075.98</v>
      </c>
      <c r="S262" s="24">
        <f t="shared" si="269"/>
        <v>0</v>
      </c>
      <c r="T262" s="24">
        <f t="shared" si="269"/>
        <v>425.05</v>
      </c>
      <c r="U262" s="20"/>
      <c r="V262" s="24"/>
      <c r="W262" s="24"/>
      <c r="X262" s="24"/>
      <c r="Y262" s="24"/>
      <c r="Z262" s="24"/>
      <c r="AA262" s="24"/>
      <c r="AB262" s="24"/>
      <c r="AC262" s="50"/>
      <c r="AD262" s="50"/>
      <c r="AE262" s="50"/>
      <c r="AF262" s="50"/>
      <c r="AG262" s="50"/>
      <c r="AH262" s="50">
        <f t="shared" si="2"/>
        <v>0</v>
      </c>
      <c r="AI262" s="50">
        <v>0</v>
      </c>
      <c r="AJ262" s="50">
        <v>0</v>
      </c>
      <c r="AK262" s="50">
        <v>0</v>
      </c>
      <c r="AL262" s="50">
        <v>0</v>
      </c>
      <c r="AM262" s="50"/>
      <c r="AN262" s="24">
        <f t="shared" si="3"/>
        <v>0</v>
      </c>
      <c r="AO262" s="50">
        <v>0</v>
      </c>
      <c r="AP262" s="50">
        <v>0</v>
      </c>
      <c r="AQ262" s="50">
        <v>0</v>
      </c>
      <c r="AR262" s="50">
        <v>0</v>
      </c>
      <c r="AS262" s="50"/>
      <c r="AT262" s="50">
        <f t="shared" si="4"/>
        <v>8501.0299999999988</v>
      </c>
      <c r="AU262" s="50">
        <v>0</v>
      </c>
      <c r="AV262" s="50">
        <v>8075.98</v>
      </c>
      <c r="AW262" s="50">
        <v>0</v>
      </c>
      <c r="AX262" s="50">
        <v>425.05</v>
      </c>
      <c r="AY262" s="50"/>
      <c r="AZ262" s="50">
        <f t="shared" si="227"/>
        <v>0</v>
      </c>
      <c r="BA262" s="50">
        <v>0</v>
      </c>
      <c r="BB262" s="50">
        <v>0</v>
      </c>
      <c r="BC262" s="50">
        <v>0</v>
      </c>
      <c r="BD262" s="50">
        <v>0</v>
      </c>
      <c r="BE262" s="50"/>
      <c r="BF262" s="50">
        <f t="shared" si="6"/>
        <v>0</v>
      </c>
      <c r="BG262" s="50">
        <v>0</v>
      </c>
      <c r="BH262" s="50">
        <v>0</v>
      </c>
      <c r="BI262" s="50">
        <v>0</v>
      </c>
      <c r="BJ262" s="50">
        <v>0</v>
      </c>
      <c r="BK262" s="50"/>
      <c r="BL262" s="20"/>
    </row>
    <row r="263" spans="1:64" ht="84" x14ac:dyDescent="0.2">
      <c r="A263" s="69">
        <v>259</v>
      </c>
      <c r="B263" s="48" t="str">
        <f ca="1">IFERROR(__xludf.DUMMYFUNCTION("""COMPUTED_VALUE"""),"г.о. Серпухов")</f>
        <v>г.о. Серпухов</v>
      </c>
      <c r="C263"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3" s="52" t="str">
        <f ca="1">IFERROR(__xludf.DUMMYFUNCTION("""COMPUTED_VALUE"""),"МинЖКХ")</f>
        <v>МинЖКХ</v>
      </c>
      <c r="E263" s="45" t="s">
        <v>306</v>
      </c>
      <c r="F263" s="46" t="str">
        <f ca="1">IFERROR(__xludf.DUMMYFUNCTION("""COMPUTED_VALUE"""),"КНК")</f>
        <v>КНК</v>
      </c>
      <c r="G263" s="46">
        <f ca="1">IFERROR(__xludf.DUMMYFUNCTION("""COMPUTED_VALUE"""),2020)</f>
        <v>2020</v>
      </c>
      <c r="H263" s="48"/>
      <c r="I263" s="48" t="str">
        <f ca="1">IFERROR(__xludf.DUMMYFUNCTION("""COMPUTED_VALUE"""),"СМР")</f>
        <v>СМР</v>
      </c>
      <c r="J263" s="48">
        <f ca="1">IFERROR(__xludf.DUMMYFUNCTION("""COMPUTED_VALUE"""),100)</f>
        <v>100</v>
      </c>
      <c r="K263" s="48">
        <f ca="1">IFERROR(__xludf.DUMMYFUNCTION("""COMPUTED_VALUE"""),4500)</f>
        <v>4500</v>
      </c>
      <c r="L263" s="48">
        <f ca="1">IFERROR(__xludf.DUMMYFUNCTION("""COMPUTED_VALUE"""),4500)</f>
        <v>4500</v>
      </c>
      <c r="M263" s="48"/>
      <c r="N263" s="48" t="str">
        <f ca="1">IFERROR(__xludf.DUMMYFUNCTION("""COMPUTED_VALUE"""),"10 2 02 60310")</f>
        <v>10 2 02 60310</v>
      </c>
      <c r="O263" s="48">
        <f ca="1">IFERROR(__xludf.DUMMYFUNCTION("""COMPUTED_VALUE"""),521)</f>
        <v>521</v>
      </c>
      <c r="P263" s="24">
        <f t="shared" ref="P263:T263" si="270">SUM(V263,AB263,AH263,AN263,AT263,AZ263,BF263)</f>
        <v>1773.49</v>
      </c>
      <c r="Q263" s="24">
        <f t="shared" si="270"/>
        <v>0</v>
      </c>
      <c r="R263" s="24">
        <f t="shared" si="270"/>
        <v>1472</v>
      </c>
      <c r="S263" s="24">
        <f t="shared" si="270"/>
        <v>0</v>
      </c>
      <c r="T263" s="24">
        <f t="shared" si="270"/>
        <v>301.49</v>
      </c>
      <c r="U263" s="20"/>
      <c r="V263" s="24"/>
      <c r="W263" s="24"/>
      <c r="X263" s="24"/>
      <c r="Y263" s="24"/>
      <c r="Z263" s="24"/>
      <c r="AA263" s="24"/>
      <c r="AB263" s="24"/>
      <c r="AC263" s="50"/>
      <c r="AD263" s="50"/>
      <c r="AE263" s="50"/>
      <c r="AF263" s="50"/>
      <c r="AG263" s="50"/>
      <c r="AH263" s="50">
        <f t="shared" si="2"/>
        <v>1773.49</v>
      </c>
      <c r="AI263" s="50">
        <v>0</v>
      </c>
      <c r="AJ263" s="50">
        <v>1472</v>
      </c>
      <c r="AK263" s="50">
        <v>0</v>
      </c>
      <c r="AL263" s="50">
        <v>301.49</v>
      </c>
      <c r="AM263" s="50"/>
      <c r="AN263" s="24">
        <f t="shared" si="3"/>
        <v>0</v>
      </c>
      <c r="AO263" s="50">
        <v>0</v>
      </c>
      <c r="AP263" s="50">
        <v>0</v>
      </c>
      <c r="AQ263" s="50">
        <v>0</v>
      </c>
      <c r="AR263" s="50">
        <v>0</v>
      </c>
      <c r="AS263" s="50"/>
      <c r="AT263" s="50">
        <f t="shared" si="4"/>
        <v>0</v>
      </c>
      <c r="AU263" s="50">
        <v>0</v>
      </c>
      <c r="AV263" s="50">
        <v>0</v>
      </c>
      <c r="AW263" s="50">
        <v>0</v>
      </c>
      <c r="AX263" s="50">
        <v>0</v>
      </c>
      <c r="AY263" s="50"/>
      <c r="AZ263" s="50">
        <f t="shared" si="227"/>
        <v>0</v>
      </c>
      <c r="BA263" s="50">
        <v>0</v>
      </c>
      <c r="BB263" s="50">
        <v>0</v>
      </c>
      <c r="BC263" s="50">
        <v>0</v>
      </c>
      <c r="BD263" s="50">
        <v>0</v>
      </c>
      <c r="BE263" s="50"/>
      <c r="BF263" s="50">
        <f t="shared" si="6"/>
        <v>0</v>
      </c>
      <c r="BG263" s="50">
        <v>0</v>
      </c>
      <c r="BH263" s="50">
        <v>0</v>
      </c>
      <c r="BI263" s="50">
        <v>0</v>
      </c>
      <c r="BJ263" s="50">
        <v>0</v>
      </c>
      <c r="BK263" s="50"/>
      <c r="BL263" s="20"/>
    </row>
    <row r="264" spans="1:64" ht="84" x14ac:dyDescent="0.2">
      <c r="A264" s="69">
        <v>260</v>
      </c>
      <c r="B264" s="48" t="str">
        <f ca="1">IFERROR(__xludf.DUMMYFUNCTION("""COMPUTED_VALUE"""),"г.о. Щелково")</f>
        <v>г.о. Щелково</v>
      </c>
      <c r="C264"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4" s="52" t="str">
        <f ca="1">IFERROR(__xludf.DUMMYFUNCTION("""COMPUTED_VALUE"""),"МинЖКХ")</f>
        <v>МинЖКХ</v>
      </c>
      <c r="E264" s="45" t="s">
        <v>307</v>
      </c>
      <c r="F264" s="46" t="str">
        <f ca="1">IFERROR(__xludf.DUMMYFUNCTION("""COMPUTED_VALUE"""),"КНК")</f>
        <v>КНК</v>
      </c>
      <c r="G264" s="46" t="str">
        <f ca="1">IFERROR(__xludf.DUMMYFUNCTION("""COMPUTED_VALUE"""),"2020-2021")</f>
        <v>2020-2021</v>
      </c>
      <c r="H264" s="48"/>
      <c r="I264" s="48" t="str">
        <f ca="1">IFERROR(__xludf.DUMMYFUNCTION("""COMPUTED_VALUE"""),"СМР")</f>
        <v>СМР</v>
      </c>
      <c r="J264" s="48">
        <f ca="1">IFERROR(__xludf.DUMMYFUNCTION("""COMPUTED_VALUE"""),88)</f>
        <v>88</v>
      </c>
      <c r="K264" s="48">
        <f ca="1">IFERROR(__xludf.DUMMYFUNCTION("""COMPUTED_VALUE"""),527000)</f>
        <v>527000</v>
      </c>
      <c r="L264" s="48">
        <f ca="1">IFERROR(__xludf.DUMMYFUNCTION("""COMPUTED_VALUE"""),527000)</f>
        <v>527000</v>
      </c>
      <c r="M264" s="48"/>
      <c r="N264" s="48" t="str">
        <f ca="1">IFERROR(__xludf.DUMMYFUNCTION("""COMPUTED_VALUE"""),"10 2 02 60310")</f>
        <v>10 2 02 60310</v>
      </c>
      <c r="O264" s="48">
        <f ca="1">IFERROR(__xludf.DUMMYFUNCTION("""COMPUTED_VALUE"""),521)</f>
        <v>521</v>
      </c>
      <c r="P264" s="24">
        <f t="shared" ref="P264:T264" si="271">SUM(V264,AB264,AH264,AN264,AT264,AZ264,BF264)</f>
        <v>181070.91999999998</v>
      </c>
      <c r="Q264" s="24">
        <f t="shared" si="271"/>
        <v>0</v>
      </c>
      <c r="R264" s="24">
        <f t="shared" si="271"/>
        <v>90219</v>
      </c>
      <c r="S264" s="24">
        <f t="shared" si="271"/>
        <v>81249</v>
      </c>
      <c r="T264" s="24">
        <f t="shared" si="271"/>
        <v>9602.92</v>
      </c>
      <c r="U264" s="20"/>
      <c r="V264" s="24"/>
      <c r="W264" s="24"/>
      <c r="X264" s="24"/>
      <c r="Y264" s="24"/>
      <c r="Z264" s="24"/>
      <c r="AA264" s="24"/>
      <c r="AB264" s="24"/>
      <c r="AC264" s="50"/>
      <c r="AD264" s="50"/>
      <c r="AE264" s="50"/>
      <c r="AF264" s="50"/>
      <c r="AG264" s="50"/>
      <c r="AH264" s="50">
        <f t="shared" si="2"/>
        <v>175229.8</v>
      </c>
      <c r="AI264" s="50">
        <v>0</v>
      </c>
      <c r="AJ264" s="50">
        <v>85219</v>
      </c>
      <c r="AK264" s="50">
        <v>81249</v>
      </c>
      <c r="AL264" s="50">
        <v>8761.7999999999993</v>
      </c>
      <c r="AM264" s="50"/>
      <c r="AN264" s="24">
        <f t="shared" si="3"/>
        <v>5841.12</v>
      </c>
      <c r="AO264" s="50">
        <v>0</v>
      </c>
      <c r="AP264" s="50">
        <v>5000</v>
      </c>
      <c r="AQ264" s="50">
        <v>0</v>
      </c>
      <c r="AR264" s="50">
        <v>841.12</v>
      </c>
      <c r="AS264" s="50"/>
      <c r="AT264" s="50">
        <f t="shared" si="4"/>
        <v>0</v>
      </c>
      <c r="AU264" s="50">
        <v>0</v>
      </c>
      <c r="AV264" s="50">
        <v>0</v>
      </c>
      <c r="AW264" s="50">
        <v>0</v>
      </c>
      <c r="AX264" s="50">
        <v>0</v>
      </c>
      <c r="AY264" s="50"/>
      <c r="AZ264" s="50">
        <f t="shared" si="227"/>
        <v>0</v>
      </c>
      <c r="BA264" s="50">
        <v>0</v>
      </c>
      <c r="BB264" s="50">
        <v>0</v>
      </c>
      <c r="BC264" s="50">
        <v>0</v>
      </c>
      <c r="BD264" s="50">
        <v>0</v>
      </c>
      <c r="BE264" s="50"/>
      <c r="BF264" s="50">
        <f t="shared" si="6"/>
        <v>0</v>
      </c>
      <c r="BG264" s="50">
        <v>0</v>
      </c>
      <c r="BH264" s="50">
        <v>0</v>
      </c>
      <c r="BI264" s="50">
        <v>0</v>
      </c>
      <c r="BJ264" s="50">
        <v>0</v>
      </c>
      <c r="BK264" s="50"/>
      <c r="BL264" s="20"/>
    </row>
    <row r="265" spans="1:64" ht="84" x14ac:dyDescent="0.2">
      <c r="A265" s="69">
        <v>261</v>
      </c>
      <c r="B265" s="48" t="str">
        <f ca="1">IFERROR(__xludf.DUMMYFUNCTION("""COMPUTED_VALUE"""),"г.о. Балашиха")</f>
        <v>г.о. Балашиха</v>
      </c>
      <c r="C265"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5" s="52" t="str">
        <f ca="1">IFERROR(__xludf.DUMMYFUNCTION("""COMPUTED_VALUE"""),"МинЖКХ")</f>
        <v>МинЖКХ</v>
      </c>
      <c r="E265" s="45" t="s">
        <v>308</v>
      </c>
      <c r="F265" s="46" t="str">
        <f ca="1">IFERROR(__xludf.DUMMYFUNCTION("""COMPUTED_VALUE"""),"КНС")</f>
        <v>КНС</v>
      </c>
      <c r="G265" s="46">
        <f ca="1">IFERROR(__xludf.DUMMYFUNCTION("""COMPUTED_VALUE"""),2020)</f>
        <v>2020</v>
      </c>
      <c r="H265" s="48" t="str">
        <f ca="1">IFERROR(__xludf.DUMMYFUNCTION("""COMPUTED_VALUE"""),"не освоение 15 млн. руб в 2020. поставка двигателей ожидается в марте 2021 года.")</f>
        <v>не освоение 15 млн. руб в 2020. поставка двигателей ожидается в марте 2021 года.</v>
      </c>
      <c r="I265" s="48" t="str">
        <f ca="1">IFERROR(__xludf.DUMMYFUNCTION("""COMPUTED_VALUE"""),"СМР")</f>
        <v>СМР</v>
      </c>
      <c r="J265" s="48">
        <f ca="1">IFERROR(__xludf.DUMMYFUNCTION("""COMPUTED_VALUE"""),42)</f>
        <v>42</v>
      </c>
      <c r="K265" s="48">
        <f ca="1">IFERROR(__xludf.DUMMYFUNCTION("""COMPUTED_VALUE"""),15000)</f>
        <v>15000</v>
      </c>
      <c r="L265" s="48">
        <f ca="1">IFERROR(__xludf.DUMMYFUNCTION("""COMPUTED_VALUE"""),15000)</f>
        <v>15000</v>
      </c>
      <c r="M265" s="48"/>
      <c r="N265" s="48" t="str">
        <f ca="1">IFERROR(__xludf.DUMMYFUNCTION("""COMPUTED_VALUE"""),"10 2 02 60310")</f>
        <v>10 2 02 60310</v>
      </c>
      <c r="O265" s="48">
        <f ca="1">IFERROR(__xludf.DUMMYFUNCTION("""COMPUTED_VALUE"""),521)</f>
        <v>521</v>
      </c>
      <c r="P265" s="24">
        <f t="shared" ref="P265:T265" si="272">SUM(V265,AB265,AH265,AN265,AT265,AZ265,BF265)</f>
        <v>106486.33</v>
      </c>
      <c r="Q265" s="24">
        <f t="shared" si="272"/>
        <v>0</v>
      </c>
      <c r="R265" s="24">
        <f t="shared" si="272"/>
        <v>76025</v>
      </c>
      <c r="S265" s="24">
        <f t="shared" si="272"/>
        <v>0</v>
      </c>
      <c r="T265" s="24">
        <f t="shared" si="272"/>
        <v>30461.33</v>
      </c>
      <c r="U265" s="20"/>
      <c r="V265" s="24"/>
      <c r="W265" s="24"/>
      <c r="X265" s="24"/>
      <c r="Y265" s="24"/>
      <c r="Z265" s="24"/>
      <c r="AA265" s="24"/>
      <c r="AB265" s="24"/>
      <c r="AC265" s="50"/>
      <c r="AD265" s="50"/>
      <c r="AE265" s="50"/>
      <c r="AF265" s="50"/>
      <c r="AG265" s="50"/>
      <c r="AH265" s="50">
        <f t="shared" si="2"/>
        <v>106486.33</v>
      </c>
      <c r="AI265" s="50">
        <v>0</v>
      </c>
      <c r="AJ265" s="50">
        <v>76025</v>
      </c>
      <c r="AK265" s="50">
        <v>0</v>
      </c>
      <c r="AL265" s="50">
        <v>30461.33</v>
      </c>
      <c r="AM265" s="50"/>
      <c r="AN265" s="24">
        <f t="shared" si="3"/>
        <v>0</v>
      </c>
      <c r="AO265" s="50">
        <v>0</v>
      </c>
      <c r="AP265" s="50">
        <v>0</v>
      </c>
      <c r="AQ265" s="50">
        <v>0</v>
      </c>
      <c r="AR265" s="50">
        <v>0</v>
      </c>
      <c r="AS265" s="50"/>
      <c r="AT265" s="50">
        <f t="shared" si="4"/>
        <v>0</v>
      </c>
      <c r="AU265" s="50">
        <v>0</v>
      </c>
      <c r="AV265" s="50">
        <v>0</v>
      </c>
      <c r="AW265" s="50">
        <v>0</v>
      </c>
      <c r="AX265" s="50">
        <v>0</v>
      </c>
      <c r="AY265" s="50"/>
      <c r="AZ265" s="50">
        <f t="shared" si="227"/>
        <v>0</v>
      </c>
      <c r="BA265" s="50">
        <v>0</v>
      </c>
      <c r="BB265" s="50">
        <v>0</v>
      </c>
      <c r="BC265" s="50">
        <v>0</v>
      </c>
      <c r="BD265" s="50">
        <v>0</v>
      </c>
      <c r="BE265" s="50"/>
      <c r="BF265" s="50">
        <f t="shared" si="6"/>
        <v>0</v>
      </c>
      <c r="BG265" s="50">
        <v>0</v>
      </c>
      <c r="BH265" s="50">
        <v>0</v>
      </c>
      <c r="BI265" s="50">
        <v>0</v>
      </c>
      <c r="BJ265" s="50">
        <v>0</v>
      </c>
      <c r="BK265" s="50"/>
      <c r="BL265" s="20"/>
    </row>
    <row r="266" spans="1:64" ht="84" x14ac:dyDescent="0.2">
      <c r="A266" s="69">
        <v>262</v>
      </c>
      <c r="B266" s="48" t="str">
        <f ca="1">IFERROR(__xludf.DUMMYFUNCTION("""COMPUTED_VALUE"""),"г.о. Щелково")</f>
        <v>г.о. Щелково</v>
      </c>
      <c r="C266"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6" s="52" t="str">
        <f ca="1">IFERROR(__xludf.DUMMYFUNCTION("""COMPUTED_VALUE"""),"МинЖКХ")</f>
        <v>МинЖКХ</v>
      </c>
      <c r="E266" s="45" t="s">
        <v>309</v>
      </c>
      <c r="F266" s="46" t="str">
        <f ca="1">IFERROR(__xludf.DUMMYFUNCTION("""COMPUTED_VALUE"""),"КНК")</f>
        <v>КНК</v>
      </c>
      <c r="G266" s="46">
        <f ca="1">IFERROR(__xludf.DUMMYFUNCTION("""COMPUTED_VALUE"""),2020)</f>
        <v>2020</v>
      </c>
      <c r="H266" s="48"/>
      <c r="I266" s="48" t="str">
        <f ca="1">IFERROR(__xludf.DUMMYFUNCTION("""COMPUTED_VALUE"""),"СМР")</f>
        <v>СМР</v>
      </c>
      <c r="J266" s="48"/>
      <c r="K266" s="48">
        <f ca="1">IFERROR(__xludf.DUMMYFUNCTION("""COMPUTED_VALUE"""),450000)</f>
        <v>450000</v>
      </c>
      <c r="L266" s="48">
        <f ca="1">IFERROR(__xludf.DUMMYFUNCTION("""COMPUTED_VALUE"""),450000)</f>
        <v>450000</v>
      </c>
      <c r="M266" s="48"/>
      <c r="N266" s="48" t="str">
        <f ca="1">IFERROR(__xludf.DUMMYFUNCTION("""COMPUTED_VALUE"""),"10 2 02 60310")</f>
        <v>10 2 02 60310</v>
      </c>
      <c r="O266" s="48">
        <f ca="1">IFERROR(__xludf.DUMMYFUNCTION("""COMPUTED_VALUE"""),521)</f>
        <v>521</v>
      </c>
      <c r="P266" s="24">
        <f t="shared" ref="P266:T266" si="273">SUM(V266,AB266,AH266,AN266,AT266,AZ266,BF266)</f>
        <v>89349.6</v>
      </c>
      <c r="Q266" s="24">
        <f t="shared" si="273"/>
        <v>0</v>
      </c>
      <c r="R266" s="24">
        <f t="shared" si="273"/>
        <v>80414</v>
      </c>
      <c r="S266" s="24">
        <f t="shared" si="273"/>
        <v>0</v>
      </c>
      <c r="T266" s="24">
        <f t="shared" si="273"/>
        <v>8935.6</v>
      </c>
      <c r="U266" s="20"/>
      <c r="V266" s="24"/>
      <c r="W266" s="24"/>
      <c r="X266" s="24"/>
      <c r="Y266" s="24"/>
      <c r="Z266" s="24"/>
      <c r="AA266" s="24"/>
      <c r="AB266" s="24"/>
      <c r="AC266" s="50"/>
      <c r="AD266" s="50"/>
      <c r="AE266" s="50"/>
      <c r="AF266" s="50"/>
      <c r="AG266" s="50"/>
      <c r="AH266" s="50">
        <f t="shared" si="2"/>
        <v>89349.6</v>
      </c>
      <c r="AI266" s="50">
        <v>0</v>
      </c>
      <c r="AJ266" s="50">
        <v>80414</v>
      </c>
      <c r="AK266" s="50">
        <v>0</v>
      </c>
      <c r="AL266" s="50">
        <v>8935.6</v>
      </c>
      <c r="AM266" s="50"/>
      <c r="AN266" s="24">
        <f t="shared" si="3"/>
        <v>0</v>
      </c>
      <c r="AO266" s="50">
        <v>0</v>
      </c>
      <c r="AP266" s="50">
        <v>0</v>
      </c>
      <c r="AQ266" s="50">
        <v>0</v>
      </c>
      <c r="AR266" s="50">
        <v>0</v>
      </c>
      <c r="AS266" s="50"/>
      <c r="AT266" s="50">
        <f t="shared" si="4"/>
        <v>0</v>
      </c>
      <c r="AU266" s="50">
        <v>0</v>
      </c>
      <c r="AV266" s="50">
        <v>0</v>
      </c>
      <c r="AW266" s="50">
        <v>0</v>
      </c>
      <c r="AX266" s="50">
        <v>0</v>
      </c>
      <c r="AY266" s="50"/>
      <c r="AZ266" s="50">
        <f t="shared" si="227"/>
        <v>0</v>
      </c>
      <c r="BA266" s="50">
        <v>0</v>
      </c>
      <c r="BB266" s="50">
        <v>0</v>
      </c>
      <c r="BC266" s="50">
        <v>0</v>
      </c>
      <c r="BD266" s="50">
        <v>0</v>
      </c>
      <c r="BE266" s="50"/>
      <c r="BF266" s="50">
        <f t="shared" si="6"/>
        <v>0</v>
      </c>
      <c r="BG266" s="50">
        <v>0</v>
      </c>
      <c r="BH266" s="50">
        <v>0</v>
      </c>
      <c r="BI266" s="50">
        <v>0</v>
      </c>
      <c r="BJ266" s="50">
        <v>0</v>
      </c>
      <c r="BK266" s="50"/>
      <c r="BL266" s="20"/>
    </row>
    <row r="267" spans="1:64" ht="84" x14ac:dyDescent="0.2">
      <c r="A267" s="69">
        <v>263</v>
      </c>
      <c r="B267" s="48" t="str">
        <f ca="1">IFERROR(__xludf.DUMMYFUNCTION("""COMPUTED_VALUE"""),"г.о. Ликино-Дулево")</f>
        <v>г.о. Ликино-Дулево</v>
      </c>
      <c r="C267"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7" s="52" t="str">
        <f ca="1">IFERROR(__xludf.DUMMYFUNCTION("""COMPUTED_VALUE"""),"МинЖКХ")</f>
        <v>МинЖКХ</v>
      </c>
      <c r="E267" s="45" t="s">
        <v>310</v>
      </c>
      <c r="F267" s="46" t="str">
        <f ca="1">IFERROR(__xludf.DUMMYFUNCTION("""COMPUTED_VALUE"""),"КНК")</f>
        <v>КНК</v>
      </c>
      <c r="G267" s="46" t="str">
        <f ca="1">IFERROR(__xludf.DUMMYFUNCTION("""COMPUTED_VALUE"""),"2021-2022")</f>
        <v>2021-2022</v>
      </c>
      <c r="H267" s="48"/>
      <c r="I267" s="48" t="str">
        <f ca="1">IFERROR(__xludf.DUMMYFUNCTION("""COMPUTED_VALUE"""),"СМР")</f>
        <v>СМР</v>
      </c>
      <c r="J267" s="48"/>
      <c r="K267" s="48"/>
      <c r="L267" s="48"/>
      <c r="M267" s="48"/>
      <c r="N267" s="48" t="str">
        <f ca="1">IFERROR(__xludf.DUMMYFUNCTION("""COMPUTED_VALUE"""),"10 2 02 60310")</f>
        <v>10 2 02 60310</v>
      </c>
      <c r="O267" s="48">
        <f ca="1">IFERROR(__xludf.DUMMYFUNCTION("""COMPUTED_VALUE"""),521)</f>
        <v>521</v>
      </c>
      <c r="P267" s="24">
        <f t="shared" ref="P267:T267" si="274">SUM(V267,AB267,AH267,AN267,AT267,AZ267,BF267)</f>
        <v>193848.42</v>
      </c>
      <c r="Q267" s="24">
        <f t="shared" si="274"/>
        <v>0</v>
      </c>
      <c r="R267" s="24">
        <f t="shared" si="274"/>
        <v>184156</v>
      </c>
      <c r="S267" s="24">
        <f t="shared" si="274"/>
        <v>0</v>
      </c>
      <c r="T267" s="24">
        <f t="shared" si="274"/>
        <v>9692.42</v>
      </c>
      <c r="U267" s="20"/>
      <c r="V267" s="24"/>
      <c r="W267" s="24"/>
      <c r="X267" s="24"/>
      <c r="Y267" s="24"/>
      <c r="Z267" s="24"/>
      <c r="AA267" s="24"/>
      <c r="AB267" s="24"/>
      <c r="AC267" s="50"/>
      <c r="AD267" s="50"/>
      <c r="AE267" s="50"/>
      <c r="AF267" s="50"/>
      <c r="AG267" s="50"/>
      <c r="AH267" s="50">
        <f t="shared" si="2"/>
        <v>0</v>
      </c>
      <c r="AI267" s="50">
        <v>0</v>
      </c>
      <c r="AJ267" s="50">
        <v>0</v>
      </c>
      <c r="AK267" s="50">
        <v>0</v>
      </c>
      <c r="AL267" s="50">
        <v>0</v>
      </c>
      <c r="AM267" s="50"/>
      <c r="AN267" s="24">
        <f t="shared" si="3"/>
        <v>104424.21</v>
      </c>
      <c r="AO267" s="50">
        <v>0</v>
      </c>
      <c r="AP267" s="50">
        <v>99203</v>
      </c>
      <c r="AQ267" s="50">
        <v>0</v>
      </c>
      <c r="AR267" s="50">
        <v>5221.21</v>
      </c>
      <c r="AS267" s="50"/>
      <c r="AT267" s="50">
        <f t="shared" si="4"/>
        <v>89424.21</v>
      </c>
      <c r="AU267" s="50">
        <v>0</v>
      </c>
      <c r="AV267" s="50">
        <v>84953</v>
      </c>
      <c r="AW267" s="50">
        <v>0</v>
      </c>
      <c r="AX267" s="50">
        <v>4471.21</v>
      </c>
      <c r="AY267" s="50"/>
      <c r="AZ267" s="50">
        <f t="shared" si="227"/>
        <v>0</v>
      </c>
      <c r="BA267" s="50">
        <v>0</v>
      </c>
      <c r="BB267" s="50">
        <v>0</v>
      </c>
      <c r="BC267" s="50">
        <v>0</v>
      </c>
      <c r="BD267" s="50">
        <v>0</v>
      </c>
      <c r="BE267" s="50"/>
      <c r="BF267" s="50">
        <f t="shared" si="6"/>
        <v>0</v>
      </c>
      <c r="BG267" s="50">
        <v>0</v>
      </c>
      <c r="BH267" s="50">
        <v>0</v>
      </c>
      <c r="BI267" s="50">
        <v>0</v>
      </c>
      <c r="BJ267" s="50">
        <v>0</v>
      </c>
      <c r="BK267" s="50"/>
      <c r="BL267" s="20"/>
    </row>
    <row r="268" spans="1:64" ht="96" x14ac:dyDescent="0.2">
      <c r="A268" s="69">
        <v>264</v>
      </c>
      <c r="B268" s="48" t="str">
        <f ca="1">IFERROR(__xludf.DUMMYFUNCTION("""COMPUTED_VALUE"""),"г.о. Балашиха")</f>
        <v>г.о. Балашиха</v>
      </c>
      <c r="C268"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8" s="52" t="str">
        <f ca="1">IFERROR(__xludf.DUMMYFUNCTION("""COMPUTED_VALUE"""),"МинЖКХ")</f>
        <v>МинЖКХ</v>
      </c>
      <c r="E268" s="45" t="s">
        <v>311</v>
      </c>
      <c r="F268" s="46" t="str">
        <f ca="1">IFERROR(__xludf.DUMMYFUNCTION("""COMPUTED_VALUE"""),"КНК")</f>
        <v>КНК</v>
      </c>
      <c r="G268" s="46">
        <f ca="1">IFERROR(__xludf.DUMMYFUNCTION("""COMPUTED_VALUE"""),2020)</f>
        <v>2020</v>
      </c>
      <c r="H268" s="48" t="str">
        <f ca="1">IFERROR(__xludf.DUMMYFUNCTION("""COMPUTED_VALUE"""),"Ведутся СМР, рисков неосвоения нет")</f>
        <v>Ведутся СМР, рисков неосвоения нет</v>
      </c>
      <c r="I268" s="48" t="str">
        <f ca="1">IFERROR(__xludf.DUMMYFUNCTION("""COMPUTED_VALUE"""),"СМР")</f>
        <v>СМР</v>
      </c>
      <c r="J268" s="48">
        <f ca="1">IFERROR(__xludf.DUMMYFUNCTION("""COMPUTED_VALUE"""),86)</f>
        <v>86</v>
      </c>
      <c r="K268" s="48">
        <f ca="1">IFERROR(__xludf.DUMMYFUNCTION("""COMPUTED_VALUE"""),20000)</f>
        <v>20000</v>
      </c>
      <c r="L268" s="48">
        <f ca="1">IFERROR(__xludf.DUMMYFUNCTION("""COMPUTED_VALUE"""),20000)</f>
        <v>20000</v>
      </c>
      <c r="M268" s="48"/>
      <c r="N268" s="48" t="str">
        <f ca="1">IFERROR(__xludf.DUMMYFUNCTION("""COMPUTED_VALUE"""),"10 2 02 60310")</f>
        <v>10 2 02 60310</v>
      </c>
      <c r="O268" s="48">
        <f ca="1">IFERROR(__xludf.DUMMYFUNCTION("""COMPUTED_VALUE"""),521)</f>
        <v>521</v>
      </c>
      <c r="P268" s="24">
        <f t="shared" ref="P268:T268" si="275">SUM(V268,AB268,AH268,AN268,AT268,AZ268,BF268)</f>
        <v>48409.47</v>
      </c>
      <c r="Q268" s="24">
        <f t="shared" si="275"/>
        <v>0</v>
      </c>
      <c r="R268" s="24">
        <f t="shared" si="275"/>
        <v>34613</v>
      </c>
      <c r="S268" s="24">
        <f t="shared" si="275"/>
        <v>0</v>
      </c>
      <c r="T268" s="24">
        <f t="shared" si="275"/>
        <v>13796.47</v>
      </c>
      <c r="U268" s="20"/>
      <c r="V268" s="24"/>
      <c r="W268" s="24"/>
      <c r="X268" s="24"/>
      <c r="Y268" s="24"/>
      <c r="Z268" s="24"/>
      <c r="AA268" s="24"/>
      <c r="AB268" s="24"/>
      <c r="AC268" s="50"/>
      <c r="AD268" s="50"/>
      <c r="AE268" s="50"/>
      <c r="AF268" s="50"/>
      <c r="AG268" s="50"/>
      <c r="AH268" s="50">
        <f t="shared" si="2"/>
        <v>48409.47</v>
      </c>
      <c r="AI268" s="50">
        <v>0</v>
      </c>
      <c r="AJ268" s="50">
        <v>34613</v>
      </c>
      <c r="AK268" s="50">
        <v>0</v>
      </c>
      <c r="AL268" s="50">
        <v>13796.47</v>
      </c>
      <c r="AM268" s="50"/>
      <c r="AN268" s="24">
        <f t="shared" si="3"/>
        <v>0</v>
      </c>
      <c r="AO268" s="50">
        <v>0</v>
      </c>
      <c r="AP268" s="50">
        <v>0</v>
      </c>
      <c r="AQ268" s="50">
        <v>0</v>
      </c>
      <c r="AR268" s="50">
        <v>0</v>
      </c>
      <c r="AS268" s="50"/>
      <c r="AT268" s="50">
        <f t="shared" si="4"/>
        <v>0</v>
      </c>
      <c r="AU268" s="50">
        <v>0</v>
      </c>
      <c r="AV268" s="50">
        <v>0</v>
      </c>
      <c r="AW268" s="50">
        <v>0</v>
      </c>
      <c r="AX268" s="50">
        <v>0</v>
      </c>
      <c r="AY268" s="50"/>
      <c r="AZ268" s="50">
        <f t="shared" si="227"/>
        <v>0</v>
      </c>
      <c r="BA268" s="50">
        <v>0</v>
      </c>
      <c r="BB268" s="50">
        <v>0</v>
      </c>
      <c r="BC268" s="50">
        <v>0</v>
      </c>
      <c r="BD268" s="50">
        <v>0</v>
      </c>
      <c r="BE268" s="50"/>
      <c r="BF268" s="50">
        <f t="shared" si="6"/>
        <v>0</v>
      </c>
      <c r="BG268" s="50">
        <v>0</v>
      </c>
      <c r="BH268" s="50">
        <v>0</v>
      </c>
      <c r="BI268" s="50">
        <v>0</v>
      </c>
      <c r="BJ268" s="50">
        <v>0</v>
      </c>
      <c r="BK268" s="50"/>
      <c r="BL268" s="20"/>
    </row>
    <row r="269" spans="1:64" ht="84" x14ac:dyDescent="0.2">
      <c r="A269" s="69">
        <v>265</v>
      </c>
      <c r="B269" s="48" t="str">
        <f ca="1">IFERROR(__xludf.DUMMYFUNCTION("""COMPUTED_VALUE"""),"г.о. Раменский")</f>
        <v>г.о. Раменский</v>
      </c>
      <c r="C269"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69" s="52" t="str">
        <f ca="1">IFERROR(__xludf.DUMMYFUNCTION("""COMPUTED_VALUE"""),"МинЖКХ")</f>
        <v>МинЖКХ</v>
      </c>
      <c r="E269" s="45" t="s">
        <v>312</v>
      </c>
      <c r="F269" s="46" t="str">
        <f ca="1">IFERROR(__xludf.DUMMYFUNCTION("""COMPUTED_VALUE"""),"КНС")</f>
        <v>КНС</v>
      </c>
      <c r="G269" s="46">
        <f ca="1">IFERROR(__xludf.DUMMYFUNCTION("""COMPUTED_VALUE"""),2020)</f>
        <v>2020</v>
      </c>
      <c r="H269" s="48" t="str">
        <f ca="1">IFERROR(__xludf.DUMMYFUNCTION("""COMPUTED_VALUE"""),"кредиторка")</f>
        <v>кредиторка</v>
      </c>
      <c r="I269" s="48" t="str">
        <f ca="1">IFERROR(__xludf.DUMMYFUNCTION("""COMPUTED_VALUE"""),"СМР")</f>
        <v>СМР</v>
      </c>
      <c r="J269" s="48">
        <f ca="1">IFERROR(__xludf.DUMMYFUNCTION("""COMPUTED_VALUE"""),100)</f>
        <v>100</v>
      </c>
      <c r="K269" s="48"/>
      <c r="L269" s="48"/>
      <c r="M269" s="48"/>
      <c r="N269" s="48" t="str">
        <f ca="1">IFERROR(__xludf.DUMMYFUNCTION("""COMPUTED_VALUE"""),"10 2 02 60310")</f>
        <v>10 2 02 60310</v>
      </c>
      <c r="O269" s="48">
        <f ca="1">IFERROR(__xludf.DUMMYFUNCTION("""COMPUTED_VALUE"""),521)</f>
        <v>521</v>
      </c>
      <c r="P269" s="24">
        <f t="shared" ref="P269:T269" si="276">SUM(V269,AB269,AH269,AN269,AT269,AZ269,BF269)</f>
        <v>3962</v>
      </c>
      <c r="Q269" s="24">
        <f t="shared" si="276"/>
        <v>0</v>
      </c>
      <c r="R269" s="24">
        <f t="shared" si="276"/>
        <v>3962</v>
      </c>
      <c r="S269" s="24">
        <f t="shared" si="276"/>
        <v>0</v>
      </c>
      <c r="T269" s="24">
        <f t="shared" si="276"/>
        <v>0</v>
      </c>
      <c r="U269" s="20"/>
      <c r="V269" s="24"/>
      <c r="W269" s="24"/>
      <c r="X269" s="24"/>
      <c r="Y269" s="24"/>
      <c r="Z269" s="24"/>
      <c r="AA269" s="24"/>
      <c r="AB269" s="24"/>
      <c r="AC269" s="50"/>
      <c r="AD269" s="50"/>
      <c r="AE269" s="50"/>
      <c r="AF269" s="50"/>
      <c r="AG269" s="50"/>
      <c r="AH269" s="50">
        <f t="shared" si="2"/>
        <v>3962</v>
      </c>
      <c r="AI269" s="50">
        <v>0</v>
      </c>
      <c r="AJ269" s="50">
        <v>3962</v>
      </c>
      <c r="AK269" s="50">
        <v>0</v>
      </c>
      <c r="AL269" s="50">
        <v>0</v>
      </c>
      <c r="AM269" s="50"/>
      <c r="AN269" s="24">
        <f t="shared" si="3"/>
        <v>0</v>
      </c>
      <c r="AO269" s="50">
        <v>0</v>
      </c>
      <c r="AP269" s="50">
        <v>0</v>
      </c>
      <c r="AQ269" s="50">
        <v>0</v>
      </c>
      <c r="AR269" s="50">
        <v>0</v>
      </c>
      <c r="AS269" s="50"/>
      <c r="AT269" s="50">
        <f t="shared" si="4"/>
        <v>0</v>
      </c>
      <c r="AU269" s="50">
        <v>0</v>
      </c>
      <c r="AV269" s="50">
        <v>0</v>
      </c>
      <c r="AW269" s="50">
        <v>0</v>
      </c>
      <c r="AX269" s="50">
        <v>0</v>
      </c>
      <c r="AY269" s="50"/>
      <c r="AZ269" s="50">
        <f t="shared" si="227"/>
        <v>0</v>
      </c>
      <c r="BA269" s="50">
        <v>0</v>
      </c>
      <c r="BB269" s="50">
        <v>0</v>
      </c>
      <c r="BC269" s="50">
        <v>0</v>
      </c>
      <c r="BD269" s="50">
        <v>0</v>
      </c>
      <c r="BE269" s="50"/>
      <c r="BF269" s="50">
        <f t="shared" si="6"/>
        <v>0</v>
      </c>
      <c r="BG269" s="50">
        <v>0</v>
      </c>
      <c r="BH269" s="50">
        <v>0</v>
      </c>
      <c r="BI269" s="50">
        <v>0</v>
      </c>
      <c r="BJ269" s="50">
        <v>0</v>
      </c>
      <c r="BK269" s="50"/>
      <c r="BL269" s="20"/>
    </row>
    <row r="270" spans="1:64" ht="84" x14ac:dyDescent="0.2">
      <c r="A270" s="69">
        <v>266</v>
      </c>
      <c r="B270" s="48" t="str">
        <f ca="1">IFERROR(__xludf.DUMMYFUNCTION("""COMPUTED_VALUE"""),"г.о. Орехово-Зуево")</f>
        <v>г.о. Орехово-Зуево</v>
      </c>
      <c r="C270"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0" s="52" t="str">
        <f ca="1">IFERROR(__xludf.DUMMYFUNCTION("""COMPUTED_VALUE"""),"МинЖКХ")</f>
        <v>МинЖКХ</v>
      </c>
      <c r="E270" s="45" t="s">
        <v>313</v>
      </c>
      <c r="F270" s="46" t="str">
        <f ca="1">IFERROR(__xludf.DUMMYFUNCTION("""COMPUTED_VALUE"""),"КНК")</f>
        <v>КНК</v>
      </c>
      <c r="G270" s="46" t="str">
        <f ca="1">IFERROR(__xludf.DUMMYFUNCTION("""COMPUTED_VALUE"""),"2020-2021")</f>
        <v>2020-2021</v>
      </c>
      <c r="H270" s="48" t="str">
        <f ca="1">IFERROR(__xludf.DUMMYFUNCTION("""COMPUTED_VALUE"""),"идут ведутся в соответсвии с графиком")</f>
        <v>идут ведутся в соответсвии с графиком</v>
      </c>
      <c r="I270" s="48" t="str">
        <f ca="1">IFERROR(__xludf.DUMMYFUNCTION("""COMPUTED_VALUE"""),"СМР")</f>
        <v>СМР</v>
      </c>
      <c r="J270" s="48">
        <f ca="1">IFERROR(__xludf.DUMMYFUNCTION("""COMPUTED_VALUE"""),30)</f>
        <v>30</v>
      </c>
      <c r="K270" s="48">
        <f ca="1">IFERROR(__xludf.DUMMYFUNCTION("""COMPUTED_VALUE"""),231801)</f>
        <v>231801</v>
      </c>
      <c r="L270" s="48">
        <f ca="1">IFERROR(__xludf.DUMMYFUNCTION("""COMPUTED_VALUE"""),231801)</f>
        <v>231801</v>
      </c>
      <c r="M270" s="48"/>
      <c r="N270" s="48" t="str">
        <f ca="1">IFERROR(__xludf.DUMMYFUNCTION("""COMPUTED_VALUE"""),"10 2 02 60310")</f>
        <v>10 2 02 60310</v>
      </c>
      <c r="O270" s="48">
        <f ca="1">IFERROR(__xludf.DUMMYFUNCTION("""COMPUTED_VALUE"""),521)</f>
        <v>521</v>
      </c>
      <c r="P270" s="24">
        <f t="shared" ref="P270:T270" si="277">SUM(V270,AB270,AH270,AN270,AT270,AZ270,BF270)</f>
        <v>259441.44</v>
      </c>
      <c r="Q270" s="24">
        <f t="shared" si="277"/>
        <v>0</v>
      </c>
      <c r="R270" s="24">
        <f t="shared" si="277"/>
        <v>0</v>
      </c>
      <c r="S270" s="24">
        <f t="shared" si="277"/>
        <v>246470</v>
      </c>
      <c r="T270" s="24">
        <f t="shared" si="277"/>
        <v>12971.44</v>
      </c>
      <c r="U270" s="20"/>
      <c r="V270" s="24"/>
      <c r="W270" s="24"/>
      <c r="X270" s="24"/>
      <c r="Y270" s="24"/>
      <c r="Z270" s="24"/>
      <c r="AA270" s="24"/>
      <c r="AB270" s="24"/>
      <c r="AC270" s="50"/>
      <c r="AD270" s="50"/>
      <c r="AE270" s="50"/>
      <c r="AF270" s="50"/>
      <c r="AG270" s="50"/>
      <c r="AH270" s="50">
        <f t="shared" si="2"/>
        <v>129720.72</v>
      </c>
      <c r="AI270" s="50">
        <v>0</v>
      </c>
      <c r="AJ270" s="50">
        <v>0</v>
      </c>
      <c r="AK270" s="50">
        <v>123235</v>
      </c>
      <c r="AL270" s="50">
        <v>6485.72</v>
      </c>
      <c r="AM270" s="50"/>
      <c r="AN270" s="24">
        <f t="shared" si="3"/>
        <v>129720.72</v>
      </c>
      <c r="AO270" s="50">
        <v>0</v>
      </c>
      <c r="AP270" s="50">
        <v>0</v>
      </c>
      <c r="AQ270" s="50">
        <v>123235</v>
      </c>
      <c r="AR270" s="50">
        <v>6485.72</v>
      </c>
      <c r="AS270" s="50"/>
      <c r="AT270" s="50">
        <f t="shared" si="4"/>
        <v>0</v>
      </c>
      <c r="AU270" s="50">
        <v>0</v>
      </c>
      <c r="AV270" s="50">
        <v>0</v>
      </c>
      <c r="AW270" s="50">
        <v>0</v>
      </c>
      <c r="AX270" s="50">
        <v>0</v>
      </c>
      <c r="AY270" s="50"/>
      <c r="AZ270" s="50">
        <f t="shared" si="227"/>
        <v>0</v>
      </c>
      <c r="BA270" s="50">
        <v>0</v>
      </c>
      <c r="BB270" s="50">
        <v>0</v>
      </c>
      <c r="BC270" s="50">
        <v>0</v>
      </c>
      <c r="BD270" s="50">
        <v>0</v>
      </c>
      <c r="BE270" s="50"/>
      <c r="BF270" s="50">
        <f t="shared" si="6"/>
        <v>0</v>
      </c>
      <c r="BG270" s="50">
        <v>0</v>
      </c>
      <c r="BH270" s="50">
        <v>0</v>
      </c>
      <c r="BI270" s="50">
        <v>0</v>
      </c>
      <c r="BJ270" s="50">
        <v>0</v>
      </c>
      <c r="BK270" s="50"/>
      <c r="BL270" s="20"/>
    </row>
    <row r="271" spans="1:64" ht="84" x14ac:dyDescent="0.2">
      <c r="A271" s="69">
        <v>267</v>
      </c>
      <c r="B271" s="48" t="str">
        <f ca="1">IFERROR(__xludf.DUMMYFUNCTION("""COMPUTED_VALUE"""),"г.о. Ликино-Дулево")</f>
        <v>г.о. Ликино-Дулево</v>
      </c>
      <c r="C271"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1" s="52" t="str">
        <f ca="1">IFERROR(__xludf.DUMMYFUNCTION("""COMPUTED_VALUE"""),"МинЖКХ")</f>
        <v>МинЖКХ</v>
      </c>
      <c r="E271" s="45" t="s">
        <v>314</v>
      </c>
      <c r="F271" s="46" t="str">
        <f ca="1">IFERROR(__xludf.DUMMYFUNCTION("""COMPUTED_VALUE"""),"КНК")</f>
        <v>КНК</v>
      </c>
      <c r="G271" s="46" t="str">
        <f ca="1">IFERROR(__xludf.DUMMYFUNCTION("""COMPUTED_VALUE"""),"2021-2022")</f>
        <v>2021-2022</v>
      </c>
      <c r="H271" s="48"/>
      <c r="I271" s="48" t="str">
        <f ca="1">IFERROR(__xludf.DUMMYFUNCTION("""COMPUTED_VALUE"""),"СМР")</f>
        <v>СМР</v>
      </c>
      <c r="J271" s="48"/>
      <c r="K271" s="48"/>
      <c r="L271" s="48"/>
      <c r="M271" s="48"/>
      <c r="N271" s="48" t="str">
        <f ca="1">IFERROR(__xludf.DUMMYFUNCTION("""COMPUTED_VALUE"""),"10 2 02 60310")</f>
        <v>10 2 02 60310</v>
      </c>
      <c r="O271" s="48">
        <f ca="1">IFERROR(__xludf.DUMMYFUNCTION("""COMPUTED_VALUE"""),521)</f>
        <v>521</v>
      </c>
      <c r="P271" s="24">
        <f t="shared" ref="P271:T271" si="278">SUM(V271,AB271,AH271,AN271,AT271,AZ271,BF271)</f>
        <v>121422.68</v>
      </c>
      <c r="Q271" s="24">
        <f t="shared" si="278"/>
        <v>0</v>
      </c>
      <c r="R271" s="24">
        <f t="shared" si="278"/>
        <v>115352</v>
      </c>
      <c r="S271" s="24">
        <f t="shared" si="278"/>
        <v>0</v>
      </c>
      <c r="T271" s="24">
        <f t="shared" si="278"/>
        <v>6070.68</v>
      </c>
      <c r="U271" s="20"/>
      <c r="V271" s="24"/>
      <c r="W271" s="24"/>
      <c r="X271" s="24"/>
      <c r="Y271" s="24"/>
      <c r="Z271" s="24"/>
      <c r="AA271" s="24"/>
      <c r="AB271" s="24"/>
      <c r="AC271" s="50"/>
      <c r="AD271" s="50"/>
      <c r="AE271" s="50"/>
      <c r="AF271" s="50"/>
      <c r="AG271" s="50"/>
      <c r="AH271" s="50">
        <f t="shared" si="2"/>
        <v>0</v>
      </c>
      <c r="AI271" s="50">
        <v>0</v>
      </c>
      <c r="AJ271" s="50">
        <v>0</v>
      </c>
      <c r="AK271" s="50">
        <v>0</v>
      </c>
      <c r="AL271" s="50">
        <v>0</v>
      </c>
      <c r="AM271" s="50"/>
      <c r="AN271" s="24">
        <f t="shared" si="3"/>
        <v>63211.34</v>
      </c>
      <c r="AO271" s="50">
        <v>0</v>
      </c>
      <c r="AP271" s="50">
        <v>60051</v>
      </c>
      <c r="AQ271" s="50">
        <v>0</v>
      </c>
      <c r="AR271" s="50">
        <v>3160.34</v>
      </c>
      <c r="AS271" s="50"/>
      <c r="AT271" s="50">
        <f t="shared" si="4"/>
        <v>58211.34</v>
      </c>
      <c r="AU271" s="50">
        <v>0</v>
      </c>
      <c r="AV271" s="50">
        <v>55301</v>
      </c>
      <c r="AW271" s="50">
        <v>0</v>
      </c>
      <c r="AX271" s="50">
        <v>2910.34</v>
      </c>
      <c r="AY271" s="50"/>
      <c r="AZ271" s="50">
        <f t="shared" si="227"/>
        <v>0</v>
      </c>
      <c r="BA271" s="50">
        <v>0</v>
      </c>
      <c r="BB271" s="50">
        <v>0</v>
      </c>
      <c r="BC271" s="50">
        <v>0</v>
      </c>
      <c r="BD271" s="50">
        <v>0</v>
      </c>
      <c r="BE271" s="50"/>
      <c r="BF271" s="50">
        <f t="shared" si="6"/>
        <v>0</v>
      </c>
      <c r="BG271" s="50">
        <v>0</v>
      </c>
      <c r="BH271" s="50">
        <v>0</v>
      </c>
      <c r="BI271" s="50">
        <v>0</v>
      </c>
      <c r="BJ271" s="50">
        <v>0</v>
      </c>
      <c r="BK271" s="50"/>
      <c r="BL271" s="20"/>
    </row>
    <row r="272" spans="1:64" ht="84" x14ac:dyDescent="0.2">
      <c r="A272" s="69">
        <v>268</v>
      </c>
      <c r="B272" s="48" t="str">
        <f ca="1">IFERROR(__xludf.DUMMYFUNCTION("""COMPUTED_VALUE"""),"г.о. Солнечногорск")</f>
        <v>г.о. Солнечногорск</v>
      </c>
      <c r="C272" s="46" t="str">
        <f ca="1">IFERROR(__xludf.DUMMYFUNCTION("""COMPUTED_VALUE"""),"Мероприятие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f>
        <v xml:space="preserve">Мероприятие 2 - Предоставление субсидий из бюджета Московской области бюджетам муниципальных образований Московской области на капитальный ремонт канализационных коллекторов и канализационных насосных станций </v>
      </c>
      <c r="D272" s="52" t="str">
        <f ca="1">IFERROR(__xludf.DUMMYFUNCTION("""COMPUTED_VALUE"""),"МинЖКХ")</f>
        <v>МинЖКХ</v>
      </c>
      <c r="E272" s="45" t="s">
        <v>315</v>
      </c>
      <c r="F272" s="46" t="str">
        <f ca="1">IFERROR(__xludf.DUMMYFUNCTION("""COMPUTED_VALUE"""),"КНК")</f>
        <v>КНК</v>
      </c>
      <c r="G272" s="46">
        <f ca="1">IFERROR(__xludf.DUMMYFUNCTION("""COMPUTED_VALUE"""),2020)</f>
        <v>2020</v>
      </c>
      <c r="H272" s="48" t="str">
        <f ca="1">IFERROR(__xludf.DUMMYFUNCTION("""COMPUTED_VALUE"""),"ПСД в  МОГЭ")</f>
        <v>ПСД в  МОГЭ</v>
      </c>
      <c r="I272" s="48" t="str">
        <f ca="1">IFERROR(__xludf.DUMMYFUNCTION("""COMPUTED_VALUE"""),"СМР")</f>
        <v>СМР</v>
      </c>
      <c r="J272" s="48"/>
      <c r="K272" s="48">
        <f ca="1">IFERROR(__xludf.DUMMYFUNCTION("""COMPUTED_VALUE"""),1203)</f>
        <v>1203</v>
      </c>
      <c r="L272" s="48">
        <f ca="1">IFERROR(__xludf.DUMMYFUNCTION("""COMPUTED_VALUE"""),1203)</f>
        <v>1203</v>
      </c>
      <c r="M272" s="48"/>
      <c r="N272" s="48" t="str">
        <f ca="1">IFERROR(__xludf.DUMMYFUNCTION("""COMPUTED_VALUE"""),"10 2 02 60310")</f>
        <v>10 2 02 60310</v>
      </c>
      <c r="O272" s="48">
        <f ca="1">IFERROR(__xludf.DUMMYFUNCTION("""COMPUTED_VALUE"""),521)</f>
        <v>521</v>
      </c>
      <c r="P272" s="24">
        <f t="shared" ref="P272:T272" si="279">SUM(V272,AB272,AH272,AN272,AT272,AZ272,BF272)</f>
        <v>5000</v>
      </c>
      <c r="Q272" s="24">
        <f t="shared" si="279"/>
        <v>0</v>
      </c>
      <c r="R272" s="24">
        <f t="shared" si="279"/>
        <v>4140</v>
      </c>
      <c r="S272" s="24">
        <f t="shared" si="279"/>
        <v>0</v>
      </c>
      <c r="T272" s="24">
        <f t="shared" si="279"/>
        <v>860</v>
      </c>
      <c r="U272" s="20"/>
      <c r="V272" s="24"/>
      <c r="W272" s="24"/>
      <c r="X272" s="24"/>
      <c r="Y272" s="24"/>
      <c r="Z272" s="24"/>
      <c r="AA272" s="24"/>
      <c r="AB272" s="24"/>
      <c r="AC272" s="50"/>
      <c r="AD272" s="50"/>
      <c r="AE272" s="50"/>
      <c r="AF272" s="50"/>
      <c r="AG272" s="50"/>
      <c r="AH272" s="50">
        <f t="shared" si="2"/>
        <v>5000</v>
      </c>
      <c r="AI272" s="50">
        <v>0</v>
      </c>
      <c r="AJ272" s="50">
        <v>4140</v>
      </c>
      <c r="AK272" s="50">
        <v>0</v>
      </c>
      <c r="AL272" s="50">
        <v>860</v>
      </c>
      <c r="AM272" s="50"/>
      <c r="AN272" s="24">
        <f t="shared" si="3"/>
        <v>0</v>
      </c>
      <c r="AO272" s="50">
        <v>0</v>
      </c>
      <c r="AP272" s="50">
        <v>0</v>
      </c>
      <c r="AQ272" s="50">
        <v>0</v>
      </c>
      <c r="AR272" s="50">
        <v>0</v>
      </c>
      <c r="AS272" s="50"/>
      <c r="AT272" s="50">
        <f t="shared" si="4"/>
        <v>0</v>
      </c>
      <c r="AU272" s="50">
        <v>0</v>
      </c>
      <c r="AV272" s="50">
        <v>0</v>
      </c>
      <c r="AW272" s="50">
        <v>0</v>
      </c>
      <c r="AX272" s="50">
        <v>0</v>
      </c>
      <c r="AY272" s="50"/>
      <c r="AZ272" s="50">
        <f t="shared" si="227"/>
        <v>0</v>
      </c>
      <c r="BA272" s="50">
        <v>0</v>
      </c>
      <c r="BB272" s="50">
        <v>0</v>
      </c>
      <c r="BC272" s="50">
        <v>0</v>
      </c>
      <c r="BD272" s="50">
        <v>0</v>
      </c>
      <c r="BE272" s="50"/>
      <c r="BF272" s="50">
        <f t="shared" si="6"/>
        <v>0</v>
      </c>
      <c r="BG272" s="50">
        <v>0</v>
      </c>
      <c r="BH272" s="50">
        <v>0</v>
      </c>
      <c r="BI272" s="50">
        <v>0</v>
      </c>
      <c r="BJ272" s="50">
        <v>0</v>
      </c>
      <c r="BK272" s="50"/>
      <c r="BL272" s="20"/>
    </row>
    <row r="273" spans="1:64" ht="84" x14ac:dyDescent="0.2">
      <c r="A273" s="69">
        <v>269</v>
      </c>
      <c r="B273" s="48" t="str">
        <f ca="1">IFERROR(__xludf.DUMMYFUNCTION("""COMPUTED_VALUE"""),"КСМО")</f>
        <v>КСМО</v>
      </c>
      <c r="C273" s="46" t="str">
        <f ca="1">IFERROR(__xludf.DUMMYFUNCTION("""COMPUTED_VALUE"""),"Мероприятие 3 - Предоставление субсидий государственным унитарным предприятиям Московской области на осуществление строительства (реконструкции) канализационных коллекторов  (участков)")</f>
        <v>Мероприятие 3 - Предоставление субсидий государственным унитарным предприятиям Московской области на осуществление строительства (реконструкции) канализационных коллекторов  (участков)</v>
      </c>
      <c r="D273" s="52" t="str">
        <f ca="1">IFERROR(__xludf.DUMMYFUNCTION("""COMPUTED_VALUE"""),"МинЖКХ")</f>
        <v>МинЖКХ</v>
      </c>
      <c r="E273" s="45" t="s">
        <v>316</v>
      </c>
      <c r="F273" s="46" t="str">
        <f ca="1">IFERROR(__xludf.DUMMYFUNCTION("""COMPUTED_VALUE"""),"КНК")</f>
        <v>КНК</v>
      </c>
      <c r="G273" s="46" t="str">
        <f ca="1">IFERROR(__xludf.DUMMYFUNCTION("""COMPUTED_VALUE"""),"2020-2024")</f>
        <v>2020-2024</v>
      </c>
      <c r="H273" s="48"/>
      <c r="I273" s="48" t="str">
        <f ca="1">IFERROR(__xludf.DUMMYFUNCTION("""COMPUTED_VALUE"""),"СМР")</f>
        <v>СМР</v>
      </c>
      <c r="J273" s="48"/>
      <c r="K273" s="48"/>
      <c r="L273" s="48"/>
      <c r="M273" s="48"/>
      <c r="N273" s="48" t="str">
        <f ca="1">IFERROR(__xludf.DUMMYFUNCTION("""COMPUTED_VALUE"""),"10 2 02 42260")</f>
        <v>10 2 02 42260</v>
      </c>
      <c r="O273" s="48">
        <f ca="1">IFERROR(__xludf.DUMMYFUNCTION("""COMPUTED_VALUE"""),466)</f>
        <v>466</v>
      </c>
      <c r="P273" s="24">
        <f t="shared" ref="P273:T273" si="280">SUM(V273,AB273,AH273,AN273,AT273,AZ273,BF273)</f>
        <v>1613378</v>
      </c>
      <c r="Q273" s="24">
        <f t="shared" si="280"/>
        <v>0</v>
      </c>
      <c r="R273" s="24">
        <f t="shared" si="280"/>
        <v>1000876</v>
      </c>
      <c r="S273" s="24">
        <f t="shared" si="280"/>
        <v>612502</v>
      </c>
      <c r="T273" s="24">
        <f t="shared" si="280"/>
        <v>0</v>
      </c>
      <c r="U273" s="20"/>
      <c r="V273" s="24"/>
      <c r="W273" s="24"/>
      <c r="X273" s="24"/>
      <c r="Y273" s="24"/>
      <c r="Z273" s="24"/>
      <c r="AA273" s="24"/>
      <c r="AB273" s="24"/>
      <c r="AC273" s="50"/>
      <c r="AD273" s="50"/>
      <c r="AE273" s="50"/>
      <c r="AF273" s="50"/>
      <c r="AG273" s="50"/>
      <c r="AH273" s="50">
        <f t="shared" si="2"/>
        <v>480</v>
      </c>
      <c r="AI273" s="50">
        <v>0</v>
      </c>
      <c r="AJ273" s="50">
        <v>480</v>
      </c>
      <c r="AK273" s="50">
        <v>0</v>
      </c>
      <c r="AL273" s="50">
        <v>0</v>
      </c>
      <c r="AM273" s="50"/>
      <c r="AN273" s="24">
        <f t="shared" si="3"/>
        <v>612502</v>
      </c>
      <c r="AO273" s="50">
        <v>0</v>
      </c>
      <c r="AP273" s="50">
        <v>0</v>
      </c>
      <c r="AQ273" s="50">
        <v>612502</v>
      </c>
      <c r="AR273" s="50">
        <v>0</v>
      </c>
      <c r="AS273" s="50"/>
      <c r="AT273" s="50">
        <f t="shared" si="4"/>
        <v>147326</v>
      </c>
      <c r="AU273" s="50">
        <v>0</v>
      </c>
      <c r="AV273" s="50">
        <v>147326</v>
      </c>
      <c r="AW273" s="50">
        <v>0</v>
      </c>
      <c r="AX273" s="50">
        <v>0</v>
      </c>
      <c r="AY273" s="50"/>
      <c r="AZ273" s="50">
        <f t="shared" si="227"/>
        <v>597149</v>
      </c>
      <c r="BA273" s="50">
        <v>0</v>
      </c>
      <c r="BB273" s="50">
        <v>597149</v>
      </c>
      <c r="BC273" s="50">
        <v>0</v>
      </c>
      <c r="BD273" s="50">
        <v>0</v>
      </c>
      <c r="BE273" s="50"/>
      <c r="BF273" s="50">
        <f t="shared" si="6"/>
        <v>255921</v>
      </c>
      <c r="BG273" s="50">
        <v>0</v>
      </c>
      <c r="BH273" s="50">
        <v>255921</v>
      </c>
      <c r="BI273" s="50">
        <v>0</v>
      </c>
      <c r="BJ273" s="50">
        <v>0</v>
      </c>
      <c r="BK273" s="50"/>
      <c r="BL273" s="20"/>
    </row>
    <row r="274" spans="1:64" ht="84" x14ac:dyDescent="0.2">
      <c r="A274" s="63">
        <v>270</v>
      </c>
      <c r="B274" s="76" t="str">
        <f ca="1">IFERROR(__xludf.DUMMYFUNCTION("""COMPUTED_VALUE"""),"г.о. Балашиха")</f>
        <v>г.о. Балашиха</v>
      </c>
      <c r="C274" s="61"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4" s="75" t="str">
        <f ca="1">IFERROR(__xludf.DUMMYFUNCTION("""COMPUTED_VALUE"""),"МинЖКХ")</f>
        <v>МинЖКХ</v>
      </c>
      <c r="E274" s="61" t="s">
        <v>317</v>
      </c>
      <c r="F274" s="61" t="str">
        <f ca="1">IFERROR(__xludf.DUMMYFUNCTION("""COMPUTED_VALUE"""),"Котельная")</f>
        <v>Котельная</v>
      </c>
      <c r="G274" s="61" t="str">
        <f ca="1">IFERROR(__xludf.DUMMYFUNCTION("""COMPUTED_VALUE"""),"2021-2022")</f>
        <v>2021-2022</v>
      </c>
      <c r="H274" s="76"/>
      <c r="I274" s="76" t="str">
        <f ca="1">IFERROR(__xludf.DUMMYFUNCTION("""COMPUTED_VALUE"""),"СМР")</f>
        <v>СМР</v>
      </c>
      <c r="J274" s="76"/>
      <c r="K274" s="76">
        <f ca="1">IFERROR(__xludf.DUMMYFUNCTION("""COMPUTED_VALUE"""),0)</f>
        <v>0</v>
      </c>
      <c r="L274" s="76">
        <f ca="1">IFERROR(__xludf.DUMMYFUNCTION("""COMPUTED_VALUE"""),2680)</f>
        <v>2680</v>
      </c>
      <c r="M274" s="76"/>
      <c r="N274" s="76" t="str">
        <f ca="1">IFERROR(__xludf.DUMMYFUNCTION("""COMPUTED_VALUE"""),"10 3 02 64080")</f>
        <v>10 3 02 64080</v>
      </c>
      <c r="O274" s="76">
        <f ca="1">IFERROR(__xludf.DUMMYFUNCTION("""COMPUTED_VALUE"""),522)</f>
        <v>522</v>
      </c>
      <c r="P274" s="78">
        <f t="shared" ref="P274:T274" si="281">SUM(V274,AB274,AH274,AN274,AT274,AZ274,BF274)</f>
        <v>177976.09999999998</v>
      </c>
      <c r="Q274" s="78">
        <f t="shared" si="281"/>
        <v>0</v>
      </c>
      <c r="R274" s="78">
        <f t="shared" si="281"/>
        <v>135660</v>
      </c>
      <c r="S274" s="78">
        <f t="shared" si="281"/>
        <v>0</v>
      </c>
      <c r="T274" s="78">
        <f t="shared" si="281"/>
        <v>42316.100000000006</v>
      </c>
      <c r="U274" s="78"/>
      <c r="V274" s="78"/>
      <c r="W274" s="78"/>
      <c r="X274" s="78"/>
      <c r="Y274" s="78"/>
      <c r="Z274" s="78"/>
      <c r="AA274" s="78"/>
      <c r="AB274" s="78"/>
      <c r="AC274" s="79"/>
      <c r="AD274" s="79"/>
      <c r="AE274" s="79"/>
      <c r="AF274" s="79"/>
      <c r="AG274" s="79"/>
      <c r="AH274" s="79">
        <f t="shared" si="2"/>
        <v>0</v>
      </c>
      <c r="AI274" s="79">
        <v>0</v>
      </c>
      <c r="AJ274" s="79">
        <v>0</v>
      </c>
      <c r="AK274" s="79">
        <v>0</v>
      </c>
      <c r="AL274" s="79">
        <v>0</v>
      </c>
      <c r="AM274" s="79"/>
      <c r="AN274" s="78">
        <f t="shared" si="3"/>
        <v>65014.67</v>
      </c>
      <c r="AO274" s="79">
        <v>0</v>
      </c>
      <c r="AP274" s="79">
        <v>46420.47</v>
      </c>
      <c r="AQ274" s="79">
        <v>0</v>
      </c>
      <c r="AR274" s="79">
        <v>18594.2</v>
      </c>
      <c r="AS274" s="79"/>
      <c r="AT274" s="79">
        <f t="shared" si="4"/>
        <v>112961.43</v>
      </c>
      <c r="AU274" s="79">
        <v>0</v>
      </c>
      <c r="AV274" s="79">
        <v>89239.53</v>
      </c>
      <c r="AW274" s="79">
        <v>0</v>
      </c>
      <c r="AX274" s="79">
        <v>23721.9</v>
      </c>
      <c r="AY274" s="79"/>
      <c r="AZ274" s="79">
        <f t="shared" si="227"/>
        <v>0</v>
      </c>
      <c r="BA274" s="79">
        <v>0</v>
      </c>
      <c r="BB274" s="79">
        <v>0</v>
      </c>
      <c r="BC274" s="79">
        <v>0</v>
      </c>
      <c r="BD274" s="79">
        <v>0</v>
      </c>
      <c r="BE274" s="79"/>
      <c r="BF274" s="79">
        <f t="shared" si="6"/>
        <v>0</v>
      </c>
      <c r="BG274" s="79">
        <v>0</v>
      </c>
      <c r="BH274" s="79">
        <v>0</v>
      </c>
      <c r="BI274" s="79">
        <v>0</v>
      </c>
      <c r="BJ274" s="79">
        <v>0</v>
      </c>
      <c r="BK274" s="79"/>
      <c r="BL274" s="76"/>
    </row>
    <row r="275" spans="1:64" ht="84" x14ac:dyDescent="0.2">
      <c r="A275" s="69">
        <v>271</v>
      </c>
      <c r="B275" s="48" t="str">
        <f ca="1">IFERROR(__xludf.DUMMYFUNCTION("""COMPUTED_VALUE"""),"г.о. Дзержинский")</f>
        <v>г.о. Дзержинский</v>
      </c>
      <c r="C27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5" s="52" t="str">
        <f ca="1">IFERROR(__xludf.DUMMYFUNCTION("""COMPUTED_VALUE"""),"МинЖКХ")</f>
        <v>МинЖКХ</v>
      </c>
      <c r="E275" s="45" t="s">
        <v>64</v>
      </c>
      <c r="F275" s="46" t="str">
        <f ca="1">IFERROR(__xludf.DUMMYFUNCTION("""COMPUTED_VALUE"""),"Сети")</f>
        <v>Сети</v>
      </c>
      <c r="G275" s="46">
        <f ca="1">IFERROR(__xludf.DUMMYFUNCTION("""COMPUTED_VALUE"""),2021)</f>
        <v>2021</v>
      </c>
      <c r="H275" s="48"/>
      <c r="I275" s="48" t="str">
        <f ca="1">IFERROR(__xludf.DUMMYFUNCTION("""COMPUTED_VALUE"""),"ПИР")</f>
        <v>ПИР</v>
      </c>
      <c r="J275" s="48"/>
      <c r="K275" s="48"/>
      <c r="L275" s="48"/>
      <c r="M275" s="48"/>
      <c r="N275" s="48"/>
      <c r="O275" s="48"/>
      <c r="P275" s="24">
        <f t="shared" ref="P275:T275" si="282">SUM(V275,AB275,AH275,AN275,AT275,AZ275,BF275)</f>
        <v>4000</v>
      </c>
      <c r="Q275" s="24">
        <f t="shared" si="282"/>
        <v>0</v>
      </c>
      <c r="R275" s="24">
        <f t="shared" si="282"/>
        <v>0</v>
      </c>
      <c r="S275" s="24">
        <f t="shared" si="282"/>
        <v>0</v>
      </c>
      <c r="T275" s="24">
        <f t="shared" si="282"/>
        <v>4000</v>
      </c>
      <c r="U275" s="24"/>
      <c r="V275" s="24"/>
      <c r="W275" s="24"/>
      <c r="X275" s="24"/>
      <c r="Y275" s="24"/>
      <c r="Z275" s="24"/>
      <c r="AA275" s="24"/>
      <c r="AB275" s="24"/>
      <c r="AC275" s="50"/>
      <c r="AD275" s="50"/>
      <c r="AE275" s="50"/>
      <c r="AF275" s="50"/>
      <c r="AG275" s="50"/>
      <c r="AH275" s="50">
        <f t="shared" si="2"/>
        <v>0</v>
      </c>
      <c r="AI275" s="50">
        <v>0</v>
      </c>
      <c r="AJ275" s="50">
        <v>0</v>
      </c>
      <c r="AK275" s="50">
        <v>0</v>
      </c>
      <c r="AL275" s="50">
        <v>0</v>
      </c>
      <c r="AM275" s="50"/>
      <c r="AN275" s="24">
        <f t="shared" si="3"/>
        <v>4000</v>
      </c>
      <c r="AO275" s="50">
        <v>0</v>
      </c>
      <c r="AP275" s="50">
        <v>0</v>
      </c>
      <c r="AQ275" s="50">
        <v>0</v>
      </c>
      <c r="AR275" s="50">
        <v>4000</v>
      </c>
      <c r="AS275" s="50"/>
      <c r="AT275" s="50">
        <f t="shared" si="4"/>
        <v>0</v>
      </c>
      <c r="AU275" s="50">
        <v>0</v>
      </c>
      <c r="AV275" s="50">
        <v>0</v>
      </c>
      <c r="AW275" s="50">
        <v>0</v>
      </c>
      <c r="AX275" s="50">
        <v>0</v>
      </c>
      <c r="AY275" s="50"/>
      <c r="AZ275" s="50">
        <f t="shared" si="227"/>
        <v>0</v>
      </c>
      <c r="BA275" s="50">
        <v>0</v>
      </c>
      <c r="BB275" s="50">
        <v>0</v>
      </c>
      <c r="BC275" s="50">
        <v>0</v>
      </c>
      <c r="BD275" s="50">
        <v>0</v>
      </c>
      <c r="BE275" s="50"/>
      <c r="BF275" s="50">
        <f t="shared" si="6"/>
        <v>0</v>
      </c>
      <c r="BG275" s="50">
        <v>0</v>
      </c>
      <c r="BH275" s="50">
        <v>0</v>
      </c>
      <c r="BI275" s="50">
        <v>0</v>
      </c>
      <c r="BJ275" s="50">
        <v>0</v>
      </c>
      <c r="BK275" s="50"/>
      <c r="BL275" s="20"/>
    </row>
    <row r="276" spans="1:64" ht="84" x14ac:dyDescent="0.2">
      <c r="A276" s="69">
        <v>272</v>
      </c>
      <c r="B276" s="48" t="str">
        <f ca="1">IFERROR(__xludf.DUMMYFUNCTION("""COMPUTED_VALUE"""),"г.о. Серпухов")</f>
        <v>г.о. Серпухов</v>
      </c>
      <c r="C27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6" s="52" t="str">
        <f ca="1">IFERROR(__xludf.DUMMYFUNCTION("""COMPUTED_VALUE"""),"МинЖКХ")</f>
        <v>МинЖКХ</v>
      </c>
      <c r="E276" s="45" t="s">
        <v>318</v>
      </c>
      <c r="F276" s="46" t="str">
        <f ca="1">IFERROR(__xludf.DUMMYFUNCTION("""COMPUTED_VALUE"""),"Сети")</f>
        <v>Сети</v>
      </c>
      <c r="G276" s="46">
        <f ca="1">IFERROR(__xludf.DUMMYFUNCTION("""COMPUTED_VALUE"""),2023)</f>
        <v>2023</v>
      </c>
      <c r="H276" s="48"/>
      <c r="I276" s="48" t="str">
        <f ca="1">IFERROR(__xludf.DUMMYFUNCTION("""COMPUTED_VALUE"""),"СМР")</f>
        <v>СМР</v>
      </c>
      <c r="J276" s="48"/>
      <c r="K276" s="48"/>
      <c r="L276" s="48"/>
      <c r="M276" s="48"/>
      <c r="N276" s="48" t="str">
        <f ca="1">IFERROR(__xludf.DUMMYFUNCTION("""COMPUTED_VALUE"""),"10 3 02 64080")</f>
        <v>10 3 02 64080</v>
      </c>
      <c r="O276" s="48">
        <f ca="1">IFERROR(__xludf.DUMMYFUNCTION("""COMPUTED_VALUE"""),522)</f>
        <v>522</v>
      </c>
      <c r="P276" s="24">
        <f t="shared" ref="P276:T276" si="283">SUM(V276,AB276,AH276,AN276,AT276,AZ276,BF276)</f>
        <v>4770</v>
      </c>
      <c r="Q276" s="24">
        <f t="shared" si="283"/>
        <v>0</v>
      </c>
      <c r="R276" s="24">
        <f t="shared" si="283"/>
        <v>3950</v>
      </c>
      <c r="S276" s="24">
        <f t="shared" si="283"/>
        <v>0</v>
      </c>
      <c r="T276" s="24">
        <f t="shared" si="283"/>
        <v>820</v>
      </c>
      <c r="U276" s="24"/>
      <c r="V276" s="24"/>
      <c r="W276" s="24"/>
      <c r="X276" s="24"/>
      <c r="Y276" s="24"/>
      <c r="Z276" s="24"/>
      <c r="AA276" s="24"/>
      <c r="AB276" s="24"/>
      <c r="AC276" s="50"/>
      <c r="AD276" s="50"/>
      <c r="AE276" s="50"/>
      <c r="AF276" s="50"/>
      <c r="AG276" s="50"/>
      <c r="AH276" s="50">
        <f t="shared" si="2"/>
        <v>0</v>
      </c>
      <c r="AI276" s="50">
        <v>0</v>
      </c>
      <c r="AJ276" s="50">
        <v>0</v>
      </c>
      <c r="AK276" s="50">
        <v>0</v>
      </c>
      <c r="AL276" s="50">
        <v>0</v>
      </c>
      <c r="AM276" s="50"/>
      <c r="AN276" s="24">
        <f t="shared" si="3"/>
        <v>0</v>
      </c>
      <c r="AO276" s="50">
        <v>0</v>
      </c>
      <c r="AP276" s="50">
        <v>0</v>
      </c>
      <c r="AQ276" s="50">
        <v>0</v>
      </c>
      <c r="AR276" s="50">
        <v>0</v>
      </c>
      <c r="AS276" s="50"/>
      <c r="AT276" s="50">
        <f t="shared" si="4"/>
        <v>0</v>
      </c>
      <c r="AU276" s="50">
        <v>0</v>
      </c>
      <c r="AV276" s="50">
        <v>0</v>
      </c>
      <c r="AW276" s="50">
        <v>0</v>
      </c>
      <c r="AX276" s="50">
        <v>0</v>
      </c>
      <c r="AY276" s="50"/>
      <c r="AZ276" s="50">
        <f t="shared" si="227"/>
        <v>4770</v>
      </c>
      <c r="BA276" s="50">
        <v>0</v>
      </c>
      <c r="BB276" s="50">
        <v>3950</v>
      </c>
      <c r="BC276" s="50">
        <v>0</v>
      </c>
      <c r="BD276" s="50">
        <v>820</v>
      </c>
      <c r="BE276" s="50"/>
      <c r="BF276" s="50">
        <f t="shared" si="6"/>
        <v>0</v>
      </c>
      <c r="BG276" s="50">
        <v>0</v>
      </c>
      <c r="BH276" s="50">
        <v>0</v>
      </c>
      <c r="BI276" s="50">
        <v>0</v>
      </c>
      <c r="BJ276" s="50">
        <v>0</v>
      </c>
      <c r="BK276" s="50"/>
      <c r="BL276" s="20"/>
    </row>
    <row r="277" spans="1:64" ht="84" x14ac:dyDescent="0.2">
      <c r="A277" s="69">
        <v>273</v>
      </c>
      <c r="B277" s="48" t="str">
        <f ca="1">IFERROR(__xludf.DUMMYFUNCTION("""COMPUTED_VALUE"""),"г.о. Серпухов")</f>
        <v>г.о. Серпухов</v>
      </c>
      <c r="C27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7" s="52" t="str">
        <f ca="1">IFERROR(__xludf.DUMMYFUNCTION("""COMPUTED_VALUE"""),"МинЖКХ")</f>
        <v>МинЖКХ</v>
      </c>
      <c r="E277" s="45" t="s">
        <v>319</v>
      </c>
      <c r="F277" s="46" t="str">
        <f ca="1">IFERROR(__xludf.DUMMYFUNCTION("""COMPUTED_VALUE"""),"Сети")</f>
        <v>Сети</v>
      </c>
      <c r="G277" s="46">
        <f ca="1">IFERROR(__xludf.DUMMYFUNCTION("""COMPUTED_VALUE"""),2023)</f>
        <v>2023</v>
      </c>
      <c r="H277" s="48"/>
      <c r="I277" s="48" t="str">
        <f ca="1">IFERROR(__xludf.DUMMYFUNCTION("""COMPUTED_VALUE"""),"СМР")</f>
        <v>СМР</v>
      </c>
      <c r="J277" s="48"/>
      <c r="K277" s="48"/>
      <c r="L277" s="48"/>
      <c r="M277" s="48"/>
      <c r="N277" s="48" t="str">
        <f ca="1">IFERROR(__xludf.DUMMYFUNCTION("""COMPUTED_VALUE"""),"10 3 02 64080")</f>
        <v>10 3 02 64080</v>
      </c>
      <c r="O277" s="48">
        <f ca="1">IFERROR(__xludf.DUMMYFUNCTION("""COMPUTED_VALUE"""),522)</f>
        <v>522</v>
      </c>
      <c r="P277" s="24">
        <f t="shared" ref="P277:T277" si="284">SUM(V277,AB277,AH277,AN277,AT277,AZ277,BF277)</f>
        <v>10000</v>
      </c>
      <c r="Q277" s="24">
        <f t="shared" si="284"/>
        <v>0</v>
      </c>
      <c r="R277" s="24">
        <f t="shared" si="284"/>
        <v>8280</v>
      </c>
      <c r="S277" s="24">
        <f t="shared" si="284"/>
        <v>0</v>
      </c>
      <c r="T277" s="24">
        <f t="shared" si="284"/>
        <v>1720</v>
      </c>
      <c r="U277" s="24"/>
      <c r="V277" s="24"/>
      <c r="W277" s="24"/>
      <c r="X277" s="24"/>
      <c r="Y277" s="24"/>
      <c r="Z277" s="24"/>
      <c r="AA277" s="24"/>
      <c r="AB277" s="24"/>
      <c r="AC277" s="50"/>
      <c r="AD277" s="50"/>
      <c r="AE277" s="50"/>
      <c r="AF277" s="50"/>
      <c r="AG277" s="50"/>
      <c r="AH277" s="50">
        <f t="shared" si="2"/>
        <v>0</v>
      </c>
      <c r="AI277" s="50">
        <v>0</v>
      </c>
      <c r="AJ277" s="50">
        <v>0</v>
      </c>
      <c r="AK277" s="50">
        <v>0</v>
      </c>
      <c r="AL277" s="50">
        <v>0</v>
      </c>
      <c r="AM277" s="50"/>
      <c r="AN277" s="24">
        <f t="shared" si="3"/>
        <v>0</v>
      </c>
      <c r="AO277" s="50">
        <v>0</v>
      </c>
      <c r="AP277" s="50">
        <v>0</v>
      </c>
      <c r="AQ277" s="50">
        <v>0</v>
      </c>
      <c r="AR277" s="50">
        <v>0</v>
      </c>
      <c r="AS277" s="50"/>
      <c r="AT277" s="50">
        <f t="shared" si="4"/>
        <v>0</v>
      </c>
      <c r="AU277" s="50">
        <v>0</v>
      </c>
      <c r="AV277" s="50">
        <v>0</v>
      </c>
      <c r="AW277" s="50">
        <v>0</v>
      </c>
      <c r="AX277" s="50">
        <v>0</v>
      </c>
      <c r="AY277" s="50"/>
      <c r="AZ277" s="50">
        <f t="shared" si="227"/>
        <v>10000</v>
      </c>
      <c r="BA277" s="50">
        <v>0</v>
      </c>
      <c r="BB277" s="50">
        <v>8280</v>
      </c>
      <c r="BC277" s="50">
        <v>0</v>
      </c>
      <c r="BD277" s="50">
        <v>1720</v>
      </c>
      <c r="BE277" s="50"/>
      <c r="BF277" s="50">
        <f t="shared" si="6"/>
        <v>0</v>
      </c>
      <c r="BG277" s="50">
        <v>0</v>
      </c>
      <c r="BH277" s="50">
        <v>0</v>
      </c>
      <c r="BI277" s="50">
        <v>0</v>
      </c>
      <c r="BJ277" s="50">
        <v>0</v>
      </c>
      <c r="BK277" s="50"/>
      <c r="BL277" s="20"/>
    </row>
    <row r="278" spans="1:64" ht="84" x14ac:dyDescent="0.2">
      <c r="A278" s="69">
        <v>274</v>
      </c>
      <c r="B278" s="48" t="str">
        <f ca="1">IFERROR(__xludf.DUMMYFUNCTION("""COMPUTED_VALUE"""),"г.о. Серпухов")</f>
        <v>г.о. Серпухов</v>
      </c>
      <c r="C27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8" s="52" t="str">
        <f ca="1">IFERROR(__xludf.DUMMYFUNCTION("""COMPUTED_VALUE"""),"МинЖКХ")</f>
        <v>МинЖКХ</v>
      </c>
      <c r="E278" s="45" t="s">
        <v>320</v>
      </c>
      <c r="F278" s="46" t="str">
        <f ca="1">IFERROR(__xludf.DUMMYFUNCTION("""COMPUTED_VALUE"""),"Сети")</f>
        <v>Сети</v>
      </c>
      <c r="G278" s="46">
        <f ca="1">IFERROR(__xludf.DUMMYFUNCTION("""COMPUTED_VALUE"""),2023)</f>
        <v>2023</v>
      </c>
      <c r="H278" s="48"/>
      <c r="I278" s="48" t="str">
        <f ca="1">IFERROR(__xludf.DUMMYFUNCTION("""COMPUTED_VALUE"""),"СМР")</f>
        <v>СМР</v>
      </c>
      <c r="J278" s="48"/>
      <c r="K278" s="48"/>
      <c r="L278" s="48"/>
      <c r="M278" s="48"/>
      <c r="N278" s="48" t="str">
        <f ca="1">IFERROR(__xludf.DUMMYFUNCTION("""COMPUTED_VALUE"""),"10 3 02 64080")</f>
        <v>10 3 02 64080</v>
      </c>
      <c r="O278" s="48">
        <f ca="1">IFERROR(__xludf.DUMMYFUNCTION("""COMPUTED_VALUE"""),522)</f>
        <v>522</v>
      </c>
      <c r="P278" s="24">
        <f t="shared" ref="P278:T278" si="285">SUM(V278,AB278,AH278,AN278,AT278,AZ278,BF278)</f>
        <v>7800</v>
      </c>
      <c r="Q278" s="24">
        <f t="shared" si="285"/>
        <v>0</v>
      </c>
      <c r="R278" s="24">
        <f t="shared" si="285"/>
        <v>6458</v>
      </c>
      <c r="S278" s="24">
        <f t="shared" si="285"/>
        <v>0</v>
      </c>
      <c r="T278" s="24">
        <f t="shared" si="285"/>
        <v>1342</v>
      </c>
      <c r="U278" s="24"/>
      <c r="V278" s="24"/>
      <c r="W278" s="24"/>
      <c r="X278" s="24"/>
      <c r="Y278" s="24"/>
      <c r="Z278" s="24"/>
      <c r="AA278" s="24"/>
      <c r="AB278" s="24"/>
      <c r="AC278" s="50"/>
      <c r="AD278" s="50"/>
      <c r="AE278" s="50"/>
      <c r="AF278" s="50"/>
      <c r="AG278" s="50"/>
      <c r="AH278" s="50">
        <f t="shared" si="2"/>
        <v>0</v>
      </c>
      <c r="AI278" s="50">
        <v>0</v>
      </c>
      <c r="AJ278" s="50">
        <v>0</v>
      </c>
      <c r="AK278" s="50">
        <v>0</v>
      </c>
      <c r="AL278" s="50">
        <v>0</v>
      </c>
      <c r="AM278" s="50"/>
      <c r="AN278" s="24">
        <f t="shared" si="3"/>
        <v>0</v>
      </c>
      <c r="AO278" s="50">
        <v>0</v>
      </c>
      <c r="AP278" s="50">
        <v>0</v>
      </c>
      <c r="AQ278" s="50">
        <v>0</v>
      </c>
      <c r="AR278" s="50">
        <v>0</v>
      </c>
      <c r="AS278" s="50"/>
      <c r="AT278" s="50">
        <f t="shared" si="4"/>
        <v>0</v>
      </c>
      <c r="AU278" s="50">
        <v>0</v>
      </c>
      <c r="AV278" s="50">
        <v>0</v>
      </c>
      <c r="AW278" s="50">
        <v>0</v>
      </c>
      <c r="AX278" s="50">
        <v>0</v>
      </c>
      <c r="AY278" s="50"/>
      <c r="AZ278" s="50">
        <f t="shared" si="227"/>
        <v>7800</v>
      </c>
      <c r="BA278" s="50">
        <v>0</v>
      </c>
      <c r="BB278" s="50">
        <v>6458</v>
      </c>
      <c r="BC278" s="50">
        <v>0</v>
      </c>
      <c r="BD278" s="50">
        <v>1342</v>
      </c>
      <c r="BE278" s="50"/>
      <c r="BF278" s="50">
        <f t="shared" si="6"/>
        <v>0</v>
      </c>
      <c r="BG278" s="50">
        <v>0</v>
      </c>
      <c r="BH278" s="50">
        <v>0</v>
      </c>
      <c r="BI278" s="50">
        <v>0</v>
      </c>
      <c r="BJ278" s="50">
        <v>0</v>
      </c>
      <c r="BK278" s="50"/>
      <c r="BL278" s="20"/>
    </row>
    <row r="279" spans="1:64" ht="84" x14ac:dyDescent="0.2">
      <c r="A279" s="69">
        <v>275</v>
      </c>
      <c r="B279" s="48" t="str">
        <f ca="1">IFERROR(__xludf.DUMMYFUNCTION("""COMPUTED_VALUE"""),"г.о. Серпухов")</f>
        <v>г.о. Серпухов</v>
      </c>
      <c r="C27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79" s="52" t="str">
        <f ca="1">IFERROR(__xludf.DUMMYFUNCTION("""COMPUTED_VALUE"""),"МинЖКХ")</f>
        <v>МинЖКХ</v>
      </c>
      <c r="E279" s="45" t="s">
        <v>321</v>
      </c>
      <c r="F279" s="46" t="str">
        <f ca="1">IFERROR(__xludf.DUMMYFUNCTION("""COMPUTED_VALUE"""),"Сети")</f>
        <v>Сети</v>
      </c>
      <c r="G279" s="46">
        <f ca="1">IFERROR(__xludf.DUMMYFUNCTION("""COMPUTED_VALUE"""),2023)</f>
        <v>2023</v>
      </c>
      <c r="H279" s="48"/>
      <c r="I279" s="48" t="str">
        <f ca="1">IFERROR(__xludf.DUMMYFUNCTION("""COMPUTED_VALUE"""),"СМР")</f>
        <v>СМР</v>
      </c>
      <c r="J279" s="48"/>
      <c r="K279" s="48"/>
      <c r="L279" s="48"/>
      <c r="M279" s="48"/>
      <c r="N279" s="48" t="str">
        <f ca="1">IFERROR(__xludf.DUMMYFUNCTION("""COMPUTED_VALUE"""),"10 3 02 64080")</f>
        <v>10 3 02 64080</v>
      </c>
      <c r="O279" s="48">
        <f ca="1">IFERROR(__xludf.DUMMYFUNCTION("""COMPUTED_VALUE"""),522)</f>
        <v>522</v>
      </c>
      <c r="P279" s="24">
        <f t="shared" ref="P279:T279" si="286">SUM(V279,AB279,AH279,AN279,AT279,AZ279,BF279)</f>
        <v>4800</v>
      </c>
      <c r="Q279" s="24">
        <f t="shared" si="286"/>
        <v>0</v>
      </c>
      <c r="R279" s="24">
        <f t="shared" si="286"/>
        <v>3974</v>
      </c>
      <c r="S279" s="24">
        <f t="shared" si="286"/>
        <v>0</v>
      </c>
      <c r="T279" s="24">
        <f t="shared" si="286"/>
        <v>826</v>
      </c>
      <c r="U279" s="24"/>
      <c r="V279" s="24"/>
      <c r="W279" s="24"/>
      <c r="X279" s="24"/>
      <c r="Y279" s="24"/>
      <c r="Z279" s="24"/>
      <c r="AA279" s="24"/>
      <c r="AB279" s="24"/>
      <c r="AC279" s="50"/>
      <c r="AD279" s="50"/>
      <c r="AE279" s="50"/>
      <c r="AF279" s="50"/>
      <c r="AG279" s="50"/>
      <c r="AH279" s="50">
        <f t="shared" si="2"/>
        <v>0</v>
      </c>
      <c r="AI279" s="50">
        <v>0</v>
      </c>
      <c r="AJ279" s="50">
        <v>0</v>
      </c>
      <c r="AK279" s="50">
        <v>0</v>
      </c>
      <c r="AL279" s="50">
        <v>0</v>
      </c>
      <c r="AM279" s="50"/>
      <c r="AN279" s="24">
        <f t="shared" si="3"/>
        <v>0</v>
      </c>
      <c r="AO279" s="50">
        <v>0</v>
      </c>
      <c r="AP279" s="50">
        <v>0</v>
      </c>
      <c r="AQ279" s="50">
        <v>0</v>
      </c>
      <c r="AR279" s="50">
        <v>0</v>
      </c>
      <c r="AS279" s="50"/>
      <c r="AT279" s="50">
        <f t="shared" si="4"/>
        <v>0</v>
      </c>
      <c r="AU279" s="50">
        <v>0</v>
      </c>
      <c r="AV279" s="50">
        <v>0</v>
      </c>
      <c r="AW279" s="50">
        <v>0</v>
      </c>
      <c r="AX279" s="50">
        <v>0</v>
      </c>
      <c r="AY279" s="50"/>
      <c r="AZ279" s="50">
        <f t="shared" si="227"/>
        <v>4800</v>
      </c>
      <c r="BA279" s="50">
        <v>0</v>
      </c>
      <c r="BB279" s="50">
        <v>3974</v>
      </c>
      <c r="BC279" s="50">
        <v>0</v>
      </c>
      <c r="BD279" s="50">
        <v>826</v>
      </c>
      <c r="BE279" s="50"/>
      <c r="BF279" s="50">
        <f t="shared" si="6"/>
        <v>0</v>
      </c>
      <c r="BG279" s="50">
        <v>0</v>
      </c>
      <c r="BH279" s="50">
        <v>0</v>
      </c>
      <c r="BI279" s="50">
        <v>0</v>
      </c>
      <c r="BJ279" s="50">
        <v>0</v>
      </c>
      <c r="BK279" s="50"/>
      <c r="BL279" s="20"/>
    </row>
    <row r="280" spans="1:64" ht="84" x14ac:dyDescent="0.2">
      <c r="A280" s="69">
        <v>276</v>
      </c>
      <c r="B280" s="48" t="str">
        <f ca="1">IFERROR(__xludf.DUMMYFUNCTION("""COMPUTED_VALUE"""),"г.о. Богородский")</f>
        <v>г.о. Богородский</v>
      </c>
      <c r="C28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0" s="52" t="str">
        <f ca="1">IFERROR(__xludf.DUMMYFUNCTION("""COMPUTED_VALUE"""),"МинЖКХ")</f>
        <v>МинЖКХ</v>
      </c>
      <c r="E280" s="45" t="s">
        <v>322</v>
      </c>
      <c r="F280" s="46" t="str">
        <f ca="1">IFERROR(__xludf.DUMMYFUNCTION("""COMPUTED_VALUE"""),"БМК")</f>
        <v>БМК</v>
      </c>
      <c r="G280" s="46">
        <f ca="1">IFERROR(__xludf.DUMMYFUNCTION("""COMPUTED_VALUE"""),2022)</f>
        <v>2022</v>
      </c>
      <c r="H280" s="48"/>
      <c r="I280" s="48" t="str">
        <f ca="1">IFERROR(__xludf.DUMMYFUNCTION("""COMPUTED_VALUE"""),"СМР")</f>
        <v>СМР</v>
      </c>
      <c r="J280" s="48"/>
      <c r="K280" s="48"/>
      <c r="L280" s="48"/>
      <c r="M280" s="48"/>
      <c r="N280" s="48" t="str">
        <f ca="1">IFERROR(__xludf.DUMMYFUNCTION("""COMPUTED_VALUE"""),"10 3 02 64080")</f>
        <v>10 3 02 64080</v>
      </c>
      <c r="O280" s="48">
        <f ca="1">IFERROR(__xludf.DUMMYFUNCTION("""COMPUTED_VALUE"""),522)</f>
        <v>522</v>
      </c>
      <c r="P280" s="24">
        <f t="shared" ref="P280:T280" si="287">SUM(V280,AB280,AH280,AN280,AT280,AZ280,BF280)</f>
        <v>19636</v>
      </c>
      <c r="Q280" s="24">
        <f t="shared" si="287"/>
        <v>0</v>
      </c>
      <c r="R280" s="24">
        <f t="shared" si="287"/>
        <v>14766</v>
      </c>
      <c r="S280" s="24">
        <f t="shared" si="287"/>
        <v>0</v>
      </c>
      <c r="T280" s="24">
        <f t="shared" si="287"/>
        <v>4870</v>
      </c>
      <c r="U280" s="24"/>
      <c r="V280" s="24"/>
      <c r="W280" s="24"/>
      <c r="X280" s="24"/>
      <c r="Y280" s="24"/>
      <c r="Z280" s="24"/>
      <c r="AA280" s="24"/>
      <c r="AB280" s="24"/>
      <c r="AC280" s="50"/>
      <c r="AD280" s="50"/>
      <c r="AE280" s="50"/>
      <c r="AF280" s="50"/>
      <c r="AG280" s="50"/>
      <c r="AH280" s="50">
        <f t="shared" si="2"/>
        <v>0</v>
      </c>
      <c r="AI280" s="50">
        <v>0</v>
      </c>
      <c r="AJ280" s="50">
        <v>0</v>
      </c>
      <c r="AK280" s="50">
        <v>0</v>
      </c>
      <c r="AL280" s="50">
        <v>0</v>
      </c>
      <c r="AM280" s="50"/>
      <c r="AN280" s="24">
        <f t="shared" si="3"/>
        <v>0</v>
      </c>
      <c r="AO280" s="50">
        <v>0</v>
      </c>
      <c r="AP280" s="50">
        <v>0</v>
      </c>
      <c r="AQ280" s="50">
        <v>0</v>
      </c>
      <c r="AR280" s="50">
        <v>0</v>
      </c>
      <c r="AS280" s="50"/>
      <c r="AT280" s="50">
        <f t="shared" si="4"/>
        <v>19636</v>
      </c>
      <c r="AU280" s="50">
        <v>0</v>
      </c>
      <c r="AV280" s="50">
        <v>14766</v>
      </c>
      <c r="AW280" s="50">
        <v>0</v>
      </c>
      <c r="AX280" s="50">
        <v>4870</v>
      </c>
      <c r="AY280" s="50"/>
      <c r="AZ280" s="50">
        <f t="shared" si="227"/>
        <v>0</v>
      </c>
      <c r="BA280" s="50">
        <v>0</v>
      </c>
      <c r="BB280" s="50">
        <v>0</v>
      </c>
      <c r="BC280" s="50">
        <v>0</v>
      </c>
      <c r="BD280" s="50">
        <v>0</v>
      </c>
      <c r="BE280" s="50"/>
      <c r="BF280" s="50">
        <f t="shared" si="6"/>
        <v>0</v>
      </c>
      <c r="BG280" s="50">
        <v>0</v>
      </c>
      <c r="BH280" s="50">
        <v>0</v>
      </c>
      <c r="BI280" s="50">
        <v>0</v>
      </c>
      <c r="BJ280" s="50">
        <v>0</v>
      </c>
      <c r="BK280" s="50"/>
      <c r="BL280" s="20"/>
    </row>
    <row r="281" spans="1:64" ht="84" x14ac:dyDescent="0.2">
      <c r="A281" s="69">
        <v>277</v>
      </c>
      <c r="B281" s="48" t="str">
        <f ca="1">IFERROR(__xludf.DUMMYFUNCTION("""COMPUTED_VALUE"""),"г.о. Богородский")</f>
        <v>г.о. Богородский</v>
      </c>
      <c r="C28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1" s="52" t="str">
        <f ca="1">IFERROR(__xludf.DUMMYFUNCTION("""COMPUTED_VALUE"""),"МинЖКХ")</f>
        <v>МинЖКХ</v>
      </c>
      <c r="E281" s="45" t="s">
        <v>323</v>
      </c>
      <c r="F281" s="46" t="str">
        <f ca="1">IFERROR(__xludf.DUMMYFUNCTION("""COMPUTED_VALUE"""),"БМК")</f>
        <v>БМК</v>
      </c>
      <c r="G281" s="46">
        <f ca="1">IFERROR(__xludf.DUMMYFUNCTION("""COMPUTED_VALUE"""),2022)</f>
        <v>2022</v>
      </c>
      <c r="H281" s="48"/>
      <c r="I281" s="48" t="str">
        <f ca="1">IFERROR(__xludf.DUMMYFUNCTION("""COMPUTED_VALUE"""),"СМР")</f>
        <v>СМР</v>
      </c>
      <c r="J281" s="48"/>
      <c r="K281" s="48"/>
      <c r="L281" s="48"/>
      <c r="M281" s="48"/>
      <c r="N281" s="48" t="str">
        <f ca="1">IFERROR(__xludf.DUMMYFUNCTION("""COMPUTED_VALUE"""),"10 3 02 64080")</f>
        <v>10 3 02 64080</v>
      </c>
      <c r="O281" s="48">
        <f ca="1">IFERROR(__xludf.DUMMYFUNCTION("""COMPUTED_VALUE"""),522)</f>
        <v>522</v>
      </c>
      <c r="P281" s="24">
        <f t="shared" ref="P281:T281" si="288">SUM(V281,AB281,AH281,AN281,AT281,AZ281,BF281)</f>
        <v>16636</v>
      </c>
      <c r="Q281" s="24">
        <f t="shared" si="288"/>
        <v>0</v>
      </c>
      <c r="R281" s="24">
        <f t="shared" si="288"/>
        <v>12510</v>
      </c>
      <c r="S281" s="24">
        <f t="shared" si="288"/>
        <v>0</v>
      </c>
      <c r="T281" s="24">
        <f t="shared" si="288"/>
        <v>4126</v>
      </c>
      <c r="U281" s="24"/>
      <c r="V281" s="24"/>
      <c r="W281" s="24"/>
      <c r="X281" s="24"/>
      <c r="Y281" s="24"/>
      <c r="Z281" s="24"/>
      <c r="AA281" s="24"/>
      <c r="AB281" s="24"/>
      <c r="AC281" s="50"/>
      <c r="AD281" s="50"/>
      <c r="AE281" s="50"/>
      <c r="AF281" s="50"/>
      <c r="AG281" s="50"/>
      <c r="AH281" s="50">
        <f t="shared" si="2"/>
        <v>0</v>
      </c>
      <c r="AI281" s="50">
        <v>0</v>
      </c>
      <c r="AJ281" s="50">
        <v>0</v>
      </c>
      <c r="AK281" s="50">
        <v>0</v>
      </c>
      <c r="AL281" s="50">
        <v>0</v>
      </c>
      <c r="AM281" s="50"/>
      <c r="AN281" s="24">
        <f t="shared" si="3"/>
        <v>0</v>
      </c>
      <c r="AO281" s="50">
        <v>0</v>
      </c>
      <c r="AP281" s="50">
        <v>0</v>
      </c>
      <c r="AQ281" s="50">
        <v>0</v>
      </c>
      <c r="AR281" s="50">
        <v>0</v>
      </c>
      <c r="AS281" s="50"/>
      <c r="AT281" s="50">
        <f t="shared" si="4"/>
        <v>16636</v>
      </c>
      <c r="AU281" s="50">
        <v>0</v>
      </c>
      <c r="AV281" s="50">
        <v>12510</v>
      </c>
      <c r="AW281" s="50">
        <v>0</v>
      </c>
      <c r="AX281" s="50">
        <v>4126</v>
      </c>
      <c r="AY281" s="50"/>
      <c r="AZ281" s="50">
        <f t="shared" si="227"/>
        <v>0</v>
      </c>
      <c r="BA281" s="50">
        <v>0</v>
      </c>
      <c r="BB281" s="50">
        <v>0</v>
      </c>
      <c r="BC281" s="50">
        <v>0</v>
      </c>
      <c r="BD281" s="50">
        <v>0</v>
      </c>
      <c r="BE281" s="50"/>
      <c r="BF281" s="50">
        <f t="shared" si="6"/>
        <v>0</v>
      </c>
      <c r="BG281" s="50">
        <v>0</v>
      </c>
      <c r="BH281" s="50">
        <v>0</v>
      </c>
      <c r="BI281" s="50">
        <v>0</v>
      </c>
      <c r="BJ281" s="50">
        <v>0</v>
      </c>
      <c r="BK281" s="50"/>
      <c r="BL281" s="20"/>
    </row>
    <row r="282" spans="1:64" ht="156" x14ac:dyDescent="0.2">
      <c r="A282" s="69">
        <v>278</v>
      </c>
      <c r="B282" s="46" t="str">
        <f ca="1">IFERROR(__xludf.DUMMYFUNCTION("""COMPUTED_VALUE"""),"г.о. Балашиха")</f>
        <v>г.о. Балашиха</v>
      </c>
      <c r="C282"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2" s="46" t="str">
        <f ca="1">IFERROR(__xludf.DUMMYFUNCTION("""COMPUTED_VALUE"""),"МинЖКХ")</f>
        <v>МинЖКХ</v>
      </c>
      <c r="E282" s="45" t="s">
        <v>324</v>
      </c>
      <c r="F282" s="46" t="str">
        <f ca="1">IFERROR(__xludf.DUMMYFUNCTION("""COMPUTED_VALUE"""),"Сети")</f>
        <v>Сети</v>
      </c>
      <c r="G282" s="46" t="str">
        <f ca="1">IFERROR(__xludf.DUMMYFUNCTION("""COMPUTED_VALUE"""),"2020-2021")</f>
        <v>2020-2021</v>
      </c>
      <c r="H282" s="48" t="str">
        <f ca="1">IFERROR(__xludf.DUMMYFUNCTION("""COMPUTED_VALUE"""),"Мероприятие реализуется в два этапа. 
1) 1-й участок - по результатам торгов победителем признан ООО ""Балашихинский водоканал"".
Ориентировочная дата заключения контракта 23.11.2020. 
2) 2-й участок - проект находится на рассмотрении в МОГЭ с 16.10.2020."&amp;" Плановая дата получения заключения 27.11.2020. Публикация закупки и заключение контракта - декабрь 2020 года. Освоение лимитов 2020 года планируется за счет выплаты аванса.")</f>
        <v>Мероприятие реализуется в два этапа. 
1) 1-й участок - по результатам торгов победителем признан ООО "Балашихинский водоканал".
Ориентировочная дата заключения контракта 23.11.2020. 
2) 2-й участок - проект находится на рассмотрении в МОГЭ с 16.10.2020. Плановая дата получения заключения 27.11.2020. Публикация закупки и заключение контракта - декабрь 2020 года. Освоение лимитов 2020 года планируется за счет выплаты аванса.</v>
      </c>
      <c r="I282" s="48" t="str">
        <f ca="1">IFERROR(__xludf.DUMMYFUNCTION("""COMPUTED_VALUE"""),"СМР")</f>
        <v>СМР</v>
      </c>
      <c r="J282" s="48"/>
      <c r="K282" s="48">
        <f ca="1">IFERROR(__xludf.DUMMYFUNCTION("""COMPUTED_VALUE"""),135000)</f>
        <v>135000</v>
      </c>
      <c r="L282" s="48">
        <f ca="1">IFERROR(__xludf.DUMMYFUNCTION("""COMPUTED_VALUE"""),135000)</f>
        <v>135000</v>
      </c>
      <c r="M282" s="48"/>
      <c r="N282" s="48" t="str">
        <f ca="1">IFERROR(__xludf.DUMMYFUNCTION("""COMPUTED_VALUE"""),"10 3 02 60320")</f>
        <v>10 3 02 60320</v>
      </c>
      <c r="O282" s="48">
        <f ca="1">IFERROR(__xludf.DUMMYFUNCTION("""COMPUTED_VALUE"""),521)</f>
        <v>521</v>
      </c>
      <c r="P282" s="24">
        <f t="shared" ref="P282:T282" si="289">SUM(V282,AB282,AH282,AN282,AT282,AZ282,BF282)</f>
        <v>251600</v>
      </c>
      <c r="Q282" s="24">
        <f t="shared" si="289"/>
        <v>0</v>
      </c>
      <c r="R282" s="24">
        <f t="shared" si="289"/>
        <v>78198</v>
      </c>
      <c r="S282" s="24">
        <f t="shared" si="289"/>
        <v>117296</v>
      </c>
      <c r="T282" s="24">
        <f t="shared" si="289"/>
        <v>56106</v>
      </c>
      <c r="U282" s="24"/>
      <c r="V282" s="20"/>
      <c r="W282" s="20"/>
      <c r="X282" s="20"/>
      <c r="Y282" s="20"/>
      <c r="Z282" s="20"/>
      <c r="AA282" s="20"/>
      <c r="AB282" s="20"/>
      <c r="AC282" s="24"/>
      <c r="AD282" s="24"/>
      <c r="AE282" s="24"/>
      <c r="AF282" s="24"/>
      <c r="AG282" s="24"/>
      <c r="AH282" s="50">
        <f t="shared" si="2"/>
        <v>150960</v>
      </c>
      <c r="AI282" s="50">
        <v>0</v>
      </c>
      <c r="AJ282" s="50">
        <v>0</v>
      </c>
      <c r="AK282" s="50">
        <v>117296</v>
      </c>
      <c r="AL282" s="50">
        <v>33664</v>
      </c>
      <c r="AM282" s="50"/>
      <c r="AN282" s="24">
        <f t="shared" si="3"/>
        <v>100640</v>
      </c>
      <c r="AO282" s="50">
        <v>0</v>
      </c>
      <c r="AP282" s="50">
        <v>78198</v>
      </c>
      <c r="AQ282" s="50">
        <v>0</v>
      </c>
      <c r="AR282" s="50">
        <v>22442</v>
      </c>
      <c r="AS282" s="50"/>
      <c r="AT282" s="50">
        <f t="shared" si="4"/>
        <v>0</v>
      </c>
      <c r="AU282" s="50">
        <v>0</v>
      </c>
      <c r="AV282" s="50">
        <v>0</v>
      </c>
      <c r="AW282" s="50">
        <v>0</v>
      </c>
      <c r="AX282" s="50">
        <v>0</v>
      </c>
      <c r="AY282" s="50"/>
      <c r="AZ282" s="50">
        <f t="shared" si="227"/>
        <v>0</v>
      </c>
      <c r="BA282" s="50">
        <v>0</v>
      </c>
      <c r="BB282" s="50">
        <v>0</v>
      </c>
      <c r="BC282" s="50">
        <v>0</v>
      </c>
      <c r="BD282" s="50">
        <v>0</v>
      </c>
      <c r="BE282" s="50"/>
      <c r="BF282" s="50">
        <f t="shared" si="6"/>
        <v>0</v>
      </c>
      <c r="BG282" s="50">
        <v>0</v>
      </c>
      <c r="BH282" s="50">
        <v>0</v>
      </c>
      <c r="BI282" s="50">
        <v>0</v>
      </c>
      <c r="BJ282" s="50">
        <v>0</v>
      </c>
      <c r="BK282" s="50"/>
      <c r="BL282" s="20"/>
    </row>
    <row r="283" spans="1:64" ht="84" x14ac:dyDescent="0.2">
      <c r="A283" s="69">
        <v>279</v>
      </c>
      <c r="B283" s="48" t="str">
        <f ca="1">IFERROR(__xludf.DUMMYFUNCTION("""COMPUTED_VALUE"""),"г.о. Долгопрудный")</f>
        <v>г.о. Долгопрудный</v>
      </c>
      <c r="C28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3" s="52" t="str">
        <f ca="1">IFERROR(__xludf.DUMMYFUNCTION("""COMPUTED_VALUE"""),"МинЖКХ")</f>
        <v>МинЖКХ</v>
      </c>
      <c r="E283" s="45" t="s">
        <v>325</v>
      </c>
      <c r="F283" s="46" t="str">
        <f ca="1">IFERROR(__xludf.DUMMYFUNCTION("""COMPUTED_VALUE"""),"Котельная")</f>
        <v>Котельная</v>
      </c>
      <c r="G283" s="46" t="str">
        <f ca="1">IFERROR(__xludf.DUMMYFUNCTION("""COMPUTED_VALUE"""),"2021-2022")</f>
        <v>2021-2022</v>
      </c>
      <c r="H283" s="48"/>
      <c r="I283" s="48" t="str">
        <f ca="1">IFERROR(__xludf.DUMMYFUNCTION("""COMPUTED_VALUE"""),"СМР")</f>
        <v>СМР</v>
      </c>
      <c r="J283" s="48"/>
      <c r="K283" s="48">
        <f ca="1">IFERROR(__xludf.DUMMYFUNCTION("""COMPUTED_VALUE"""),18243)</f>
        <v>18243</v>
      </c>
      <c r="L283" s="48">
        <f ca="1">IFERROR(__xludf.DUMMYFUNCTION("""COMPUTED_VALUE"""),18243)</f>
        <v>18243</v>
      </c>
      <c r="M283" s="48"/>
      <c r="N283" s="48" t="str">
        <f ca="1">IFERROR(__xludf.DUMMYFUNCTION("""COMPUTED_VALUE"""),"10 3 02 64080")</f>
        <v>10 3 02 64080</v>
      </c>
      <c r="O283" s="48">
        <f ca="1">IFERROR(__xludf.DUMMYFUNCTION("""COMPUTED_VALUE"""),522)</f>
        <v>522</v>
      </c>
      <c r="P283" s="24">
        <f t="shared" ref="P283:T283" si="290">SUM(V283,AB283,AH283,AN283,AT283,AZ283,BF283)</f>
        <v>278576.13</v>
      </c>
      <c r="Q283" s="24">
        <f t="shared" si="290"/>
        <v>0</v>
      </c>
      <c r="R283" s="24">
        <f t="shared" si="290"/>
        <v>220373.7</v>
      </c>
      <c r="S283" s="24">
        <f t="shared" si="290"/>
        <v>0</v>
      </c>
      <c r="T283" s="24">
        <f t="shared" si="290"/>
        <v>58202.43</v>
      </c>
      <c r="U283" s="24"/>
      <c r="V283" s="24"/>
      <c r="W283" s="24"/>
      <c r="X283" s="24"/>
      <c r="Y283" s="24"/>
      <c r="Z283" s="24"/>
      <c r="AA283" s="24"/>
      <c r="AB283" s="24"/>
      <c r="AC283" s="50"/>
      <c r="AD283" s="50"/>
      <c r="AE283" s="50"/>
      <c r="AF283" s="50"/>
      <c r="AG283" s="50"/>
      <c r="AH283" s="50">
        <f t="shared" si="2"/>
        <v>0</v>
      </c>
      <c r="AI283" s="50">
        <v>0</v>
      </c>
      <c r="AJ283" s="50">
        <v>0</v>
      </c>
      <c r="AK283" s="50">
        <v>0</v>
      </c>
      <c r="AL283" s="50">
        <v>0</v>
      </c>
      <c r="AM283" s="50"/>
      <c r="AN283" s="24">
        <f t="shared" si="3"/>
        <v>55715.229999999996</v>
      </c>
      <c r="AO283" s="50">
        <v>0</v>
      </c>
      <c r="AP283" s="50">
        <v>45853.63</v>
      </c>
      <c r="AQ283" s="50">
        <v>0</v>
      </c>
      <c r="AR283" s="50">
        <v>9861.6</v>
      </c>
      <c r="AS283" s="50"/>
      <c r="AT283" s="50">
        <f t="shared" si="4"/>
        <v>222860.90000000002</v>
      </c>
      <c r="AU283" s="50">
        <v>0</v>
      </c>
      <c r="AV283" s="50">
        <v>174520.07</v>
      </c>
      <c r="AW283" s="50">
        <v>0</v>
      </c>
      <c r="AX283" s="50">
        <v>48340.83</v>
      </c>
      <c r="AY283" s="50"/>
      <c r="AZ283" s="50">
        <f t="shared" si="227"/>
        <v>0</v>
      </c>
      <c r="BA283" s="50">
        <v>0</v>
      </c>
      <c r="BB283" s="50">
        <v>0</v>
      </c>
      <c r="BC283" s="50">
        <v>0</v>
      </c>
      <c r="BD283" s="50">
        <v>0</v>
      </c>
      <c r="BE283" s="50"/>
      <c r="BF283" s="50">
        <f t="shared" si="6"/>
        <v>0</v>
      </c>
      <c r="BG283" s="50">
        <v>0</v>
      </c>
      <c r="BH283" s="50">
        <v>0</v>
      </c>
      <c r="BI283" s="50">
        <v>0</v>
      </c>
      <c r="BJ283" s="50">
        <v>0</v>
      </c>
      <c r="BK283" s="50"/>
      <c r="BL283" s="20"/>
    </row>
    <row r="284" spans="1:64" ht="96" x14ac:dyDescent="0.2">
      <c r="A284" s="69">
        <v>280</v>
      </c>
      <c r="B284" s="46" t="str">
        <f ca="1">IFERROR(__xludf.DUMMYFUNCTION("""COMPUTED_VALUE"""),"г.о. Волоколамский")</f>
        <v>г.о. Волоколамский</v>
      </c>
      <c r="C28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4" s="52" t="str">
        <f ca="1">IFERROR(__xludf.DUMMYFUNCTION("""COMPUTED_VALUE"""),"МинЖКХ")</f>
        <v>МинЖКХ</v>
      </c>
      <c r="E284" s="45" t="s">
        <v>326</v>
      </c>
      <c r="F284" s="46" t="str">
        <f ca="1">IFERROR(__xludf.DUMMYFUNCTION("""COMPUTED_VALUE"""),"Котельная")</f>
        <v>Котельная</v>
      </c>
      <c r="G284" s="46" t="str">
        <f ca="1">IFERROR(__xludf.DUMMYFUNCTION("""COMPUTED_VALUE"""),"2020-2021")</f>
        <v>2020-2021</v>
      </c>
      <c r="H284" s="48" t="str">
        <f ca="1">IFERROR(__xludf.DUMMYFUNCTION("""COMPUTED_VALUE"""),"Риск неосвоения лимитов 2020 года. Мероприятие включено в ГП в ноябре. Находится на этапе подготовки документов для публикации закупки. Документация в МинЖКХ не поступала. Зашли в МОГЭ 13.11.2020. Принято решение разбить СМР на два года. Смета 20 348,00 т"&amp;"ыс. руб. Аванс планируют 50 %.")</f>
        <v>Риск неосвоения лимитов 2020 года. Мероприятие включено в ГП в ноябре. Находится на этапе подготовки документов для публикации закупки. Документация в МинЖКХ не поступала. Зашли в МОГЭ 13.11.2020. Принято решение разбить СМР на два года. Смета 20 348,00 тыс. руб. Аванс планируют 50 %.</v>
      </c>
      <c r="I284" s="48" t="str">
        <f ca="1">IFERROR(__xludf.DUMMYFUNCTION("""COMPUTED_VALUE"""),"СМР")</f>
        <v>СМР</v>
      </c>
      <c r="J284" s="48"/>
      <c r="K284" s="48">
        <f ca="1">IFERROR(__xludf.DUMMYFUNCTION("""COMPUTED_VALUE"""),0)</f>
        <v>0</v>
      </c>
      <c r="L284" s="48">
        <f ca="1">IFERROR(__xludf.DUMMYFUNCTION("""COMPUTED_VALUE"""),350)</f>
        <v>350</v>
      </c>
      <c r="M284" s="48"/>
      <c r="N284" s="48" t="str">
        <f ca="1">IFERROR(__xludf.DUMMYFUNCTION("""COMPUTED_VALUE"""),"10 3 02 64080")</f>
        <v>10 3 02 64080</v>
      </c>
      <c r="O284" s="48">
        <f ca="1">IFERROR(__xludf.DUMMYFUNCTION("""COMPUTED_VALUE"""),522)</f>
        <v>522</v>
      </c>
      <c r="P284" s="24">
        <f t="shared" ref="P284:T284" si="291">SUM(V284,AB284,AH284,AN284,AT284,AZ284,BF284)</f>
        <v>33351.56</v>
      </c>
      <c r="Q284" s="24">
        <f t="shared" si="291"/>
        <v>0</v>
      </c>
      <c r="R284" s="24">
        <f t="shared" si="291"/>
        <v>32830.31</v>
      </c>
      <c r="S284" s="24">
        <f t="shared" si="291"/>
        <v>0</v>
      </c>
      <c r="T284" s="24">
        <f t="shared" si="291"/>
        <v>521.25</v>
      </c>
      <c r="U284" s="24"/>
      <c r="V284" s="24"/>
      <c r="W284" s="24"/>
      <c r="X284" s="24"/>
      <c r="Y284" s="24"/>
      <c r="Z284" s="24"/>
      <c r="AA284" s="24"/>
      <c r="AB284" s="24"/>
      <c r="AC284" s="50"/>
      <c r="AD284" s="50"/>
      <c r="AE284" s="50"/>
      <c r="AF284" s="50"/>
      <c r="AG284" s="50"/>
      <c r="AH284" s="50">
        <f t="shared" si="2"/>
        <v>28348.829999999998</v>
      </c>
      <c r="AI284" s="50">
        <v>0</v>
      </c>
      <c r="AJ284" s="50">
        <v>27907.62</v>
      </c>
      <c r="AK284" s="50">
        <v>0</v>
      </c>
      <c r="AL284" s="50">
        <v>441.21</v>
      </c>
      <c r="AM284" s="50"/>
      <c r="AN284" s="24">
        <f t="shared" si="3"/>
        <v>5002.7299999999996</v>
      </c>
      <c r="AO284" s="50">
        <v>0</v>
      </c>
      <c r="AP284" s="50">
        <v>4922.6899999999996</v>
      </c>
      <c r="AQ284" s="50">
        <v>0</v>
      </c>
      <c r="AR284" s="50">
        <v>80.040000000000006</v>
      </c>
      <c r="AS284" s="50"/>
      <c r="AT284" s="50">
        <f t="shared" si="4"/>
        <v>0</v>
      </c>
      <c r="AU284" s="50">
        <v>0</v>
      </c>
      <c r="AV284" s="50">
        <v>0</v>
      </c>
      <c r="AW284" s="50">
        <v>0</v>
      </c>
      <c r="AX284" s="50">
        <v>0</v>
      </c>
      <c r="AY284" s="50"/>
      <c r="AZ284" s="50">
        <f t="shared" si="227"/>
        <v>0</v>
      </c>
      <c r="BA284" s="50">
        <v>0</v>
      </c>
      <c r="BB284" s="50">
        <v>0</v>
      </c>
      <c r="BC284" s="50">
        <v>0</v>
      </c>
      <c r="BD284" s="50">
        <v>0</v>
      </c>
      <c r="BE284" s="50"/>
      <c r="BF284" s="50">
        <f t="shared" si="6"/>
        <v>0</v>
      </c>
      <c r="BG284" s="50">
        <v>0</v>
      </c>
      <c r="BH284" s="50">
        <v>0</v>
      </c>
      <c r="BI284" s="50">
        <v>0</v>
      </c>
      <c r="BJ284" s="50">
        <v>0</v>
      </c>
      <c r="BK284" s="50"/>
      <c r="BL284" s="20"/>
    </row>
    <row r="285" spans="1:64" ht="84" x14ac:dyDescent="0.2">
      <c r="A285" s="69">
        <v>281</v>
      </c>
      <c r="B285" s="46" t="str">
        <f ca="1">IFERROR(__xludf.DUMMYFUNCTION("""COMPUTED_VALUE"""),"г.о. Волоколамский")</f>
        <v>г.о. Волоколамский</v>
      </c>
      <c r="C28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5" s="52" t="str">
        <f ca="1">IFERROR(__xludf.DUMMYFUNCTION("""COMPUTED_VALUE"""),"МинЖКХ")</f>
        <v>МинЖКХ</v>
      </c>
      <c r="E285" s="45" t="s">
        <v>327</v>
      </c>
      <c r="F285" s="46" t="str">
        <f ca="1">IFERROR(__xludf.DUMMYFUNCTION("""COMPUTED_VALUE"""),"Сети")</f>
        <v>Сети</v>
      </c>
      <c r="G285" s="46">
        <f ca="1">IFERROR(__xludf.DUMMYFUNCTION("""COMPUTED_VALUE"""),2020)</f>
        <v>2020</v>
      </c>
      <c r="H285" s="48" t="str">
        <f ca="1">IFERROR(__xludf.DUMMYFUNCTION("""COMPUTED_VALUE"""),"Находятся на стадии ПИРов. В конце ноября получают согласование сервитута на двух участков физ. лиц где должны проходить сети. Риск неосвоения лимитов в 2020 году. Документация в МинЖКХ не поступала. Если не зайдут в экспертизу до конца ноября, ДЕНЬГИ СНИ"&amp;"МАЮТ!")</f>
        <v>Находятся на стадии ПИРов. В конце ноября получают согласование сервитута на двух участков физ. лиц где должны проходить сети. Риск неосвоения лимитов в 2020 году. Документация в МинЖКХ не поступала. Если не зайдут в экспертизу до конца ноября, ДЕНЬГИ СНИМАЮТ!</v>
      </c>
      <c r="I285" s="48" t="str">
        <f ca="1">IFERROR(__xludf.DUMMYFUNCTION("""COMPUTED_VALUE"""),"ПИР")</f>
        <v>ПИР</v>
      </c>
      <c r="J285" s="48"/>
      <c r="K285" s="48" t="str">
        <f ca="1">IFERROR(__xludf.DUMMYFUNCTION("""COMPUTED_VALUE"""),"-")</f>
        <v>-</v>
      </c>
      <c r="L285" s="48" t="str">
        <f ca="1">IFERROR(__xludf.DUMMYFUNCTION("""COMPUTED_VALUE"""),"-")</f>
        <v>-</v>
      </c>
      <c r="M285" s="48"/>
      <c r="N285" s="48" t="str">
        <f ca="1">IFERROR(__xludf.DUMMYFUNCTION("""COMPUTED_VALUE"""),"10 3 02 64080")</f>
        <v>10 3 02 64080</v>
      </c>
      <c r="O285" s="48">
        <f ca="1">IFERROR(__xludf.DUMMYFUNCTION("""COMPUTED_VALUE"""),522)</f>
        <v>522</v>
      </c>
      <c r="P285" s="24">
        <f t="shared" ref="P285:T285" si="292">SUM(V285,AB285,AH285,AN285,AT285,AZ285,BF285)</f>
        <v>8254.7199999999993</v>
      </c>
      <c r="Q285" s="24">
        <f t="shared" si="292"/>
        <v>0</v>
      </c>
      <c r="R285" s="24">
        <f t="shared" si="292"/>
        <v>7366.3</v>
      </c>
      <c r="S285" s="24">
        <f t="shared" si="292"/>
        <v>0</v>
      </c>
      <c r="T285" s="24">
        <f t="shared" si="292"/>
        <v>888.42</v>
      </c>
      <c r="U285" s="24"/>
      <c r="V285" s="24"/>
      <c r="W285" s="24"/>
      <c r="X285" s="24"/>
      <c r="Y285" s="24"/>
      <c r="Z285" s="24"/>
      <c r="AA285" s="24"/>
      <c r="AB285" s="24"/>
      <c r="AC285" s="50"/>
      <c r="AD285" s="50"/>
      <c r="AE285" s="50"/>
      <c r="AF285" s="50"/>
      <c r="AG285" s="50"/>
      <c r="AH285" s="50">
        <f t="shared" si="2"/>
        <v>8254.7199999999993</v>
      </c>
      <c r="AI285" s="50">
        <v>0</v>
      </c>
      <c r="AJ285" s="50">
        <v>7366.3</v>
      </c>
      <c r="AK285" s="50">
        <v>0</v>
      </c>
      <c r="AL285" s="50">
        <v>888.42</v>
      </c>
      <c r="AM285" s="50"/>
      <c r="AN285" s="24">
        <f t="shared" si="3"/>
        <v>0</v>
      </c>
      <c r="AO285" s="50">
        <v>0</v>
      </c>
      <c r="AP285" s="50">
        <v>0</v>
      </c>
      <c r="AQ285" s="50">
        <v>0</v>
      </c>
      <c r="AR285" s="50">
        <v>0</v>
      </c>
      <c r="AS285" s="50"/>
      <c r="AT285" s="50">
        <f t="shared" si="4"/>
        <v>0</v>
      </c>
      <c r="AU285" s="50">
        <v>0</v>
      </c>
      <c r="AV285" s="50">
        <v>0</v>
      </c>
      <c r="AW285" s="50">
        <v>0</v>
      </c>
      <c r="AX285" s="50">
        <v>0</v>
      </c>
      <c r="AY285" s="50"/>
      <c r="AZ285" s="50">
        <f t="shared" si="227"/>
        <v>0</v>
      </c>
      <c r="BA285" s="50">
        <v>0</v>
      </c>
      <c r="BB285" s="50">
        <v>0</v>
      </c>
      <c r="BC285" s="50">
        <v>0</v>
      </c>
      <c r="BD285" s="50">
        <v>0</v>
      </c>
      <c r="BE285" s="50"/>
      <c r="BF285" s="50">
        <f t="shared" si="6"/>
        <v>0</v>
      </c>
      <c r="BG285" s="50">
        <v>0</v>
      </c>
      <c r="BH285" s="50">
        <v>0</v>
      </c>
      <c r="BI285" s="50">
        <v>0</v>
      </c>
      <c r="BJ285" s="50">
        <v>0</v>
      </c>
      <c r="BK285" s="50"/>
      <c r="BL285" s="20"/>
    </row>
    <row r="286" spans="1:64" ht="84" x14ac:dyDescent="0.2">
      <c r="A286" s="69">
        <v>282</v>
      </c>
      <c r="B286" s="48" t="str">
        <f ca="1">IFERROR(__xludf.DUMMYFUNCTION("""COMPUTED_VALUE"""),"г.о. Талдомский")</f>
        <v>г.о. Талдомский</v>
      </c>
      <c r="C28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6" s="52" t="str">
        <f ca="1">IFERROR(__xludf.DUMMYFUNCTION("""COMPUTED_VALUE"""),"МинЖКХ")</f>
        <v>МинЖКХ</v>
      </c>
      <c r="E286" s="45" t="s">
        <v>65</v>
      </c>
      <c r="F286" s="46" t="str">
        <f ca="1">IFERROR(__xludf.DUMMYFUNCTION("""COMPUTED_VALUE"""),"БМК")</f>
        <v>БМК</v>
      </c>
      <c r="G286" s="46">
        <f ca="1">IFERROR(__xludf.DUMMYFUNCTION("""COMPUTED_VALUE"""),2022)</f>
        <v>2022</v>
      </c>
      <c r="H286" s="48"/>
      <c r="I286" s="48" t="str">
        <f ca="1">IFERROR(__xludf.DUMMYFUNCTION("""COMPUTED_VALUE"""),"СМР")</f>
        <v>СМР</v>
      </c>
      <c r="J286" s="48"/>
      <c r="K286" s="48"/>
      <c r="L286" s="48"/>
      <c r="M286" s="48"/>
      <c r="N286" s="48" t="str">
        <f ca="1">IFERROR(__xludf.DUMMYFUNCTION("""COMPUTED_VALUE"""),"10 3 02 64080")</f>
        <v>10 3 02 64080</v>
      </c>
      <c r="O286" s="48">
        <f ca="1">IFERROR(__xludf.DUMMYFUNCTION("""COMPUTED_VALUE"""),522)</f>
        <v>522</v>
      </c>
      <c r="P286" s="24">
        <f t="shared" ref="P286:T286" si="293">SUM(V286,AB286,AH286,AN286,AT286,AZ286,BF286)</f>
        <v>64667.780000000006</v>
      </c>
      <c r="Q286" s="24">
        <f t="shared" si="293"/>
        <v>0</v>
      </c>
      <c r="R286" s="24">
        <f t="shared" si="293"/>
        <v>54081.66</v>
      </c>
      <c r="S286" s="24">
        <f t="shared" si="293"/>
        <v>0</v>
      </c>
      <c r="T286" s="24">
        <f t="shared" si="293"/>
        <v>10586.12</v>
      </c>
      <c r="U286" s="24"/>
      <c r="V286" s="24"/>
      <c r="W286" s="24"/>
      <c r="X286" s="24"/>
      <c r="Y286" s="24"/>
      <c r="Z286" s="24"/>
      <c r="AA286" s="24"/>
      <c r="AB286" s="24"/>
      <c r="AC286" s="50"/>
      <c r="AD286" s="50"/>
      <c r="AE286" s="50"/>
      <c r="AF286" s="50"/>
      <c r="AG286" s="50"/>
      <c r="AH286" s="50">
        <f t="shared" si="2"/>
        <v>0</v>
      </c>
      <c r="AI286" s="50">
        <v>0</v>
      </c>
      <c r="AJ286" s="50">
        <v>0</v>
      </c>
      <c r="AK286" s="50">
        <v>0</v>
      </c>
      <c r="AL286" s="50">
        <v>0</v>
      </c>
      <c r="AM286" s="50"/>
      <c r="AN286" s="24">
        <f t="shared" si="3"/>
        <v>0</v>
      </c>
      <c r="AO286" s="50">
        <v>0</v>
      </c>
      <c r="AP286" s="50">
        <v>0</v>
      </c>
      <c r="AQ286" s="50">
        <v>0</v>
      </c>
      <c r="AR286" s="50">
        <v>0</v>
      </c>
      <c r="AS286" s="50"/>
      <c r="AT286" s="50">
        <f t="shared" si="4"/>
        <v>64667.780000000006</v>
      </c>
      <c r="AU286" s="50">
        <v>0</v>
      </c>
      <c r="AV286" s="50">
        <v>54081.66</v>
      </c>
      <c r="AW286" s="50">
        <v>0</v>
      </c>
      <c r="AX286" s="50">
        <v>10586.12</v>
      </c>
      <c r="AY286" s="50"/>
      <c r="AZ286" s="50">
        <f t="shared" si="227"/>
        <v>0</v>
      </c>
      <c r="BA286" s="50">
        <v>0</v>
      </c>
      <c r="BB286" s="50">
        <v>0</v>
      </c>
      <c r="BC286" s="50">
        <v>0</v>
      </c>
      <c r="BD286" s="50">
        <v>0</v>
      </c>
      <c r="BE286" s="50"/>
      <c r="BF286" s="50">
        <f t="shared" si="6"/>
        <v>0</v>
      </c>
      <c r="BG286" s="50">
        <v>0</v>
      </c>
      <c r="BH286" s="50">
        <v>0</v>
      </c>
      <c r="BI286" s="50">
        <v>0</v>
      </c>
      <c r="BJ286" s="50">
        <v>0</v>
      </c>
      <c r="BK286" s="50"/>
      <c r="BL286" s="20"/>
    </row>
    <row r="287" spans="1:64" ht="84" x14ac:dyDescent="0.2">
      <c r="A287" s="69">
        <v>283</v>
      </c>
      <c r="B287" s="46" t="str">
        <f ca="1">IFERROR(__xludf.DUMMYFUNCTION("""COMPUTED_VALUE"""),"г.о. Егорьевск")</f>
        <v>г.о. Егорьевск</v>
      </c>
      <c r="C28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87" s="52" t="str">
        <f ca="1">IFERROR(__xludf.DUMMYFUNCTION("""COMPUTED_VALUE"""),"МинЖКХ")</f>
        <v>МинЖКХ</v>
      </c>
      <c r="E287" s="45" t="s">
        <v>328</v>
      </c>
      <c r="F287" s="46" t="str">
        <f ca="1">IFERROR(__xludf.DUMMYFUNCTION("""COMPUTED_VALUE"""),"Сети")</f>
        <v>Сети</v>
      </c>
      <c r="G287" s="46">
        <f ca="1">IFERROR(__xludf.DUMMYFUNCTION("""COMPUTED_VALUE"""),2020)</f>
        <v>2020</v>
      </c>
      <c r="H287" s="48" t="str">
        <f ca="1">IFERROR(__xludf.DUMMYFUNCTION("""COMPUTED_VALUE"""),"ПСД в МОГЭ. Выход из МОГЭ 2021 году. Требуется перенос лимитов.")</f>
        <v>ПСД в МОГЭ. Выход из МОГЭ 2021 году. Требуется перенос лимитов.</v>
      </c>
      <c r="I287" s="48" t="str">
        <f ca="1">IFERROR(__xludf.DUMMYFUNCTION("""COMPUTED_VALUE"""),"ПИР")</f>
        <v>ПИР</v>
      </c>
      <c r="J287" s="48"/>
      <c r="K287" s="48" t="str">
        <f ca="1">IFERROR(__xludf.DUMMYFUNCTION("""COMPUTED_VALUE"""),"-")</f>
        <v>-</v>
      </c>
      <c r="L287" s="48" t="str">
        <f ca="1">IFERROR(__xludf.DUMMYFUNCTION("""COMPUTED_VALUE"""),"-")</f>
        <v>-</v>
      </c>
      <c r="M287" s="48"/>
      <c r="N287" s="48" t="str">
        <f ca="1">IFERROR(__xludf.DUMMYFUNCTION("""COMPUTED_VALUE"""),"10 3 02 64080")</f>
        <v>10 3 02 64080</v>
      </c>
      <c r="O287" s="48">
        <f ca="1">IFERROR(__xludf.DUMMYFUNCTION("""COMPUTED_VALUE"""),522)</f>
        <v>522</v>
      </c>
      <c r="P287" s="24">
        <f t="shared" ref="P287:T287" si="294">SUM(V287,AB287,AH287,AN287,AT287,AZ287,BF287)</f>
        <v>5128.5199999999995</v>
      </c>
      <c r="Q287" s="24">
        <f t="shared" si="294"/>
        <v>0</v>
      </c>
      <c r="R287" s="24">
        <f t="shared" si="294"/>
        <v>4702.3999999999996</v>
      </c>
      <c r="S287" s="24">
        <f t="shared" si="294"/>
        <v>0</v>
      </c>
      <c r="T287" s="24">
        <f t="shared" si="294"/>
        <v>426.12</v>
      </c>
      <c r="U287" s="24"/>
      <c r="V287" s="24"/>
      <c r="W287" s="24"/>
      <c r="X287" s="24"/>
      <c r="Y287" s="24"/>
      <c r="Z287" s="24"/>
      <c r="AA287" s="24"/>
      <c r="AB287" s="24"/>
      <c r="AC287" s="50"/>
      <c r="AD287" s="50"/>
      <c r="AE287" s="50"/>
      <c r="AF287" s="50"/>
      <c r="AG287" s="50"/>
      <c r="AH287" s="50">
        <f t="shared" si="2"/>
        <v>5128.5199999999995</v>
      </c>
      <c r="AI287" s="50">
        <v>0</v>
      </c>
      <c r="AJ287" s="50">
        <v>4702.3999999999996</v>
      </c>
      <c r="AK287" s="50">
        <v>0</v>
      </c>
      <c r="AL287" s="50">
        <v>426.12</v>
      </c>
      <c r="AM287" s="50"/>
      <c r="AN287" s="24">
        <f t="shared" si="3"/>
        <v>0</v>
      </c>
      <c r="AO287" s="50">
        <v>0</v>
      </c>
      <c r="AP287" s="50">
        <v>0</v>
      </c>
      <c r="AQ287" s="50">
        <v>0</v>
      </c>
      <c r="AR287" s="50">
        <v>0</v>
      </c>
      <c r="AS287" s="50"/>
      <c r="AT287" s="50">
        <f t="shared" si="4"/>
        <v>0</v>
      </c>
      <c r="AU287" s="50">
        <v>0</v>
      </c>
      <c r="AV287" s="50">
        <v>0</v>
      </c>
      <c r="AW287" s="50">
        <v>0</v>
      </c>
      <c r="AX287" s="50">
        <v>0</v>
      </c>
      <c r="AY287" s="50"/>
      <c r="AZ287" s="50">
        <f t="shared" si="227"/>
        <v>0</v>
      </c>
      <c r="BA287" s="50">
        <v>0</v>
      </c>
      <c r="BB287" s="50">
        <v>0</v>
      </c>
      <c r="BC287" s="50">
        <v>0</v>
      </c>
      <c r="BD287" s="50">
        <v>0</v>
      </c>
      <c r="BE287" s="50"/>
      <c r="BF287" s="50">
        <f t="shared" si="6"/>
        <v>0</v>
      </c>
      <c r="BG287" s="50">
        <v>0</v>
      </c>
      <c r="BH287" s="50">
        <v>0</v>
      </c>
      <c r="BI287" s="50">
        <v>0</v>
      </c>
      <c r="BJ287" s="50">
        <v>0</v>
      </c>
      <c r="BK287" s="50"/>
      <c r="BL287" s="20"/>
    </row>
    <row r="288" spans="1:64" ht="96" x14ac:dyDescent="0.2">
      <c r="A288" s="69">
        <v>284</v>
      </c>
      <c r="B288" s="46" t="str">
        <f ca="1">IFERROR(__xludf.DUMMYFUNCTION("""COMPUTED_VALUE"""),"г.о. Зарайск")</f>
        <v>г.о. Зарайск</v>
      </c>
      <c r="C288"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8" s="46" t="str">
        <f ca="1">IFERROR(__xludf.DUMMYFUNCTION("""COMPUTED_VALUE"""),"МинЖКХ")</f>
        <v>МинЖКХ</v>
      </c>
      <c r="E288" s="45" t="s">
        <v>329</v>
      </c>
      <c r="F288" s="46" t="str">
        <f ca="1">IFERROR(__xludf.DUMMYFUNCTION("""COMPUTED_VALUE"""),"Котельная")</f>
        <v>Котельная</v>
      </c>
      <c r="G288" s="46">
        <f ca="1">IFERROR(__xludf.DUMMYFUNCTION("""COMPUTED_VALUE"""),2020)</f>
        <v>2020</v>
      </c>
      <c r="H288" s="48" t="str">
        <f ca="1">IFERROR(__xludf.DUMMYFUNCTION("""COMPUTED_VALUE"""),"Заявка направлена в МинЖКХ  от 30.10.2020 (Утверждена). ")</f>
        <v xml:space="preserve">Заявка направлена в МинЖКХ  от 30.10.2020 (Утверждена). </v>
      </c>
      <c r="I288" s="48" t="str">
        <f ca="1">IFERROR(__xludf.DUMMYFUNCTION("""COMPUTED_VALUE"""),"СМР")</f>
        <v>СМР</v>
      </c>
      <c r="J288" s="48">
        <f ca="1">IFERROR(__xludf.DUMMYFUNCTION("""COMPUTED_VALUE"""),100)</f>
        <v>100</v>
      </c>
      <c r="K288" s="48">
        <f ca="1">IFERROR(__xludf.DUMMYFUNCTION("""COMPUTED_VALUE"""),140)</f>
        <v>140</v>
      </c>
      <c r="L288" s="48">
        <f ca="1">IFERROR(__xludf.DUMMYFUNCTION("""COMPUTED_VALUE"""),140)</f>
        <v>140</v>
      </c>
      <c r="M288" s="48"/>
      <c r="N288" s="48" t="str">
        <f ca="1">IFERROR(__xludf.DUMMYFUNCTION("""COMPUTED_VALUE"""),"10 3 02 60320")</f>
        <v>10 3 02 60320</v>
      </c>
      <c r="O288" s="48">
        <f ca="1">IFERROR(__xludf.DUMMYFUNCTION("""COMPUTED_VALUE"""),521)</f>
        <v>521</v>
      </c>
      <c r="P288" s="24">
        <f t="shared" ref="P288:T288" si="295">SUM(V288,AB288,AH288,AN288,AT288,AZ288,BF288)</f>
        <v>1734.1399999999999</v>
      </c>
      <c r="Q288" s="24">
        <f t="shared" si="295"/>
        <v>0</v>
      </c>
      <c r="R288" s="24">
        <f t="shared" si="295"/>
        <v>0</v>
      </c>
      <c r="S288" s="24">
        <f t="shared" si="295"/>
        <v>1598</v>
      </c>
      <c r="T288" s="24">
        <f t="shared" si="295"/>
        <v>136.13999999999999</v>
      </c>
      <c r="U288" s="24"/>
      <c r="V288" s="20"/>
      <c r="W288" s="20"/>
      <c r="X288" s="20"/>
      <c r="Y288" s="20"/>
      <c r="Z288" s="20"/>
      <c r="AA288" s="20"/>
      <c r="AB288" s="20"/>
      <c r="AC288" s="24"/>
      <c r="AD288" s="24"/>
      <c r="AE288" s="24"/>
      <c r="AF288" s="24"/>
      <c r="AG288" s="24"/>
      <c r="AH288" s="50">
        <f t="shared" si="2"/>
        <v>1734.1399999999999</v>
      </c>
      <c r="AI288" s="50">
        <v>0</v>
      </c>
      <c r="AJ288" s="50">
        <v>0</v>
      </c>
      <c r="AK288" s="50">
        <v>1598</v>
      </c>
      <c r="AL288" s="50">
        <v>136.13999999999999</v>
      </c>
      <c r="AM288" s="50"/>
      <c r="AN288" s="24">
        <f t="shared" si="3"/>
        <v>0</v>
      </c>
      <c r="AO288" s="50">
        <v>0</v>
      </c>
      <c r="AP288" s="50">
        <v>0</v>
      </c>
      <c r="AQ288" s="50">
        <v>0</v>
      </c>
      <c r="AR288" s="50">
        <v>0</v>
      </c>
      <c r="AS288" s="50"/>
      <c r="AT288" s="50">
        <f t="shared" si="4"/>
        <v>0</v>
      </c>
      <c r="AU288" s="50">
        <v>0</v>
      </c>
      <c r="AV288" s="50">
        <v>0</v>
      </c>
      <c r="AW288" s="50">
        <v>0</v>
      </c>
      <c r="AX288" s="50">
        <v>0</v>
      </c>
      <c r="AY288" s="50"/>
      <c r="AZ288" s="50">
        <f t="shared" si="227"/>
        <v>0</v>
      </c>
      <c r="BA288" s="50">
        <v>0</v>
      </c>
      <c r="BB288" s="50">
        <v>0</v>
      </c>
      <c r="BC288" s="50">
        <v>0</v>
      </c>
      <c r="BD288" s="50">
        <v>0</v>
      </c>
      <c r="BE288" s="50"/>
      <c r="BF288" s="50">
        <f t="shared" si="6"/>
        <v>0</v>
      </c>
      <c r="BG288" s="50">
        <v>0</v>
      </c>
      <c r="BH288" s="50">
        <v>0</v>
      </c>
      <c r="BI288" s="50">
        <v>0</v>
      </c>
      <c r="BJ288" s="50">
        <v>0</v>
      </c>
      <c r="BK288" s="50"/>
      <c r="BL288" s="20"/>
    </row>
    <row r="289" spans="1:64" ht="96" x14ac:dyDescent="0.2">
      <c r="A289" s="69">
        <v>285</v>
      </c>
      <c r="B289" s="46" t="str">
        <f ca="1">IFERROR(__xludf.DUMMYFUNCTION("""COMPUTED_VALUE"""),"г.о. Зарайск")</f>
        <v>г.о. Зарайск</v>
      </c>
      <c r="C289"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289" s="46" t="str">
        <f ca="1">IFERROR(__xludf.DUMMYFUNCTION("""COMPUTED_VALUE"""),"МинЖКХ")</f>
        <v>МинЖКХ</v>
      </c>
      <c r="E289" s="45" t="s">
        <v>330</v>
      </c>
      <c r="F289" s="46" t="str">
        <f ca="1">IFERROR(__xludf.DUMMYFUNCTION("""COMPUTED_VALUE"""),"Котельная")</f>
        <v>Котельная</v>
      </c>
      <c r="G289" s="46">
        <f ca="1">IFERROR(__xludf.DUMMYFUNCTION("""COMPUTED_VALUE"""),2020)</f>
        <v>2020</v>
      </c>
      <c r="H289" s="48" t="str">
        <f ca="1">IFERROR(__xludf.DUMMYFUNCTION("""COMPUTED_VALUE"""),"Заявка направлена в МинЖКХ  от 30.10.2020 (Утверждена). ")</f>
        <v xml:space="preserve">Заявка направлена в МинЖКХ  от 30.10.2020 (Утверждена). </v>
      </c>
      <c r="I289" s="48" t="str">
        <f ca="1">IFERROR(__xludf.DUMMYFUNCTION("""COMPUTED_VALUE"""),"СМР")</f>
        <v>СМР</v>
      </c>
      <c r="J289" s="48">
        <f ca="1">IFERROR(__xludf.DUMMYFUNCTION("""COMPUTED_VALUE"""),100)</f>
        <v>100</v>
      </c>
      <c r="K289" s="48">
        <f ca="1">IFERROR(__xludf.DUMMYFUNCTION("""COMPUTED_VALUE"""),190)</f>
        <v>190</v>
      </c>
      <c r="L289" s="48">
        <f ca="1">IFERROR(__xludf.DUMMYFUNCTION("""COMPUTED_VALUE"""),190)</f>
        <v>190</v>
      </c>
      <c r="M289" s="48"/>
      <c r="N289" s="48" t="str">
        <f ca="1">IFERROR(__xludf.DUMMYFUNCTION("""COMPUTED_VALUE"""),"10 3 02 60320")</f>
        <v>10 3 02 60320</v>
      </c>
      <c r="O289" s="48">
        <f ca="1">IFERROR(__xludf.DUMMYFUNCTION("""COMPUTED_VALUE"""),521)</f>
        <v>521</v>
      </c>
      <c r="P289" s="24">
        <f t="shared" ref="P289:T289" si="296">SUM(V289,AB289,AH289,AN289,AT289,AZ289,BF289)</f>
        <v>1734.1399999999999</v>
      </c>
      <c r="Q289" s="24">
        <f t="shared" si="296"/>
        <v>0</v>
      </c>
      <c r="R289" s="24">
        <f t="shared" si="296"/>
        <v>0</v>
      </c>
      <c r="S289" s="24">
        <f t="shared" si="296"/>
        <v>1598</v>
      </c>
      <c r="T289" s="24">
        <f t="shared" si="296"/>
        <v>136.13999999999999</v>
      </c>
      <c r="U289" s="24"/>
      <c r="V289" s="20"/>
      <c r="W289" s="20"/>
      <c r="X289" s="20"/>
      <c r="Y289" s="20"/>
      <c r="Z289" s="20"/>
      <c r="AA289" s="20"/>
      <c r="AB289" s="20"/>
      <c r="AC289" s="24"/>
      <c r="AD289" s="24"/>
      <c r="AE289" s="24"/>
      <c r="AF289" s="24"/>
      <c r="AG289" s="24"/>
      <c r="AH289" s="50">
        <f t="shared" si="2"/>
        <v>1734.1399999999999</v>
      </c>
      <c r="AI289" s="50">
        <v>0</v>
      </c>
      <c r="AJ289" s="50">
        <v>0</v>
      </c>
      <c r="AK289" s="50">
        <v>1598</v>
      </c>
      <c r="AL289" s="50">
        <v>136.13999999999999</v>
      </c>
      <c r="AM289" s="50"/>
      <c r="AN289" s="24">
        <f t="shared" si="3"/>
        <v>0</v>
      </c>
      <c r="AO289" s="50">
        <v>0</v>
      </c>
      <c r="AP289" s="50">
        <v>0</v>
      </c>
      <c r="AQ289" s="50">
        <v>0</v>
      </c>
      <c r="AR289" s="50">
        <v>0</v>
      </c>
      <c r="AS289" s="50"/>
      <c r="AT289" s="50">
        <f t="shared" si="4"/>
        <v>0</v>
      </c>
      <c r="AU289" s="50">
        <v>0</v>
      </c>
      <c r="AV289" s="50">
        <v>0</v>
      </c>
      <c r="AW289" s="50">
        <v>0</v>
      </c>
      <c r="AX289" s="50">
        <v>0</v>
      </c>
      <c r="AY289" s="50"/>
      <c r="AZ289" s="50">
        <f t="shared" si="227"/>
        <v>0</v>
      </c>
      <c r="BA289" s="50">
        <v>0</v>
      </c>
      <c r="BB289" s="50">
        <v>0</v>
      </c>
      <c r="BC289" s="50">
        <v>0</v>
      </c>
      <c r="BD289" s="50">
        <v>0</v>
      </c>
      <c r="BE289" s="50"/>
      <c r="BF289" s="50">
        <f t="shared" si="6"/>
        <v>0</v>
      </c>
      <c r="BG289" s="50">
        <v>0</v>
      </c>
      <c r="BH289" s="50">
        <v>0</v>
      </c>
      <c r="BI289" s="50">
        <v>0</v>
      </c>
      <c r="BJ289" s="50">
        <v>0</v>
      </c>
      <c r="BK289" s="50"/>
      <c r="BL289" s="20"/>
    </row>
    <row r="290" spans="1:64" ht="84" x14ac:dyDescent="0.2">
      <c r="A290" s="69">
        <v>286</v>
      </c>
      <c r="B290" s="46" t="str">
        <f ca="1">IFERROR(__xludf.DUMMYFUNCTION("""COMPUTED_VALUE"""),"г.о. Зарайск")</f>
        <v>г.о. Зарайск</v>
      </c>
      <c r="C29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0" s="52" t="str">
        <f ca="1">IFERROR(__xludf.DUMMYFUNCTION("""COMPUTED_VALUE"""),"МинЖКХ ""ТОП 5 (1 этап)""")</f>
        <v>МинЖКХ "ТОП 5 (1 этап)"</v>
      </c>
      <c r="E290" s="45" t="s">
        <v>331</v>
      </c>
      <c r="F290" s="46" t="str">
        <f ca="1">IFERROR(__xludf.DUMMYFUNCTION("""COMPUTED_VALUE"""),"БМК")</f>
        <v>БМК</v>
      </c>
      <c r="G290" s="46">
        <f ca="1">IFERROR(__xludf.DUMMYFUNCTION("""COMPUTED_VALUE"""),2020)</f>
        <v>2020</v>
      </c>
      <c r="H290" s="48" t="str">
        <f ca="1">IFERROR(__xludf.DUMMYFUNCTION("""COMPUTED_VALUE"""),"Фундамент залит , врезка в сети водоснабжения и канализации произведен. Горелки и котельная поставлены  на объект. ")</f>
        <v xml:space="preserve">Фундамент залит , врезка в сети водоснабжения и канализации произведен. Горелки и котельная поставлены  на объект. </v>
      </c>
      <c r="I290" s="48" t="str">
        <f ca="1">IFERROR(__xludf.DUMMYFUNCTION("""COMPUTED_VALUE"""),"СМР")</f>
        <v>СМР</v>
      </c>
      <c r="J290" s="48">
        <f ca="1">IFERROR(__xludf.DUMMYFUNCTION("""COMPUTED_VALUE"""),12)</f>
        <v>12</v>
      </c>
      <c r="K290" s="48">
        <f ca="1">IFERROR(__xludf.DUMMYFUNCTION("""COMPUTED_VALUE"""),620)</f>
        <v>620</v>
      </c>
      <c r="L290" s="48">
        <f ca="1">IFERROR(__xludf.DUMMYFUNCTION("""COMPUTED_VALUE"""),620)</f>
        <v>620</v>
      </c>
      <c r="M290" s="48"/>
      <c r="N290" s="48" t="str">
        <f ca="1">IFERROR(__xludf.DUMMYFUNCTION("""COMPUTED_VALUE"""),"10 3 02 64080")</f>
        <v>10 3 02 64080</v>
      </c>
      <c r="O290" s="48">
        <f ca="1">IFERROR(__xludf.DUMMYFUNCTION("""COMPUTED_VALUE"""),522)</f>
        <v>522</v>
      </c>
      <c r="P290" s="24">
        <f t="shared" ref="P290:T290" si="297">SUM(V290,AB290,AH290,AN290,AT290,AZ290,BF290)</f>
        <v>31581.88</v>
      </c>
      <c r="Q290" s="24">
        <f t="shared" si="297"/>
        <v>0</v>
      </c>
      <c r="R290" s="24">
        <f t="shared" si="297"/>
        <v>0</v>
      </c>
      <c r="S290" s="24">
        <f t="shared" si="297"/>
        <v>29244.82</v>
      </c>
      <c r="T290" s="24">
        <f t="shared" si="297"/>
        <v>2337.06</v>
      </c>
      <c r="U290" s="24"/>
      <c r="V290" s="24"/>
      <c r="W290" s="24"/>
      <c r="X290" s="24"/>
      <c r="Y290" s="24"/>
      <c r="Z290" s="24"/>
      <c r="AA290" s="24"/>
      <c r="AB290" s="24"/>
      <c r="AC290" s="50"/>
      <c r="AD290" s="50"/>
      <c r="AE290" s="50"/>
      <c r="AF290" s="50"/>
      <c r="AG290" s="50"/>
      <c r="AH290" s="50">
        <f t="shared" si="2"/>
        <v>31581.88</v>
      </c>
      <c r="AI290" s="50">
        <v>0</v>
      </c>
      <c r="AJ290" s="50">
        <v>0</v>
      </c>
      <c r="AK290" s="50">
        <v>29244.82</v>
      </c>
      <c r="AL290" s="50">
        <v>2337.06</v>
      </c>
      <c r="AM290" s="50"/>
      <c r="AN290" s="24">
        <f t="shared" si="3"/>
        <v>0</v>
      </c>
      <c r="AO290" s="50">
        <v>0</v>
      </c>
      <c r="AP290" s="50">
        <v>0</v>
      </c>
      <c r="AQ290" s="50">
        <v>0</v>
      </c>
      <c r="AR290" s="50">
        <v>0</v>
      </c>
      <c r="AS290" s="50"/>
      <c r="AT290" s="50">
        <f t="shared" si="4"/>
        <v>0</v>
      </c>
      <c r="AU290" s="50">
        <v>0</v>
      </c>
      <c r="AV290" s="50">
        <v>0</v>
      </c>
      <c r="AW290" s="50">
        <v>0</v>
      </c>
      <c r="AX290" s="50">
        <v>0</v>
      </c>
      <c r="AY290" s="50"/>
      <c r="AZ290" s="50">
        <f t="shared" si="227"/>
        <v>0</v>
      </c>
      <c r="BA290" s="50">
        <v>0</v>
      </c>
      <c r="BB290" s="50">
        <v>0</v>
      </c>
      <c r="BC290" s="50">
        <v>0</v>
      </c>
      <c r="BD290" s="50">
        <v>0</v>
      </c>
      <c r="BE290" s="50"/>
      <c r="BF290" s="50">
        <f t="shared" si="6"/>
        <v>0</v>
      </c>
      <c r="BG290" s="50">
        <v>0</v>
      </c>
      <c r="BH290" s="50">
        <v>0</v>
      </c>
      <c r="BI290" s="50">
        <v>0</v>
      </c>
      <c r="BJ290" s="50">
        <v>0</v>
      </c>
      <c r="BK290" s="50"/>
      <c r="BL290" s="20"/>
    </row>
    <row r="291" spans="1:64" ht="84" x14ac:dyDescent="0.2">
      <c r="A291" s="69">
        <v>287</v>
      </c>
      <c r="B291" s="46" t="str">
        <f ca="1">IFERROR(__xludf.DUMMYFUNCTION("""COMPUTED_VALUE"""),"г.о. Зарайск")</f>
        <v>г.о. Зарайск</v>
      </c>
      <c r="C29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1" s="52" t="str">
        <f ca="1">IFERROR(__xludf.DUMMYFUNCTION("""COMPUTED_VALUE"""),"МинЖКХ ""ТОП 5 (1 этап)""")</f>
        <v>МинЖКХ "ТОП 5 (1 этап)"</v>
      </c>
      <c r="E291" s="45" t="s">
        <v>332</v>
      </c>
      <c r="F291" s="46" t="str">
        <f ca="1">IFERROR(__xludf.DUMMYFUNCTION("""COMPUTED_VALUE"""),"БМК")</f>
        <v>БМК</v>
      </c>
      <c r="G291" s="46" t="str">
        <f ca="1">IFERROR(__xludf.DUMMYFUNCTION("""COMPUTED_VALUE"""),"2020-2021")</f>
        <v>2020-2021</v>
      </c>
      <c r="H291" s="48"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I291" s="48" t="str">
        <f ca="1">IFERROR(__xludf.DUMMYFUNCTION("""COMPUTED_VALUE"""),"ПИР ")</f>
        <v xml:space="preserve">ПИР </v>
      </c>
      <c r="J291" s="48"/>
      <c r="K291" s="48">
        <f ca="1">IFERROR(__xludf.DUMMYFUNCTION("""COMPUTED_VALUE"""),950)</f>
        <v>950</v>
      </c>
      <c r="L291" s="48">
        <f ca="1">IFERROR(__xludf.DUMMYFUNCTION("""COMPUTED_VALUE"""),950)</f>
        <v>950</v>
      </c>
      <c r="M291" s="48"/>
      <c r="N291" s="48" t="str">
        <f ca="1">IFERROR(__xludf.DUMMYFUNCTION("""COMPUTED_VALUE"""),"10 3 02 64080")</f>
        <v>10 3 02 64080</v>
      </c>
      <c r="O291" s="48">
        <f ca="1">IFERROR(__xludf.DUMMYFUNCTION("""COMPUTED_VALUE"""),522)</f>
        <v>522</v>
      </c>
      <c r="P291" s="24">
        <f t="shared" ref="P291:T291" si="298">SUM(V291,AB291,AH291,AN291,AT291,AZ291,BF291)</f>
        <v>16722.010000000002</v>
      </c>
      <c r="Q291" s="24">
        <f t="shared" si="298"/>
        <v>0</v>
      </c>
      <c r="R291" s="24">
        <f t="shared" si="298"/>
        <v>0</v>
      </c>
      <c r="S291" s="24">
        <f t="shared" si="298"/>
        <v>15484.58</v>
      </c>
      <c r="T291" s="24">
        <f t="shared" si="298"/>
        <v>1237.4299999999998</v>
      </c>
      <c r="U291" s="24"/>
      <c r="V291" s="24"/>
      <c r="W291" s="24"/>
      <c r="X291" s="24"/>
      <c r="Y291" s="24"/>
      <c r="Z291" s="24"/>
      <c r="AA291" s="24"/>
      <c r="AB291" s="24"/>
      <c r="AC291" s="50"/>
      <c r="AD291" s="50"/>
      <c r="AE291" s="50"/>
      <c r="AF291" s="50"/>
      <c r="AG291" s="50"/>
      <c r="AH291" s="50">
        <f t="shared" si="2"/>
        <v>1900</v>
      </c>
      <c r="AI291" s="50">
        <v>0</v>
      </c>
      <c r="AJ291" s="50">
        <v>0</v>
      </c>
      <c r="AK291" s="50">
        <v>1759.4</v>
      </c>
      <c r="AL291" s="50">
        <v>140.6</v>
      </c>
      <c r="AM291" s="50"/>
      <c r="AN291" s="24">
        <f t="shared" si="3"/>
        <v>14822.01</v>
      </c>
      <c r="AO291" s="50">
        <v>0</v>
      </c>
      <c r="AP291" s="50">
        <v>0</v>
      </c>
      <c r="AQ291" s="50">
        <v>13725.18</v>
      </c>
      <c r="AR291" s="50">
        <v>1096.83</v>
      </c>
      <c r="AS291" s="50"/>
      <c r="AT291" s="50">
        <f t="shared" si="4"/>
        <v>0</v>
      </c>
      <c r="AU291" s="50">
        <v>0</v>
      </c>
      <c r="AV291" s="50">
        <v>0</v>
      </c>
      <c r="AW291" s="50">
        <v>0</v>
      </c>
      <c r="AX291" s="50">
        <v>0</v>
      </c>
      <c r="AY291" s="50"/>
      <c r="AZ291" s="50">
        <f t="shared" si="227"/>
        <v>0</v>
      </c>
      <c r="BA291" s="50">
        <v>0</v>
      </c>
      <c r="BB291" s="50">
        <v>0</v>
      </c>
      <c r="BC291" s="50">
        <v>0</v>
      </c>
      <c r="BD291" s="50">
        <v>0</v>
      </c>
      <c r="BE291" s="50"/>
      <c r="BF291" s="50">
        <f t="shared" si="6"/>
        <v>0</v>
      </c>
      <c r="BG291" s="50">
        <v>0</v>
      </c>
      <c r="BH291" s="50">
        <v>0</v>
      </c>
      <c r="BI291" s="50">
        <v>0</v>
      </c>
      <c r="BJ291" s="50">
        <v>0</v>
      </c>
      <c r="BK291" s="50"/>
      <c r="BL291" s="20"/>
    </row>
    <row r="292" spans="1:64" ht="84" x14ac:dyDescent="0.2">
      <c r="A292" s="69">
        <v>288</v>
      </c>
      <c r="B292" s="46" t="str">
        <f ca="1">IFERROR(__xludf.DUMMYFUNCTION("""COMPUTED_VALUE"""),"г.о. Зарайск")</f>
        <v>г.о. Зарайск</v>
      </c>
      <c r="C29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2" s="52" t="str">
        <f ca="1">IFERROR(__xludf.DUMMYFUNCTION("""COMPUTED_VALUE"""),"МинЖКХ ""ТОП 5 (1 этап)""")</f>
        <v>МинЖКХ "ТОП 5 (1 этап)"</v>
      </c>
      <c r="E292" s="45" t="s">
        <v>333</v>
      </c>
      <c r="F292" s="46" t="str">
        <f ca="1">IFERROR(__xludf.DUMMYFUNCTION("""COMPUTED_VALUE"""),"БМК")</f>
        <v>БМК</v>
      </c>
      <c r="G292" s="46" t="str">
        <f ca="1">IFERROR(__xludf.DUMMYFUNCTION("""COMPUTED_VALUE"""),"2020-2021")</f>
        <v>2020-2021</v>
      </c>
      <c r="H292" s="48"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I292" s="48" t="str">
        <f ca="1">IFERROR(__xludf.DUMMYFUNCTION("""COMPUTED_VALUE"""),"ПИР ")</f>
        <v xml:space="preserve">ПИР </v>
      </c>
      <c r="J292" s="48"/>
      <c r="K292" s="48">
        <f ca="1">IFERROR(__xludf.DUMMYFUNCTION("""COMPUTED_VALUE"""),250)</f>
        <v>250</v>
      </c>
      <c r="L292" s="48">
        <f ca="1">IFERROR(__xludf.DUMMYFUNCTION("""COMPUTED_VALUE"""),250)</f>
        <v>250</v>
      </c>
      <c r="M292" s="48"/>
      <c r="N292" s="48" t="str">
        <f ca="1">IFERROR(__xludf.DUMMYFUNCTION("""COMPUTED_VALUE"""),"10 3 02 64080")</f>
        <v>10 3 02 64080</v>
      </c>
      <c r="O292" s="48">
        <f ca="1">IFERROR(__xludf.DUMMYFUNCTION("""COMPUTED_VALUE"""),522)</f>
        <v>522</v>
      </c>
      <c r="P292" s="24">
        <f t="shared" ref="P292:T292" si="299">SUM(V292,AB292,AH292,AN292,AT292,AZ292,BF292)</f>
        <v>16063.3</v>
      </c>
      <c r="Q292" s="24">
        <f t="shared" si="299"/>
        <v>0</v>
      </c>
      <c r="R292" s="24">
        <f t="shared" si="299"/>
        <v>0</v>
      </c>
      <c r="S292" s="24">
        <f t="shared" si="299"/>
        <v>14874.619999999999</v>
      </c>
      <c r="T292" s="24">
        <f t="shared" si="299"/>
        <v>1188.6799999999998</v>
      </c>
      <c r="U292" s="24"/>
      <c r="V292" s="24"/>
      <c r="W292" s="24"/>
      <c r="X292" s="24"/>
      <c r="Y292" s="24"/>
      <c r="Z292" s="24"/>
      <c r="AA292" s="24"/>
      <c r="AB292" s="24"/>
      <c r="AC292" s="50"/>
      <c r="AD292" s="50"/>
      <c r="AE292" s="50"/>
      <c r="AF292" s="50"/>
      <c r="AG292" s="50"/>
      <c r="AH292" s="50">
        <f t="shared" si="2"/>
        <v>1900</v>
      </c>
      <c r="AI292" s="50">
        <v>0</v>
      </c>
      <c r="AJ292" s="50">
        <v>0</v>
      </c>
      <c r="AK292" s="50">
        <v>1759.4</v>
      </c>
      <c r="AL292" s="50">
        <v>140.6</v>
      </c>
      <c r="AM292" s="50"/>
      <c r="AN292" s="24">
        <f t="shared" si="3"/>
        <v>14163.3</v>
      </c>
      <c r="AO292" s="50">
        <v>0</v>
      </c>
      <c r="AP292" s="50">
        <v>0</v>
      </c>
      <c r="AQ292" s="50">
        <v>13115.22</v>
      </c>
      <c r="AR292" s="50">
        <v>1048.08</v>
      </c>
      <c r="AS292" s="50"/>
      <c r="AT292" s="50">
        <f t="shared" si="4"/>
        <v>0</v>
      </c>
      <c r="AU292" s="50">
        <v>0</v>
      </c>
      <c r="AV292" s="50">
        <v>0</v>
      </c>
      <c r="AW292" s="50">
        <v>0</v>
      </c>
      <c r="AX292" s="50">
        <v>0</v>
      </c>
      <c r="AY292" s="50"/>
      <c r="AZ292" s="50">
        <f t="shared" si="227"/>
        <v>0</v>
      </c>
      <c r="BA292" s="50">
        <v>0</v>
      </c>
      <c r="BB292" s="50">
        <v>0</v>
      </c>
      <c r="BC292" s="50">
        <v>0</v>
      </c>
      <c r="BD292" s="50">
        <v>0</v>
      </c>
      <c r="BE292" s="50"/>
      <c r="BF292" s="50">
        <f t="shared" si="6"/>
        <v>0</v>
      </c>
      <c r="BG292" s="50">
        <v>0</v>
      </c>
      <c r="BH292" s="50">
        <v>0</v>
      </c>
      <c r="BI292" s="50">
        <v>0</v>
      </c>
      <c r="BJ292" s="50">
        <v>0</v>
      </c>
      <c r="BK292" s="50"/>
      <c r="BL292" s="20"/>
    </row>
    <row r="293" spans="1:64" ht="120" x14ac:dyDescent="0.2">
      <c r="A293" s="69">
        <v>289</v>
      </c>
      <c r="B293" s="48" t="str">
        <f ca="1">IFERROR(__xludf.DUMMYFUNCTION("""COMPUTED_VALUE"""),"г.о. Раменский")</f>
        <v>г.о. Раменский</v>
      </c>
      <c r="C29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3" s="52" t="str">
        <f ca="1">IFERROR(__xludf.DUMMYFUNCTION("""COMPUTED_VALUE"""),"МинЖКХ")</f>
        <v>МинЖКХ</v>
      </c>
      <c r="E293" s="45" t="s">
        <v>334</v>
      </c>
      <c r="F293" s="46" t="str">
        <f ca="1">IFERROR(__xludf.DUMMYFUNCTION("""COMPUTED_VALUE"""),"Котельная")</f>
        <v>Котельная</v>
      </c>
      <c r="G293" s="46" t="str">
        <f ca="1">IFERROR(__xludf.DUMMYFUNCTION("""COMPUTED_VALUE"""),"2021-2022")</f>
        <v>2021-2022</v>
      </c>
      <c r="H293" s="48" t="str">
        <f ca="1">IFERROR(__xludf.DUMMYFUNCTION("""COMPUTED_VALUE"""),"На данный момент проект Постановления находиться на доработке в правовом Управление Губернатора Московской области.
Выполнены работы по разработке котлована и монтажу ж/б фундаментных столбов. Завезены металлоконструкции каркаса здания, а также стеновые "&amp;"панели кровли и стены.
")</f>
        <v xml:space="preserve">На данный момент проект Постановления находиться на доработке в правовом Управление Губернатора Московской области.
Выполнены работы по разработке котлована и монтажу ж/б фундаментных столбов. Завезены металлоконструкции каркаса здания, а также стеновые панели кровли и стены.
</v>
      </c>
      <c r="I293" s="48" t="str">
        <f ca="1">IFERROR(__xludf.DUMMYFUNCTION("""COMPUTED_VALUE"""),"СМР")</f>
        <v>СМР</v>
      </c>
      <c r="J293" s="48">
        <f ca="1">IFERROR(__xludf.DUMMYFUNCTION("""COMPUTED_VALUE"""),8)</f>
        <v>8</v>
      </c>
      <c r="K293" s="48">
        <f ca="1">IFERROR(__xludf.DUMMYFUNCTION("""COMPUTED_VALUE"""),3490)</f>
        <v>3490</v>
      </c>
      <c r="L293" s="48">
        <f ca="1">IFERROR(__xludf.DUMMYFUNCTION("""COMPUTED_VALUE"""),3490)</f>
        <v>3490</v>
      </c>
      <c r="M293" s="48"/>
      <c r="N293" s="48" t="str">
        <f ca="1">IFERROR(__xludf.DUMMYFUNCTION("""COMPUTED_VALUE"""),"10 3 02 64080")</f>
        <v>10 3 02 64080</v>
      </c>
      <c r="O293" s="48">
        <f ca="1">IFERROR(__xludf.DUMMYFUNCTION("""COMPUTED_VALUE"""),522)</f>
        <v>522</v>
      </c>
      <c r="P293" s="24">
        <f t="shared" ref="P293:T293" si="300">SUM(V293,AB293,AH293,AN293,AT293,AZ293,BF293)</f>
        <v>277078.79000000004</v>
      </c>
      <c r="Q293" s="24">
        <f t="shared" si="300"/>
        <v>0</v>
      </c>
      <c r="R293" s="24">
        <f t="shared" si="300"/>
        <v>263224.83</v>
      </c>
      <c r="S293" s="24">
        <f t="shared" si="300"/>
        <v>0</v>
      </c>
      <c r="T293" s="24">
        <f t="shared" si="300"/>
        <v>13853.96</v>
      </c>
      <c r="U293" s="24"/>
      <c r="V293" s="24"/>
      <c r="W293" s="24"/>
      <c r="X293" s="24"/>
      <c r="Y293" s="24"/>
      <c r="Z293" s="24"/>
      <c r="AA293" s="24"/>
      <c r="AB293" s="24"/>
      <c r="AC293" s="50"/>
      <c r="AD293" s="50"/>
      <c r="AE293" s="50"/>
      <c r="AF293" s="50"/>
      <c r="AG293" s="50"/>
      <c r="AH293" s="50">
        <f t="shared" si="2"/>
        <v>0</v>
      </c>
      <c r="AI293" s="50">
        <v>0</v>
      </c>
      <c r="AJ293" s="50">
        <v>0</v>
      </c>
      <c r="AK293" s="50">
        <v>0</v>
      </c>
      <c r="AL293" s="50">
        <v>0</v>
      </c>
      <c r="AM293" s="50"/>
      <c r="AN293" s="24">
        <f t="shared" si="3"/>
        <v>94055.63</v>
      </c>
      <c r="AO293" s="50">
        <v>0</v>
      </c>
      <c r="AP293" s="50">
        <v>89352.83</v>
      </c>
      <c r="AQ293" s="50">
        <v>0</v>
      </c>
      <c r="AR293" s="50">
        <v>4702.8</v>
      </c>
      <c r="AS293" s="50"/>
      <c r="AT293" s="50">
        <f t="shared" si="4"/>
        <v>183023.16</v>
      </c>
      <c r="AU293" s="50">
        <v>0</v>
      </c>
      <c r="AV293" s="50">
        <v>173872</v>
      </c>
      <c r="AW293" s="50">
        <v>0</v>
      </c>
      <c r="AX293" s="50">
        <v>9151.16</v>
      </c>
      <c r="AY293" s="50"/>
      <c r="AZ293" s="50">
        <f t="shared" si="227"/>
        <v>0</v>
      </c>
      <c r="BA293" s="50">
        <v>0</v>
      </c>
      <c r="BB293" s="50">
        <v>0</v>
      </c>
      <c r="BC293" s="50">
        <v>0</v>
      </c>
      <c r="BD293" s="50">
        <v>0</v>
      </c>
      <c r="BE293" s="50"/>
      <c r="BF293" s="50">
        <f t="shared" si="6"/>
        <v>0</v>
      </c>
      <c r="BG293" s="50">
        <v>0</v>
      </c>
      <c r="BH293" s="50">
        <v>0</v>
      </c>
      <c r="BI293" s="50">
        <v>0</v>
      </c>
      <c r="BJ293" s="50">
        <v>0</v>
      </c>
      <c r="BK293" s="50"/>
      <c r="BL293" s="20"/>
    </row>
    <row r="294" spans="1:64" ht="84" x14ac:dyDescent="0.2">
      <c r="A294" s="69">
        <v>290</v>
      </c>
      <c r="B294" s="46" t="str">
        <f ca="1">IFERROR(__xludf.DUMMYFUNCTION("""COMPUTED_VALUE"""),"г.о. Зарайск")</f>
        <v>г.о. Зарайск</v>
      </c>
      <c r="C29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4" s="52" t="str">
        <f ca="1">IFERROR(__xludf.DUMMYFUNCTION("""COMPUTED_VALUE"""),"МинЖКХ ""ТОП 5 (1 этап)""")</f>
        <v>МинЖКХ "ТОП 5 (1 этап)"</v>
      </c>
      <c r="E294" s="45" t="s">
        <v>335</v>
      </c>
      <c r="F294" s="46" t="str">
        <f ca="1">IFERROR(__xludf.DUMMYFUNCTION("""COMPUTED_VALUE"""),"БМК")</f>
        <v>БМК</v>
      </c>
      <c r="G294" s="46" t="str">
        <f ca="1">IFERROR(__xludf.DUMMYFUNCTION("""COMPUTED_VALUE"""),"2020-2021")</f>
        <v>2020-2021</v>
      </c>
      <c r="H294" s="48"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I294" s="48" t="str">
        <f ca="1">IFERROR(__xludf.DUMMYFUNCTION("""COMPUTED_VALUE"""),"ПИР ")</f>
        <v xml:space="preserve">ПИР </v>
      </c>
      <c r="J294" s="48"/>
      <c r="K294" s="48">
        <f ca="1">IFERROR(__xludf.DUMMYFUNCTION("""COMPUTED_VALUE"""),760)</f>
        <v>760</v>
      </c>
      <c r="L294" s="48">
        <f ca="1">IFERROR(__xludf.DUMMYFUNCTION("""COMPUTED_VALUE"""),760)</f>
        <v>760</v>
      </c>
      <c r="M294" s="48"/>
      <c r="N294" s="48" t="str">
        <f ca="1">IFERROR(__xludf.DUMMYFUNCTION("""COMPUTED_VALUE"""),"10 3 02 64080")</f>
        <v>10 3 02 64080</v>
      </c>
      <c r="O294" s="48">
        <f ca="1">IFERROR(__xludf.DUMMYFUNCTION("""COMPUTED_VALUE"""),522)</f>
        <v>522</v>
      </c>
      <c r="P294" s="24">
        <f t="shared" ref="P294:T294" si="301">SUM(V294,AB294,AH294,AN294,AT294,AZ294,BF294)</f>
        <v>16063.3</v>
      </c>
      <c r="Q294" s="24">
        <f t="shared" si="301"/>
        <v>0</v>
      </c>
      <c r="R294" s="24">
        <f t="shared" si="301"/>
        <v>0</v>
      </c>
      <c r="S294" s="24">
        <f t="shared" si="301"/>
        <v>14874.619999999999</v>
      </c>
      <c r="T294" s="24">
        <f t="shared" si="301"/>
        <v>1188.6799999999998</v>
      </c>
      <c r="U294" s="24"/>
      <c r="V294" s="24"/>
      <c r="W294" s="24"/>
      <c r="X294" s="24"/>
      <c r="Y294" s="24"/>
      <c r="Z294" s="24"/>
      <c r="AA294" s="24"/>
      <c r="AB294" s="24"/>
      <c r="AC294" s="50"/>
      <c r="AD294" s="50"/>
      <c r="AE294" s="50"/>
      <c r="AF294" s="50"/>
      <c r="AG294" s="50"/>
      <c r="AH294" s="50">
        <f t="shared" si="2"/>
        <v>1900</v>
      </c>
      <c r="AI294" s="50">
        <v>0</v>
      </c>
      <c r="AJ294" s="50">
        <v>0</v>
      </c>
      <c r="AK294" s="50">
        <v>1759.4</v>
      </c>
      <c r="AL294" s="50">
        <v>140.6</v>
      </c>
      <c r="AM294" s="50"/>
      <c r="AN294" s="24">
        <f t="shared" si="3"/>
        <v>14163.3</v>
      </c>
      <c r="AO294" s="50">
        <v>0</v>
      </c>
      <c r="AP294" s="50">
        <v>0</v>
      </c>
      <c r="AQ294" s="50">
        <v>13115.22</v>
      </c>
      <c r="AR294" s="50">
        <v>1048.08</v>
      </c>
      <c r="AS294" s="50"/>
      <c r="AT294" s="50">
        <f t="shared" si="4"/>
        <v>0</v>
      </c>
      <c r="AU294" s="50">
        <v>0</v>
      </c>
      <c r="AV294" s="50">
        <v>0</v>
      </c>
      <c r="AW294" s="50">
        <v>0</v>
      </c>
      <c r="AX294" s="50">
        <v>0</v>
      </c>
      <c r="AY294" s="50"/>
      <c r="AZ294" s="50">
        <f t="shared" si="227"/>
        <v>0</v>
      </c>
      <c r="BA294" s="50">
        <v>0</v>
      </c>
      <c r="BB294" s="50">
        <v>0</v>
      </c>
      <c r="BC294" s="50">
        <v>0</v>
      </c>
      <c r="BD294" s="50">
        <v>0</v>
      </c>
      <c r="BE294" s="50"/>
      <c r="BF294" s="50">
        <f t="shared" si="6"/>
        <v>0</v>
      </c>
      <c r="BG294" s="50">
        <v>0</v>
      </c>
      <c r="BH294" s="50">
        <v>0</v>
      </c>
      <c r="BI294" s="50">
        <v>0</v>
      </c>
      <c r="BJ294" s="50">
        <v>0</v>
      </c>
      <c r="BK294" s="50"/>
      <c r="BL294" s="20"/>
    </row>
    <row r="295" spans="1:64" ht="84" x14ac:dyDescent="0.2">
      <c r="A295" s="69">
        <v>291</v>
      </c>
      <c r="B295" s="48" t="str">
        <f ca="1">IFERROR(__xludf.DUMMYFUNCTION("""COMPUTED_VALUE"""),"г.о. Красногорск")</f>
        <v>г.о. Красногорск</v>
      </c>
      <c r="C29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5" s="52" t="str">
        <f ca="1">IFERROR(__xludf.DUMMYFUNCTION("""COMPUTED_VALUE"""),"МинЖКХ")</f>
        <v>МинЖКХ</v>
      </c>
      <c r="E295" s="45" t="s">
        <v>336</v>
      </c>
      <c r="F295" s="46" t="str">
        <f ca="1">IFERROR(__xludf.DUMMYFUNCTION("""COMPUTED_VALUE"""),"Котельная")</f>
        <v>Котельная</v>
      </c>
      <c r="G295" s="46" t="str">
        <f ca="1">IFERROR(__xludf.DUMMYFUNCTION("""COMPUTED_VALUE"""),"2022-2023")</f>
        <v>2022-2023</v>
      </c>
      <c r="H295" s="48"/>
      <c r="I295" s="48" t="str">
        <f ca="1">IFERROR(__xludf.DUMMYFUNCTION("""COMPUTED_VALUE"""),"СМР")</f>
        <v>СМР</v>
      </c>
      <c r="J295" s="48"/>
      <c r="K295" s="48"/>
      <c r="L295" s="48"/>
      <c r="M295" s="48"/>
      <c r="N295" s="48" t="str">
        <f ca="1">IFERROR(__xludf.DUMMYFUNCTION("""COMPUTED_VALUE"""),"10 3 02 64080")</f>
        <v>10 3 02 64080</v>
      </c>
      <c r="O295" s="48">
        <f ca="1">IFERROR(__xludf.DUMMYFUNCTION("""COMPUTED_VALUE"""),522)</f>
        <v>522</v>
      </c>
      <c r="P295" s="24">
        <f t="shared" ref="P295:T295" si="302">SUM(V295,AB295,AH295,AN295,AT295,AZ295,BF295)</f>
        <v>99944.2</v>
      </c>
      <c r="Q295" s="24">
        <f t="shared" si="302"/>
        <v>0</v>
      </c>
      <c r="R295" s="24">
        <f t="shared" si="302"/>
        <v>98806</v>
      </c>
      <c r="S295" s="24">
        <f t="shared" si="302"/>
        <v>0</v>
      </c>
      <c r="T295" s="24">
        <f t="shared" si="302"/>
        <v>1138.2</v>
      </c>
      <c r="U295" s="24"/>
      <c r="V295" s="24"/>
      <c r="W295" s="24"/>
      <c r="X295" s="24"/>
      <c r="Y295" s="24"/>
      <c r="Z295" s="24"/>
      <c r="AA295" s="24"/>
      <c r="AB295" s="24"/>
      <c r="AC295" s="50"/>
      <c r="AD295" s="50"/>
      <c r="AE295" s="50"/>
      <c r="AF295" s="50"/>
      <c r="AG295" s="50"/>
      <c r="AH295" s="50">
        <f t="shared" si="2"/>
        <v>0</v>
      </c>
      <c r="AI295" s="50">
        <v>0</v>
      </c>
      <c r="AJ295" s="50">
        <v>0</v>
      </c>
      <c r="AK295" s="50">
        <v>0</v>
      </c>
      <c r="AL295" s="50">
        <v>0</v>
      </c>
      <c r="AM295" s="50"/>
      <c r="AN295" s="24">
        <f t="shared" si="3"/>
        <v>0</v>
      </c>
      <c r="AO295" s="50">
        <v>0</v>
      </c>
      <c r="AP295" s="50">
        <v>0</v>
      </c>
      <c r="AQ295" s="50">
        <v>0</v>
      </c>
      <c r="AR295" s="50">
        <v>0</v>
      </c>
      <c r="AS295" s="50"/>
      <c r="AT295" s="50">
        <f t="shared" si="4"/>
        <v>29796.34</v>
      </c>
      <c r="AU295" s="50">
        <v>0</v>
      </c>
      <c r="AV295" s="50">
        <v>29429</v>
      </c>
      <c r="AW295" s="50">
        <v>0</v>
      </c>
      <c r="AX295" s="50">
        <v>367.34</v>
      </c>
      <c r="AY295" s="50"/>
      <c r="AZ295" s="50">
        <f t="shared" si="227"/>
        <v>70147.86</v>
      </c>
      <c r="BA295" s="50">
        <v>0</v>
      </c>
      <c r="BB295" s="50">
        <v>69377</v>
      </c>
      <c r="BC295" s="50">
        <v>0</v>
      </c>
      <c r="BD295" s="50">
        <v>770.86</v>
      </c>
      <c r="BE295" s="50"/>
      <c r="BF295" s="50">
        <f t="shared" si="6"/>
        <v>0</v>
      </c>
      <c r="BG295" s="50">
        <v>0</v>
      </c>
      <c r="BH295" s="50">
        <v>0</v>
      </c>
      <c r="BI295" s="50">
        <v>0</v>
      </c>
      <c r="BJ295" s="50">
        <v>0</v>
      </c>
      <c r="BK295" s="50"/>
      <c r="BL295" s="20"/>
    </row>
    <row r="296" spans="1:64" ht="84" x14ac:dyDescent="0.2">
      <c r="A296" s="69">
        <v>292</v>
      </c>
      <c r="B296" s="46" t="str">
        <f ca="1">IFERROR(__xludf.DUMMYFUNCTION("""COMPUTED_VALUE"""),"г.о. Зарайск")</f>
        <v>г.о. Зарайск</v>
      </c>
      <c r="C29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6" s="52" t="str">
        <f ca="1">IFERROR(__xludf.DUMMYFUNCTION("""COMPUTED_VALUE"""),"МинЖКХ ""ТОП 5 (1 этап)""")</f>
        <v>МинЖКХ "ТОП 5 (1 этап)"</v>
      </c>
      <c r="E296" s="45" t="s">
        <v>337</v>
      </c>
      <c r="F296" s="46" t="str">
        <f ca="1">IFERROR(__xludf.DUMMYFUNCTION("""COMPUTED_VALUE"""),"БМК")</f>
        <v>БМК</v>
      </c>
      <c r="G296" s="46" t="str">
        <f ca="1">IFERROR(__xludf.DUMMYFUNCTION("""COMPUTED_VALUE"""),"2020-2021")</f>
        <v>2020-2021</v>
      </c>
      <c r="H296" s="48"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I296" s="48" t="str">
        <f ca="1">IFERROR(__xludf.DUMMYFUNCTION("""COMPUTED_VALUE"""),"ПИР ")</f>
        <v xml:space="preserve">ПИР </v>
      </c>
      <c r="J296" s="48"/>
      <c r="K296" s="48">
        <f ca="1">IFERROR(__xludf.DUMMYFUNCTION("""COMPUTED_VALUE"""),530)</f>
        <v>530</v>
      </c>
      <c r="L296" s="48">
        <f ca="1">IFERROR(__xludf.DUMMYFUNCTION("""COMPUTED_VALUE"""),530)</f>
        <v>530</v>
      </c>
      <c r="M296" s="48"/>
      <c r="N296" s="48" t="str">
        <f ca="1">IFERROR(__xludf.DUMMYFUNCTION("""COMPUTED_VALUE"""),"10 3 02 64080")</f>
        <v>10 3 02 64080</v>
      </c>
      <c r="O296" s="48">
        <f ca="1">IFERROR(__xludf.DUMMYFUNCTION("""COMPUTED_VALUE"""),522)</f>
        <v>522</v>
      </c>
      <c r="P296" s="24">
        <f t="shared" ref="P296:T296" si="303">SUM(V296,AB296,AH296,AN296,AT296,AZ296,BF296)</f>
        <v>13675.310000000001</v>
      </c>
      <c r="Q296" s="24">
        <f t="shared" si="303"/>
        <v>0</v>
      </c>
      <c r="R296" s="24">
        <f t="shared" si="303"/>
        <v>0</v>
      </c>
      <c r="S296" s="24">
        <f t="shared" si="303"/>
        <v>12663.34</v>
      </c>
      <c r="T296" s="24">
        <f t="shared" si="303"/>
        <v>1011.97</v>
      </c>
      <c r="U296" s="24"/>
      <c r="V296" s="24"/>
      <c r="W296" s="24"/>
      <c r="X296" s="24"/>
      <c r="Y296" s="24"/>
      <c r="Z296" s="24"/>
      <c r="AA296" s="24"/>
      <c r="AB296" s="24"/>
      <c r="AC296" s="50"/>
      <c r="AD296" s="50"/>
      <c r="AE296" s="50"/>
      <c r="AF296" s="50"/>
      <c r="AG296" s="50"/>
      <c r="AH296" s="50">
        <f t="shared" si="2"/>
        <v>1900</v>
      </c>
      <c r="AI296" s="50">
        <v>0</v>
      </c>
      <c r="AJ296" s="50">
        <v>0</v>
      </c>
      <c r="AK296" s="50">
        <v>1759.4</v>
      </c>
      <c r="AL296" s="50">
        <v>140.6</v>
      </c>
      <c r="AM296" s="50"/>
      <c r="AN296" s="24">
        <f t="shared" si="3"/>
        <v>11775.310000000001</v>
      </c>
      <c r="AO296" s="50">
        <v>0</v>
      </c>
      <c r="AP296" s="50">
        <v>0</v>
      </c>
      <c r="AQ296" s="50">
        <v>10903.94</v>
      </c>
      <c r="AR296" s="50">
        <v>871.37</v>
      </c>
      <c r="AS296" s="50"/>
      <c r="AT296" s="50">
        <f t="shared" si="4"/>
        <v>0</v>
      </c>
      <c r="AU296" s="50">
        <v>0</v>
      </c>
      <c r="AV296" s="50">
        <v>0</v>
      </c>
      <c r="AW296" s="50">
        <v>0</v>
      </c>
      <c r="AX296" s="50">
        <v>0</v>
      </c>
      <c r="AY296" s="50"/>
      <c r="AZ296" s="50">
        <f t="shared" si="227"/>
        <v>0</v>
      </c>
      <c r="BA296" s="50">
        <v>0</v>
      </c>
      <c r="BB296" s="50">
        <v>0</v>
      </c>
      <c r="BC296" s="50">
        <v>0</v>
      </c>
      <c r="BD296" s="50">
        <v>0</v>
      </c>
      <c r="BE296" s="50"/>
      <c r="BF296" s="50">
        <f t="shared" si="6"/>
        <v>0</v>
      </c>
      <c r="BG296" s="50">
        <v>0</v>
      </c>
      <c r="BH296" s="50">
        <v>0</v>
      </c>
      <c r="BI296" s="50">
        <v>0</v>
      </c>
      <c r="BJ296" s="50">
        <v>0</v>
      </c>
      <c r="BK296" s="50"/>
      <c r="BL296" s="20"/>
    </row>
    <row r="297" spans="1:64" ht="84" x14ac:dyDescent="0.2">
      <c r="A297" s="69">
        <v>293</v>
      </c>
      <c r="B297" s="48" t="str">
        <f ca="1">IFERROR(__xludf.DUMMYFUNCTION("""COMPUTED_VALUE"""),"г.о. Красногорск")</f>
        <v>г.о. Красногорск</v>
      </c>
      <c r="C29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7" s="52" t="str">
        <f ca="1">IFERROR(__xludf.DUMMYFUNCTION("""COMPUTED_VALUE"""),"МинЖКХ")</f>
        <v>МинЖКХ</v>
      </c>
      <c r="E297" s="45" t="s">
        <v>338</v>
      </c>
      <c r="F297" s="46" t="str">
        <f ca="1">IFERROR(__xludf.DUMMYFUNCTION("""COMPUTED_VALUE"""),"Сети")</f>
        <v>Сети</v>
      </c>
      <c r="G297" s="46" t="str">
        <f ca="1">IFERROR(__xludf.DUMMYFUNCTION("""COMPUTED_VALUE"""),"2021-2022")</f>
        <v>2021-2022</v>
      </c>
      <c r="H297" s="48"/>
      <c r="I297" s="48" t="str">
        <f ca="1">IFERROR(__xludf.DUMMYFUNCTION("""COMPUTED_VALUE"""),"СМР")</f>
        <v>СМР</v>
      </c>
      <c r="J297" s="48"/>
      <c r="K297" s="48"/>
      <c r="L297" s="48"/>
      <c r="M297" s="48"/>
      <c r="N297" s="48" t="str">
        <f ca="1">IFERROR(__xludf.DUMMYFUNCTION("""COMPUTED_VALUE"""),"10 3 02 64080")</f>
        <v>10 3 02 64080</v>
      </c>
      <c r="O297" s="48">
        <f ca="1">IFERROR(__xludf.DUMMYFUNCTION("""COMPUTED_VALUE"""),522)</f>
        <v>522</v>
      </c>
      <c r="P297" s="24">
        <f t="shared" ref="P297:T297" si="304">SUM(V297,AB297,AH297,AN297,AT297,AZ297,BF297)</f>
        <v>786758.89</v>
      </c>
      <c r="Q297" s="24">
        <f t="shared" si="304"/>
        <v>0</v>
      </c>
      <c r="R297" s="24">
        <f t="shared" si="304"/>
        <v>778892</v>
      </c>
      <c r="S297" s="24">
        <f t="shared" si="304"/>
        <v>0</v>
      </c>
      <c r="T297" s="24">
        <f t="shared" si="304"/>
        <v>7866.8899999999994</v>
      </c>
      <c r="U297" s="24"/>
      <c r="V297" s="24"/>
      <c r="W297" s="24"/>
      <c r="X297" s="24"/>
      <c r="Y297" s="24"/>
      <c r="Z297" s="24"/>
      <c r="AA297" s="24"/>
      <c r="AB297" s="24"/>
      <c r="AC297" s="50"/>
      <c r="AD297" s="50"/>
      <c r="AE297" s="50"/>
      <c r="AF297" s="50"/>
      <c r="AG297" s="50"/>
      <c r="AH297" s="50">
        <f t="shared" si="2"/>
        <v>0</v>
      </c>
      <c r="AI297" s="50">
        <v>0</v>
      </c>
      <c r="AJ297" s="50">
        <v>0</v>
      </c>
      <c r="AK297" s="50">
        <v>0</v>
      </c>
      <c r="AL297" s="50">
        <v>0</v>
      </c>
      <c r="AM297" s="50"/>
      <c r="AN297" s="24">
        <f t="shared" si="3"/>
        <v>203029.6</v>
      </c>
      <c r="AO297" s="50">
        <v>0</v>
      </c>
      <c r="AP297" s="50">
        <v>201000</v>
      </c>
      <c r="AQ297" s="50">
        <v>0</v>
      </c>
      <c r="AR297" s="50">
        <v>2029.6</v>
      </c>
      <c r="AS297" s="50"/>
      <c r="AT297" s="50">
        <f t="shared" si="4"/>
        <v>583729.29</v>
      </c>
      <c r="AU297" s="50">
        <v>0</v>
      </c>
      <c r="AV297" s="50">
        <v>577892</v>
      </c>
      <c r="AW297" s="50">
        <v>0</v>
      </c>
      <c r="AX297" s="50">
        <v>5837.29</v>
      </c>
      <c r="AY297" s="50"/>
      <c r="AZ297" s="50">
        <f t="shared" si="227"/>
        <v>0</v>
      </c>
      <c r="BA297" s="50">
        <v>0</v>
      </c>
      <c r="BB297" s="50">
        <v>0</v>
      </c>
      <c r="BC297" s="50">
        <v>0</v>
      </c>
      <c r="BD297" s="50">
        <v>0</v>
      </c>
      <c r="BE297" s="50"/>
      <c r="BF297" s="50">
        <f t="shared" si="6"/>
        <v>0</v>
      </c>
      <c r="BG297" s="50">
        <v>0</v>
      </c>
      <c r="BH297" s="50">
        <v>0</v>
      </c>
      <c r="BI297" s="50">
        <v>0</v>
      </c>
      <c r="BJ297" s="50">
        <v>0</v>
      </c>
      <c r="BK297" s="50"/>
      <c r="BL297" s="20"/>
    </row>
    <row r="298" spans="1:64" ht="84" x14ac:dyDescent="0.2">
      <c r="A298" s="69">
        <v>294</v>
      </c>
      <c r="B298" s="46" t="str">
        <f ca="1">IFERROR(__xludf.DUMMYFUNCTION("""COMPUTED_VALUE"""),"г.о. Зарайск")</f>
        <v>г.о. Зарайск</v>
      </c>
      <c r="C29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8" s="52" t="str">
        <f ca="1">IFERROR(__xludf.DUMMYFUNCTION("""COMPUTED_VALUE"""),"МинЖКХ ""ТОП 5 (1 этап)""")</f>
        <v>МинЖКХ "ТОП 5 (1 этап)"</v>
      </c>
      <c r="E298" s="45" t="s">
        <v>339</v>
      </c>
      <c r="F298" s="46" t="str">
        <f ca="1">IFERROR(__xludf.DUMMYFUNCTION("""COMPUTED_VALUE"""),"БМК")</f>
        <v>БМК</v>
      </c>
      <c r="G298" s="46">
        <f ca="1">IFERROR(__xludf.DUMMYFUNCTION("""COMPUTED_VALUE"""),2020)</f>
        <v>2020</v>
      </c>
      <c r="H298" s="48" t="str">
        <f ca="1">IFERROR(__xludf.DUMMYFUNCTION("""COMPUTED_VALUE"""),"Фундамент залит , врезка в сети водоснабжения и канализации произведен. Горелки и котельная поставлены  на объект. ")</f>
        <v xml:space="preserve">Фундамент залит , врезка в сети водоснабжения и канализации произведен. Горелки и котельная поставлены  на объект. </v>
      </c>
      <c r="I298" s="48" t="str">
        <f ca="1">IFERROR(__xludf.DUMMYFUNCTION("""COMPUTED_VALUE"""),"СМР")</f>
        <v>СМР</v>
      </c>
      <c r="J298" s="48">
        <f ca="1">IFERROR(__xludf.DUMMYFUNCTION("""COMPUTED_VALUE"""),60)</f>
        <v>60</v>
      </c>
      <c r="K298" s="48">
        <f ca="1">IFERROR(__xludf.DUMMYFUNCTION("""COMPUTED_VALUE"""),1010)</f>
        <v>1010</v>
      </c>
      <c r="L298" s="48">
        <f ca="1">IFERROR(__xludf.DUMMYFUNCTION("""COMPUTED_VALUE"""),1010)</f>
        <v>1010</v>
      </c>
      <c r="M298" s="48"/>
      <c r="N298" s="48" t="str">
        <f ca="1">IFERROR(__xludf.DUMMYFUNCTION("""COMPUTED_VALUE"""),"10 3 02 64080")</f>
        <v>10 3 02 64080</v>
      </c>
      <c r="O298" s="48">
        <f ca="1">IFERROR(__xludf.DUMMYFUNCTION("""COMPUTED_VALUE"""),522)</f>
        <v>522</v>
      </c>
      <c r="P298" s="24">
        <f t="shared" ref="P298:T298" si="305">SUM(V298,AB298,AH298,AN298,AT298,AZ298,BF298)</f>
        <v>11775.310000000001</v>
      </c>
      <c r="Q298" s="24">
        <f t="shared" si="305"/>
        <v>0</v>
      </c>
      <c r="R298" s="24">
        <f t="shared" si="305"/>
        <v>0</v>
      </c>
      <c r="S298" s="24">
        <f t="shared" si="305"/>
        <v>10903.94</v>
      </c>
      <c r="T298" s="24">
        <f t="shared" si="305"/>
        <v>871.37</v>
      </c>
      <c r="U298" s="24"/>
      <c r="V298" s="24"/>
      <c r="W298" s="24"/>
      <c r="X298" s="24"/>
      <c r="Y298" s="24"/>
      <c r="Z298" s="24"/>
      <c r="AA298" s="24"/>
      <c r="AB298" s="24"/>
      <c r="AC298" s="50"/>
      <c r="AD298" s="50"/>
      <c r="AE298" s="50"/>
      <c r="AF298" s="50"/>
      <c r="AG298" s="50"/>
      <c r="AH298" s="50">
        <f t="shared" si="2"/>
        <v>11775.310000000001</v>
      </c>
      <c r="AI298" s="50">
        <v>0</v>
      </c>
      <c r="AJ298" s="50">
        <v>0</v>
      </c>
      <c r="AK298" s="50">
        <v>10903.94</v>
      </c>
      <c r="AL298" s="50">
        <v>871.37</v>
      </c>
      <c r="AM298" s="50"/>
      <c r="AN298" s="24">
        <f t="shared" si="3"/>
        <v>0</v>
      </c>
      <c r="AO298" s="50">
        <v>0</v>
      </c>
      <c r="AP298" s="50">
        <v>0</v>
      </c>
      <c r="AQ298" s="50">
        <v>0</v>
      </c>
      <c r="AR298" s="50">
        <v>0</v>
      </c>
      <c r="AS298" s="50"/>
      <c r="AT298" s="50">
        <f t="shared" si="4"/>
        <v>0</v>
      </c>
      <c r="AU298" s="50">
        <v>0</v>
      </c>
      <c r="AV298" s="50">
        <v>0</v>
      </c>
      <c r="AW298" s="50">
        <v>0</v>
      </c>
      <c r="AX298" s="50">
        <v>0</v>
      </c>
      <c r="AY298" s="50"/>
      <c r="AZ298" s="50">
        <f t="shared" si="227"/>
        <v>0</v>
      </c>
      <c r="BA298" s="50">
        <v>0</v>
      </c>
      <c r="BB298" s="50">
        <v>0</v>
      </c>
      <c r="BC298" s="50">
        <v>0</v>
      </c>
      <c r="BD298" s="50">
        <v>0</v>
      </c>
      <c r="BE298" s="50"/>
      <c r="BF298" s="50">
        <f t="shared" si="6"/>
        <v>0</v>
      </c>
      <c r="BG298" s="50">
        <v>0</v>
      </c>
      <c r="BH298" s="50">
        <v>0</v>
      </c>
      <c r="BI298" s="50">
        <v>0</v>
      </c>
      <c r="BJ298" s="50">
        <v>0</v>
      </c>
      <c r="BK298" s="50"/>
      <c r="BL298" s="20"/>
    </row>
    <row r="299" spans="1:64" ht="84" x14ac:dyDescent="0.2">
      <c r="A299" s="69">
        <v>295</v>
      </c>
      <c r="B299" s="48" t="str">
        <f ca="1">IFERROR(__xludf.DUMMYFUNCTION("""COMPUTED_VALUE"""),"г.о. Орехово-Зуево")</f>
        <v>г.о. Орехово-Зуево</v>
      </c>
      <c r="C29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299" s="52" t="str">
        <f ca="1">IFERROR(__xludf.DUMMYFUNCTION("""COMPUTED_VALUE"""),"МинЖКХ")</f>
        <v>МинЖКХ</v>
      </c>
      <c r="E299" s="45" t="s">
        <v>340</v>
      </c>
      <c r="F299" s="46" t="str">
        <f ca="1">IFERROR(__xludf.DUMMYFUNCTION("""COMPUTED_VALUE"""),"БМК")</f>
        <v>БМК</v>
      </c>
      <c r="G299" s="46">
        <f ca="1">IFERROR(__xludf.DUMMYFUNCTION("""COMPUTED_VALUE"""),2021)</f>
        <v>2021</v>
      </c>
      <c r="H299" s="48"/>
      <c r="I299" s="48" t="str">
        <f ca="1">IFERROR(__xludf.DUMMYFUNCTION("""COMPUTED_VALUE"""),"СМР")</f>
        <v>СМР</v>
      </c>
      <c r="J299" s="48"/>
      <c r="K299" s="48"/>
      <c r="L299" s="48"/>
      <c r="M299" s="48"/>
      <c r="N299" s="48"/>
      <c r="O299" s="48"/>
      <c r="P299" s="24">
        <f t="shared" ref="P299:T299" si="306">SUM(V299,AB299,AH299,AN299,AT299,AZ299,BF299)</f>
        <v>30000</v>
      </c>
      <c r="Q299" s="24">
        <f t="shared" si="306"/>
        <v>0</v>
      </c>
      <c r="R299" s="24">
        <f t="shared" si="306"/>
        <v>28500</v>
      </c>
      <c r="S299" s="24">
        <f t="shared" si="306"/>
        <v>0</v>
      </c>
      <c r="T299" s="24">
        <f t="shared" si="306"/>
        <v>1500</v>
      </c>
      <c r="U299" s="24"/>
      <c r="V299" s="24"/>
      <c r="W299" s="24"/>
      <c r="X299" s="24"/>
      <c r="Y299" s="24"/>
      <c r="Z299" s="24"/>
      <c r="AA299" s="24"/>
      <c r="AB299" s="24"/>
      <c r="AC299" s="50"/>
      <c r="AD299" s="50"/>
      <c r="AE299" s="50"/>
      <c r="AF299" s="50"/>
      <c r="AG299" s="50"/>
      <c r="AH299" s="50">
        <f t="shared" si="2"/>
        <v>0</v>
      </c>
      <c r="AI299" s="50">
        <v>0</v>
      </c>
      <c r="AJ299" s="50">
        <v>0</v>
      </c>
      <c r="AK299" s="50">
        <v>0</v>
      </c>
      <c r="AL299" s="50">
        <v>0</v>
      </c>
      <c r="AM299" s="50"/>
      <c r="AN299" s="24">
        <f t="shared" si="3"/>
        <v>5000</v>
      </c>
      <c r="AO299" s="50">
        <v>0</v>
      </c>
      <c r="AP299" s="50">
        <v>4750</v>
      </c>
      <c r="AQ299" s="50">
        <v>0</v>
      </c>
      <c r="AR299" s="50">
        <v>250</v>
      </c>
      <c r="AS299" s="50"/>
      <c r="AT299" s="50">
        <f t="shared" si="4"/>
        <v>25000</v>
      </c>
      <c r="AU299" s="50">
        <v>0</v>
      </c>
      <c r="AV299" s="50">
        <v>23750</v>
      </c>
      <c r="AW299" s="50">
        <v>0</v>
      </c>
      <c r="AX299" s="50">
        <v>1250</v>
      </c>
      <c r="AY299" s="50"/>
      <c r="AZ299" s="50">
        <f t="shared" si="227"/>
        <v>0</v>
      </c>
      <c r="BA299" s="50">
        <v>0</v>
      </c>
      <c r="BB299" s="50">
        <v>0</v>
      </c>
      <c r="BC299" s="50">
        <v>0</v>
      </c>
      <c r="BD299" s="50">
        <v>0</v>
      </c>
      <c r="BE299" s="50"/>
      <c r="BF299" s="50">
        <f t="shared" si="6"/>
        <v>0</v>
      </c>
      <c r="BG299" s="50">
        <v>0</v>
      </c>
      <c r="BH299" s="50">
        <v>0</v>
      </c>
      <c r="BI299" s="50">
        <v>0</v>
      </c>
      <c r="BJ299" s="50">
        <v>0</v>
      </c>
      <c r="BK299" s="50"/>
      <c r="BL299" s="45" t="s">
        <v>281</v>
      </c>
    </row>
    <row r="300" spans="1:64" ht="84" x14ac:dyDescent="0.2">
      <c r="A300" s="69">
        <v>296</v>
      </c>
      <c r="B300" s="48" t="str">
        <f ca="1">IFERROR(__xludf.DUMMYFUNCTION("""COMPUTED_VALUE"""),"г.о. Рузский")</f>
        <v>г.о. Рузский</v>
      </c>
      <c r="C30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0" s="52" t="str">
        <f ca="1">IFERROR(__xludf.DUMMYFUNCTION("""COMPUTED_VALUE"""),"МинЖКХ")</f>
        <v>МинЖКХ</v>
      </c>
      <c r="E300" s="127" t="s">
        <v>593</v>
      </c>
      <c r="F300" s="46" t="str">
        <f ca="1">IFERROR(__xludf.DUMMYFUNCTION("""COMPUTED_VALUE"""),"БМК")</f>
        <v>БМК</v>
      </c>
      <c r="G300" s="46">
        <f ca="1">IFERROR(__xludf.DUMMYFUNCTION("""COMPUTED_VALUE"""),2021)</f>
        <v>2021</v>
      </c>
      <c r="H300" s="48"/>
      <c r="I300" s="48" t="str">
        <f ca="1">IFERROR(__xludf.DUMMYFUNCTION("""COMPUTED_VALUE"""),"СМР")</f>
        <v>СМР</v>
      </c>
      <c r="J300" s="48"/>
      <c r="K300" s="48"/>
      <c r="L300" s="48"/>
      <c r="M300" s="48"/>
      <c r="N300" s="48"/>
      <c r="O300" s="48"/>
      <c r="P300" s="24">
        <f t="shared" ref="P300:T300" si="307">SUM(V300,AB300,AH300,AN300,AT300,AZ300,BF300)</f>
        <v>35694.050000000003</v>
      </c>
      <c r="Q300" s="24">
        <f t="shared" si="307"/>
        <v>0</v>
      </c>
      <c r="R300" s="24">
        <f t="shared" si="307"/>
        <v>29519</v>
      </c>
      <c r="S300" s="24">
        <f t="shared" si="307"/>
        <v>0</v>
      </c>
      <c r="T300" s="24">
        <f t="shared" si="307"/>
        <v>6175.05</v>
      </c>
      <c r="U300" s="24"/>
      <c r="V300" s="24"/>
      <c r="W300" s="24"/>
      <c r="X300" s="24"/>
      <c r="Y300" s="24"/>
      <c r="Z300" s="24"/>
      <c r="AA300" s="24"/>
      <c r="AB300" s="24"/>
      <c r="AC300" s="50"/>
      <c r="AD300" s="50"/>
      <c r="AE300" s="50"/>
      <c r="AF300" s="50"/>
      <c r="AG300" s="50"/>
      <c r="AH300" s="50">
        <f t="shared" si="2"/>
        <v>0</v>
      </c>
      <c r="AI300" s="50">
        <v>0</v>
      </c>
      <c r="AJ300" s="50">
        <v>0</v>
      </c>
      <c r="AK300" s="50">
        <v>0</v>
      </c>
      <c r="AL300" s="50">
        <v>0</v>
      </c>
      <c r="AM300" s="50"/>
      <c r="AN300" s="24">
        <f t="shared" si="3"/>
        <v>35694.050000000003</v>
      </c>
      <c r="AO300" s="50">
        <v>0</v>
      </c>
      <c r="AP300" s="50">
        <v>29519</v>
      </c>
      <c r="AQ300" s="50">
        <v>0</v>
      </c>
      <c r="AR300" s="50">
        <v>6175.05</v>
      </c>
      <c r="AS300" s="50"/>
      <c r="AT300" s="50">
        <f t="shared" si="4"/>
        <v>0</v>
      </c>
      <c r="AU300" s="50">
        <v>0</v>
      </c>
      <c r="AV300" s="50">
        <v>0</v>
      </c>
      <c r="AW300" s="50">
        <v>0</v>
      </c>
      <c r="AX300" s="50">
        <v>0</v>
      </c>
      <c r="AY300" s="50"/>
      <c r="AZ300" s="50">
        <f t="shared" si="227"/>
        <v>0</v>
      </c>
      <c r="BA300" s="50">
        <v>0</v>
      </c>
      <c r="BB300" s="50">
        <v>0</v>
      </c>
      <c r="BC300" s="50">
        <v>0</v>
      </c>
      <c r="BD300" s="50">
        <v>0</v>
      </c>
      <c r="BE300" s="50"/>
      <c r="BF300" s="50">
        <f t="shared" si="6"/>
        <v>0</v>
      </c>
      <c r="BG300" s="50">
        <v>0</v>
      </c>
      <c r="BH300" s="50">
        <v>0</v>
      </c>
      <c r="BI300" s="50">
        <v>0</v>
      </c>
      <c r="BJ300" s="50">
        <v>0</v>
      </c>
      <c r="BK300" s="50"/>
      <c r="BL300" s="20"/>
    </row>
    <row r="301" spans="1:64" ht="84" x14ac:dyDescent="0.2">
      <c r="A301" s="69">
        <v>297</v>
      </c>
      <c r="B301" s="48" t="str">
        <f ca="1">IFERROR(__xludf.DUMMYFUNCTION("""COMPUTED_VALUE"""),"г.о. Рузский")</f>
        <v>г.о. Рузский</v>
      </c>
      <c r="C30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1" s="52" t="str">
        <f ca="1">IFERROR(__xludf.DUMMYFUNCTION("""COMPUTED_VALUE"""),"МинЖКХ")</f>
        <v>МинЖКХ</v>
      </c>
      <c r="E301" s="127" t="s">
        <v>594</v>
      </c>
      <c r="F301" s="46" t="str">
        <f ca="1">IFERROR(__xludf.DUMMYFUNCTION("""COMPUTED_VALUE"""),"БМК")</f>
        <v>БМК</v>
      </c>
      <c r="G301" s="46">
        <f ca="1">IFERROR(__xludf.DUMMYFUNCTION("""COMPUTED_VALUE"""),2021)</f>
        <v>2021</v>
      </c>
      <c r="H301" s="48"/>
      <c r="I301" s="48" t="str">
        <f ca="1">IFERROR(__xludf.DUMMYFUNCTION("""COMPUTED_VALUE"""),"СМР")</f>
        <v>СМР</v>
      </c>
      <c r="J301" s="48"/>
      <c r="K301" s="48"/>
      <c r="L301" s="48"/>
      <c r="M301" s="48"/>
      <c r="N301" s="48"/>
      <c r="O301" s="48"/>
      <c r="P301" s="24">
        <f t="shared" ref="P301:T301" si="308">SUM(V301,AB301,AH301,AN301,AT301,AZ301,BF301)</f>
        <v>22679.42</v>
      </c>
      <c r="Q301" s="24">
        <f t="shared" si="308"/>
        <v>0</v>
      </c>
      <c r="R301" s="24">
        <f t="shared" si="308"/>
        <v>18756</v>
      </c>
      <c r="S301" s="24">
        <f t="shared" si="308"/>
        <v>0</v>
      </c>
      <c r="T301" s="24">
        <f t="shared" si="308"/>
        <v>3923.42</v>
      </c>
      <c r="U301" s="24"/>
      <c r="V301" s="24"/>
      <c r="W301" s="24"/>
      <c r="X301" s="24"/>
      <c r="Y301" s="24"/>
      <c r="Z301" s="24"/>
      <c r="AA301" s="24"/>
      <c r="AB301" s="24"/>
      <c r="AC301" s="50"/>
      <c r="AD301" s="50"/>
      <c r="AE301" s="50"/>
      <c r="AF301" s="50"/>
      <c r="AG301" s="50"/>
      <c r="AH301" s="50">
        <f t="shared" si="2"/>
        <v>0</v>
      </c>
      <c r="AI301" s="50">
        <v>0</v>
      </c>
      <c r="AJ301" s="50">
        <v>0</v>
      </c>
      <c r="AK301" s="50">
        <v>0</v>
      </c>
      <c r="AL301" s="50">
        <v>0</v>
      </c>
      <c r="AM301" s="50"/>
      <c r="AN301" s="24">
        <f t="shared" si="3"/>
        <v>22679.42</v>
      </c>
      <c r="AO301" s="50">
        <v>0</v>
      </c>
      <c r="AP301" s="50">
        <v>18756</v>
      </c>
      <c r="AQ301" s="50">
        <v>0</v>
      </c>
      <c r="AR301" s="50">
        <v>3923.42</v>
      </c>
      <c r="AS301" s="50"/>
      <c r="AT301" s="50">
        <f t="shared" si="4"/>
        <v>0</v>
      </c>
      <c r="AU301" s="50">
        <v>0</v>
      </c>
      <c r="AV301" s="50">
        <v>0</v>
      </c>
      <c r="AW301" s="50">
        <v>0</v>
      </c>
      <c r="AX301" s="50">
        <v>0</v>
      </c>
      <c r="AY301" s="50"/>
      <c r="AZ301" s="50">
        <f t="shared" si="227"/>
        <v>0</v>
      </c>
      <c r="BA301" s="50">
        <v>0</v>
      </c>
      <c r="BB301" s="50">
        <v>0</v>
      </c>
      <c r="BC301" s="50">
        <v>0</v>
      </c>
      <c r="BD301" s="50">
        <v>0</v>
      </c>
      <c r="BE301" s="50"/>
      <c r="BF301" s="50">
        <f t="shared" si="6"/>
        <v>0</v>
      </c>
      <c r="BG301" s="50">
        <v>0</v>
      </c>
      <c r="BH301" s="50">
        <v>0</v>
      </c>
      <c r="BI301" s="50">
        <v>0</v>
      </c>
      <c r="BJ301" s="50">
        <v>0</v>
      </c>
      <c r="BK301" s="50"/>
      <c r="BL301" s="20"/>
    </row>
    <row r="302" spans="1:64" ht="84" x14ac:dyDescent="0.2">
      <c r="A302" s="69">
        <v>298</v>
      </c>
      <c r="B302" s="46" t="str">
        <f ca="1">IFERROR(__xludf.DUMMYFUNCTION("""COMPUTED_VALUE"""),"г.о. Зарайск")</f>
        <v>г.о. Зарайск</v>
      </c>
      <c r="C30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2" s="52" t="str">
        <f ca="1">IFERROR(__xludf.DUMMYFUNCTION("""COMPUTED_VALUE"""),"МинЖКХ ""ТОП 5 (1 этап)""")</f>
        <v>МинЖКХ "ТОП 5 (1 этап)"</v>
      </c>
      <c r="E302" s="45" t="s">
        <v>595</v>
      </c>
      <c r="F302" s="46" t="str">
        <f ca="1">IFERROR(__xludf.DUMMYFUNCTION("""COMPUTED_VALUE"""),"БМК")</f>
        <v>БМК</v>
      </c>
      <c r="G302" s="46">
        <f ca="1">IFERROR(__xludf.DUMMYFUNCTION("""COMPUTED_VALUE"""),2020)</f>
        <v>2020</v>
      </c>
      <c r="H302" s="48" t="str">
        <f ca="1">IFERROR(__xludf.DUMMYFUNCTION("""COMPUTED_VALUE"""),"Фундамент залит. Ведутся земляные работы  до 15.11.2020. Горелки и котельная поставлены  на объект. ")</f>
        <v xml:space="preserve">Фундамент залит. Ведутся земляные работы  до 15.11.2020. Горелки и котельная поставлены  на объект. </v>
      </c>
      <c r="I302" s="48" t="str">
        <f ca="1">IFERROR(__xludf.DUMMYFUNCTION("""COMPUTED_VALUE"""),"СМР")</f>
        <v>СМР</v>
      </c>
      <c r="J302" s="48">
        <f ca="1">IFERROR(__xludf.DUMMYFUNCTION("""COMPUTED_VALUE"""),15)</f>
        <v>15</v>
      </c>
      <c r="K302" s="48">
        <f ca="1">IFERROR(__xludf.DUMMYFUNCTION("""COMPUTED_VALUE"""),980)</f>
        <v>980</v>
      </c>
      <c r="L302" s="48">
        <f ca="1">IFERROR(__xludf.DUMMYFUNCTION("""COMPUTED_VALUE"""),980)</f>
        <v>980</v>
      </c>
      <c r="M302" s="48"/>
      <c r="N302" s="48" t="str">
        <f ca="1">IFERROR(__xludf.DUMMYFUNCTION("""COMPUTED_VALUE"""),"10 3 02 64080")</f>
        <v>10 3 02 64080</v>
      </c>
      <c r="O302" s="48">
        <f ca="1">IFERROR(__xludf.DUMMYFUNCTION("""COMPUTED_VALUE"""),522)</f>
        <v>522</v>
      </c>
      <c r="P302" s="24">
        <f t="shared" ref="P302:T302" si="309">SUM(V302,AB302,AH302,AN302,AT302,AZ302,BF302)</f>
        <v>11775.310000000001</v>
      </c>
      <c r="Q302" s="24">
        <f t="shared" si="309"/>
        <v>0</v>
      </c>
      <c r="R302" s="24">
        <f t="shared" si="309"/>
        <v>0</v>
      </c>
      <c r="S302" s="24">
        <f t="shared" si="309"/>
        <v>10903.94</v>
      </c>
      <c r="T302" s="24">
        <f t="shared" si="309"/>
        <v>871.37</v>
      </c>
      <c r="U302" s="24"/>
      <c r="V302" s="24"/>
      <c r="W302" s="24"/>
      <c r="X302" s="24"/>
      <c r="Y302" s="24"/>
      <c r="Z302" s="24"/>
      <c r="AA302" s="24"/>
      <c r="AB302" s="24"/>
      <c r="AC302" s="50"/>
      <c r="AD302" s="50"/>
      <c r="AE302" s="50"/>
      <c r="AF302" s="50"/>
      <c r="AG302" s="50"/>
      <c r="AH302" s="50">
        <f t="shared" si="2"/>
        <v>11775.310000000001</v>
      </c>
      <c r="AI302" s="50">
        <v>0</v>
      </c>
      <c r="AJ302" s="50">
        <v>0</v>
      </c>
      <c r="AK302" s="50">
        <v>10903.94</v>
      </c>
      <c r="AL302" s="50">
        <v>871.37</v>
      </c>
      <c r="AM302" s="50"/>
      <c r="AN302" s="24">
        <f t="shared" si="3"/>
        <v>0</v>
      </c>
      <c r="AO302" s="50">
        <v>0</v>
      </c>
      <c r="AP302" s="50">
        <v>0</v>
      </c>
      <c r="AQ302" s="50">
        <v>0</v>
      </c>
      <c r="AR302" s="50">
        <v>0</v>
      </c>
      <c r="AS302" s="50"/>
      <c r="AT302" s="50">
        <f t="shared" si="4"/>
        <v>0</v>
      </c>
      <c r="AU302" s="50">
        <v>0</v>
      </c>
      <c r="AV302" s="50">
        <v>0</v>
      </c>
      <c r="AW302" s="50">
        <v>0</v>
      </c>
      <c r="AX302" s="50">
        <v>0</v>
      </c>
      <c r="AY302" s="50"/>
      <c r="AZ302" s="50">
        <f t="shared" si="227"/>
        <v>0</v>
      </c>
      <c r="BA302" s="50">
        <v>0</v>
      </c>
      <c r="BB302" s="50">
        <v>0</v>
      </c>
      <c r="BC302" s="50">
        <v>0</v>
      </c>
      <c r="BD302" s="50">
        <v>0</v>
      </c>
      <c r="BE302" s="50"/>
      <c r="BF302" s="50">
        <f t="shared" si="6"/>
        <v>0</v>
      </c>
      <c r="BG302" s="50">
        <v>0</v>
      </c>
      <c r="BH302" s="50">
        <v>0</v>
      </c>
      <c r="BI302" s="50">
        <v>0</v>
      </c>
      <c r="BJ302" s="50">
        <v>0</v>
      </c>
      <c r="BK302" s="50"/>
      <c r="BL302" s="20"/>
    </row>
    <row r="303" spans="1:64" ht="84" x14ac:dyDescent="0.2">
      <c r="A303" s="69">
        <v>299</v>
      </c>
      <c r="B303" s="46" t="str">
        <f ca="1">IFERROR(__xludf.DUMMYFUNCTION("""COMPUTED_VALUE"""),"г.о. Зарайск")</f>
        <v>г.о. Зарайск</v>
      </c>
      <c r="C30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3" s="52" t="str">
        <f ca="1">IFERROR(__xludf.DUMMYFUNCTION("""COMPUTED_VALUE"""),"МинЖКХ ""ТОП 5 (1 этап)""")</f>
        <v>МинЖКХ "ТОП 5 (1 этап)"</v>
      </c>
      <c r="E303" s="45" t="s">
        <v>596</v>
      </c>
      <c r="F303" s="46" t="str">
        <f ca="1">IFERROR(__xludf.DUMMYFUNCTION("""COMPUTED_VALUE"""),"БМК")</f>
        <v>БМК</v>
      </c>
      <c r="G303" s="46" t="str">
        <f ca="1">IFERROR(__xludf.DUMMYFUNCTION("""COMPUTED_VALUE"""),"2020-2021")</f>
        <v>2020-2021</v>
      </c>
      <c r="H303" s="48"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I303" s="48" t="str">
        <f ca="1">IFERROR(__xludf.DUMMYFUNCTION("""COMPUTED_VALUE"""),"ПИР ")</f>
        <v xml:space="preserve">ПИР </v>
      </c>
      <c r="J303" s="48"/>
      <c r="K303" s="48">
        <f ca="1">IFERROR(__xludf.DUMMYFUNCTION("""COMPUTED_VALUE"""),400)</f>
        <v>400</v>
      </c>
      <c r="L303" s="48">
        <f ca="1">IFERROR(__xludf.DUMMYFUNCTION("""COMPUTED_VALUE"""),400)</f>
        <v>400</v>
      </c>
      <c r="M303" s="48"/>
      <c r="N303" s="48" t="str">
        <f ca="1">IFERROR(__xludf.DUMMYFUNCTION("""COMPUTED_VALUE"""),"10 3 02 64080")</f>
        <v>10 3 02 64080</v>
      </c>
      <c r="O303" s="48">
        <f ca="1">IFERROR(__xludf.DUMMYFUNCTION("""COMPUTED_VALUE"""),522)</f>
        <v>522</v>
      </c>
      <c r="P303" s="24">
        <f t="shared" ref="P303:T303" si="310">SUM(V303,AB303,AH303,AN303,AT303,AZ303,BF303)</f>
        <v>8481.51</v>
      </c>
      <c r="Q303" s="24">
        <f t="shared" si="310"/>
        <v>0</v>
      </c>
      <c r="R303" s="24">
        <f t="shared" si="310"/>
        <v>0</v>
      </c>
      <c r="S303" s="24">
        <f t="shared" si="310"/>
        <v>7853.88</v>
      </c>
      <c r="T303" s="24">
        <f t="shared" si="310"/>
        <v>627.63</v>
      </c>
      <c r="U303" s="24"/>
      <c r="V303" s="24"/>
      <c r="W303" s="24"/>
      <c r="X303" s="24"/>
      <c r="Y303" s="24"/>
      <c r="Z303" s="24"/>
      <c r="AA303" s="24"/>
      <c r="AB303" s="24"/>
      <c r="AC303" s="50"/>
      <c r="AD303" s="50"/>
      <c r="AE303" s="50"/>
      <c r="AF303" s="50"/>
      <c r="AG303" s="50"/>
      <c r="AH303" s="50">
        <f t="shared" si="2"/>
        <v>2500</v>
      </c>
      <c r="AI303" s="50">
        <v>0</v>
      </c>
      <c r="AJ303" s="50">
        <v>0</v>
      </c>
      <c r="AK303" s="50">
        <v>2315</v>
      </c>
      <c r="AL303" s="50">
        <v>185</v>
      </c>
      <c r="AM303" s="50"/>
      <c r="AN303" s="24">
        <f t="shared" si="3"/>
        <v>5981.51</v>
      </c>
      <c r="AO303" s="50">
        <v>0</v>
      </c>
      <c r="AP303" s="50">
        <v>0</v>
      </c>
      <c r="AQ303" s="50">
        <v>5538.88</v>
      </c>
      <c r="AR303" s="50">
        <v>442.63</v>
      </c>
      <c r="AS303" s="50"/>
      <c r="AT303" s="50">
        <f t="shared" si="4"/>
        <v>0</v>
      </c>
      <c r="AU303" s="50">
        <v>0</v>
      </c>
      <c r="AV303" s="50">
        <v>0</v>
      </c>
      <c r="AW303" s="50">
        <v>0</v>
      </c>
      <c r="AX303" s="50">
        <v>0</v>
      </c>
      <c r="AY303" s="50"/>
      <c r="AZ303" s="50">
        <f t="shared" si="227"/>
        <v>0</v>
      </c>
      <c r="BA303" s="50">
        <v>0</v>
      </c>
      <c r="BB303" s="50">
        <v>0</v>
      </c>
      <c r="BC303" s="50">
        <v>0</v>
      </c>
      <c r="BD303" s="50">
        <v>0</v>
      </c>
      <c r="BE303" s="50"/>
      <c r="BF303" s="50">
        <f t="shared" si="6"/>
        <v>0</v>
      </c>
      <c r="BG303" s="50">
        <v>0</v>
      </c>
      <c r="BH303" s="50">
        <v>0</v>
      </c>
      <c r="BI303" s="50">
        <v>0</v>
      </c>
      <c r="BJ303" s="50">
        <v>0</v>
      </c>
      <c r="BK303" s="50"/>
      <c r="BL303" s="20"/>
    </row>
    <row r="304" spans="1:64" ht="84" x14ac:dyDescent="0.2">
      <c r="A304" s="69">
        <v>300</v>
      </c>
      <c r="B304" s="46" t="str">
        <f ca="1">IFERROR(__xludf.DUMMYFUNCTION("""COMPUTED_VALUE"""),"г.о. Зарайск")</f>
        <v>г.о. Зарайск</v>
      </c>
      <c r="C30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4" s="52" t="str">
        <f ca="1">IFERROR(__xludf.DUMMYFUNCTION("""COMPUTED_VALUE"""),"МинЖКХ ""ТОП 5 (1 этап)""")</f>
        <v>МинЖКХ "ТОП 5 (1 этап)"</v>
      </c>
      <c r="E304" s="45" t="s">
        <v>341</v>
      </c>
      <c r="F304" s="46" t="str">
        <f ca="1">IFERROR(__xludf.DUMMYFUNCTION("""COMPUTED_VALUE"""),"БМК")</f>
        <v>БМК</v>
      </c>
      <c r="G304" s="46" t="str">
        <f ca="1">IFERROR(__xludf.DUMMYFUNCTION("""COMPUTED_VALUE"""),"2020-2021")</f>
        <v>2020-2021</v>
      </c>
      <c r="H304" s="48" t="str">
        <f ca="1">IFERROR(__xludf.DUMMYFUNCTION("""COMPUTED_VALUE"""),"На стадии ПИР. Предварительная дата выхода 30.12.2020. Проблема с ГПЗУ. Риск не совоения лимитов в 2020 году.")</f>
        <v>На стадии ПИР. Предварительная дата выхода 30.12.2020. Проблема с ГПЗУ. Риск не совоения лимитов в 2020 году.</v>
      </c>
      <c r="I304" s="48" t="str">
        <f ca="1">IFERROR(__xludf.DUMMYFUNCTION("""COMPUTED_VALUE"""),"ПИР ")</f>
        <v xml:space="preserve">ПИР </v>
      </c>
      <c r="J304" s="48"/>
      <c r="K304" s="48">
        <f ca="1">IFERROR(__xludf.DUMMYFUNCTION("""COMPUTED_VALUE"""),950)</f>
        <v>950</v>
      </c>
      <c r="L304" s="48">
        <f ca="1">IFERROR(__xludf.DUMMYFUNCTION("""COMPUTED_VALUE"""),950)</f>
        <v>950</v>
      </c>
      <c r="M304" s="48"/>
      <c r="N304" s="48" t="str">
        <f ca="1">IFERROR(__xludf.DUMMYFUNCTION("""COMPUTED_VALUE"""),"10 3 02 64080")</f>
        <v>10 3 02 64080</v>
      </c>
      <c r="O304" s="48">
        <f ca="1">IFERROR(__xludf.DUMMYFUNCTION("""COMPUTED_VALUE"""),522)</f>
        <v>522</v>
      </c>
      <c r="P304" s="24">
        <f t="shared" ref="P304:T304" si="311">SUM(V304,AB304,AH304,AN304,AT304,AZ304,BF304)</f>
        <v>16722.010000000002</v>
      </c>
      <c r="Q304" s="24">
        <f t="shared" si="311"/>
        <v>0</v>
      </c>
      <c r="R304" s="24">
        <f t="shared" si="311"/>
        <v>0</v>
      </c>
      <c r="S304" s="24">
        <f t="shared" si="311"/>
        <v>15484.58</v>
      </c>
      <c r="T304" s="24">
        <f t="shared" si="311"/>
        <v>1237.4299999999998</v>
      </c>
      <c r="U304" s="24"/>
      <c r="V304" s="24"/>
      <c r="W304" s="24"/>
      <c r="X304" s="24"/>
      <c r="Y304" s="24"/>
      <c r="Z304" s="24"/>
      <c r="AA304" s="24"/>
      <c r="AB304" s="24"/>
      <c r="AC304" s="50"/>
      <c r="AD304" s="50"/>
      <c r="AE304" s="50"/>
      <c r="AF304" s="50"/>
      <c r="AG304" s="50"/>
      <c r="AH304" s="50">
        <f t="shared" si="2"/>
        <v>1900</v>
      </c>
      <c r="AI304" s="50">
        <v>0</v>
      </c>
      <c r="AJ304" s="50">
        <v>0</v>
      </c>
      <c r="AK304" s="50">
        <v>1759.4</v>
      </c>
      <c r="AL304" s="50">
        <v>140.6</v>
      </c>
      <c r="AM304" s="50"/>
      <c r="AN304" s="24">
        <f t="shared" si="3"/>
        <v>14822.01</v>
      </c>
      <c r="AO304" s="50">
        <v>0</v>
      </c>
      <c r="AP304" s="50">
        <v>0</v>
      </c>
      <c r="AQ304" s="50">
        <v>13725.18</v>
      </c>
      <c r="AR304" s="50">
        <v>1096.83</v>
      </c>
      <c r="AS304" s="50"/>
      <c r="AT304" s="50">
        <f t="shared" si="4"/>
        <v>0</v>
      </c>
      <c r="AU304" s="50">
        <v>0</v>
      </c>
      <c r="AV304" s="50">
        <v>0</v>
      </c>
      <c r="AW304" s="50">
        <v>0</v>
      </c>
      <c r="AX304" s="50">
        <v>0</v>
      </c>
      <c r="AY304" s="50"/>
      <c r="AZ304" s="50">
        <f t="shared" si="227"/>
        <v>0</v>
      </c>
      <c r="BA304" s="50">
        <v>0</v>
      </c>
      <c r="BB304" s="50">
        <v>0</v>
      </c>
      <c r="BC304" s="50">
        <v>0</v>
      </c>
      <c r="BD304" s="50">
        <v>0</v>
      </c>
      <c r="BE304" s="50"/>
      <c r="BF304" s="50">
        <f t="shared" si="6"/>
        <v>0</v>
      </c>
      <c r="BG304" s="50">
        <v>0</v>
      </c>
      <c r="BH304" s="50">
        <v>0</v>
      </c>
      <c r="BI304" s="50">
        <v>0</v>
      </c>
      <c r="BJ304" s="50">
        <v>0</v>
      </c>
      <c r="BK304" s="50"/>
      <c r="BL304" s="20"/>
    </row>
    <row r="305" spans="1:64" ht="84" x14ac:dyDescent="0.2">
      <c r="A305" s="69">
        <v>301</v>
      </c>
      <c r="B305" s="46" t="str">
        <f ca="1">IFERROR(__xludf.DUMMYFUNCTION("""COMPUTED_VALUE"""),"г.о. Зарайск")</f>
        <v>г.о. Зарайск</v>
      </c>
      <c r="C30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5" s="52" t="str">
        <f ca="1">IFERROR(__xludf.DUMMYFUNCTION("""COMPUTED_VALUE"""),"МинЖКХ ""ТОП 5 (1 этап)""")</f>
        <v>МинЖКХ "ТОП 5 (1 этап)"</v>
      </c>
      <c r="E305" s="45" t="s">
        <v>342</v>
      </c>
      <c r="F305" s="46" t="str">
        <f ca="1">IFERROR(__xludf.DUMMYFUNCTION("""COMPUTED_VALUE"""),"БМК")</f>
        <v>БМК</v>
      </c>
      <c r="G305" s="46" t="str">
        <f ca="1">IFERROR(__xludf.DUMMYFUNCTION("""COMPUTED_VALUE"""),"2020-2021")</f>
        <v>2020-2021</v>
      </c>
      <c r="H305" s="48"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I305" s="48" t="str">
        <f ca="1">IFERROR(__xludf.DUMMYFUNCTION("""COMPUTED_VALUE"""),"ПИР ")</f>
        <v xml:space="preserve">ПИР </v>
      </c>
      <c r="J305" s="48"/>
      <c r="K305" s="48">
        <f ca="1">IFERROR(__xludf.DUMMYFUNCTION("""COMPUTED_VALUE"""),490)</f>
        <v>490</v>
      </c>
      <c r="L305" s="48">
        <f ca="1">IFERROR(__xludf.DUMMYFUNCTION("""COMPUTED_VALUE"""),490)</f>
        <v>490</v>
      </c>
      <c r="M305" s="48"/>
      <c r="N305" s="48" t="str">
        <f ca="1">IFERROR(__xludf.DUMMYFUNCTION("""COMPUTED_VALUE"""),"10 3 02 64080")</f>
        <v>10 3 02 64080</v>
      </c>
      <c r="O305" s="48">
        <f ca="1">IFERROR(__xludf.DUMMYFUNCTION("""COMPUTED_VALUE"""),522)</f>
        <v>522</v>
      </c>
      <c r="P305" s="24">
        <f t="shared" ref="P305:T305" si="312">SUM(V305,AB305,AH305,AN305,AT305,AZ305,BF305)</f>
        <v>10390.51</v>
      </c>
      <c r="Q305" s="24">
        <f t="shared" si="312"/>
        <v>0</v>
      </c>
      <c r="R305" s="24">
        <f t="shared" si="312"/>
        <v>0</v>
      </c>
      <c r="S305" s="24">
        <f t="shared" si="312"/>
        <v>9621.61</v>
      </c>
      <c r="T305" s="24">
        <f t="shared" si="312"/>
        <v>768.9</v>
      </c>
      <c r="U305" s="24"/>
      <c r="V305" s="24"/>
      <c r="W305" s="24"/>
      <c r="X305" s="24"/>
      <c r="Y305" s="24"/>
      <c r="Z305" s="24"/>
      <c r="AA305" s="24"/>
      <c r="AB305" s="24"/>
      <c r="AC305" s="50"/>
      <c r="AD305" s="50"/>
      <c r="AE305" s="50"/>
      <c r="AF305" s="50"/>
      <c r="AG305" s="50"/>
      <c r="AH305" s="50">
        <f t="shared" si="2"/>
        <v>1900</v>
      </c>
      <c r="AI305" s="50">
        <v>0</v>
      </c>
      <c r="AJ305" s="50">
        <v>0</v>
      </c>
      <c r="AK305" s="50">
        <v>1759.4</v>
      </c>
      <c r="AL305" s="50">
        <v>140.6</v>
      </c>
      <c r="AM305" s="50"/>
      <c r="AN305" s="24">
        <f t="shared" si="3"/>
        <v>8490.51</v>
      </c>
      <c r="AO305" s="50">
        <v>0</v>
      </c>
      <c r="AP305" s="50">
        <v>0</v>
      </c>
      <c r="AQ305" s="50">
        <v>7862.21</v>
      </c>
      <c r="AR305" s="50">
        <v>628.29999999999995</v>
      </c>
      <c r="AS305" s="50"/>
      <c r="AT305" s="50">
        <f t="shared" si="4"/>
        <v>0</v>
      </c>
      <c r="AU305" s="50">
        <v>0</v>
      </c>
      <c r="AV305" s="50">
        <v>0</v>
      </c>
      <c r="AW305" s="50">
        <v>0</v>
      </c>
      <c r="AX305" s="50">
        <v>0</v>
      </c>
      <c r="AY305" s="50"/>
      <c r="AZ305" s="50">
        <f t="shared" si="227"/>
        <v>0</v>
      </c>
      <c r="BA305" s="50">
        <v>0</v>
      </c>
      <c r="BB305" s="50">
        <v>0</v>
      </c>
      <c r="BC305" s="50">
        <v>0</v>
      </c>
      <c r="BD305" s="50">
        <v>0</v>
      </c>
      <c r="BE305" s="50"/>
      <c r="BF305" s="50">
        <f t="shared" si="6"/>
        <v>0</v>
      </c>
      <c r="BG305" s="50">
        <v>0</v>
      </c>
      <c r="BH305" s="50">
        <v>0</v>
      </c>
      <c r="BI305" s="50">
        <v>0</v>
      </c>
      <c r="BJ305" s="50">
        <v>0</v>
      </c>
      <c r="BK305" s="50"/>
      <c r="BL305" s="20"/>
    </row>
    <row r="306" spans="1:64" ht="84" x14ac:dyDescent="0.2">
      <c r="A306" s="69">
        <v>302</v>
      </c>
      <c r="B306" s="46" t="str">
        <f ca="1">IFERROR(__xludf.DUMMYFUNCTION("""COMPUTED_VALUE"""),"г.о. Зарайск")</f>
        <v>г.о. Зарайск</v>
      </c>
      <c r="C30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6" s="52" t="str">
        <f ca="1">IFERROR(__xludf.DUMMYFUNCTION("""COMPUTED_VALUE"""),"МинЖКХ ""ТОП 5 (1 этап)""")</f>
        <v>МинЖКХ "ТОП 5 (1 этап)"</v>
      </c>
      <c r="E306" s="45" t="s">
        <v>343</v>
      </c>
      <c r="F306" s="46" t="str">
        <f ca="1">IFERROR(__xludf.DUMMYFUNCTION("""COMPUTED_VALUE"""),"БМК")</f>
        <v>БМК</v>
      </c>
      <c r="G306" s="46" t="str">
        <f ca="1">IFERROR(__xludf.DUMMYFUNCTION("""COMPUTED_VALUE"""),"2020-2021")</f>
        <v>2020-2021</v>
      </c>
      <c r="H306" s="48"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I306" s="48" t="str">
        <f ca="1">IFERROR(__xludf.DUMMYFUNCTION("""COMPUTED_VALUE"""),"ПИР ")</f>
        <v xml:space="preserve">ПИР </v>
      </c>
      <c r="J306" s="48"/>
      <c r="K306" s="48">
        <f ca="1">IFERROR(__xludf.DUMMYFUNCTION("""COMPUTED_VALUE"""),1180)</f>
        <v>1180</v>
      </c>
      <c r="L306" s="48">
        <f ca="1">IFERROR(__xludf.DUMMYFUNCTION("""COMPUTED_VALUE"""),1180)</f>
        <v>1180</v>
      </c>
      <c r="M306" s="48"/>
      <c r="N306" s="48" t="str">
        <f ca="1">IFERROR(__xludf.DUMMYFUNCTION("""COMPUTED_VALUE"""),"10 3 02 64080")</f>
        <v>10 3 02 64080</v>
      </c>
      <c r="O306" s="48">
        <f ca="1">IFERROR(__xludf.DUMMYFUNCTION("""COMPUTED_VALUE"""),522)</f>
        <v>522</v>
      </c>
      <c r="P306" s="24">
        <f t="shared" ref="P306:T306" si="313">SUM(V306,AB306,AH306,AN306,AT306,AZ306,BF306)</f>
        <v>16063.3</v>
      </c>
      <c r="Q306" s="24">
        <f t="shared" si="313"/>
        <v>0</v>
      </c>
      <c r="R306" s="24">
        <f t="shared" si="313"/>
        <v>0</v>
      </c>
      <c r="S306" s="24">
        <f t="shared" si="313"/>
        <v>14874.619999999999</v>
      </c>
      <c r="T306" s="24">
        <f t="shared" si="313"/>
        <v>1188.6799999999998</v>
      </c>
      <c r="U306" s="24"/>
      <c r="V306" s="24"/>
      <c r="W306" s="24"/>
      <c r="X306" s="24"/>
      <c r="Y306" s="24"/>
      <c r="Z306" s="24"/>
      <c r="AA306" s="24"/>
      <c r="AB306" s="24"/>
      <c r="AC306" s="50"/>
      <c r="AD306" s="50"/>
      <c r="AE306" s="50"/>
      <c r="AF306" s="50"/>
      <c r="AG306" s="50"/>
      <c r="AH306" s="50">
        <f t="shared" si="2"/>
        <v>1900</v>
      </c>
      <c r="AI306" s="50">
        <v>0</v>
      </c>
      <c r="AJ306" s="50">
        <v>0</v>
      </c>
      <c r="AK306" s="50">
        <v>1759.4</v>
      </c>
      <c r="AL306" s="50">
        <v>140.6</v>
      </c>
      <c r="AM306" s="50"/>
      <c r="AN306" s="24">
        <f t="shared" si="3"/>
        <v>14163.3</v>
      </c>
      <c r="AO306" s="50">
        <v>0</v>
      </c>
      <c r="AP306" s="50">
        <v>0</v>
      </c>
      <c r="AQ306" s="50">
        <v>13115.22</v>
      </c>
      <c r="AR306" s="50">
        <v>1048.08</v>
      </c>
      <c r="AS306" s="50"/>
      <c r="AT306" s="50">
        <f t="shared" si="4"/>
        <v>0</v>
      </c>
      <c r="AU306" s="50">
        <v>0</v>
      </c>
      <c r="AV306" s="50">
        <v>0</v>
      </c>
      <c r="AW306" s="50">
        <v>0</v>
      </c>
      <c r="AX306" s="50">
        <v>0</v>
      </c>
      <c r="AY306" s="50"/>
      <c r="AZ306" s="50">
        <f t="shared" si="227"/>
        <v>0</v>
      </c>
      <c r="BA306" s="50">
        <v>0</v>
      </c>
      <c r="BB306" s="50">
        <v>0</v>
      </c>
      <c r="BC306" s="50">
        <v>0</v>
      </c>
      <c r="BD306" s="50">
        <v>0</v>
      </c>
      <c r="BE306" s="50"/>
      <c r="BF306" s="50">
        <f t="shared" si="6"/>
        <v>0</v>
      </c>
      <c r="BG306" s="50">
        <v>0</v>
      </c>
      <c r="BH306" s="50">
        <v>0</v>
      </c>
      <c r="BI306" s="50">
        <v>0</v>
      </c>
      <c r="BJ306" s="50">
        <v>0</v>
      </c>
      <c r="BK306" s="50"/>
      <c r="BL306" s="20"/>
    </row>
    <row r="307" spans="1:64" ht="84" x14ac:dyDescent="0.2">
      <c r="A307" s="69">
        <v>303</v>
      </c>
      <c r="B307" s="48" t="str">
        <f ca="1">IFERROR(__xludf.DUMMYFUNCTION("""COMPUTED_VALUE"""),"г.о. Рузский")</f>
        <v>г.о. Рузский</v>
      </c>
      <c r="C30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7" s="52" t="str">
        <f ca="1">IFERROR(__xludf.DUMMYFUNCTION("""COMPUTED_VALUE"""),"МинЖКХ")</f>
        <v>МинЖКХ</v>
      </c>
      <c r="E307" s="127" t="s">
        <v>597</v>
      </c>
      <c r="F307" s="46" t="str">
        <f ca="1">IFERROR(__xludf.DUMMYFUNCTION("""COMPUTED_VALUE"""),"БМК")</f>
        <v>БМК</v>
      </c>
      <c r="G307" s="46">
        <f ca="1">IFERROR(__xludf.DUMMYFUNCTION("""COMPUTED_VALUE"""),2021)</f>
        <v>2021</v>
      </c>
      <c r="H307" s="48"/>
      <c r="I307" s="48" t="str">
        <f ca="1">IFERROR(__xludf.DUMMYFUNCTION("""COMPUTED_VALUE"""),"СМР")</f>
        <v>СМР</v>
      </c>
      <c r="J307" s="48"/>
      <c r="K307" s="48"/>
      <c r="L307" s="48"/>
      <c r="M307" s="48"/>
      <c r="N307" s="48"/>
      <c r="O307" s="48"/>
      <c r="P307" s="24">
        <f t="shared" ref="P307:T307" si="314">SUM(V307,AB307,AH307,AN307,AT307,AZ307,BF307)</f>
        <v>9283.92</v>
      </c>
      <c r="Q307" s="24">
        <f t="shared" si="314"/>
        <v>0</v>
      </c>
      <c r="R307" s="24">
        <f t="shared" si="314"/>
        <v>7678</v>
      </c>
      <c r="S307" s="24">
        <f t="shared" si="314"/>
        <v>0</v>
      </c>
      <c r="T307" s="24">
        <f t="shared" si="314"/>
        <v>1605.92</v>
      </c>
      <c r="U307" s="24"/>
      <c r="V307" s="24"/>
      <c r="W307" s="24"/>
      <c r="X307" s="24"/>
      <c r="Y307" s="24"/>
      <c r="Z307" s="24"/>
      <c r="AA307" s="24"/>
      <c r="AB307" s="24"/>
      <c r="AC307" s="50"/>
      <c r="AD307" s="50"/>
      <c r="AE307" s="50"/>
      <c r="AF307" s="50"/>
      <c r="AG307" s="50"/>
      <c r="AH307" s="50">
        <f t="shared" si="2"/>
        <v>0</v>
      </c>
      <c r="AI307" s="50">
        <v>0</v>
      </c>
      <c r="AJ307" s="50">
        <v>0</v>
      </c>
      <c r="AK307" s="50">
        <v>0</v>
      </c>
      <c r="AL307" s="50">
        <v>0</v>
      </c>
      <c r="AM307" s="50"/>
      <c r="AN307" s="24">
        <f t="shared" si="3"/>
        <v>9283.92</v>
      </c>
      <c r="AO307" s="50">
        <v>0</v>
      </c>
      <c r="AP307" s="50">
        <v>7678</v>
      </c>
      <c r="AQ307" s="50">
        <v>0</v>
      </c>
      <c r="AR307" s="50">
        <v>1605.92</v>
      </c>
      <c r="AS307" s="50"/>
      <c r="AT307" s="50">
        <f t="shared" si="4"/>
        <v>0</v>
      </c>
      <c r="AU307" s="50">
        <v>0</v>
      </c>
      <c r="AV307" s="50">
        <v>0</v>
      </c>
      <c r="AW307" s="50">
        <v>0</v>
      </c>
      <c r="AX307" s="50">
        <v>0</v>
      </c>
      <c r="AY307" s="50"/>
      <c r="AZ307" s="50">
        <f t="shared" si="227"/>
        <v>0</v>
      </c>
      <c r="BA307" s="50">
        <v>0</v>
      </c>
      <c r="BB307" s="50">
        <v>0</v>
      </c>
      <c r="BC307" s="50">
        <v>0</v>
      </c>
      <c r="BD307" s="50">
        <v>0</v>
      </c>
      <c r="BE307" s="50"/>
      <c r="BF307" s="50">
        <f t="shared" si="6"/>
        <v>0</v>
      </c>
      <c r="BG307" s="50">
        <v>0</v>
      </c>
      <c r="BH307" s="50">
        <v>0</v>
      </c>
      <c r="BI307" s="50">
        <v>0</v>
      </c>
      <c r="BJ307" s="50">
        <v>0</v>
      </c>
      <c r="BK307" s="50"/>
      <c r="BL307" s="20"/>
    </row>
    <row r="308" spans="1:64" ht="84" x14ac:dyDescent="0.2">
      <c r="A308" s="69">
        <v>304</v>
      </c>
      <c r="B308" s="48" t="str">
        <f ca="1">IFERROR(__xludf.DUMMYFUNCTION("""COMPUTED_VALUE"""),"г.о. Рузский")</f>
        <v>г.о. Рузский</v>
      </c>
      <c r="C30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8" s="52" t="str">
        <f ca="1">IFERROR(__xludf.DUMMYFUNCTION("""COMPUTED_VALUE"""),"МинЖКХ")</f>
        <v>МинЖКХ</v>
      </c>
      <c r="E308" s="127" t="s">
        <v>598</v>
      </c>
      <c r="F308" s="46" t="str">
        <f ca="1">IFERROR(__xludf.DUMMYFUNCTION("""COMPUTED_VALUE"""),"БМК")</f>
        <v>БМК</v>
      </c>
      <c r="G308" s="46">
        <f ca="1">IFERROR(__xludf.DUMMYFUNCTION("""COMPUTED_VALUE"""),2021)</f>
        <v>2021</v>
      </c>
      <c r="H308" s="48"/>
      <c r="I308" s="48" t="str">
        <f ca="1">IFERROR(__xludf.DUMMYFUNCTION("""COMPUTED_VALUE"""),"СМР")</f>
        <v>СМР</v>
      </c>
      <c r="J308" s="48"/>
      <c r="K308" s="48"/>
      <c r="L308" s="48"/>
      <c r="M308" s="48"/>
      <c r="N308" s="48"/>
      <c r="O308" s="48"/>
      <c r="P308" s="24">
        <f t="shared" ref="P308:T308" si="315">SUM(V308,AB308,AH308,AN308,AT308,AZ308,BF308)</f>
        <v>11343.92</v>
      </c>
      <c r="Q308" s="24">
        <f t="shared" si="315"/>
        <v>0</v>
      </c>
      <c r="R308" s="24">
        <f t="shared" si="315"/>
        <v>9381</v>
      </c>
      <c r="S308" s="24">
        <f t="shared" si="315"/>
        <v>0</v>
      </c>
      <c r="T308" s="24">
        <f t="shared" si="315"/>
        <v>1962.92</v>
      </c>
      <c r="U308" s="24"/>
      <c r="V308" s="24"/>
      <c r="W308" s="24"/>
      <c r="X308" s="24"/>
      <c r="Y308" s="24"/>
      <c r="Z308" s="24"/>
      <c r="AA308" s="24"/>
      <c r="AB308" s="24"/>
      <c r="AC308" s="50"/>
      <c r="AD308" s="50"/>
      <c r="AE308" s="50"/>
      <c r="AF308" s="50"/>
      <c r="AG308" s="50"/>
      <c r="AH308" s="50">
        <f t="shared" si="2"/>
        <v>0</v>
      </c>
      <c r="AI308" s="50">
        <v>0</v>
      </c>
      <c r="AJ308" s="50">
        <v>0</v>
      </c>
      <c r="AK308" s="50">
        <v>0</v>
      </c>
      <c r="AL308" s="50">
        <v>0</v>
      </c>
      <c r="AM308" s="50"/>
      <c r="AN308" s="24">
        <f t="shared" si="3"/>
        <v>11343.92</v>
      </c>
      <c r="AO308" s="50">
        <v>0</v>
      </c>
      <c r="AP308" s="50">
        <v>9381</v>
      </c>
      <c r="AQ308" s="50">
        <v>0</v>
      </c>
      <c r="AR308" s="50">
        <v>1962.92</v>
      </c>
      <c r="AS308" s="50"/>
      <c r="AT308" s="50">
        <f t="shared" si="4"/>
        <v>0</v>
      </c>
      <c r="AU308" s="50">
        <v>0</v>
      </c>
      <c r="AV308" s="50">
        <v>0</v>
      </c>
      <c r="AW308" s="50">
        <v>0</v>
      </c>
      <c r="AX308" s="50">
        <v>0</v>
      </c>
      <c r="AY308" s="50"/>
      <c r="AZ308" s="50">
        <f t="shared" si="227"/>
        <v>0</v>
      </c>
      <c r="BA308" s="50">
        <v>0</v>
      </c>
      <c r="BB308" s="50">
        <v>0</v>
      </c>
      <c r="BC308" s="50">
        <v>0</v>
      </c>
      <c r="BD308" s="50">
        <v>0</v>
      </c>
      <c r="BE308" s="50"/>
      <c r="BF308" s="50">
        <f t="shared" si="6"/>
        <v>0</v>
      </c>
      <c r="BG308" s="50">
        <v>0</v>
      </c>
      <c r="BH308" s="50">
        <v>0</v>
      </c>
      <c r="BI308" s="50">
        <v>0</v>
      </c>
      <c r="BJ308" s="50">
        <v>0</v>
      </c>
      <c r="BK308" s="50"/>
      <c r="BL308" s="20"/>
    </row>
    <row r="309" spans="1:64" ht="84" x14ac:dyDescent="0.2">
      <c r="A309" s="69">
        <v>305</v>
      </c>
      <c r="B309" s="46" t="str">
        <f ca="1">IFERROR(__xludf.DUMMYFUNCTION("""COMPUTED_VALUE"""),"г.о. Зарайск")</f>
        <v>г.о. Зарайск</v>
      </c>
      <c r="C30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09" s="52" t="str">
        <f ca="1">IFERROR(__xludf.DUMMYFUNCTION("""COMPUTED_VALUE"""),"МинЖКХ ""ТОП 5 (1 этап)""")</f>
        <v>МинЖКХ "ТОП 5 (1 этап)"</v>
      </c>
      <c r="E309" s="45" t="s">
        <v>599</v>
      </c>
      <c r="F309" s="46" t="str">
        <f ca="1">IFERROR(__xludf.DUMMYFUNCTION("""COMPUTED_VALUE"""),"БМК")</f>
        <v>БМК</v>
      </c>
      <c r="G309" s="46">
        <f ca="1">IFERROR(__xludf.DUMMYFUNCTION("""COMPUTED_VALUE"""),2020)</f>
        <v>2020</v>
      </c>
      <c r="H309" s="48" t="str">
        <f ca="1">IFERROR(__xludf.DUMMYFUNCTION("""COMPUTED_VALUE"""),"Фундамент залит , врезка в сети водоснабжения и канализации произведен. Горелки и котельная поставлены  на объект. ")</f>
        <v xml:space="preserve">Фундамент залит , врезка в сети водоснабжения и канализации произведен. Горелки и котельная поставлены  на объект. </v>
      </c>
      <c r="I309" s="48" t="str">
        <f ca="1">IFERROR(__xludf.DUMMYFUNCTION("""COMPUTED_VALUE"""),"СМР")</f>
        <v>СМР</v>
      </c>
      <c r="J309" s="48">
        <f ca="1">IFERROR(__xludf.DUMMYFUNCTION("""COMPUTED_VALUE"""),12)</f>
        <v>12</v>
      </c>
      <c r="K309" s="48">
        <f ca="1">IFERROR(__xludf.DUMMYFUNCTION("""COMPUTED_VALUE"""),680)</f>
        <v>680</v>
      </c>
      <c r="L309" s="48">
        <f ca="1">IFERROR(__xludf.DUMMYFUNCTION("""COMPUTED_VALUE"""),680)</f>
        <v>680</v>
      </c>
      <c r="M309" s="48"/>
      <c r="N309" s="48" t="str">
        <f ca="1">IFERROR(__xludf.DUMMYFUNCTION("""COMPUTED_VALUE"""),"10 3 02 64080")</f>
        <v>10 3 02 64080</v>
      </c>
      <c r="O309" s="48">
        <f ca="1">IFERROR(__xludf.DUMMYFUNCTION("""COMPUTED_VALUE"""),522)</f>
        <v>522</v>
      </c>
      <c r="P309" s="24">
        <f t="shared" ref="P309:T309" si="316">SUM(V309,AB309,AH309,AN309,AT309,AZ309,BF309)</f>
        <v>14163.3</v>
      </c>
      <c r="Q309" s="24">
        <f t="shared" si="316"/>
        <v>0</v>
      </c>
      <c r="R309" s="24">
        <f t="shared" si="316"/>
        <v>0</v>
      </c>
      <c r="S309" s="24">
        <f t="shared" si="316"/>
        <v>13115.22</v>
      </c>
      <c r="T309" s="24">
        <f t="shared" si="316"/>
        <v>1048.08</v>
      </c>
      <c r="U309" s="24"/>
      <c r="V309" s="24"/>
      <c r="W309" s="24"/>
      <c r="X309" s="24"/>
      <c r="Y309" s="24"/>
      <c r="Z309" s="24"/>
      <c r="AA309" s="24"/>
      <c r="AB309" s="24"/>
      <c r="AC309" s="50"/>
      <c r="AD309" s="50"/>
      <c r="AE309" s="50"/>
      <c r="AF309" s="50"/>
      <c r="AG309" s="50"/>
      <c r="AH309" s="50">
        <f t="shared" si="2"/>
        <v>14163.3</v>
      </c>
      <c r="AI309" s="50">
        <v>0</v>
      </c>
      <c r="AJ309" s="50">
        <v>0</v>
      </c>
      <c r="AK309" s="50">
        <v>13115.22</v>
      </c>
      <c r="AL309" s="50">
        <v>1048.08</v>
      </c>
      <c r="AM309" s="50"/>
      <c r="AN309" s="24">
        <f t="shared" si="3"/>
        <v>0</v>
      </c>
      <c r="AO309" s="50">
        <v>0</v>
      </c>
      <c r="AP309" s="50">
        <v>0</v>
      </c>
      <c r="AQ309" s="50">
        <v>0</v>
      </c>
      <c r="AR309" s="50">
        <v>0</v>
      </c>
      <c r="AS309" s="50"/>
      <c r="AT309" s="50">
        <f t="shared" si="4"/>
        <v>0</v>
      </c>
      <c r="AU309" s="50">
        <v>0</v>
      </c>
      <c r="AV309" s="50">
        <v>0</v>
      </c>
      <c r="AW309" s="50">
        <v>0</v>
      </c>
      <c r="AX309" s="50">
        <v>0</v>
      </c>
      <c r="AY309" s="50"/>
      <c r="AZ309" s="50">
        <f t="shared" si="227"/>
        <v>0</v>
      </c>
      <c r="BA309" s="50">
        <v>0</v>
      </c>
      <c r="BB309" s="50">
        <v>0</v>
      </c>
      <c r="BC309" s="50">
        <v>0</v>
      </c>
      <c r="BD309" s="50">
        <v>0</v>
      </c>
      <c r="BE309" s="50"/>
      <c r="BF309" s="50">
        <f t="shared" si="6"/>
        <v>0</v>
      </c>
      <c r="BG309" s="50">
        <v>0</v>
      </c>
      <c r="BH309" s="50">
        <v>0</v>
      </c>
      <c r="BI309" s="50">
        <v>0</v>
      </c>
      <c r="BJ309" s="50">
        <v>0</v>
      </c>
      <c r="BK309" s="50"/>
      <c r="BL309" s="20"/>
    </row>
    <row r="310" spans="1:64" ht="84" x14ac:dyDescent="0.2">
      <c r="A310" s="69">
        <v>306</v>
      </c>
      <c r="B310" s="46" t="str">
        <f ca="1">IFERROR(__xludf.DUMMYFUNCTION("""COMPUTED_VALUE"""),"г.о. Зарайск")</f>
        <v>г.о. Зарайск</v>
      </c>
      <c r="C31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0" s="52" t="str">
        <f ca="1">IFERROR(__xludf.DUMMYFUNCTION("""COMPUTED_VALUE"""),"МинЖКХ ""ТОП 5 (1 этап)""")</f>
        <v>МинЖКХ "ТОП 5 (1 этап)"</v>
      </c>
      <c r="E310" s="45" t="s">
        <v>344</v>
      </c>
      <c r="F310" s="46" t="str">
        <f ca="1">IFERROR(__xludf.DUMMYFUNCTION("""COMPUTED_VALUE"""),"БМК")</f>
        <v>БМК</v>
      </c>
      <c r="G310" s="46">
        <f ca="1">IFERROR(__xludf.DUMMYFUNCTION("""COMPUTED_VALUE"""),2020)</f>
        <v>2020</v>
      </c>
      <c r="H310" s="48" t="str">
        <f ca="1">IFERROR(__xludf.DUMMYFUNCTION("""COMPUTED_VALUE"""),"Ведутся земляные работы и устройство фундамента до 15.11.2020. Горелки и котельная поставлены  на объект. ")</f>
        <v xml:space="preserve">Ведутся земляные работы и устройство фундамента до 15.11.2020. Горелки и котельная поставлены  на объект. </v>
      </c>
      <c r="I310" s="48" t="str">
        <f ca="1">IFERROR(__xludf.DUMMYFUNCTION("""COMPUTED_VALUE"""),"СМР")</f>
        <v>СМР</v>
      </c>
      <c r="J310" s="48">
        <f ca="1">IFERROR(__xludf.DUMMYFUNCTION("""COMPUTED_VALUE"""),12)</f>
        <v>12</v>
      </c>
      <c r="K310" s="48">
        <f ca="1">IFERROR(__xludf.DUMMYFUNCTION("""COMPUTED_VALUE"""),520)</f>
        <v>520</v>
      </c>
      <c r="L310" s="48">
        <f ca="1">IFERROR(__xludf.DUMMYFUNCTION("""COMPUTED_VALUE"""),520)</f>
        <v>520</v>
      </c>
      <c r="M310" s="48"/>
      <c r="N310" s="48" t="str">
        <f ca="1">IFERROR(__xludf.DUMMYFUNCTION("""COMPUTED_VALUE"""),"10 3 02 64080")</f>
        <v>10 3 02 64080</v>
      </c>
      <c r="O310" s="48">
        <f ca="1">IFERROR(__xludf.DUMMYFUNCTION("""COMPUTED_VALUE"""),522)</f>
        <v>522</v>
      </c>
      <c r="P310" s="24">
        <f t="shared" ref="P310:T310" si="317">SUM(V310,AB310,AH310,AN310,AT310,AZ310,BF310)</f>
        <v>16063.300000000001</v>
      </c>
      <c r="Q310" s="24">
        <f t="shared" si="317"/>
        <v>0</v>
      </c>
      <c r="R310" s="24">
        <f t="shared" si="317"/>
        <v>0</v>
      </c>
      <c r="S310" s="24">
        <f t="shared" si="317"/>
        <v>14874.62</v>
      </c>
      <c r="T310" s="24">
        <f t="shared" si="317"/>
        <v>1188.68</v>
      </c>
      <c r="U310" s="24"/>
      <c r="V310" s="24"/>
      <c r="W310" s="24"/>
      <c r="X310" s="24"/>
      <c r="Y310" s="24"/>
      <c r="Z310" s="24"/>
      <c r="AA310" s="24"/>
      <c r="AB310" s="24"/>
      <c r="AC310" s="50"/>
      <c r="AD310" s="50"/>
      <c r="AE310" s="50"/>
      <c r="AF310" s="50"/>
      <c r="AG310" s="50"/>
      <c r="AH310" s="50">
        <f t="shared" si="2"/>
        <v>16063.300000000001</v>
      </c>
      <c r="AI310" s="50">
        <v>0</v>
      </c>
      <c r="AJ310" s="50">
        <v>0</v>
      </c>
      <c r="AK310" s="50">
        <v>14874.62</v>
      </c>
      <c r="AL310" s="50">
        <v>1188.68</v>
      </c>
      <c r="AM310" s="50"/>
      <c r="AN310" s="24">
        <f t="shared" si="3"/>
        <v>0</v>
      </c>
      <c r="AO310" s="50">
        <v>0</v>
      </c>
      <c r="AP310" s="50">
        <v>0</v>
      </c>
      <c r="AQ310" s="50">
        <v>0</v>
      </c>
      <c r="AR310" s="50">
        <v>0</v>
      </c>
      <c r="AS310" s="50"/>
      <c r="AT310" s="50">
        <f t="shared" si="4"/>
        <v>0</v>
      </c>
      <c r="AU310" s="50">
        <v>0</v>
      </c>
      <c r="AV310" s="50">
        <v>0</v>
      </c>
      <c r="AW310" s="50">
        <v>0</v>
      </c>
      <c r="AX310" s="50">
        <v>0</v>
      </c>
      <c r="AY310" s="50"/>
      <c r="AZ310" s="50">
        <f t="shared" si="227"/>
        <v>0</v>
      </c>
      <c r="BA310" s="50">
        <v>0</v>
      </c>
      <c r="BB310" s="50">
        <v>0</v>
      </c>
      <c r="BC310" s="50">
        <v>0</v>
      </c>
      <c r="BD310" s="50">
        <v>0</v>
      </c>
      <c r="BE310" s="50"/>
      <c r="BF310" s="50">
        <f t="shared" si="6"/>
        <v>0</v>
      </c>
      <c r="BG310" s="50">
        <v>0</v>
      </c>
      <c r="BH310" s="50">
        <v>0</v>
      </c>
      <c r="BI310" s="50">
        <v>0</v>
      </c>
      <c r="BJ310" s="50">
        <v>0</v>
      </c>
      <c r="BK310" s="50"/>
      <c r="BL310" s="20"/>
    </row>
    <row r="311" spans="1:64" ht="84" x14ac:dyDescent="0.2">
      <c r="A311" s="69">
        <v>307</v>
      </c>
      <c r="B311" s="46" t="str">
        <f ca="1">IFERROR(__xludf.DUMMYFUNCTION("""COMPUTED_VALUE"""),"г.о. Зарайск")</f>
        <v>г.о. Зарайск</v>
      </c>
      <c r="C31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1" s="52" t="str">
        <f ca="1">IFERROR(__xludf.DUMMYFUNCTION("""COMPUTED_VALUE"""),"МинЖКХ ""ТОП 5 (1 этап)""")</f>
        <v>МинЖКХ "ТОП 5 (1 этап)"</v>
      </c>
      <c r="E311" s="45" t="s">
        <v>345</v>
      </c>
      <c r="F311" s="46" t="str">
        <f ca="1">IFERROR(__xludf.DUMMYFUNCTION("""COMPUTED_VALUE"""),"БМК")</f>
        <v>БМК</v>
      </c>
      <c r="G311" s="46" t="str">
        <f ca="1">IFERROR(__xludf.DUMMYFUNCTION("""COMPUTED_VALUE"""),"2020-2021")</f>
        <v>2020-2021</v>
      </c>
      <c r="H311" s="48" t="str">
        <f ca="1">IFERROR(__xludf.DUMMYFUNCTION("""COMPUTED_VALUE"""),"На стадии ПИР. Предварительная дата выхода 30.12.2020. Риск не совоения лимитов в 2020 году.")</f>
        <v>На стадии ПИР. Предварительная дата выхода 30.12.2020. Риск не совоения лимитов в 2020 году.</v>
      </c>
      <c r="I311" s="48" t="str">
        <f ca="1">IFERROR(__xludf.DUMMYFUNCTION("""COMPUTED_VALUE"""),"ПИР ")</f>
        <v xml:space="preserve">ПИР </v>
      </c>
      <c r="J311" s="48"/>
      <c r="K311" s="48">
        <f ca="1">IFERROR(__xludf.DUMMYFUNCTION("""COMPUTED_VALUE"""),1100)</f>
        <v>1100</v>
      </c>
      <c r="L311" s="48">
        <f ca="1">IFERROR(__xludf.DUMMYFUNCTION("""COMPUTED_VALUE"""),1100)</f>
        <v>1100</v>
      </c>
      <c r="M311" s="48"/>
      <c r="N311" s="48" t="str">
        <f ca="1">IFERROR(__xludf.DUMMYFUNCTION("""COMPUTED_VALUE"""),"10 3 02 64080")</f>
        <v>10 3 02 64080</v>
      </c>
      <c r="O311" s="48">
        <f ca="1">IFERROR(__xludf.DUMMYFUNCTION("""COMPUTED_VALUE"""),522)</f>
        <v>522</v>
      </c>
      <c r="P311" s="24">
        <f t="shared" ref="P311:T311" si="318">SUM(V311,AB311,AH311,AN311,AT311,AZ311,BF311)</f>
        <v>17322.010000000002</v>
      </c>
      <c r="Q311" s="24">
        <f t="shared" si="318"/>
        <v>0</v>
      </c>
      <c r="R311" s="24">
        <f t="shared" si="318"/>
        <v>0</v>
      </c>
      <c r="S311" s="24">
        <f t="shared" si="318"/>
        <v>16040.18</v>
      </c>
      <c r="T311" s="24">
        <f t="shared" si="318"/>
        <v>1281.83</v>
      </c>
      <c r="U311" s="24"/>
      <c r="V311" s="24"/>
      <c r="W311" s="24"/>
      <c r="X311" s="24"/>
      <c r="Y311" s="24"/>
      <c r="Z311" s="24"/>
      <c r="AA311" s="24"/>
      <c r="AB311" s="24"/>
      <c r="AC311" s="50"/>
      <c r="AD311" s="50"/>
      <c r="AE311" s="50"/>
      <c r="AF311" s="50"/>
      <c r="AG311" s="50"/>
      <c r="AH311" s="50">
        <f t="shared" si="2"/>
        <v>2500</v>
      </c>
      <c r="AI311" s="50">
        <v>0</v>
      </c>
      <c r="AJ311" s="50">
        <v>0</v>
      </c>
      <c r="AK311" s="50">
        <v>2315</v>
      </c>
      <c r="AL311" s="50">
        <v>185</v>
      </c>
      <c r="AM311" s="50"/>
      <c r="AN311" s="24">
        <f t="shared" si="3"/>
        <v>14822.01</v>
      </c>
      <c r="AO311" s="50">
        <v>0</v>
      </c>
      <c r="AP311" s="50">
        <v>0</v>
      </c>
      <c r="AQ311" s="50">
        <v>13725.18</v>
      </c>
      <c r="AR311" s="50">
        <v>1096.83</v>
      </c>
      <c r="AS311" s="50"/>
      <c r="AT311" s="50">
        <f t="shared" si="4"/>
        <v>0</v>
      </c>
      <c r="AU311" s="50">
        <v>0</v>
      </c>
      <c r="AV311" s="50">
        <v>0</v>
      </c>
      <c r="AW311" s="50">
        <v>0</v>
      </c>
      <c r="AX311" s="50">
        <v>0</v>
      </c>
      <c r="AY311" s="50"/>
      <c r="AZ311" s="50">
        <f t="shared" si="227"/>
        <v>0</v>
      </c>
      <c r="BA311" s="50">
        <v>0</v>
      </c>
      <c r="BB311" s="50">
        <v>0</v>
      </c>
      <c r="BC311" s="50">
        <v>0</v>
      </c>
      <c r="BD311" s="50">
        <v>0</v>
      </c>
      <c r="BE311" s="50"/>
      <c r="BF311" s="50">
        <f t="shared" si="6"/>
        <v>0</v>
      </c>
      <c r="BG311" s="50">
        <v>0</v>
      </c>
      <c r="BH311" s="50">
        <v>0</v>
      </c>
      <c r="BI311" s="50">
        <v>0</v>
      </c>
      <c r="BJ311" s="50">
        <v>0</v>
      </c>
      <c r="BK311" s="50"/>
      <c r="BL311" s="20"/>
    </row>
    <row r="312" spans="1:64" ht="108" x14ac:dyDescent="0.2">
      <c r="A312" s="69">
        <v>308</v>
      </c>
      <c r="B312" s="46" t="str">
        <f ca="1">IFERROR(__xludf.DUMMYFUNCTION("""COMPUTED_VALUE"""),"г.о. Кашира")</f>
        <v>г.о. Кашира</v>
      </c>
      <c r="C312" s="46" t="str">
        <f ca="1">IFERROR(__xludf.DUMMYFUNCTION("""COMPUTED_VALUE"""),"Предоставление иных межбюджетных трансфертов из бюджета Московской области  бюджетам муниципальных образований Московской области  на реализацию проектов государственно - частного партнерства в сфере теплоснабжения")</f>
        <v>Предоставление иных межбюджетных трансфертов из бюджета Московской области  бюджетам муниципальных образований Московской области  на реализацию проектов государственно - частного партнерства в сфере теплоснабжения</v>
      </c>
      <c r="D312" s="46" t="str">
        <f ca="1">IFERROR(__xludf.DUMMYFUNCTION("""COMPUTED_VALUE"""),"МинЖКХ")</f>
        <v>МинЖКХ</v>
      </c>
      <c r="E312" s="45" t="s">
        <v>346</v>
      </c>
      <c r="F312" s="46" t="str">
        <f ca="1">IFERROR(__xludf.DUMMYFUNCTION("""COMPUTED_VALUE"""),"Сети")</f>
        <v>Сети</v>
      </c>
      <c r="G312" s="46">
        <f ca="1">IFERROR(__xludf.DUMMYFUNCTION("""COMPUTED_VALUE"""),2020)</f>
        <v>2020</v>
      </c>
      <c r="H312" s="48" t="str">
        <f ca="1">IFERROR(__xludf.DUMMYFUNCTION("""COMPUTED_VALUE"""),"Последняя оплата должна пройти в ноябре 45 000 тыс. руб . По данным ОМСУ подрядчик не добросовестно выполняет обязательства по соглашению, глава пока платить не хочет.")</f>
        <v>Последняя оплата должна пройти в ноябре 45 000 тыс. руб . По данным ОМСУ подрядчик не добросовестно выполняет обязательства по соглашению, глава пока платить не хочет.</v>
      </c>
      <c r="I312" s="48" t="str">
        <f ca="1">IFERROR(__xludf.DUMMYFUNCTION("""COMPUTED_VALUE"""),"СМР")</f>
        <v>СМР</v>
      </c>
      <c r="J312" s="48"/>
      <c r="K312" s="48">
        <f ca="1">IFERROR(__xludf.DUMMYFUNCTION("""COMPUTED_VALUE"""),28000)</f>
        <v>28000</v>
      </c>
      <c r="L312" s="48">
        <f ca="1">IFERROR(__xludf.DUMMYFUNCTION("""COMPUTED_VALUE"""),28000)</f>
        <v>28000</v>
      </c>
      <c r="M312" s="48"/>
      <c r="N312" s="48"/>
      <c r="O312" s="48"/>
      <c r="P312" s="24">
        <f t="shared" ref="P312:T312" si="319">SUM(V312,AB312,AH312,AN312,AT312,AZ312,BF312)</f>
        <v>230000</v>
      </c>
      <c r="Q312" s="24">
        <f t="shared" si="319"/>
        <v>0</v>
      </c>
      <c r="R312" s="24">
        <f t="shared" si="319"/>
        <v>230000</v>
      </c>
      <c r="S312" s="24">
        <f t="shared" si="319"/>
        <v>0</v>
      </c>
      <c r="T312" s="24">
        <f t="shared" si="319"/>
        <v>0</v>
      </c>
      <c r="U312" s="24"/>
      <c r="V312" s="20"/>
      <c r="W312" s="20"/>
      <c r="X312" s="20"/>
      <c r="Y312" s="20"/>
      <c r="Z312" s="20"/>
      <c r="AA312" s="20"/>
      <c r="AB312" s="20"/>
      <c r="AC312" s="24"/>
      <c r="AD312" s="24"/>
      <c r="AE312" s="24"/>
      <c r="AF312" s="24"/>
      <c r="AG312" s="24"/>
      <c r="AH312" s="50">
        <f t="shared" si="2"/>
        <v>230000</v>
      </c>
      <c r="AI312" s="50">
        <v>0</v>
      </c>
      <c r="AJ312" s="50">
        <v>230000</v>
      </c>
      <c r="AK312" s="50">
        <v>0</v>
      </c>
      <c r="AL312" s="50">
        <v>0</v>
      </c>
      <c r="AM312" s="50"/>
      <c r="AN312" s="24">
        <f t="shared" si="3"/>
        <v>0</v>
      </c>
      <c r="AO312" s="50">
        <v>0</v>
      </c>
      <c r="AP312" s="50">
        <v>0</v>
      </c>
      <c r="AQ312" s="50">
        <v>0</v>
      </c>
      <c r="AR312" s="50">
        <v>0</v>
      </c>
      <c r="AS312" s="50"/>
      <c r="AT312" s="50">
        <f t="shared" si="4"/>
        <v>0</v>
      </c>
      <c r="AU312" s="50">
        <v>0</v>
      </c>
      <c r="AV312" s="50">
        <v>0</v>
      </c>
      <c r="AW312" s="50">
        <v>0</v>
      </c>
      <c r="AX312" s="50">
        <v>0</v>
      </c>
      <c r="AY312" s="50"/>
      <c r="AZ312" s="50">
        <f t="shared" si="227"/>
        <v>0</v>
      </c>
      <c r="BA312" s="50">
        <v>0</v>
      </c>
      <c r="BB312" s="50">
        <v>0</v>
      </c>
      <c r="BC312" s="50">
        <v>0</v>
      </c>
      <c r="BD312" s="50">
        <v>0</v>
      </c>
      <c r="BE312" s="50"/>
      <c r="BF312" s="50">
        <f t="shared" si="6"/>
        <v>0</v>
      </c>
      <c r="BG312" s="50">
        <v>0</v>
      </c>
      <c r="BH312" s="50">
        <v>0</v>
      </c>
      <c r="BI312" s="50">
        <v>0</v>
      </c>
      <c r="BJ312" s="50">
        <v>0</v>
      </c>
      <c r="BK312" s="50"/>
      <c r="BL312" s="20"/>
    </row>
    <row r="313" spans="1:64" ht="84" x14ac:dyDescent="0.2">
      <c r="A313" s="69">
        <v>309</v>
      </c>
      <c r="B313" s="46" t="str">
        <f ca="1">IFERROR(__xludf.DUMMYFUNCTION("""COMPUTED_VALUE"""),"г.о. Кашира")</f>
        <v>г.о. Кашира</v>
      </c>
      <c r="C313" s="46" t="str">
        <f ca="1">IFERROR(__xludf.DUMMYFUNCTION("""COMPUTED_VALUE"""),"Предоставление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v>
      </c>
      <c r="D313" s="46" t="str">
        <f ca="1">IFERROR(__xludf.DUMMYFUNCTION("""COMPUTED_VALUE"""),"МинЖКХ")</f>
        <v>МинЖКХ</v>
      </c>
      <c r="E313" s="45" t="s">
        <v>347</v>
      </c>
      <c r="F313" s="46" t="str">
        <f ca="1">IFERROR(__xludf.DUMMYFUNCTION("""COMPUTED_VALUE"""),"Сети")</f>
        <v>Сети</v>
      </c>
      <c r="G313" s="46">
        <f ca="1">IFERROR(__xludf.DUMMYFUNCTION("""COMPUTED_VALUE"""),2020)</f>
        <v>2020</v>
      </c>
      <c r="H313" s="48" t="str">
        <f ca="1">IFERROR(__xludf.DUMMYFUNCTION("""COMPUTED_VALUE"""),"Заключен муниципальный контракт с единственным поставщиком от 06.12.2019 № 8-КАШ/009-0282-19. Частичная оплта за приобретение сетей произведена в 2019 г., окончательная оплата планируется в соответствии с контрактом до 20.12.2020. Плановые работы отсутств"&amp;"уют.")</f>
        <v>Заключен муниципальный контракт с единственным поставщиком от 06.12.2019 № 8-КАШ/009-0282-19. Частичная оплта за приобретение сетей произведена в 2019 г., окончательная оплата планируется в соответствии с контрактом до 20.12.2020. Плановые работы отсутствуют.</v>
      </c>
      <c r="I313" s="48"/>
      <c r="J313" s="48"/>
      <c r="K313" s="48">
        <f ca="1">IFERROR(__xludf.DUMMYFUNCTION("""COMPUTED_VALUE"""),26000)</f>
        <v>26000</v>
      </c>
      <c r="L313" s="48">
        <f ca="1">IFERROR(__xludf.DUMMYFUNCTION("""COMPUTED_VALUE"""),26000)</f>
        <v>26000</v>
      </c>
      <c r="M313" s="48"/>
      <c r="N313" s="48" t="str">
        <f ca="1">IFERROR(__xludf.DUMMYFUNCTION("""COMPUTED_VALUE"""),"10 3 02 64060")</f>
        <v>10 3 02 64060</v>
      </c>
      <c r="O313" s="48">
        <f ca="1">IFERROR(__xludf.DUMMYFUNCTION("""COMPUTED_VALUE"""),520)</f>
        <v>520</v>
      </c>
      <c r="P313" s="24">
        <f t="shared" ref="P313:R313" si="320">SUM(V313,AB313,AH313,AN313,AT313,AZ313,BF313)</f>
        <v>63685</v>
      </c>
      <c r="Q313" s="24">
        <f t="shared" si="320"/>
        <v>0</v>
      </c>
      <c r="R313" s="24">
        <f t="shared" si="320"/>
        <v>52158</v>
      </c>
      <c r="S313" s="24">
        <f>SUM(Y313,AE313,AJ313,AQ313,AW313,BC313,BI313)</f>
        <v>52158</v>
      </c>
      <c r="T313" s="24">
        <f>SUM(Z313,AF313,AL313,AR313,AX313,BD313,BJ313)</f>
        <v>11527</v>
      </c>
      <c r="U313" s="24"/>
      <c r="V313" s="20"/>
      <c r="W313" s="20"/>
      <c r="X313" s="20"/>
      <c r="Y313" s="20"/>
      <c r="Z313" s="20"/>
      <c r="AA313" s="20"/>
      <c r="AB313" s="20"/>
      <c r="AC313" s="24"/>
      <c r="AD313" s="24"/>
      <c r="AE313" s="24"/>
      <c r="AF313" s="24"/>
      <c r="AG313" s="24"/>
      <c r="AH313" s="50">
        <f t="shared" si="2"/>
        <v>63685</v>
      </c>
      <c r="AI313" s="50">
        <v>0</v>
      </c>
      <c r="AJ313" s="50">
        <v>52158</v>
      </c>
      <c r="AK313" s="50">
        <v>0</v>
      </c>
      <c r="AL313" s="50">
        <v>11527</v>
      </c>
      <c r="AM313" s="50"/>
      <c r="AN313" s="24">
        <f t="shared" si="3"/>
        <v>0</v>
      </c>
      <c r="AO313" s="50">
        <v>0</v>
      </c>
      <c r="AP313" s="50">
        <v>0</v>
      </c>
      <c r="AQ313" s="50">
        <v>0</v>
      </c>
      <c r="AR313" s="50">
        <v>0</v>
      </c>
      <c r="AS313" s="50"/>
      <c r="AT313" s="50">
        <f t="shared" si="4"/>
        <v>0</v>
      </c>
      <c r="AU313" s="50">
        <v>0</v>
      </c>
      <c r="AV313" s="50">
        <v>0</v>
      </c>
      <c r="AW313" s="50">
        <v>0</v>
      </c>
      <c r="AX313" s="50">
        <v>0</v>
      </c>
      <c r="AY313" s="50"/>
      <c r="AZ313" s="50">
        <f t="shared" si="227"/>
        <v>0</v>
      </c>
      <c r="BA313" s="50">
        <v>0</v>
      </c>
      <c r="BB313" s="50">
        <v>0</v>
      </c>
      <c r="BC313" s="50">
        <v>0</v>
      </c>
      <c r="BD313" s="50">
        <v>0</v>
      </c>
      <c r="BE313" s="50"/>
      <c r="BF313" s="50">
        <f t="shared" si="6"/>
        <v>0</v>
      </c>
      <c r="BG313" s="50">
        <v>0</v>
      </c>
      <c r="BH313" s="50">
        <v>0</v>
      </c>
      <c r="BI313" s="50">
        <v>0</v>
      </c>
      <c r="BJ313" s="50">
        <v>0</v>
      </c>
      <c r="BK313" s="50"/>
      <c r="BL313" s="20"/>
    </row>
    <row r="314" spans="1:64" ht="409.5" x14ac:dyDescent="0.2">
      <c r="A314" s="69">
        <v>310</v>
      </c>
      <c r="B314" s="46" t="str">
        <f ca="1">IFERROR(__xludf.DUMMYFUNCTION("""COMPUTED_VALUE"""),"г.о. Красногорск")</f>
        <v>г.о. Красногорск</v>
      </c>
      <c r="C31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4" s="52" t="str">
        <f ca="1">IFERROR(__xludf.DUMMYFUNCTION("""COMPUTED_VALUE"""),"МинЖКХ")</f>
        <v>МинЖКХ</v>
      </c>
      <c r="E314" s="45" t="s">
        <v>348</v>
      </c>
      <c r="F314" s="46" t="str">
        <f ca="1">IFERROR(__xludf.DUMMYFUNCTION("""COMPUTED_VALUE"""),"ЦТП")</f>
        <v>ЦТП</v>
      </c>
      <c r="G314" s="46">
        <f ca="1">IFERROR(__xludf.DUMMYFUNCTION("""COMPUTED_VALUE"""),2020)</f>
        <v>2020</v>
      </c>
      <c r="H314" s="48" t="str">
        <f ca="1">IFERROR(__xludf.DUMMYFUNCTION("""COMPUTED_VALUE"""),"9 октября в 11:30 под руководством министра ЖКХ МО проведено совещание по вопросу реализации объектов 2021 года. По результатам проведенного совещания выполнено следующее:
- Изменение границ земельного участка невозможно. Принято решение о реконструкции "&amp;"действующей котельной без изменения ее параметров. Земельный участок получен в собственность Администрацией (выписка из ЕГРН от 08.10.2020).
На выездном совещании 28.10.2020 2020 совместно с представителями Администрации и другими заинтересованными орган"&amp;"изациями были приняты решения:  перепроектировать с разделением этапов на 2021-2022 годы и выполнить СМР в 2021 году по двум участкам сетей:
Санаторий (ХВС и канализация);
Дворец Юсупова (ХВС и теплоснабжение)
Дорожная карта по передаче электросетей на"&amp;" баланс Администрацией утверждена. Получено согласования по переводу в мун. собственность объектов электросетевого хозяйства  от Министерства благоустройства и Министерства энергетики. Подготовка комплекта документации необходимого для проектирования Адми"&amp;"нистрацией, АО ""Красногорская теплосеть"" выполнено. Подготовка конкурсной документации будет возможно после внесения изменений в ГП в части наименования мероприятия.  Администрацией направлены запросы балансодержателям о передаче объектов в муниципальну"&amp;"ю собственность.")</f>
        <v>9 октября в 11:30 под руководством министра ЖКХ МО проведено совещание по вопросу реализации объектов 2021 года. По результатам проведенного совещания выполнено следующее:
- Изменение границ земельного участка невозможно. Принято решение о реконструкции действующей котельной без изменения ее параметров. Земельный участок получен в собственность Администрацией (выписка из ЕГРН от 08.10.2020).
На выездном совещании 28.10.2020 2020 совместно с представителями Администрации и другими заинтересованными организациями были приняты решения:  перепроектировать с разделением этапов на 2021-2022 годы и выполнить СМР в 2021 году по двум участкам сетей:
Санаторий (ХВС и канализация);
Дворец Юсупова (ХВС и теплоснабжение)
Дорожная карта по передаче электросетей на баланс Администрацией утверждена. Получено согласования по переводу в мун. собственность объектов электросетевого хозяйства  от Министерства благоустройства и Министерства энергетики. Подготовка комплекта документации необходимого для проектирования Администрацией, АО "Красногорская теплосеть" выполнено. Подготовка конкурсной документации будет возможно после внесения изменений в ГП в части наименования мероприятия.  Администрацией направлены запросы балансодержателям о передаче объектов в муниципальную собственность.</v>
      </c>
      <c r="I314" s="48" t="str">
        <f ca="1">IFERROR(__xludf.DUMMYFUNCTION("""COMPUTED_VALUE"""),"ПИР")</f>
        <v>ПИР</v>
      </c>
      <c r="J314" s="48"/>
      <c r="K314" s="48" t="str">
        <f ca="1">IFERROR(__xludf.DUMMYFUNCTION("""COMPUTED_VALUE"""),"-")</f>
        <v>-</v>
      </c>
      <c r="L314" s="48" t="str">
        <f ca="1">IFERROR(__xludf.DUMMYFUNCTION("""COMPUTED_VALUE"""),"-")</f>
        <v>-</v>
      </c>
      <c r="M314" s="48"/>
      <c r="N314" s="48" t="str">
        <f ca="1">IFERROR(__xludf.DUMMYFUNCTION("""COMPUTED_VALUE"""),"10 3 02 64080")</f>
        <v>10 3 02 64080</v>
      </c>
      <c r="O314" s="48">
        <f ca="1">IFERROR(__xludf.DUMMYFUNCTION("""COMPUTED_VALUE"""),522)</f>
        <v>522</v>
      </c>
      <c r="P314" s="24">
        <f t="shared" ref="P314:T314" si="321">SUM(V314,AB314,AH314,AN314,AT314,AZ314,BF314)</f>
        <v>4621.03</v>
      </c>
      <c r="Q314" s="24">
        <f t="shared" si="321"/>
        <v>0</v>
      </c>
      <c r="R314" s="24">
        <f t="shared" si="321"/>
        <v>4607.3</v>
      </c>
      <c r="S314" s="24">
        <f t="shared" si="321"/>
        <v>0</v>
      </c>
      <c r="T314" s="24">
        <f t="shared" si="321"/>
        <v>13.73</v>
      </c>
      <c r="U314" s="24"/>
      <c r="V314" s="24"/>
      <c r="W314" s="24"/>
      <c r="X314" s="24"/>
      <c r="Y314" s="24"/>
      <c r="Z314" s="24"/>
      <c r="AA314" s="24"/>
      <c r="AB314" s="24"/>
      <c r="AC314" s="50"/>
      <c r="AD314" s="50"/>
      <c r="AE314" s="50"/>
      <c r="AF314" s="50"/>
      <c r="AG314" s="50"/>
      <c r="AH314" s="50">
        <f t="shared" si="2"/>
        <v>4621.03</v>
      </c>
      <c r="AI314" s="50">
        <v>0</v>
      </c>
      <c r="AJ314" s="50">
        <v>4607.3</v>
      </c>
      <c r="AK314" s="50">
        <v>0</v>
      </c>
      <c r="AL314" s="50">
        <v>13.73</v>
      </c>
      <c r="AM314" s="50"/>
      <c r="AN314" s="24">
        <f t="shared" si="3"/>
        <v>0</v>
      </c>
      <c r="AO314" s="50">
        <v>0</v>
      </c>
      <c r="AP314" s="50">
        <v>0</v>
      </c>
      <c r="AQ314" s="50">
        <v>0</v>
      </c>
      <c r="AR314" s="50">
        <v>0</v>
      </c>
      <c r="AS314" s="50"/>
      <c r="AT314" s="50">
        <f t="shared" si="4"/>
        <v>0</v>
      </c>
      <c r="AU314" s="50">
        <v>0</v>
      </c>
      <c r="AV314" s="50">
        <v>0</v>
      </c>
      <c r="AW314" s="50">
        <v>0</v>
      </c>
      <c r="AX314" s="50">
        <v>0</v>
      </c>
      <c r="AY314" s="50"/>
      <c r="AZ314" s="50">
        <f t="shared" si="227"/>
        <v>0</v>
      </c>
      <c r="BA314" s="50">
        <v>0</v>
      </c>
      <c r="BB314" s="50">
        <v>0</v>
      </c>
      <c r="BC314" s="50">
        <v>0</v>
      </c>
      <c r="BD314" s="50">
        <v>0</v>
      </c>
      <c r="BE314" s="50"/>
      <c r="BF314" s="50">
        <f t="shared" si="6"/>
        <v>0</v>
      </c>
      <c r="BG314" s="50">
        <v>0</v>
      </c>
      <c r="BH314" s="50">
        <v>0</v>
      </c>
      <c r="BI314" s="50">
        <v>0</v>
      </c>
      <c r="BJ314" s="50">
        <v>0</v>
      </c>
      <c r="BK314" s="50"/>
      <c r="BL314" s="20"/>
    </row>
    <row r="315" spans="1:64" ht="348" x14ac:dyDescent="0.2">
      <c r="A315" s="69">
        <v>311</v>
      </c>
      <c r="B315" s="46" t="str">
        <f ca="1">IFERROR(__xludf.DUMMYFUNCTION("""COMPUTED_VALUE"""),"г.о. Краснознаменск")</f>
        <v>г.о. Краснознаменск</v>
      </c>
      <c r="C31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5" s="52" t="str">
        <f ca="1">IFERROR(__xludf.DUMMYFUNCTION("""COMPUTED_VALUE"""),"МинЖКХ")</f>
        <v>МинЖКХ</v>
      </c>
      <c r="E315" s="45" t="s">
        <v>349</v>
      </c>
      <c r="F315" s="46" t="str">
        <f ca="1">IFERROR(__xludf.DUMMYFUNCTION("""COMPUTED_VALUE"""),"Котельная")</f>
        <v>Котельная</v>
      </c>
      <c r="G315" s="46" t="str">
        <f ca="1">IFERROR(__xludf.DUMMYFUNCTION("""COMPUTED_VALUE"""),"2020-2022")</f>
        <v>2020-2022</v>
      </c>
      <c r="H315" s="48" t="str">
        <f ca="1">IFERROR(__xludf.DUMMYFUNCTION("""COMPUTED_VALUE"""),"9 октября в 11:30 под руководством министра ЖКХ МО проведено совещание по вопросу реализации объектов 2021 года. По результатам проведенного совещания выполнено следующее:
- Изменение границ земельного участка невозможно. Принято решение о реконструкции д"&amp;"ействующей котельной без изменения ее параметров. Земельный участок получен в собственность Администрацией (выписка из ЕГРН от 08.10.2020).
На выездном совещании 28.10.2020 2020 совместно с представителями Администрации и другими заинтересованными организ"&amp;"ациями были приняты решения:  перепроектировать с разделением этапов на 2021-2022 годы и выполнить СМР в 2021 году по двум участкам сетей:
Санаторий (ХВС и канализация);
Дворец Юсупова (ХВС и теплоснабжение)
Дорожная карта по передаче электросетей на бала"&amp;"нс Администрацией утверждена. Получение согласования по переводу в мун. собственность объектов электросетевого хозяйства  от Министерства благоустройства и Министерства энергетики до 16.11.2020.""")</f>
        <v>9 октября в 11:30 под руководством министра ЖКХ МО проведено совещание по вопросу реализации объектов 2021 года. По результатам проведенного совещания выполнено следующее:
- Изменение границ земельного участка невозможно. Принято решение о реконструкции действующей котельной без изменения ее параметров. Земельный участок получен в собственность Администрацией (выписка из ЕГРН от 08.10.2020).
На выездном совещании 28.10.2020 2020 совместно с представителями Администрации и другими заинтересованными организациями были приняты решения:  перепроектировать с разделением этапов на 2021-2022 годы и выполнить СМР в 2021 году по двум участкам сетей:
Санаторий (ХВС и канализация);
Дворец Юсупова (ХВС и теплоснабжение)
Дорожная карта по передаче электросетей на баланс Администрацией утверждена. Получение согласования по переводу в мун. собственность объектов электросетевого хозяйства  от Министерства благоустройства и Министерства энергетики до 16.11.2020."</v>
      </c>
      <c r="I315" s="48" t="str">
        <f ca="1">IFERROR(__xludf.DUMMYFUNCTION("""COMPUTED_VALUE"""),"СМР")</f>
        <v>СМР</v>
      </c>
      <c r="J315" s="48"/>
      <c r="K315" s="48"/>
      <c r="L315" s="48"/>
      <c r="M315" s="48"/>
      <c r="N315" s="48" t="str">
        <f ca="1">IFERROR(__xludf.DUMMYFUNCTION("""COMPUTED_VALUE"""),"10 3 02 64080")</f>
        <v>10 3 02 64080</v>
      </c>
      <c r="O315" s="48">
        <f ca="1">IFERROR(__xludf.DUMMYFUNCTION("""COMPUTED_VALUE"""),522)</f>
        <v>522</v>
      </c>
      <c r="P315" s="24">
        <f t="shared" ref="P315:T315" si="322">SUM(V315,AB315,AH315,AN315,AT315,AZ315,BF315)</f>
        <v>213942.81999999998</v>
      </c>
      <c r="Q315" s="24">
        <f t="shared" si="322"/>
        <v>0</v>
      </c>
      <c r="R315" s="24">
        <f t="shared" si="322"/>
        <v>192549</v>
      </c>
      <c r="S315" s="24">
        <f t="shared" si="322"/>
        <v>0</v>
      </c>
      <c r="T315" s="24">
        <f t="shared" si="322"/>
        <v>21393.82</v>
      </c>
      <c r="U315" s="24"/>
      <c r="V315" s="24"/>
      <c r="W315" s="24"/>
      <c r="X315" s="24"/>
      <c r="Y315" s="24"/>
      <c r="Z315" s="24"/>
      <c r="AA315" s="24"/>
      <c r="AB315" s="24"/>
      <c r="AC315" s="50"/>
      <c r="AD315" s="50"/>
      <c r="AE315" s="50"/>
      <c r="AF315" s="50"/>
      <c r="AG315" s="50"/>
      <c r="AH315" s="50">
        <f t="shared" si="2"/>
        <v>70338.36</v>
      </c>
      <c r="AI315" s="50">
        <v>0</v>
      </c>
      <c r="AJ315" s="50">
        <v>63304.82</v>
      </c>
      <c r="AK315" s="50">
        <v>0</v>
      </c>
      <c r="AL315" s="50">
        <v>7033.54</v>
      </c>
      <c r="AM315" s="50"/>
      <c r="AN315" s="24">
        <f t="shared" si="3"/>
        <v>60411.32</v>
      </c>
      <c r="AO315" s="50">
        <v>0</v>
      </c>
      <c r="AP315" s="50">
        <v>54370</v>
      </c>
      <c r="AQ315" s="50">
        <v>0</v>
      </c>
      <c r="AR315" s="50">
        <v>6041.32</v>
      </c>
      <c r="AS315" s="50"/>
      <c r="AT315" s="50">
        <f t="shared" si="4"/>
        <v>83193.139999999985</v>
      </c>
      <c r="AU315" s="50">
        <v>0</v>
      </c>
      <c r="AV315" s="50">
        <v>74874.179999999993</v>
      </c>
      <c r="AW315" s="50">
        <v>0</v>
      </c>
      <c r="AX315" s="50">
        <v>8318.9599999999991</v>
      </c>
      <c r="AY315" s="50"/>
      <c r="AZ315" s="50">
        <f t="shared" si="227"/>
        <v>0</v>
      </c>
      <c r="BA315" s="50">
        <v>0</v>
      </c>
      <c r="BB315" s="50">
        <v>0</v>
      </c>
      <c r="BC315" s="50">
        <v>0</v>
      </c>
      <c r="BD315" s="50">
        <v>0</v>
      </c>
      <c r="BE315" s="50"/>
      <c r="BF315" s="50">
        <f t="shared" si="6"/>
        <v>0</v>
      </c>
      <c r="BG315" s="50">
        <v>0</v>
      </c>
      <c r="BH315" s="50">
        <v>0</v>
      </c>
      <c r="BI315" s="50">
        <v>0</v>
      </c>
      <c r="BJ315" s="50">
        <v>0</v>
      </c>
      <c r="BK315" s="50"/>
      <c r="BL315" s="20"/>
    </row>
    <row r="316" spans="1:64" ht="84" x14ac:dyDescent="0.2">
      <c r="A316" s="69">
        <v>312</v>
      </c>
      <c r="B316" s="46" t="str">
        <f ca="1">IFERROR(__xludf.DUMMYFUNCTION("""COMPUTED_VALUE"""),"г.о. Луховицы")</f>
        <v>г.о. Луховицы</v>
      </c>
      <c r="C31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6" s="52" t="str">
        <f ca="1">IFERROR(__xludf.DUMMYFUNCTION("""COMPUTED_VALUE"""),"МинЖКХ ""ТОП 5 (1 этап)""")</f>
        <v>МинЖКХ "ТОП 5 (1 этап)"</v>
      </c>
      <c r="E316" s="45" t="s">
        <v>350</v>
      </c>
      <c r="F316" s="46" t="str">
        <f ca="1">IFERROR(__xludf.DUMMYFUNCTION("""COMPUTED_VALUE"""),"Котельная")</f>
        <v>Котельная</v>
      </c>
      <c r="G316" s="46" t="str">
        <f ca="1">IFERROR(__xludf.DUMMYFUNCTION("""COMPUTED_VALUE"""),"2020-2021")</f>
        <v>2020-2021</v>
      </c>
      <c r="H316" s="48" t="str">
        <f ca="1">IFERROR(__xludf.DUMMYFUNCTION("""COMPUTED_VALUE"""),"Получение положительного заключения  МОГЭ - 07.12.2020
Завершение работ СМР
- 30.11.2021")</f>
        <v>Получение положительного заключения  МОГЭ - 07.12.2020
Завершение работ СМР
- 30.11.2021</v>
      </c>
      <c r="I316" s="48" t="str">
        <f ca="1">IFERROR(__xludf.DUMMYFUNCTION("""COMPUTED_VALUE"""),"ПИР")</f>
        <v>ПИР</v>
      </c>
      <c r="J316" s="48"/>
      <c r="K316" s="48"/>
      <c r="L316" s="48"/>
      <c r="M316" s="48"/>
      <c r="N316" s="48" t="str">
        <f ca="1">IFERROR(__xludf.DUMMYFUNCTION("""COMPUTED_VALUE"""),"10 3 02 64080")</f>
        <v>10 3 02 64080</v>
      </c>
      <c r="O316" s="48">
        <f ca="1">IFERROR(__xludf.DUMMYFUNCTION("""COMPUTED_VALUE"""),522)</f>
        <v>522</v>
      </c>
      <c r="P316" s="24">
        <f t="shared" ref="P316:T316" si="323">SUM(V316,AB316,AH316,AN316,AT316,AZ316,BF316)</f>
        <v>8214</v>
      </c>
      <c r="Q316" s="24">
        <f t="shared" si="323"/>
        <v>0</v>
      </c>
      <c r="R316" s="24">
        <f t="shared" si="323"/>
        <v>0</v>
      </c>
      <c r="S316" s="24">
        <f t="shared" si="323"/>
        <v>7351.53</v>
      </c>
      <c r="T316" s="24">
        <f t="shared" si="323"/>
        <v>862.47</v>
      </c>
      <c r="U316" s="24"/>
      <c r="V316" s="24"/>
      <c r="W316" s="24"/>
      <c r="X316" s="24"/>
      <c r="Y316" s="24"/>
      <c r="Z316" s="24"/>
      <c r="AA316" s="24"/>
      <c r="AB316" s="24"/>
      <c r="AC316" s="50"/>
      <c r="AD316" s="50"/>
      <c r="AE316" s="50"/>
      <c r="AF316" s="50"/>
      <c r="AG316" s="50"/>
      <c r="AH316" s="50">
        <f t="shared" si="2"/>
        <v>2127.6</v>
      </c>
      <c r="AI316" s="50">
        <v>0</v>
      </c>
      <c r="AJ316" s="50">
        <v>0</v>
      </c>
      <c r="AK316" s="50">
        <v>1904.2</v>
      </c>
      <c r="AL316" s="50">
        <v>223.4</v>
      </c>
      <c r="AM316" s="50"/>
      <c r="AN316" s="24">
        <f t="shared" si="3"/>
        <v>6086.4</v>
      </c>
      <c r="AO316" s="50">
        <v>0</v>
      </c>
      <c r="AP316" s="50">
        <v>0</v>
      </c>
      <c r="AQ316" s="50">
        <v>5447.33</v>
      </c>
      <c r="AR316" s="50">
        <v>639.07000000000005</v>
      </c>
      <c r="AS316" s="50"/>
      <c r="AT316" s="50">
        <f t="shared" si="4"/>
        <v>0</v>
      </c>
      <c r="AU316" s="50">
        <v>0</v>
      </c>
      <c r="AV316" s="50">
        <v>0</v>
      </c>
      <c r="AW316" s="50">
        <v>0</v>
      </c>
      <c r="AX316" s="50">
        <v>0</v>
      </c>
      <c r="AY316" s="50"/>
      <c r="AZ316" s="50">
        <f t="shared" si="227"/>
        <v>0</v>
      </c>
      <c r="BA316" s="50">
        <v>0</v>
      </c>
      <c r="BB316" s="50">
        <v>0</v>
      </c>
      <c r="BC316" s="50">
        <v>0</v>
      </c>
      <c r="BD316" s="50">
        <v>0</v>
      </c>
      <c r="BE316" s="50"/>
      <c r="BF316" s="50">
        <f t="shared" si="6"/>
        <v>0</v>
      </c>
      <c r="BG316" s="50">
        <v>0</v>
      </c>
      <c r="BH316" s="50">
        <v>0</v>
      </c>
      <c r="BI316" s="50">
        <v>0</v>
      </c>
      <c r="BJ316" s="50">
        <v>0</v>
      </c>
      <c r="BK316" s="50"/>
      <c r="BL316" s="20"/>
    </row>
    <row r="317" spans="1:64" ht="48" x14ac:dyDescent="0.2">
      <c r="A317" s="69">
        <v>313</v>
      </c>
      <c r="B317" s="46" t="str">
        <f ca="1">IFERROR(__xludf.DUMMYFUNCTION("""COMPUTED_VALUE"""),"ФПЛК г.о. Можайск")</f>
        <v>ФПЛК г.о. Можайск</v>
      </c>
      <c r="C317" s="46" t="str">
        <f ca="1">IFERROR(__xludf.DUMMYFUNCTION("""COMPUTED_VALUE"""),"Финансовое обеспечение (возмещение) затрат, связанных с капитальным ремонтом объектов теплоснабжения")</f>
        <v>Финансовое обеспечение (возмещение) затрат, связанных с капитальным ремонтом объектов теплоснабжения</v>
      </c>
      <c r="D317" s="46" t="str">
        <f ca="1">IFERROR(__xludf.DUMMYFUNCTION("""COMPUTED_VALUE"""),"МинЖКХ")</f>
        <v>МинЖКХ</v>
      </c>
      <c r="E317" s="45" t="s">
        <v>351</v>
      </c>
      <c r="F317" s="46" t="str">
        <f ca="1">IFERROR(__xludf.DUMMYFUNCTION("""COMPUTED_VALUE"""),"Котельная")</f>
        <v>Котельная</v>
      </c>
      <c r="G317" s="46" t="str">
        <f ca="1">IFERROR(__xludf.DUMMYFUNCTION("""COMPUTED_VALUE"""),"2020-2021")</f>
        <v>2020-2021</v>
      </c>
      <c r="H317" s="48" t="str">
        <f ca="1">IFERROR(__xludf.DUMMYFUNCTION("""COMPUTED_VALUE"""),"Завершение работ СМР 25.11.2021")</f>
        <v>Завершение работ СМР 25.11.2021</v>
      </c>
      <c r="I317" s="48" t="str">
        <f ca="1">IFERROR(__xludf.DUMMYFUNCTION("""COMPUTED_VALUE"""),"СМР")</f>
        <v>СМР</v>
      </c>
      <c r="J317" s="48">
        <f ca="1">IFERROR(__xludf.DUMMYFUNCTION("""COMPUTED_VALUE"""),5)</f>
        <v>5</v>
      </c>
      <c r="K317" s="48">
        <f ca="1">IFERROR(__xludf.DUMMYFUNCTION("""COMPUTED_VALUE"""),8500)</f>
        <v>8500</v>
      </c>
      <c r="L317" s="48">
        <f ca="1">IFERROR(__xludf.DUMMYFUNCTION("""COMPUTED_VALUE"""),8500)</f>
        <v>8500</v>
      </c>
      <c r="M317" s="48"/>
      <c r="N317" s="48" t="str">
        <f ca="1">IFERROR(__xludf.DUMMYFUNCTION("""COMPUTED_VALUE"""),"10 3 02 00090")</f>
        <v>10 3 02 00090</v>
      </c>
      <c r="O317" s="48">
        <f ca="1">IFERROR(__xludf.DUMMYFUNCTION("""COMPUTED_VALUE"""),812)</f>
        <v>812</v>
      </c>
      <c r="P317" s="24">
        <f t="shared" ref="P317:T317" si="324">SUM(V317,AB317,AH317,AN317,AT317,AZ317,BF317)</f>
        <v>261787</v>
      </c>
      <c r="Q317" s="24">
        <f t="shared" si="324"/>
        <v>0</v>
      </c>
      <c r="R317" s="24">
        <f t="shared" si="324"/>
        <v>8912</v>
      </c>
      <c r="S317" s="24">
        <f t="shared" si="324"/>
        <v>252875</v>
      </c>
      <c r="T317" s="24">
        <f t="shared" si="324"/>
        <v>0</v>
      </c>
      <c r="U317" s="24"/>
      <c r="V317" s="20"/>
      <c r="W317" s="20"/>
      <c r="X317" s="20"/>
      <c r="Y317" s="20"/>
      <c r="Z317" s="20"/>
      <c r="AA317" s="20"/>
      <c r="AB317" s="20"/>
      <c r="AC317" s="24"/>
      <c r="AD317" s="24"/>
      <c r="AE317" s="24"/>
      <c r="AF317" s="24"/>
      <c r="AG317" s="24"/>
      <c r="AH317" s="50">
        <f t="shared" si="2"/>
        <v>140263</v>
      </c>
      <c r="AI317" s="50">
        <v>0</v>
      </c>
      <c r="AJ317" s="50">
        <v>0</v>
      </c>
      <c r="AK317" s="50">
        <v>140263</v>
      </c>
      <c r="AL317" s="50">
        <v>0</v>
      </c>
      <c r="AM317" s="50"/>
      <c r="AN317" s="24">
        <f t="shared" si="3"/>
        <v>121524</v>
      </c>
      <c r="AO317" s="50">
        <v>0</v>
      </c>
      <c r="AP317" s="50">
        <v>8912</v>
      </c>
      <c r="AQ317" s="50">
        <v>112612</v>
      </c>
      <c r="AR317" s="50">
        <v>0</v>
      </c>
      <c r="AS317" s="50"/>
      <c r="AT317" s="50">
        <f t="shared" si="4"/>
        <v>0</v>
      </c>
      <c r="AU317" s="50">
        <v>0</v>
      </c>
      <c r="AV317" s="50">
        <v>0</v>
      </c>
      <c r="AW317" s="50">
        <v>0</v>
      </c>
      <c r="AX317" s="50">
        <v>0</v>
      </c>
      <c r="AY317" s="50"/>
      <c r="AZ317" s="50">
        <f t="shared" si="227"/>
        <v>0</v>
      </c>
      <c r="BA317" s="50">
        <v>0</v>
      </c>
      <c r="BB317" s="50">
        <v>0</v>
      </c>
      <c r="BC317" s="50">
        <v>0</v>
      </c>
      <c r="BD317" s="50">
        <v>0</v>
      </c>
      <c r="BE317" s="50"/>
      <c r="BF317" s="50">
        <f t="shared" si="6"/>
        <v>0</v>
      </c>
      <c r="BG317" s="50">
        <v>0</v>
      </c>
      <c r="BH317" s="50">
        <v>0</v>
      </c>
      <c r="BI317" s="50">
        <v>0</v>
      </c>
      <c r="BJ317" s="50">
        <v>0</v>
      </c>
      <c r="BK317" s="50"/>
      <c r="BL317" s="20"/>
    </row>
    <row r="318" spans="1:64" ht="48" x14ac:dyDescent="0.2">
      <c r="A318" s="69">
        <v>314</v>
      </c>
      <c r="B318" s="46" t="str">
        <f ca="1">IFERROR(__xludf.DUMMYFUNCTION("""COMPUTED_VALUE"""),"ФПЛК г.о. Можайск")</f>
        <v>ФПЛК г.о. Можайск</v>
      </c>
      <c r="C318" s="46" t="str">
        <f ca="1">IFERROR(__xludf.DUMMYFUNCTION("""COMPUTED_VALUE"""),"Финансовое обеспечение (возмещение) затрат, связанных с капитальным ремонтом объектов теплоснабжения")</f>
        <v>Финансовое обеспечение (возмещение) затрат, связанных с капитальным ремонтом объектов теплоснабжения</v>
      </c>
      <c r="D318" s="46" t="str">
        <f ca="1">IFERROR(__xludf.DUMMYFUNCTION("""COMPUTED_VALUE"""),"МинЖКХ")</f>
        <v>МинЖКХ</v>
      </c>
      <c r="E318" s="45" t="s">
        <v>352</v>
      </c>
      <c r="F318" s="46" t="str">
        <f ca="1">IFERROR(__xludf.DUMMYFUNCTION("""COMPUTED_VALUE"""),"Котельная")</f>
        <v>Котельная</v>
      </c>
      <c r="G318" s="46">
        <f ca="1">IFERROR(__xludf.DUMMYFUNCTION("""COMPUTED_VALUE"""),2020)</f>
        <v>2020</v>
      </c>
      <c r="H318" s="48" t="str">
        <f ca="1">IFERROR(__xludf.DUMMYFUNCTION("""COMPUTED_VALUE"""),"СМР: монтаж теплотрассы, промывка котла, установка автоматики управление котлами, монтаж оконных конструкций")</f>
        <v>СМР: монтаж теплотрассы, промывка котла, установка автоматики управление котлами, монтаж оконных конструкций</v>
      </c>
      <c r="I318" s="48" t="str">
        <f ca="1">IFERROR(__xludf.DUMMYFUNCTION("""COMPUTED_VALUE"""),"СМР")</f>
        <v>СМР</v>
      </c>
      <c r="J318" s="48">
        <f ca="1">IFERROR(__xludf.DUMMYFUNCTION("""COMPUTED_VALUE"""),55)</f>
        <v>55</v>
      </c>
      <c r="K318" s="48">
        <f ca="1">IFERROR(__xludf.DUMMYFUNCTION("""COMPUTED_VALUE"""),26000)</f>
        <v>26000</v>
      </c>
      <c r="L318" s="48">
        <f ca="1">IFERROR(__xludf.DUMMYFUNCTION("""COMPUTED_VALUE"""),26000)</f>
        <v>26000</v>
      </c>
      <c r="M318" s="48"/>
      <c r="N318" s="48" t="str">
        <f ca="1">IFERROR(__xludf.DUMMYFUNCTION("""COMPUTED_VALUE"""),"10 3 02 00090")</f>
        <v>10 3 02 00090</v>
      </c>
      <c r="O318" s="48">
        <f ca="1">IFERROR(__xludf.DUMMYFUNCTION("""COMPUTED_VALUE"""),812)</f>
        <v>812</v>
      </c>
      <c r="P318" s="24">
        <f t="shared" ref="P318:T318" si="325">SUM(V318,AB318,AH318,AN318,AT318,AZ318,BF318)</f>
        <v>160854</v>
      </c>
      <c r="Q318" s="24">
        <f t="shared" si="325"/>
        <v>0</v>
      </c>
      <c r="R318" s="24">
        <f t="shared" si="325"/>
        <v>0</v>
      </c>
      <c r="S318" s="24">
        <f t="shared" si="325"/>
        <v>160854</v>
      </c>
      <c r="T318" s="24">
        <f t="shared" si="325"/>
        <v>0</v>
      </c>
      <c r="U318" s="24"/>
      <c r="V318" s="20"/>
      <c r="W318" s="20"/>
      <c r="X318" s="20"/>
      <c r="Y318" s="20"/>
      <c r="Z318" s="20"/>
      <c r="AA318" s="20"/>
      <c r="AB318" s="20"/>
      <c r="AC318" s="24"/>
      <c r="AD318" s="24"/>
      <c r="AE318" s="24"/>
      <c r="AF318" s="24"/>
      <c r="AG318" s="24"/>
      <c r="AH318" s="50">
        <f t="shared" si="2"/>
        <v>160854</v>
      </c>
      <c r="AI318" s="50">
        <v>0</v>
      </c>
      <c r="AJ318" s="50">
        <v>0</v>
      </c>
      <c r="AK318" s="50">
        <v>160854</v>
      </c>
      <c r="AL318" s="50">
        <v>0</v>
      </c>
      <c r="AM318" s="50"/>
      <c r="AN318" s="24">
        <f t="shared" si="3"/>
        <v>0</v>
      </c>
      <c r="AO318" s="50">
        <v>0</v>
      </c>
      <c r="AP318" s="50">
        <v>0</v>
      </c>
      <c r="AQ318" s="50">
        <v>0</v>
      </c>
      <c r="AR318" s="50">
        <v>0</v>
      </c>
      <c r="AS318" s="50"/>
      <c r="AT318" s="50">
        <f t="shared" si="4"/>
        <v>0</v>
      </c>
      <c r="AU318" s="50">
        <v>0</v>
      </c>
      <c r="AV318" s="50">
        <v>0</v>
      </c>
      <c r="AW318" s="50">
        <v>0</v>
      </c>
      <c r="AX318" s="50">
        <v>0</v>
      </c>
      <c r="AY318" s="50"/>
      <c r="AZ318" s="50">
        <f t="shared" si="227"/>
        <v>0</v>
      </c>
      <c r="BA318" s="50">
        <v>0</v>
      </c>
      <c r="BB318" s="50">
        <v>0</v>
      </c>
      <c r="BC318" s="50">
        <v>0</v>
      </c>
      <c r="BD318" s="50">
        <v>0</v>
      </c>
      <c r="BE318" s="50"/>
      <c r="BF318" s="50">
        <f t="shared" si="6"/>
        <v>0</v>
      </c>
      <c r="BG318" s="50">
        <v>0</v>
      </c>
      <c r="BH318" s="50">
        <v>0</v>
      </c>
      <c r="BI318" s="50">
        <v>0</v>
      </c>
      <c r="BJ318" s="50">
        <v>0</v>
      </c>
      <c r="BK318" s="50"/>
      <c r="BL318" s="20"/>
    </row>
    <row r="319" spans="1:64" ht="84" x14ac:dyDescent="0.2">
      <c r="A319" s="69">
        <v>315</v>
      </c>
      <c r="B319" s="46" t="str">
        <f ca="1">IFERROR(__xludf.DUMMYFUNCTION("""COMPUTED_VALUE"""),"г.о. Одинцово")</f>
        <v>г.о. Одинцово</v>
      </c>
      <c r="C31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19" s="46" t="str">
        <f ca="1">IFERROR(__xludf.DUMMYFUNCTION("""COMPUTED_VALUE"""),"МинЖКХ")</f>
        <v>МинЖКХ</v>
      </c>
      <c r="E319" s="45" t="s">
        <v>353</v>
      </c>
      <c r="F319" s="46" t="str">
        <f ca="1">IFERROR(__xludf.DUMMYFUNCTION("""COMPUTED_VALUE"""),"Сети")</f>
        <v>Сети</v>
      </c>
      <c r="G319" s="46" t="str">
        <f ca="1">IFERROR(__xludf.DUMMYFUNCTION("""COMPUTED_VALUE"""),"2020-2021")</f>
        <v>2020-2021</v>
      </c>
      <c r="H319" s="48"/>
      <c r="I319" s="48" t="str">
        <f ca="1">IFERROR(__xludf.DUMMYFUNCTION("""COMPUTED_VALUE"""),"СМР")</f>
        <v>СМР</v>
      </c>
      <c r="J319" s="48"/>
      <c r="K319" s="48"/>
      <c r="L319" s="48"/>
      <c r="M319" s="48"/>
      <c r="N319" s="48" t="str">
        <f ca="1">IFERROR(__xludf.DUMMYFUNCTION("""COMPUTED_VALUE"""),"10 3 02 64080")</f>
        <v>10 3 02 64080</v>
      </c>
      <c r="O319" s="48">
        <f ca="1">IFERROR(__xludf.DUMMYFUNCTION("""COMPUTED_VALUE"""),522)</f>
        <v>522</v>
      </c>
      <c r="P319" s="24">
        <f t="shared" ref="P319:T319" si="326">SUM(V319,AB319,AH319,AN319,AT319,AZ319,BF319)</f>
        <v>417243.2</v>
      </c>
      <c r="Q319" s="24">
        <f t="shared" si="326"/>
        <v>0</v>
      </c>
      <c r="R319" s="24">
        <f t="shared" si="326"/>
        <v>260777</v>
      </c>
      <c r="S319" s="24">
        <f t="shared" si="326"/>
        <v>0</v>
      </c>
      <c r="T319" s="24">
        <f t="shared" si="326"/>
        <v>156466.20000000001</v>
      </c>
      <c r="U319" s="24"/>
      <c r="V319" s="20"/>
      <c r="W319" s="20"/>
      <c r="X319" s="20"/>
      <c r="Y319" s="20"/>
      <c r="Z319" s="20"/>
      <c r="AA319" s="20"/>
      <c r="AB319" s="20"/>
      <c r="AC319" s="24"/>
      <c r="AD319" s="24"/>
      <c r="AE319" s="24"/>
      <c r="AF319" s="24"/>
      <c r="AG319" s="24"/>
      <c r="AH319" s="50">
        <f t="shared" si="2"/>
        <v>129204.8</v>
      </c>
      <c r="AI319" s="50">
        <v>0</v>
      </c>
      <c r="AJ319" s="50">
        <v>80753</v>
      </c>
      <c r="AK319" s="50">
        <v>0</v>
      </c>
      <c r="AL319" s="50">
        <v>48451.8</v>
      </c>
      <c r="AM319" s="50"/>
      <c r="AN319" s="24">
        <f t="shared" si="3"/>
        <v>288038.40000000002</v>
      </c>
      <c r="AO319" s="50">
        <v>0</v>
      </c>
      <c r="AP319" s="50">
        <v>180024</v>
      </c>
      <c r="AQ319" s="50">
        <v>0</v>
      </c>
      <c r="AR319" s="50">
        <v>108014.39999999999</v>
      </c>
      <c r="AS319" s="50"/>
      <c r="AT319" s="50">
        <f t="shared" si="4"/>
        <v>0</v>
      </c>
      <c r="AU319" s="50">
        <v>0</v>
      </c>
      <c r="AV319" s="50">
        <v>0</v>
      </c>
      <c r="AW319" s="50">
        <v>0</v>
      </c>
      <c r="AX319" s="50">
        <v>0</v>
      </c>
      <c r="AY319" s="50"/>
      <c r="AZ319" s="50">
        <f t="shared" si="227"/>
        <v>0</v>
      </c>
      <c r="BA319" s="50">
        <v>0</v>
      </c>
      <c r="BB319" s="50">
        <v>0</v>
      </c>
      <c r="BC319" s="50">
        <v>0</v>
      </c>
      <c r="BD319" s="50">
        <v>0</v>
      </c>
      <c r="BE319" s="50"/>
      <c r="BF319" s="50">
        <f t="shared" si="6"/>
        <v>0</v>
      </c>
      <c r="BG319" s="50">
        <v>0</v>
      </c>
      <c r="BH319" s="50">
        <v>0</v>
      </c>
      <c r="BI319" s="50">
        <v>0</v>
      </c>
      <c r="BJ319" s="50">
        <v>0</v>
      </c>
      <c r="BK319" s="50"/>
      <c r="BL319" s="20"/>
    </row>
    <row r="320" spans="1:64" ht="84" x14ac:dyDescent="0.2">
      <c r="A320" s="69">
        <v>316</v>
      </c>
      <c r="B320" s="46" t="str">
        <f ca="1">IFERROR(__xludf.DUMMYFUNCTION("""COMPUTED_VALUE"""),"г.о. Озеры")</f>
        <v>г.о. Озеры</v>
      </c>
      <c r="C32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0" s="52" t="str">
        <f ca="1">IFERROR(__xludf.DUMMYFUNCTION("""COMPUTED_VALUE"""),"МинЖКХ")</f>
        <v>МинЖКХ</v>
      </c>
      <c r="E320" s="45" t="s">
        <v>354</v>
      </c>
      <c r="F320" s="46" t="str">
        <f ca="1">IFERROR(__xludf.DUMMYFUNCTION("""COMPUTED_VALUE"""),"Котельная")</f>
        <v>Котельная</v>
      </c>
      <c r="G320" s="46">
        <f ca="1">IFERROR(__xludf.DUMMYFUNCTION("""COMPUTED_VALUE"""),2020)</f>
        <v>2020</v>
      </c>
      <c r="H320" s="48" t="str">
        <f ca="1">IFERROR(__xludf.DUMMYFUNCTION("""COMPUTED_VALUE"""),"Заяака на оплату находится на рассмотрение в МинЖКХ от 01.12.2020.")</f>
        <v>Заяака на оплату находится на рассмотрение в МинЖКХ от 01.12.2020.</v>
      </c>
      <c r="I320" s="48" t="str">
        <f ca="1">IFERROR(__xludf.DUMMYFUNCTION("""COMPUTED_VALUE"""),"СМР")</f>
        <v>СМР</v>
      </c>
      <c r="J320" s="48">
        <f ca="1">IFERROR(__xludf.DUMMYFUNCTION("""COMPUTED_VALUE"""),100)</f>
        <v>100</v>
      </c>
      <c r="K320" s="48">
        <f ca="1">IFERROR(__xludf.DUMMYFUNCTION("""COMPUTED_VALUE"""),1800)</f>
        <v>1800</v>
      </c>
      <c r="L320" s="48">
        <f ca="1">IFERROR(__xludf.DUMMYFUNCTION("""COMPUTED_VALUE"""),1800)</f>
        <v>1800</v>
      </c>
      <c r="M320" s="48"/>
      <c r="N320" s="48" t="str">
        <f ca="1">IFERROR(__xludf.DUMMYFUNCTION("""COMPUTED_VALUE"""),"10 3 02 64080")</f>
        <v>10 3 02 64080</v>
      </c>
      <c r="O320" s="48">
        <f ca="1">IFERROR(__xludf.DUMMYFUNCTION("""COMPUTED_VALUE"""),522)</f>
        <v>522</v>
      </c>
      <c r="P320" s="24">
        <f t="shared" ref="P320:T320" si="327">SUM(V320,AB320,AH320,AN320,AT320,AZ320,BF320)</f>
        <v>47300.37</v>
      </c>
      <c r="Q320" s="24">
        <f t="shared" si="327"/>
        <v>0</v>
      </c>
      <c r="R320" s="24">
        <f t="shared" si="327"/>
        <v>38076.79</v>
      </c>
      <c r="S320" s="24">
        <f t="shared" si="327"/>
        <v>0</v>
      </c>
      <c r="T320" s="24">
        <f t="shared" si="327"/>
        <v>9223.58</v>
      </c>
      <c r="U320" s="24"/>
      <c r="V320" s="24"/>
      <c r="W320" s="24"/>
      <c r="X320" s="24"/>
      <c r="Y320" s="24"/>
      <c r="Z320" s="24"/>
      <c r="AA320" s="24"/>
      <c r="AB320" s="24"/>
      <c r="AC320" s="50"/>
      <c r="AD320" s="50"/>
      <c r="AE320" s="50"/>
      <c r="AF320" s="50"/>
      <c r="AG320" s="50"/>
      <c r="AH320" s="50">
        <f t="shared" si="2"/>
        <v>47300.37</v>
      </c>
      <c r="AI320" s="50">
        <v>0</v>
      </c>
      <c r="AJ320" s="50">
        <v>38076.79</v>
      </c>
      <c r="AK320" s="50">
        <v>0</v>
      </c>
      <c r="AL320" s="50">
        <v>9223.58</v>
      </c>
      <c r="AM320" s="50"/>
      <c r="AN320" s="24">
        <f t="shared" si="3"/>
        <v>0</v>
      </c>
      <c r="AO320" s="50">
        <v>0</v>
      </c>
      <c r="AP320" s="50">
        <v>0</v>
      </c>
      <c r="AQ320" s="50">
        <v>0</v>
      </c>
      <c r="AR320" s="50">
        <v>0</v>
      </c>
      <c r="AS320" s="50"/>
      <c r="AT320" s="50">
        <f t="shared" si="4"/>
        <v>0</v>
      </c>
      <c r="AU320" s="50">
        <v>0</v>
      </c>
      <c r="AV320" s="50">
        <v>0</v>
      </c>
      <c r="AW320" s="50">
        <v>0</v>
      </c>
      <c r="AX320" s="50">
        <v>0</v>
      </c>
      <c r="AY320" s="50"/>
      <c r="AZ320" s="50">
        <f t="shared" si="227"/>
        <v>0</v>
      </c>
      <c r="BA320" s="50">
        <v>0</v>
      </c>
      <c r="BB320" s="50">
        <v>0</v>
      </c>
      <c r="BC320" s="50">
        <v>0</v>
      </c>
      <c r="BD320" s="50">
        <v>0</v>
      </c>
      <c r="BE320" s="50"/>
      <c r="BF320" s="50">
        <f t="shared" si="6"/>
        <v>0</v>
      </c>
      <c r="BG320" s="50">
        <v>0</v>
      </c>
      <c r="BH320" s="50">
        <v>0</v>
      </c>
      <c r="BI320" s="50">
        <v>0</v>
      </c>
      <c r="BJ320" s="50">
        <v>0</v>
      </c>
      <c r="BK320" s="50"/>
      <c r="BL320" s="20"/>
    </row>
    <row r="321" spans="1:64" ht="96" x14ac:dyDescent="0.2">
      <c r="A321" s="69">
        <v>317</v>
      </c>
      <c r="B321" s="46" t="str">
        <f ca="1">IFERROR(__xludf.DUMMYFUNCTION("""COMPUTED_VALUE"""),"г.о. Пущино")</f>
        <v>г.о. Пущино</v>
      </c>
      <c r="C321"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21" s="46" t="str">
        <f ca="1">IFERROR(__xludf.DUMMYFUNCTION("""COMPUTED_VALUE"""),"МинЖКХ")</f>
        <v>МинЖКХ</v>
      </c>
      <c r="E321" s="45" t="s">
        <v>355</v>
      </c>
      <c r="F321" s="46" t="str">
        <f ca="1">IFERROR(__xludf.DUMMYFUNCTION("""COMPUTED_VALUE"""),"Сети")</f>
        <v>Сети</v>
      </c>
      <c r="G321" s="46">
        <f ca="1">IFERROR(__xludf.DUMMYFUNCTION("""COMPUTED_VALUE"""),2020)</f>
        <v>2020</v>
      </c>
      <c r="H321" s="48" t="str">
        <f ca="1">IFERROR(__xludf.DUMMYFUNCTION("""COMPUTED_VALUE"""),"До 15.12.2020 должны присалть заявку на оплату.")</f>
        <v>До 15.12.2020 должны присалть заявку на оплату.</v>
      </c>
      <c r="I321" s="48" t="str">
        <f ca="1">IFERROR(__xludf.DUMMYFUNCTION("""COMPUTED_VALUE"""),"СМР")</f>
        <v>СМР</v>
      </c>
      <c r="J321" s="48">
        <f ca="1">IFERROR(__xludf.DUMMYFUNCTION("""COMPUTED_VALUE"""),100)</f>
        <v>100</v>
      </c>
      <c r="K321" s="48">
        <f ca="1">IFERROR(__xludf.DUMMYFUNCTION("""COMPUTED_VALUE"""),1200)</f>
        <v>1200</v>
      </c>
      <c r="L321" s="48">
        <f ca="1">IFERROR(__xludf.DUMMYFUNCTION("""COMPUTED_VALUE"""),1200)</f>
        <v>1200</v>
      </c>
      <c r="M321" s="48"/>
      <c r="N321" s="48" t="str">
        <f ca="1">IFERROR(__xludf.DUMMYFUNCTION("""COMPUTED_VALUE"""),"10 3 02 60320")</f>
        <v>10 3 02 60320</v>
      </c>
      <c r="O321" s="48">
        <f ca="1">IFERROR(__xludf.DUMMYFUNCTION("""COMPUTED_VALUE"""),521)</f>
        <v>521</v>
      </c>
      <c r="P321" s="24">
        <f t="shared" ref="P321:T321" si="328">SUM(V321,AB321,AH321,AN321,AT321,AZ321,BF321)</f>
        <v>16430.080000000002</v>
      </c>
      <c r="Q321" s="24">
        <f t="shared" si="328"/>
        <v>0</v>
      </c>
      <c r="R321" s="24">
        <f t="shared" si="328"/>
        <v>15280</v>
      </c>
      <c r="S321" s="24">
        <f t="shared" si="328"/>
        <v>0</v>
      </c>
      <c r="T321" s="24">
        <f t="shared" si="328"/>
        <v>1150.08</v>
      </c>
      <c r="U321" s="24"/>
      <c r="V321" s="20"/>
      <c r="W321" s="20"/>
      <c r="X321" s="20"/>
      <c r="Y321" s="20"/>
      <c r="Z321" s="20"/>
      <c r="AA321" s="20"/>
      <c r="AB321" s="20"/>
      <c r="AC321" s="24"/>
      <c r="AD321" s="24"/>
      <c r="AE321" s="24"/>
      <c r="AF321" s="24"/>
      <c r="AG321" s="24"/>
      <c r="AH321" s="50">
        <f t="shared" si="2"/>
        <v>16430.080000000002</v>
      </c>
      <c r="AI321" s="50">
        <v>0</v>
      </c>
      <c r="AJ321" s="50">
        <v>15280</v>
      </c>
      <c r="AK321" s="50">
        <v>0</v>
      </c>
      <c r="AL321" s="50">
        <v>1150.08</v>
      </c>
      <c r="AM321" s="50"/>
      <c r="AN321" s="24">
        <f t="shared" si="3"/>
        <v>0</v>
      </c>
      <c r="AO321" s="50">
        <v>0</v>
      </c>
      <c r="AP321" s="50">
        <v>0</v>
      </c>
      <c r="AQ321" s="50">
        <v>0</v>
      </c>
      <c r="AR321" s="50">
        <v>0</v>
      </c>
      <c r="AS321" s="50"/>
      <c r="AT321" s="50">
        <f t="shared" si="4"/>
        <v>0</v>
      </c>
      <c r="AU321" s="50">
        <v>0</v>
      </c>
      <c r="AV321" s="50">
        <v>0</v>
      </c>
      <c r="AW321" s="50">
        <v>0</v>
      </c>
      <c r="AX321" s="50">
        <v>0</v>
      </c>
      <c r="AY321" s="50"/>
      <c r="AZ321" s="50">
        <f t="shared" si="227"/>
        <v>0</v>
      </c>
      <c r="BA321" s="50">
        <v>0</v>
      </c>
      <c r="BB321" s="50">
        <v>0</v>
      </c>
      <c r="BC321" s="50">
        <v>0</v>
      </c>
      <c r="BD321" s="50">
        <v>0</v>
      </c>
      <c r="BE321" s="50"/>
      <c r="BF321" s="50">
        <f t="shared" si="6"/>
        <v>0</v>
      </c>
      <c r="BG321" s="50">
        <v>0</v>
      </c>
      <c r="BH321" s="50">
        <v>0</v>
      </c>
      <c r="BI321" s="50">
        <v>0</v>
      </c>
      <c r="BJ321" s="50">
        <v>0</v>
      </c>
      <c r="BK321" s="50"/>
      <c r="BL321" s="20"/>
    </row>
    <row r="322" spans="1:64" ht="108" x14ac:dyDescent="0.2">
      <c r="A322" s="69">
        <v>318</v>
      </c>
      <c r="B322" s="46" t="str">
        <f ca="1">IFERROR(__xludf.DUMMYFUNCTION("""COMPUTED_VALUE"""),"г.о. Раменский")</f>
        <v>г.о. Раменский</v>
      </c>
      <c r="C32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2" s="52" t="str">
        <f ca="1">IFERROR(__xludf.DUMMYFUNCTION("""COMPUTED_VALUE"""),"МинЖКХ")</f>
        <v>МинЖКХ</v>
      </c>
      <c r="E322" s="45" t="s">
        <v>356</v>
      </c>
      <c r="F322" s="46" t="str">
        <f ca="1">IFERROR(__xludf.DUMMYFUNCTION("""COMPUTED_VALUE"""),"Сети")</f>
        <v>Сети</v>
      </c>
      <c r="G322" s="46">
        <f ca="1">IFERROR(__xludf.DUMMYFUNCTION("""COMPUTED_VALUE"""),2020)</f>
        <v>2020</v>
      </c>
      <c r="H322" s="48" t="str">
        <f ca="1">IFERROR(__xludf.DUMMYFUNCTION("""COMPUTED_VALUE"""),"ЗАВЕРШЕНО")</f>
        <v>ЗАВЕРШЕНО</v>
      </c>
      <c r="I322" s="48" t="str">
        <f ca="1">IFERROR(__xludf.DUMMYFUNCTION("""COMPUTED_VALUE"""),"СМР")</f>
        <v>СМР</v>
      </c>
      <c r="J322" s="48">
        <f ca="1">IFERROR(__xludf.DUMMYFUNCTION("""COMPUTED_VALUE"""),100)</f>
        <v>100</v>
      </c>
      <c r="K322" s="48"/>
      <c r="L322" s="48"/>
      <c r="M322" s="48"/>
      <c r="N322" s="48" t="str">
        <f ca="1">IFERROR(__xludf.DUMMYFUNCTION("""COMPUTED_VALUE"""),"10 3 02 64080")</f>
        <v>10 3 02 64080</v>
      </c>
      <c r="O322" s="48">
        <f ca="1">IFERROR(__xludf.DUMMYFUNCTION("""COMPUTED_VALUE"""),522)</f>
        <v>522</v>
      </c>
      <c r="P322" s="24">
        <f t="shared" ref="P322:T322" si="329">SUM(V322,AB322,AH322,AN322,AT322,AZ322,BF322)</f>
        <v>2047.5</v>
      </c>
      <c r="Q322" s="24">
        <f t="shared" si="329"/>
        <v>0</v>
      </c>
      <c r="R322" s="24">
        <f t="shared" si="329"/>
        <v>2047.19</v>
      </c>
      <c r="S322" s="24">
        <f t="shared" si="329"/>
        <v>0</v>
      </c>
      <c r="T322" s="24">
        <f t="shared" si="329"/>
        <v>0.31</v>
      </c>
      <c r="U322" s="24"/>
      <c r="V322" s="24"/>
      <c r="W322" s="24"/>
      <c r="X322" s="24"/>
      <c r="Y322" s="24"/>
      <c r="Z322" s="24"/>
      <c r="AA322" s="24"/>
      <c r="AB322" s="24"/>
      <c r="AC322" s="50"/>
      <c r="AD322" s="50"/>
      <c r="AE322" s="50"/>
      <c r="AF322" s="50"/>
      <c r="AG322" s="50"/>
      <c r="AH322" s="50">
        <f t="shared" si="2"/>
        <v>2047.5</v>
      </c>
      <c r="AI322" s="50">
        <v>0</v>
      </c>
      <c r="AJ322" s="50">
        <v>2047.19</v>
      </c>
      <c r="AK322" s="50">
        <v>0</v>
      </c>
      <c r="AL322" s="50">
        <v>0.31</v>
      </c>
      <c r="AM322" s="50"/>
      <c r="AN322" s="24">
        <f t="shared" si="3"/>
        <v>0</v>
      </c>
      <c r="AO322" s="50">
        <v>0</v>
      </c>
      <c r="AP322" s="50">
        <v>0</v>
      </c>
      <c r="AQ322" s="50">
        <v>0</v>
      </c>
      <c r="AR322" s="50">
        <v>0</v>
      </c>
      <c r="AS322" s="50"/>
      <c r="AT322" s="50">
        <f t="shared" si="4"/>
        <v>0</v>
      </c>
      <c r="AU322" s="50">
        <v>0</v>
      </c>
      <c r="AV322" s="50">
        <v>0</v>
      </c>
      <c r="AW322" s="50">
        <v>0</v>
      </c>
      <c r="AX322" s="50">
        <v>0</v>
      </c>
      <c r="AY322" s="50"/>
      <c r="AZ322" s="50">
        <f t="shared" si="227"/>
        <v>0</v>
      </c>
      <c r="BA322" s="50">
        <v>0</v>
      </c>
      <c r="BB322" s="50">
        <v>0</v>
      </c>
      <c r="BC322" s="50">
        <v>0</v>
      </c>
      <c r="BD322" s="50">
        <v>0</v>
      </c>
      <c r="BE322" s="50"/>
      <c r="BF322" s="50">
        <f t="shared" si="6"/>
        <v>0</v>
      </c>
      <c r="BG322" s="50">
        <v>0</v>
      </c>
      <c r="BH322" s="50">
        <v>0</v>
      </c>
      <c r="BI322" s="50">
        <v>0</v>
      </c>
      <c r="BJ322" s="50">
        <v>0</v>
      </c>
      <c r="BK322" s="50"/>
      <c r="BL322" s="20"/>
    </row>
    <row r="323" spans="1:64" ht="84" x14ac:dyDescent="0.2">
      <c r="A323" s="69">
        <v>319</v>
      </c>
      <c r="B323" s="46" t="str">
        <f ca="1">IFERROR(__xludf.DUMMYFUNCTION("""COMPUTED_VALUE"""),"г.о. Раменский")</f>
        <v>г.о. Раменский</v>
      </c>
      <c r="C32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3" s="52" t="str">
        <f ca="1">IFERROR(__xludf.DUMMYFUNCTION("""COMPUTED_VALUE"""),"МинЖКХ")</f>
        <v>МинЖКХ</v>
      </c>
      <c r="E323" s="45" t="s">
        <v>357</v>
      </c>
      <c r="F323" s="46" t="str">
        <f ca="1">IFERROR(__xludf.DUMMYFUNCTION("""COMPUTED_VALUE"""),"Сети")</f>
        <v>Сети</v>
      </c>
      <c r="G323" s="46">
        <f ca="1">IFERROR(__xludf.DUMMYFUNCTION("""COMPUTED_VALUE"""),2020)</f>
        <v>2020</v>
      </c>
      <c r="H323" s="48" t="str">
        <f ca="1">IFERROR(__xludf.DUMMYFUNCTION("""COMPUTED_VALUE"""),"ЗАВЕРШЕНО")</f>
        <v>ЗАВЕРШЕНО</v>
      </c>
      <c r="I323" s="48" t="str">
        <f ca="1">IFERROR(__xludf.DUMMYFUNCTION("""COMPUTED_VALUE"""),"СМР")</f>
        <v>СМР</v>
      </c>
      <c r="J323" s="48">
        <f ca="1">IFERROR(__xludf.DUMMYFUNCTION("""COMPUTED_VALUE"""),100)</f>
        <v>100</v>
      </c>
      <c r="K323" s="48"/>
      <c r="L323" s="48"/>
      <c r="M323" s="48"/>
      <c r="N323" s="48" t="str">
        <f ca="1">IFERROR(__xludf.DUMMYFUNCTION("""COMPUTED_VALUE"""),"10 3 02 64080")</f>
        <v>10 3 02 64080</v>
      </c>
      <c r="O323" s="48">
        <f ca="1">IFERROR(__xludf.DUMMYFUNCTION("""COMPUTED_VALUE"""),522)</f>
        <v>522</v>
      </c>
      <c r="P323" s="24">
        <f t="shared" ref="P323:T323" si="330">SUM(V323,AB323,AH323,AN323,AT323,AZ323,BF323)</f>
        <v>665.2</v>
      </c>
      <c r="Q323" s="24">
        <f t="shared" si="330"/>
        <v>0</v>
      </c>
      <c r="R323" s="24">
        <f t="shared" si="330"/>
        <v>665</v>
      </c>
      <c r="S323" s="24">
        <f t="shared" si="330"/>
        <v>0</v>
      </c>
      <c r="T323" s="24">
        <f t="shared" si="330"/>
        <v>0.2</v>
      </c>
      <c r="U323" s="24"/>
      <c r="V323" s="24"/>
      <c r="W323" s="24"/>
      <c r="X323" s="24"/>
      <c r="Y323" s="24"/>
      <c r="Z323" s="24"/>
      <c r="AA323" s="24"/>
      <c r="AB323" s="24"/>
      <c r="AC323" s="50"/>
      <c r="AD323" s="50"/>
      <c r="AE323" s="50"/>
      <c r="AF323" s="50"/>
      <c r="AG323" s="50"/>
      <c r="AH323" s="50">
        <f t="shared" si="2"/>
        <v>665.2</v>
      </c>
      <c r="AI323" s="50">
        <v>0</v>
      </c>
      <c r="AJ323" s="50">
        <v>665</v>
      </c>
      <c r="AK323" s="50">
        <v>0</v>
      </c>
      <c r="AL323" s="50">
        <v>0.2</v>
      </c>
      <c r="AM323" s="50"/>
      <c r="AN323" s="24">
        <f t="shared" si="3"/>
        <v>0</v>
      </c>
      <c r="AO323" s="50">
        <v>0</v>
      </c>
      <c r="AP323" s="50">
        <v>0</v>
      </c>
      <c r="AQ323" s="50">
        <v>0</v>
      </c>
      <c r="AR323" s="50">
        <v>0</v>
      </c>
      <c r="AS323" s="50"/>
      <c r="AT323" s="50">
        <f t="shared" si="4"/>
        <v>0</v>
      </c>
      <c r="AU323" s="50">
        <v>0</v>
      </c>
      <c r="AV323" s="50">
        <v>0</v>
      </c>
      <c r="AW323" s="50">
        <v>0</v>
      </c>
      <c r="AX323" s="50">
        <v>0</v>
      </c>
      <c r="AY323" s="50"/>
      <c r="AZ323" s="50">
        <f t="shared" si="227"/>
        <v>0</v>
      </c>
      <c r="BA323" s="50">
        <v>0</v>
      </c>
      <c r="BB323" s="50">
        <v>0</v>
      </c>
      <c r="BC323" s="50">
        <v>0</v>
      </c>
      <c r="BD323" s="50">
        <v>0</v>
      </c>
      <c r="BE323" s="50"/>
      <c r="BF323" s="50">
        <f t="shared" si="6"/>
        <v>0</v>
      </c>
      <c r="BG323" s="50">
        <v>0</v>
      </c>
      <c r="BH323" s="50">
        <v>0</v>
      </c>
      <c r="BI323" s="50">
        <v>0</v>
      </c>
      <c r="BJ323" s="50">
        <v>0</v>
      </c>
      <c r="BK323" s="50"/>
      <c r="BL323" s="20"/>
    </row>
    <row r="324" spans="1:64" ht="144" x14ac:dyDescent="0.2">
      <c r="A324" s="69">
        <v>320</v>
      </c>
      <c r="B324" s="46" t="str">
        <f ca="1">IFERROR(__xludf.DUMMYFUNCTION("""COMPUTED_VALUE"""),"г.о. Рузский")</f>
        <v>г.о. Рузский</v>
      </c>
      <c r="C32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4" s="52" t="str">
        <f ca="1">IFERROR(__xludf.DUMMYFUNCTION("""COMPUTED_VALUE"""),"МинЖКХ")</f>
        <v>МинЖКХ</v>
      </c>
      <c r="E324" s="45" t="s">
        <v>358</v>
      </c>
      <c r="F324" s="46" t="str">
        <f ca="1">IFERROR(__xludf.DUMMYFUNCTION("""COMPUTED_VALUE"""),"БМК")</f>
        <v>БМК</v>
      </c>
      <c r="G324" s="46">
        <f ca="1">IFERROR(__xludf.DUMMYFUNCTION("""COMPUTED_VALUE"""),2020)</f>
        <v>2020</v>
      </c>
      <c r="H324" s="48" t="str">
        <f ca="1">IFERROR(__xludf.DUMMYFUNCTION("""COMPUTED_VALUE"""),"Опрессовка оборудования
- Межрегионгаз опломбировали счетчики 
Остались работы: 
- благоустройство (договор с АО «Жилсервис». Работы ведутся),
- папки для сдачи в Ростехнадзор (собраны. на согласование в МОГ 02.12.2020),
- сети связи (подписание 02.12."&amp;"2020 с Эдельвейс)
- пуско-наладочные работы (запланированы на отопительный период 2020-2021).
")</f>
        <v xml:space="preserve">Опрессовка оборудования
- Межрегионгаз опломбировали счетчики 
Остались работы: 
- благоустройство (договор с АО «Жилсервис». Работы ведутся),
- папки для сдачи в Ростехнадзор (собраны. на согласование в МОГ 02.12.2020),
- сети связи (подписание 02.12.2020 с Эдельвейс)
- пуско-наладочные работы (запланированы на отопительный период 2020-2021).
</v>
      </c>
      <c r="I324" s="48" t="str">
        <f ca="1">IFERROR(__xludf.DUMMYFUNCTION("""COMPUTED_VALUE"""),"СМР")</f>
        <v>СМР</v>
      </c>
      <c r="J324" s="48">
        <f ca="1">IFERROR(__xludf.DUMMYFUNCTION("""COMPUTED_VALUE"""),94)</f>
        <v>94</v>
      </c>
      <c r="K324" s="48">
        <f ca="1">IFERROR(__xludf.DUMMYFUNCTION("""COMPUTED_VALUE"""),71)</f>
        <v>71</v>
      </c>
      <c r="L324" s="48">
        <f ca="1">IFERROR(__xludf.DUMMYFUNCTION("""COMPUTED_VALUE"""),71)</f>
        <v>71</v>
      </c>
      <c r="M324" s="48"/>
      <c r="N324" s="48" t="str">
        <f ca="1">IFERROR(__xludf.DUMMYFUNCTION("""COMPUTED_VALUE"""),"10 3 02 64080")</f>
        <v>10 3 02 64080</v>
      </c>
      <c r="O324" s="48">
        <f ca="1">IFERROR(__xludf.DUMMYFUNCTION("""COMPUTED_VALUE"""),522)</f>
        <v>522</v>
      </c>
      <c r="P324" s="24">
        <f t="shared" ref="P324:T324" si="331">SUM(V324,AB324,AH324,AN324,AT324,AZ324,BF324)</f>
        <v>7568.4</v>
      </c>
      <c r="Q324" s="24">
        <f t="shared" si="331"/>
        <v>0</v>
      </c>
      <c r="R324" s="24">
        <f t="shared" si="331"/>
        <v>6258.83</v>
      </c>
      <c r="S324" s="24">
        <f t="shared" si="331"/>
        <v>0</v>
      </c>
      <c r="T324" s="24">
        <f t="shared" si="331"/>
        <v>1309.57</v>
      </c>
      <c r="U324" s="24"/>
      <c r="V324" s="24"/>
      <c r="W324" s="24"/>
      <c r="X324" s="24"/>
      <c r="Y324" s="24"/>
      <c r="Z324" s="24"/>
      <c r="AA324" s="24"/>
      <c r="AB324" s="24"/>
      <c r="AC324" s="50"/>
      <c r="AD324" s="50"/>
      <c r="AE324" s="50"/>
      <c r="AF324" s="50"/>
      <c r="AG324" s="50"/>
      <c r="AH324" s="50">
        <f t="shared" si="2"/>
        <v>7568.4</v>
      </c>
      <c r="AI324" s="50">
        <v>0</v>
      </c>
      <c r="AJ324" s="50">
        <v>6258.83</v>
      </c>
      <c r="AK324" s="50">
        <v>0</v>
      </c>
      <c r="AL324" s="50">
        <v>1309.57</v>
      </c>
      <c r="AM324" s="50"/>
      <c r="AN324" s="24">
        <f t="shared" si="3"/>
        <v>0</v>
      </c>
      <c r="AO324" s="50">
        <v>0</v>
      </c>
      <c r="AP324" s="50">
        <v>0</v>
      </c>
      <c r="AQ324" s="50">
        <v>0</v>
      </c>
      <c r="AR324" s="50">
        <v>0</v>
      </c>
      <c r="AS324" s="50"/>
      <c r="AT324" s="50">
        <f t="shared" si="4"/>
        <v>0</v>
      </c>
      <c r="AU324" s="50">
        <v>0</v>
      </c>
      <c r="AV324" s="50">
        <v>0</v>
      </c>
      <c r="AW324" s="50">
        <v>0</v>
      </c>
      <c r="AX324" s="50">
        <v>0</v>
      </c>
      <c r="AY324" s="50"/>
      <c r="AZ324" s="50">
        <f t="shared" si="227"/>
        <v>0</v>
      </c>
      <c r="BA324" s="50">
        <v>0</v>
      </c>
      <c r="BB324" s="50">
        <v>0</v>
      </c>
      <c r="BC324" s="50">
        <v>0</v>
      </c>
      <c r="BD324" s="50">
        <v>0</v>
      </c>
      <c r="BE324" s="50"/>
      <c r="BF324" s="50">
        <f t="shared" si="6"/>
        <v>0</v>
      </c>
      <c r="BG324" s="50">
        <v>0</v>
      </c>
      <c r="BH324" s="50">
        <v>0</v>
      </c>
      <c r="BI324" s="50">
        <v>0</v>
      </c>
      <c r="BJ324" s="50">
        <v>0</v>
      </c>
      <c r="BK324" s="50"/>
      <c r="BL324" s="20"/>
    </row>
    <row r="325" spans="1:64" ht="180" x14ac:dyDescent="0.2">
      <c r="A325" s="69">
        <v>321</v>
      </c>
      <c r="B325" s="46" t="str">
        <f ca="1">IFERROR(__xludf.DUMMYFUNCTION("""COMPUTED_VALUE"""),"г.о. Рузский")</f>
        <v>г.о. Рузский</v>
      </c>
      <c r="C32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5" s="52" t="str">
        <f ca="1">IFERROR(__xludf.DUMMYFUNCTION("""COMPUTED_VALUE"""),"МинЖКХ")</f>
        <v>МинЖКХ</v>
      </c>
      <c r="E325" s="45" t="s">
        <v>359</v>
      </c>
      <c r="F325" s="46" t="str">
        <f ca="1">IFERROR(__xludf.DUMMYFUNCTION("""COMPUTED_VALUE"""),"БМК")</f>
        <v>БМК</v>
      </c>
      <c r="G325" s="46">
        <f ca="1">IFERROR(__xludf.DUMMYFUNCTION("""COMPUTED_VALUE"""),2020)</f>
        <v>2020</v>
      </c>
      <c r="H325" s="48" t="str">
        <f ca="1">IFERROR(__xludf.DUMMYFUNCTION("""COMPUTED_VALUE"""),"- произведен монтаж датчиков преобразователя давления
- Опрессовка оборудования
- Межрегионгаз опломбировали счетчики 
Вывезен грунт с площадки 
 Работы: - по устройству системы ОПС выполнено
- по устройству видеонаблюдения выполнено 
- благоустройство вы"&amp;"полнено),
- папки для сдачи в Ростехнадзор (03.12.2020),
- пуско-наладочные работы (запланированы на отопительный период 2020-2021)
")</f>
        <v xml:space="preserve">- произведен монтаж датчиков преобразователя давления
- Опрессовка оборудования
- Межрегионгаз опломбировали счетчики 
Вывезен грунт с площадки 
 Работы: - по устройству системы ОПС выполнено
- по устройству видеонаблюдения выполнено 
- благоустройство выполнено),
- папки для сдачи в Ростехнадзор (03.12.2020),
- пуско-наладочные работы (запланированы на отопительный период 2020-2021)
</v>
      </c>
      <c r="I325" s="48" t="str">
        <f ca="1">IFERROR(__xludf.DUMMYFUNCTION("""COMPUTED_VALUE"""),"СМР")</f>
        <v>СМР</v>
      </c>
      <c r="J325" s="48">
        <f ca="1">IFERROR(__xludf.DUMMYFUNCTION("""COMPUTED_VALUE"""),97)</f>
        <v>97</v>
      </c>
      <c r="K325" s="48">
        <f ca="1">IFERROR(__xludf.DUMMYFUNCTION("""COMPUTED_VALUE"""),29)</f>
        <v>29</v>
      </c>
      <c r="L325" s="48">
        <f ca="1">IFERROR(__xludf.DUMMYFUNCTION("""COMPUTED_VALUE"""),29)</f>
        <v>29</v>
      </c>
      <c r="M325" s="48"/>
      <c r="N325" s="48" t="str">
        <f ca="1">IFERROR(__xludf.DUMMYFUNCTION("""COMPUTED_VALUE"""),"10 3 02 64080")</f>
        <v>10 3 02 64080</v>
      </c>
      <c r="O325" s="48">
        <f ca="1">IFERROR(__xludf.DUMMYFUNCTION("""COMPUTED_VALUE"""),522)</f>
        <v>522</v>
      </c>
      <c r="P325" s="24">
        <f t="shared" ref="P325:T325" si="332">SUM(V325,AB325,AH325,AN325,AT325,AZ325,BF325)</f>
        <v>7981.37</v>
      </c>
      <c r="Q325" s="24">
        <f t="shared" si="332"/>
        <v>0</v>
      </c>
      <c r="R325" s="24">
        <f t="shared" si="332"/>
        <v>6600.25</v>
      </c>
      <c r="S325" s="24">
        <f t="shared" si="332"/>
        <v>0</v>
      </c>
      <c r="T325" s="24">
        <f t="shared" si="332"/>
        <v>1381.12</v>
      </c>
      <c r="U325" s="24"/>
      <c r="V325" s="24"/>
      <c r="W325" s="24"/>
      <c r="X325" s="24"/>
      <c r="Y325" s="24"/>
      <c r="Z325" s="24"/>
      <c r="AA325" s="24"/>
      <c r="AB325" s="24"/>
      <c r="AC325" s="50"/>
      <c r="AD325" s="50"/>
      <c r="AE325" s="50"/>
      <c r="AF325" s="50"/>
      <c r="AG325" s="50"/>
      <c r="AH325" s="50">
        <f t="shared" si="2"/>
        <v>7981.37</v>
      </c>
      <c r="AI325" s="50">
        <v>0</v>
      </c>
      <c r="AJ325" s="50">
        <v>6600.25</v>
      </c>
      <c r="AK325" s="50">
        <v>0</v>
      </c>
      <c r="AL325" s="50">
        <v>1381.12</v>
      </c>
      <c r="AM325" s="50"/>
      <c r="AN325" s="24">
        <f t="shared" si="3"/>
        <v>0</v>
      </c>
      <c r="AO325" s="50">
        <v>0</v>
      </c>
      <c r="AP325" s="50">
        <v>0</v>
      </c>
      <c r="AQ325" s="50">
        <v>0</v>
      </c>
      <c r="AR325" s="50">
        <v>0</v>
      </c>
      <c r="AS325" s="50"/>
      <c r="AT325" s="50">
        <f t="shared" si="4"/>
        <v>0</v>
      </c>
      <c r="AU325" s="50">
        <v>0</v>
      </c>
      <c r="AV325" s="50">
        <v>0</v>
      </c>
      <c r="AW325" s="50">
        <v>0</v>
      </c>
      <c r="AX325" s="50">
        <v>0</v>
      </c>
      <c r="AY325" s="50"/>
      <c r="AZ325" s="50">
        <f t="shared" si="227"/>
        <v>0</v>
      </c>
      <c r="BA325" s="50">
        <v>0</v>
      </c>
      <c r="BB325" s="50">
        <v>0</v>
      </c>
      <c r="BC325" s="50">
        <v>0</v>
      </c>
      <c r="BD325" s="50">
        <v>0</v>
      </c>
      <c r="BE325" s="50"/>
      <c r="BF325" s="50">
        <f t="shared" si="6"/>
        <v>0</v>
      </c>
      <c r="BG325" s="50">
        <v>0</v>
      </c>
      <c r="BH325" s="50">
        <v>0</v>
      </c>
      <c r="BI325" s="50">
        <v>0</v>
      </c>
      <c r="BJ325" s="50">
        <v>0</v>
      </c>
      <c r="BK325" s="50"/>
      <c r="BL325" s="20"/>
    </row>
    <row r="326" spans="1:64" ht="156" x14ac:dyDescent="0.2">
      <c r="A326" s="69">
        <v>322</v>
      </c>
      <c r="B326" s="46" t="str">
        <f ca="1">IFERROR(__xludf.DUMMYFUNCTION("""COMPUTED_VALUE"""),"г.о. Рузский")</f>
        <v>г.о. Рузский</v>
      </c>
      <c r="C32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6" s="52" t="str">
        <f ca="1">IFERROR(__xludf.DUMMYFUNCTION("""COMPUTED_VALUE"""),"МинЖКХ")</f>
        <v>МинЖКХ</v>
      </c>
      <c r="E326" s="45" t="s">
        <v>360</v>
      </c>
      <c r="F326" s="46" t="str">
        <f ca="1">IFERROR(__xludf.DUMMYFUNCTION("""COMPUTED_VALUE"""),"БМК")</f>
        <v>БМК</v>
      </c>
      <c r="G326" s="46">
        <f ca="1">IFERROR(__xludf.DUMMYFUNCTION("""COMPUTED_VALUE"""),2020)</f>
        <v>2020</v>
      </c>
      <c r="H326" s="48" t="str">
        <f ca="1">IFERROR(__xludf.DUMMYFUNCTION("""COMPUTED_VALUE"""),"произведен монтаж датчиков преобразователя давления
Опрессовка оборудования
- Межрегионгаз опломбировали счетчики 
Остались работы: 
- благоустройство (договор с АО «Жилсервис». Работы ведутся),
- папки для сдачи в Ростехнадзор (собраны. на согласование"&amp;" в МОГ 02.12.2020)
- сети связи (подписание 02.12.2020 с Эдельвейс)
")</f>
        <v xml:space="preserve">произведен монтаж датчиков преобразователя давления
Опрессовка оборудования
- Межрегионгаз опломбировали счетчики 
Остались работы: 
- благоустройство (договор с АО «Жилсервис». Работы ведутся),
- папки для сдачи в Ростехнадзор (собраны. на согласование в МОГ 02.12.2020)
- сети связи (подписание 02.12.2020 с Эдельвейс)
</v>
      </c>
      <c r="I326" s="48" t="str">
        <f ca="1">IFERROR(__xludf.DUMMYFUNCTION("""COMPUTED_VALUE"""),"СМР")</f>
        <v>СМР</v>
      </c>
      <c r="J326" s="48">
        <f ca="1">IFERROR(__xludf.DUMMYFUNCTION("""COMPUTED_VALUE"""),97)</f>
        <v>97</v>
      </c>
      <c r="K326" s="48">
        <f ca="1">IFERROR(__xludf.DUMMYFUNCTION("""COMPUTED_VALUE"""),240)</f>
        <v>240</v>
      </c>
      <c r="L326" s="48">
        <f ca="1">IFERROR(__xludf.DUMMYFUNCTION("""COMPUTED_VALUE"""),240)</f>
        <v>240</v>
      </c>
      <c r="M326" s="48"/>
      <c r="N326" s="48" t="str">
        <f ca="1">IFERROR(__xludf.DUMMYFUNCTION("""COMPUTED_VALUE"""),"10 3 02 64080")</f>
        <v>10 3 02 64080</v>
      </c>
      <c r="O326" s="48">
        <f ca="1">IFERROR(__xludf.DUMMYFUNCTION("""COMPUTED_VALUE"""),522)</f>
        <v>522</v>
      </c>
      <c r="P326" s="24">
        <f t="shared" ref="P326:T326" si="333">SUM(V326,AB326,AH326,AN326,AT326,AZ326,BF326)</f>
        <v>8413.6999999999989</v>
      </c>
      <c r="Q326" s="24">
        <f t="shared" si="333"/>
        <v>0</v>
      </c>
      <c r="R326" s="24">
        <f t="shared" si="333"/>
        <v>6958.36</v>
      </c>
      <c r="S326" s="24">
        <f t="shared" si="333"/>
        <v>0</v>
      </c>
      <c r="T326" s="24">
        <f t="shared" si="333"/>
        <v>1455.34</v>
      </c>
      <c r="U326" s="24"/>
      <c r="V326" s="24"/>
      <c r="W326" s="24"/>
      <c r="X326" s="24"/>
      <c r="Y326" s="24"/>
      <c r="Z326" s="24"/>
      <c r="AA326" s="24"/>
      <c r="AB326" s="24"/>
      <c r="AC326" s="50"/>
      <c r="AD326" s="50"/>
      <c r="AE326" s="50"/>
      <c r="AF326" s="50"/>
      <c r="AG326" s="50"/>
      <c r="AH326" s="50">
        <f t="shared" si="2"/>
        <v>8413.6999999999989</v>
      </c>
      <c r="AI326" s="50">
        <v>0</v>
      </c>
      <c r="AJ326" s="50">
        <v>6958.36</v>
      </c>
      <c r="AK326" s="50">
        <v>0</v>
      </c>
      <c r="AL326" s="50">
        <v>1455.34</v>
      </c>
      <c r="AM326" s="50"/>
      <c r="AN326" s="24">
        <f t="shared" si="3"/>
        <v>0</v>
      </c>
      <c r="AO326" s="50">
        <v>0</v>
      </c>
      <c r="AP326" s="50">
        <v>0</v>
      </c>
      <c r="AQ326" s="50">
        <v>0</v>
      </c>
      <c r="AR326" s="50">
        <v>0</v>
      </c>
      <c r="AS326" s="50"/>
      <c r="AT326" s="50">
        <f t="shared" si="4"/>
        <v>0</v>
      </c>
      <c r="AU326" s="50">
        <v>0</v>
      </c>
      <c r="AV326" s="50">
        <v>0</v>
      </c>
      <c r="AW326" s="50">
        <v>0</v>
      </c>
      <c r="AX326" s="50">
        <v>0</v>
      </c>
      <c r="AY326" s="50"/>
      <c r="AZ326" s="50">
        <f t="shared" si="227"/>
        <v>0</v>
      </c>
      <c r="BA326" s="50">
        <v>0</v>
      </c>
      <c r="BB326" s="50">
        <v>0</v>
      </c>
      <c r="BC326" s="50">
        <v>0</v>
      </c>
      <c r="BD326" s="50">
        <v>0</v>
      </c>
      <c r="BE326" s="50"/>
      <c r="BF326" s="50">
        <f t="shared" si="6"/>
        <v>0</v>
      </c>
      <c r="BG326" s="50">
        <v>0</v>
      </c>
      <c r="BH326" s="50">
        <v>0</v>
      </c>
      <c r="BI326" s="50">
        <v>0</v>
      </c>
      <c r="BJ326" s="50">
        <v>0</v>
      </c>
      <c r="BK326" s="50"/>
      <c r="BL326" s="20"/>
    </row>
    <row r="327" spans="1:64" ht="120" x14ac:dyDescent="0.2">
      <c r="A327" s="69">
        <v>323</v>
      </c>
      <c r="B327" s="46" t="str">
        <f ca="1">IFERROR(__xludf.DUMMYFUNCTION("""COMPUTED_VALUE"""),"г.о. Рузский")</f>
        <v>г.о. Рузский</v>
      </c>
      <c r="C32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7" s="52" t="str">
        <f ca="1">IFERROR(__xludf.DUMMYFUNCTION("""COMPUTED_VALUE"""),"МинЖКХ")</f>
        <v>МинЖКХ</v>
      </c>
      <c r="E327" s="45" t="s">
        <v>361</v>
      </c>
      <c r="F327" s="46" t="str">
        <f ca="1">IFERROR(__xludf.DUMMYFUNCTION("""COMPUTED_VALUE"""),"БМК")</f>
        <v>БМК</v>
      </c>
      <c r="G327" s="46">
        <f ca="1">IFERROR(__xludf.DUMMYFUNCTION("""COMPUTED_VALUE"""),2020)</f>
        <v>2020</v>
      </c>
      <c r="H327" s="48" t="str">
        <f ca="1">IFERROR(__xludf.DUMMYFUNCTION("""COMPUTED_VALUE"""),"Физические работы выполнены на 95% (остались работы по узлам учета газа). 
Благоустройство выполнено. 
Документация сдана в Ростехнадзор. Замечания по теплу устранены. Получены устные замечания от Ростехнадзора по газовой части.
Пуско-наладка назначена"&amp;" на отопительный период 2020-2021гг. 
")</f>
        <v xml:space="preserve">Физические работы выполнены на 95% (остались работы по узлам учета газа). 
Благоустройство выполнено. 
Документация сдана в Ростехнадзор. Замечания по теплу устранены. Получены устные замечания от Ростехнадзора по газовой части.
Пуско-наладка назначена на отопительный период 2020-2021гг. 
</v>
      </c>
      <c r="I327" s="48" t="str">
        <f ca="1">IFERROR(__xludf.DUMMYFUNCTION("""COMPUTED_VALUE"""),"СМР")</f>
        <v>СМР</v>
      </c>
      <c r="J327" s="48">
        <f ca="1">IFERROR(__xludf.DUMMYFUNCTION("""COMPUTED_VALUE"""),95)</f>
        <v>95</v>
      </c>
      <c r="K327" s="48">
        <f ca="1">IFERROR(__xludf.DUMMYFUNCTION("""COMPUTED_VALUE"""),65)</f>
        <v>65</v>
      </c>
      <c r="L327" s="48">
        <f ca="1">IFERROR(__xludf.DUMMYFUNCTION("""COMPUTED_VALUE"""),65)</f>
        <v>65</v>
      </c>
      <c r="M327" s="48"/>
      <c r="N327" s="48" t="str">
        <f ca="1">IFERROR(__xludf.DUMMYFUNCTION("""COMPUTED_VALUE"""),"10 3 02 64080")</f>
        <v>10 3 02 64080</v>
      </c>
      <c r="O327" s="48">
        <f ca="1">IFERROR(__xludf.DUMMYFUNCTION("""COMPUTED_VALUE"""),522)</f>
        <v>522</v>
      </c>
      <c r="P327" s="24">
        <f t="shared" ref="P327:T327" si="334">SUM(V327,AB327,AH327,AN327,AT327,AZ327,BF327)</f>
        <v>9781.14</v>
      </c>
      <c r="Q327" s="24">
        <f t="shared" si="334"/>
        <v>0</v>
      </c>
      <c r="R327" s="24">
        <f t="shared" si="334"/>
        <v>8089.08</v>
      </c>
      <c r="S327" s="24">
        <f t="shared" si="334"/>
        <v>0</v>
      </c>
      <c r="T327" s="24">
        <f t="shared" si="334"/>
        <v>1692.06</v>
      </c>
      <c r="U327" s="24"/>
      <c r="V327" s="24"/>
      <c r="W327" s="24"/>
      <c r="X327" s="24"/>
      <c r="Y327" s="24"/>
      <c r="Z327" s="24"/>
      <c r="AA327" s="24"/>
      <c r="AB327" s="24"/>
      <c r="AC327" s="50"/>
      <c r="AD327" s="50"/>
      <c r="AE327" s="50"/>
      <c r="AF327" s="50"/>
      <c r="AG327" s="50"/>
      <c r="AH327" s="50">
        <f t="shared" si="2"/>
        <v>9781.14</v>
      </c>
      <c r="AI327" s="50">
        <v>0</v>
      </c>
      <c r="AJ327" s="50">
        <v>8089.08</v>
      </c>
      <c r="AK327" s="50">
        <v>0</v>
      </c>
      <c r="AL327" s="50">
        <v>1692.06</v>
      </c>
      <c r="AM327" s="50"/>
      <c r="AN327" s="24">
        <f t="shared" si="3"/>
        <v>0</v>
      </c>
      <c r="AO327" s="50">
        <v>0</v>
      </c>
      <c r="AP327" s="50">
        <v>0</v>
      </c>
      <c r="AQ327" s="50">
        <v>0</v>
      </c>
      <c r="AR327" s="50">
        <v>0</v>
      </c>
      <c r="AS327" s="50"/>
      <c r="AT327" s="50">
        <f t="shared" si="4"/>
        <v>0</v>
      </c>
      <c r="AU327" s="50">
        <v>0</v>
      </c>
      <c r="AV327" s="50">
        <v>0</v>
      </c>
      <c r="AW327" s="50">
        <v>0</v>
      </c>
      <c r="AX327" s="50">
        <v>0</v>
      </c>
      <c r="AY327" s="50"/>
      <c r="AZ327" s="50">
        <f t="shared" si="227"/>
        <v>0</v>
      </c>
      <c r="BA327" s="50">
        <v>0</v>
      </c>
      <c r="BB327" s="50">
        <v>0</v>
      </c>
      <c r="BC327" s="50">
        <v>0</v>
      </c>
      <c r="BD327" s="50">
        <v>0</v>
      </c>
      <c r="BE327" s="50"/>
      <c r="BF327" s="50">
        <f t="shared" si="6"/>
        <v>0</v>
      </c>
      <c r="BG327" s="50">
        <v>0</v>
      </c>
      <c r="BH327" s="50">
        <v>0</v>
      </c>
      <c r="BI327" s="50">
        <v>0</v>
      </c>
      <c r="BJ327" s="50">
        <v>0</v>
      </c>
      <c r="BK327" s="50"/>
      <c r="BL327" s="20"/>
    </row>
    <row r="328" spans="1:64" ht="120" x14ac:dyDescent="0.2">
      <c r="A328" s="69">
        <v>324</v>
      </c>
      <c r="B328" s="46" t="str">
        <f ca="1">IFERROR(__xludf.DUMMYFUNCTION("""COMPUTED_VALUE"""),"г.о. Рузский")</f>
        <v>г.о. Рузский</v>
      </c>
      <c r="C32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8" s="52" t="str">
        <f ca="1">IFERROR(__xludf.DUMMYFUNCTION("""COMPUTED_VALUE"""),"МинЖКХ")</f>
        <v>МинЖКХ</v>
      </c>
      <c r="E328" s="45" t="s">
        <v>362</v>
      </c>
      <c r="F328" s="46" t="str">
        <f ca="1">IFERROR(__xludf.DUMMYFUNCTION("""COMPUTED_VALUE"""),"БМК")</f>
        <v>БМК</v>
      </c>
      <c r="G328" s="46">
        <f ca="1">IFERROR(__xludf.DUMMYFUNCTION("""COMPUTED_VALUE"""),2020)</f>
        <v>2020</v>
      </c>
      <c r="H328" s="48" t="str">
        <f ca="1">IFERROR(__xludf.DUMMYFUNCTION("""COMPUTED_VALUE"""),"Физические работы выполнены на 95% (остались работы по узлам учета газа).
Благоустройство выполнено. 
Документация сдана в Ростехнадзор. Замечания по теплу устранены. Получены устные замечания от Ростехнадзора по газовой части.
Пуско-наладка назначена "&amp;"на отопительный период 2020-2021гг. 
")</f>
        <v xml:space="preserve">Физические работы выполнены на 95% (остались работы по узлам учета газа).
Благоустройство выполнено. 
Документация сдана в Ростехнадзор. Замечания по теплу устранены. Получены устные замечания от Ростехнадзора по газовой части.
Пуско-наладка назначена на отопительный период 2020-2021гг. 
</v>
      </c>
      <c r="I328" s="48" t="str">
        <f ca="1">IFERROR(__xludf.DUMMYFUNCTION("""COMPUTED_VALUE"""),"СМР")</f>
        <v>СМР</v>
      </c>
      <c r="J328" s="48">
        <f ca="1">IFERROR(__xludf.DUMMYFUNCTION("""COMPUTED_VALUE"""),95)</f>
        <v>95</v>
      </c>
      <c r="K328" s="48">
        <f ca="1">IFERROR(__xludf.DUMMYFUNCTION("""COMPUTED_VALUE"""),115)</f>
        <v>115</v>
      </c>
      <c r="L328" s="48">
        <f ca="1">IFERROR(__xludf.DUMMYFUNCTION("""COMPUTED_VALUE"""),115)</f>
        <v>115</v>
      </c>
      <c r="M328" s="48"/>
      <c r="N328" s="48" t="str">
        <f ca="1">IFERROR(__xludf.DUMMYFUNCTION("""COMPUTED_VALUE"""),"10 3 02 64080")</f>
        <v>10 3 02 64080</v>
      </c>
      <c r="O328" s="48">
        <f ca="1">IFERROR(__xludf.DUMMYFUNCTION("""COMPUTED_VALUE"""),522)</f>
        <v>522</v>
      </c>
      <c r="P328" s="24">
        <f t="shared" ref="P328:T328" si="335">SUM(V328,AB328,AH328,AN328,AT328,AZ328,BF328)</f>
        <v>8851.61</v>
      </c>
      <c r="Q328" s="24">
        <f t="shared" si="335"/>
        <v>0</v>
      </c>
      <c r="R328" s="24">
        <f t="shared" si="335"/>
        <v>7320.38</v>
      </c>
      <c r="S328" s="24">
        <f t="shared" si="335"/>
        <v>0</v>
      </c>
      <c r="T328" s="24">
        <f t="shared" si="335"/>
        <v>1531.23</v>
      </c>
      <c r="U328" s="24"/>
      <c r="V328" s="24"/>
      <c r="W328" s="24"/>
      <c r="X328" s="24"/>
      <c r="Y328" s="24"/>
      <c r="Z328" s="24"/>
      <c r="AA328" s="24"/>
      <c r="AB328" s="24"/>
      <c r="AC328" s="50"/>
      <c r="AD328" s="50"/>
      <c r="AE328" s="50"/>
      <c r="AF328" s="50"/>
      <c r="AG328" s="50"/>
      <c r="AH328" s="50">
        <f t="shared" si="2"/>
        <v>8851.61</v>
      </c>
      <c r="AI328" s="50">
        <v>0</v>
      </c>
      <c r="AJ328" s="50">
        <v>7320.38</v>
      </c>
      <c r="AK328" s="50">
        <v>0</v>
      </c>
      <c r="AL328" s="50">
        <v>1531.23</v>
      </c>
      <c r="AM328" s="50"/>
      <c r="AN328" s="24">
        <f t="shared" si="3"/>
        <v>0</v>
      </c>
      <c r="AO328" s="50">
        <v>0</v>
      </c>
      <c r="AP328" s="50">
        <v>0</v>
      </c>
      <c r="AQ328" s="50">
        <v>0</v>
      </c>
      <c r="AR328" s="50">
        <v>0</v>
      </c>
      <c r="AS328" s="50"/>
      <c r="AT328" s="50">
        <f t="shared" si="4"/>
        <v>0</v>
      </c>
      <c r="AU328" s="50">
        <v>0</v>
      </c>
      <c r="AV328" s="50">
        <v>0</v>
      </c>
      <c r="AW328" s="50">
        <v>0</v>
      </c>
      <c r="AX328" s="50">
        <v>0</v>
      </c>
      <c r="AY328" s="50"/>
      <c r="AZ328" s="50">
        <f t="shared" si="227"/>
        <v>0</v>
      </c>
      <c r="BA328" s="50">
        <v>0</v>
      </c>
      <c r="BB328" s="50">
        <v>0</v>
      </c>
      <c r="BC328" s="50">
        <v>0</v>
      </c>
      <c r="BD328" s="50">
        <v>0</v>
      </c>
      <c r="BE328" s="50"/>
      <c r="BF328" s="50">
        <f t="shared" si="6"/>
        <v>0</v>
      </c>
      <c r="BG328" s="50">
        <v>0</v>
      </c>
      <c r="BH328" s="50">
        <v>0</v>
      </c>
      <c r="BI328" s="50">
        <v>0</v>
      </c>
      <c r="BJ328" s="50">
        <v>0</v>
      </c>
      <c r="BK328" s="50"/>
      <c r="BL328" s="20"/>
    </row>
    <row r="329" spans="1:64" ht="168" x14ac:dyDescent="0.2">
      <c r="A329" s="69">
        <v>325</v>
      </c>
      <c r="B329" s="46" t="str">
        <f ca="1">IFERROR(__xludf.DUMMYFUNCTION("""COMPUTED_VALUE"""),"г.о. Рузский")</f>
        <v>г.о. Рузский</v>
      </c>
      <c r="C32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29" s="52" t="str">
        <f ca="1">IFERROR(__xludf.DUMMYFUNCTION("""COMPUTED_VALUE"""),"МинЖКХ")</f>
        <v>МинЖКХ</v>
      </c>
      <c r="E329" s="127" t="s">
        <v>600</v>
      </c>
      <c r="F329" s="46" t="str">
        <f ca="1">IFERROR(__xludf.DUMMYFUNCTION("""COMPUTED_VALUE"""),"БМК")</f>
        <v>БМК</v>
      </c>
      <c r="G329" s="46">
        <f ca="1">IFERROR(__xludf.DUMMYFUNCTION("""COMPUTED_VALUE"""),2020)</f>
        <v>2020</v>
      </c>
      <c r="H329" s="48" t="str">
        <f ca="1">IFERROR(__xludf.DUMMYFUNCTION("""COMPUTED_VALUE"""),"Проведены работы по заливке фундамента под здание БМК и дымовую трубу, сделали гидроизоляцию. 
Выполнены работы по наружному газоснабжению, водоснабжению. 
Выполнена поставка котлов, блок-модуля и стелы.
Подключено временное электроснабжение строй. пло"&amp;"щадки. 
Сборка каркаса БМК, установлена металлоконструкция под дымовую трубу.
Ввод объекта в эксплуатацию с 30.11.2020 по 25.12.2020.
")</f>
        <v xml:space="preserve">Проведены работы по заливке фундамента под здание БМК и дымовую трубу, сделали гидроизоляцию. 
Выполнены работы по наружному газоснабжению, водоснабжению. 
Выполнена поставка котлов, блок-модуля и стелы.
Подключено временное электроснабжение строй. площадки. 
Сборка каркаса БМК, установлена металлоконструкция под дымовую трубу.
Ввод объекта в эксплуатацию с 30.11.2020 по 25.12.2020.
</v>
      </c>
      <c r="I329" s="48" t="str">
        <f ca="1">IFERROR(__xludf.DUMMYFUNCTION("""COMPUTED_VALUE"""),"СМР")</f>
        <v>СМР</v>
      </c>
      <c r="J329" s="48">
        <f ca="1">IFERROR(__xludf.DUMMYFUNCTION("""COMPUTED_VALUE"""),90)</f>
        <v>90</v>
      </c>
      <c r="K329" s="48">
        <f ca="1">IFERROR(__xludf.DUMMYFUNCTION("""COMPUTED_VALUE"""),510)</f>
        <v>510</v>
      </c>
      <c r="L329" s="48">
        <f ca="1">IFERROR(__xludf.DUMMYFUNCTION("""COMPUTED_VALUE"""),510)</f>
        <v>510</v>
      </c>
      <c r="M329" s="48"/>
      <c r="N329" s="48" t="str">
        <f ca="1">IFERROR(__xludf.DUMMYFUNCTION("""COMPUTED_VALUE"""),"10 3 02 64080")</f>
        <v>10 3 02 64080</v>
      </c>
      <c r="O329" s="48">
        <f ca="1">IFERROR(__xludf.DUMMYFUNCTION("""COMPUTED_VALUE"""),522)</f>
        <v>522</v>
      </c>
      <c r="P329" s="24">
        <f t="shared" ref="P329:T329" si="336">SUM(V329,AB329,AH329,AN329,AT329,AZ329,BF329)</f>
        <v>28267.67</v>
      </c>
      <c r="Q329" s="24">
        <f t="shared" si="336"/>
        <v>0</v>
      </c>
      <c r="R329" s="24">
        <f t="shared" si="336"/>
        <v>25056.26</v>
      </c>
      <c r="S329" s="24">
        <f t="shared" si="336"/>
        <v>0</v>
      </c>
      <c r="T329" s="24">
        <f t="shared" si="336"/>
        <v>3211.41</v>
      </c>
      <c r="U329" s="24"/>
      <c r="V329" s="24"/>
      <c r="W329" s="24"/>
      <c r="X329" s="24"/>
      <c r="Y329" s="24"/>
      <c r="Z329" s="24"/>
      <c r="AA329" s="24"/>
      <c r="AB329" s="24"/>
      <c r="AC329" s="50"/>
      <c r="AD329" s="50"/>
      <c r="AE329" s="50"/>
      <c r="AF329" s="50"/>
      <c r="AG329" s="50"/>
      <c r="AH329" s="50">
        <f t="shared" si="2"/>
        <v>28267.67</v>
      </c>
      <c r="AI329" s="50">
        <v>0</v>
      </c>
      <c r="AJ329" s="50">
        <v>25056.26</v>
      </c>
      <c r="AK329" s="50">
        <v>0</v>
      </c>
      <c r="AL329" s="50">
        <v>3211.41</v>
      </c>
      <c r="AM329" s="50"/>
      <c r="AN329" s="24">
        <f t="shared" si="3"/>
        <v>0</v>
      </c>
      <c r="AO329" s="50">
        <v>0</v>
      </c>
      <c r="AP329" s="50">
        <v>0</v>
      </c>
      <c r="AQ329" s="50">
        <v>0</v>
      </c>
      <c r="AR329" s="50">
        <v>0</v>
      </c>
      <c r="AS329" s="50"/>
      <c r="AT329" s="50">
        <f t="shared" si="4"/>
        <v>0</v>
      </c>
      <c r="AU329" s="50">
        <v>0</v>
      </c>
      <c r="AV329" s="50">
        <v>0</v>
      </c>
      <c r="AW329" s="50">
        <v>0</v>
      </c>
      <c r="AX329" s="50">
        <v>0</v>
      </c>
      <c r="AY329" s="50"/>
      <c r="AZ329" s="50">
        <f t="shared" si="227"/>
        <v>0</v>
      </c>
      <c r="BA329" s="50">
        <v>0</v>
      </c>
      <c r="BB329" s="50">
        <v>0</v>
      </c>
      <c r="BC329" s="50">
        <v>0</v>
      </c>
      <c r="BD329" s="50">
        <v>0</v>
      </c>
      <c r="BE329" s="50"/>
      <c r="BF329" s="50">
        <f t="shared" si="6"/>
        <v>0</v>
      </c>
      <c r="BG329" s="50">
        <v>0</v>
      </c>
      <c r="BH329" s="50">
        <v>0</v>
      </c>
      <c r="BI329" s="50">
        <v>0</v>
      </c>
      <c r="BJ329" s="50">
        <v>0</v>
      </c>
      <c r="BK329" s="50"/>
      <c r="BL329" s="20"/>
    </row>
    <row r="330" spans="1:64" ht="84" x14ac:dyDescent="0.2">
      <c r="A330" s="69">
        <v>326</v>
      </c>
      <c r="B330" s="46" t="str">
        <f ca="1">IFERROR(__xludf.DUMMYFUNCTION("""COMPUTED_VALUE"""),"г.о. Рузский")</f>
        <v>г.о. Рузский</v>
      </c>
      <c r="C33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0" s="52" t="str">
        <f ca="1">IFERROR(__xludf.DUMMYFUNCTION("""COMPUTED_VALUE"""),"МинЖКХ")</f>
        <v>МинЖКХ</v>
      </c>
      <c r="E330" s="127" t="s">
        <v>601</v>
      </c>
      <c r="F330" s="46" t="str">
        <f ca="1">IFERROR(__xludf.DUMMYFUNCTION("""COMPUTED_VALUE"""),"БМК")</f>
        <v>БМК</v>
      </c>
      <c r="G330" s="46" t="str">
        <f ca="1">IFERROR(__xludf.DUMMYFUNCTION("""COMPUTED_VALUE"""),"2020-2021")</f>
        <v>2020-2021</v>
      </c>
      <c r="H330" s="48" t="str">
        <f ca="1">IFERROR(__xludf.DUMMYFUNCTION("""COMPUTED_VALUE"""),"получено положительно заключение экспертизы, ИСОГД, РНС. Контракт подписан 11.11.2020.  Произведен выход техники на площадку. Заявка на оплату аванса в Минжкх поступила 02.12.2020")</f>
        <v>получено положительно заключение экспертизы, ИСОГД, РНС. Контракт подписан 11.11.2020.  Произведен выход техники на площадку. Заявка на оплату аванса в Минжкх поступила 02.12.2020</v>
      </c>
      <c r="I330" s="48" t="str">
        <f ca="1">IFERROR(__xludf.DUMMYFUNCTION("""COMPUTED_VALUE"""),"СМР")</f>
        <v>СМР</v>
      </c>
      <c r="J330" s="48">
        <f ca="1">IFERROR(__xludf.DUMMYFUNCTION("""COMPUTED_VALUE"""),5)</f>
        <v>5</v>
      </c>
      <c r="K330" s="48">
        <f ca="1">IFERROR(__xludf.DUMMYFUNCTION("""COMPUTED_VALUE"""),631)</f>
        <v>631</v>
      </c>
      <c r="L330" s="48">
        <f ca="1">IFERROR(__xludf.DUMMYFUNCTION("""COMPUTED_VALUE"""),631)</f>
        <v>631</v>
      </c>
      <c r="M330" s="48"/>
      <c r="N330" s="48" t="str">
        <f ca="1">IFERROR(__xludf.DUMMYFUNCTION("""COMPUTED_VALUE"""),"10 3 02 64080")</f>
        <v>10 3 02 64080</v>
      </c>
      <c r="O330" s="48">
        <f ca="1">IFERROR(__xludf.DUMMYFUNCTION("""COMPUTED_VALUE"""),522)</f>
        <v>522</v>
      </c>
      <c r="P330" s="24">
        <f t="shared" ref="P330:T330" si="337">SUM(V330,AB330,AH330,AN330,AT330,AZ330,BF330)</f>
        <v>32232.9</v>
      </c>
      <c r="Q330" s="24">
        <f t="shared" si="337"/>
        <v>0</v>
      </c>
      <c r="R330" s="24">
        <f t="shared" si="337"/>
        <v>26561.5</v>
      </c>
      <c r="S330" s="24">
        <f t="shared" si="337"/>
        <v>0</v>
      </c>
      <c r="T330" s="24">
        <f t="shared" si="337"/>
        <v>5671.4</v>
      </c>
      <c r="U330" s="24"/>
      <c r="V330" s="24"/>
      <c r="W330" s="24"/>
      <c r="X330" s="24"/>
      <c r="Y330" s="24"/>
      <c r="Z330" s="24"/>
      <c r="AA330" s="24"/>
      <c r="AB330" s="24"/>
      <c r="AC330" s="50"/>
      <c r="AD330" s="50"/>
      <c r="AE330" s="50"/>
      <c r="AF330" s="50"/>
      <c r="AG330" s="50"/>
      <c r="AH330" s="50">
        <f t="shared" si="2"/>
        <v>16116.45</v>
      </c>
      <c r="AI330" s="50">
        <v>0</v>
      </c>
      <c r="AJ330" s="50">
        <v>13280.75</v>
      </c>
      <c r="AK330" s="50">
        <v>0</v>
      </c>
      <c r="AL330" s="50">
        <v>2835.7</v>
      </c>
      <c r="AM330" s="50"/>
      <c r="AN330" s="24">
        <f t="shared" si="3"/>
        <v>16116.45</v>
      </c>
      <c r="AO330" s="50">
        <v>0</v>
      </c>
      <c r="AP330" s="50">
        <v>13280.75</v>
      </c>
      <c r="AQ330" s="50">
        <v>0</v>
      </c>
      <c r="AR330" s="50">
        <v>2835.7</v>
      </c>
      <c r="AS330" s="50"/>
      <c r="AT330" s="50">
        <f t="shared" si="4"/>
        <v>0</v>
      </c>
      <c r="AU330" s="50">
        <v>0</v>
      </c>
      <c r="AV330" s="50">
        <v>0</v>
      </c>
      <c r="AW330" s="50">
        <v>0</v>
      </c>
      <c r="AX330" s="50">
        <v>0</v>
      </c>
      <c r="AY330" s="50"/>
      <c r="AZ330" s="50">
        <f t="shared" si="227"/>
        <v>0</v>
      </c>
      <c r="BA330" s="50">
        <v>0</v>
      </c>
      <c r="BB330" s="50">
        <v>0</v>
      </c>
      <c r="BC330" s="50">
        <v>0</v>
      </c>
      <c r="BD330" s="50">
        <v>0</v>
      </c>
      <c r="BE330" s="50"/>
      <c r="BF330" s="50">
        <f t="shared" si="6"/>
        <v>0</v>
      </c>
      <c r="BG330" s="50">
        <v>0</v>
      </c>
      <c r="BH330" s="50">
        <v>0</v>
      </c>
      <c r="BI330" s="50">
        <v>0</v>
      </c>
      <c r="BJ330" s="50">
        <v>0</v>
      </c>
      <c r="BK330" s="50"/>
      <c r="BL330" s="20"/>
    </row>
    <row r="331" spans="1:64" ht="192" x14ac:dyDescent="0.2">
      <c r="A331" s="69">
        <v>327</v>
      </c>
      <c r="B331" s="46" t="str">
        <f ca="1">IFERROR(__xludf.DUMMYFUNCTION("""COMPUTED_VALUE"""),"г.о. Рузский")</f>
        <v>г.о. Рузский</v>
      </c>
      <c r="C33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1" s="52" t="str">
        <f ca="1">IFERROR(__xludf.DUMMYFUNCTION("""COMPUTED_VALUE"""),"МинЖКХ")</f>
        <v>МинЖКХ</v>
      </c>
      <c r="E331" s="45" t="s">
        <v>363</v>
      </c>
      <c r="F331" s="46" t="str">
        <f ca="1">IFERROR(__xludf.DUMMYFUNCTION("""COMPUTED_VALUE"""),"БМК")</f>
        <v>БМК</v>
      </c>
      <c r="G331" s="46">
        <f ca="1">IFERROR(__xludf.DUMMYFUNCTION("""COMPUTED_VALUE"""),2020)</f>
        <v>2020</v>
      </c>
      <c r="H331" s="48" t="str">
        <f ca="1">IFERROR(__xludf.DUMMYFUNCTION("""COMPUTED_VALUE"""),"произведен монтаж датчиков преобразователя давления
Опрессовка оборудования
Межрегионгаз опломбировали счетчики. 
Строительный мусор вывезен не в полном объеме
Остались работы: 
- благоустройство (договор с АО «Жилсервис». Работы ведутся),
- папки для "&amp;"сдачи в Ростехнадзор (собраны. на согласование в МОГ 02.12.2020),
- пуско-наладочные работы (запланированы на отопительный период 2020-2021) 
- сети связи (подписание 02.12.2020 с Эдельвейс)
")</f>
        <v xml:space="preserve">произведен монтаж датчиков преобразователя давления
Опрессовка оборудования
Межрегионгаз опломбировали счетчики. 
Строительный мусор вывезен не в полном объеме
Остались работы: 
- благоустройство (договор с АО «Жилсервис». Работы ведутся),
- папки для сдачи в Ростехнадзор (собраны. на согласование в МОГ 02.12.2020),
- пуско-наладочные работы (запланированы на отопительный период 2020-2021) 
- сети связи (подписание 02.12.2020 с Эдельвейс)
</v>
      </c>
      <c r="I331" s="48" t="str">
        <f ca="1">IFERROR(__xludf.DUMMYFUNCTION("""COMPUTED_VALUE"""),"СМР")</f>
        <v>СМР</v>
      </c>
      <c r="J331" s="48">
        <f ca="1">IFERROR(__xludf.DUMMYFUNCTION("""COMPUTED_VALUE"""),95)</f>
        <v>95</v>
      </c>
      <c r="K331" s="48">
        <f ca="1">IFERROR(__xludf.DUMMYFUNCTION("""COMPUTED_VALUE"""),61)</f>
        <v>61</v>
      </c>
      <c r="L331" s="48">
        <f ca="1">IFERROR(__xludf.DUMMYFUNCTION("""COMPUTED_VALUE"""),61)</f>
        <v>61</v>
      </c>
      <c r="M331" s="48"/>
      <c r="N331" s="48" t="str">
        <f ca="1">IFERROR(__xludf.DUMMYFUNCTION("""COMPUTED_VALUE"""),"10 3 02 64080")</f>
        <v>10 3 02 64080</v>
      </c>
      <c r="O331" s="48">
        <f ca="1">IFERROR(__xludf.DUMMYFUNCTION("""COMPUTED_VALUE"""),522)</f>
        <v>522</v>
      </c>
      <c r="P331" s="24">
        <f t="shared" ref="P331:T331" si="338">SUM(V331,AB331,AH331,AN331,AT331,AZ331,BF331)</f>
        <v>10619.580000000002</v>
      </c>
      <c r="Q331" s="24">
        <f t="shared" si="338"/>
        <v>0</v>
      </c>
      <c r="R331" s="24">
        <f t="shared" si="338"/>
        <v>8782.7900000000009</v>
      </c>
      <c r="S331" s="24">
        <f t="shared" si="338"/>
        <v>0</v>
      </c>
      <c r="T331" s="24">
        <f t="shared" si="338"/>
        <v>1836.79</v>
      </c>
      <c r="U331" s="24"/>
      <c r="V331" s="24"/>
      <c r="W331" s="24"/>
      <c r="X331" s="24"/>
      <c r="Y331" s="24"/>
      <c r="Z331" s="24"/>
      <c r="AA331" s="24"/>
      <c r="AB331" s="24"/>
      <c r="AC331" s="50"/>
      <c r="AD331" s="50"/>
      <c r="AE331" s="50"/>
      <c r="AF331" s="50"/>
      <c r="AG331" s="50"/>
      <c r="AH331" s="50">
        <f t="shared" si="2"/>
        <v>10619.580000000002</v>
      </c>
      <c r="AI331" s="50">
        <v>0</v>
      </c>
      <c r="AJ331" s="50">
        <v>8782.7900000000009</v>
      </c>
      <c r="AK331" s="50">
        <v>0</v>
      </c>
      <c r="AL331" s="50">
        <v>1836.79</v>
      </c>
      <c r="AM331" s="50"/>
      <c r="AN331" s="24">
        <f t="shared" si="3"/>
        <v>0</v>
      </c>
      <c r="AO331" s="50">
        <v>0</v>
      </c>
      <c r="AP331" s="50">
        <v>0</v>
      </c>
      <c r="AQ331" s="50">
        <v>0</v>
      </c>
      <c r="AR331" s="50">
        <v>0</v>
      </c>
      <c r="AS331" s="50"/>
      <c r="AT331" s="50">
        <f t="shared" si="4"/>
        <v>0</v>
      </c>
      <c r="AU331" s="50">
        <v>0</v>
      </c>
      <c r="AV331" s="50">
        <v>0</v>
      </c>
      <c r="AW331" s="50">
        <v>0</v>
      </c>
      <c r="AX331" s="50">
        <v>0</v>
      </c>
      <c r="AY331" s="50"/>
      <c r="AZ331" s="50">
        <f t="shared" si="227"/>
        <v>0</v>
      </c>
      <c r="BA331" s="50">
        <v>0</v>
      </c>
      <c r="BB331" s="50">
        <v>0</v>
      </c>
      <c r="BC331" s="50">
        <v>0</v>
      </c>
      <c r="BD331" s="50">
        <v>0</v>
      </c>
      <c r="BE331" s="50"/>
      <c r="BF331" s="50">
        <f t="shared" si="6"/>
        <v>0</v>
      </c>
      <c r="BG331" s="50">
        <v>0</v>
      </c>
      <c r="BH331" s="50">
        <v>0</v>
      </c>
      <c r="BI331" s="50">
        <v>0</v>
      </c>
      <c r="BJ331" s="50">
        <v>0</v>
      </c>
      <c r="BK331" s="50"/>
      <c r="BL331" s="20"/>
    </row>
    <row r="332" spans="1:64" ht="84" x14ac:dyDescent="0.2">
      <c r="A332" s="69">
        <v>328</v>
      </c>
      <c r="B332" s="46" t="str">
        <f ca="1">IFERROR(__xludf.DUMMYFUNCTION("""COMPUTED_VALUE"""),"г.о. Рузский")</f>
        <v>г.о. Рузский</v>
      </c>
      <c r="C33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2" s="52" t="str">
        <f ca="1">IFERROR(__xludf.DUMMYFUNCTION("""COMPUTED_VALUE"""),"МинЖКХ ""ТОП 5 (2 этап)""")</f>
        <v>МинЖКХ "ТОП 5 (2 этап)"</v>
      </c>
      <c r="E332" s="45" t="s">
        <v>364</v>
      </c>
      <c r="F332" s="46" t="str">
        <f ca="1">IFERROR(__xludf.DUMMYFUNCTION("""COMPUTED_VALUE"""),"Котельная")</f>
        <v>Котельная</v>
      </c>
      <c r="G332" s="46" t="str">
        <f ca="1">IFERROR(__xludf.DUMMYFUNCTION("""COMPUTED_VALUE"""),"2020-2021")</f>
        <v>2020-2021</v>
      </c>
      <c r="H332" s="48" t="str">
        <f ca="1">IFERROR(__xludf.DUMMYFUNCTION("""COMPUTED_VALUE"""),"Администрация будет писать письмо на перенос на 2021 год.
")</f>
        <v xml:space="preserve">Администрация будет писать письмо на перенос на 2021 год.
</v>
      </c>
      <c r="I332" s="48" t="str">
        <f ca="1">IFERROR(__xludf.DUMMYFUNCTION("""COMPUTED_VALUE"""),"СМР")</f>
        <v>СМР</v>
      </c>
      <c r="J332" s="48"/>
      <c r="K332" s="48">
        <f ca="1">IFERROR(__xludf.DUMMYFUNCTION("""COMPUTED_VALUE"""),0)</f>
        <v>0</v>
      </c>
      <c r="L332" s="48">
        <f ca="1">IFERROR(__xludf.DUMMYFUNCTION("""COMPUTED_VALUE"""),1500)</f>
        <v>1500</v>
      </c>
      <c r="M332" s="48"/>
      <c r="N332" s="48" t="str">
        <f ca="1">IFERROR(__xludf.DUMMYFUNCTION("""COMPUTED_VALUE"""),"10 3 02 64080")</f>
        <v>10 3 02 64080</v>
      </c>
      <c r="O332" s="48">
        <f ca="1">IFERROR(__xludf.DUMMYFUNCTION("""COMPUTED_VALUE"""),522)</f>
        <v>522</v>
      </c>
      <c r="P332" s="24">
        <f t="shared" ref="P332:T332" si="339">SUM(V332,AB332,AH332,AN332,AT332,AZ332,BF332)</f>
        <v>100714.40000000001</v>
      </c>
      <c r="Q332" s="24">
        <f t="shared" si="339"/>
        <v>0</v>
      </c>
      <c r="R332" s="24">
        <f t="shared" si="339"/>
        <v>75194.720000000001</v>
      </c>
      <c r="S332" s="24">
        <f t="shared" si="339"/>
        <v>0</v>
      </c>
      <c r="T332" s="24">
        <f t="shared" si="339"/>
        <v>25519.68</v>
      </c>
      <c r="U332" s="24"/>
      <c r="V332" s="24"/>
      <c r="W332" s="24"/>
      <c r="X332" s="24"/>
      <c r="Y332" s="24"/>
      <c r="Z332" s="24"/>
      <c r="AA332" s="24"/>
      <c r="AB332" s="24"/>
      <c r="AC332" s="50"/>
      <c r="AD332" s="50"/>
      <c r="AE332" s="50"/>
      <c r="AF332" s="50"/>
      <c r="AG332" s="50"/>
      <c r="AH332" s="50">
        <f t="shared" si="2"/>
        <v>29696.16</v>
      </c>
      <c r="AI332" s="50">
        <v>0</v>
      </c>
      <c r="AJ332" s="50">
        <v>24558.720000000001</v>
      </c>
      <c r="AK332" s="50">
        <v>0</v>
      </c>
      <c r="AL332" s="50">
        <v>5137.4399999999996</v>
      </c>
      <c r="AM332" s="50"/>
      <c r="AN332" s="24">
        <f t="shared" si="3"/>
        <v>71018.240000000005</v>
      </c>
      <c r="AO332" s="50">
        <v>0</v>
      </c>
      <c r="AP332" s="50">
        <v>50636</v>
      </c>
      <c r="AQ332" s="50">
        <v>0</v>
      </c>
      <c r="AR332" s="50">
        <v>20382.240000000002</v>
      </c>
      <c r="AS332" s="50"/>
      <c r="AT332" s="50">
        <f t="shared" si="4"/>
        <v>0</v>
      </c>
      <c r="AU332" s="50">
        <v>0</v>
      </c>
      <c r="AV332" s="50">
        <v>0</v>
      </c>
      <c r="AW332" s="50">
        <v>0</v>
      </c>
      <c r="AX332" s="50">
        <v>0</v>
      </c>
      <c r="AY332" s="50"/>
      <c r="AZ332" s="50">
        <f t="shared" si="227"/>
        <v>0</v>
      </c>
      <c r="BA332" s="50">
        <v>0</v>
      </c>
      <c r="BB332" s="50">
        <v>0</v>
      </c>
      <c r="BC332" s="50">
        <v>0</v>
      </c>
      <c r="BD332" s="50">
        <v>0</v>
      </c>
      <c r="BE332" s="50"/>
      <c r="BF332" s="50">
        <f t="shared" si="6"/>
        <v>0</v>
      </c>
      <c r="BG332" s="50">
        <v>0</v>
      </c>
      <c r="BH332" s="50">
        <v>0</v>
      </c>
      <c r="BI332" s="50">
        <v>0</v>
      </c>
      <c r="BJ332" s="50">
        <v>0</v>
      </c>
      <c r="BK332" s="50"/>
      <c r="BL332" s="20"/>
    </row>
    <row r="333" spans="1:64" ht="252" x14ac:dyDescent="0.2">
      <c r="A333" s="69">
        <v>329</v>
      </c>
      <c r="B333" s="46" t="str">
        <f ca="1">IFERROR(__xludf.DUMMYFUNCTION("""COMPUTED_VALUE"""),"г.о. Сергиев Посад")</f>
        <v>г.о. Сергиев Посад</v>
      </c>
      <c r="C33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3" s="52" t="str">
        <f ca="1">IFERROR(__xludf.DUMMYFUNCTION("""COMPUTED_VALUE"""),"МинЖКХ")</f>
        <v>МинЖКХ</v>
      </c>
      <c r="E333" s="45" t="s">
        <v>365</v>
      </c>
      <c r="F333" s="46" t="str">
        <f ca="1">IFERROR(__xludf.DUMMYFUNCTION("""COMPUTED_VALUE"""),"Сети")</f>
        <v>Сети</v>
      </c>
      <c r="G333" s="46" t="str">
        <f ca="1">IFERROR(__xludf.DUMMYFUNCTION("""COMPUTED_VALUE"""),"2020-2021")</f>
        <v>2020-2021</v>
      </c>
      <c r="H333" s="48" t="str">
        <f ca="1">IFERROR(__xludf.DUMMYFUNCTION("""COMPUTED_VALUE"""),"""• Разработка грунта  под сеть ТС в т. 13-13а, 66-67, 51-53
• Монтаж лотков сети ТС в т. 13-13а, 66-67, 51-53
• Обратная засыпка  песком  сети ТС в т. 13-13а, 66-67, 51-53
• Обвязка камер сети ТС
• Устройство байпаса теплосети на больничный комплекс "&amp;"(корпус монастыря)
• Подключение потребителнй к сети В1 по:
Станционной улице, Кооперативной улице, корпусов монастыря
")</f>
        <v xml:space="preserve">"• Разработка грунта  под сеть ТС в т. 13-13а, 66-67, 51-53
• Монтаж лотков сети ТС в т. 13-13а, 66-67, 51-53
• Обратная засыпка  песком  сети ТС в т. 13-13а, 66-67, 51-53
• Обвязка камер сети ТС
• Устройство байпаса теплосети на больничный комплекс (корпус монастыря)
• Подключение потребителнй к сети В1 по:
Станционной улице, Кооперативной улице, корпусов монастыря
</v>
      </c>
      <c r="I333" s="48" t="str">
        <f ca="1">IFERROR(__xludf.DUMMYFUNCTION("""COMPUTED_VALUE"""),"СМР")</f>
        <v>СМР</v>
      </c>
      <c r="J333" s="48">
        <f ca="1">IFERROR(__xludf.DUMMYFUNCTION("""COMPUTED_VALUE"""),87)</f>
        <v>87</v>
      </c>
      <c r="K333" s="48">
        <f ca="1">IFERROR(__xludf.DUMMYFUNCTION("""COMPUTED_VALUE"""),1500)</f>
        <v>1500</v>
      </c>
      <c r="L333" s="48">
        <f ca="1">IFERROR(__xludf.DUMMYFUNCTION("""COMPUTED_VALUE"""),1500)</f>
        <v>1500</v>
      </c>
      <c r="M333" s="48"/>
      <c r="N333" s="48" t="str">
        <f ca="1">IFERROR(__xludf.DUMMYFUNCTION("""COMPUTED_VALUE"""),"10 3 02 64080")</f>
        <v>10 3 02 64080</v>
      </c>
      <c r="O333" s="48">
        <f ca="1">IFERROR(__xludf.DUMMYFUNCTION("""COMPUTED_VALUE"""),522)</f>
        <v>522</v>
      </c>
      <c r="P333" s="24">
        <f t="shared" ref="P333:T333" si="340">SUM(V333,AB333,AH333,AN333,AT333,AZ333,BF333)</f>
        <v>218962.72999999998</v>
      </c>
      <c r="Q333" s="24">
        <f t="shared" si="340"/>
        <v>0</v>
      </c>
      <c r="R333" s="24">
        <f t="shared" si="340"/>
        <v>159404.72</v>
      </c>
      <c r="S333" s="24">
        <f t="shared" si="340"/>
        <v>0</v>
      </c>
      <c r="T333" s="24">
        <f t="shared" si="340"/>
        <v>59558.009999999995</v>
      </c>
      <c r="U333" s="24"/>
      <c r="V333" s="24"/>
      <c r="W333" s="24"/>
      <c r="X333" s="24"/>
      <c r="Y333" s="24"/>
      <c r="Z333" s="24"/>
      <c r="AA333" s="24"/>
      <c r="AB333" s="24"/>
      <c r="AC333" s="50"/>
      <c r="AD333" s="50"/>
      <c r="AE333" s="50"/>
      <c r="AF333" s="50"/>
      <c r="AG333" s="50"/>
      <c r="AH333" s="50">
        <f t="shared" si="2"/>
        <v>82271.37</v>
      </c>
      <c r="AI333" s="50">
        <v>0</v>
      </c>
      <c r="AJ333" s="50">
        <v>59893.56</v>
      </c>
      <c r="AK333" s="50">
        <v>0</v>
      </c>
      <c r="AL333" s="50">
        <v>22377.81</v>
      </c>
      <c r="AM333" s="50"/>
      <c r="AN333" s="24">
        <f t="shared" si="3"/>
        <v>136691.35999999999</v>
      </c>
      <c r="AO333" s="50">
        <v>0</v>
      </c>
      <c r="AP333" s="50">
        <v>99511.16</v>
      </c>
      <c r="AQ333" s="50">
        <v>0</v>
      </c>
      <c r="AR333" s="50">
        <v>37180.199999999997</v>
      </c>
      <c r="AS333" s="50"/>
      <c r="AT333" s="50">
        <f t="shared" si="4"/>
        <v>0</v>
      </c>
      <c r="AU333" s="50">
        <v>0</v>
      </c>
      <c r="AV333" s="50">
        <v>0</v>
      </c>
      <c r="AW333" s="50">
        <v>0</v>
      </c>
      <c r="AX333" s="50">
        <v>0</v>
      </c>
      <c r="AY333" s="50"/>
      <c r="AZ333" s="50">
        <f t="shared" si="227"/>
        <v>0</v>
      </c>
      <c r="BA333" s="50">
        <v>0</v>
      </c>
      <c r="BB333" s="50">
        <v>0</v>
      </c>
      <c r="BC333" s="50">
        <v>0</v>
      </c>
      <c r="BD333" s="50">
        <v>0</v>
      </c>
      <c r="BE333" s="50"/>
      <c r="BF333" s="50">
        <f t="shared" si="6"/>
        <v>0</v>
      </c>
      <c r="BG333" s="50">
        <v>0</v>
      </c>
      <c r="BH333" s="50">
        <v>0</v>
      </c>
      <c r="BI333" s="50">
        <v>0</v>
      </c>
      <c r="BJ333" s="50">
        <v>0</v>
      </c>
      <c r="BK333" s="50"/>
      <c r="BL333" s="20"/>
    </row>
    <row r="334" spans="1:64" ht="120" x14ac:dyDescent="0.2">
      <c r="A334" s="69">
        <v>330</v>
      </c>
      <c r="B334" s="46" t="str">
        <f ca="1">IFERROR(__xludf.DUMMYFUNCTION("""COMPUTED_VALUE"""),"г.о. Сергиев Посад")</f>
        <v>г.о. Сергиев Посад</v>
      </c>
      <c r="C33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4" s="52" t="str">
        <f ca="1">IFERROR(__xludf.DUMMYFUNCTION("""COMPUTED_VALUE"""),"МинЖКХ")</f>
        <v>МинЖКХ</v>
      </c>
      <c r="E334" s="45" t="s">
        <v>602</v>
      </c>
      <c r="F334" s="46" t="str">
        <f ca="1">IFERROR(__xludf.DUMMYFUNCTION("""COMPUTED_VALUE"""),"БМК")</f>
        <v>БМК</v>
      </c>
      <c r="G334" s="46">
        <f ca="1">IFERROR(__xludf.DUMMYFUNCTION("""COMPUTED_VALUE"""),2020)</f>
        <v>2020</v>
      </c>
      <c r="H334" s="48" t="str">
        <f ca="1">IFERROR(__xludf.DUMMYFUNCTION("""COMPUTED_VALUE"""),"Выполнены работы: поставка и сборка блока котельной, ведутся работы по электроснабжению, устройство фундамента под генератор. Администрацией риски неосвоения обозначены не были, но в связи с необходимостью корректировки ПСД и проведения ПНР существуют выс"&amp;"окие риски срыва реализации мероприятия и неосвоения лимитов 2020 года.
")</f>
        <v xml:space="preserve">Выполнены работы: поставка и сборка блока котельной, ведутся работы по электроснабжению, устройство фундамента под генератор. Администрацией риски неосвоения обозначены не были, но в связи с необходимостью корректировки ПСД и проведения ПНР существуют высокие риски срыва реализации мероприятия и неосвоения лимитов 2020 года.
</v>
      </c>
      <c r="I334" s="48" t="str">
        <f ca="1">IFERROR(__xludf.DUMMYFUNCTION("""COMPUTED_VALUE"""),"СМР")</f>
        <v>СМР</v>
      </c>
      <c r="J334" s="48">
        <f ca="1">IFERROR(__xludf.DUMMYFUNCTION("""COMPUTED_VALUE"""),84)</f>
        <v>84</v>
      </c>
      <c r="K334" s="48">
        <f ca="1">IFERROR(__xludf.DUMMYFUNCTION("""COMPUTED_VALUE"""),793)</f>
        <v>793</v>
      </c>
      <c r="L334" s="48">
        <f ca="1">IFERROR(__xludf.DUMMYFUNCTION("""COMPUTED_VALUE"""),793)</f>
        <v>793</v>
      </c>
      <c r="M334" s="48"/>
      <c r="N334" s="48" t="str">
        <f ca="1">IFERROR(__xludf.DUMMYFUNCTION("""COMPUTED_VALUE"""),"10 3 02 64080")</f>
        <v>10 3 02 64080</v>
      </c>
      <c r="O334" s="48">
        <f ca="1">IFERROR(__xludf.DUMMYFUNCTION("""COMPUTED_VALUE"""),522)</f>
        <v>522</v>
      </c>
      <c r="P334" s="24">
        <f t="shared" ref="P334:T334" si="341">SUM(V334,AB334,AH334,AN334,AT334,AZ334,BF334)</f>
        <v>30066.28</v>
      </c>
      <c r="Q334" s="24">
        <f t="shared" si="341"/>
        <v>0</v>
      </c>
      <c r="R334" s="24">
        <f t="shared" si="341"/>
        <v>21653.86</v>
      </c>
      <c r="S334" s="24">
        <f t="shared" si="341"/>
        <v>0</v>
      </c>
      <c r="T334" s="24">
        <f t="shared" si="341"/>
        <v>8412.42</v>
      </c>
      <c r="U334" s="24"/>
      <c r="V334" s="24"/>
      <c r="W334" s="24"/>
      <c r="X334" s="24"/>
      <c r="Y334" s="24"/>
      <c r="Z334" s="24"/>
      <c r="AA334" s="24"/>
      <c r="AB334" s="24"/>
      <c r="AC334" s="50"/>
      <c r="AD334" s="50"/>
      <c r="AE334" s="50"/>
      <c r="AF334" s="50"/>
      <c r="AG334" s="50"/>
      <c r="AH334" s="50">
        <f t="shared" si="2"/>
        <v>30066.28</v>
      </c>
      <c r="AI334" s="50">
        <v>0</v>
      </c>
      <c r="AJ334" s="50">
        <v>21653.86</v>
      </c>
      <c r="AK334" s="50">
        <v>0</v>
      </c>
      <c r="AL334" s="50">
        <v>8412.42</v>
      </c>
      <c r="AM334" s="50"/>
      <c r="AN334" s="24">
        <f t="shared" si="3"/>
        <v>0</v>
      </c>
      <c r="AO334" s="50">
        <v>0</v>
      </c>
      <c r="AP334" s="50">
        <v>0</v>
      </c>
      <c r="AQ334" s="50">
        <v>0</v>
      </c>
      <c r="AR334" s="50">
        <v>0</v>
      </c>
      <c r="AS334" s="50"/>
      <c r="AT334" s="50">
        <f t="shared" si="4"/>
        <v>0</v>
      </c>
      <c r="AU334" s="50">
        <v>0</v>
      </c>
      <c r="AV334" s="50">
        <v>0</v>
      </c>
      <c r="AW334" s="50">
        <v>0</v>
      </c>
      <c r="AX334" s="50">
        <v>0</v>
      </c>
      <c r="AY334" s="50"/>
      <c r="AZ334" s="50">
        <f t="shared" si="227"/>
        <v>0</v>
      </c>
      <c r="BA334" s="50">
        <v>0</v>
      </c>
      <c r="BB334" s="50">
        <v>0</v>
      </c>
      <c r="BC334" s="50">
        <v>0</v>
      </c>
      <c r="BD334" s="50">
        <v>0</v>
      </c>
      <c r="BE334" s="50"/>
      <c r="BF334" s="50">
        <f t="shared" si="6"/>
        <v>0</v>
      </c>
      <c r="BG334" s="50">
        <v>0</v>
      </c>
      <c r="BH334" s="50">
        <v>0</v>
      </c>
      <c r="BI334" s="50">
        <v>0</v>
      </c>
      <c r="BJ334" s="50">
        <v>0</v>
      </c>
      <c r="BK334" s="50"/>
      <c r="BL334" s="20"/>
    </row>
    <row r="335" spans="1:64" ht="132" x14ac:dyDescent="0.2">
      <c r="A335" s="69">
        <v>331</v>
      </c>
      <c r="B335" s="46" t="str">
        <f ca="1">IFERROR(__xludf.DUMMYFUNCTION("""COMPUTED_VALUE"""),"г.о. Сергиев Посад")</f>
        <v>г.о. Сергиев Посад</v>
      </c>
      <c r="C33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5" s="52" t="str">
        <f ca="1">IFERROR(__xludf.DUMMYFUNCTION("""COMPUTED_VALUE"""),"МинЖКХ")</f>
        <v>МинЖКХ</v>
      </c>
      <c r="E335" s="45" t="s">
        <v>366</v>
      </c>
      <c r="F335" s="46" t="str">
        <f ca="1">IFERROR(__xludf.DUMMYFUNCTION("""COMPUTED_VALUE"""),"БМК")</f>
        <v>БМК</v>
      </c>
      <c r="G335" s="46">
        <f ca="1">IFERROR(__xludf.DUMMYFUNCTION("""COMPUTED_VALUE"""),2020)</f>
        <v>2020</v>
      </c>
      <c r="H335" s="48" t="str">
        <f ca="1">IFERROR(__xludf.DUMMYFUNCTION("""COMPUTED_VALUE"""),"Доставка и сборка блоков котельной, ведутся работы по электроснабжению
Необходима корректировка проекта в связи заменой оборудования. 
Администрацией риски неосвоения обозначены не были, но в связи с необходимостью корректировки ПСД и проведения ПНР суще"&amp;"ствуют высокие риски срыва реализации мероприятия и неосвоения лимитов 2020 года.
")</f>
        <v xml:space="preserve">Доставка и сборка блоков котельной, ведутся работы по электроснабжению
Необходима корректировка проекта в связи заменой оборудования. 
Администрацией риски неосвоения обозначены не были, но в связи с необходимостью корректировки ПСД и проведения ПНР существуют высокие риски срыва реализации мероприятия и неосвоения лимитов 2020 года.
</v>
      </c>
      <c r="I335" s="48" t="str">
        <f ca="1">IFERROR(__xludf.DUMMYFUNCTION("""COMPUTED_VALUE"""),"СМР")</f>
        <v>СМР</v>
      </c>
      <c r="J335" s="48">
        <f ca="1">IFERROR(__xludf.DUMMYFUNCTION("""COMPUTED_VALUE"""),41)</f>
        <v>41</v>
      </c>
      <c r="K335" s="48">
        <f ca="1">IFERROR(__xludf.DUMMYFUNCTION("""COMPUTED_VALUE"""),747)</f>
        <v>747</v>
      </c>
      <c r="L335" s="48">
        <f ca="1">IFERROR(__xludf.DUMMYFUNCTION("""COMPUTED_VALUE"""),747)</f>
        <v>747</v>
      </c>
      <c r="M335" s="48"/>
      <c r="N335" s="48" t="str">
        <f ca="1">IFERROR(__xludf.DUMMYFUNCTION("""COMPUTED_VALUE"""),"10 3 02 64080")</f>
        <v>10 3 02 64080</v>
      </c>
      <c r="O335" s="48">
        <f ca="1">IFERROR(__xludf.DUMMYFUNCTION("""COMPUTED_VALUE"""),522)</f>
        <v>522</v>
      </c>
      <c r="P335" s="24">
        <f t="shared" ref="P335:T335" si="342">SUM(V335,AB335,AH335,AN335,AT335,AZ335,BF335)</f>
        <v>21213.33</v>
      </c>
      <c r="Q335" s="24">
        <f t="shared" si="342"/>
        <v>0</v>
      </c>
      <c r="R335" s="24">
        <f t="shared" si="342"/>
        <v>16397.900000000001</v>
      </c>
      <c r="S335" s="24">
        <f t="shared" si="342"/>
        <v>0</v>
      </c>
      <c r="T335" s="24">
        <f t="shared" si="342"/>
        <v>4815.43</v>
      </c>
      <c r="U335" s="24"/>
      <c r="V335" s="24"/>
      <c r="W335" s="24"/>
      <c r="X335" s="24"/>
      <c r="Y335" s="24"/>
      <c r="Z335" s="24"/>
      <c r="AA335" s="24"/>
      <c r="AB335" s="24"/>
      <c r="AC335" s="50"/>
      <c r="AD335" s="50"/>
      <c r="AE335" s="50"/>
      <c r="AF335" s="50"/>
      <c r="AG335" s="50"/>
      <c r="AH335" s="50">
        <f t="shared" si="2"/>
        <v>21213.33</v>
      </c>
      <c r="AI335" s="50">
        <v>0</v>
      </c>
      <c r="AJ335" s="50">
        <v>16397.900000000001</v>
      </c>
      <c r="AK335" s="50">
        <v>0</v>
      </c>
      <c r="AL335" s="50">
        <v>4815.43</v>
      </c>
      <c r="AM335" s="50"/>
      <c r="AN335" s="24">
        <f t="shared" si="3"/>
        <v>0</v>
      </c>
      <c r="AO335" s="50">
        <v>0</v>
      </c>
      <c r="AP335" s="50">
        <v>0</v>
      </c>
      <c r="AQ335" s="50">
        <v>0</v>
      </c>
      <c r="AR335" s="50">
        <v>0</v>
      </c>
      <c r="AS335" s="50"/>
      <c r="AT335" s="50">
        <f t="shared" si="4"/>
        <v>0</v>
      </c>
      <c r="AU335" s="50">
        <v>0</v>
      </c>
      <c r="AV335" s="50">
        <v>0</v>
      </c>
      <c r="AW335" s="50">
        <v>0</v>
      </c>
      <c r="AX335" s="50">
        <v>0</v>
      </c>
      <c r="AY335" s="50"/>
      <c r="AZ335" s="50">
        <f t="shared" si="227"/>
        <v>0</v>
      </c>
      <c r="BA335" s="50">
        <v>0</v>
      </c>
      <c r="BB335" s="50">
        <v>0</v>
      </c>
      <c r="BC335" s="50">
        <v>0</v>
      </c>
      <c r="BD335" s="50">
        <v>0</v>
      </c>
      <c r="BE335" s="50"/>
      <c r="BF335" s="50">
        <f t="shared" si="6"/>
        <v>0</v>
      </c>
      <c r="BG335" s="50">
        <v>0</v>
      </c>
      <c r="BH335" s="50">
        <v>0</v>
      </c>
      <c r="BI335" s="50">
        <v>0</v>
      </c>
      <c r="BJ335" s="50">
        <v>0</v>
      </c>
      <c r="BK335" s="50"/>
      <c r="BL335" s="20"/>
    </row>
    <row r="336" spans="1:64" ht="96" x14ac:dyDescent="0.2">
      <c r="A336" s="69">
        <v>332</v>
      </c>
      <c r="B336" s="46" t="str">
        <f ca="1">IFERROR(__xludf.DUMMYFUNCTION("""COMPUTED_VALUE"""),"г.о. Серебряные Пруды")</f>
        <v>г.о. Серебряные Пруды</v>
      </c>
      <c r="C336"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36" s="46" t="str">
        <f ca="1">IFERROR(__xludf.DUMMYFUNCTION("""COMPUTED_VALUE"""),"МинЖКХ")</f>
        <v>МинЖКХ</v>
      </c>
      <c r="E336" s="45" t="s">
        <v>367</v>
      </c>
      <c r="F336" s="46" t="str">
        <f ca="1">IFERROR(__xludf.DUMMYFUNCTION("""COMPUTED_VALUE"""),"Котельная")</f>
        <v>Котельная</v>
      </c>
      <c r="G336" s="46">
        <f ca="1">IFERROR(__xludf.DUMMYFUNCTION("""COMPUTED_VALUE"""),2020)</f>
        <v>2020</v>
      </c>
      <c r="H336" s="48" t="str">
        <f ca="1">IFERROR(__xludf.DUMMYFUNCTION("""COMPUTED_VALUE"""),"Ведена в эксплуатацию.")</f>
        <v>Ведена в эксплуатацию.</v>
      </c>
      <c r="I336" s="48" t="str">
        <f ca="1">IFERROR(__xludf.DUMMYFUNCTION("""COMPUTED_VALUE"""),"СМР")</f>
        <v>СМР</v>
      </c>
      <c r="J336" s="48">
        <f ca="1">IFERROR(__xludf.DUMMYFUNCTION("""COMPUTED_VALUE"""),100)</f>
        <v>100</v>
      </c>
      <c r="K336" s="48">
        <f ca="1">IFERROR(__xludf.DUMMYFUNCTION("""COMPUTED_VALUE"""),600)</f>
        <v>600</v>
      </c>
      <c r="L336" s="48">
        <f ca="1">IFERROR(__xludf.DUMMYFUNCTION("""COMPUTED_VALUE"""),600)</f>
        <v>600</v>
      </c>
      <c r="M336" s="48"/>
      <c r="N336" s="48" t="str">
        <f ca="1">IFERROR(__xludf.DUMMYFUNCTION("""COMPUTED_VALUE"""),"10 3 02 60320")</f>
        <v>10 3 02 60320</v>
      </c>
      <c r="O336" s="48">
        <f ca="1">IFERROR(__xludf.DUMMYFUNCTION("""COMPUTED_VALUE"""),521)</f>
        <v>521</v>
      </c>
      <c r="P336" s="24">
        <f t="shared" ref="P336:T336" si="343">SUM(V336,AB336,AH336,AN336,AT336,AZ336,BF336)</f>
        <v>4635.5</v>
      </c>
      <c r="Q336" s="24">
        <f t="shared" si="343"/>
        <v>0</v>
      </c>
      <c r="R336" s="24">
        <f t="shared" si="343"/>
        <v>0</v>
      </c>
      <c r="S336" s="24">
        <f t="shared" si="343"/>
        <v>3986.5</v>
      </c>
      <c r="T336" s="24">
        <f t="shared" si="343"/>
        <v>649</v>
      </c>
      <c r="U336" s="24"/>
      <c r="V336" s="20"/>
      <c r="W336" s="20"/>
      <c r="X336" s="20"/>
      <c r="Y336" s="20"/>
      <c r="Z336" s="20"/>
      <c r="AA336" s="20"/>
      <c r="AB336" s="20"/>
      <c r="AC336" s="24"/>
      <c r="AD336" s="24"/>
      <c r="AE336" s="24"/>
      <c r="AF336" s="24"/>
      <c r="AG336" s="24"/>
      <c r="AH336" s="50">
        <f t="shared" si="2"/>
        <v>4635.5</v>
      </c>
      <c r="AI336" s="50">
        <v>0</v>
      </c>
      <c r="AJ336" s="50">
        <v>0</v>
      </c>
      <c r="AK336" s="50">
        <v>3986.5</v>
      </c>
      <c r="AL336" s="50">
        <v>649</v>
      </c>
      <c r="AM336" s="50"/>
      <c r="AN336" s="24">
        <f t="shared" si="3"/>
        <v>0</v>
      </c>
      <c r="AO336" s="50">
        <v>0</v>
      </c>
      <c r="AP336" s="50">
        <v>0</v>
      </c>
      <c r="AQ336" s="50">
        <v>0</v>
      </c>
      <c r="AR336" s="50">
        <v>0</v>
      </c>
      <c r="AS336" s="50"/>
      <c r="AT336" s="50">
        <f t="shared" si="4"/>
        <v>0</v>
      </c>
      <c r="AU336" s="50">
        <v>0</v>
      </c>
      <c r="AV336" s="50">
        <v>0</v>
      </c>
      <c r="AW336" s="50">
        <v>0</v>
      </c>
      <c r="AX336" s="50">
        <v>0</v>
      </c>
      <c r="AY336" s="50"/>
      <c r="AZ336" s="50">
        <f t="shared" si="227"/>
        <v>0</v>
      </c>
      <c r="BA336" s="50">
        <v>0</v>
      </c>
      <c r="BB336" s="50">
        <v>0</v>
      </c>
      <c r="BC336" s="50">
        <v>0</v>
      </c>
      <c r="BD336" s="50">
        <v>0</v>
      </c>
      <c r="BE336" s="50"/>
      <c r="BF336" s="50">
        <f t="shared" si="6"/>
        <v>0</v>
      </c>
      <c r="BG336" s="50">
        <v>0</v>
      </c>
      <c r="BH336" s="50">
        <v>0</v>
      </c>
      <c r="BI336" s="50">
        <v>0</v>
      </c>
      <c r="BJ336" s="50">
        <v>0</v>
      </c>
      <c r="BK336" s="50"/>
      <c r="BL336" s="20"/>
    </row>
    <row r="337" spans="1:64" ht="120" x14ac:dyDescent="0.2">
      <c r="A337" s="69">
        <v>333</v>
      </c>
      <c r="B337" s="46" t="str">
        <f ca="1">IFERROR(__xludf.DUMMYFUNCTION("""COMPUTED_VALUE"""),"г.о. Серебряные Пруды")</f>
        <v>г.о. Серебряные Пруды</v>
      </c>
      <c r="C33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7" s="52" t="str">
        <f ca="1">IFERROR(__xludf.DUMMYFUNCTION("""COMPUTED_VALUE"""),"МинЖКХ ""ТОП 5 (1 этап)""")</f>
        <v>МинЖКХ "ТОП 5 (1 этап)"</v>
      </c>
      <c r="E337" s="45" t="s">
        <v>368</v>
      </c>
      <c r="F337" s="46" t="str">
        <f ca="1">IFERROR(__xludf.DUMMYFUNCTION("""COMPUTED_VALUE"""),"БМК")</f>
        <v>БМК</v>
      </c>
      <c r="G337" s="46">
        <f ca="1">IFERROR(__xludf.DUMMYFUNCTION("""COMPUTED_VALUE"""),2020)</f>
        <v>2020</v>
      </c>
      <c r="H337" s="48" t="str">
        <f ca="1">IFERROR(__xludf.DUMMYFUNCTION("""COMPUTED_VALUE"""),"Получено положительное заключение МОГЭ. Опубликовано закупка в системе ЕИС 02.12.2020. Написали письмо на перенос частично на 2021 год. Идет монтаж водопроводной сети к  БМК, монтаж водопроводного колодца, подготовка фундамента под котельную.  Поставка об"&amp;"орудования будет после подписание контракта. Высокий риск не освоения лимитов в 2020 году. ")</f>
        <v xml:space="preserve">Получено положительное заключение МОГЭ. Опубликовано закупка в системе ЕИС 02.12.2020. Написали письмо на перенос частично на 2021 год. Идет монтаж водопроводной сети к  БМК, монтаж водопроводного колодца, подготовка фундамента под котельную.  Поставка оборудования будет после подписание контракта. Высокий риск не освоения лимитов в 2020 году. </v>
      </c>
      <c r="I337" s="48" t="str">
        <f ca="1">IFERROR(__xludf.DUMMYFUNCTION("""COMPUTED_VALUE"""),"СМР")</f>
        <v>СМР</v>
      </c>
      <c r="J337" s="48">
        <f ca="1">IFERROR(__xludf.DUMMYFUNCTION("""COMPUTED_VALUE"""),15)</f>
        <v>15</v>
      </c>
      <c r="K337" s="48">
        <f ca="1">IFERROR(__xludf.DUMMYFUNCTION("""COMPUTED_VALUE"""),508)</f>
        <v>508</v>
      </c>
      <c r="L337" s="48">
        <f ca="1">IFERROR(__xludf.DUMMYFUNCTION("""COMPUTED_VALUE"""),508)</f>
        <v>508</v>
      </c>
      <c r="M337" s="48"/>
      <c r="N337" s="48" t="str">
        <f ca="1">IFERROR(__xludf.DUMMYFUNCTION("""COMPUTED_VALUE"""),"10 3 02 64080")</f>
        <v>10 3 02 64080</v>
      </c>
      <c r="O337" s="48">
        <f ca="1">IFERROR(__xludf.DUMMYFUNCTION("""COMPUTED_VALUE"""),522)</f>
        <v>522</v>
      </c>
      <c r="P337" s="24">
        <f t="shared" ref="P337:T337" si="344">SUM(V337,AB337,AH337,AN337,AT337,AZ337,BF337)</f>
        <v>30706.969999999998</v>
      </c>
      <c r="Q337" s="24">
        <f t="shared" si="344"/>
        <v>0</v>
      </c>
      <c r="R337" s="24">
        <f t="shared" si="344"/>
        <v>0</v>
      </c>
      <c r="S337" s="24">
        <f t="shared" si="344"/>
        <v>26407.94</v>
      </c>
      <c r="T337" s="24">
        <f t="shared" si="344"/>
        <v>4299.03</v>
      </c>
      <c r="U337" s="24"/>
      <c r="V337" s="24"/>
      <c r="W337" s="24"/>
      <c r="X337" s="24"/>
      <c r="Y337" s="24"/>
      <c r="Z337" s="24"/>
      <c r="AA337" s="24"/>
      <c r="AB337" s="24"/>
      <c r="AC337" s="50"/>
      <c r="AD337" s="50"/>
      <c r="AE337" s="50"/>
      <c r="AF337" s="50"/>
      <c r="AG337" s="50"/>
      <c r="AH337" s="50">
        <f t="shared" si="2"/>
        <v>30706.969999999998</v>
      </c>
      <c r="AI337" s="50">
        <v>0</v>
      </c>
      <c r="AJ337" s="50">
        <v>0</v>
      </c>
      <c r="AK337" s="50">
        <v>26407.94</v>
      </c>
      <c r="AL337" s="50">
        <v>4299.03</v>
      </c>
      <c r="AM337" s="50"/>
      <c r="AN337" s="24">
        <f t="shared" si="3"/>
        <v>0</v>
      </c>
      <c r="AO337" s="50">
        <v>0</v>
      </c>
      <c r="AP337" s="50">
        <v>0</v>
      </c>
      <c r="AQ337" s="50">
        <v>0</v>
      </c>
      <c r="AR337" s="50">
        <v>0</v>
      </c>
      <c r="AS337" s="50"/>
      <c r="AT337" s="50">
        <f t="shared" si="4"/>
        <v>0</v>
      </c>
      <c r="AU337" s="50">
        <v>0</v>
      </c>
      <c r="AV337" s="50">
        <v>0</v>
      </c>
      <c r="AW337" s="50">
        <v>0</v>
      </c>
      <c r="AX337" s="50">
        <v>0</v>
      </c>
      <c r="AY337" s="50"/>
      <c r="AZ337" s="50">
        <f t="shared" si="227"/>
        <v>0</v>
      </c>
      <c r="BA337" s="50">
        <v>0</v>
      </c>
      <c r="BB337" s="50">
        <v>0</v>
      </c>
      <c r="BC337" s="50">
        <v>0</v>
      </c>
      <c r="BD337" s="50">
        <v>0</v>
      </c>
      <c r="BE337" s="50"/>
      <c r="BF337" s="50">
        <f t="shared" si="6"/>
        <v>0</v>
      </c>
      <c r="BG337" s="50">
        <v>0</v>
      </c>
      <c r="BH337" s="50">
        <v>0</v>
      </c>
      <c r="BI337" s="50">
        <v>0</v>
      </c>
      <c r="BJ337" s="50">
        <v>0</v>
      </c>
      <c r="BK337" s="50"/>
      <c r="BL337" s="20"/>
    </row>
    <row r="338" spans="1:64" ht="84" x14ac:dyDescent="0.2">
      <c r="A338" s="69">
        <v>334</v>
      </c>
      <c r="B338" s="46" t="str">
        <f ca="1">IFERROR(__xludf.DUMMYFUNCTION("""COMPUTED_VALUE"""),"г.о. Серебряные Пруды")</f>
        <v>г.о. Серебряные Пруды</v>
      </c>
      <c r="C33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8" s="52" t="str">
        <f ca="1">IFERROR(__xludf.DUMMYFUNCTION("""COMPUTED_VALUE"""),"МинЖКХ ""ТОП 5 (1 этап)""")</f>
        <v>МинЖКХ "ТОП 5 (1 этап)"</v>
      </c>
      <c r="E338" s="45" t="s">
        <v>369</v>
      </c>
      <c r="F338" s="46" t="str">
        <f ca="1">IFERROR(__xludf.DUMMYFUNCTION("""COMPUTED_VALUE"""),"БМК")</f>
        <v>БМК</v>
      </c>
      <c r="G338" s="46" t="str">
        <f ca="1">IFERROR(__xludf.DUMMYFUNCTION("""COMPUTED_VALUE"""),"2020-2021")</f>
        <v>2020-2021</v>
      </c>
      <c r="H338" s="48" t="str">
        <f ca="1">IFERROR(__xludf.DUMMYFUNCTION("""COMPUTED_VALUE"""),"Предварительная дата выхода из МОГЭ 09.12.2020.")</f>
        <v>Предварительная дата выхода из МОГЭ 09.12.2020.</v>
      </c>
      <c r="I338" s="48" t="str">
        <f ca="1">IFERROR(__xludf.DUMMYFUNCTION("""COMPUTED_VALUE"""),"СМР")</f>
        <v>СМР</v>
      </c>
      <c r="J338" s="48"/>
      <c r="K338" s="48">
        <f ca="1">IFERROR(__xludf.DUMMYFUNCTION("""COMPUTED_VALUE"""),421)</f>
        <v>421</v>
      </c>
      <c r="L338" s="48">
        <f ca="1">IFERROR(__xludf.DUMMYFUNCTION("""COMPUTED_VALUE"""),421)</f>
        <v>421</v>
      </c>
      <c r="M338" s="48"/>
      <c r="N338" s="48" t="str">
        <f ca="1">IFERROR(__xludf.DUMMYFUNCTION("""COMPUTED_VALUE"""),"10 3 02 64080")</f>
        <v>10 3 02 64080</v>
      </c>
      <c r="O338" s="48">
        <f ca="1">IFERROR(__xludf.DUMMYFUNCTION("""COMPUTED_VALUE"""),522)</f>
        <v>522</v>
      </c>
      <c r="P338" s="24">
        <f t="shared" ref="P338:T338" si="345">SUM(V338,AB338,AH338,AN338,AT338,AZ338,BF338)</f>
        <v>20047.63</v>
      </c>
      <c r="Q338" s="24">
        <f t="shared" si="345"/>
        <v>0</v>
      </c>
      <c r="R338" s="24">
        <f t="shared" si="345"/>
        <v>0</v>
      </c>
      <c r="S338" s="24">
        <f t="shared" si="345"/>
        <v>17240.88</v>
      </c>
      <c r="T338" s="24">
        <f t="shared" si="345"/>
        <v>2806.75</v>
      </c>
      <c r="U338" s="24"/>
      <c r="V338" s="24"/>
      <c r="W338" s="24"/>
      <c r="X338" s="24"/>
      <c r="Y338" s="24"/>
      <c r="Z338" s="24"/>
      <c r="AA338" s="24"/>
      <c r="AB338" s="24"/>
      <c r="AC338" s="50"/>
      <c r="AD338" s="50"/>
      <c r="AE338" s="50"/>
      <c r="AF338" s="50"/>
      <c r="AG338" s="50"/>
      <c r="AH338" s="50">
        <f t="shared" si="2"/>
        <v>3701.02</v>
      </c>
      <c r="AI338" s="50">
        <v>0</v>
      </c>
      <c r="AJ338" s="50">
        <v>0</v>
      </c>
      <c r="AK338" s="50">
        <v>3182.88</v>
      </c>
      <c r="AL338" s="50">
        <v>518.14</v>
      </c>
      <c r="AM338" s="50"/>
      <c r="AN338" s="24">
        <f t="shared" si="3"/>
        <v>16346.61</v>
      </c>
      <c r="AO338" s="50">
        <v>0</v>
      </c>
      <c r="AP338" s="50">
        <v>0</v>
      </c>
      <c r="AQ338" s="50">
        <v>14058</v>
      </c>
      <c r="AR338" s="50">
        <v>2288.61</v>
      </c>
      <c r="AS338" s="50"/>
      <c r="AT338" s="50">
        <f t="shared" si="4"/>
        <v>0</v>
      </c>
      <c r="AU338" s="50">
        <v>0</v>
      </c>
      <c r="AV338" s="50">
        <v>0</v>
      </c>
      <c r="AW338" s="50">
        <v>0</v>
      </c>
      <c r="AX338" s="50">
        <v>0</v>
      </c>
      <c r="AY338" s="50"/>
      <c r="AZ338" s="50">
        <f t="shared" si="227"/>
        <v>0</v>
      </c>
      <c r="BA338" s="50">
        <v>0</v>
      </c>
      <c r="BB338" s="50">
        <v>0</v>
      </c>
      <c r="BC338" s="50">
        <v>0</v>
      </c>
      <c r="BD338" s="50">
        <v>0</v>
      </c>
      <c r="BE338" s="50"/>
      <c r="BF338" s="50">
        <f t="shared" si="6"/>
        <v>0</v>
      </c>
      <c r="BG338" s="50">
        <v>0</v>
      </c>
      <c r="BH338" s="50">
        <v>0</v>
      </c>
      <c r="BI338" s="50">
        <v>0</v>
      </c>
      <c r="BJ338" s="50">
        <v>0</v>
      </c>
      <c r="BK338" s="50"/>
      <c r="BL338" s="20"/>
    </row>
    <row r="339" spans="1:64" ht="84" x14ac:dyDescent="0.2">
      <c r="A339" s="69">
        <v>335</v>
      </c>
      <c r="B339" s="46" t="str">
        <f ca="1">IFERROR(__xludf.DUMMYFUNCTION("""COMPUTED_VALUE"""),"г.о. Серебряные Пруды")</f>
        <v>г.о. Серебряные Пруды</v>
      </c>
      <c r="C33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39" s="52" t="str">
        <f ca="1">IFERROR(__xludf.DUMMYFUNCTION("""COMPUTED_VALUE"""),"МинЖКХ ""ТОП 5 (1 этап)""")</f>
        <v>МинЖКХ "ТОП 5 (1 этап)"</v>
      </c>
      <c r="E339" s="45" t="s">
        <v>370</v>
      </c>
      <c r="F339" s="46" t="str">
        <f ca="1">IFERROR(__xludf.DUMMYFUNCTION("""COMPUTED_VALUE"""),"БМК")</f>
        <v>БМК</v>
      </c>
      <c r="G339" s="46" t="str">
        <f ca="1">IFERROR(__xludf.DUMMYFUNCTION("""COMPUTED_VALUE"""),"2020-2021")</f>
        <v>2020-2021</v>
      </c>
      <c r="H339" s="48" t="str">
        <f ca="1">IFERROR(__xludf.DUMMYFUNCTION("""COMPUTED_VALUE"""),"Предварительная дата выхода из МОГЭ 09.12.2020. Увелечение лимитов на 14 000 тыс. руб. Идет выполнения работ по обвязыванию арматурой для фундамента. Дата поставки оборудования 05.12.2020.")</f>
        <v>Предварительная дата выхода из МОГЭ 09.12.2020. Увелечение лимитов на 14 000 тыс. руб. Идет выполнения работ по обвязыванию арматурой для фундамента. Дата поставки оборудования 05.12.2020.</v>
      </c>
      <c r="I339" s="48" t="str">
        <f ca="1">IFERROR(__xludf.DUMMYFUNCTION("""COMPUTED_VALUE"""),"СМР")</f>
        <v>СМР</v>
      </c>
      <c r="J339" s="48">
        <f ca="1">IFERROR(__xludf.DUMMYFUNCTION("""COMPUTED_VALUE"""),10)</f>
        <v>10</v>
      </c>
      <c r="K339" s="48">
        <f ca="1">IFERROR(__xludf.DUMMYFUNCTION("""COMPUTED_VALUE"""),286)</f>
        <v>286</v>
      </c>
      <c r="L339" s="48">
        <f ca="1">IFERROR(__xludf.DUMMYFUNCTION("""COMPUTED_VALUE"""),286)</f>
        <v>286</v>
      </c>
      <c r="M339" s="48"/>
      <c r="N339" s="48" t="str">
        <f ca="1">IFERROR(__xludf.DUMMYFUNCTION("""COMPUTED_VALUE"""),"10 3 02 64080")</f>
        <v>10 3 02 64080</v>
      </c>
      <c r="O339" s="48">
        <f ca="1">IFERROR(__xludf.DUMMYFUNCTION("""COMPUTED_VALUE"""),522)</f>
        <v>522</v>
      </c>
      <c r="P339" s="24">
        <f t="shared" ref="P339:T339" si="346">SUM(V339,AB339,AH339,AN339,AT339,AZ339,BF339)</f>
        <v>32205.66</v>
      </c>
      <c r="Q339" s="24">
        <f t="shared" si="346"/>
        <v>0</v>
      </c>
      <c r="R339" s="24">
        <f t="shared" si="346"/>
        <v>13848.3</v>
      </c>
      <c r="S339" s="24">
        <f t="shared" si="346"/>
        <v>13848.3</v>
      </c>
      <c r="T339" s="24">
        <f t="shared" si="346"/>
        <v>4509.0600000000004</v>
      </c>
      <c r="U339" s="24"/>
      <c r="V339" s="24"/>
      <c r="W339" s="24"/>
      <c r="X339" s="24"/>
      <c r="Y339" s="24"/>
      <c r="Z339" s="24"/>
      <c r="AA339" s="24"/>
      <c r="AB339" s="24"/>
      <c r="AC339" s="50"/>
      <c r="AD339" s="50"/>
      <c r="AE339" s="50"/>
      <c r="AF339" s="50"/>
      <c r="AG339" s="50"/>
      <c r="AH339" s="50">
        <f t="shared" si="2"/>
        <v>16102.83</v>
      </c>
      <c r="AI339" s="50">
        <v>0</v>
      </c>
      <c r="AJ339" s="50">
        <v>0</v>
      </c>
      <c r="AK339" s="50">
        <v>13848.3</v>
      </c>
      <c r="AL339" s="50">
        <v>2254.5300000000002</v>
      </c>
      <c r="AM339" s="50"/>
      <c r="AN339" s="24">
        <f t="shared" si="3"/>
        <v>16102.83</v>
      </c>
      <c r="AO339" s="50">
        <v>0</v>
      </c>
      <c r="AP339" s="50">
        <v>13848.3</v>
      </c>
      <c r="AQ339" s="50">
        <v>0</v>
      </c>
      <c r="AR339" s="50">
        <v>2254.5300000000002</v>
      </c>
      <c r="AS339" s="50"/>
      <c r="AT339" s="50">
        <f t="shared" si="4"/>
        <v>0</v>
      </c>
      <c r="AU339" s="50">
        <v>0</v>
      </c>
      <c r="AV339" s="50">
        <v>0</v>
      </c>
      <c r="AW339" s="50">
        <v>0</v>
      </c>
      <c r="AX339" s="50">
        <v>0</v>
      </c>
      <c r="AY339" s="50"/>
      <c r="AZ339" s="50">
        <f t="shared" si="227"/>
        <v>0</v>
      </c>
      <c r="BA339" s="50">
        <v>0</v>
      </c>
      <c r="BB339" s="50">
        <v>0</v>
      </c>
      <c r="BC339" s="50">
        <v>0</v>
      </c>
      <c r="BD339" s="50">
        <v>0</v>
      </c>
      <c r="BE339" s="50"/>
      <c r="BF339" s="50">
        <f t="shared" si="6"/>
        <v>0</v>
      </c>
      <c r="BG339" s="50">
        <v>0</v>
      </c>
      <c r="BH339" s="50">
        <v>0</v>
      </c>
      <c r="BI339" s="50">
        <v>0</v>
      </c>
      <c r="BJ339" s="50">
        <v>0</v>
      </c>
      <c r="BK339" s="50"/>
      <c r="BL339" s="20"/>
    </row>
    <row r="340" spans="1:64" ht="84" x14ac:dyDescent="0.2">
      <c r="A340" s="69">
        <v>336</v>
      </c>
      <c r="B340" s="46" t="str">
        <f ca="1">IFERROR(__xludf.DUMMYFUNCTION("""COMPUTED_VALUE"""),"г.о. Серебряные Пруды")</f>
        <v>г.о. Серебряные Пруды</v>
      </c>
      <c r="C34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0" s="52" t="str">
        <f ca="1">IFERROR(__xludf.DUMMYFUNCTION("""COMPUTED_VALUE"""),"МинЖКХ ""ТОП 5 (1 этап)""")</f>
        <v>МинЖКХ "ТОП 5 (1 этап)"</v>
      </c>
      <c r="E340" s="45" t="s">
        <v>371</v>
      </c>
      <c r="F340" s="46" t="str">
        <f ca="1">IFERROR(__xludf.DUMMYFUNCTION("""COMPUTED_VALUE"""),"БМК")</f>
        <v>БМК</v>
      </c>
      <c r="G340" s="46" t="str">
        <f ca="1">IFERROR(__xludf.DUMMYFUNCTION("""COMPUTED_VALUE"""),"2020-2021")</f>
        <v>2020-2021</v>
      </c>
      <c r="H340" s="48" t="str">
        <f ca="1">IFERROR(__xludf.DUMMYFUNCTION("""COMPUTED_VALUE"""),"Предварительная дата выхода из МОГЭ 27.11.2020. Увелечение лимитов на 22 000 тыс. руб. Фундамент под котельную готов. . Дата поставки оборудования 05.12.2020.")</f>
        <v>Предварительная дата выхода из МОГЭ 27.11.2020. Увелечение лимитов на 22 000 тыс. руб. Фундамент под котельную готов. . Дата поставки оборудования 05.12.2020.</v>
      </c>
      <c r="I340" s="48" t="str">
        <f ca="1">IFERROR(__xludf.DUMMYFUNCTION("""COMPUTED_VALUE"""),"СМР")</f>
        <v>СМР</v>
      </c>
      <c r="J340" s="48">
        <f ca="1">IFERROR(__xludf.DUMMYFUNCTION("""COMPUTED_VALUE"""),10)</f>
        <v>10</v>
      </c>
      <c r="K340" s="48">
        <f ca="1">IFERROR(__xludf.DUMMYFUNCTION("""COMPUTED_VALUE"""),1329)</f>
        <v>1329</v>
      </c>
      <c r="L340" s="48">
        <f ca="1">IFERROR(__xludf.DUMMYFUNCTION("""COMPUTED_VALUE"""),1329)</f>
        <v>1329</v>
      </c>
      <c r="M340" s="48"/>
      <c r="N340" s="48" t="str">
        <f ca="1">IFERROR(__xludf.DUMMYFUNCTION("""COMPUTED_VALUE"""),"10 3 02 64080")</f>
        <v>10 3 02 64080</v>
      </c>
      <c r="O340" s="48">
        <f ca="1">IFERROR(__xludf.DUMMYFUNCTION("""COMPUTED_VALUE"""),522)</f>
        <v>522</v>
      </c>
      <c r="P340" s="24">
        <f t="shared" ref="P340:T340" si="347">SUM(V340,AB340,AH340,AN340,AT340,AZ340,BF340)</f>
        <v>36765.31</v>
      </c>
      <c r="Q340" s="24">
        <f t="shared" si="347"/>
        <v>0</v>
      </c>
      <c r="R340" s="24">
        <f t="shared" si="347"/>
        <v>15809</v>
      </c>
      <c r="S340" s="24">
        <f t="shared" si="347"/>
        <v>15809</v>
      </c>
      <c r="T340" s="24">
        <f t="shared" si="347"/>
        <v>5147.3099999999995</v>
      </c>
      <c r="U340" s="24"/>
      <c r="V340" s="24"/>
      <c r="W340" s="24"/>
      <c r="X340" s="24"/>
      <c r="Y340" s="24"/>
      <c r="Z340" s="24"/>
      <c r="AA340" s="24"/>
      <c r="AB340" s="24"/>
      <c r="AC340" s="50"/>
      <c r="AD340" s="50"/>
      <c r="AE340" s="50"/>
      <c r="AF340" s="50"/>
      <c r="AG340" s="50"/>
      <c r="AH340" s="50">
        <f t="shared" si="2"/>
        <v>18382.66</v>
      </c>
      <c r="AI340" s="50">
        <v>0</v>
      </c>
      <c r="AJ340" s="50">
        <v>0</v>
      </c>
      <c r="AK340" s="50">
        <v>15809</v>
      </c>
      <c r="AL340" s="50">
        <v>2573.66</v>
      </c>
      <c r="AM340" s="50"/>
      <c r="AN340" s="24">
        <f t="shared" si="3"/>
        <v>18382.650000000001</v>
      </c>
      <c r="AO340" s="50">
        <v>0</v>
      </c>
      <c r="AP340" s="50">
        <v>15809</v>
      </c>
      <c r="AQ340" s="50">
        <v>0</v>
      </c>
      <c r="AR340" s="50">
        <v>2573.65</v>
      </c>
      <c r="AS340" s="50"/>
      <c r="AT340" s="50">
        <f t="shared" si="4"/>
        <v>0</v>
      </c>
      <c r="AU340" s="50">
        <v>0</v>
      </c>
      <c r="AV340" s="50">
        <v>0</v>
      </c>
      <c r="AW340" s="50">
        <v>0</v>
      </c>
      <c r="AX340" s="50">
        <v>0</v>
      </c>
      <c r="AY340" s="50"/>
      <c r="AZ340" s="50">
        <f t="shared" si="227"/>
        <v>0</v>
      </c>
      <c r="BA340" s="50">
        <v>0</v>
      </c>
      <c r="BB340" s="50">
        <v>0</v>
      </c>
      <c r="BC340" s="50">
        <v>0</v>
      </c>
      <c r="BD340" s="50">
        <v>0</v>
      </c>
      <c r="BE340" s="50"/>
      <c r="BF340" s="50">
        <f t="shared" si="6"/>
        <v>0</v>
      </c>
      <c r="BG340" s="50">
        <v>0</v>
      </c>
      <c r="BH340" s="50">
        <v>0</v>
      </c>
      <c r="BI340" s="50">
        <v>0</v>
      </c>
      <c r="BJ340" s="50">
        <v>0</v>
      </c>
      <c r="BK340" s="50"/>
      <c r="BL340" s="20"/>
    </row>
    <row r="341" spans="1:64" ht="84" x14ac:dyDescent="0.2">
      <c r="A341" s="69">
        <v>337</v>
      </c>
      <c r="B341" s="46" t="str">
        <f ca="1">IFERROR(__xludf.DUMMYFUNCTION("""COMPUTED_VALUE"""),"г.о. Серебряные Пруды")</f>
        <v>г.о. Серебряные Пруды</v>
      </c>
      <c r="C34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1" s="52" t="str">
        <f ca="1">IFERROR(__xludf.DUMMYFUNCTION("""COMPUTED_VALUE"""),"МинЖКХ ""ТОП 5 (1 этап)""")</f>
        <v>МинЖКХ "ТОП 5 (1 этап)"</v>
      </c>
      <c r="E341" s="45" t="s">
        <v>372</v>
      </c>
      <c r="F341" s="46" t="str">
        <f ca="1">IFERROR(__xludf.DUMMYFUNCTION("""COMPUTED_VALUE"""),"БМК")</f>
        <v>БМК</v>
      </c>
      <c r="G341" s="46" t="str">
        <f ca="1">IFERROR(__xludf.DUMMYFUNCTION("""COMPUTED_VALUE"""),"2020-2021")</f>
        <v>2020-2021</v>
      </c>
      <c r="H341" s="48" t="str">
        <f ca="1">IFERROR(__xludf.DUMMYFUNCTION("""COMPUTED_VALUE"""),"Предварительная дата выхода из МОГЭ 09.12.2020.")</f>
        <v>Предварительная дата выхода из МОГЭ 09.12.2020.</v>
      </c>
      <c r="I341" s="48" t="str">
        <f ca="1">IFERROR(__xludf.DUMMYFUNCTION("""COMPUTED_VALUE"""),"СМР")</f>
        <v>СМР</v>
      </c>
      <c r="J341" s="48"/>
      <c r="K341" s="48">
        <f ca="1">IFERROR(__xludf.DUMMYFUNCTION("""COMPUTED_VALUE"""),624)</f>
        <v>624</v>
      </c>
      <c r="L341" s="48">
        <f ca="1">IFERROR(__xludf.DUMMYFUNCTION("""COMPUTED_VALUE"""),624)</f>
        <v>624</v>
      </c>
      <c r="M341" s="48"/>
      <c r="N341" s="48" t="str">
        <f ca="1">IFERROR(__xludf.DUMMYFUNCTION("""COMPUTED_VALUE"""),"10 3 02 64080")</f>
        <v>10 3 02 64080</v>
      </c>
      <c r="O341" s="48">
        <f ca="1">IFERROR(__xludf.DUMMYFUNCTION("""COMPUTED_VALUE"""),522)</f>
        <v>522</v>
      </c>
      <c r="P341" s="24">
        <f t="shared" ref="P341:T341" si="348">SUM(V341,AB341,AH341,AN341,AT341,AZ341,BF341)</f>
        <v>21995.88</v>
      </c>
      <c r="Q341" s="24">
        <f t="shared" si="348"/>
        <v>0</v>
      </c>
      <c r="R341" s="24">
        <f t="shared" si="348"/>
        <v>0</v>
      </c>
      <c r="S341" s="24">
        <f t="shared" si="348"/>
        <v>18916.330000000002</v>
      </c>
      <c r="T341" s="24">
        <f t="shared" si="348"/>
        <v>3079.55</v>
      </c>
      <c r="U341" s="24"/>
      <c r="V341" s="24"/>
      <c r="W341" s="24"/>
      <c r="X341" s="24"/>
      <c r="Y341" s="24"/>
      <c r="Z341" s="24"/>
      <c r="AA341" s="24"/>
      <c r="AB341" s="24"/>
      <c r="AC341" s="50"/>
      <c r="AD341" s="50"/>
      <c r="AE341" s="50"/>
      <c r="AF341" s="50"/>
      <c r="AG341" s="50"/>
      <c r="AH341" s="50">
        <f t="shared" si="2"/>
        <v>4042.71</v>
      </c>
      <c r="AI341" s="50">
        <v>0</v>
      </c>
      <c r="AJ341" s="50">
        <v>0</v>
      </c>
      <c r="AK341" s="50">
        <v>3476.73</v>
      </c>
      <c r="AL341" s="50">
        <v>565.98</v>
      </c>
      <c r="AM341" s="50"/>
      <c r="AN341" s="24">
        <f t="shared" si="3"/>
        <v>17953.170000000002</v>
      </c>
      <c r="AO341" s="50">
        <v>0</v>
      </c>
      <c r="AP341" s="50">
        <v>0</v>
      </c>
      <c r="AQ341" s="50">
        <v>15439.6</v>
      </c>
      <c r="AR341" s="50">
        <v>2513.5700000000002</v>
      </c>
      <c r="AS341" s="50"/>
      <c r="AT341" s="50">
        <f t="shared" si="4"/>
        <v>0</v>
      </c>
      <c r="AU341" s="50">
        <v>0</v>
      </c>
      <c r="AV341" s="50">
        <v>0</v>
      </c>
      <c r="AW341" s="50">
        <v>0</v>
      </c>
      <c r="AX341" s="50">
        <v>0</v>
      </c>
      <c r="AY341" s="50"/>
      <c r="AZ341" s="50">
        <f t="shared" si="227"/>
        <v>0</v>
      </c>
      <c r="BA341" s="50">
        <v>0</v>
      </c>
      <c r="BB341" s="50">
        <v>0</v>
      </c>
      <c r="BC341" s="50">
        <v>0</v>
      </c>
      <c r="BD341" s="50">
        <v>0</v>
      </c>
      <c r="BE341" s="50"/>
      <c r="BF341" s="50">
        <f t="shared" si="6"/>
        <v>0</v>
      </c>
      <c r="BG341" s="50">
        <v>0</v>
      </c>
      <c r="BH341" s="50">
        <v>0</v>
      </c>
      <c r="BI341" s="50">
        <v>0</v>
      </c>
      <c r="BJ341" s="50">
        <v>0</v>
      </c>
      <c r="BK341" s="50"/>
      <c r="BL341" s="20"/>
    </row>
    <row r="342" spans="1:64" ht="84" x14ac:dyDescent="0.2">
      <c r="A342" s="69">
        <v>338</v>
      </c>
      <c r="B342" s="46" t="str">
        <f ca="1">IFERROR(__xludf.DUMMYFUNCTION("""COMPUTED_VALUE"""),"г.о. Серебряные Пруды")</f>
        <v>г.о. Серебряные Пруды</v>
      </c>
      <c r="C34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2" s="52" t="str">
        <f ca="1">IFERROR(__xludf.DUMMYFUNCTION("""COMPUTED_VALUE"""),"МинЖКХ ""ТОП 5 (1 этап)""")</f>
        <v>МинЖКХ "ТОП 5 (1 этап)"</v>
      </c>
      <c r="E342" s="45" t="s">
        <v>603</v>
      </c>
      <c r="F342" s="46" t="str">
        <f ca="1">IFERROR(__xludf.DUMMYFUNCTION("""COMPUTED_VALUE"""),"БМК")</f>
        <v>БМК</v>
      </c>
      <c r="G342" s="46" t="str">
        <f ca="1">IFERROR(__xludf.DUMMYFUNCTION("""COMPUTED_VALUE"""),"2020-2021")</f>
        <v>2020-2021</v>
      </c>
      <c r="H342" s="48" t="str">
        <f ca="1">IFERROR(__xludf.DUMMYFUNCTION("""COMPUTED_VALUE"""),"Предварительная дата выхода из МОГЭ 09.12.2020.")</f>
        <v>Предварительная дата выхода из МОГЭ 09.12.2020.</v>
      </c>
      <c r="I342" s="48" t="str">
        <f ca="1">IFERROR(__xludf.DUMMYFUNCTION("""COMPUTED_VALUE"""),"СМР")</f>
        <v>СМР</v>
      </c>
      <c r="J342" s="48"/>
      <c r="K342" s="48">
        <f ca="1">IFERROR(__xludf.DUMMYFUNCTION("""COMPUTED_VALUE"""),690)</f>
        <v>690</v>
      </c>
      <c r="L342" s="48">
        <f ca="1">IFERROR(__xludf.DUMMYFUNCTION("""COMPUTED_VALUE"""),690)</f>
        <v>690</v>
      </c>
      <c r="M342" s="48"/>
      <c r="N342" s="48" t="str">
        <f ca="1">IFERROR(__xludf.DUMMYFUNCTION("""COMPUTED_VALUE"""),"10 3 02 64080")</f>
        <v>10 3 02 64080</v>
      </c>
      <c r="O342" s="48">
        <f ca="1">IFERROR(__xludf.DUMMYFUNCTION("""COMPUTED_VALUE"""),522)</f>
        <v>522</v>
      </c>
      <c r="P342" s="24">
        <f t="shared" ref="P342:T342" si="349">SUM(V342,AB342,AH342,AN342,AT342,AZ342,BF342)</f>
        <v>20203.580000000002</v>
      </c>
      <c r="Q342" s="24">
        <f t="shared" si="349"/>
        <v>0</v>
      </c>
      <c r="R342" s="24">
        <f t="shared" si="349"/>
        <v>0</v>
      </c>
      <c r="S342" s="24">
        <f t="shared" si="349"/>
        <v>17375.080000000002</v>
      </c>
      <c r="T342" s="24">
        <f t="shared" si="349"/>
        <v>2828.5</v>
      </c>
      <c r="U342" s="24"/>
      <c r="V342" s="24"/>
      <c r="W342" s="24"/>
      <c r="X342" s="24"/>
      <c r="Y342" s="24"/>
      <c r="Z342" s="24"/>
      <c r="AA342" s="24"/>
      <c r="AB342" s="24"/>
      <c r="AC342" s="50"/>
      <c r="AD342" s="50"/>
      <c r="AE342" s="50"/>
      <c r="AF342" s="50"/>
      <c r="AG342" s="50"/>
      <c r="AH342" s="50">
        <f t="shared" si="2"/>
        <v>3771.76</v>
      </c>
      <c r="AI342" s="50">
        <v>0</v>
      </c>
      <c r="AJ342" s="50">
        <v>0</v>
      </c>
      <c r="AK342" s="50">
        <v>3243.71</v>
      </c>
      <c r="AL342" s="50">
        <v>528.04999999999995</v>
      </c>
      <c r="AM342" s="50"/>
      <c r="AN342" s="24">
        <f t="shared" si="3"/>
        <v>16431.82</v>
      </c>
      <c r="AO342" s="50">
        <v>0</v>
      </c>
      <c r="AP342" s="50">
        <v>0</v>
      </c>
      <c r="AQ342" s="50">
        <v>14131.37</v>
      </c>
      <c r="AR342" s="50">
        <v>2300.4499999999998</v>
      </c>
      <c r="AS342" s="50"/>
      <c r="AT342" s="50">
        <f t="shared" si="4"/>
        <v>0</v>
      </c>
      <c r="AU342" s="50">
        <v>0</v>
      </c>
      <c r="AV342" s="50">
        <v>0</v>
      </c>
      <c r="AW342" s="50">
        <v>0</v>
      </c>
      <c r="AX342" s="50">
        <v>0</v>
      </c>
      <c r="AY342" s="50"/>
      <c r="AZ342" s="50">
        <f t="shared" si="227"/>
        <v>0</v>
      </c>
      <c r="BA342" s="50">
        <v>0</v>
      </c>
      <c r="BB342" s="50">
        <v>0</v>
      </c>
      <c r="BC342" s="50">
        <v>0</v>
      </c>
      <c r="BD342" s="50">
        <v>0</v>
      </c>
      <c r="BE342" s="50"/>
      <c r="BF342" s="50">
        <f t="shared" si="6"/>
        <v>0</v>
      </c>
      <c r="BG342" s="50">
        <v>0</v>
      </c>
      <c r="BH342" s="50">
        <v>0</v>
      </c>
      <c r="BI342" s="50">
        <v>0</v>
      </c>
      <c r="BJ342" s="50">
        <v>0</v>
      </c>
      <c r="BK342" s="50"/>
      <c r="BL342" s="20"/>
    </row>
    <row r="343" spans="1:64" ht="84" x14ac:dyDescent="0.2">
      <c r="A343" s="69">
        <v>339</v>
      </c>
      <c r="B343" s="46" t="str">
        <f ca="1">IFERROR(__xludf.DUMMYFUNCTION("""COMPUTED_VALUE"""),"г.о. Серебряные Пруды")</f>
        <v>г.о. Серебряные Пруды</v>
      </c>
      <c r="C34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3" s="52" t="str">
        <f ca="1">IFERROR(__xludf.DUMMYFUNCTION("""COMPUTED_VALUE"""),"МинЖКХ ""ТОП 5 (1 этап)""")</f>
        <v>МинЖКХ "ТОП 5 (1 этап)"</v>
      </c>
      <c r="E343" s="45" t="s">
        <v>373</v>
      </c>
      <c r="F343" s="46" t="str">
        <f ca="1">IFERROR(__xludf.DUMMYFUNCTION("""COMPUTED_VALUE"""),"БМК")</f>
        <v>БМК</v>
      </c>
      <c r="G343" s="46" t="str">
        <f ca="1">IFERROR(__xludf.DUMMYFUNCTION("""COMPUTED_VALUE"""),"2020-2021")</f>
        <v>2020-2021</v>
      </c>
      <c r="H343" s="48" t="str">
        <f ca="1">IFERROR(__xludf.DUMMYFUNCTION("""COMPUTED_VALUE"""),"Предварительная дата выхода из МОГЭ 09.12.2020.")</f>
        <v>Предварительная дата выхода из МОГЭ 09.12.2020.</v>
      </c>
      <c r="I343" s="48" t="str">
        <f ca="1">IFERROR(__xludf.DUMMYFUNCTION("""COMPUTED_VALUE"""),"СМР")</f>
        <v>СМР</v>
      </c>
      <c r="J343" s="48"/>
      <c r="K343" s="48">
        <f ca="1">IFERROR(__xludf.DUMMYFUNCTION("""COMPUTED_VALUE"""),811)</f>
        <v>811</v>
      </c>
      <c r="L343" s="48">
        <f ca="1">IFERROR(__xludf.DUMMYFUNCTION("""COMPUTED_VALUE"""),811)</f>
        <v>811</v>
      </c>
      <c r="M343" s="48"/>
      <c r="N343" s="48" t="str">
        <f ca="1">IFERROR(__xludf.DUMMYFUNCTION("""COMPUTED_VALUE"""),"10 3 02 64080")</f>
        <v>10 3 02 64080</v>
      </c>
      <c r="O343" s="48">
        <f ca="1">IFERROR(__xludf.DUMMYFUNCTION("""COMPUTED_VALUE"""),522)</f>
        <v>522</v>
      </c>
      <c r="P343" s="24">
        <f t="shared" ref="P343:T343" si="350">SUM(V343,AB343,AH343,AN343,AT343,AZ343,BF343)</f>
        <v>24039.19</v>
      </c>
      <c r="Q343" s="24">
        <f t="shared" si="350"/>
        <v>0</v>
      </c>
      <c r="R343" s="24">
        <f t="shared" si="350"/>
        <v>0</v>
      </c>
      <c r="S343" s="24">
        <f t="shared" si="350"/>
        <v>20673.7</v>
      </c>
      <c r="T343" s="24">
        <f t="shared" si="350"/>
        <v>3365.49</v>
      </c>
      <c r="U343" s="24"/>
      <c r="V343" s="24"/>
      <c r="W343" s="24"/>
      <c r="X343" s="24"/>
      <c r="Y343" s="24"/>
      <c r="Z343" s="24"/>
      <c r="AA343" s="24"/>
      <c r="AB343" s="24"/>
      <c r="AC343" s="50"/>
      <c r="AD343" s="50"/>
      <c r="AE343" s="50"/>
      <c r="AF343" s="50"/>
      <c r="AG343" s="50"/>
      <c r="AH343" s="50">
        <f t="shared" si="2"/>
        <v>4673.78</v>
      </c>
      <c r="AI343" s="50">
        <v>0</v>
      </c>
      <c r="AJ343" s="50">
        <v>0</v>
      </c>
      <c r="AK343" s="50">
        <v>4019.45</v>
      </c>
      <c r="AL343" s="50">
        <v>654.33000000000004</v>
      </c>
      <c r="AM343" s="50"/>
      <c r="AN343" s="24">
        <f t="shared" si="3"/>
        <v>19365.41</v>
      </c>
      <c r="AO343" s="50">
        <v>0</v>
      </c>
      <c r="AP343" s="50">
        <v>0</v>
      </c>
      <c r="AQ343" s="50">
        <v>16654.25</v>
      </c>
      <c r="AR343" s="50">
        <v>2711.16</v>
      </c>
      <c r="AS343" s="50"/>
      <c r="AT343" s="50">
        <f t="shared" si="4"/>
        <v>0</v>
      </c>
      <c r="AU343" s="50">
        <v>0</v>
      </c>
      <c r="AV343" s="50">
        <v>0</v>
      </c>
      <c r="AW343" s="50">
        <v>0</v>
      </c>
      <c r="AX343" s="50">
        <v>0</v>
      </c>
      <c r="AY343" s="50"/>
      <c r="AZ343" s="50">
        <f t="shared" si="227"/>
        <v>0</v>
      </c>
      <c r="BA343" s="50">
        <v>0</v>
      </c>
      <c r="BB343" s="50">
        <v>0</v>
      </c>
      <c r="BC343" s="50">
        <v>0</v>
      </c>
      <c r="BD343" s="50">
        <v>0</v>
      </c>
      <c r="BE343" s="50"/>
      <c r="BF343" s="50">
        <f t="shared" si="6"/>
        <v>0</v>
      </c>
      <c r="BG343" s="50">
        <v>0</v>
      </c>
      <c r="BH343" s="50">
        <v>0</v>
      </c>
      <c r="BI343" s="50">
        <v>0</v>
      </c>
      <c r="BJ343" s="50">
        <v>0</v>
      </c>
      <c r="BK343" s="50"/>
      <c r="BL343" s="20"/>
    </row>
    <row r="344" spans="1:64" ht="96" x14ac:dyDescent="0.2">
      <c r="A344" s="69">
        <v>340</v>
      </c>
      <c r="B344" s="46" t="str">
        <f ca="1">IFERROR(__xludf.DUMMYFUNCTION("""COMPUTED_VALUE"""),"г.о. Солнечногорск")</f>
        <v>г.о. Солнечногорск</v>
      </c>
      <c r="C344"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44" s="46" t="str">
        <f ca="1">IFERROR(__xludf.DUMMYFUNCTION("""COMPUTED_VALUE"""),"МинЖКХ")</f>
        <v>МинЖКХ</v>
      </c>
      <c r="E344" s="45" t="s">
        <v>374</v>
      </c>
      <c r="F344" s="46" t="str">
        <f ca="1">IFERROR(__xludf.DUMMYFUNCTION("""COMPUTED_VALUE"""),"Котельная")</f>
        <v>Котельная</v>
      </c>
      <c r="G344" s="46">
        <f ca="1">IFERROR(__xludf.DUMMYFUNCTION("""COMPUTED_VALUE"""),2020)</f>
        <v>2020</v>
      </c>
      <c r="H344" s="48" t="str">
        <f ca="1">IFERROR(__xludf.DUMMYFUNCTION("""COMPUTED_VALUE""")," 1. Проводятся работы по  восстановлению аварийной пристройки котельной силами РСО МКП ""ИКЖКХ"".   2.Ведутся работы по отделке фасада здания        ")</f>
        <v xml:space="preserve"> 1. Проводятся работы по  восстановлению аварийной пристройки котельной силами РСО МКП "ИКЖКХ".   2.Ведутся работы по отделке фасада здания        </v>
      </c>
      <c r="I344" s="48" t="str">
        <f ca="1">IFERROR(__xludf.DUMMYFUNCTION("""COMPUTED_VALUE"""),"СМР")</f>
        <v>СМР</v>
      </c>
      <c r="J344" s="48">
        <f ca="1">IFERROR(__xludf.DUMMYFUNCTION("""COMPUTED_VALUE"""),32)</f>
        <v>32</v>
      </c>
      <c r="K344" s="48">
        <f ca="1">IFERROR(__xludf.DUMMYFUNCTION("""COMPUTED_VALUE"""),770)</f>
        <v>770</v>
      </c>
      <c r="L344" s="48">
        <f ca="1">IFERROR(__xludf.DUMMYFUNCTION("""COMPUTED_VALUE"""),770)</f>
        <v>770</v>
      </c>
      <c r="M344" s="48"/>
      <c r="N344" s="48" t="str">
        <f ca="1">IFERROR(__xludf.DUMMYFUNCTION("""COMPUTED_VALUE"""),"10 3 02 60320")</f>
        <v>10 3 02 60320</v>
      </c>
      <c r="O344" s="48">
        <f ca="1">IFERROR(__xludf.DUMMYFUNCTION("""COMPUTED_VALUE"""),521)</f>
        <v>521</v>
      </c>
      <c r="P344" s="24">
        <f t="shared" ref="P344:T344" si="351">SUM(V344,AB344,AH344,AN344,AT344,AZ344,BF344)</f>
        <v>9700</v>
      </c>
      <c r="Q344" s="24">
        <f t="shared" si="351"/>
        <v>0</v>
      </c>
      <c r="R344" s="24">
        <f t="shared" si="351"/>
        <v>7226</v>
      </c>
      <c r="S344" s="24">
        <f t="shared" si="351"/>
        <v>0</v>
      </c>
      <c r="T344" s="24">
        <f t="shared" si="351"/>
        <v>2474</v>
      </c>
      <c r="U344" s="24"/>
      <c r="V344" s="20"/>
      <c r="W344" s="20"/>
      <c r="X344" s="20"/>
      <c r="Y344" s="20"/>
      <c r="Z344" s="20"/>
      <c r="AA344" s="20"/>
      <c r="AB344" s="20"/>
      <c r="AC344" s="24"/>
      <c r="AD344" s="24"/>
      <c r="AE344" s="24"/>
      <c r="AF344" s="24"/>
      <c r="AG344" s="24"/>
      <c r="AH344" s="50">
        <f t="shared" si="2"/>
        <v>9700</v>
      </c>
      <c r="AI344" s="50">
        <v>0</v>
      </c>
      <c r="AJ344" s="50">
        <v>7226</v>
      </c>
      <c r="AK344" s="50">
        <v>0</v>
      </c>
      <c r="AL344" s="50">
        <v>2474</v>
      </c>
      <c r="AM344" s="50"/>
      <c r="AN344" s="24">
        <f t="shared" si="3"/>
        <v>0</v>
      </c>
      <c r="AO344" s="50">
        <v>0</v>
      </c>
      <c r="AP344" s="50">
        <v>0</v>
      </c>
      <c r="AQ344" s="50">
        <v>0</v>
      </c>
      <c r="AR344" s="50">
        <v>0</v>
      </c>
      <c r="AS344" s="50"/>
      <c r="AT344" s="50">
        <f t="shared" si="4"/>
        <v>0</v>
      </c>
      <c r="AU344" s="50">
        <v>0</v>
      </c>
      <c r="AV344" s="50">
        <v>0</v>
      </c>
      <c r="AW344" s="50">
        <v>0</v>
      </c>
      <c r="AX344" s="50">
        <v>0</v>
      </c>
      <c r="AY344" s="50"/>
      <c r="AZ344" s="50">
        <f t="shared" si="227"/>
        <v>0</v>
      </c>
      <c r="BA344" s="50">
        <v>0</v>
      </c>
      <c r="BB344" s="50">
        <v>0</v>
      </c>
      <c r="BC344" s="50">
        <v>0</v>
      </c>
      <c r="BD344" s="50">
        <v>0</v>
      </c>
      <c r="BE344" s="50"/>
      <c r="BF344" s="50">
        <f t="shared" si="6"/>
        <v>0</v>
      </c>
      <c r="BG344" s="50">
        <v>0</v>
      </c>
      <c r="BH344" s="50">
        <v>0</v>
      </c>
      <c r="BI344" s="50">
        <v>0</v>
      </c>
      <c r="BJ344" s="50">
        <v>0</v>
      </c>
      <c r="BK344" s="50"/>
      <c r="BL344" s="20"/>
    </row>
    <row r="345" spans="1:64" ht="96" x14ac:dyDescent="0.2">
      <c r="A345" s="69">
        <v>341</v>
      </c>
      <c r="B345" s="46" t="str">
        <f ca="1">IFERROR(__xludf.DUMMYFUNCTION("""COMPUTED_VALUE"""),"г.о. Солнечногорск")</f>
        <v>г.о. Солнечногорск</v>
      </c>
      <c r="C345"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345" s="46" t="str">
        <f ca="1">IFERROR(__xludf.DUMMYFUNCTION("""COMPUTED_VALUE"""),"МинЖКХ")</f>
        <v>МинЖКХ</v>
      </c>
      <c r="E345" s="45" t="s">
        <v>375</v>
      </c>
      <c r="F345" s="46" t="str">
        <f ca="1">IFERROR(__xludf.DUMMYFUNCTION("""COMPUTED_VALUE"""),"Сети")</f>
        <v>Сети</v>
      </c>
      <c r="G345" s="46">
        <f ca="1">IFERROR(__xludf.DUMMYFUNCTION("""COMPUTED_VALUE"""),2020)</f>
        <v>2020</v>
      </c>
      <c r="H345" s="48" t="str">
        <f ca="1">IFERROR(__xludf.DUMMYFUNCTION("""COMPUTED_VALUE"""),"Работы выполнены в полном объеме. Произведена оплата части финансирования из бюджета го Солнечногорск. 05.10.2020 г. направлена заявка на предоставление субсии из бюджета МО. Заявка отклонена.")</f>
        <v>Работы выполнены в полном объеме. Произведена оплата части финансирования из бюджета го Солнечногорск. 05.10.2020 г. направлена заявка на предоставление субсии из бюджета МО. Заявка отклонена.</v>
      </c>
      <c r="I345" s="48" t="str">
        <f ca="1">IFERROR(__xludf.DUMMYFUNCTION("""COMPUTED_VALUE"""),"СМР")</f>
        <v>СМР</v>
      </c>
      <c r="J345" s="48">
        <f ca="1">IFERROR(__xludf.DUMMYFUNCTION("""COMPUTED_VALUE"""),100)</f>
        <v>100</v>
      </c>
      <c r="K345" s="48">
        <f ca="1">IFERROR(__xludf.DUMMYFUNCTION("""COMPUTED_VALUE"""),770)</f>
        <v>770</v>
      </c>
      <c r="L345" s="48">
        <f ca="1">IFERROR(__xludf.DUMMYFUNCTION("""COMPUTED_VALUE"""),770)</f>
        <v>770</v>
      </c>
      <c r="M345" s="48"/>
      <c r="N345" s="48" t="str">
        <f ca="1">IFERROR(__xludf.DUMMYFUNCTION("""COMPUTED_VALUE"""),"10 3 02 60320")</f>
        <v>10 3 02 60320</v>
      </c>
      <c r="O345" s="48">
        <f ca="1">IFERROR(__xludf.DUMMYFUNCTION("""COMPUTED_VALUE"""),521)</f>
        <v>521</v>
      </c>
      <c r="P345" s="24">
        <f t="shared" ref="P345:T345" si="352">SUM(V345,AB345,AH345,AN345,AT345,AZ345,BF345)</f>
        <v>27033.43</v>
      </c>
      <c r="Q345" s="24">
        <f t="shared" si="352"/>
        <v>0</v>
      </c>
      <c r="R345" s="24">
        <f t="shared" si="352"/>
        <v>19816</v>
      </c>
      <c r="S345" s="24">
        <f t="shared" si="352"/>
        <v>0</v>
      </c>
      <c r="T345" s="24">
        <f t="shared" si="352"/>
        <v>7217.43</v>
      </c>
      <c r="U345" s="24"/>
      <c r="V345" s="20"/>
      <c r="W345" s="20"/>
      <c r="X345" s="20"/>
      <c r="Y345" s="20"/>
      <c r="Z345" s="20"/>
      <c r="AA345" s="20"/>
      <c r="AB345" s="20"/>
      <c r="AC345" s="24"/>
      <c r="AD345" s="24"/>
      <c r="AE345" s="24"/>
      <c r="AF345" s="24"/>
      <c r="AG345" s="24"/>
      <c r="AH345" s="50">
        <f t="shared" si="2"/>
        <v>27033.43</v>
      </c>
      <c r="AI345" s="50">
        <v>0</v>
      </c>
      <c r="AJ345" s="50">
        <v>19816</v>
      </c>
      <c r="AK345" s="50">
        <v>0</v>
      </c>
      <c r="AL345" s="50">
        <v>7217.43</v>
      </c>
      <c r="AM345" s="50"/>
      <c r="AN345" s="24">
        <f t="shared" si="3"/>
        <v>0</v>
      </c>
      <c r="AO345" s="50">
        <v>0</v>
      </c>
      <c r="AP345" s="50">
        <v>0</v>
      </c>
      <c r="AQ345" s="50">
        <v>0</v>
      </c>
      <c r="AR345" s="50">
        <v>0</v>
      </c>
      <c r="AS345" s="50"/>
      <c r="AT345" s="50">
        <f t="shared" si="4"/>
        <v>0</v>
      </c>
      <c r="AU345" s="50">
        <v>0</v>
      </c>
      <c r="AV345" s="50">
        <v>0</v>
      </c>
      <c r="AW345" s="50">
        <v>0</v>
      </c>
      <c r="AX345" s="50">
        <v>0</v>
      </c>
      <c r="AY345" s="50"/>
      <c r="AZ345" s="50">
        <f t="shared" si="227"/>
        <v>0</v>
      </c>
      <c r="BA345" s="50">
        <v>0</v>
      </c>
      <c r="BB345" s="50">
        <v>0</v>
      </c>
      <c r="BC345" s="50">
        <v>0</v>
      </c>
      <c r="BD345" s="50">
        <v>0</v>
      </c>
      <c r="BE345" s="50"/>
      <c r="BF345" s="50">
        <f t="shared" si="6"/>
        <v>0</v>
      </c>
      <c r="BG345" s="50">
        <v>0</v>
      </c>
      <c r="BH345" s="50">
        <v>0</v>
      </c>
      <c r="BI345" s="50">
        <v>0</v>
      </c>
      <c r="BJ345" s="50">
        <v>0</v>
      </c>
      <c r="BK345" s="50"/>
      <c r="BL345" s="20"/>
    </row>
    <row r="346" spans="1:64" ht="84" x14ac:dyDescent="0.2">
      <c r="A346" s="69">
        <v>342</v>
      </c>
      <c r="B346" s="48" t="str">
        <f ca="1">IFERROR(__xludf.DUMMYFUNCTION("""COMPUTED_VALUE"""),"г.о. Наро-Фоминск")</f>
        <v>г.о. Наро-Фоминск</v>
      </c>
      <c r="C34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6" s="52" t="str">
        <f ca="1">IFERROR(__xludf.DUMMYFUNCTION("""COMPUTED_VALUE"""),"МинЖКХ ""ТОП 5 (2 этап)""")</f>
        <v>МинЖКХ "ТОП 5 (2 этап)"</v>
      </c>
      <c r="E346" s="45" t="s">
        <v>376</v>
      </c>
      <c r="F346" s="46" t="str">
        <f ca="1">IFERROR(__xludf.DUMMYFUNCTION("""COMPUTED_VALUE"""),"Котельная")</f>
        <v>Котельная</v>
      </c>
      <c r="G346" s="46" t="str">
        <f ca="1">IFERROR(__xludf.DUMMYFUNCTION("""COMPUTED_VALUE"""),"2021-2022")</f>
        <v>2021-2022</v>
      </c>
      <c r="H346" s="48"/>
      <c r="I346" s="48" t="str">
        <f ca="1">IFERROR(__xludf.DUMMYFUNCTION("""COMPUTED_VALUE"""),"СМР")</f>
        <v>СМР</v>
      </c>
      <c r="J346" s="48"/>
      <c r="K346" s="48"/>
      <c r="L346" s="48"/>
      <c r="M346" s="48"/>
      <c r="N346" s="48" t="str">
        <f ca="1">IFERROR(__xludf.DUMMYFUNCTION("""COMPUTED_VALUE"""),"10 3 02 64080")</f>
        <v>10 3 02 64080</v>
      </c>
      <c r="O346" s="48">
        <f ca="1">IFERROR(__xludf.DUMMYFUNCTION("""COMPUTED_VALUE"""),522)</f>
        <v>522</v>
      </c>
      <c r="P346" s="24">
        <f t="shared" ref="P346:T346" si="353">SUM(V346,AB346,AH346,AN346,AT346,AZ346,BF346)</f>
        <v>202500</v>
      </c>
      <c r="Q346" s="24">
        <f t="shared" si="353"/>
        <v>0</v>
      </c>
      <c r="R346" s="24">
        <f t="shared" si="353"/>
        <v>153697.5</v>
      </c>
      <c r="S346" s="24">
        <f t="shared" si="353"/>
        <v>0</v>
      </c>
      <c r="T346" s="24">
        <f t="shared" si="353"/>
        <v>48802.5</v>
      </c>
      <c r="U346" s="24"/>
      <c r="V346" s="24"/>
      <c r="W346" s="24"/>
      <c r="X346" s="24"/>
      <c r="Y346" s="24"/>
      <c r="Z346" s="24"/>
      <c r="AA346" s="24"/>
      <c r="AB346" s="24"/>
      <c r="AC346" s="50"/>
      <c r="AD346" s="50"/>
      <c r="AE346" s="50"/>
      <c r="AF346" s="50"/>
      <c r="AG346" s="50"/>
      <c r="AH346" s="50">
        <f t="shared" si="2"/>
        <v>0</v>
      </c>
      <c r="AI346" s="50">
        <v>0</v>
      </c>
      <c r="AJ346" s="50">
        <v>0</v>
      </c>
      <c r="AK346" s="50">
        <v>0</v>
      </c>
      <c r="AL346" s="50">
        <v>0</v>
      </c>
      <c r="AM346" s="50"/>
      <c r="AN346" s="24">
        <f t="shared" si="3"/>
        <v>33661.99</v>
      </c>
      <c r="AO346" s="50">
        <v>0</v>
      </c>
      <c r="AP346" s="50">
        <v>25549.45</v>
      </c>
      <c r="AQ346" s="50">
        <v>0</v>
      </c>
      <c r="AR346" s="50">
        <v>8112.54</v>
      </c>
      <c r="AS346" s="50"/>
      <c r="AT346" s="50">
        <f t="shared" si="4"/>
        <v>168838.01</v>
      </c>
      <c r="AU346" s="50">
        <v>0</v>
      </c>
      <c r="AV346" s="50">
        <v>128148.05</v>
      </c>
      <c r="AW346" s="50">
        <v>0</v>
      </c>
      <c r="AX346" s="50">
        <v>40689.96</v>
      </c>
      <c r="AY346" s="50"/>
      <c r="AZ346" s="50">
        <f t="shared" si="227"/>
        <v>0</v>
      </c>
      <c r="BA346" s="50">
        <v>0</v>
      </c>
      <c r="BB346" s="50">
        <v>0</v>
      </c>
      <c r="BC346" s="50">
        <v>0</v>
      </c>
      <c r="BD346" s="50">
        <v>0</v>
      </c>
      <c r="BE346" s="50"/>
      <c r="BF346" s="50">
        <f t="shared" si="6"/>
        <v>0</v>
      </c>
      <c r="BG346" s="50">
        <v>0</v>
      </c>
      <c r="BH346" s="50">
        <v>0</v>
      </c>
      <c r="BI346" s="50">
        <v>0</v>
      </c>
      <c r="BJ346" s="50">
        <v>0</v>
      </c>
      <c r="BK346" s="50"/>
      <c r="BL346" s="20"/>
    </row>
    <row r="347" spans="1:64" ht="84" x14ac:dyDescent="0.2">
      <c r="A347" s="69">
        <v>343</v>
      </c>
      <c r="B347" s="48" t="str">
        <f ca="1">IFERROR(__xludf.DUMMYFUNCTION("""COMPUTED_VALUE"""),"г.о. Наро-Фоминск")</f>
        <v>г.о. Наро-Фоминск</v>
      </c>
      <c r="C34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7" s="52" t="str">
        <f ca="1">IFERROR(__xludf.DUMMYFUNCTION("""COMPUTED_VALUE"""),"МинЖКХ ""ТОП 5 (2 этап)""")</f>
        <v>МинЖКХ "ТОП 5 (2 этап)"</v>
      </c>
      <c r="E347" s="45" t="s">
        <v>377</v>
      </c>
      <c r="F347" s="46" t="str">
        <f ca="1">IFERROR(__xludf.DUMMYFUNCTION("""COMPUTED_VALUE"""),"Котельная")</f>
        <v>Котельная</v>
      </c>
      <c r="G347" s="46">
        <f ca="1">IFERROR(__xludf.DUMMYFUNCTION("""COMPUTED_VALUE"""),2021)</f>
        <v>2021</v>
      </c>
      <c r="H347" s="48"/>
      <c r="I347" s="48" t="str">
        <f ca="1">IFERROR(__xludf.DUMMYFUNCTION("""COMPUTED_VALUE"""),"СМР")</f>
        <v>СМР</v>
      </c>
      <c r="J347" s="48"/>
      <c r="K347" s="48"/>
      <c r="L347" s="48"/>
      <c r="M347" s="48"/>
      <c r="N347" s="48"/>
      <c r="O347" s="48"/>
      <c r="P347" s="24">
        <f t="shared" ref="P347:T347" si="354">SUM(V347,AB347,AH347,AN347,AT347,AZ347,BF347)</f>
        <v>9200</v>
      </c>
      <c r="Q347" s="24">
        <f t="shared" si="354"/>
        <v>0</v>
      </c>
      <c r="R347" s="24">
        <f t="shared" si="354"/>
        <v>6982.8</v>
      </c>
      <c r="S347" s="24">
        <f t="shared" si="354"/>
        <v>0</v>
      </c>
      <c r="T347" s="24">
        <f t="shared" si="354"/>
        <v>2217.1999999999998</v>
      </c>
      <c r="U347" s="24"/>
      <c r="V347" s="24"/>
      <c r="W347" s="24"/>
      <c r="X347" s="24"/>
      <c r="Y347" s="24"/>
      <c r="Z347" s="24"/>
      <c r="AA347" s="24"/>
      <c r="AB347" s="24"/>
      <c r="AC347" s="50"/>
      <c r="AD347" s="50"/>
      <c r="AE347" s="50"/>
      <c r="AF347" s="50"/>
      <c r="AG347" s="50"/>
      <c r="AH347" s="50">
        <f t="shared" si="2"/>
        <v>0</v>
      </c>
      <c r="AI347" s="50">
        <v>0</v>
      </c>
      <c r="AJ347" s="50">
        <v>0</v>
      </c>
      <c r="AK347" s="50">
        <v>0</v>
      </c>
      <c r="AL347" s="50">
        <v>0</v>
      </c>
      <c r="AM347" s="50"/>
      <c r="AN347" s="24">
        <f t="shared" si="3"/>
        <v>9200</v>
      </c>
      <c r="AO347" s="50">
        <v>0</v>
      </c>
      <c r="AP347" s="50">
        <v>6982.8</v>
      </c>
      <c r="AQ347" s="50">
        <v>0</v>
      </c>
      <c r="AR347" s="50">
        <v>2217.1999999999998</v>
      </c>
      <c r="AS347" s="50"/>
      <c r="AT347" s="50">
        <f t="shared" si="4"/>
        <v>0</v>
      </c>
      <c r="AU347" s="50">
        <v>0</v>
      </c>
      <c r="AV347" s="50">
        <v>0</v>
      </c>
      <c r="AW347" s="50">
        <v>0</v>
      </c>
      <c r="AX347" s="50">
        <v>0</v>
      </c>
      <c r="AY347" s="50"/>
      <c r="AZ347" s="50">
        <f t="shared" si="227"/>
        <v>0</v>
      </c>
      <c r="BA347" s="50">
        <v>0</v>
      </c>
      <c r="BB347" s="50">
        <v>0</v>
      </c>
      <c r="BC347" s="50">
        <v>0</v>
      </c>
      <c r="BD347" s="50">
        <v>0</v>
      </c>
      <c r="BE347" s="50"/>
      <c r="BF347" s="50">
        <f t="shared" si="6"/>
        <v>0</v>
      </c>
      <c r="BG347" s="50">
        <v>0</v>
      </c>
      <c r="BH347" s="50">
        <v>0</v>
      </c>
      <c r="BI347" s="50">
        <v>0</v>
      </c>
      <c r="BJ347" s="50">
        <v>0</v>
      </c>
      <c r="BK347" s="50"/>
      <c r="BL347" s="20"/>
    </row>
    <row r="348" spans="1:64" ht="84" x14ac:dyDescent="0.2">
      <c r="A348" s="69">
        <v>344</v>
      </c>
      <c r="B348" s="48" t="str">
        <f ca="1">IFERROR(__xludf.DUMMYFUNCTION("""COMPUTED_VALUE"""),"г.о. Наро-Фоминск")</f>
        <v>г.о. Наро-Фоминск</v>
      </c>
      <c r="C34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8" s="52" t="str">
        <f ca="1">IFERROR(__xludf.DUMMYFUNCTION("""COMPUTED_VALUE"""),"МинЖКХ ""ТОП 5 (2 этап)""")</f>
        <v>МинЖКХ "ТОП 5 (2 этап)"</v>
      </c>
      <c r="E348" s="45" t="s">
        <v>378</v>
      </c>
      <c r="F348" s="46" t="str">
        <f ca="1">IFERROR(__xludf.DUMMYFUNCTION("""COMPUTED_VALUE"""),"Котельная")</f>
        <v>Котельная</v>
      </c>
      <c r="G348" s="46">
        <f ca="1">IFERROR(__xludf.DUMMYFUNCTION("""COMPUTED_VALUE"""),2021)</f>
        <v>2021</v>
      </c>
      <c r="H348" s="48"/>
      <c r="I348" s="48" t="str">
        <f ca="1">IFERROR(__xludf.DUMMYFUNCTION("""COMPUTED_VALUE"""),"СМР")</f>
        <v>СМР</v>
      </c>
      <c r="J348" s="48"/>
      <c r="K348" s="48"/>
      <c r="L348" s="48"/>
      <c r="M348" s="48"/>
      <c r="N348" s="48"/>
      <c r="O348" s="48"/>
      <c r="P348" s="24">
        <f t="shared" ref="P348:T348" si="355">SUM(V348,AB348,AH348,AN348,AT348,AZ348,BF348)</f>
        <v>20200</v>
      </c>
      <c r="Q348" s="24">
        <f t="shared" si="355"/>
        <v>0</v>
      </c>
      <c r="R348" s="24">
        <f t="shared" si="355"/>
        <v>15331.8</v>
      </c>
      <c r="S348" s="24">
        <f t="shared" si="355"/>
        <v>0</v>
      </c>
      <c r="T348" s="24">
        <f t="shared" si="355"/>
        <v>4868.2</v>
      </c>
      <c r="U348" s="24"/>
      <c r="V348" s="24"/>
      <c r="W348" s="24"/>
      <c r="X348" s="24"/>
      <c r="Y348" s="24"/>
      <c r="Z348" s="24"/>
      <c r="AA348" s="24"/>
      <c r="AB348" s="24"/>
      <c r="AC348" s="50"/>
      <c r="AD348" s="50"/>
      <c r="AE348" s="50"/>
      <c r="AF348" s="50"/>
      <c r="AG348" s="50"/>
      <c r="AH348" s="50">
        <f t="shared" si="2"/>
        <v>0</v>
      </c>
      <c r="AI348" s="50">
        <v>0</v>
      </c>
      <c r="AJ348" s="50">
        <v>0</v>
      </c>
      <c r="AK348" s="50">
        <v>0</v>
      </c>
      <c r="AL348" s="50">
        <v>0</v>
      </c>
      <c r="AM348" s="50"/>
      <c r="AN348" s="24">
        <f t="shared" si="3"/>
        <v>20200</v>
      </c>
      <c r="AO348" s="50">
        <v>0</v>
      </c>
      <c r="AP348" s="50">
        <v>15331.8</v>
      </c>
      <c r="AQ348" s="50">
        <v>0</v>
      </c>
      <c r="AR348" s="50">
        <v>4868.2</v>
      </c>
      <c r="AS348" s="50"/>
      <c r="AT348" s="50">
        <f t="shared" si="4"/>
        <v>0</v>
      </c>
      <c r="AU348" s="50">
        <v>0</v>
      </c>
      <c r="AV348" s="50">
        <v>0</v>
      </c>
      <c r="AW348" s="50">
        <v>0</v>
      </c>
      <c r="AX348" s="50">
        <v>0</v>
      </c>
      <c r="AY348" s="50"/>
      <c r="AZ348" s="50">
        <f t="shared" si="227"/>
        <v>0</v>
      </c>
      <c r="BA348" s="50">
        <v>0</v>
      </c>
      <c r="BB348" s="50">
        <v>0</v>
      </c>
      <c r="BC348" s="50">
        <v>0</v>
      </c>
      <c r="BD348" s="50">
        <v>0</v>
      </c>
      <c r="BE348" s="50"/>
      <c r="BF348" s="50">
        <f t="shared" si="6"/>
        <v>0</v>
      </c>
      <c r="BG348" s="50">
        <v>0</v>
      </c>
      <c r="BH348" s="50">
        <v>0</v>
      </c>
      <c r="BI348" s="50">
        <v>0</v>
      </c>
      <c r="BJ348" s="50">
        <v>0</v>
      </c>
      <c r="BK348" s="50"/>
      <c r="BL348" s="20"/>
    </row>
    <row r="349" spans="1:64" ht="84" x14ac:dyDescent="0.2">
      <c r="A349" s="69">
        <v>345</v>
      </c>
      <c r="B349" s="48" t="str">
        <f ca="1">IFERROR(__xludf.DUMMYFUNCTION("""COMPUTED_VALUE"""),"г.о. Шаховская")</f>
        <v>г.о. Шаховская</v>
      </c>
      <c r="C34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49" s="52" t="str">
        <f ca="1">IFERROR(__xludf.DUMMYFUNCTION("""COMPUTED_VALUE"""),"МинЖКХ ""ТОП 5 (2 этап)""")</f>
        <v>МинЖКХ "ТОП 5 (2 этап)"</v>
      </c>
      <c r="E349" s="45" t="s">
        <v>379</v>
      </c>
      <c r="F349" s="46" t="str">
        <f ca="1">IFERROR(__xludf.DUMMYFUNCTION("""COMPUTED_VALUE"""),"Котельная")</f>
        <v>Котельная</v>
      </c>
      <c r="G349" s="46" t="str">
        <f ca="1">IFERROR(__xludf.DUMMYFUNCTION("""COMPUTED_VALUE"""),"2021-2022")</f>
        <v>2021-2022</v>
      </c>
      <c r="H349" s="48"/>
      <c r="I349" s="48" t="str">
        <f ca="1">IFERROR(__xludf.DUMMYFUNCTION("""COMPUTED_VALUE"""),"СМР")</f>
        <v>СМР</v>
      </c>
      <c r="J349" s="48"/>
      <c r="K349" s="48"/>
      <c r="L349" s="48"/>
      <c r="M349" s="48"/>
      <c r="N349" s="48" t="str">
        <f ca="1">IFERROR(__xludf.DUMMYFUNCTION("""COMPUTED_VALUE"""),"10 3 02 64080")</f>
        <v>10 3 02 64080</v>
      </c>
      <c r="O349" s="48">
        <f ca="1">IFERROR(__xludf.DUMMYFUNCTION("""COMPUTED_VALUE"""),522)</f>
        <v>522</v>
      </c>
      <c r="P349" s="24">
        <f t="shared" ref="P349:T349" si="356">SUM(V349,AB349,AH349,AN349,AT349,AZ349,BF349)</f>
        <v>44266.8</v>
      </c>
      <c r="Q349" s="24">
        <f t="shared" si="356"/>
        <v>0</v>
      </c>
      <c r="R349" s="24">
        <f t="shared" si="356"/>
        <v>39574.51</v>
      </c>
      <c r="S349" s="24">
        <f t="shared" si="356"/>
        <v>0</v>
      </c>
      <c r="T349" s="24">
        <f t="shared" si="356"/>
        <v>4692.29</v>
      </c>
      <c r="U349" s="24"/>
      <c r="V349" s="24"/>
      <c r="W349" s="24"/>
      <c r="X349" s="24"/>
      <c r="Y349" s="24"/>
      <c r="Z349" s="24"/>
      <c r="AA349" s="24"/>
      <c r="AB349" s="24"/>
      <c r="AC349" s="50"/>
      <c r="AD349" s="50"/>
      <c r="AE349" s="50"/>
      <c r="AF349" s="50"/>
      <c r="AG349" s="50"/>
      <c r="AH349" s="50">
        <f t="shared" si="2"/>
        <v>0</v>
      </c>
      <c r="AI349" s="50">
        <v>0</v>
      </c>
      <c r="AJ349" s="50">
        <v>0</v>
      </c>
      <c r="AK349" s="50">
        <v>0</v>
      </c>
      <c r="AL349" s="50">
        <v>0</v>
      </c>
      <c r="AM349" s="50"/>
      <c r="AN349" s="24">
        <f t="shared" si="3"/>
        <v>17706.8</v>
      </c>
      <c r="AO349" s="50">
        <v>0</v>
      </c>
      <c r="AP349" s="50">
        <v>15829.88</v>
      </c>
      <c r="AQ349" s="50">
        <v>0</v>
      </c>
      <c r="AR349" s="50">
        <v>1876.92</v>
      </c>
      <c r="AS349" s="50"/>
      <c r="AT349" s="50">
        <f t="shared" si="4"/>
        <v>26560</v>
      </c>
      <c r="AU349" s="50">
        <v>0</v>
      </c>
      <c r="AV349" s="50">
        <v>23744.63</v>
      </c>
      <c r="AW349" s="50">
        <v>0</v>
      </c>
      <c r="AX349" s="50">
        <v>2815.37</v>
      </c>
      <c r="AY349" s="50"/>
      <c r="AZ349" s="50">
        <f t="shared" si="227"/>
        <v>0</v>
      </c>
      <c r="BA349" s="50">
        <v>0</v>
      </c>
      <c r="BB349" s="50">
        <v>0</v>
      </c>
      <c r="BC349" s="50">
        <v>0</v>
      </c>
      <c r="BD349" s="50">
        <v>0</v>
      </c>
      <c r="BE349" s="50"/>
      <c r="BF349" s="50">
        <f t="shared" si="6"/>
        <v>0</v>
      </c>
      <c r="BG349" s="50">
        <v>0</v>
      </c>
      <c r="BH349" s="50">
        <v>0</v>
      </c>
      <c r="BI349" s="50">
        <v>0</v>
      </c>
      <c r="BJ349" s="50">
        <v>0</v>
      </c>
      <c r="BK349" s="50"/>
      <c r="BL349" s="20"/>
    </row>
    <row r="350" spans="1:64" ht="30.75" customHeight="1" x14ac:dyDescent="0.2">
      <c r="A350" s="69">
        <v>346</v>
      </c>
      <c r="B350" s="48" t="str">
        <f ca="1">IFERROR(__xludf.DUMMYFUNCTION("""COMPUTED_VALUE"""),"г.о. Талдомский")</f>
        <v>г.о. Талдомский</v>
      </c>
      <c r="C35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0" s="52" t="str">
        <f ca="1">IFERROR(__xludf.DUMMYFUNCTION("""COMPUTED_VALUE"""),"МинЖКХ ""ТОП 5 (2 этап)""")</f>
        <v>МинЖКХ "ТОП 5 (2 этап)"</v>
      </c>
      <c r="E350" s="45" t="s">
        <v>380</v>
      </c>
      <c r="F350" s="46" t="str">
        <f ca="1">IFERROR(__xludf.DUMMYFUNCTION("""COMPUTED_VALUE"""),"Котельная")</f>
        <v>Котельная</v>
      </c>
      <c r="G350" s="46" t="str">
        <f ca="1">IFERROR(__xludf.DUMMYFUNCTION("""COMPUTED_VALUE"""),"2023-2024")</f>
        <v>2023-2024</v>
      </c>
      <c r="H350" s="48"/>
      <c r="I350" s="48" t="str">
        <f ca="1">IFERROR(__xludf.DUMMYFUNCTION("""COMPUTED_VALUE"""),"СМР")</f>
        <v>СМР</v>
      </c>
      <c r="J350" s="48"/>
      <c r="K350" s="48"/>
      <c r="L350" s="48"/>
      <c r="M350" s="48"/>
      <c r="N350" s="48" t="str">
        <f ca="1">IFERROR(__xludf.DUMMYFUNCTION("""COMPUTED_VALUE"""),"10 3 02 64080")</f>
        <v>10 3 02 64080</v>
      </c>
      <c r="O350" s="48">
        <f ca="1">IFERROR(__xludf.DUMMYFUNCTION("""COMPUTED_VALUE"""),522)</f>
        <v>522</v>
      </c>
      <c r="P350" s="24">
        <f t="shared" ref="P350:T350" si="357">SUM(V350,AB350,AH350,AN350,AT350,AZ350,BF350)</f>
        <v>3569.8</v>
      </c>
      <c r="Q350" s="24">
        <f t="shared" si="357"/>
        <v>0</v>
      </c>
      <c r="R350" s="24">
        <f t="shared" si="357"/>
        <v>3105.91</v>
      </c>
      <c r="S350" s="24">
        <f t="shared" si="357"/>
        <v>0</v>
      </c>
      <c r="T350" s="24">
        <f t="shared" si="357"/>
        <v>463.89</v>
      </c>
      <c r="U350" s="24"/>
      <c r="V350" s="24"/>
      <c r="W350" s="24"/>
      <c r="X350" s="24"/>
      <c r="Y350" s="24"/>
      <c r="Z350" s="24"/>
      <c r="AA350" s="24"/>
      <c r="AB350" s="24"/>
      <c r="AC350" s="50"/>
      <c r="AD350" s="50"/>
      <c r="AE350" s="50"/>
      <c r="AF350" s="50"/>
      <c r="AG350" s="50"/>
      <c r="AH350" s="50">
        <f t="shared" si="2"/>
        <v>0</v>
      </c>
      <c r="AI350" s="50">
        <v>0</v>
      </c>
      <c r="AJ350" s="50">
        <v>0</v>
      </c>
      <c r="AK350" s="50">
        <v>0</v>
      </c>
      <c r="AL350" s="50">
        <v>0</v>
      </c>
      <c r="AM350" s="50"/>
      <c r="AN350" s="24">
        <f t="shared" si="3"/>
        <v>0</v>
      </c>
      <c r="AO350" s="50">
        <v>0</v>
      </c>
      <c r="AP350" s="50">
        <v>0</v>
      </c>
      <c r="AQ350" s="50">
        <v>0</v>
      </c>
      <c r="AR350" s="50">
        <v>0</v>
      </c>
      <c r="AS350" s="50"/>
      <c r="AT350" s="50">
        <f t="shared" si="4"/>
        <v>0</v>
      </c>
      <c r="AU350" s="50">
        <v>0</v>
      </c>
      <c r="AV350" s="50">
        <v>0</v>
      </c>
      <c r="AW350" s="50">
        <v>0</v>
      </c>
      <c r="AX350" s="50">
        <v>0</v>
      </c>
      <c r="AY350" s="50"/>
      <c r="AZ350" s="50">
        <f t="shared" si="227"/>
        <v>210</v>
      </c>
      <c r="BA350" s="50">
        <v>0</v>
      </c>
      <c r="BB350" s="50">
        <v>182.91</v>
      </c>
      <c r="BC350" s="50">
        <v>0</v>
      </c>
      <c r="BD350" s="50">
        <v>27.09</v>
      </c>
      <c r="BE350" s="50"/>
      <c r="BF350" s="50">
        <f t="shared" si="6"/>
        <v>3359.8</v>
      </c>
      <c r="BG350" s="50">
        <v>0</v>
      </c>
      <c r="BH350" s="50">
        <v>2923</v>
      </c>
      <c r="BI350" s="50">
        <v>0</v>
      </c>
      <c r="BJ350" s="50">
        <v>436.8</v>
      </c>
      <c r="BK350" s="50"/>
      <c r="BL350" s="20"/>
    </row>
    <row r="351" spans="1:64" ht="84" x14ac:dyDescent="0.2">
      <c r="A351" s="69">
        <v>347</v>
      </c>
      <c r="B351" s="48" t="str">
        <f ca="1">IFERROR(__xludf.DUMMYFUNCTION("""COMPUTED_VALUE"""),"г.о. Талдомский")</f>
        <v>г.о. Талдомский</v>
      </c>
      <c r="C35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1" s="52" t="str">
        <f ca="1">IFERROR(__xludf.DUMMYFUNCTION("""COMPUTED_VALUE"""),"МинЖКХ ""ТОП 5 (2 этап)""")</f>
        <v>МинЖКХ "ТОП 5 (2 этап)"</v>
      </c>
      <c r="E351" s="45" t="s">
        <v>381</v>
      </c>
      <c r="F351" s="46" t="str">
        <f ca="1">IFERROR(__xludf.DUMMYFUNCTION("""COMPUTED_VALUE"""),"Котельная")</f>
        <v>Котельная</v>
      </c>
      <c r="G351" s="46" t="str">
        <f ca="1">IFERROR(__xludf.DUMMYFUNCTION("""COMPUTED_VALUE"""),"2023-2024")</f>
        <v>2023-2024</v>
      </c>
      <c r="H351" s="48"/>
      <c r="I351" s="48" t="str">
        <f ca="1">IFERROR(__xludf.DUMMYFUNCTION("""COMPUTED_VALUE"""),"СМР")</f>
        <v>СМР</v>
      </c>
      <c r="J351" s="48"/>
      <c r="K351" s="48"/>
      <c r="L351" s="48"/>
      <c r="M351" s="48"/>
      <c r="N351" s="48" t="str">
        <f ca="1">IFERROR(__xludf.DUMMYFUNCTION("""COMPUTED_VALUE"""),"10 3 02 64080")</f>
        <v>10 3 02 64080</v>
      </c>
      <c r="O351" s="48">
        <f ca="1">IFERROR(__xludf.DUMMYFUNCTION("""COMPUTED_VALUE"""),522)</f>
        <v>522</v>
      </c>
      <c r="P351" s="24">
        <f t="shared" ref="P351:T351" si="358">SUM(V351,AB351,AH351,AN351,AT351,AZ351,BF351)</f>
        <v>3569.8</v>
      </c>
      <c r="Q351" s="24">
        <f t="shared" si="358"/>
        <v>0</v>
      </c>
      <c r="R351" s="24">
        <f t="shared" si="358"/>
        <v>3105.91</v>
      </c>
      <c r="S351" s="24">
        <f t="shared" si="358"/>
        <v>0</v>
      </c>
      <c r="T351" s="24">
        <f t="shared" si="358"/>
        <v>463.89</v>
      </c>
      <c r="U351" s="24"/>
      <c r="V351" s="24"/>
      <c r="W351" s="24"/>
      <c r="X351" s="24"/>
      <c r="Y351" s="24"/>
      <c r="Z351" s="24"/>
      <c r="AA351" s="24"/>
      <c r="AB351" s="24"/>
      <c r="AC351" s="50"/>
      <c r="AD351" s="50"/>
      <c r="AE351" s="50"/>
      <c r="AF351" s="50"/>
      <c r="AG351" s="50"/>
      <c r="AH351" s="50">
        <f t="shared" si="2"/>
        <v>0</v>
      </c>
      <c r="AI351" s="50">
        <v>0</v>
      </c>
      <c r="AJ351" s="50">
        <v>0</v>
      </c>
      <c r="AK351" s="50">
        <v>0</v>
      </c>
      <c r="AL351" s="50">
        <v>0</v>
      </c>
      <c r="AM351" s="50"/>
      <c r="AN351" s="24">
        <f t="shared" si="3"/>
        <v>0</v>
      </c>
      <c r="AO351" s="50">
        <v>0</v>
      </c>
      <c r="AP351" s="50">
        <v>0</v>
      </c>
      <c r="AQ351" s="50">
        <v>0</v>
      </c>
      <c r="AR351" s="50">
        <v>0</v>
      </c>
      <c r="AS351" s="50"/>
      <c r="AT351" s="50">
        <f t="shared" si="4"/>
        <v>0</v>
      </c>
      <c r="AU351" s="50">
        <v>0</v>
      </c>
      <c r="AV351" s="50">
        <v>0</v>
      </c>
      <c r="AW351" s="50">
        <v>0</v>
      </c>
      <c r="AX351" s="50">
        <v>0</v>
      </c>
      <c r="AY351" s="50"/>
      <c r="AZ351" s="50">
        <f t="shared" si="227"/>
        <v>210</v>
      </c>
      <c r="BA351" s="50">
        <v>0</v>
      </c>
      <c r="BB351" s="50">
        <v>182.91</v>
      </c>
      <c r="BC351" s="50">
        <v>0</v>
      </c>
      <c r="BD351" s="50">
        <v>27.09</v>
      </c>
      <c r="BE351" s="50"/>
      <c r="BF351" s="50">
        <f t="shared" si="6"/>
        <v>3359.8</v>
      </c>
      <c r="BG351" s="50">
        <v>0</v>
      </c>
      <c r="BH351" s="50">
        <v>2923</v>
      </c>
      <c r="BI351" s="50">
        <v>0</v>
      </c>
      <c r="BJ351" s="50">
        <v>436.8</v>
      </c>
      <c r="BK351" s="50"/>
      <c r="BL351" s="20"/>
    </row>
    <row r="352" spans="1:64" ht="84" x14ac:dyDescent="0.2">
      <c r="A352" s="69">
        <v>348</v>
      </c>
      <c r="B352" s="48" t="str">
        <f ca="1">IFERROR(__xludf.DUMMYFUNCTION("""COMPUTED_VALUE"""),"г.о. Волоколамский")</f>
        <v>г.о. Волоколамский</v>
      </c>
      <c r="C35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2" s="52" t="str">
        <f ca="1">IFERROR(__xludf.DUMMYFUNCTION("""COMPUTED_VALUE"""),"МинЖКХ ""ТОП 5 (2 этап)""")</f>
        <v>МинЖКХ "ТОП 5 (2 этап)"</v>
      </c>
      <c r="E352" s="45" t="s">
        <v>382</v>
      </c>
      <c r="F352" s="46" t="str">
        <f ca="1">IFERROR(__xludf.DUMMYFUNCTION("""COMPUTED_VALUE"""),"Котельная")</f>
        <v>Котельная</v>
      </c>
      <c r="G352" s="46" t="str">
        <f ca="1">IFERROR(__xludf.DUMMYFUNCTION("""COMPUTED_VALUE"""),"2022-2023")</f>
        <v>2022-2023</v>
      </c>
      <c r="H352" s="48"/>
      <c r="I352" s="48" t="str">
        <f ca="1">IFERROR(__xludf.DUMMYFUNCTION("""COMPUTED_VALUE"""),"СМР")</f>
        <v>СМР</v>
      </c>
      <c r="J352" s="48"/>
      <c r="K352" s="48"/>
      <c r="L352" s="48"/>
      <c r="M352" s="48"/>
      <c r="N352" s="48" t="str">
        <f ca="1">IFERROR(__xludf.DUMMYFUNCTION("""COMPUTED_VALUE"""),"10 3 02 64080")</f>
        <v>10 3 02 64080</v>
      </c>
      <c r="O352" s="48">
        <f ca="1">IFERROR(__xludf.DUMMYFUNCTION("""COMPUTED_VALUE"""),522)</f>
        <v>522</v>
      </c>
      <c r="P352" s="24">
        <f t="shared" ref="P352:T352" si="359">SUM(V352,AB352,AH352,AN352,AT352,AZ352,BF352)</f>
        <v>36818.159999999996</v>
      </c>
      <c r="Q352" s="24">
        <f t="shared" si="359"/>
        <v>0</v>
      </c>
      <c r="R352" s="24">
        <f t="shared" si="359"/>
        <v>33136.46</v>
      </c>
      <c r="S352" s="24">
        <f t="shared" si="359"/>
        <v>0</v>
      </c>
      <c r="T352" s="24">
        <f t="shared" si="359"/>
        <v>3681.7000000000003</v>
      </c>
      <c r="U352" s="24"/>
      <c r="V352" s="24"/>
      <c r="W352" s="24"/>
      <c r="X352" s="24"/>
      <c r="Y352" s="24"/>
      <c r="Z352" s="24"/>
      <c r="AA352" s="24"/>
      <c r="AB352" s="24"/>
      <c r="AC352" s="50"/>
      <c r="AD352" s="50"/>
      <c r="AE352" s="50"/>
      <c r="AF352" s="50"/>
      <c r="AG352" s="50"/>
      <c r="AH352" s="50">
        <f t="shared" si="2"/>
        <v>0</v>
      </c>
      <c r="AI352" s="50">
        <v>0</v>
      </c>
      <c r="AJ352" s="50">
        <v>0</v>
      </c>
      <c r="AK352" s="50">
        <v>0</v>
      </c>
      <c r="AL352" s="50">
        <v>0</v>
      </c>
      <c r="AM352" s="50"/>
      <c r="AN352" s="24">
        <f t="shared" si="3"/>
        <v>0</v>
      </c>
      <c r="AO352" s="50">
        <v>0</v>
      </c>
      <c r="AP352" s="50">
        <v>0</v>
      </c>
      <c r="AQ352" s="50">
        <v>0</v>
      </c>
      <c r="AR352" s="50">
        <v>0</v>
      </c>
      <c r="AS352" s="50"/>
      <c r="AT352" s="50">
        <f t="shared" si="4"/>
        <v>21404.21</v>
      </c>
      <c r="AU352" s="50">
        <v>0</v>
      </c>
      <c r="AV352" s="50">
        <v>19263.91</v>
      </c>
      <c r="AW352" s="50">
        <v>0</v>
      </c>
      <c r="AX352" s="50">
        <v>2140.3000000000002</v>
      </c>
      <c r="AY352" s="50"/>
      <c r="AZ352" s="50">
        <f t="shared" si="227"/>
        <v>15413.949999999999</v>
      </c>
      <c r="BA352" s="50">
        <v>0</v>
      </c>
      <c r="BB352" s="50">
        <v>13872.55</v>
      </c>
      <c r="BC352" s="50">
        <v>0</v>
      </c>
      <c r="BD352" s="50">
        <v>1541.4</v>
      </c>
      <c r="BE352" s="50"/>
      <c r="BF352" s="50">
        <f t="shared" si="6"/>
        <v>0</v>
      </c>
      <c r="BG352" s="50">
        <v>0</v>
      </c>
      <c r="BH352" s="50">
        <v>0</v>
      </c>
      <c r="BI352" s="50">
        <v>0</v>
      </c>
      <c r="BJ352" s="50">
        <v>0</v>
      </c>
      <c r="BK352" s="50"/>
      <c r="BL352" s="20"/>
    </row>
    <row r="353" spans="1:64" ht="84" x14ac:dyDescent="0.2">
      <c r="A353" s="69">
        <v>349</v>
      </c>
      <c r="B353" s="48" t="str">
        <f ca="1">IFERROR(__xludf.DUMMYFUNCTION("""COMPUTED_VALUE"""),"г.о. Лотошино")</f>
        <v>г.о. Лотошино</v>
      </c>
      <c r="C35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3" s="52" t="str">
        <f ca="1">IFERROR(__xludf.DUMMYFUNCTION("""COMPUTED_VALUE"""),"МинЖКХ ""ТОП 5 (2 этап)""")</f>
        <v>МинЖКХ "ТОП 5 (2 этап)"</v>
      </c>
      <c r="E353" s="45" t="s">
        <v>383</v>
      </c>
      <c r="F353" s="46" t="str">
        <f ca="1">IFERROR(__xludf.DUMMYFUNCTION("""COMPUTED_VALUE"""),"Котельная")</f>
        <v>Котельная</v>
      </c>
      <c r="G353" s="46" t="str">
        <f ca="1">IFERROR(__xludf.DUMMYFUNCTION("""COMPUTED_VALUE"""),"2022-2023")</f>
        <v>2022-2023</v>
      </c>
      <c r="H353" s="48"/>
      <c r="I353" s="48" t="str">
        <f ca="1">IFERROR(__xludf.DUMMYFUNCTION("""COMPUTED_VALUE"""),"СМР")</f>
        <v>СМР</v>
      </c>
      <c r="J353" s="48"/>
      <c r="K353" s="48"/>
      <c r="L353" s="48"/>
      <c r="M353" s="48"/>
      <c r="N353" s="48" t="str">
        <f ca="1">IFERROR(__xludf.DUMMYFUNCTION("""COMPUTED_VALUE"""),"10 3 02 64080")</f>
        <v>10 3 02 64080</v>
      </c>
      <c r="O353" s="48">
        <f ca="1">IFERROR(__xludf.DUMMYFUNCTION("""COMPUTED_VALUE"""),522)</f>
        <v>522</v>
      </c>
      <c r="P353" s="24">
        <f t="shared" ref="P353:T353" si="360">SUM(V353,AB353,AH353,AN353,AT353,AZ353,BF353)</f>
        <v>44929.909999999996</v>
      </c>
      <c r="Q353" s="24">
        <f t="shared" si="360"/>
        <v>0</v>
      </c>
      <c r="R353" s="24">
        <f t="shared" si="360"/>
        <v>42683.42</v>
      </c>
      <c r="S353" s="24">
        <f t="shared" si="360"/>
        <v>0</v>
      </c>
      <c r="T353" s="24">
        <f t="shared" si="360"/>
        <v>2246.4899999999998</v>
      </c>
      <c r="U353" s="24"/>
      <c r="V353" s="24"/>
      <c r="W353" s="24"/>
      <c r="X353" s="24"/>
      <c r="Y353" s="24"/>
      <c r="Z353" s="24"/>
      <c r="AA353" s="24"/>
      <c r="AB353" s="24"/>
      <c r="AC353" s="50"/>
      <c r="AD353" s="50"/>
      <c r="AE353" s="50"/>
      <c r="AF353" s="50"/>
      <c r="AG353" s="50"/>
      <c r="AH353" s="50">
        <f t="shared" si="2"/>
        <v>0</v>
      </c>
      <c r="AI353" s="50">
        <v>0</v>
      </c>
      <c r="AJ353" s="50">
        <v>0</v>
      </c>
      <c r="AK353" s="50">
        <v>0</v>
      </c>
      <c r="AL353" s="50">
        <v>0</v>
      </c>
      <c r="AM353" s="50"/>
      <c r="AN353" s="24">
        <f t="shared" si="3"/>
        <v>0</v>
      </c>
      <c r="AO353" s="50">
        <v>0</v>
      </c>
      <c r="AP353" s="50">
        <v>0</v>
      </c>
      <c r="AQ353" s="50">
        <v>0</v>
      </c>
      <c r="AR353" s="50">
        <v>0</v>
      </c>
      <c r="AS353" s="50"/>
      <c r="AT353" s="50">
        <f t="shared" si="4"/>
        <v>4043.7</v>
      </c>
      <c r="AU353" s="50">
        <v>0</v>
      </c>
      <c r="AV353" s="50">
        <v>3841.52</v>
      </c>
      <c r="AW353" s="50">
        <v>0</v>
      </c>
      <c r="AX353" s="50">
        <v>202.18</v>
      </c>
      <c r="AY353" s="50"/>
      <c r="AZ353" s="50">
        <f t="shared" si="227"/>
        <v>40886.21</v>
      </c>
      <c r="BA353" s="50">
        <v>0</v>
      </c>
      <c r="BB353" s="50">
        <v>38841.9</v>
      </c>
      <c r="BC353" s="50">
        <v>0</v>
      </c>
      <c r="BD353" s="50">
        <v>2044.31</v>
      </c>
      <c r="BE353" s="50"/>
      <c r="BF353" s="50">
        <f t="shared" si="6"/>
        <v>0</v>
      </c>
      <c r="BG353" s="50">
        <v>0</v>
      </c>
      <c r="BH353" s="50">
        <v>0</v>
      </c>
      <c r="BI353" s="50">
        <v>0</v>
      </c>
      <c r="BJ353" s="50">
        <v>0</v>
      </c>
      <c r="BK353" s="50"/>
      <c r="BL353" s="20"/>
    </row>
    <row r="354" spans="1:64" ht="84" x14ac:dyDescent="0.2">
      <c r="A354" s="69">
        <v>350</v>
      </c>
      <c r="B354" s="48" t="str">
        <f ca="1">IFERROR(__xludf.DUMMYFUNCTION("""COMPUTED_VALUE"""),"г.о. Лотошино")</f>
        <v>г.о. Лотошино</v>
      </c>
      <c r="C35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4" s="52" t="str">
        <f ca="1">IFERROR(__xludf.DUMMYFUNCTION("""COMPUTED_VALUE"""),"МинЖКХ ""ТОП 5 (2 этап)""")</f>
        <v>МинЖКХ "ТОП 5 (2 этап)"</v>
      </c>
      <c r="E354" s="45" t="s">
        <v>384</v>
      </c>
      <c r="F354" s="46" t="str">
        <f ca="1">IFERROR(__xludf.DUMMYFUNCTION("""COMPUTED_VALUE"""),"Котельная")</f>
        <v>Котельная</v>
      </c>
      <c r="G354" s="46" t="str">
        <f ca="1">IFERROR(__xludf.DUMMYFUNCTION("""COMPUTED_VALUE"""),"2022-2023")</f>
        <v>2022-2023</v>
      </c>
      <c r="H354" s="48"/>
      <c r="I354" s="48" t="str">
        <f ca="1">IFERROR(__xludf.DUMMYFUNCTION("""COMPUTED_VALUE"""),"СМР")</f>
        <v>СМР</v>
      </c>
      <c r="J354" s="48"/>
      <c r="K354" s="48"/>
      <c r="L354" s="48"/>
      <c r="M354" s="48"/>
      <c r="N354" s="48" t="str">
        <f ca="1">IFERROR(__xludf.DUMMYFUNCTION("""COMPUTED_VALUE"""),"10 3 02 64080")</f>
        <v>10 3 02 64080</v>
      </c>
      <c r="O354" s="48">
        <f ca="1">IFERROR(__xludf.DUMMYFUNCTION("""COMPUTED_VALUE"""),522)</f>
        <v>522</v>
      </c>
      <c r="P354" s="24">
        <f t="shared" ref="P354:T354" si="361">SUM(V354,AB354,AH354,AN354,AT354,AZ354,BF354)</f>
        <v>40660</v>
      </c>
      <c r="Q354" s="24">
        <f t="shared" si="361"/>
        <v>0</v>
      </c>
      <c r="R354" s="24">
        <f t="shared" si="361"/>
        <v>38627</v>
      </c>
      <c r="S354" s="24">
        <f t="shared" si="361"/>
        <v>0</v>
      </c>
      <c r="T354" s="24">
        <f t="shared" si="361"/>
        <v>2033</v>
      </c>
      <c r="U354" s="24"/>
      <c r="V354" s="24"/>
      <c r="W354" s="24"/>
      <c r="X354" s="24"/>
      <c r="Y354" s="24"/>
      <c r="Z354" s="24"/>
      <c r="AA354" s="24"/>
      <c r="AB354" s="24"/>
      <c r="AC354" s="50"/>
      <c r="AD354" s="50"/>
      <c r="AE354" s="50"/>
      <c r="AF354" s="50"/>
      <c r="AG354" s="50"/>
      <c r="AH354" s="50">
        <f t="shared" si="2"/>
        <v>0</v>
      </c>
      <c r="AI354" s="50">
        <v>0</v>
      </c>
      <c r="AJ354" s="50">
        <v>0</v>
      </c>
      <c r="AK354" s="50">
        <v>0</v>
      </c>
      <c r="AL354" s="50">
        <v>0</v>
      </c>
      <c r="AM354" s="50"/>
      <c r="AN354" s="24">
        <f t="shared" si="3"/>
        <v>0</v>
      </c>
      <c r="AO354" s="50">
        <v>0</v>
      </c>
      <c r="AP354" s="50">
        <v>0</v>
      </c>
      <c r="AQ354" s="50">
        <v>0</v>
      </c>
      <c r="AR354" s="50">
        <v>0</v>
      </c>
      <c r="AS354" s="50"/>
      <c r="AT354" s="50">
        <f t="shared" si="4"/>
        <v>3659.3999999999996</v>
      </c>
      <c r="AU354" s="50">
        <v>0</v>
      </c>
      <c r="AV354" s="50">
        <v>3476.43</v>
      </c>
      <c r="AW354" s="50">
        <v>0</v>
      </c>
      <c r="AX354" s="50">
        <v>182.97</v>
      </c>
      <c r="AY354" s="50"/>
      <c r="AZ354" s="50">
        <f t="shared" si="227"/>
        <v>37000.6</v>
      </c>
      <c r="BA354" s="50">
        <v>0</v>
      </c>
      <c r="BB354" s="50">
        <v>35150.57</v>
      </c>
      <c r="BC354" s="50">
        <v>0</v>
      </c>
      <c r="BD354" s="50">
        <v>1850.03</v>
      </c>
      <c r="BE354" s="50"/>
      <c r="BF354" s="50">
        <f t="shared" si="6"/>
        <v>0</v>
      </c>
      <c r="BG354" s="50">
        <v>0</v>
      </c>
      <c r="BH354" s="50">
        <v>0</v>
      </c>
      <c r="BI354" s="50">
        <v>0</v>
      </c>
      <c r="BJ354" s="50">
        <v>0</v>
      </c>
      <c r="BK354" s="50"/>
      <c r="BL354" s="20"/>
    </row>
    <row r="355" spans="1:64" ht="84" x14ac:dyDescent="0.2">
      <c r="A355" s="69">
        <v>351</v>
      </c>
      <c r="B355" s="48" t="str">
        <f ca="1">IFERROR(__xludf.DUMMYFUNCTION("""COMPUTED_VALUE"""),"г.о. Лотошино")</f>
        <v>г.о. Лотошино</v>
      </c>
      <c r="C35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5" s="52" t="str">
        <f ca="1">IFERROR(__xludf.DUMMYFUNCTION("""COMPUTED_VALUE"""),"МинЖКХ ""ТОП 5 (2 этап)""")</f>
        <v>МинЖКХ "ТОП 5 (2 этап)"</v>
      </c>
      <c r="E355" s="45" t="s">
        <v>385</v>
      </c>
      <c r="F355" s="46" t="str">
        <f ca="1">IFERROR(__xludf.DUMMYFUNCTION("""COMPUTED_VALUE"""),"Котельная")</f>
        <v>Котельная</v>
      </c>
      <c r="G355" s="46" t="str">
        <f ca="1">IFERROR(__xludf.DUMMYFUNCTION("""COMPUTED_VALUE"""),"2022-2023")</f>
        <v>2022-2023</v>
      </c>
      <c r="H355" s="48"/>
      <c r="I355" s="48" t="str">
        <f ca="1">IFERROR(__xludf.DUMMYFUNCTION("""COMPUTED_VALUE"""),"СМР")</f>
        <v>СМР</v>
      </c>
      <c r="J355" s="48"/>
      <c r="K355" s="48"/>
      <c r="L355" s="48"/>
      <c r="M355" s="48"/>
      <c r="N355" s="48" t="str">
        <f ca="1">IFERROR(__xludf.DUMMYFUNCTION("""COMPUTED_VALUE"""),"10 3 02 64080")</f>
        <v>10 3 02 64080</v>
      </c>
      <c r="O355" s="48">
        <f ca="1">IFERROR(__xludf.DUMMYFUNCTION("""COMPUTED_VALUE"""),522)</f>
        <v>522</v>
      </c>
      <c r="P355" s="24">
        <f t="shared" ref="P355:T355" si="362">SUM(V355,AB355,AH355,AN355,AT355,AZ355,BF355)</f>
        <v>40640</v>
      </c>
      <c r="Q355" s="24">
        <f t="shared" si="362"/>
        <v>0</v>
      </c>
      <c r="R355" s="24">
        <f t="shared" si="362"/>
        <v>38608</v>
      </c>
      <c r="S355" s="24">
        <f t="shared" si="362"/>
        <v>0</v>
      </c>
      <c r="T355" s="24">
        <f t="shared" si="362"/>
        <v>2032</v>
      </c>
      <c r="U355" s="24"/>
      <c r="V355" s="24"/>
      <c r="W355" s="24"/>
      <c r="X355" s="24"/>
      <c r="Y355" s="24"/>
      <c r="Z355" s="24"/>
      <c r="AA355" s="24"/>
      <c r="AB355" s="24"/>
      <c r="AC355" s="50"/>
      <c r="AD355" s="50"/>
      <c r="AE355" s="50"/>
      <c r="AF355" s="50"/>
      <c r="AG355" s="50"/>
      <c r="AH355" s="50">
        <f t="shared" si="2"/>
        <v>0</v>
      </c>
      <c r="AI355" s="50">
        <v>0</v>
      </c>
      <c r="AJ355" s="50">
        <v>0</v>
      </c>
      <c r="AK355" s="50">
        <v>0</v>
      </c>
      <c r="AL355" s="50">
        <v>0</v>
      </c>
      <c r="AM355" s="50"/>
      <c r="AN355" s="24">
        <f t="shared" si="3"/>
        <v>0</v>
      </c>
      <c r="AO355" s="50">
        <v>0</v>
      </c>
      <c r="AP355" s="50">
        <v>0</v>
      </c>
      <c r="AQ355" s="50">
        <v>0</v>
      </c>
      <c r="AR355" s="50">
        <v>0</v>
      </c>
      <c r="AS355" s="50"/>
      <c r="AT355" s="50">
        <f t="shared" si="4"/>
        <v>3657.6</v>
      </c>
      <c r="AU355" s="50">
        <v>0</v>
      </c>
      <c r="AV355" s="50">
        <v>3474.72</v>
      </c>
      <c r="AW355" s="50">
        <v>0</v>
      </c>
      <c r="AX355" s="50">
        <v>182.88</v>
      </c>
      <c r="AY355" s="50"/>
      <c r="AZ355" s="50">
        <f t="shared" si="227"/>
        <v>36982.400000000001</v>
      </c>
      <c r="BA355" s="50">
        <v>0</v>
      </c>
      <c r="BB355" s="50">
        <v>35133.279999999999</v>
      </c>
      <c r="BC355" s="50">
        <v>0</v>
      </c>
      <c r="BD355" s="50">
        <v>1849.12</v>
      </c>
      <c r="BE355" s="50"/>
      <c r="BF355" s="50">
        <f t="shared" si="6"/>
        <v>0</v>
      </c>
      <c r="BG355" s="50">
        <v>0</v>
      </c>
      <c r="BH355" s="50">
        <v>0</v>
      </c>
      <c r="BI355" s="50">
        <v>0</v>
      </c>
      <c r="BJ355" s="50">
        <v>0</v>
      </c>
      <c r="BK355" s="50"/>
      <c r="BL355" s="20"/>
    </row>
    <row r="356" spans="1:64" ht="84" x14ac:dyDescent="0.2">
      <c r="A356" s="69">
        <v>352</v>
      </c>
      <c r="B356" s="48" t="str">
        <f ca="1">IFERROR(__xludf.DUMMYFUNCTION("""COMPUTED_VALUE"""),"г.о. Шаховская")</f>
        <v>г.о. Шаховская</v>
      </c>
      <c r="C35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6" s="52" t="str">
        <f ca="1">IFERROR(__xludf.DUMMYFUNCTION("""COMPUTED_VALUE"""),"МинЖКХ ""ТОП 5 (2 этап)""")</f>
        <v>МинЖКХ "ТОП 5 (2 этап)"</v>
      </c>
      <c r="E356" s="45" t="s">
        <v>386</v>
      </c>
      <c r="F356" s="46" t="str">
        <f ca="1">IFERROR(__xludf.DUMMYFUNCTION("""COMPUTED_VALUE"""),"Сети")</f>
        <v>Сети</v>
      </c>
      <c r="G356" s="46" t="str">
        <f ca="1">IFERROR(__xludf.DUMMYFUNCTION("""COMPUTED_VALUE"""),"2022-2023")</f>
        <v>2022-2023</v>
      </c>
      <c r="H356" s="48"/>
      <c r="I356" s="48" t="str">
        <f ca="1">IFERROR(__xludf.DUMMYFUNCTION("""COMPUTED_VALUE"""),"СМР")</f>
        <v>СМР</v>
      </c>
      <c r="J356" s="48"/>
      <c r="K356" s="48"/>
      <c r="L356" s="48"/>
      <c r="M356" s="48"/>
      <c r="N356" s="48" t="str">
        <f ca="1">IFERROR(__xludf.DUMMYFUNCTION("""COMPUTED_VALUE"""),"10 3 02 64080")</f>
        <v>10 3 02 64080</v>
      </c>
      <c r="O356" s="48">
        <f ca="1">IFERROR(__xludf.DUMMYFUNCTION("""COMPUTED_VALUE"""),522)</f>
        <v>522</v>
      </c>
      <c r="P356" s="24">
        <f t="shared" ref="P356:T356" si="363">SUM(V356,AB356,AH356,AN356,AT356,AZ356,BF356)</f>
        <v>16940</v>
      </c>
      <c r="Q356" s="24">
        <f t="shared" si="363"/>
        <v>0</v>
      </c>
      <c r="R356" s="24">
        <f t="shared" si="363"/>
        <v>15144.36</v>
      </c>
      <c r="S356" s="24">
        <f t="shared" si="363"/>
        <v>0</v>
      </c>
      <c r="T356" s="24">
        <f t="shared" si="363"/>
        <v>1795.6399999999999</v>
      </c>
      <c r="U356" s="24"/>
      <c r="V356" s="24"/>
      <c r="W356" s="24"/>
      <c r="X356" s="24"/>
      <c r="Y356" s="24"/>
      <c r="Z356" s="24"/>
      <c r="AA356" s="24"/>
      <c r="AB356" s="24"/>
      <c r="AC356" s="50"/>
      <c r="AD356" s="50"/>
      <c r="AE356" s="50"/>
      <c r="AF356" s="50"/>
      <c r="AG356" s="50"/>
      <c r="AH356" s="50">
        <f t="shared" si="2"/>
        <v>0</v>
      </c>
      <c r="AI356" s="50">
        <v>0</v>
      </c>
      <c r="AJ356" s="50">
        <v>0</v>
      </c>
      <c r="AK356" s="50">
        <v>0</v>
      </c>
      <c r="AL356" s="50">
        <v>0</v>
      </c>
      <c r="AM356" s="50"/>
      <c r="AN356" s="24">
        <f t="shared" si="3"/>
        <v>0</v>
      </c>
      <c r="AO356" s="50">
        <v>0</v>
      </c>
      <c r="AP356" s="50">
        <v>0</v>
      </c>
      <c r="AQ356" s="50">
        <v>0</v>
      </c>
      <c r="AR356" s="50">
        <v>0</v>
      </c>
      <c r="AS356" s="50"/>
      <c r="AT356" s="50">
        <f t="shared" si="4"/>
        <v>5420.8</v>
      </c>
      <c r="AU356" s="50">
        <v>0</v>
      </c>
      <c r="AV356" s="50">
        <v>4846.2</v>
      </c>
      <c r="AW356" s="50">
        <v>0</v>
      </c>
      <c r="AX356" s="50">
        <v>574.6</v>
      </c>
      <c r="AY356" s="50"/>
      <c r="AZ356" s="50">
        <f t="shared" si="227"/>
        <v>11519.2</v>
      </c>
      <c r="BA356" s="50">
        <v>0</v>
      </c>
      <c r="BB356" s="50">
        <v>10298.16</v>
      </c>
      <c r="BC356" s="50">
        <v>0</v>
      </c>
      <c r="BD356" s="50">
        <v>1221.04</v>
      </c>
      <c r="BE356" s="50"/>
      <c r="BF356" s="50">
        <f t="shared" si="6"/>
        <v>0</v>
      </c>
      <c r="BG356" s="50">
        <v>0</v>
      </c>
      <c r="BH356" s="50">
        <v>0</v>
      </c>
      <c r="BI356" s="50">
        <v>0</v>
      </c>
      <c r="BJ356" s="50">
        <v>0</v>
      </c>
      <c r="BK356" s="50"/>
      <c r="BL356" s="20"/>
    </row>
    <row r="357" spans="1:64" ht="84" x14ac:dyDescent="0.2">
      <c r="A357" s="69">
        <v>353</v>
      </c>
      <c r="B357" s="48" t="str">
        <f ca="1">IFERROR(__xludf.DUMMYFUNCTION("""COMPUTED_VALUE"""),"г.о. Шаховская")</f>
        <v>г.о. Шаховская</v>
      </c>
      <c r="C35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7" s="52" t="str">
        <f ca="1">IFERROR(__xludf.DUMMYFUNCTION("""COMPUTED_VALUE"""),"МинЖКХ ""ТОП 5 (2 этап)""")</f>
        <v>МинЖКХ "ТОП 5 (2 этап)"</v>
      </c>
      <c r="E357" s="45" t="s">
        <v>387</v>
      </c>
      <c r="F357" s="46" t="str">
        <f ca="1">IFERROR(__xludf.DUMMYFUNCTION("""COMPUTED_VALUE"""),"Сети")</f>
        <v>Сети</v>
      </c>
      <c r="G357" s="46" t="str">
        <f ca="1">IFERROR(__xludf.DUMMYFUNCTION("""COMPUTED_VALUE"""),"2022-2023")</f>
        <v>2022-2023</v>
      </c>
      <c r="H357" s="48"/>
      <c r="I357" s="48" t="str">
        <f ca="1">IFERROR(__xludf.DUMMYFUNCTION("""COMPUTED_VALUE"""),"СМР")</f>
        <v>СМР</v>
      </c>
      <c r="J357" s="48"/>
      <c r="K357" s="48"/>
      <c r="L357" s="48"/>
      <c r="M357" s="48"/>
      <c r="N357" s="48" t="str">
        <f ca="1">IFERROR(__xludf.DUMMYFUNCTION("""COMPUTED_VALUE"""),"10 3 02 64080")</f>
        <v>10 3 02 64080</v>
      </c>
      <c r="O357" s="48">
        <f ca="1">IFERROR(__xludf.DUMMYFUNCTION("""COMPUTED_VALUE"""),522)</f>
        <v>522</v>
      </c>
      <c r="P357" s="24">
        <f t="shared" ref="P357:T357" si="364">SUM(V357,AB357,AH357,AN357,AT357,AZ357,BF357)</f>
        <v>11040</v>
      </c>
      <c r="Q357" s="24">
        <f t="shared" si="364"/>
        <v>0</v>
      </c>
      <c r="R357" s="24">
        <f t="shared" si="364"/>
        <v>9869.76</v>
      </c>
      <c r="S357" s="24">
        <f t="shared" si="364"/>
        <v>0</v>
      </c>
      <c r="T357" s="24">
        <f t="shared" si="364"/>
        <v>1170.24</v>
      </c>
      <c r="U357" s="24"/>
      <c r="V357" s="24"/>
      <c r="W357" s="24"/>
      <c r="X357" s="24"/>
      <c r="Y357" s="24"/>
      <c r="Z357" s="24"/>
      <c r="AA357" s="24"/>
      <c r="AB357" s="24"/>
      <c r="AC357" s="50"/>
      <c r="AD357" s="50"/>
      <c r="AE357" s="50"/>
      <c r="AF357" s="50"/>
      <c r="AG357" s="50"/>
      <c r="AH357" s="50">
        <f t="shared" si="2"/>
        <v>0</v>
      </c>
      <c r="AI357" s="50">
        <v>0</v>
      </c>
      <c r="AJ357" s="50">
        <v>0</v>
      </c>
      <c r="AK357" s="50">
        <v>0</v>
      </c>
      <c r="AL357" s="50">
        <v>0</v>
      </c>
      <c r="AM357" s="50"/>
      <c r="AN357" s="24">
        <f t="shared" si="3"/>
        <v>0</v>
      </c>
      <c r="AO357" s="50">
        <v>0</v>
      </c>
      <c r="AP357" s="50">
        <v>0</v>
      </c>
      <c r="AQ357" s="50">
        <v>0</v>
      </c>
      <c r="AR357" s="50">
        <v>0</v>
      </c>
      <c r="AS357" s="50"/>
      <c r="AT357" s="50">
        <f t="shared" si="4"/>
        <v>3532.8</v>
      </c>
      <c r="AU357" s="50">
        <v>0</v>
      </c>
      <c r="AV357" s="50">
        <v>3158.32</v>
      </c>
      <c r="AW357" s="50">
        <v>0</v>
      </c>
      <c r="AX357" s="50">
        <v>374.48</v>
      </c>
      <c r="AY357" s="50"/>
      <c r="AZ357" s="50">
        <f t="shared" si="227"/>
        <v>7507.2</v>
      </c>
      <c r="BA357" s="50">
        <v>0</v>
      </c>
      <c r="BB357" s="50">
        <v>6711.44</v>
      </c>
      <c r="BC357" s="50">
        <v>0</v>
      </c>
      <c r="BD357" s="50">
        <v>795.76</v>
      </c>
      <c r="BE357" s="50"/>
      <c r="BF357" s="50">
        <f t="shared" si="6"/>
        <v>0</v>
      </c>
      <c r="BG357" s="50">
        <v>0</v>
      </c>
      <c r="BH357" s="50">
        <v>0</v>
      </c>
      <c r="BI357" s="50">
        <v>0</v>
      </c>
      <c r="BJ357" s="50">
        <v>0</v>
      </c>
      <c r="BK357" s="50"/>
      <c r="BL357" s="20"/>
    </row>
    <row r="358" spans="1:64" ht="84" x14ac:dyDescent="0.2">
      <c r="A358" s="69">
        <v>354</v>
      </c>
      <c r="B358" s="48" t="str">
        <f ca="1">IFERROR(__xludf.DUMMYFUNCTION("""COMPUTED_VALUE"""),"г.о. Шаховская")</f>
        <v>г.о. Шаховская</v>
      </c>
      <c r="C35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8" s="52" t="str">
        <f ca="1">IFERROR(__xludf.DUMMYFUNCTION("""COMPUTED_VALUE"""),"МинЖКХ ""ТОП 5 (2 этап)""")</f>
        <v>МинЖКХ "ТОП 5 (2 этап)"</v>
      </c>
      <c r="E358" s="45" t="s">
        <v>388</v>
      </c>
      <c r="F358" s="46" t="str">
        <f ca="1">IFERROR(__xludf.DUMMYFUNCTION("""COMPUTED_VALUE"""),"Сети")</f>
        <v>Сети</v>
      </c>
      <c r="G358" s="46" t="str">
        <f ca="1">IFERROR(__xludf.DUMMYFUNCTION("""COMPUTED_VALUE"""),"2022-2023")</f>
        <v>2022-2023</v>
      </c>
      <c r="H358" s="48"/>
      <c r="I358" s="48" t="str">
        <f ca="1">IFERROR(__xludf.DUMMYFUNCTION("""COMPUTED_VALUE"""),"СМР")</f>
        <v>СМР</v>
      </c>
      <c r="J358" s="48"/>
      <c r="K358" s="48"/>
      <c r="L358" s="48"/>
      <c r="M358" s="48"/>
      <c r="N358" s="48" t="str">
        <f ca="1">IFERROR(__xludf.DUMMYFUNCTION("""COMPUTED_VALUE"""),"10 3 02 64080")</f>
        <v>10 3 02 64080</v>
      </c>
      <c r="O358" s="48">
        <f ca="1">IFERROR(__xludf.DUMMYFUNCTION("""COMPUTED_VALUE"""),522)</f>
        <v>522</v>
      </c>
      <c r="P358" s="24">
        <f t="shared" ref="P358:T358" si="365">SUM(V358,AB358,AH358,AN358,AT358,AZ358,BF358)</f>
        <v>15790</v>
      </c>
      <c r="Q358" s="24">
        <f t="shared" si="365"/>
        <v>0</v>
      </c>
      <c r="R358" s="24">
        <f t="shared" si="365"/>
        <v>14116.259999999998</v>
      </c>
      <c r="S358" s="24">
        <f t="shared" si="365"/>
        <v>0</v>
      </c>
      <c r="T358" s="24">
        <f t="shared" si="365"/>
        <v>1673.7400000000002</v>
      </c>
      <c r="U358" s="24"/>
      <c r="V358" s="24"/>
      <c r="W358" s="24"/>
      <c r="X358" s="24"/>
      <c r="Y358" s="24"/>
      <c r="Z358" s="24"/>
      <c r="AA358" s="24"/>
      <c r="AB358" s="24"/>
      <c r="AC358" s="50"/>
      <c r="AD358" s="50"/>
      <c r="AE358" s="50"/>
      <c r="AF358" s="50"/>
      <c r="AG358" s="50"/>
      <c r="AH358" s="50">
        <f t="shared" si="2"/>
        <v>0</v>
      </c>
      <c r="AI358" s="50">
        <v>0</v>
      </c>
      <c r="AJ358" s="50">
        <v>0</v>
      </c>
      <c r="AK358" s="50">
        <v>0</v>
      </c>
      <c r="AL358" s="50">
        <v>0</v>
      </c>
      <c r="AM358" s="50"/>
      <c r="AN358" s="24">
        <f t="shared" si="3"/>
        <v>0</v>
      </c>
      <c r="AO358" s="50">
        <v>0</v>
      </c>
      <c r="AP358" s="50">
        <v>0</v>
      </c>
      <c r="AQ358" s="50">
        <v>0</v>
      </c>
      <c r="AR358" s="50">
        <v>0</v>
      </c>
      <c r="AS358" s="50"/>
      <c r="AT358" s="50">
        <f t="shared" si="4"/>
        <v>5052.8</v>
      </c>
      <c r="AU358" s="50">
        <v>0</v>
      </c>
      <c r="AV358" s="50">
        <v>4517.2</v>
      </c>
      <c r="AW358" s="50">
        <v>0</v>
      </c>
      <c r="AX358" s="50">
        <v>535.6</v>
      </c>
      <c r="AY358" s="50"/>
      <c r="AZ358" s="50">
        <f t="shared" si="227"/>
        <v>10737.199999999999</v>
      </c>
      <c r="BA358" s="50">
        <v>0</v>
      </c>
      <c r="BB358" s="50">
        <v>9599.06</v>
      </c>
      <c r="BC358" s="50">
        <v>0</v>
      </c>
      <c r="BD358" s="50">
        <v>1138.1400000000001</v>
      </c>
      <c r="BE358" s="50"/>
      <c r="BF358" s="50">
        <f t="shared" si="6"/>
        <v>0</v>
      </c>
      <c r="BG358" s="50">
        <v>0</v>
      </c>
      <c r="BH358" s="50">
        <v>0</v>
      </c>
      <c r="BI358" s="50">
        <v>0</v>
      </c>
      <c r="BJ358" s="50">
        <v>0</v>
      </c>
      <c r="BK358" s="50"/>
      <c r="BL358" s="20"/>
    </row>
    <row r="359" spans="1:64" ht="84" x14ac:dyDescent="0.2">
      <c r="A359" s="69">
        <v>355</v>
      </c>
      <c r="B359" s="48" t="str">
        <f ca="1">IFERROR(__xludf.DUMMYFUNCTION("""COMPUTED_VALUE"""),"г.о. Шаховская")</f>
        <v>г.о. Шаховская</v>
      </c>
      <c r="C35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59" s="52" t="str">
        <f ca="1">IFERROR(__xludf.DUMMYFUNCTION("""COMPUTED_VALUE"""),"МинЖКХ ""ТОП 5 (2 этап)""")</f>
        <v>МинЖКХ "ТОП 5 (2 этап)"</v>
      </c>
      <c r="E359" s="45" t="s">
        <v>389</v>
      </c>
      <c r="F359" s="46" t="str">
        <f ca="1">IFERROR(__xludf.DUMMYFUNCTION("""COMPUTED_VALUE"""),"Сети")</f>
        <v>Сети</v>
      </c>
      <c r="G359" s="46" t="str">
        <f ca="1">IFERROR(__xludf.DUMMYFUNCTION("""COMPUTED_VALUE"""),"2022-2023")</f>
        <v>2022-2023</v>
      </c>
      <c r="H359" s="48"/>
      <c r="I359" s="48" t="str">
        <f ca="1">IFERROR(__xludf.DUMMYFUNCTION("""COMPUTED_VALUE"""),"СМР")</f>
        <v>СМР</v>
      </c>
      <c r="J359" s="48"/>
      <c r="K359" s="48"/>
      <c r="L359" s="48"/>
      <c r="M359" s="48"/>
      <c r="N359" s="48" t="str">
        <f ca="1">IFERROR(__xludf.DUMMYFUNCTION("""COMPUTED_VALUE"""),"10 3 02 64080")</f>
        <v>10 3 02 64080</v>
      </c>
      <c r="O359" s="48">
        <f ca="1">IFERROR(__xludf.DUMMYFUNCTION("""COMPUTED_VALUE"""),522)</f>
        <v>522</v>
      </c>
      <c r="P359" s="24">
        <f t="shared" ref="P359:T359" si="366">SUM(V359,AB359,AH359,AN359,AT359,AZ359,BF359)</f>
        <v>20050</v>
      </c>
      <c r="Q359" s="24">
        <f t="shared" si="366"/>
        <v>0</v>
      </c>
      <c r="R359" s="24">
        <f t="shared" si="366"/>
        <v>17924.699999999997</v>
      </c>
      <c r="S359" s="24">
        <f t="shared" si="366"/>
        <v>0</v>
      </c>
      <c r="T359" s="24">
        <f t="shared" si="366"/>
        <v>2125.3000000000002</v>
      </c>
      <c r="U359" s="24"/>
      <c r="V359" s="24"/>
      <c r="W359" s="24"/>
      <c r="X359" s="24"/>
      <c r="Y359" s="24"/>
      <c r="Z359" s="24"/>
      <c r="AA359" s="24"/>
      <c r="AB359" s="24"/>
      <c r="AC359" s="50"/>
      <c r="AD359" s="50"/>
      <c r="AE359" s="50"/>
      <c r="AF359" s="50"/>
      <c r="AG359" s="50"/>
      <c r="AH359" s="50">
        <f t="shared" si="2"/>
        <v>0</v>
      </c>
      <c r="AI359" s="50">
        <v>0</v>
      </c>
      <c r="AJ359" s="50">
        <v>0</v>
      </c>
      <c r="AK359" s="50">
        <v>0</v>
      </c>
      <c r="AL359" s="50">
        <v>0</v>
      </c>
      <c r="AM359" s="50"/>
      <c r="AN359" s="24">
        <f t="shared" si="3"/>
        <v>0</v>
      </c>
      <c r="AO359" s="50">
        <v>0</v>
      </c>
      <c r="AP359" s="50">
        <v>0</v>
      </c>
      <c r="AQ359" s="50">
        <v>0</v>
      </c>
      <c r="AR359" s="50">
        <v>0</v>
      </c>
      <c r="AS359" s="50"/>
      <c r="AT359" s="50">
        <f t="shared" si="4"/>
        <v>6416</v>
      </c>
      <c r="AU359" s="50">
        <v>0</v>
      </c>
      <c r="AV359" s="50">
        <v>5735.9</v>
      </c>
      <c r="AW359" s="50">
        <v>0</v>
      </c>
      <c r="AX359" s="50">
        <v>680.1</v>
      </c>
      <c r="AY359" s="50"/>
      <c r="AZ359" s="50">
        <f t="shared" si="227"/>
        <v>13634</v>
      </c>
      <c r="BA359" s="50">
        <v>0</v>
      </c>
      <c r="BB359" s="50">
        <v>12188.8</v>
      </c>
      <c r="BC359" s="50">
        <v>0</v>
      </c>
      <c r="BD359" s="50">
        <v>1445.2</v>
      </c>
      <c r="BE359" s="50"/>
      <c r="BF359" s="50">
        <f t="shared" si="6"/>
        <v>0</v>
      </c>
      <c r="BG359" s="50">
        <v>0</v>
      </c>
      <c r="BH359" s="50">
        <v>0</v>
      </c>
      <c r="BI359" s="50">
        <v>0</v>
      </c>
      <c r="BJ359" s="50">
        <v>0</v>
      </c>
      <c r="BK359" s="50"/>
      <c r="BL359" s="20"/>
    </row>
    <row r="360" spans="1:64" ht="84" x14ac:dyDescent="0.2">
      <c r="A360" s="69">
        <v>356</v>
      </c>
      <c r="B360" s="48" t="str">
        <f ca="1">IFERROR(__xludf.DUMMYFUNCTION("""COMPUTED_VALUE"""),"г.о. Шаховская")</f>
        <v>г.о. Шаховская</v>
      </c>
      <c r="C36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0" s="52" t="str">
        <f ca="1">IFERROR(__xludf.DUMMYFUNCTION("""COMPUTED_VALUE"""),"МинЖКХ ""ТОП 5 (2 этап)""")</f>
        <v>МинЖКХ "ТОП 5 (2 этап)"</v>
      </c>
      <c r="E360" s="45" t="s">
        <v>390</v>
      </c>
      <c r="F360" s="46" t="str">
        <f ca="1">IFERROR(__xludf.DUMMYFUNCTION("""COMPUTED_VALUE"""),"Сети")</f>
        <v>Сети</v>
      </c>
      <c r="G360" s="46" t="str">
        <f ca="1">IFERROR(__xludf.DUMMYFUNCTION("""COMPUTED_VALUE"""),"2022-2023")</f>
        <v>2022-2023</v>
      </c>
      <c r="H360" s="48"/>
      <c r="I360" s="48" t="str">
        <f ca="1">IFERROR(__xludf.DUMMYFUNCTION("""COMPUTED_VALUE"""),"СМР")</f>
        <v>СМР</v>
      </c>
      <c r="J360" s="48"/>
      <c r="K360" s="48"/>
      <c r="L360" s="48"/>
      <c r="M360" s="48"/>
      <c r="N360" s="48" t="str">
        <f ca="1">IFERROR(__xludf.DUMMYFUNCTION("""COMPUTED_VALUE"""),"10 3 02 64080")</f>
        <v>10 3 02 64080</v>
      </c>
      <c r="O360" s="48">
        <f ca="1">IFERROR(__xludf.DUMMYFUNCTION("""COMPUTED_VALUE"""),522)</f>
        <v>522</v>
      </c>
      <c r="P360" s="24">
        <f t="shared" ref="P360:T360" si="367">SUM(V360,AB360,AH360,AN360,AT360,AZ360,BF360)</f>
        <v>10400</v>
      </c>
      <c r="Q360" s="24">
        <f t="shared" si="367"/>
        <v>0</v>
      </c>
      <c r="R360" s="24">
        <f t="shared" si="367"/>
        <v>9297.6</v>
      </c>
      <c r="S360" s="24">
        <f t="shared" si="367"/>
        <v>0</v>
      </c>
      <c r="T360" s="24">
        <f t="shared" si="367"/>
        <v>1102.4000000000001</v>
      </c>
      <c r="U360" s="24"/>
      <c r="V360" s="24"/>
      <c r="W360" s="24"/>
      <c r="X360" s="24"/>
      <c r="Y360" s="24"/>
      <c r="Z360" s="24"/>
      <c r="AA360" s="24"/>
      <c r="AB360" s="24"/>
      <c r="AC360" s="50"/>
      <c r="AD360" s="50"/>
      <c r="AE360" s="50"/>
      <c r="AF360" s="50"/>
      <c r="AG360" s="50"/>
      <c r="AH360" s="50">
        <f t="shared" si="2"/>
        <v>0</v>
      </c>
      <c r="AI360" s="50">
        <v>0</v>
      </c>
      <c r="AJ360" s="50">
        <v>0</v>
      </c>
      <c r="AK360" s="50">
        <v>0</v>
      </c>
      <c r="AL360" s="50">
        <v>0</v>
      </c>
      <c r="AM360" s="50"/>
      <c r="AN360" s="24">
        <f t="shared" si="3"/>
        <v>0</v>
      </c>
      <c r="AO360" s="50">
        <v>0</v>
      </c>
      <c r="AP360" s="50">
        <v>0</v>
      </c>
      <c r="AQ360" s="50">
        <v>0</v>
      </c>
      <c r="AR360" s="50">
        <v>0</v>
      </c>
      <c r="AS360" s="50"/>
      <c r="AT360" s="50">
        <f t="shared" si="4"/>
        <v>3308</v>
      </c>
      <c r="AU360" s="50">
        <v>0</v>
      </c>
      <c r="AV360" s="50">
        <v>2957.35</v>
      </c>
      <c r="AW360" s="50">
        <v>0</v>
      </c>
      <c r="AX360" s="50">
        <v>350.65</v>
      </c>
      <c r="AY360" s="50"/>
      <c r="AZ360" s="50">
        <f t="shared" si="227"/>
        <v>7092</v>
      </c>
      <c r="BA360" s="50">
        <v>0</v>
      </c>
      <c r="BB360" s="50">
        <v>6340.25</v>
      </c>
      <c r="BC360" s="50">
        <v>0</v>
      </c>
      <c r="BD360" s="50">
        <v>751.75</v>
      </c>
      <c r="BE360" s="50"/>
      <c r="BF360" s="50">
        <f t="shared" si="6"/>
        <v>0</v>
      </c>
      <c r="BG360" s="50">
        <v>0</v>
      </c>
      <c r="BH360" s="50">
        <v>0</v>
      </c>
      <c r="BI360" s="50">
        <v>0</v>
      </c>
      <c r="BJ360" s="50">
        <v>0</v>
      </c>
      <c r="BK360" s="50"/>
      <c r="BL360" s="20"/>
    </row>
    <row r="361" spans="1:64" ht="84" x14ac:dyDescent="0.2">
      <c r="A361" s="69">
        <v>357</v>
      </c>
      <c r="B361" s="48" t="str">
        <f ca="1">IFERROR(__xludf.DUMMYFUNCTION("""COMPUTED_VALUE"""),"г.о. Наро-Фоминск")</f>
        <v>г.о. Наро-Фоминск</v>
      </c>
      <c r="C36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1" s="52" t="str">
        <f ca="1">IFERROR(__xludf.DUMMYFUNCTION("""COMPUTED_VALUE"""),"МинЖКХ ""ТОП 5 (2 этап)""")</f>
        <v>МинЖКХ "ТОП 5 (2 этап)"</v>
      </c>
      <c r="E361" s="45" t="s">
        <v>391</v>
      </c>
      <c r="F361" s="46" t="str">
        <f ca="1">IFERROR(__xludf.DUMMYFUNCTION("""COMPUTED_VALUE"""),"Котельная")</f>
        <v>Котельная</v>
      </c>
      <c r="G361" s="46">
        <f ca="1">IFERROR(__xludf.DUMMYFUNCTION("""COMPUTED_VALUE"""),2022)</f>
        <v>2022</v>
      </c>
      <c r="H361" s="48"/>
      <c r="I361" s="48" t="str">
        <f ca="1">IFERROR(__xludf.DUMMYFUNCTION("""COMPUTED_VALUE"""),"СМР")</f>
        <v>СМР</v>
      </c>
      <c r="J361" s="48"/>
      <c r="K361" s="48"/>
      <c r="L361" s="48"/>
      <c r="M361" s="48"/>
      <c r="N361" s="48" t="str">
        <f ca="1">IFERROR(__xludf.DUMMYFUNCTION("""COMPUTED_VALUE"""),"10 3 02 64080")</f>
        <v>10 3 02 64080</v>
      </c>
      <c r="O361" s="48">
        <f ca="1">IFERROR(__xludf.DUMMYFUNCTION("""COMPUTED_VALUE"""),522)</f>
        <v>522</v>
      </c>
      <c r="P361" s="24">
        <f t="shared" ref="P361:T361" si="368">SUM(V361,AB361,AH361,AN361,AT361,AZ361,BF361)</f>
        <v>18000</v>
      </c>
      <c r="Q361" s="24">
        <f t="shared" si="368"/>
        <v>0</v>
      </c>
      <c r="R361" s="24">
        <f t="shared" si="368"/>
        <v>13662</v>
      </c>
      <c r="S361" s="24">
        <f t="shared" si="368"/>
        <v>0</v>
      </c>
      <c r="T361" s="24">
        <f t="shared" si="368"/>
        <v>4338</v>
      </c>
      <c r="U361" s="24"/>
      <c r="V361" s="24"/>
      <c r="W361" s="24"/>
      <c r="X361" s="24"/>
      <c r="Y361" s="24"/>
      <c r="Z361" s="24"/>
      <c r="AA361" s="24"/>
      <c r="AB361" s="24"/>
      <c r="AC361" s="50"/>
      <c r="AD361" s="50"/>
      <c r="AE361" s="50"/>
      <c r="AF361" s="50"/>
      <c r="AG361" s="50"/>
      <c r="AH361" s="50">
        <f t="shared" si="2"/>
        <v>0</v>
      </c>
      <c r="AI361" s="50">
        <v>0</v>
      </c>
      <c r="AJ361" s="50">
        <v>0</v>
      </c>
      <c r="AK361" s="50">
        <v>0</v>
      </c>
      <c r="AL361" s="50">
        <v>0</v>
      </c>
      <c r="AM361" s="50"/>
      <c r="AN361" s="24">
        <f t="shared" si="3"/>
        <v>0</v>
      </c>
      <c r="AO361" s="50">
        <v>0</v>
      </c>
      <c r="AP361" s="50">
        <v>0</v>
      </c>
      <c r="AQ361" s="50">
        <v>0</v>
      </c>
      <c r="AR361" s="50">
        <v>0</v>
      </c>
      <c r="AS361" s="50"/>
      <c r="AT361" s="50">
        <f t="shared" si="4"/>
        <v>18000</v>
      </c>
      <c r="AU361" s="50">
        <v>0</v>
      </c>
      <c r="AV361" s="50">
        <v>13662</v>
      </c>
      <c r="AW361" s="50">
        <v>0</v>
      </c>
      <c r="AX361" s="50">
        <v>4338</v>
      </c>
      <c r="AY361" s="50"/>
      <c r="AZ361" s="50">
        <f t="shared" si="227"/>
        <v>0</v>
      </c>
      <c r="BA361" s="50">
        <v>0</v>
      </c>
      <c r="BB361" s="50">
        <v>0</v>
      </c>
      <c r="BC361" s="50">
        <v>0</v>
      </c>
      <c r="BD361" s="50">
        <v>0</v>
      </c>
      <c r="BE361" s="50"/>
      <c r="BF361" s="50">
        <f t="shared" si="6"/>
        <v>0</v>
      </c>
      <c r="BG361" s="50">
        <v>0</v>
      </c>
      <c r="BH361" s="50">
        <v>0</v>
      </c>
      <c r="BI361" s="50">
        <v>0</v>
      </c>
      <c r="BJ361" s="50">
        <v>0</v>
      </c>
      <c r="BK361" s="50"/>
      <c r="BL361" s="20"/>
    </row>
    <row r="362" spans="1:64" ht="84" x14ac:dyDescent="0.2">
      <c r="A362" s="69">
        <v>358</v>
      </c>
      <c r="B362" s="48" t="str">
        <f ca="1">IFERROR(__xludf.DUMMYFUNCTION("""COMPUTED_VALUE"""),"г.о. Наро-Фоминск")</f>
        <v>г.о. Наро-Фоминск</v>
      </c>
      <c r="C36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2" s="52" t="str">
        <f ca="1">IFERROR(__xludf.DUMMYFUNCTION("""COMPUTED_VALUE"""),"МинЖКХ ""ТОП 5 (2 этап)""")</f>
        <v>МинЖКХ "ТОП 5 (2 этап)"</v>
      </c>
      <c r="E362" s="45" t="s">
        <v>392</v>
      </c>
      <c r="F362" s="46" t="str">
        <f ca="1">IFERROR(__xludf.DUMMYFUNCTION("""COMPUTED_VALUE"""),"Сети")</f>
        <v>Сети</v>
      </c>
      <c r="G362" s="46">
        <f ca="1">IFERROR(__xludf.DUMMYFUNCTION("""COMPUTED_VALUE"""),2022)</f>
        <v>2022</v>
      </c>
      <c r="H362" s="48"/>
      <c r="I362" s="48" t="str">
        <f ca="1">IFERROR(__xludf.DUMMYFUNCTION("""COMPUTED_VALUE"""),"СМР")</f>
        <v>СМР</v>
      </c>
      <c r="J362" s="48"/>
      <c r="K362" s="48"/>
      <c r="L362" s="48"/>
      <c r="M362" s="48"/>
      <c r="N362" s="48" t="str">
        <f ca="1">IFERROR(__xludf.DUMMYFUNCTION("""COMPUTED_VALUE"""),"10 3 02 64080")</f>
        <v>10 3 02 64080</v>
      </c>
      <c r="O362" s="48">
        <f ca="1">IFERROR(__xludf.DUMMYFUNCTION("""COMPUTED_VALUE"""),522)</f>
        <v>522</v>
      </c>
      <c r="P362" s="24">
        <f t="shared" ref="P362:T362" si="369">SUM(V362,AB362,AH362,AN362,AT362,AZ362,BF362)</f>
        <v>8560.9</v>
      </c>
      <c r="Q362" s="24">
        <f t="shared" si="369"/>
        <v>0</v>
      </c>
      <c r="R362" s="24">
        <f t="shared" si="369"/>
        <v>6497.72</v>
      </c>
      <c r="S362" s="24">
        <f t="shared" si="369"/>
        <v>0</v>
      </c>
      <c r="T362" s="24">
        <f t="shared" si="369"/>
        <v>2063.1799999999998</v>
      </c>
      <c r="U362" s="24"/>
      <c r="V362" s="24"/>
      <c r="W362" s="24"/>
      <c r="X362" s="24"/>
      <c r="Y362" s="24"/>
      <c r="Z362" s="24"/>
      <c r="AA362" s="24"/>
      <c r="AB362" s="24"/>
      <c r="AC362" s="50"/>
      <c r="AD362" s="50"/>
      <c r="AE362" s="50"/>
      <c r="AF362" s="50"/>
      <c r="AG362" s="50"/>
      <c r="AH362" s="50">
        <f t="shared" si="2"/>
        <v>0</v>
      </c>
      <c r="AI362" s="50">
        <v>0</v>
      </c>
      <c r="AJ362" s="50">
        <v>0</v>
      </c>
      <c r="AK362" s="50">
        <v>0</v>
      </c>
      <c r="AL362" s="50">
        <v>0</v>
      </c>
      <c r="AM362" s="50"/>
      <c r="AN362" s="24">
        <f t="shared" si="3"/>
        <v>0</v>
      </c>
      <c r="AO362" s="50">
        <v>0</v>
      </c>
      <c r="AP362" s="50">
        <v>0</v>
      </c>
      <c r="AQ362" s="50">
        <v>0</v>
      </c>
      <c r="AR362" s="50">
        <v>0</v>
      </c>
      <c r="AS362" s="50"/>
      <c r="AT362" s="50">
        <f t="shared" si="4"/>
        <v>8560.9</v>
      </c>
      <c r="AU362" s="50">
        <v>0</v>
      </c>
      <c r="AV362" s="50">
        <v>6497.72</v>
      </c>
      <c r="AW362" s="50">
        <v>0</v>
      </c>
      <c r="AX362" s="50">
        <v>2063.1799999999998</v>
      </c>
      <c r="AY362" s="50"/>
      <c r="AZ362" s="50">
        <f t="shared" si="227"/>
        <v>0</v>
      </c>
      <c r="BA362" s="50">
        <v>0</v>
      </c>
      <c r="BB362" s="50">
        <v>0</v>
      </c>
      <c r="BC362" s="50">
        <v>0</v>
      </c>
      <c r="BD362" s="50">
        <v>0</v>
      </c>
      <c r="BE362" s="50"/>
      <c r="BF362" s="50">
        <f t="shared" si="6"/>
        <v>0</v>
      </c>
      <c r="BG362" s="50">
        <v>0</v>
      </c>
      <c r="BH362" s="50">
        <v>0</v>
      </c>
      <c r="BI362" s="50">
        <v>0</v>
      </c>
      <c r="BJ362" s="50">
        <v>0</v>
      </c>
      <c r="BK362" s="50"/>
      <c r="BL362" s="20"/>
    </row>
    <row r="363" spans="1:64" ht="84" x14ac:dyDescent="0.2">
      <c r="A363" s="69">
        <v>359</v>
      </c>
      <c r="B363" s="48" t="str">
        <f ca="1">IFERROR(__xludf.DUMMYFUNCTION("""COMPUTED_VALUE"""),"г.о. Талдомский")</f>
        <v>г.о. Талдомский</v>
      </c>
      <c r="C36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3" s="52" t="str">
        <f ca="1">IFERROR(__xludf.DUMMYFUNCTION("""COMPUTED_VALUE"""),"МинЖКХ ""ТОП 5 (2 этап)""")</f>
        <v>МинЖКХ "ТОП 5 (2 этап)"</v>
      </c>
      <c r="E363" s="45" t="s">
        <v>393</v>
      </c>
      <c r="F363" s="46" t="str">
        <f ca="1">IFERROR(__xludf.DUMMYFUNCTION("""COMPUTED_VALUE"""),"Котельная")</f>
        <v>Котельная</v>
      </c>
      <c r="G363" s="46" t="str">
        <f ca="1">IFERROR(__xludf.DUMMYFUNCTION("""COMPUTED_VALUE"""),"2022-2024")</f>
        <v>2022-2024</v>
      </c>
      <c r="H363" s="48"/>
      <c r="I363" s="48" t="str">
        <f ca="1">IFERROR(__xludf.DUMMYFUNCTION("""COMPUTED_VALUE"""),"СМР")</f>
        <v>СМР</v>
      </c>
      <c r="J363" s="48"/>
      <c r="K363" s="48"/>
      <c r="L363" s="48"/>
      <c r="M363" s="48"/>
      <c r="N363" s="48" t="str">
        <f ca="1">IFERROR(__xludf.DUMMYFUNCTION("""COMPUTED_VALUE"""),"10 3 02 64080")</f>
        <v>10 3 02 64080</v>
      </c>
      <c r="O363" s="48">
        <f ca="1">IFERROR(__xludf.DUMMYFUNCTION("""COMPUTED_VALUE"""),522)</f>
        <v>522</v>
      </c>
      <c r="P363" s="24">
        <f t="shared" ref="P363:T363" si="370">SUM(V363,AB363,AH363,AN363,AT363,AZ363,BF363)</f>
        <v>35184</v>
      </c>
      <c r="Q363" s="24">
        <f t="shared" si="370"/>
        <v>0</v>
      </c>
      <c r="R363" s="24">
        <f t="shared" si="370"/>
        <v>30611.299999999996</v>
      </c>
      <c r="S363" s="24">
        <f t="shared" si="370"/>
        <v>0</v>
      </c>
      <c r="T363" s="24">
        <f t="shared" si="370"/>
        <v>4572.7000000000007</v>
      </c>
      <c r="U363" s="24"/>
      <c r="V363" s="24"/>
      <c r="W363" s="24"/>
      <c r="X363" s="24"/>
      <c r="Y363" s="24"/>
      <c r="Z363" s="24"/>
      <c r="AA363" s="24"/>
      <c r="AB363" s="24"/>
      <c r="AC363" s="50"/>
      <c r="AD363" s="50"/>
      <c r="AE363" s="50"/>
      <c r="AF363" s="50"/>
      <c r="AG363" s="50"/>
      <c r="AH363" s="50">
        <f t="shared" si="2"/>
        <v>0</v>
      </c>
      <c r="AI363" s="50">
        <v>0</v>
      </c>
      <c r="AJ363" s="50">
        <v>0</v>
      </c>
      <c r="AK363" s="50">
        <v>0</v>
      </c>
      <c r="AL363" s="50">
        <v>0</v>
      </c>
      <c r="AM363" s="50"/>
      <c r="AN363" s="24">
        <f t="shared" si="3"/>
        <v>0</v>
      </c>
      <c r="AO363" s="50">
        <v>0</v>
      </c>
      <c r="AP363" s="50">
        <v>0</v>
      </c>
      <c r="AQ363" s="50">
        <v>0</v>
      </c>
      <c r="AR363" s="50">
        <v>0</v>
      </c>
      <c r="AS363" s="50"/>
      <c r="AT363" s="50">
        <f t="shared" si="4"/>
        <v>1224</v>
      </c>
      <c r="AU363" s="50">
        <v>0</v>
      </c>
      <c r="AV363" s="50">
        <v>1066.0999999999999</v>
      </c>
      <c r="AW363" s="50">
        <v>0</v>
      </c>
      <c r="AX363" s="50">
        <v>157.9</v>
      </c>
      <c r="AY363" s="50"/>
      <c r="AZ363" s="50">
        <f t="shared" si="227"/>
        <v>20376</v>
      </c>
      <c r="BA363" s="50">
        <v>0</v>
      </c>
      <c r="BB363" s="50">
        <v>17727.12</v>
      </c>
      <c r="BC363" s="50">
        <v>0</v>
      </c>
      <c r="BD363" s="50">
        <v>2648.88</v>
      </c>
      <c r="BE363" s="50"/>
      <c r="BF363" s="50">
        <f t="shared" si="6"/>
        <v>13584</v>
      </c>
      <c r="BG363" s="50">
        <v>0</v>
      </c>
      <c r="BH363" s="50">
        <v>11818.08</v>
      </c>
      <c r="BI363" s="50">
        <v>0</v>
      </c>
      <c r="BJ363" s="50">
        <v>1765.92</v>
      </c>
      <c r="BK363" s="50"/>
      <c r="BL363" s="20"/>
    </row>
    <row r="364" spans="1:64" ht="84" x14ac:dyDescent="0.2">
      <c r="A364" s="69">
        <v>360</v>
      </c>
      <c r="B364" s="48" t="str">
        <f ca="1">IFERROR(__xludf.DUMMYFUNCTION("""COMPUTED_VALUE"""),"г.о. Талдомский")</f>
        <v>г.о. Талдомский</v>
      </c>
      <c r="C36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4" s="52" t="str">
        <f ca="1">IFERROR(__xludf.DUMMYFUNCTION("""COMPUTED_VALUE"""),"МинЖКХ ""ТОП 5 (2 этап)""")</f>
        <v>МинЖКХ "ТОП 5 (2 этап)"</v>
      </c>
      <c r="E364" s="45" t="s">
        <v>394</v>
      </c>
      <c r="F364" s="46" t="str">
        <f ca="1">IFERROR(__xludf.DUMMYFUNCTION("""COMPUTED_VALUE"""),"Котельная")</f>
        <v>Котельная</v>
      </c>
      <c r="G364" s="46" t="str">
        <f ca="1">IFERROR(__xludf.DUMMYFUNCTION("""COMPUTED_VALUE"""),"2022-2024")</f>
        <v>2022-2024</v>
      </c>
      <c r="H364" s="48"/>
      <c r="I364" s="48" t="str">
        <f ca="1">IFERROR(__xludf.DUMMYFUNCTION("""COMPUTED_VALUE"""),"СМР")</f>
        <v>СМР</v>
      </c>
      <c r="J364" s="48"/>
      <c r="K364" s="48"/>
      <c r="L364" s="48"/>
      <c r="M364" s="48"/>
      <c r="N364" s="48" t="str">
        <f ca="1">IFERROR(__xludf.DUMMYFUNCTION("""COMPUTED_VALUE"""),"10 3 02 64080")</f>
        <v>10 3 02 64080</v>
      </c>
      <c r="O364" s="48">
        <f ca="1">IFERROR(__xludf.DUMMYFUNCTION("""COMPUTED_VALUE"""),522)</f>
        <v>522</v>
      </c>
      <c r="P364" s="24">
        <f t="shared" ref="P364:T364" si="371">SUM(V364,AB364,AH364,AN364,AT364,AZ364,BF364)</f>
        <v>45240</v>
      </c>
      <c r="Q364" s="24">
        <f t="shared" si="371"/>
        <v>0</v>
      </c>
      <c r="R364" s="24">
        <f t="shared" si="371"/>
        <v>39360.840000000004</v>
      </c>
      <c r="S364" s="24">
        <f t="shared" si="371"/>
        <v>0</v>
      </c>
      <c r="T364" s="24">
        <f t="shared" si="371"/>
        <v>5879.16</v>
      </c>
      <c r="U364" s="24"/>
      <c r="V364" s="24"/>
      <c r="W364" s="24"/>
      <c r="X364" s="24"/>
      <c r="Y364" s="24"/>
      <c r="Z364" s="24"/>
      <c r="AA364" s="24"/>
      <c r="AB364" s="24"/>
      <c r="AC364" s="50"/>
      <c r="AD364" s="50"/>
      <c r="AE364" s="50"/>
      <c r="AF364" s="50"/>
      <c r="AG364" s="50"/>
      <c r="AH364" s="50">
        <f t="shared" si="2"/>
        <v>0</v>
      </c>
      <c r="AI364" s="50">
        <v>0</v>
      </c>
      <c r="AJ364" s="50">
        <v>0</v>
      </c>
      <c r="AK364" s="50">
        <v>0</v>
      </c>
      <c r="AL364" s="50">
        <v>0</v>
      </c>
      <c r="AM364" s="50"/>
      <c r="AN364" s="24">
        <f t="shared" si="3"/>
        <v>0</v>
      </c>
      <c r="AO364" s="50">
        <v>0</v>
      </c>
      <c r="AP364" s="50">
        <v>0</v>
      </c>
      <c r="AQ364" s="50">
        <v>0</v>
      </c>
      <c r="AR364" s="50">
        <v>0</v>
      </c>
      <c r="AS364" s="50"/>
      <c r="AT364" s="50">
        <f t="shared" si="4"/>
        <v>2040</v>
      </c>
      <c r="AU364" s="50">
        <v>0</v>
      </c>
      <c r="AV364" s="50">
        <v>1776.84</v>
      </c>
      <c r="AW364" s="50">
        <v>0</v>
      </c>
      <c r="AX364" s="50">
        <v>263.16000000000003</v>
      </c>
      <c r="AY364" s="50"/>
      <c r="AZ364" s="50">
        <f t="shared" si="227"/>
        <v>25920</v>
      </c>
      <c r="BA364" s="50">
        <v>0</v>
      </c>
      <c r="BB364" s="50">
        <v>22550.400000000001</v>
      </c>
      <c r="BC364" s="50">
        <v>0</v>
      </c>
      <c r="BD364" s="50">
        <v>3369.6</v>
      </c>
      <c r="BE364" s="50"/>
      <c r="BF364" s="50">
        <f t="shared" si="6"/>
        <v>17280</v>
      </c>
      <c r="BG364" s="50">
        <v>0</v>
      </c>
      <c r="BH364" s="50">
        <v>15033.6</v>
      </c>
      <c r="BI364" s="50">
        <v>0</v>
      </c>
      <c r="BJ364" s="50">
        <v>2246.4</v>
      </c>
      <c r="BK364" s="50"/>
      <c r="BL364" s="20"/>
    </row>
    <row r="365" spans="1:64" ht="84" x14ac:dyDescent="0.2">
      <c r="A365" s="69">
        <v>361</v>
      </c>
      <c r="B365" s="48" t="str">
        <f ca="1">IFERROR(__xludf.DUMMYFUNCTION("""COMPUTED_VALUE"""),"г.о. Талдомский")</f>
        <v>г.о. Талдомский</v>
      </c>
      <c r="C36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5" s="52" t="str">
        <f ca="1">IFERROR(__xludf.DUMMYFUNCTION("""COMPUTED_VALUE"""),"МинЖКХ ""ТОП 5 (2 этап)""")</f>
        <v>МинЖКХ "ТОП 5 (2 этап)"</v>
      </c>
      <c r="E365" s="45" t="s">
        <v>395</v>
      </c>
      <c r="F365" s="46" t="str">
        <f ca="1">IFERROR(__xludf.DUMMYFUNCTION("""COMPUTED_VALUE"""),"Котельная")</f>
        <v>Котельная</v>
      </c>
      <c r="G365" s="46" t="str">
        <f ca="1">IFERROR(__xludf.DUMMYFUNCTION("""COMPUTED_VALUE"""),"2022-2024")</f>
        <v>2022-2024</v>
      </c>
      <c r="H365" s="48"/>
      <c r="I365" s="48" t="str">
        <f ca="1">IFERROR(__xludf.DUMMYFUNCTION("""COMPUTED_VALUE"""),"СМР")</f>
        <v>СМР</v>
      </c>
      <c r="J365" s="48"/>
      <c r="K365" s="48"/>
      <c r="L365" s="48"/>
      <c r="M365" s="48"/>
      <c r="N365" s="48" t="str">
        <f ca="1">IFERROR(__xludf.DUMMYFUNCTION("""COMPUTED_VALUE"""),"10 3 02 64080")</f>
        <v>10 3 02 64080</v>
      </c>
      <c r="O365" s="48">
        <f ca="1">IFERROR(__xludf.DUMMYFUNCTION("""COMPUTED_VALUE"""),522)</f>
        <v>522</v>
      </c>
      <c r="P365" s="24">
        <f t="shared" ref="P365:T365" si="372">SUM(V365,AB365,AH365,AN365,AT365,AZ365,BF365)</f>
        <v>31050</v>
      </c>
      <c r="Q365" s="24">
        <f t="shared" si="372"/>
        <v>0</v>
      </c>
      <c r="R365" s="24">
        <f t="shared" si="372"/>
        <v>27014.55</v>
      </c>
      <c r="S365" s="24">
        <f t="shared" si="372"/>
        <v>0</v>
      </c>
      <c r="T365" s="24">
        <f t="shared" si="372"/>
        <v>4035.45</v>
      </c>
      <c r="U365" s="24"/>
      <c r="V365" s="24"/>
      <c r="W365" s="24"/>
      <c r="X365" s="24"/>
      <c r="Y365" s="24"/>
      <c r="Z365" s="24"/>
      <c r="AA365" s="24"/>
      <c r="AB365" s="24"/>
      <c r="AC365" s="50"/>
      <c r="AD365" s="50"/>
      <c r="AE365" s="50"/>
      <c r="AF365" s="50"/>
      <c r="AG365" s="50"/>
      <c r="AH365" s="50">
        <f t="shared" si="2"/>
        <v>0</v>
      </c>
      <c r="AI365" s="50">
        <v>0</v>
      </c>
      <c r="AJ365" s="50">
        <v>0</v>
      </c>
      <c r="AK365" s="50">
        <v>0</v>
      </c>
      <c r="AL365" s="50">
        <v>0</v>
      </c>
      <c r="AM365" s="50"/>
      <c r="AN365" s="24">
        <f t="shared" si="3"/>
        <v>0</v>
      </c>
      <c r="AO365" s="50">
        <v>0</v>
      </c>
      <c r="AP365" s="50">
        <v>0</v>
      </c>
      <c r="AQ365" s="50">
        <v>0</v>
      </c>
      <c r="AR365" s="50">
        <v>0</v>
      </c>
      <c r="AS365" s="50"/>
      <c r="AT365" s="50">
        <f t="shared" si="4"/>
        <v>1050</v>
      </c>
      <c r="AU365" s="50">
        <v>0</v>
      </c>
      <c r="AV365" s="50">
        <v>914.55</v>
      </c>
      <c r="AW365" s="50">
        <v>0</v>
      </c>
      <c r="AX365" s="50">
        <v>135.44999999999999</v>
      </c>
      <c r="AY365" s="50"/>
      <c r="AZ365" s="50">
        <f t="shared" si="227"/>
        <v>18000</v>
      </c>
      <c r="BA365" s="50">
        <v>0</v>
      </c>
      <c r="BB365" s="50">
        <v>15660</v>
      </c>
      <c r="BC365" s="50">
        <v>0</v>
      </c>
      <c r="BD365" s="50">
        <v>2340</v>
      </c>
      <c r="BE365" s="50"/>
      <c r="BF365" s="50">
        <f t="shared" si="6"/>
        <v>12000</v>
      </c>
      <c r="BG365" s="50">
        <v>0</v>
      </c>
      <c r="BH365" s="50">
        <v>10440</v>
      </c>
      <c r="BI365" s="50">
        <v>0</v>
      </c>
      <c r="BJ365" s="50">
        <v>1560</v>
      </c>
      <c r="BK365" s="50"/>
      <c r="BL365" s="20"/>
    </row>
    <row r="366" spans="1:64" ht="84" x14ac:dyDescent="0.2">
      <c r="A366" s="69">
        <v>362</v>
      </c>
      <c r="B366" s="48" t="str">
        <f ca="1">IFERROR(__xludf.DUMMYFUNCTION("""COMPUTED_VALUE"""),"г.о. Талдомский")</f>
        <v>г.о. Талдомский</v>
      </c>
      <c r="C36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6" s="52" t="str">
        <f ca="1">IFERROR(__xludf.DUMMYFUNCTION("""COMPUTED_VALUE"""),"МинЖКХ ""ТОП 5 (2 этап)""")</f>
        <v>МинЖКХ "ТОП 5 (2 этап)"</v>
      </c>
      <c r="E366" s="45" t="s">
        <v>396</v>
      </c>
      <c r="F366" s="46" t="str">
        <f ca="1">IFERROR(__xludf.DUMMYFUNCTION("""COMPUTED_VALUE"""),"Котельная")</f>
        <v>Котельная</v>
      </c>
      <c r="G366" s="46" t="str">
        <f ca="1">IFERROR(__xludf.DUMMYFUNCTION("""COMPUTED_VALUE"""),"2023-2024")</f>
        <v>2023-2024</v>
      </c>
      <c r="H366" s="48"/>
      <c r="I366" s="48" t="str">
        <f ca="1">IFERROR(__xludf.DUMMYFUNCTION("""COMPUTED_VALUE"""),"СМР")</f>
        <v>СМР</v>
      </c>
      <c r="J366" s="48"/>
      <c r="K366" s="48"/>
      <c r="L366" s="48"/>
      <c r="M366" s="48"/>
      <c r="N366" s="48" t="str">
        <f ca="1">IFERROR(__xludf.DUMMYFUNCTION("""COMPUTED_VALUE"""),"10 3 02 64080")</f>
        <v>10 3 02 64080</v>
      </c>
      <c r="O366" s="48">
        <f ca="1">IFERROR(__xludf.DUMMYFUNCTION("""COMPUTED_VALUE"""),522)</f>
        <v>522</v>
      </c>
      <c r="P366" s="24">
        <f t="shared" ref="P366:T366" si="373">SUM(V366,AB366,AH366,AN366,AT366,AZ366,BF366)</f>
        <v>10794</v>
      </c>
      <c r="Q366" s="24">
        <f t="shared" si="373"/>
        <v>0</v>
      </c>
      <c r="R366" s="24">
        <f t="shared" si="373"/>
        <v>9391.3700000000008</v>
      </c>
      <c r="S366" s="24">
        <f t="shared" si="373"/>
        <v>0</v>
      </c>
      <c r="T366" s="24">
        <f t="shared" si="373"/>
        <v>1402.63</v>
      </c>
      <c r="U366" s="24"/>
      <c r="V366" s="24"/>
      <c r="W366" s="24"/>
      <c r="X366" s="24"/>
      <c r="Y366" s="24"/>
      <c r="Z366" s="24"/>
      <c r="AA366" s="24"/>
      <c r="AB366" s="24"/>
      <c r="AC366" s="50"/>
      <c r="AD366" s="50"/>
      <c r="AE366" s="50"/>
      <c r="AF366" s="50"/>
      <c r="AG366" s="50"/>
      <c r="AH366" s="50">
        <f t="shared" si="2"/>
        <v>0</v>
      </c>
      <c r="AI366" s="50">
        <v>0</v>
      </c>
      <c r="AJ366" s="50">
        <v>0</v>
      </c>
      <c r="AK366" s="50">
        <v>0</v>
      </c>
      <c r="AL366" s="50">
        <v>0</v>
      </c>
      <c r="AM366" s="50"/>
      <c r="AN366" s="24">
        <f t="shared" si="3"/>
        <v>0</v>
      </c>
      <c r="AO366" s="50">
        <v>0</v>
      </c>
      <c r="AP366" s="50">
        <v>0</v>
      </c>
      <c r="AQ366" s="50">
        <v>0</v>
      </c>
      <c r="AR366" s="50">
        <v>0</v>
      </c>
      <c r="AS366" s="50"/>
      <c r="AT366" s="50">
        <f t="shared" si="4"/>
        <v>0</v>
      </c>
      <c r="AU366" s="50">
        <v>0</v>
      </c>
      <c r="AV366" s="50">
        <v>0</v>
      </c>
      <c r="AW366" s="50">
        <v>0</v>
      </c>
      <c r="AX366" s="50">
        <v>0</v>
      </c>
      <c r="AY366" s="50"/>
      <c r="AZ366" s="50">
        <f t="shared" si="227"/>
        <v>594</v>
      </c>
      <c r="BA366" s="50">
        <v>0</v>
      </c>
      <c r="BB366" s="50">
        <v>517.37</v>
      </c>
      <c r="BC366" s="50">
        <v>0</v>
      </c>
      <c r="BD366" s="50">
        <v>76.63</v>
      </c>
      <c r="BE366" s="50"/>
      <c r="BF366" s="50">
        <f t="shared" si="6"/>
        <v>10200</v>
      </c>
      <c r="BG366" s="50">
        <v>0</v>
      </c>
      <c r="BH366" s="50">
        <v>8874</v>
      </c>
      <c r="BI366" s="50">
        <v>0</v>
      </c>
      <c r="BJ366" s="50">
        <v>1326</v>
      </c>
      <c r="BK366" s="50"/>
      <c r="BL366" s="20"/>
    </row>
    <row r="367" spans="1:64" ht="84" x14ac:dyDescent="0.2">
      <c r="A367" s="69">
        <v>363</v>
      </c>
      <c r="B367" s="48" t="str">
        <f ca="1">IFERROR(__xludf.DUMMYFUNCTION("""COMPUTED_VALUE"""),"г.о. Наро-Фоминск")</f>
        <v>г.о. Наро-Фоминск</v>
      </c>
      <c r="C36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7" s="52" t="str">
        <f ca="1">IFERROR(__xludf.DUMMYFUNCTION("""COMPUTED_VALUE"""),"МинЖКХ ""ТОП 5 (2 этап)""")</f>
        <v>МинЖКХ "ТОП 5 (2 этап)"</v>
      </c>
      <c r="E367" s="45" t="s">
        <v>397</v>
      </c>
      <c r="F367" s="46" t="str">
        <f ca="1">IFERROR(__xludf.DUMMYFUNCTION("""COMPUTED_VALUE"""),"Котельная")</f>
        <v>Котельная</v>
      </c>
      <c r="G367" s="46" t="str">
        <f ca="1">IFERROR(__xludf.DUMMYFUNCTION("""COMPUTED_VALUE"""),"2022-2023")</f>
        <v>2022-2023</v>
      </c>
      <c r="H367" s="48"/>
      <c r="I367" s="48" t="str">
        <f ca="1">IFERROR(__xludf.DUMMYFUNCTION("""COMPUTED_VALUE"""),"СМР")</f>
        <v>СМР</v>
      </c>
      <c r="J367" s="48"/>
      <c r="K367" s="48"/>
      <c r="L367" s="48"/>
      <c r="M367" s="48"/>
      <c r="N367" s="48" t="str">
        <f ca="1">IFERROR(__xludf.DUMMYFUNCTION("""COMPUTED_VALUE"""),"10 3 02 64080")</f>
        <v>10 3 02 64080</v>
      </c>
      <c r="O367" s="48">
        <f ca="1">IFERROR(__xludf.DUMMYFUNCTION("""COMPUTED_VALUE"""),522)</f>
        <v>522</v>
      </c>
      <c r="P367" s="24">
        <f t="shared" ref="P367:T367" si="374">SUM(V367,AB367,AH367,AN367,AT367,AZ367,BF367)</f>
        <v>25500</v>
      </c>
      <c r="Q367" s="24">
        <f t="shared" si="374"/>
        <v>0</v>
      </c>
      <c r="R367" s="24">
        <f t="shared" si="374"/>
        <v>19354.5</v>
      </c>
      <c r="S367" s="24">
        <f t="shared" si="374"/>
        <v>0</v>
      </c>
      <c r="T367" s="24">
        <f t="shared" si="374"/>
        <v>6145.5</v>
      </c>
      <c r="U367" s="24"/>
      <c r="V367" s="24"/>
      <c r="W367" s="24"/>
      <c r="X367" s="24"/>
      <c r="Y367" s="24"/>
      <c r="Z367" s="24"/>
      <c r="AA367" s="24"/>
      <c r="AB367" s="24"/>
      <c r="AC367" s="50"/>
      <c r="AD367" s="50"/>
      <c r="AE367" s="50"/>
      <c r="AF367" s="50"/>
      <c r="AG367" s="50"/>
      <c r="AH367" s="50">
        <f t="shared" si="2"/>
        <v>0</v>
      </c>
      <c r="AI367" s="50">
        <v>0</v>
      </c>
      <c r="AJ367" s="50">
        <v>0</v>
      </c>
      <c r="AK367" s="50">
        <v>0</v>
      </c>
      <c r="AL367" s="50">
        <v>0</v>
      </c>
      <c r="AM367" s="50"/>
      <c r="AN367" s="24">
        <f t="shared" si="3"/>
        <v>0</v>
      </c>
      <c r="AO367" s="50">
        <v>0</v>
      </c>
      <c r="AP367" s="50">
        <v>0</v>
      </c>
      <c r="AQ367" s="50">
        <v>0</v>
      </c>
      <c r="AR367" s="50">
        <v>0</v>
      </c>
      <c r="AS367" s="50"/>
      <c r="AT367" s="50">
        <f t="shared" si="4"/>
        <v>2500</v>
      </c>
      <c r="AU367" s="50">
        <v>0</v>
      </c>
      <c r="AV367" s="50">
        <v>1897.5</v>
      </c>
      <c r="AW367" s="50">
        <v>0</v>
      </c>
      <c r="AX367" s="50">
        <v>602.5</v>
      </c>
      <c r="AY367" s="50"/>
      <c r="AZ367" s="50">
        <f t="shared" si="227"/>
        <v>23000</v>
      </c>
      <c r="BA367" s="50">
        <v>0</v>
      </c>
      <c r="BB367" s="50">
        <v>17457</v>
      </c>
      <c r="BC367" s="50">
        <v>0</v>
      </c>
      <c r="BD367" s="50">
        <v>5543</v>
      </c>
      <c r="BE367" s="50"/>
      <c r="BF367" s="50">
        <f t="shared" si="6"/>
        <v>0</v>
      </c>
      <c r="BG367" s="50">
        <v>0</v>
      </c>
      <c r="BH367" s="50">
        <v>0</v>
      </c>
      <c r="BI367" s="50">
        <v>0</v>
      </c>
      <c r="BJ367" s="50">
        <v>0</v>
      </c>
      <c r="BK367" s="50"/>
      <c r="BL367" s="20"/>
    </row>
    <row r="368" spans="1:64" ht="84" x14ac:dyDescent="0.2">
      <c r="A368" s="69">
        <v>364</v>
      </c>
      <c r="B368" s="48" t="str">
        <f ca="1">IFERROR(__xludf.DUMMYFUNCTION("""COMPUTED_VALUE"""),"г.о. Лотошино")</f>
        <v>г.о. Лотошино</v>
      </c>
      <c r="C36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8" s="52" t="str">
        <f ca="1">IFERROR(__xludf.DUMMYFUNCTION("""COMPUTED_VALUE"""),"МинЖКХ ""ТОП 5 (2 этап)""")</f>
        <v>МинЖКХ "ТОП 5 (2 этап)"</v>
      </c>
      <c r="E368" s="45" t="s">
        <v>398</v>
      </c>
      <c r="F368" s="46" t="str">
        <f ca="1">IFERROR(__xludf.DUMMYFUNCTION("""COMPUTED_VALUE"""),"Котельная")</f>
        <v>Котельная</v>
      </c>
      <c r="G368" s="46" t="str">
        <f ca="1">IFERROR(__xludf.DUMMYFUNCTION("""COMPUTED_VALUE"""),"2022-2023")</f>
        <v>2022-2023</v>
      </c>
      <c r="H368" s="48"/>
      <c r="I368" s="48" t="str">
        <f ca="1">IFERROR(__xludf.DUMMYFUNCTION("""COMPUTED_VALUE"""),"СМР")</f>
        <v>СМР</v>
      </c>
      <c r="J368" s="48"/>
      <c r="K368" s="48"/>
      <c r="L368" s="48"/>
      <c r="M368" s="48"/>
      <c r="N368" s="48" t="str">
        <f ca="1">IFERROR(__xludf.DUMMYFUNCTION("""COMPUTED_VALUE"""),"10 3 02 64080")</f>
        <v>10 3 02 64080</v>
      </c>
      <c r="O368" s="48">
        <f ca="1">IFERROR(__xludf.DUMMYFUNCTION("""COMPUTED_VALUE"""),522)</f>
        <v>522</v>
      </c>
      <c r="P368" s="24">
        <f t="shared" ref="P368:T368" si="375">SUM(V368,AB368,AH368,AN368,AT368,AZ368,BF368)</f>
        <v>44250</v>
      </c>
      <c r="Q368" s="24">
        <f t="shared" si="375"/>
        <v>0</v>
      </c>
      <c r="R368" s="24">
        <f t="shared" si="375"/>
        <v>42037.509999999995</v>
      </c>
      <c r="S368" s="24">
        <f t="shared" si="375"/>
        <v>0</v>
      </c>
      <c r="T368" s="24">
        <f t="shared" si="375"/>
        <v>2212.4899999999998</v>
      </c>
      <c r="U368" s="24"/>
      <c r="V368" s="24"/>
      <c r="W368" s="24"/>
      <c r="X368" s="24"/>
      <c r="Y368" s="24"/>
      <c r="Z368" s="24"/>
      <c r="AA368" s="24"/>
      <c r="AB368" s="24"/>
      <c r="AC368" s="50"/>
      <c r="AD368" s="50"/>
      <c r="AE368" s="50"/>
      <c r="AF368" s="50"/>
      <c r="AG368" s="50"/>
      <c r="AH368" s="50">
        <f t="shared" si="2"/>
        <v>0</v>
      </c>
      <c r="AI368" s="50">
        <v>0</v>
      </c>
      <c r="AJ368" s="50">
        <v>0</v>
      </c>
      <c r="AK368" s="50">
        <v>0</v>
      </c>
      <c r="AL368" s="50">
        <v>0</v>
      </c>
      <c r="AM368" s="50"/>
      <c r="AN368" s="24">
        <f t="shared" si="3"/>
        <v>0</v>
      </c>
      <c r="AO368" s="50">
        <v>0</v>
      </c>
      <c r="AP368" s="50">
        <v>0</v>
      </c>
      <c r="AQ368" s="50">
        <v>0</v>
      </c>
      <c r="AR368" s="50">
        <v>0</v>
      </c>
      <c r="AS368" s="50"/>
      <c r="AT368" s="50">
        <f t="shared" si="4"/>
        <v>3982.5</v>
      </c>
      <c r="AU368" s="50">
        <v>0</v>
      </c>
      <c r="AV368" s="50">
        <v>3783.38</v>
      </c>
      <c r="AW368" s="50">
        <v>0</v>
      </c>
      <c r="AX368" s="50">
        <v>199.12</v>
      </c>
      <c r="AY368" s="50"/>
      <c r="AZ368" s="50">
        <f t="shared" si="227"/>
        <v>40267.5</v>
      </c>
      <c r="BA368" s="50">
        <v>0</v>
      </c>
      <c r="BB368" s="50">
        <v>38254.129999999997</v>
      </c>
      <c r="BC368" s="50">
        <v>0</v>
      </c>
      <c r="BD368" s="50">
        <v>2013.37</v>
      </c>
      <c r="BE368" s="50"/>
      <c r="BF368" s="50">
        <f t="shared" si="6"/>
        <v>0</v>
      </c>
      <c r="BG368" s="50">
        <v>0</v>
      </c>
      <c r="BH368" s="50">
        <v>0</v>
      </c>
      <c r="BI368" s="50">
        <v>0</v>
      </c>
      <c r="BJ368" s="50">
        <v>0</v>
      </c>
      <c r="BK368" s="50"/>
      <c r="BL368" s="20"/>
    </row>
    <row r="369" spans="1:64" ht="84" x14ac:dyDescent="0.2">
      <c r="A369" s="69">
        <v>365</v>
      </c>
      <c r="B369" s="48" t="str">
        <f ca="1">IFERROR(__xludf.DUMMYFUNCTION("""COMPUTED_VALUE"""),"г.о. Лотошино")</f>
        <v>г.о. Лотошино</v>
      </c>
      <c r="C36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69" s="52" t="str">
        <f ca="1">IFERROR(__xludf.DUMMYFUNCTION("""COMPUTED_VALUE"""),"МинЖКХ ""ТОП 5 (2 этап)""")</f>
        <v>МинЖКХ "ТОП 5 (2 этап)"</v>
      </c>
      <c r="E369" s="45" t="s">
        <v>399</v>
      </c>
      <c r="F369" s="46" t="str">
        <f ca="1">IFERROR(__xludf.DUMMYFUNCTION("""COMPUTED_VALUE"""),"Котельная")</f>
        <v>Котельная</v>
      </c>
      <c r="G369" s="46" t="str">
        <f ca="1">IFERROR(__xludf.DUMMYFUNCTION("""COMPUTED_VALUE"""),"2022-2023")</f>
        <v>2022-2023</v>
      </c>
      <c r="H369" s="48"/>
      <c r="I369" s="48" t="str">
        <f ca="1">IFERROR(__xludf.DUMMYFUNCTION("""COMPUTED_VALUE"""),"СМР")</f>
        <v>СМР</v>
      </c>
      <c r="J369" s="48"/>
      <c r="K369" s="48"/>
      <c r="L369" s="48"/>
      <c r="M369" s="48"/>
      <c r="N369" s="48" t="str">
        <f ca="1">IFERROR(__xludf.DUMMYFUNCTION("""COMPUTED_VALUE"""),"10 3 02 64080")</f>
        <v>10 3 02 64080</v>
      </c>
      <c r="O369" s="48">
        <f ca="1">IFERROR(__xludf.DUMMYFUNCTION("""COMPUTED_VALUE"""),522)</f>
        <v>522</v>
      </c>
      <c r="P369" s="24">
        <f t="shared" ref="P369:T369" si="376">SUM(V369,AB369,AH369,AN369,AT369,AZ369,BF369)</f>
        <v>45260</v>
      </c>
      <c r="Q369" s="24">
        <f t="shared" si="376"/>
        <v>0</v>
      </c>
      <c r="R369" s="24">
        <f t="shared" si="376"/>
        <v>42997</v>
      </c>
      <c r="S369" s="24">
        <f t="shared" si="376"/>
        <v>0</v>
      </c>
      <c r="T369" s="24">
        <f t="shared" si="376"/>
        <v>2263</v>
      </c>
      <c r="U369" s="24"/>
      <c r="V369" s="24"/>
      <c r="W369" s="24"/>
      <c r="X369" s="24"/>
      <c r="Y369" s="24"/>
      <c r="Z369" s="24"/>
      <c r="AA369" s="24"/>
      <c r="AB369" s="24"/>
      <c r="AC369" s="50"/>
      <c r="AD369" s="50"/>
      <c r="AE369" s="50"/>
      <c r="AF369" s="50"/>
      <c r="AG369" s="50"/>
      <c r="AH369" s="50">
        <f t="shared" si="2"/>
        <v>0</v>
      </c>
      <c r="AI369" s="50">
        <v>0</v>
      </c>
      <c r="AJ369" s="50">
        <v>0</v>
      </c>
      <c r="AK369" s="50">
        <v>0</v>
      </c>
      <c r="AL369" s="50">
        <v>0</v>
      </c>
      <c r="AM369" s="50"/>
      <c r="AN369" s="24">
        <f t="shared" si="3"/>
        <v>0</v>
      </c>
      <c r="AO369" s="50">
        <v>0</v>
      </c>
      <c r="AP369" s="50">
        <v>0</v>
      </c>
      <c r="AQ369" s="50">
        <v>0</v>
      </c>
      <c r="AR369" s="50">
        <v>0</v>
      </c>
      <c r="AS369" s="50"/>
      <c r="AT369" s="50">
        <f t="shared" si="4"/>
        <v>4073.4</v>
      </c>
      <c r="AU369" s="50">
        <v>0</v>
      </c>
      <c r="AV369" s="50">
        <v>3869.73</v>
      </c>
      <c r="AW369" s="50">
        <v>0</v>
      </c>
      <c r="AX369" s="50">
        <v>203.67</v>
      </c>
      <c r="AY369" s="50"/>
      <c r="AZ369" s="50">
        <f t="shared" si="227"/>
        <v>41186.6</v>
      </c>
      <c r="BA369" s="50">
        <v>0</v>
      </c>
      <c r="BB369" s="50">
        <v>39127.269999999997</v>
      </c>
      <c r="BC369" s="50">
        <v>0</v>
      </c>
      <c r="BD369" s="50">
        <v>2059.33</v>
      </c>
      <c r="BE369" s="50"/>
      <c r="BF369" s="50">
        <f t="shared" si="6"/>
        <v>0</v>
      </c>
      <c r="BG369" s="50">
        <v>0</v>
      </c>
      <c r="BH369" s="50">
        <v>0</v>
      </c>
      <c r="BI369" s="50">
        <v>0</v>
      </c>
      <c r="BJ369" s="50">
        <v>0</v>
      </c>
      <c r="BK369" s="50"/>
      <c r="BL369" s="20"/>
    </row>
    <row r="370" spans="1:64" ht="84" x14ac:dyDescent="0.2">
      <c r="A370" s="69">
        <v>366</v>
      </c>
      <c r="B370" s="48" t="str">
        <f ca="1">IFERROR(__xludf.DUMMYFUNCTION("""COMPUTED_VALUE"""),"г.о. Талдомский")</f>
        <v>г.о. Талдомский</v>
      </c>
      <c r="C37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0" s="52" t="str">
        <f ca="1">IFERROR(__xludf.DUMMYFUNCTION("""COMPUTED_VALUE"""),"МинЖКХ ""ТОП 5 (2 этап)""")</f>
        <v>МинЖКХ "ТОП 5 (2 этап)"</v>
      </c>
      <c r="E370" s="45" t="s">
        <v>400</v>
      </c>
      <c r="F370" s="46" t="str">
        <f ca="1">IFERROR(__xludf.DUMMYFUNCTION("""COMPUTED_VALUE"""),"Котельная")</f>
        <v>Котельная</v>
      </c>
      <c r="G370" s="46" t="str">
        <f ca="1">IFERROR(__xludf.DUMMYFUNCTION("""COMPUTED_VALUE"""),"2022-2023")</f>
        <v>2022-2023</v>
      </c>
      <c r="H370" s="48"/>
      <c r="I370" s="48" t="str">
        <f ca="1">IFERROR(__xludf.DUMMYFUNCTION("""COMPUTED_VALUE"""),"СМР")</f>
        <v>СМР</v>
      </c>
      <c r="J370" s="48"/>
      <c r="K370" s="48"/>
      <c r="L370" s="48"/>
      <c r="M370" s="48"/>
      <c r="N370" s="48" t="str">
        <f ca="1">IFERROR(__xludf.DUMMYFUNCTION("""COMPUTED_VALUE"""),"10 3 02 64080")</f>
        <v>10 3 02 64080</v>
      </c>
      <c r="O370" s="48">
        <f ca="1">IFERROR(__xludf.DUMMYFUNCTION("""COMPUTED_VALUE"""),522)</f>
        <v>522</v>
      </c>
      <c r="P370" s="24">
        <f t="shared" ref="P370:T370" si="377">SUM(V370,AB370,AH370,AN370,AT370,AZ370,BF370)</f>
        <v>32280</v>
      </c>
      <c r="Q370" s="24">
        <f t="shared" si="377"/>
        <v>0</v>
      </c>
      <c r="R370" s="24">
        <f t="shared" si="377"/>
        <v>28085.64</v>
      </c>
      <c r="S370" s="24">
        <f t="shared" si="377"/>
        <v>0</v>
      </c>
      <c r="T370" s="24">
        <f t="shared" si="377"/>
        <v>4194.3599999999997</v>
      </c>
      <c r="U370" s="24"/>
      <c r="V370" s="24"/>
      <c r="W370" s="24"/>
      <c r="X370" s="24"/>
      <c r="Y370" s="24"/>
      <c r="Z370" s="24"/>
      <c r="AA370" s="24"/>
      <c r="AB370" s="24"/>
      <c r="AC370" s="50"/>
      <c r="AD370" s="50"/>
      <c r="AE370" s="50"/>
      <c r="AF370" s="50"/>
      <c r="AG370" s="50"/>
      <c r="AH370" s="50">
        <f t="shared" si="2"/>
        <v>0</v>
      </c>
      <c r="AI370" s="50">
        <v>0</v>
      </c>
      <c r="AJ370" s="50">
        <v>0</v>
      </c>
      <c r="AK370" s="50">
        <v>0</v>
      </c>
      <c r="AL370" s="50">
        <v>0</v>
      </c>
      <c r="AM370" s="50"/>
      <c r="AN370" s="24">
        <f t="shared" si="3"/>
        <v>0</v>
      </c>
      <c r="AO370" s="50">
        <v>0</v>
      </c>
      <c r="AP370" s="50">
        <v>0</v>
      </c>
      <c r="AQ370" s="50">
        <v>0</v>
      </c>
      <c r="AR370" s="50">
        <v>0</v>
      </c>
      <c r="AS370" s="50"/>
      <c r="AT370" s="50">
        <f t="shared" si="4"/>
        <v>2040</v>
      </c>
      <c r="AU370" s="50">
        <v>0</v>
      </c>
      <c r="AV370" s="50">
        <v>1776.84</v>
      </c>
      <c r="AW370" s="50">
        <v>0</v>
      </c>
      <c r="AX370" s="50">
        <v>263.16000000000003</v>
      </c>
      <c r="AY370" s="50"/>
      <c r="AZ370" s="50">
        <f t="shared" si="227"/>
        <v>30240</v>
      </c>
      <c r="BA370" s="50">
        <v>0</v>
      </c>
      <c r="BB370" s="50">
        <v>26308.799999999999</v>
      </c>
      <c r="BC370" s="50">
        <v>0</v>
      </c>
      <c r="BD370" s="50">
        <v>3931.2</v>
      </c>
      <c r="BE370" s="50"/>
      <c r="BF370" s="50">
        <f t="shared" si="6"/>
        <v>0</v>
      </c>
      <c r="BG370" s="50">
        <v>0</v>
      </c>
      <c r="BH370" s="50">
        <v>0</v>
      </c>
      <c r="BI370" s="50">
        <v>0</v>
      </c>
      <c r="BJ370" s="50">
        <v>0</v>
      </c>
      <c r="BK370" s="50"/>
      <c r="BL370" s="20"/>
    </row>
    <row r="371" spans="1:64" ht="84" x14ac:dyDescent="0.2">
      <c r="A371" s="69">
        <v>367</v>
      </c>
      <c r="B371" s="48" t="str">
        <f ca="1">IFERROR(__xludf.DUMMYFUNCTION("""COMPUTED_VALUE"""),"г.о. Талдомский")</f>
        <v>г.о. Талдомский</v>
      </c>
      <c r="C37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1" s="52" t="str">
        <f ca="1">IFERROR(__xludf.DUMMYFUNCTION("""COMPUTED_VALUE"""),"МинЖКХ ""ТОП 5 (2 этап)""")</f>
        <v>МинЖКХ "ТОП 5 (2 этап)"</v>
      </c>
      <c r="E371" s="45" t="s">
        <v>401</v>
      </c>
      <c r="F371" s="46" t="str">
        <f ca="1">IFERROR(__xludf.DUMMYFUNCTION("""COMPUTED_VALUE"""),"Котельная")</f>
        <v>Котельная</v>
      </c>
      <c r="G371" s="46" t="str">
        <f ca="1">IFERROR(__xludf.DUMMYFUNCTION("""COMPUTED_VALUE"""),"2023-2024")</f>
        <v>2023-2024</v>
      </c>
      <c r="H371" s="48"/>
      <c r="I371" s="48" t="str">
        <f ca="1">IFERROR(__xludf.DUMMYFUNCTION("""COMPUTED_VALUE"""),"СМР")</f>
        <v>СМР</v>
      </c>
      <c r="J371" s="48"/>
      <c r="K371" s="48"/>
      <c r="L371" s="48"/>
      <c r="M371" s="48"/>
      <c r="N371" s="48" t="str">
        <f ca="1">IFERROR(__xludf.DUMMYFUNCTION("""COMPUTED_VALUE"""),"10 3 02 64080")</f>
        <v>10 3 02 64080</v>
      </c>
      <c r="O371" s="48">
        <f ca="1">IFERROR(__xludf.DUMMYFUNCTION("""COMPUTED_VALUE"""),522)</f>
        <v>522</v>
      </c>
      <c r="P371" s="24">
        <f t="shared" ref="P371:T371" si="378">SUM(V371,AB371,AH371,AN371,AT371,AZ371,BF371)</f>
        <v>3510</v>
      </c>
      <c r="Q371" s="24">
        <f t="shared" si="378"/>
        <v>0</v>
      </c>
      <c r="R371" s="24">
        <f t="shared" si="378"/>
        <v>3053.91</v>
      </c>
      <c r="S371" s="24">
        <f t="shared" si="378"/>
        <v>0</v>
      </c>
      <c r="T371" s="24">
        <f t="shared" si="378"/>
        <v>456.09</v>
      </c>
      <c r="U371" s="24"/>
      <c r="V371" s="24"/>
      <c r="W371" s="24"/>
      <c r="X371" s="24"/>
      <c r="Y371" s="24"/>
      <c r="Z371" s="24"/>
      <c r="AA371" s="24"/>
      <c r="AB371" s="24"/>
      <c r="AC371" s="50"/>
      <c r="AD371" s="50"/>
      <c r="AE371" s="50"/>
      <c r="AF371" s="50"/>
      <c r="AG371" s="50"/>
      <c r="AH371" s="50">
        <f t="shared" si="2"/>
        <v>0</v>
      </c>
      <c r="AI371" s="50">
        <v>0</v>
      </c>
      <c r="AJ371" s="50">
        <v>0</v>
      </c>
      <c r="AK371" s="50">
        <v>0</v>
      </c>
      <c r="AL371" s="50">
        <v>0</v>
      </c>
      <c r="AM371" s="50"/>
      <c r="AN371" s="24">
        <f t="shared" si="3"/>
        <v>0</v>
      </c>
      <c r="AO371" s="50">
        <v>0</v>
      </c>
      <c r="AP371" s="50">
        <v>0</v>
      </c>
      <c r="AQ371" s="50">
        <v>0</v>
      </c>
      <c r="AR371" s="50">
        <v>0</v>
      </c>
      <c r="AS371" s="50"/>
      <c r="AT371" s="50">
        <f t="shared" si="4"/>
        <v>0</v>
      </c>
      <c r="AU371" s="50">
        <v>0</v>
      </c>
      <c r="AV371" s="50">
        <v>0</v>
      </c>
      <c r="AW371" s="50">
        <v>0</v>
      </c>
      <c r="AX371" s="50">
        <v>0</v>
      </c>
      <c r="AY371" s="50"/>
      <c r="AZ371" s="50">
        <f t="shared" si="227"/>
        <v>210</v>
      </c>
      <c r="BA371" s="50">
        <v>0</v>
      </c>
      <c r="BB371" s="50">
        <v>182.91</v>
      </c>
      <c r="BC371" s="50">
        <v>0</v>
      </c>
      <c r="BD371" s="50">
        <v>27.09</v>
      </c>
      <c r="BE371" s="50"/>
      <c r="BF371" s="50">
        <f t="shared" si="6"/>
        <v>3300</v>
      </c>
      <c r="BG371" s="50">
        <v>0</v>
      </c>
      <c r="BH371" s="50">
        <v>2871</v>
      </c>
      <c r="BI371" s="50">
        <v>0</v>
      </c>
      <c r="BJ371" s="50">
        <v>429</v>
      </c>
      <c r="BK371" s="50"/>
      <c r="BL371" s="20"/>
    </row>
    <row r="372" spans="1:64" ht="84" x14ac:dyDescent="0.2">
      <c r="A372" s="69">
        <v>368</v>
      </c>
      <c r="B372" s="48" t="str">
        <f ca="1">IFERROR(__xludf.DUMMYFUNCTION("""COMPUTED_VALUE"""),"г.о. Талдомский")</f>
        <v>г.о. Талдомский</v>
      </c>
      <c r="C37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2" s="52" t="str">
        <f ca="1">IFERROR(__xludf.DUMMYFUNCTION("""COMPUTED_VALUE"""),"МинЖКХ ""ТОП 5 (2 этап)""")</f>
        <v>МинЖКХ "ТОП 5 (2 этап)"</v>
      </c>
      <c r="E372" s="45" t="s">
        <v>402</v>
      </c>
      <c r="F372" s="46" t="str">
        <f ca="1">IFERROR(__xludf.DUMMYFUNCTION("""COMPUTED_VALUE"""),"Котельная")</f>
        <v>Котельная</v>
      </c>
      <c r="G372" s="46" t="str">
        <f ca="1">IFERROR(__xludf.DUMMYFUNCTION("""COMPUTED_VALUE"""),"2023-2024")</f>
        <v>2023-2024</v>
      </c>
      <c r="H372" s="48"/>
      <c r="I372" s="48" t="str">
        <f ca="1">IFERROR(__xludf.DUMMYFUNCTION("""COMPUTED_VALUE"""),"СМР")</f>
        <v>СМР</v>
      </c>
      <c r="J372" s="48"/>
      <c r="K372" s="48"/>
      <c r="L372" s="48"/>
      <c r="M372" s="48"/>
      <c r="N372" s="48" t="str">
        <f ca="1">IFERROR(__xludf.DUMMYFUNCTION("""COMPUTED_VALUE"""),"10 3 02 64080")</f>
        <v>10 3 02 64080</v>
      </c>
      <c r="O372" s="48">
        <f ca="1">IFERROR(__xludf.DUMMYFUNCTION("""COMPUTED_VALUE"""),522)</f>
        <v>522</v>
      </c>
      <c r="P372" s="24">
        <f t="shared" ref="P372:T372" si="379">SUM(V372,AB372,AH372,AN372,AT372,AZ372,BF372)</f>
        <v>10194</v>
      </c>
      <c r="Q372" s="24">
        <f t="shared" si="379"/>
        <v>0</v>
      </c>
      <c r="R372" s="24">
        <f t="shared" si="379"/>
        <v>8869.3700000000008</v>
      </c>
      <c r="S372" s="24">
        <f t="shared" si="379"/>
        <v>0</v>
      </c>
      <c r="T372" s="24">
        <f t="shared" si="379"/>
        <v>1324.63</v>
      </c>
      <c r="U372" s="24"/>
      <c r="V372" s="24"/>
      <c r="W372" s="24"/>
      <c r="X372" s="24"/>
      <c r="Y372" s="24"/>
      <c r="Z372" s="24"/>
      <c r="AA372" s="24"/>
      <c r="AB372" s="24"/>
      <c r="AC372" s="50"/>
      <c r="AD372" s="50"/>
      <c r="AE372" s="50"/>
      <c r="AF372" s="50"/>
      <c r="AG372" s="50"/>
      <c r="AH372" s="50">
        <f t="shared" si="2"/>
        <v>0</v>
      </c>
      <c r="AI372" s="50">
        <v>0</v>
      </c>
      <c r="AJ372" s="50">
        <v>0</v>
      </c>
      <c r="AK372" s="50">
        <v>0</v>
      </c>
      <c r="AL372" s="50">
        <v>0</v>
      </c>
      <c r="AM372" s="50"/>
      <c r="AN372" s="24">
        <f t="shared" si="3"/>
        <v>0</v>
      </c>
      <c r="AO372" s="50">
        <v>0</v>
      </c>
      <c r="AP372" s="50">
        <v>0</v>
      </c>
      <c r="AQ372" s="50">
        <v>0</v>
      </c>
      <c r="AR372" s="50">
        <v>0</v>
      </c>
      <c r="AS372" s="50"/>
      <c r="AT372" s="50">
        <f t="shared" si="4"/>
        <v>0</v>
      </c>
      <c r="AU372" s="50">
        <v>0</v>
      </c>
      <c r="AV372" s="50">
        <v>0</v>
      </c>
      <c r="AW372" s="50">
        <v>0</v>
      </c>
      <c r="AX372" s="50">
        <v>0</v>
      </c>
      <c r="AY372" s="50"/>
      <c r="AZ372" s="50">
        <f t="shared" si="227"/>
        <v>594</v>
      </c>
      <c r="BA372" s="50">
        <v>0</v>
      </c>
      <c r="BB372" s="50">
        <v>517.37</v>
      </c>
      <c r="BC372" s="50">
        <v>0</v>
      </c>
      <c r="BD372" s="50">
        <v>76.63</v>
      </c>
      <c r="BE372" s="50"/>
      <c r="BF372" s="50">
        <f t="shared" si="6"/>
        <v>9600</v>
      </c>
      <c r="BG372" s="50">
        <v>0</v>
      </c>
      <c r="BH372" s="50">
        <v>8352</v>
      </c>
      <c r="BI372" s="50">
        <v>0</v>
      </c>
      <c r="BJ372" s="50">
        <v>1248</v>
      </c>
      <c r="BK372" s="50"/>
      <c r="BL372" s="20"/>
    </row>
    <row r="373" spans="1:64" ht="84" x14ac:dyDescent="0.2">
      <c r="A373" s="69">
        <v>369</v>
      </c>
      <c r="B373" s="48" t="str">
        <f ca="1">IFERROR(__xludf.DUMMYFUNCTION("""COMPUTED_VALUE"""),"г.о. Талдомский")</f>
        <v>г.о. Талдомский</v>
      </c>
      <c r="C37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3" s="52" t="str">
        <f ca="1">IFERROR(__xludf.DUMMYFUNCTION("""COMPUTED_VALUE"""),"МинЖКХ ""ТОП 5 (2 этап)""")</f>
        <v>МинЖКХ "ТОП 5 (2 этап)"</v>
      </c>
      <c r="E373" s="45" t="s">
        <v>403</v>
      </c>
      <c r="F373" s="46" t="str">
        <f ca="1">IFERROR(__xludf.DUMMYFUNCTION("""COMPUTED_VALUE"""),"Котельная")</f>
        <v>Котельная</v>
      </c>
      <c r="G373" s="46" t="str">
        <f ca="1">IFERROR(__xludf.DUMMYFUNCTION("""COMPUTED_VALUE"""),"2023-2024")</f>
        <v>2023-2024</v>
      </c>
      <c r="H373" s="48"/>
      <c r="I373" s="48" t="str">
        <f ca="1">IFERROR(__xludf.DUMMYFUNCTION("""COMPUTED_VALUE"""),"СМР")</f>
        <v>СМР</v>
      </c>
      <c r="J373" s="48"/>
      <c r="K373" s="48"/>
      <c r="L373" s="48"/>
      <c r="M373" s="48"/>
      <c r="N373" s="48" t="str">
        <f ca="1">IFERROR(__xludf.DUMMYFUNCTION("""COMPUTED_VALUE"""),"10 3 02 64080")</f>
        <v>10 3 02 64080</v>
      </c>
      <c r="O373" s="48">
        <f ca="1">IFERROR(__xludf.DUMMYFUNCTION("""COMPUTED_VALUE"""),522)</f>
        <v>522</v>
      </c>
      <c r="P373" s="24">
        <f t="shared" ref="P373:T373" si="380">SUM(V373,AB373,AH373,AN373,AT373,AZ373,BF373)</f>
        <v>3810</v>
      </c>
      <c r="Q373" s="24">
        <f t="shared" si="380"/>
        <v>0</v>
      </c>
      <c r="R373" s="24">
        <f t="shared" si="380"/>
        <v>3314.91</v>
      </c>
      <c r="S373" s="24">
        <f t="shared" si="380"/>
        <v>0</v>
      </c>
      <c r="T373" s="24">
        <f t="shared" si="380"/>
        <v>495.09</v>
      </c>
      <c r="U373" s="24"/>
      <c r="V373" s="24"/>
      <c r="W373" s="24"/>
      <c r="X373" s="24"/>
      <c r="Y373" s="24"/>
      <c r="Z373" s="24"/>
      <c r="AA373" s="24"/>
      <c r="AB373" s="24"/>
      <c r="AC373" s="50"/>
      <c r="AD373" s="50"/>
      <c r="AE373" s="50"/>
      <c r="AF373" s="50"/>
      <c r="AG373" s="50"/>
      <c r="AH373" s="50">
        <f t="shared" si="2"/>
        <v>0</v>
      </c>
      <c r="AI373" s="50">
        <v>0</v>
      </c>
      <c r="AJ373" s="50">
        <v>0</v>
      </c>
      <c r="AK373" s="50">
        <v>0</v>
      </c>
      <c r="AL373" s="50">
        <v>0</v>
      </c>
      <c r="AM373" s="50"/>
      <c r="AN373" s="24">
        <f t="shared" si="3"/>
        <v>0</v>
      </c>
      <c r="AO373" s="50">
        <v>0</v>
      </c>
      <c r="AP373" s="50">
        <v>0</v>
      </c>
      <c r="AQ373" s="50">
        <v>0</v>
      </c>
      <c r="AR373" s="50">
        <v>0</v>
      </c>
      <c r="AS373" s="50"/>
      <c r="AT373" s="50">
        <f t="shared" si="4"/>
        <v>0</v>
      </c>
      <c r="AU373" s="50">
        <v>0</v>
      </c>
      <c r="AV373" s="50">
        <v>0</v>
      </c>
      <c r="AW373" s="50">
        <v>0</v>
      </c>
      <c r="AX373" s="50">
        <v>0</v>
      </c>
      <c r="AY373" s="50"/>
      <c r="AZ373" s="50">
        <f t="shared" si="227"/>
        <v>210</v>
      </c>
      <c r="BA373" s="50">
        <v>0</v>
      </c>
      <c r="BB373" s="50">
        <v>182.91</v>
      </c>
      <c r="BC373" s="50">
        <v>0</v>
      </c>
      <c r="BD373" s="50">
        <v>27.09</v>
      </c>
      <c r="BE373" s="50"/>
      <c r="BF373" s="50">
        <f t="shared" si="6"/>
        <v>3600</v>
      </c>
      <c r="BG373" s="50">
        <v>0</v>
      </c>
      <c r="BH373" s="50">
        <v>3132</v>
      </c>
      <c r="BI373" s="50">
        <v>0</v>
      </c>
      <c r="BJ373" s="50">
        <v>468</v>
      </c>
      <c r="BK373" s="50"/>
      <c r="BL373" s="20"/>
    </row>
    <row r="374" spans="1:64" ht="84" x14ac:dyDescent="0.2">
      <c r="A374" s="69">
        <v>370</v>
      </c>
      <c r="B374" s="48" t="str">
        <f ca="1">IFERROR(__xludf.DUMMYFUNCTION("""COMPUTED_VALUE"""),"г.о. Талдомский")</f>
        <v>г.о. Талдомский</v>
      </c>
      <c r="C37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4" s="52" t="str">
        <f ca="1">IFERROR(__xludf.DUMMYFUNCTION("""COMPUTED_VALUE"""),"МинЖКХ ""ТОП 5 (2 этап)""")</f>
        <v>МинЖКХ "ТОП 5 (2 этап)"</v>
      </c>
      <c r="E374" s="45" t="s">
        <v>404</v>
      </c>
      <c r="F374" s="46" t="str">
        <f ca="1">IFERROR(__xludf.DUMMYFUNCTION("""COMPUTED_VALUE"""),"КОтельная")</f>
        <v>КОтельная</v>
      </c>
      <c r="G374" s="46" t="str">
        <f ca="1">IFERROR(__xludf.DUMMYFUNCTION("""COMPUTED_VALUE"""),"2023-2024")</f>
        <v>2023-2024</v>
      </c>
      <c r="H374" s="48"/>
      <c r="I374" s="48" t="str">
        <f ca="1">IFERROR(__xludf.DUMMYFUNCTION("""COMPUTED_VALUE"""),"СМР")</f>
        <v>СМР</v>
      </c>
      <c r="J374" s="48"/>
      <c r="K374" s="48"/>
      <c r="L374" s="48"/>
      <c r="M374" s="48"/>
      <c r="N374" s="48" t="str">
        <f ca="1">IFERROR(__xludf.DUMMYFUNCTION("""COMPUTED_VALUE"""),"10 3 02 64080")</f>
        <v>10 3 02 64080</v>
      </c>
      <c r="O374" s="48">
        <f ca="1">IFERROR(__xludf.DUMMYFUNCTION("""COMPUTED_VALUE"""),522)</f>
        <v>522</v>
      </c>
      <c r="P374" s="24">
        <f t="shared" ref="P374:T374" si="381">SUM(V374,AB374,AH374,AN374,AT374,AZ374,BF374)</f>
        <v>4410</v>
      </c>
      <c r="Q374" s="24">
        <f t="shared" si="381"/>
        <v>0</v>
      </c>
      <c r="R374" s="24">
        <f t="shared" si="381"/>
        <v>3836.91</v>
      </c>
      <c r="S374" s="24">
        <f t="shared" si="381"/>
        <v>0</v>
      </c>
      <c r="T374" s="24">
        <f t="shared" si="381"/>
        <v>573.09</v>
      </c>
      <c r="U374" s="24"/>
      <c r="V374" s="24"/>
      <c r="W374" s="24"/>
      <c r="X374" s="24"/>
      <c r="Y374" s="24"/>
      <c r="Z374" s="24"/>
      <c r="AA374" s="24"/>
      <c r="AB374" s="24"/>
      <c r="AC374" s="50"/>
      <c r="AD374" s="50"/>
      <c r="AE374" s="50"/>
      <c r="AF374" s="50"/>
      <c r="AG374" s="50"/>
      <c r="AH374" s="50">
        <f t="shared" si="2"/>
        <v>0</v>
      </c>
      <c r="AI374" s="50">
        <v>0</v>
      </c>
      <c r="AJ374" s="50">
        <v>0</v>
      </c>
      <c r="AK374" s="50">
        <v>0</v>
      </c>
      <c r="AL374" s="50">
        <v>0</v>
      </c>
      <c r="AM374" s="50"/>
      <c r="AN374" s="24">
        <f t="shared" si="3"/>
        <v>0</v>
      </c>
      <c r="AO374" s="50">
        <v>0</v>
      </c>
      <c r="AP374" s="50">
        <v>0</v>
      </c>
      <c r="AQ374" s="50">
        <v>0</v>
      </c>
      <c r="AR374" s="50">
        <v>0</v>
      </c>
      <c r="AS374" s="50"/>
      <c r="AT374" s="50">
        <f t="shared" si="4"/>
        <v>0</v>
      </c>
      <c r="AU374" s="50">
        <v>0</v>
      </c>
      <c r="AV374" s="50">
        <v>0</v>
      </c>
      <c r="AW374" s="50">
        <v>0</v>
      </c>
      <c r="AX374" s="50">
        <v>0</v>
      </c>
      <c r="AY374" s="50"/>
      <c r="AZ374" s="50">
        <f t="shared" si="227"/>
        <v>210</v>
      </c>
      <c r="BA374" s="50">
        <v>0</v>
      </c>
      <c r="BB374" s="50">
        <v>182.91</v>
      </c>
      <c r="BC374" s="50">
        <v>0</v>
      </c>
      <c r="BD374" s="50">
        <v>27.09</v>
      </c>
      <c r="BE374" s="50"/>
      <c r="BF374" s="50">
        <f t="shared" si="6"/>
        <v>4200</v>
      </c>
      <c r="BG374" s="50">
        <v>0</v>
      </c>
      <c r="BH374" s="50">
        <v>3654</v>
      </c>
      <c r="BI374" s="50">
        <v>0</v>
      </c>
      <c r="BJ374" s="50">
        <v>546</v>
      </c>
      <c r="BK374" s="50"/>
      <c r="BL374" s="20"/>
    </row>
    <row r="375" spans="1:64" ht="84" x14ac:dyDescent="0.2">
      <c r="A375" s="69">
        <v>371</v>
      </c>
      <c r="B375" s="48" t="str">
        <f ca="1">IFERROR(__xludf.DUMMYFUNCTION("""COMPUTED_VALUE"""),"г.о. Талдомский")</f>
        <v>г.о. Талдомский</v>
      </c>
      <c r="C37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5" s="52" t="str">
        <f ca="1">IFERROR(__xludf.DUMMYFUNCTION("""COMPUTED_VALUE"""),"МинЖКХ ""ТОП 5 (2 этап)""")</f>
        <v>МинЖКХ "ТОП 5 (2 этап)"</v>
      </c>
      <c r="E375" s="45" t="s">
        <v>405</v>
      </c>
      <c r="F375" s="46" t="str">
        <f ca="1">IFERROR(__xludf.DUMMYFUNCTION("""COMPUTED_VALUE"""),"Котельная")</f>
        <v>Котельная</v>
      </c>
      <c r="G375" s="46" t="str">
        <f ca="1">IFERROR(__xludf.DUMMYFUNCTION("""COMPUTED_VALUE"""),"2023-2024")</f>
        <v>2023-2024</v>
      </c>
      <c r="H375" s="48"/>
      <c r="I375" s="48" t="str">
        <f ca="1">IFERROR(__xludf.DUMMYFUNCTION("""COMPUTED_VALUE"""),"СМР")</f>
        <v>СМР</v>
      </c>
      <c r="J375" s="48"/>
      <c r="K375" s="48"/>
      <c r="L375" s="48"/>
      <c r="M375" s="48"/>
      <c r="N375" s="48" t="str">
        <f ca="1">IFERROR(__xludf.DUMMYFUNCTION("""COMPUTED_VALUE"""),"10 3 02 64080")</f>
        <v>10 3 02 64080</v>
      </c>
      <c r="O375" s="48">
        <f ca="1">IFERROR(__xludf.DUMMYFUNCTION("""COMPUTED_VALUE"""),522)</f>
        <v>522</v>
      </c>
      <c r="P375" s="24">
        <f t="shared" ref="P375:T375" si="382">SUM(V375,AB375,AH375,AN375,AT375,AZ375,BF375)</f>
        <v>1920</v>
      </c>
      <c r="Q375" s="24">
        <f t="shared" si="382"/>
        <v>0</v>
      </c>
      <c r="R375" s="24">
        <f t="shared" si="382"/>
        <v>1670.52</v>
      </c>
      <c r="S375" s="24">
        <f t="shared" si="382"/>
        <v>0</v>
      </c>
      <c r="T375" s="24">
        <f t="shared" si="382"/>
        <v>249.48</v>
      </c>
      <c r="U375" s="24"/>
      <c r="V375" s="20"/>
      <c r="W375" s="20"/>
      <c r="X375" s="20"/>
      <c r="Y375" s="20"/>
      <c r="Z375" s="20"/>
      <c r="AA375" s="20"/>
      <c r="AB375" s="20"/>
      <c r="AC375" s="24"/>
      <c r="AD375" s="24"/>
      <c r="AE375" s="24"/>
      <c r="AF375" s="24"/>
      <c r="AG375" s="24"/>
      <c r="AH375" s="50">
        <f t="shared" si="2"/>
        <v>0</v>
      </c>
      <c r="AI375" s="50">
        <v>0</v>
      </c>
      <c r="AJ375" s="50">
        <v>0</v>
      </c>
      <c r="AK375" s="50">
        <v>0</v>
      </c>
      <c r="AL375" s="50">
        <v>0</v>
      </c>
      <c r="AM375" s="50"/>
      <c r="AN375" s="24">
        <f t="shared" si="3"/>
        <v>0</v>
      </c>
      <c r="AO375" s="50">
        <v>0</v>
      </c>
      <c r="AP375" s="50">
        <v>0</v>
      </c>
      <c r="AQ375" s="50">
        <v>0</v>
      </c>
      <c r="AR375" s="50">
        <v>0</v>
      </c>
      <c r="AS375" s="50"/>
      <c r="AT375" s="50">
        <f t="shared" si="4"/>
        <v>0</v>
      </c>
      <c r="AU375" s="50">
        <v>0</v>
      </c>
      <c r="AV375" s="50">
        <v>0</v>
      </c>
      <c r="AW375" s="50">
        <v>0</v>
      </c>
      <c r="AX375" s="50">
        <v>0</v>
      </c>
      <c r="AY375" s="50"/>
      <c r="AZ375" s="50">
        <f t="shared" si="227"/>
        <v>120</v>
      </c>
      <c r="BA375" s="50">
        <v>0</v>
      </c>
      <c r="BB375" s="50">
        <v>104.52</v>
      </c>
      <c r="BC375" s="50">
        <v>0</v>
      </c>
      <c r="BD375" s="50">
        <v>15.48</v>
      </c>
      <c r="BE375" s="50"/>
      <c r="BF375" s="50">
        <f t="shared" si="6"/>
        <v>1800</v>
      </c>
      <c r="BG375" s="50">
        <v>0</v>
      </c>
      <c r="BH375" s="50">
        <v>1566</v>
      </c>
      <c r="BI375" s="50">
        <v>0</v>
      </c>
      <c r="BJ375" s="50">
        <v>234</v>
      </c>
      <c r="BK375" s="50"/>
      <c r="BL375" s="20"/>
    </row>
    <row r="376" spans="1:64" ht="84" x14ac:dyDescent="0.2">
      <c r="A376" s="69">
        <v>372</v>
      </c>
      <c r="B376" s="48" t="str">
        <f ca="1">IFERROR(__xludf.DUMMYFUNCTION("""COMPUTED_VALUE"""),"г.о. Егорьевск")</f>
        <v>г.о. Егорьевск</v>
      </c>
      <c r="C37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6" s="52" t="str">
        <f ca="1">IFERROR(__xludf.DUMMYFUNCTION("""COMPUTED_VALUE"""),"МинЖКХ ""ТОП 5 (2 этап)""")</f>
        <v>МинЖКХ "ТОП 5 (2 этап)"</v>
      </c>
      <c r="E376" s="45" t="s">
        <v>406</v>
      </c>
      <c r="F376" s="46" t="str">
        <f ca="1">IFERROR(__xludf.DUMMYFUNCTION("""COMPUTED_VALUE"""),"Котельная")</f>
        <v>Котельная</v>
      </c>
      <c r="G376" s="46" t="str">
        <f ca="1">IFERROR(__xludf.DUMMYFUNCTION("""COMPUTED_VALUE"""),"2022-2024")</f>
        <v>2022-2024</v>
      </c>
      <c r="H376" s="48"/>
      <c r="I376" s="48" t="str">
        <f ca="1">IFERROR(__xludf.DUMMYFUNCTION("""COMPUTED_VALUE"""),"СМР")</f>
        <v>СМР</v>
      </c>
      <c r="J376" s="48"/>
      <c r="K376" s="48"/>
      <c r="L376" s="48"/>
      <c r="M376" s="48"/>
      <c r="N376" s="48" t="str">
        <f ca="1">IFERROR(__xludf.DUMMYFUNCTION("""COMPUTED_VALUE"""),"10 3 02 64080")</f>
        <v>10 3 02 64080</v>
      </c>
      <c r="O376" s="48">
        <f ca="1">IFERROR(__xludf.DUMMYFUNCTION("""COMPUTED_VALUE"""),522)</f>
        <v>522</v>
      </c>
      <c r="P376" s="24">
        <f t="shared" ref="P376:T376" si="383">SUM(V376,AB376,AH376,AN376,AT376,AZ376,BF376)</f>
        <v>90000</v>
      </c>
      <c r="Q376" s="24">
        <f t="shared" si="383"/>
        <v>0</v>
      </c>
      <c r="R376" s="24">
        <f t="shared" si="383"/>
        <v>75690</v>
      </c>
      <c r="S376" s="24">
        <f t="shared" si="383"/>
        <v>0</v>
      </c>
      <c r="T376" s="24">
        <f t="shared" si="383"/>
        <v>14310</v>
      </c>
      <c r="U376" s="24"/>
      <c r="V376" s="20"/>
      <c r="W376" s="20"/>
      <c r="X376" s="20"/>
      <c r="Y376" s="20"/>
      <c r="Z376" s="20"/>
      <c r="AA376" s="20"/>
      <c r="AB376" s="20"/>
      <c r="AC376" s="24"/>
      <c r="AD376" s="24"/>
      <c r="AE376" s="24"/>
      <c r="AF376" s="24"/>
      <c r="AG376" s="24"/>
      <c r="AH376" s="50">
        <f t="shared" si="2"/>
        <v>0</v>
      </c>
      <c r="AI376" s="50">
        <v>0</v>
      </c>
      <c r="AJ376" s="50">
        <v>0</v>
      </c>
      <c r="AK376" s="50">
        <v>0</v>
      </c>
      <c r="AL376" s="50">
        <v>0</v>
      </c>
      <c r="AM376" s="50"/>
      <c r="AN376" s="24">
        <f t="shared" si="3"/>
        <v>0</v>
      </c>
      <c r="AO376" s="50">
        <v>0</v>
      </c>
      <c r="AP376" s="50">
        <v>0</v>
      </c>
      <c r="AQ376" s="50">
        <v>0</v>
      </c>
      <c r="AR376" s="50">
        <v>0</v>
      </c>
      <c r="AS376" s="50"/>
      <c r="AT376" s="50">
        <f t="shared" si="4"/>
        <v>6600</v>
      </c>
      <c r="AU376" s="50">
        <v>0</v>
      </c>
      <c r="AV376" s="50">
        <v>5550.6</v>
      </c>
      <c r="AW376" s="50">
        <v>0</v>
      </c>
      <c r="AX376" s="50">
        <v>1049.4000000000001</v>
      </c>
      <c r="AY376" s="50"/>
      <c r="AZ376" s="50">
        <f t="shared" si="227"/>
        <v>50040</v>
      </c>
      <c r="BA376" s="50">
        <v>0</v>
      </c>
      <c r="BB376" s="50">
        <v>42083.64</v>
      </c>
      <c r="BC376" s="50">
        <v>0</v>
      </c>
      <c r="BD376" s="50">
        <v>7956.36</v>
      </c>
      <c r="BE376" s="50"/>
      <c r="BF376" s="50">
        <f t="shared" si="6"/>
        <v>33360</v>
      </c>
      <c r="BG376" s="50">
        <v>0</v>
      </c>
      <c r="BH376" s="50">
        <v>28055.759999999998</v>
      </c>
      <c r="BI376" s="50">
        <v>0</v>
      </c>
      <c r="BJ376" s="50">
        <v>5304.24</v>
      </c>
      <c r="BK376" s="50"/>
      <c r="BL376" s="20"/>
    </row>
    <row r="377" spans="1:64" ht="84" x14ac:dyDescent="0.2">
      <c r="A377" s="69">
        <v>373</v>
      </c>
      <c r="B377" s="48" t="str">
        <f ca="1">IFERROR(__xludf.DUMMYFUNCTION("""COMPUTED_VALUE"""),"г.о. Егорьевск")</f>
        <v>г.о. Егорьевск</v>
      </c>
      <c r="C37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7" s="52" t="str">
        <f ca="1">IFERROR(__xludf.DUMMYFUNCTION("""COMPUTED_VALUE"""),"МинЖКХ ""ТОП 5 (2 этап)""")</f>
        <v>МинЖКХ "ТОП 5 (2 этап)"</v>
      </c>
      <c r="E377" s="45" t="s">
        <v>407</v>
      </c>
      <c r="F377" s="46" t="str">
        <f ca="1">IFERROR(__xludf.DUMMYFUNCTION("""COMPUTED_VALUE"""),"Котельная")</f>
        <v>Котельная</v>
      </c>
      <c r="G377" s="46" t="str">
        <f ca="1">IFERROR(__xludf.DUMMYFUNCTION("""COMPUTED_VALUE"""),"2022-2024")</f>
        <v>2022-2024</v>
      </c>
      <c r="H377" s="48"/>
      <c r="I377" s="48" t="str">
        <f ca="1">IFERROR(__xludf.DUMMYFUNCTION("""COMPUTED_VALUE"""),"СМР")</f>
        <v>СМР</v>
      </c>
      <c r="J377" s="48"/>
      <c r="K377" s="48"/>
      <c r="L377" s="48"/>
      <c r="M377" s="48"/>
      <c r="N377" s="48" t="str">
        <f ca="1">IFERROR(__xludf.DUMMYFUNCTION("""COMPUTED_VALUE"""),"10 3 02 64080")</f>
        <v>10 3 02 64080</v>
      </c>
      <c r="O377" s="48">
        <f ca="1">IFERROR(__xludf.DUMMYFUNCTION("""COMPUTED_VALUE"""),522)</f>
        <v>522</v>
      </c>
      <c r="P377" s="24">
        <f t="shared" ref="P377:T377" si="384">SUM(V377,AB377,AH377,AN377,AT377,AZ377,BF377)</f>
        <v>25500</v>
      </c>
      <c r="Q377" s="24">
        <f t="shared" si="384"/>
        <v>0</v>
      </c>
      <c r="R377" s="24">
        <f t="shared" si="384"/>
        <v>21445.5</v>
      </c>
      <c r="S377" s="24">
        <f t="shared" si="384"/>
        <v>0</v>
      </c>
      <c r="T377" s="24">
        <f t="shared" si="384"/>
        <v>4054.5</v>
      </c>
      <c r="U377" s="24"/>
      <c r="V377" s="20"/>
      <c r="W377" s="20"/>
      <c r="X377" s="20"/>
      <c r="Y377" s="20"/>
      <c r="Z377" s="20"/>
      <c r="AA377" s="20"/>
      <c r="AB377" s="20"/>
      <c r="AC377" s="24"/>
      <c r="AD377" s="24"/>
      <c r="AE377" s="24"/>
      <c r="AF377" s="24"/>
      <c r="AG377" s="24"/>
      <c r="AH377" s="50">
        <f t="shared" si="2"/>
        <v>0</v>
      </c>
      <c r="AI377" s="50">
        <v>0</v>
      </c>
      <c r="AJ377" s="50">
        <v>0</v>
      </c>
      <c r="AK377" s="50">
        <v>0</v>
      </c>
      <c r="AL377" s="50">
        <v>0</v>
      </c>
      <c r="AM377" s="50"/>
      <c r="AN377" s="24">
        <f t="shared" si="3"/>
        <v>0</v>
      </c>
      <c r="AO377" s="50">
        <v>0</v>
      </c>
      <c r="AP377" s="50">
        <v>0</v>
      </c>
      <c r="AQ377" s="50">
        <v>0</v>
      </c>
      <c r="AR377" s="50">
        <v>0</v>
      </c>
      <c r="AS377" s="50"/>
      <c r="AT377" s="50">
        <f t="shared" si="4"/>
        <v>4440</v>
      </c>
      <c r="AU377" s="50">
        <v>0</v>
      </c>
      <c r="AV377" s="50">
        <v>3734.04</v>
      </c>
      <c r="AW377" s="50">
        <v>0</v>
      </c>
      <c r="AX377" s="50">
        <v>705.96</v>
      </c>
      <c r="AY377" s="50"/>
      <c r="AZ377" s="50">
        <f t="shared" si="227"/>
        <v>12636</v>
      </c>
      <c r="BA377" s="50">
        <v>0</v>
      </c>
      <c r="BB377" s="50">
        <v>10626.88</v>
      </c>
      <c r="BC377" s="50">
        <v>0</v>
      </c>
      <c r="BD377" s="50">
        <v>2009.12</v>
      </c>
      <c r="BE377" s="50"/>
      <c r="BF377" s="50">
        <f t="shared" si="6"/>
        <v>8424</v>
      </c>
      <c r="BG377" s="50">
        <v>0</v>
      </c>
      <c r="BH377" s="50">
        <v>7084.58</v>
      </c>
      <c r="BI377" s="50">
        <v>0</v>
      </c>
      <c r="BJ377" s="50">
        <v>1339.42</v>
      </c>
      <c r="BK377" s="50"/>
      <c r="BL377" s="20"/>
    </row>
    <row r="378" spans="1:64" ht="84" x14ac:dyDescent="0.2">
      <c r="A378" s="69">
        <v>374</v>
      </c>
      <c r="B378" s="48" t="str">
        <f ca="1">IFERROR(__xludf.DUMMYFUNCTION("""COMPUTED_VALUE"""),"г.о. Егорьевск")</f>
        <v>г.о. Егорьевск</v>
      </c>
      <c r="C37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8" s="52" t="str">
        <f ca="1">IFERROR(__xludf.DUMMYFUNCTION("""COMPUTED_VALUE"""),"МинЖКХ ""ТОП 5 (2 этап)""")</f>
        <v>МинЖКХ "ТОП 5 (2 этап)"</v>
      </c>
      <c r="E378" s="45" t="s">
        <v>408</v>
      </c>
      <c r="F378" s="46" t="str">
        <f ca="1">IFERROR(__xludf.DUMMYFUNCTION("""COMPUTED_VALUE"""),"Котельная")</f>
        <v>Котельная</v>
      </c>
      <c r="G378" s="46" t="str">
        <f ca="1">IFERROR(__xludf.DUMMYFUNCTION("""COMPUTED_VALUE"""),"2022-2024")</f>
        <v>2022-2024</v>
      </c>
      <c r="H378" s="48"/>
      <c r="I378" s="48" t="str">
        <f ca="1">IFERROR(__xludf.DUMMYFUNCTION("""COMPUTED_VALUE"""),"СМР")</f>
        <v>СМР</v>
      </c>
      <c r="J378" s="48"/>
      <c r="K378" s="48"/>
      <c r="L378" s="48"/>
      <c r="M378" s="48"/>
      <c r="N378" s="48" t="str">
        <f ca="1">IFERROR(__xludf.DUMMYFUNCTION("""COMPUTED_VALUE"""),"10 3 02 64080")</f>
        <v>10 3 02 64080</v>
      </c>
      <c r="O378" s="48">
        <f ca="1">IFERROR(__xludf.DUMMYFUNCTION("""COMPUTED_VALUE"""),522)</f>
        <v>522</v>
      </c>
      <c r="P378" s="24">
        <f t="shared" ref="P378:T378" si="385">SUM(V378,AB378,AH378,AN378,AT378,AZ378,BF378)</f>
        <v>90000</v>
      </c>
      <c r="Q378" s="24">
        <f t="shared" si="385"/>
        <v>0</v>
      </c>
      <c r="R378" s="24">
        <f t="shared" si="385"/>
        <v>75690</v>
      </c>
      <c r="S378" s="24">
        <f t="shared" si="385"/>
        <v>0</v>
      </c>
      <c r="T378" s="24">
        <f t="shared" si="385"/>
        <v>14310</v>
      </c>
      <c r="U378" s="24"/>
      <c r="V378" s="20"/>
      <c r="W378" s="20"/>
      <c r="X378" s="20"/>
      <c r="Y378" s="20"/>
      <c r="Z378" s="20"/>
      <c r="AA378" s="20"/>
      <c r="AB378" s="20"/>
      <c r="AC378" s="24"/>
      <c r="AD378" s="24"/>
      <c r="AE378" s="24"/>
      <c r="AF378" s="24"/>
      <c r="AG378" s="24"/>
      <c r="AH378" s="50">
        <f t="shared" si="2"/>
        <v>0</v>
      </c>
      <c r="AI378" s="50">
        <v>0</v>
      </c>
      <c r="AJ378" s="50">
        <v>0</v>
      </c>
      <c r="AK378" s="50">
        <v>0</v>
      </c>
      <c r="AL378" s="50">
        <v>0</v>
      </c>
      <c r="AM378" s="50"/>
      <c r="AN378" s="24">
        <f t="shared" si="3"/>
        <v>0</v>
      </c>
      <c r="AO378" s="50">
        <v>0</v>
      </c>
      <c r="AP378" s="50">
        <v>0</v>
      </c>
      <c r="AQ378" s="50">
        <v>0</v>
      </c>
      <c r="AR378" s="50">
        <v>0</v>
      </c>
      <c r="AS378" s="50"/>
      <c r="AT378" s="50">
        <f t="shared" si="4"/>
        <v>5640</v>
      </c>
      <c r="AU378" s="50">
        <v>0</v>
      </c>
      <c r="AV378" s="50">
        <v>4743.24</v>
      </c>
      <c r="AW378" s="50">
        <v>0</v>
      </c>
      <c r="AX378" s="24">
        <v>896.76</v>
      </c>
      <c r="AY378" s="24"/>
      <c r="AZ378" s="50">
        <f t="shared" si="227"/>
        <v>50616</v>
      </c>
      <c r="BA378" s="50">
        <v>0</v>
      </c>
      <c r="BB378" s="50">
        <v>42568.06</v>
      </c>
      <c r="BC378" s="50">
        <v>0</v>
      </c>
      <c r="BD378" s="50">
        <v>8047.94</v>
      </c>
      <c r="BE378" s="50"/>
      <c r="BF378" s="50">
        <f t="shared" si="6"/>
        <v>33744</v>
      </c>
      <c r="BG378" s="50">
        <v>0</v>
      </c>
      <c r="BH378" s="50">
        <v>28378.7</v>
      </c>
      <c r="BI378" s="50">
        <v>0</v>
      </c>
      <c r="BJ378" s="50">
        <v>5365.3</v>
      </c>
      <c r="BK378" s="50"/>
      <c r="BL378" s="20"/>
    </row>
    <row r="379" spans="1:64" ht="84" x14ac:dyDescent="0.2">
      <c r="A379" s="69">
        <v>375</v>
      </c>
      <c r="B379" s="48" t="str">
        <f ca="1">IFERROR(__xludf.DUMMYFUNCTION("""COMPUTED_VALUE"""),"г.о. Волоколамский")</f>
        <v>г.о. Волоколамский</v>
      </c>
      <c r="C37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79" s="52" t="str">
        <f ca="1">IFERROR(__xludf.DUMMYFUNCTION("""COMPUTED_VALUE"""),"МинЖКХ ""ТОП 5 (2 этап)""")</f>
        <v>МинЖКХ "ТОП 5 (2 этап)"</v>
      </c>
      <c r="E379" s="45" t="s">
        <v>409</v>
      </c>
      <c r="F379" s="46" t="str">
        <f ca="1">IFERROR(__xludf.DUMMYFUNCTION("""COMPUTED_VALUE"""),"Котельная")</f>
        <v>Котельная</v>
      </c>
      <c r="G379" s="46" t="str">
        <f ca="1">IFERROR(__xludf.DUMMYFUNCTION("""COMPUTED_VALUE"""),"2022-2023")</f>
        <v>2022-2023</v>
      </c>
      <c r="H379" s="48"/>
      <c r="I379" s="48" t="str">
        <f ca="1">IFERROR(__xludf.DUMMYFUNCTION("""COMPUTED_VALUE"""),"СМР")</f>
        <v>СМР</v>
      </c>
      <c r="J379" s="48"/>
      <c r="K379" s="48"/>
      <c r="L379" s="48"/>
      <c r="M379" s="48"/>
      <c r="N379" s="48" t="str">
        <f ca="1">IFERROR(__xludf.DUMMYFUNCTION("""COMPUTED_VALUE"""),"10 3 02 64080")</f>
        <v>10 3 02 64080</v>
      </c>
      <c r="O379" s="48">
        <f ca="1">IFERROR(__xludf.DUMMYFUNCTION("""COMPUTED_VALUE"""),522)</f>
        <v>522</v>
      </c>
      <c r="P379" s="24">
        <f t="shared" ref="P379:T379" si="386">SUM(V379,AB379,AH379,AN379,AT379,AZ379,BF379)</f>
        <v>12000</v>
      </c>
      <c r="Q379" s="24">
        <f t="shared" si="386"/>
        <v>0</v>
      </c>
      <c r="R379" s="24">
        <f t="shared" si="386"/>
        <v>10800</v>
      </c>
      <c r="S379" s="24">
        <f t="shared" si="386"/>
        <v>0</v>
      </c>
      <c r="T379" s="24">
        <f t="shared" si="386"/>
        <v>1200</v>
      </c>
      <c r="U379" s="24"/>
      <c r="V379" s="20"/>
      <c r="W379" s="20"/>
      <c r="X379" s="20"/>
      <c r="Y379" s="20"/>
      <c r="Z379" s="20"/>
      <c r="AA379" s="20"/>
      <c r="AB379" s="20"/>
      <c r="AC379" s="24"/>
      <c r="AD379" s="24"/>
      <c r="AE379" s="24"/>
      <c r="AF379" s="24"/>
      <c r="AG379" s="24"/>
      <c r="AH379" s="50">
        <f t="shared" si="2"/>
        <v>0</v>
      </c>
      <c r="AI379" s="50">
        <v>0</v>
      </c>
      <c r="AJ379" s="50">
        <v>0</v>
      </c>
      <c r="AK379" s="50">
        <v>0</v>
      </c>
      <c r="AL379" s="50">
        <v>0</v>
      </c>
      <c r="AM379" s="50"/>
      <c r="AN379" s="24">
        <f t="shared" si="3"/>
        <v>0</v>
      </c>
      <c r="AO379" s="50">
        <v>0</v>
      </c>
      <c r="AP379" s="50">
        <v>0</v>
      </c>
      <c r="AQ379" s="50">
        <v>0</v>
      </c>
      <c r="AR379" s="50">
        <v>0</v>
      </c>
      <c r="AS379" s="50"/>
      <c r="AT379" s="50">
        <f t="shared" si="4"/>
        <v>5454</v>
      </c>
      <c r="AU379" s="50">
        <v>0</v>
      </c>
      <c r="AV379" s="50">
        <v>4908.6000000000004</v>
      </c>
      <c r="AW379" s="50">
        <v>0</v>
      </c>
      <c r="AX379" s="50">
        <v>545.4</v>
      </c>
      <c r="AY379" s="50"/>
      <c r="AZ379" s="50">
        <f t="shared" si="227"/>
        <v>6546</v>
      </c>
      <c r="BA379" s="50">
        <v>0</v>
      </c>
      <c r="BB379" s="50">
        <v>5891.4</v>
      </c>
      <c r="BC379" s="50">
        <v>0</v>
      </c>
      <c r="BD379" s="50">
        <v>654.6</v>
      </c>
      <c r="BE379" s="50"/>
      <c r="BF379" s="50">
        <f t="shared" si="6"/>
        <v>0</v>
      </c>
      <c r="BG379" s="50">
        <v>0</v>
      </c>
      <c r="BH379" s="50">
        <v>0</v>
      </c>
      <c r="BI379" s="50">
        <v>0</v>
      </c>
      <c r="BJ379" s="50">
        <v>0</v>
      </c>
      <c r="BK379" s="50"/>
      <c r="BL379" s="20"/>
    </row>
    <row r="380" spans="1:64" ht="84" x14ac:dyDescent="0.2">
      <c r="A380" s="69">
        <v>376</v>
      </c>
      <c r="B380" s="48" t="str">
        <f ca="1">IFERROR(__xludf.DUMMYFUNCTION("""COMPUTED_VALUE"""),"г.о. Богородский")</f>
        <v>г.о. Богородский</v>
      </c>
      <c r="C38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0" s="52" t="str">
        <f ca="1">IFERROR(__xludf.DUMMYFUNCTION("""COMPUTED_VALUE"""),"МинЖКХ ""ТОП 5 (2 этап)""")</f>
        <v>МинЖКХ "ТОП 5 (2 этап)"</v>
      </c>
      <c r="E380" s="45" t="s">
        <v>410</v>
      </c>
      <c r="F380" s="46" t="str">
        <f ca="1">IFERROR(__xludf.DUMMYFUNCTION("""COMPUTED_VALUE"""),"Котельная")</f>
        <v>Котельная</v>
      </c>
      <c r="G380" s="46" t="str">
        <f ca="1">IFERROR(__xludf.DUMMYFUNCTION("""COMPUTED_VALUE"""),"2022-2024")</f>
        <v>2022-2024</v>
      </c>
      <c r="H380" s="48"/>
      <c r="I380" s="48" t="str">
        <f ca="1">IFERROR(__xludf.DUMMYFUNCTION("""COMPUTED_VALUE"""),"СМР")</f>
        <v>СМР</v>
      </c>
      <c r="J380" s="48"/>
      <c r="K380" s="48"/>
      <c r="L380" s="48"/>
      <c r="M380" s="48"/>
      <c r="N380" s="48" t="str">
        <f ca="1">IFERROR(__xludf.DUMMYFUNCTION("""COMPUTED_VALUE"""),"10 3 02 64080")</f>
        <v>10 3 02 64080</v>
      </c>
      <c r="O380" s="48">
        <f ca="1">IFERROR(__xludf.DUMMYFUNCTION("""COMPUTED_VALUE"""),522)</f>
        <v>522</v>
      </c>
      <c r="P380" s="24">
        <f t="shared" ref="P380:T380" si="387">SUM(V380,AB380,AH380,AN380,AT380,AZ380,BF380)</f>
        <v>1160000</v>
      </c>
      <c r="Q380" s="24">
        <f t="shared" si="387"/>
        <v>0</v>
      </c>
      <c r="R380" s="24">
        <f t="shared" si="387"/>
        <v>816871.65</v>
      </c>
      <c r="S380" s="24">
        <f t="shared" si="387"/>
        <v>0</v>
      </c>
      <c r="T380" s="24">
        <f t="shared" si="387"/>
        <v>343128.35</v>
      </c>
      <c r="U380" s="24"/>
      <c r="V380" s="20"/>
      <c r="W380" s="20"/>
      <c r="X380" s="20"/>
      <c r="Y380" s="20"/>
      <c r="Z380" s="20"/>
      <c r="AA380" s="20"/>
      <c r="AB380" s="20"/>
      <c r="AC380" s="24"/>
      <c r="AD380" s="24"/>
      <c r="AE380" s="24"/>
      <c r="AF380" s="24"/>
      <c r="AG380" s="24"/>
      <c r="AH380" s="50">
        <f t="shared" si="2"/>
        <v>0</v>
      </c>
      <c r="AI380" s="50">
        <v>0</v>
      </c>
      <c r="AJ380" s="50">
        <v>0</v>
      </c>
      <c r="AK380" s="50">
        <v>0</v>
      </c>
      <c r="AL380" s="50">
        <v>0</v>
      </c>
      <c r="AM380" s="50"/>
      <c r="AN380" s="24">
        <f t="shared" si="3"/>
        <v>0</v>
      </c>
      <c r="AO380" s="50">
        <v>0</v>
      </c>
      <c r="AP380" s="50">
        <v>0</v>
      </c>
      <c r="AQ380" s="50">
        <v>0</v>
      </c>
      <c r="AR380" s="50">
        <v>0</v>
      </c>
      <c r="AS380" s="50"/>
      <c r="AT380" s="50">
        <f t="shared" si="4"/>
        <v>28401.040000000001</v>
      </c>
      <c r="AU380" s="50">
        <v>0</v>
      </c>
      <c r="AV380" s="50">
        <v>21357.58</v>
      </c>
      <c r="AW380" s="50">
        <v>0</v>
      </c>
      <c r="AX380" s="50">
        <v>7043.46</v>
      </c>
      <c r="AY380" s="50"/>
      <c r="AZ380" s="50">
        <f t="shared" si="227"/>
        <v>678959.38</v>
      </c>
      <c r="BA380" s="50">
        <v>0</v>
      </c>
      <c r="BB380" s="50">
        <v>477308.44</v>
      </c>
      <c r="BC380" s="50">
        <v>0</v>
      </c>
      <c r="BD380" s="50">
        <v>201650.94</v>
      </c>
      <c r="BE380" s="50"/>
      <c r="BF380" s="50">
        <f t="shared" si="6"/>
        <v>452639.58</v>
      </c>
      <c r="BG380" s="50">
        <v>0</v>
      </c>
      <c r="BH380" s="50">
        <v>318205.63</v>
      </c>
      <c r="BI380" s="50">
        <v>0</v>
      </c>
      <c r="BJ380" s="50">
        <v>134433.95000000001</v>
      </c>
      <c r="BK380" s="50"/>
      <c r="BL380" s="20"/>
    </row>
    <row r="381" spans="1:64" ht="84" x14ac:dyDescent="0.2">
      <c r="A381" s="69">
        <v>377</v>
      </c>
      <c r="B381" s="48" t="str">
        <f ca="1">IFERROR(__xludf.DUMMYFUNCTION("""COMPUTED_VALUE"""),"г.о. Богородский")</f>
        <v>г.о. Богородский</v>
      </c>
      <c r="C38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1" s="52" t="str">
        <f ca="1">IFERROR(__xludf.DUMMYFUNCTION("""COMPUTED_VALUE"""),"МинЖКХ ""ТОП 5 (2 этап)""")</f>
        <v>МинЖКХ "ТОП 5 (2 этап)"</v>
      </c>
      <c r="E381" s="45" t="s">
        <v>411</v>
      </c>
      <c r="F381" s="46" t="str">
        <f ca="1">IFERROR(__xludf.DUMMYFUNCTION("""COMPUTED_VALUE"""),"Котельная")</f>
        <v>Котельная</v>
      </c>
      <c r="G381" s="46" t="str">
        <f ca="1">IFERROR(__xludf.DUMMYFUNCTION("""COMPUTED_VALUE"""),"2022-2024")</f>
        <v>2022-2024</v>
      </c>
      <c r="H381" s="48"/>
      <c r="I381" s="48" t="str">
        <f ca="1">IFERROR(__xludf.DUMMYFUNCTION("""COMPUTED_VALUE"""),"СМР")</f>
        <v>СМР</v>
      </c>
      <c r="J381" s="48"/>
      <c r="K381" s="48"/>
      <c r="L381" s="48"/>
      <c r="M381" s="48"/>
      <c r="N381" s="48" t="str">
        <f ca="1">IFERROR(__xludf.DUMMYFUNCTION("""COMPUTED_VALUE"""),"10 3 02 64080")</f>
        <v>10 3 02 64080</v>
      </c>
      <c r="O381" s="48">
        <f ca="1">IFERROR(__xludf.DUMMYFUNCTION("""COMPUTED_VALUE"""),522)</f>
        <v>522</v>
      </c>
      <c r="P381" s="24">
        <f t="shared" ref="P381:T381" si="388">SUM(V381,AB381,AH381,AN381,AT381,AZ381,BF381)</f>
        <v>600000</v>
      </c>
      <c r="Q381" s="24">
        <f t="shared" si="388"/>
        <v>0</v>
      </c>
      <c r="R381" s="24">
        <f t="shared" si="388"/>
        <v>423858</v>
      </c>
      <c r="S381" s="24">
        <f t="shared" si="388"/>
        <v>0</v>
      </c>
      <c r="T381" s="24">
        <f t="shared" si="388"/>
        <v>176142</v>
      </c>
      <c r="U381" s="24"/>
      <c r="V381" s="20"/>
      <c r="W381" s="20"/>
      <c r="X381" s="20"/>
      <c r="Y381" s="20"/>
      <c r="Z381" s="20"/>
      <c r="AA381" s="20"/>
      <c r="AB381" s="20"/>
      <c r="AC381" s="24"/>
      <c r="AD381" s="24"/>
      <c r="AE381" s="24"/>
      <c r="AF381" s="24"/>
      <c r="AG381" s="24"/>
      <c r="AH381" s="50">
        <f t="shared" si="2"/>
        <v>0</v>
      </c>
      <c r="AI381" s="50">
        <v>0</v>
      </c>
      <c r="AJ381" s="50">
        <v>0</v>
      </c>
      <c r="AK381" s="50">
        <v>0</v>
      </c>
      <c r="AL381" s="50">
        <v>0</v>
      </c>
      <c r="AM381" s="50"/>
      <c r="AN381" s="24">
        <f t="shared" si="3"/>
        <v>0</v>
      </c>
      <c r="AO381" s="50">
        <v>0</v>
      </c>
      <c r="AP381" s="50">
        <v>0</v>
      </c>
      <c r="AQ381" s="50">
        <v>0</v>
      </c>
      <c r="AR381" s="50">
        <v>0</v>
      </c>
      <c r="AS381" s="50"/>
      <c r="AT381" s="50">
        <f t="shared" si="4"/>
        <v>42000</v>
      </c>
      <c r="AU381" s="50">
        <v>0</v>
      </c>
      <c r="AV381" s="50">
        <v>31584</v>
      </c>
      <c r="AW381" s="50">
        <v>0</v>
      </c>
      <c r="AX381" s="50">
        <v>10416</v>
      </c>
      <c r="AY381" s="50"/>
      <c r="AZ381" s="50">
        <f t="shared" si="227"/>
        <v>334800</v>
      </c>
      <c r="BA381" s="50">
        <v>0</v>
      </c>
      <c r="BB381" s="50">
        <v>235364.4</v>
      </c>
      <c r="BC381" s="50">
        <v>0</v>
      </c>
      <c r="BD381" s="50">
        <v>99435.6</v>
      </c>
      <c r="BE381" s="50"/>
      <c r="BF381" s="50">
        <f t="shared" si="6"/>
        <v>223200</v>
      </c>
      <c r="BG381" s="50">
        <v>0</v>
      </c>
      <c r="BH381" s="50">
        <v>156909.6</v>
      </c>
      <c r="BI381" s="50">
        <v>0</v>
      </c>
      <c r="BJ381" s="50">
        <v>66290.399999999994</v>
      </c>
      <c r="BK381" s="50"/>
      <c r="BL381" s="20"/>
    </row>
    <row r="382" spans="1:64" ht="97.5" customHeight="1" x14ac:dyDescent="0.2">
      <c r="A382" s="69">
        <v>378</v>
      </c>
      <c r="B382" s="46" t="str">
        <f ca="1">IFERROR(__xludf.DUMMYFUNCTION("""COMPUTED_VALUE"""),"г.о. Солнечногорск")</f>
        <v>г.о. Солнечногорск</v>
      </c>
      <c r="C38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2" s="52" t="str">
        <f ca="1">IFERROR(__xludf.DUMMYFUNCTION("""COMPUTED_VALUE"""),"МинЖКХ")</f>
        <v>МинЖКХ</v>
      </c>
      <c r="E382" s="45" t="s">
        <v>412</v>
      </c>
      <c r="F382" s="46" t="str">
        <f ca="1">IFERROR(__xludf.DUMMYFUNCTION("""COMPUTED_VALUE"""),"БМК")</f>
        <v>БМК</v>
      </c>
      <c r="G382" s="46">
        <f ca="1">IFERROR(__xludf.DUMMYFUNCTION("""COMPUTED_VALUE"""),2020)</f>
        <v>2020</v>
      </c>
      <c r="H382" s="48" t="str">
        <f ca="1">IFERROR(__xludf.DUMMYFUNCTION("""COMPUTED_VALUE"""),"Кредиторская задолженность оплачена 28.09.2020")</f>
        <v>Кредиторская задолженность оплачена 28.09.2020</v>
      </c>
      <c r="I382" s="48" t="str">
        <f ca="1">IFERROR(__xludf.DUMMYFUNCTION("""COMPUTED_VALUE"""),"СМР")</f>
        <v>СМР</v>
      </c>
      <c r="J382" s="48">
        <f ca="1">IFERROR(__xludf.DUMMYFUNCTION("""COMPUTED_VALUE"""),100)</f>
        <v>100</v>
      </c>
      <c r="K382" s="48">
        <f ca="1">IFERROR(__xludf.DUMMYFUNCTION("""COMPUTED_VALUE"""),400)</f>
        <v>400</v>
      </c>
      <c r="L382" s="48">
        <f ca="1">IFERROR(__xludf.DUMMYFUNCTION("""COMPUTED_VALUE"""),400)</f>
        <v>400</v>
      </c>
      <c r="M382" s="48"/>
      <c r="N382" s="48" t="str">
        <f ca="1">IFERROR(__xludf.DUMMYFUNCTION("""COMPUTED_VALUE"""),"10 3 02 64080")</f>
        <v>10 3 02 64080</v>
      </c>
      <c r="O382" s="48">
        <f ca="1">IFERROR(__xludf.DUMMYFUNCTION("""COMPUTED_VALUE"""),522)</f>
        <v>522</v>
      </c>
      <c r="P382" s="24">
        <f t="shared" ref="P382:T382" si="389">SUM(V382,AB382,AH382,AN382,AT382,AZ382,BF382)</f>
        <v>11508</v>
      </c>
      <c r="Q382" s="24">
        <f t="shared" si="389"/>
        <v>0</v>
      </c>
      <c r="R382" s="24">
        <f t="shared" si="389"/>
        <v>11507.63</v>
      </c>
      <c r="S382" s="24">
        <f t="shared" si="389"/>
        <v>0</v>
      </c>
      <c r="T382" s="24">
        <f t="shared" si="389"/>
        <v>0.37</v>
      </c>
      <c r="U382" s="24"/>
      <c r="V382" s="24"/>
      <c r="W382" s="24"/>
      <c r="X382" s="24"/>
      <c r="Y382" s="24"/>
      <c r="Z382" s="24"/>
      <c r="AA382" s="24"/>
      <c r="AB382" s="24"/>
      <c r="AC382" s="50"/>
      <c r="AD382" s="50"/>
      <c r="AE382" s="50"/>
      <c r="AF382" s="50"/>
      <c r="AG382" s="50"/>
      <c r="AH382" s="50">
        <f t="shared" si="2"/>
        <v>11508</v>
      </c>
      <c r="AI382" s="50">
        <v>0</v>
      </c>
      <c r="AJ382" s="50">
        <v>11507.63</v>
      </c>
      <c r="AK382" s="50">
        <v>0</v>
      </c>
      <c r="AL382" s="50">
        <v>0.37</v>
      </c>
      <c r="AM382" s="50"/>
      <c r="AN382" s="24">
        <f t="shared" si="3"/>
        <v>0</v>
      </c>
      <c r="AO382" s="50">
        <v>0</v>
      </c>
      <c r="AP382" s="50">
        <v>0</v>
      </c>
      <c r="AQ382" s="50">
        <v>0</v>
      </c>
      <c r="AR382" s="50">
        <v>0</v>
      </c>
      <c r="AS382" s="50"/>
      <c r="AT382" s="50">
        <f t="shared" si="4"/>
        <v>0</v>
      </c>
      <c r="AU382" s="50">
        <v>0</v>
      </c>
      <c r="AV382" s="50">
        <v>0</v>
      </c>
      <c r="AW382" s="50">
        <v>0</v>
      </c>
      <c r="AX382" s="50">
        <v>0</v>
      </c>
      <c r="AY382" s="50"/>
      <c r="AZ382" s="50">
        <f t="shared" si="227"/>
        <v>0</v>
      </c>
      <c r="BA382" s="50">
        <v>0</v>
      </c>
      <c r="BB382" s="50">
        <v>0</v>
      </c>
      <c r="BC382" s="50">
        <v>0</v>
      </c>
      <c r="BD382" s="50">
        <v>0</v>
      </c>
      <c r="BE382" s="50"/>
      <c r="BF382" s="50">
        <f t="shared" si="6"/>
        <v>0</v>
      </c>
      <c r="BG382" s="50">
        <v>0</v>
      </c>
      <c r="BH382" s="50">
        <v>0</v>
      </c>
      <c r="BI382" s="50">
        <v>0</v>
      </c>
      <c r="BJ382" s="50">
        <v>0</v>
      </c>
      <c r="BK382" s="50"/>
      <c r="BL382" s="20"/>
    </row>
    <row r="383" spans="1:64" ht="84" x14ac:dyDescent="0.2">
      <c r="A383" s="69">
        <v>379</v>
      </c>
      <c r="B383" s="48" t="str">
        <f ca="1">IFERROR(__xludf.DUMMYFUNCTION("""COMPUTED_VALUE"""),"г.о. Черноголовка")</f>
        <v>г.о. Черноголовка</v>
      </c>
      <c r="C38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3" s="46" t="str">
        <f ca="1">IFERROR(__xludf.DUMMYFUNCTION("""COMPUTED_VALUE"""),"МинЖКХ")</f>
        <v>МинЖКХ</v>
      </c>
      <c r="E383" s="45" t="s">
        <v>413</v>
      </c>
      <c r="F383" s="46" t="str">
        <f ca="1">IFERROR(__xludf.DUMMYFUNCTION("""COMPUTED_VALUE"""),"Сети")</f>
        <v>Сети</v>
      </c>
      <c r="G383" s="46" t="str">
        <f ca="1">IFERROR(__xludf.DUMMYFUNCTION("""COMPUTED_VALUE"""),"2022-2023")</f>
        <v>2022-2023</v>
      </c>
      <c r="H383" s="48"/>
      <c r="I383" s="48" t="str">
        <f ca="1">IFERROR(__xludf.DUMMYFUNCTION("""COMPUTED_VALUE"""),"СМР")</f>
        <v>СМР</v>
      </c>
      <c r="J383" s="48"/>
      <c r="K383" s="48"/>
      <c r="L383" s="48"/>
      <c r="M383" s="48"/>
      <c r="N383" s="48" t="str">
        <f ca="1">IFERROR(__xludf.DUMMYFUNCTION("""COMPUTED_VALUE"""),"10 3 02 64080")</f>
        <v>10 3 02 64080</v>
      </c>
      <c r="O383" s="48">
        <f ca="1">IFERROR(__xludf.DUMMYFUNCTION("""COMPUTED_VALUE"""),522)</f>
        <v>522</v>
      </c>
      <c r="P383" s="24">
        <f t="shared" ref="P383:T383" si="390">SUM(V383,AB383,AH383,AN383,AT383,AZ383,BF383)</f>
        <v>19901.11</v>
      </c>
      <c r="Q383" s="24">
        <f t="shared" si="390"/>
        <v>0</v>
      </c>
      <c r="R383" s="24">
        <f t="shared" si="390"/>
        <v>16497.95</v>
      </c>
      <c r="S383" s="24">
        <f t="shared" si="390"/>
        <v>0</v>
      </c>
      <c r="T383" s="24">
        <f t="shared" si="390"/>
        <v>3403.16</v>
      </c>
      <c r="U383" s="24"/>
      <c r="V383" s="20"/>
      <c r="W383" s="20"/>
      <c r="X383" s="20"/>
      <c r="Y383" s="20"/>
      <c r="Z383" s="20"/>
      <c r="AA383" s="20"/>
      <c r="AB383" s="20"/>
      <c r="AC383" s="24"/>
      <c r="AD383" s="24"/>
      <c r="AE383" s="24"/>
      <c r="AF383" s="24"/>
      <c r="AG383" s="24"/>
      <c r="AH383" s="50">
        <f t="shared" si="2"/>
        <v>0</v>
      </c>
      <c r="AI383" s="50">
        <v>0</v>
      </c>
      <c r="AJ383" s="50">
        <v>0</v>
      </c>
      <c r="AK383" s="50">
        <v>0</v>
      </c>
      <c r="AL383" s="50">
        <v>0</v>
      </c>
      <c r="AM383" s="50"/>
      <c r="AN383" s="24">
        <f t="shared" si="3"/>
        <v>0</v>
      </c>
      <c r="AO383" s="50">
        <v>0</v>
      </c>
      <c r="AP383" s="50">
        <v>0</v>
      </c>
      <c r="AQ383" s="50">
        <v>0</v>
      </c>
      <c r="AR383" s="50">
        <v>0</v>
      </c>
      <c r="AS383" s="50"/>
      <c r="AT383" s="50">
        <f t="shared" si="4"/>
        <v>11940.67</v>
      </c>
      <c r="AU383" s="50">
        <v>0</v>
      </c>
      <c r="AV383" s="45">
        <v>9898.81</v>
      </c>
      <c r="AW383" s="50">
        <v>0</v>
      </c>
      <c r="AX383" s="45">
        <v>2041.86</v>
      </c>
      <c r="AY383" s="45"/>
      <c r="AZ383" s="50">
        <f t="shared" si="227"/>
        <v>7960.4400000000005</v>
      </c>
      <c r="BA383" s="50">
        <v>0</v>
      </c>
      <c r="BB383" s="45">
        <v>6599.14</v>
      </c>
      <c r="BC383" s="50">
        <v>0</v>
      </c>
      <c r="BD383" s="45">
        <v>1361.3</v>
      </c>
      <c r="BE383" s="45"/>
      <c r="BF383" s="50">
        <f t="shared" si="6"/>
        <v>0</v>
      </c>
      <c r="BG383" s="50">
        <v>0</v>
      </c>
      <c r="BH383" s="50">
        <v>0</v>
      </c>
      <c r="BI383" s="50">
        <v>0</v>
      </c>
      <c r="BJ383" s="50">
        <v>0</v>
      </c>
      <c r="BK383" s="50"/>
      <c r="BL383" s="20"/>
    </row>
    <row r="384" spans="1:64" ht="84" x14ac:dyDescent="0.2">
      <c r="A384" s="69">
        <v>380</v>
      </c>
      <c r="B384" s="48" t="str">
        <f ca="1">IFERROR(__xludf.DUMMYFUNCTION("""COMPUTED_VALUE"""),"г.о. Солнечногорск")</f>
        <v>г.о. Солнечногорск</v>
      </c>
      <c r="C38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4" s="46" t="str">
        <f ca="1">IFERROR(__xludf.DUMMYFUNCTION("""COMPUTED_VALUE"""),"МинЖКХ")</f>
        <v>МинЖКХ</v>
      </c>
      <c r="E384" s="45" t="s">
        <v>414</v>
      </c>
      <c r="F384" s="46" t="str">
        <f ca="1">IFERROR(__xludf.DUMMYFUNCTION("""COMPUTED_VALUE"""),"Сети")</f>
        <v>Сети</v>
      </c>
      <c r="G384" s="46">
        <f ca="1">IFERROR(__xludf.DUMMYFUNCTION("""COMPUTED_VALUE"""),2022)</f>
        <v>2022</v>
      </c>
      <c r="H384" s="48"/>
      <c r="I384" s="48" t="str">
        <f ca="1">IFERROR(__xludf.DUMMYFUNCTION("""COMPUTED_VALUE"""),"СМР")</f>
        <v>СМР</v>
      </c>
      <c r="J384" s="48"/>
      <c r="K384" s="48"/>
      <c r="L384" s="48"/>
      <c r="M384" s="48"/>
      <c r="N384" s="48" t="str">
        <f ca="1">IFERROR(__xludf.DUMMYFUNCTION("""COMPUTED_VALUE"""),"10 3 02 64080")</f>
        <v>10 3 02 64080</v>
      </c>
      <c r="O384" s="48">
        <f ca="1">IFERROR(__xludf.DUMMYFUNCTION("""COMPUTED_VALUE"""),522)</f>
        <v>522</v>
      </c>
      <c r="P384" s="24">
        <f t="shared" ref="P384:T384" si="391">SUM(V384,AB384,AH384,AN384,AT384,AZ384,BF384)</f>
        <v>17000</v>
      </c>
      <c r="Q384" s="24">
        <f t="shared" si="391"/>
        <v>0</v>
      </c>
      <c r="R384" s="24">
        <f t="shared" si="391"/>
        <v>14076</v>
      </c>
      <c r="S384" s="24">
        <f t="shared" si="391"/>
        <v>0</v>
      </c>
      <c r="T384" s="24">
        <f t="shared" si="391"/>
        <v>2924</v>
      </c>
      <c r="U384" s="24"/>
      <c r="V384" s="24"/>
      <c r="W384" s="24"/>
      <c r="X384" s="24"/>
      <c r="Y384" s="24"/>
      <c r="Z384" s="24"/>
      <c r="AA384" s="24"/>
      <c r="AB384" s="24"/>
      <c r="AC384" s="24"/>
      <c r="AD384" s="24"/>
      <c r="AE384" s="24"/>
      <c r="AF384" s="24"/>
      <c r="AG384" s="24"/>
      <c r="AH384" s="50">
        <f t="shared" si="2"/>
        <v>0</v>
      </c>
      <c r="AI384" s="50">
        <v>0</v>
      </c>
      <c r="AJ384" s="50">
        <v>0</v>
      </c>
      <c r="AK384" s="50">
        <v>0</v>
      </c>
      <c r="AL384" s="50">
        <v>0</v>
      </c>
      <c r="AM384" s="50"/>
      <c r="AN384" s="24">
        <f t="shared" si="3"/>
        <v>0</v>
      </c>
      <c r="AO384" s="50">
        <v>0</v>
      </c>
      <c r="AP384" s="50">
        <v>0</v>
      </c>
      <c r="AQ384" s="50">
        <v>0</v>
      </c>
      <c r="AR384" s="50">
        <v>0</v>
      </c>
      <c r="AS384" s="50"/>
      <c r="AT384" s="50">
        <f t="shared" si="4"/>
        <v>17000</v>
      </c>
      <c r="AU384" s="50">
        <v>0</v>
      </c>
      <c r="AV384" s="50">
        <v>14076</v>
      </c>
      <c r="AW384" s="50">
        <v>0</v>
      </c>
      <c r="AX384" s="50">
        <v>2924</v>
      </c>
      <c r="AY384" s="50"/>
      <c r="AZ384" s="50">
        <f t="shared" si="227"/>
        <v>0</v>
      </c>
      <c r="BA384" s="50">
        <v>0</v>
      </c>
      <c r="BB384" s="50">
        <v>0</v>
      </c>
      <c r="BC384" s="50">
        <v>0</v>
      </c>
      <c r="BD384" s="50">
        <v>0</v>
      </c>
      <c r="BE384" s="50"/>
      <c r="BF384" s="50">
        <f t="shared" si="6"/>
        <v>0</v>
      </c>
      <c r="BG384" s="50">
        <v>0</v>
      </c>
      <c r="BH384" s="50">
        <v>0</v>
      </c>
      <c r="BI384" s="50">
        <v>0</v>
      </c>
      <c r="BJ384" s="50">
        <v>0</v>
      </c>
      <c r="BK384" s="50"/>
      <c r="BL384" s="20"/>
    </row>
    <row r="385" spans="1:64" ht="84" x14ac:dyDescent="0.2">
      <c r="A385" s="69">
        <v>381</v>
      </c>
      <c r="B385" s="46" t="str">
        <f ca="1">IFERROR(__xludf.DUMMYFUNCTION("""COMPUTED_VALUE"""),"г.о. Талдомский")</f>
        <v>г.о. Талдомский</v>
      </c>
      <c r="C38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5" s="52" t="str">
        <f ca="1">IFERROR(__xludf.DUMMYFUNCTION("""COMPUTED_VALUE"""),"МинЖКХ")</f>
        <v>МинЖКХ</v>
      </c>
      <c r="E385" s="45" t="s">
        <v>604</v>
      </c>
      <c r="F385" s="46" t="str">
        <f ca="1">IFERROR(__xludf.DUMMYFUNCTION("""COMPUTED_VALUE"""),"Сети")</f>
        <v>Сети</v>
      </c>
      <c r="G385" s="46" t="str">
        <f ca="1">IFERROR(__xludf.DUMMYFUNCTION("""COMPUTED_VALUE"""),"2020-2022")</f>
        <v>2020-2022</v>
      </c>
      <c r="H385" s="48"/>
      <c r="I385" s="48" t="str">
        <f ca="1">IFERROR(__xludf.DUMMYFUNCTION("""COMPUTED_VALUE"""),"СМР")</f>
        <v>СМР</v>
      </c>
      <c r="J385" s="48"/>
      <c r="K385" s="48"/>
      <c r="L385" s="48"/>
      <c r="M385" s="48"/>
      <c r="N385" s="48" t="str">
        <f ca="1">IFERROR(__xludf.DUMMYFUNCTION("""COMPUTED_VALUE"""),"10 3 02 64080")</f>
        <v>10 3 02 64080</v>
      </c>
      <c r="O385" s="48">
        <f ca="1">IFERROR(__xludf.DUMMYFUNCTION("""COMPUTED_VALUE"""),522)</f>
        <v>522</v>
      </c>
      <c r="P385" s="24">
        <f t="shared" ref="P385:T385" si="392">SUM(V385,AB385,AH385,AN385,AT385,AZ385,BF385)</f>
        <v>36085.32</v>
      </c>
      <c r="Q385" s="24">
        <f t="shared" si="392"/>
        <v>0</v>
      </c>
      <c r="R385" s="24">
        <f t="shared" si="392"/>
        <v>31430.11</v>
      </c>
      <c r="S385" s="24">
        <f t="shared" si="392"/>
        <v>0</v>
      </c>
      <c r="T385" s="24">
        <f t="shared" si="392"/>
        <v>4655.21</v>
      </c>
      <c r="U385" s="24"/>
      <c r="V385" s="24"/>
      <c r="W385" s="24"/>
      <c r="X385" s="24"/>
      <c r="Y385" s="24"/>
      <c r="Z385" s="24"/>
      <c r="AA385" s="24"/>
      <c r="AB385" s="24"/>
      <c r="AC385" s="50"/>
      <c r="AD385" s="50"/>
      <c r="AE385" s="50"/>
      <c r="AF385" s="50"/>
      <c r="AG385" s="50"/>
      <c r="AH385" s="50">
        <f t="shared" si="2"/>
        <v>4510</v>
      </c>
      <c r="AI385" s="50">
        <v>0</v>
      </c>
      <c r="AJ385" s="50">
        <v>3928</v>
      </c>
      <c r="AK385" s="50">
        <v>0</v>
      </c>
      <c r="AL385" s="50">
        <v>582</v>
      </c>
      <c r="AM385" s="50"/>
      <c r="AN385" s="24">
        <f t="shared" si="3"/>
        <v>15690</v>
      </c>
      <c r="AO385" s="50">
        <v>0</v>
      </c>
      <c r="AP385" s="50">
        <v>13666</v>
      </c>
      <c r="AQ385" s="50">
        <v>0</v>
      </c>
      <c r="AR385" s="50">
        <v>2024</v>
      </c>
      <c r="AS385" s="50"/>
      <c r="AT385" s="50">
        <f t="shared" si="4"/>
        <v>15885.32</v>
      </c>
      <c r="AU385" s="50">
        <v>0</v>
      </c>
      <c r="AV385" s="50">
        <v>13836.11</v>
      </c>
      <c r="AW385" s="50">
        <v>0</v>
      </c>
      <c r="AX385" s="50">
        <v>2049.21</v>
      </c>
      <c r="AY385" s="50"/>
      <c r="AZ385" s="50">
        <f t="shared" si="227"/>
        <v>0</v>
      </c>
      <c r="BA385" s="50">
        <v>0</v>
      </c>
      <c r="BB385" s="50">
        <v>0</v>
      </c>
      <c r="BC385" s="50">
        <v>0</v>
      </c>
      <c r="BD385" s="50">
        <v>0</v>
      </c>
      <c r="BE385" s="50"/>
      <c r="BF385" s="50">
        <f t="shared" si="6"/>
        <v>0</v>
      </c>
      <c r="BG385" s="50">
        <v>0</v>
      </c>
      <c r="BH385" s="50">
        <v>0</v>
      </c>
      <c r="BI385" s="50">
        <v>0</v>
      </c>
      <c r="BJ385" s="50">
        <v>0</v>
      </c>
      <c r="BK385" s="50"/>
      <c r="BL385" s="20"/>
    </row>
    <row r="386" spans="1:64" ht="84" x14ac:dyDescent="0.2">
      <c r="A386" s="69">
        <v>382</v>
      </c>
      <c r="B386" s="48" t="str">
        <f ca="1">IFERROR(__xludf.DUMMYFUNCTION("""COMPUTED_VALUE"""),"г.о. Кашира")</f>
        <v>г.о. Кашира</v>
      </c>
      <c r="C38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6" s="46" t="str">
        <f ca="1">IFERROR(__xludf.DUMMYFUNCTION("""COMPUTED_VALUE"""),"МинЖКХ")</f>
        <v>МинЖКХ</v>
      </c>
      <c r="E386" s="45" t="s">
        <v>415</v>
      </c>
      <c r="F386" s="46" t="str">
        <f ca="1">IFERROR(__xludf.DUMMYFUNCTION("""COMPUTED_VALUE"""),"Сети")</f>
        <v>Сети</v>
      </c>
      <c r="G386" s="46">
        <f ca="1">IFERROR(__xludf.DUMMYFUNCTION("""COMPUTED_VALUE"""),2022)</f>
        <v>2022</v>
      </c>
      <c r="H386" s="48"/>
      <c r="I386" s="48" t="str">
        <f ca="1">IFERROR(__xludf.DUMMYFUNCTION("""COMPUTED_VALUE"""),"ПИР")</f>
        <v>ПИР</v>
      </c>
      <c r="J386" s="48"/>
      <c r="K386" s="48"/>
      <c r="L386" s="48"/>
      <c r="M386" s="48"/>
      <c r="N386" s="48" t="str">
        <f ca="1">IFERROR(__xludf.DUMMYFUNCTION("""COMPUTED_VALUE"""),"10 3 02 64080")</f>
        <v>10 3 02 64080</v>
      </c>
      <c r="O386" s="48">
        <f ca="1">IFERROR(__xludf.DUMMYFUNCTION("""COMPUTED_VALUE"""),522)</f>
        <v>522</v>
      </c>
      <c r="P386" s="24">
        <f t="shared" ref="P386:T386" si="393">SUM(V386,AB386,AH386,AN386,AT386,AZ386,BF386)</f>
        <v>29043.64</v>
      </c>
      <c r="Q386" s="24">
        <f t="shared" si="393"/>
        <v>0</v>
      </c>
      <c r="R386" s="24">
        <f t="shared" si="393"/>
        <v>22508.82</v>
      </c>
      <c r="S386" s="24">
        <f t="shared" si="393"/>
        <v>0</v>
      </c>
      <c r="T386" s="24">
        <f t="shared" si="393"/>
        <v>6534.82</v>
      </c>
      <c r="U386" s="24"/>
      <c r="V386" s="20"/>
      <c r="W386" s="20"/>
      <c r="X386" s="20"/>
      <c r="Y386" s="20"/>
      <c r="Z386" s="20"/>
      <c r="AA386" s="20"/>
      <c r="AB386" s="20"/>
      <c r="AC386" s="24"/>
      <c r="AD386" s="24"/>
      <c r="AE386" s="24"/>
      <c r="AF386" s="24"/>
      <c r="AG386" s="24"/>
      <c r="AH386" s="50">
        <f t="shared" si="2"/>
        <v>0</v>
      </c>
      <c r="AI386" s="50">
        <v>0</v>
      </c>
      <c r="AJ386" s="50">
        <v>0</v>
      </c>
      <c r="AK386" s="50">
        <v>0</v>
      </c>
      <c r="AL386" s="50">
        <v>0</v>
      </c>
      <c r="AM386" s="50"/>
      <c r="AN386" s="24">
        <f t="shared" si="3"/>
        <v>0</v>
      </c>
      <c r="AO386" s="50">
        <v>0</v>
      </c>
      <c r="AP386" s="50">
        <v>0</v>
      </c>
      <c r="AQ386" s="50">
        <v>0</v>
      </c>
      <c r="AR386" s="50">
        <v>0</v>
      </c>
      <c r="AS386" s="50"/>
      <c r="AT386" s="50">
        <f t="shared" si="4"/>
        <v>29043.64</v>
      </c>
      <c r="AU386" s="50">
        <v>0</v>
      </c>
      <c r="AV386" s="45">
        <v>22508.82</v>
      </c>
      <c r="AW386" s="50">
        <v>0</v>
      </c>
      <c r="AX386" s="45">
        <v>6534.82</v>
      </c>
      <c r="AY386" s="45"/>
      <c r="AZ386" s="50">
        <f t="shared" si="227"/>
        <v>0</v>
      </c>
      <c r="BA386" s="50">
        <v>0</v>
      </c>
      <c r="BB386" s="50">
        <v>0</v>
      </c>
      <c r="BC386" s="50">
        <v>0</v>
      </c>
      <c r="BD386" s="50">
        <v>0</v>
      </c>
      <c r="BE386" s="50"/>
      <c r="BF386" s="50">
        <f t="shared" si="6"/>
        <v>0</v>
      </c>
      <c r="BG386" s="50">
        <v>0</v>
      </c>
      <c r="BH386" s="50">
        <v>0</v>
      </c>
      <c r="BI386" s="50">
        <v>0</v>
      </c>
      <c r="BJ386" s="50">
        <v>0</v>
      </c>
      <c r="BK386" s="50"/>
      <c r="BL386" s="20"/>
    </row>
    <row r="387" spans="1:64" ht="84" x14ac:dyDescent="0.2">
      <c r="A387" s="69">
        <v>383</v>
      </c>
      <c r="B387" s="48" t="str">
        <f ca="1">IFERROR(__xludf.DUMMYFUNCTION("""COMPUTED_VALUE"""),"г.о. Шатура")</f>
        <v>г.о. Шатура</v>
      </c>
      <c r="C38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7" s="46" t="str">
        <f ca="1">IFERROR(__xludf.DUMMYFUNCTION("""COMPUTED_VALUE"""),"МинЖКХ")</f>
        <v>МинЖКХ</v>
      </c>
      <c r="E387" s="45" t="s">
        <v>416</v>
      </c>
      <c r="F387" s="46" t="str">
        <f ca="1">IFERROR(__xludf.DUMMYFUNCTION("""COMPUTED_VALUE"""),"Сети")</f>
        <v>Сети</v>
      </c>
      <c r="G387" s="46" t="str">
        <f ca="1">IFERROR(__xludf.DUMMYFUNCTION("""COMPUTED_VALUE"""),"2023-2024")</f>
        <v>2023-2024</v>
      </c>
      <c r="H387" s="48"/>
      <c r="I387" s="48" t="str">
        <f ca="1">IFERROR(__xludf.DUMMYFUNCTION("""COMPUTED_VALUE"""),"ПИР")</f>
        <v>ПИР</v>
      </c>
      <c r="J387" s="48"/>
      <c r="K387" s="48"/>
      <c r="L387" s="48"/>
      <c r="M387" s="48"/>
      <c r="N387" s="48" t="str">
        <f ca="1">IFERROR(__xludf.DUMMYFUNCTION("""COMPUTED_VALUE"""),"10 3 02 64080")</f>
        <v>10 3 02 64080</v>
      </c>
      <c r="O387" s="48">
        <f ca="1">IFERROR(__xludf.DUMMYFUNCTION("""COMPUTED_VALUE"""),522)</f>
        <v>522</v>
      </c>
      <c r="P387" s="24">
        <f t="shared" ref="P387:T387" si="394">SUM(V387,AB387,AH387,AN387,AT387,AZ387,BF387)</f>
        <v>136403.98000000001</v>
      </c>
      <c r="Q387" s="24">
        <f t="shared" si="394"/>
        <v>0</v>
      </c>
      <c r="R387" s="24">
        <f t="shared" si="394"/>
        <v>128219.74</v>
      </c>
      <c r="S387" s="24">
        <f t="shared" si="394"/>
        <v>0</v>
      </c>
      <c r="T387" s="24">
        <f t="shared" si="394"/>
        <v>8184.24</v>
      </c>
      <c r="U387" s="24"/>
      <c r="V387" s="20"/>
      <c r="W387" s="20"/>
      <c r="X387" s="20"/>
      <c r="Y387" s="20"/>
      <c r="Z387" s="20"/>
      <c r="AA387" s="20"/>
      <c r="AB387" s="20"/>
      <c r="AC387" s="24"/>
      <c r="AD387" s="24"/>
      <c r="AE387" s="24"/>
      <c r="AF387" s="24"/>
      <c r="AG387" s="24"/>
      <c r="AH387" s="50">
        <f t="shared" si="2"/>
        <v>0</v>
      </c>
      <c r="AI387" s="50">
        <v>0</v>
      </c>
      <c r="AJ387" s="50">
        <v>0</v>
      </c>
      <c r="AK387" s="50">
        <v>0</v>
      </c>
      <c r="AL387" s="50">
        <v>0</v>
      </c>
      <c r="AM387" s="50"/>
      <c r="AN387" s="24">
        <f t="shared" si="3"/>
        <v>0</v>
      </c>
      <c r="AO387" s="50">
        <v>0</v>
      </c>
      <c r="AP387" s="50">
        <v>0</v>
      </c>
      <c r="AQ387" s="50">
        <v>0</v>
      </c>
      <c r="AR387" s="50">
        <v>0</v>
      </c>
      <c r="AS387" s="50"/>
      <c r="AT387" s="50">
        <f t="shared" si="4"/>
        <v>0</v>
      </c>
      <c r="AU387" s="50">
        <v>0</v>
      </c>
      <c r="AV387" s="50">
        <v>0</v>
      </c>
      <c r="AW387" s="50">
        <v>0</v>
      </c>
      <c r="AX387" s="50">
        <v>0</v>
      </c>
      <c r="AY387" s="50"/>
      <c r="AZ387" s="50">
        <f t="shared" si="227"/>
        <v>68201.990000000005</v>
      </c>
      <c r="BA387" s="50">
        <v>0</v>
      </c>
      <c r="BB387" s="45">
        <v>64109.87</v>
      </c>
      <c r="BC387" s="50">
        <v>0</v>
      </c>
      <c r="BD387" s="45">
        <v>4092.12</v>
      </c>
      <c r="BE387" s="45"/>
      <c r="BF387" s="50">
        <f t="shared" si="6"/>
        <v>68201.990000000005</v>
      </c>
      <c r="BG387" s="50">
        <v>0</v>
      </c>
      <c r="BH387" s="45">
        <v>64109.87</v>
      </c>
      <c r="BI387" s="50">
        <v>0</v>
      </c>
      <c r="BJ387" s="45">
        <v>4092.12</v>
      </c>
      <c r="BK387" s="45"/>
      <c r="BL387" s="20"/>
    </row>
    <row r="388" spans="1:64" ht="84" x14ac:dyDescent="0.2">
      <c r="A388" s="69">
        <v>384</v>
      </c>
      <c r="B388" s="48" t="str">
        <f ca="1">IFERROR(__xludf.DUMMYFUNCTION("""COMPUTED_VALUE"""),"г.о. Одинцово")</f>
        <v>г.о. Одинцово</v>
      </c>
      <c r="C38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8" s="46" t="str">
        <f ca="1">IFERROR(__xludf.DUMMYFUNCTION("""COMPUTED_VALUE"""),"МинЖКХ")</f>
        <v>МинЖКХ</v>
      </c>
      <c r="E388" s="45" t="s">
        <v>417</v>
      </c>
      <c r="F388" s="46" t="str">
        <f ca="1">IFERROR(__xludf.DUMMYFUNCTION("""COMPUTED_VALUE"""),"Сети")</f>
        <v>Сети</v>
      </c>
      <c r="G388" s="46">
        <f ca="1">IFERROR(__xludf.DUMMYFUNCTION("""COMPUTED_VALUE"""),2022)</f>
        <v>2022</v>
      </c>
      <c r="H388" s="48"/>
      <c r="I388" s="48" t="str">
        <f ca="1">IFERROR(__xludf.DUMMYFUNCTION("""COMPUTED_VALUE"""),"СМР")</f>
        <v>СМР</v>
      </c>
      <c r="J388" s="48"/>
      <c r="K388" s="48"/>
      <c r="L388" s="48"/>
      <c r="M388" s="48"/>
      <c r="N388" s="48" t="str">
        <f ca="1">IFERROR(__xludf.DUMMYFUNCTION("""COMPUTED_VALUE"""),"10 3 02 64080")</f>
        <v>10 3 02 64080</v>
      </c>
      <c r="O388" s="48">
        <f ca="1">IFERROR(__xludf.DUMMYFUNCTION("""COMPUTED_VALUE"""),522)</f>
        <v>522</v>
      </c>
      <c r="P388" s="24">
        <f t="shared" ref="P388:T388" si="395">SUM(V388,AB388,AH388,AN388,AT388,AZ388,BF388)</f>
        <v>106820</v>
      </c>
      <c r="Q388" s="24">
        <f t="shared" si="395"/>
        <v>0</v>
      </c>
      <c r="R388" s="24">
        <f t="shared" si="395"/>
        <v>66762.5</v>
      </c>
      <c r="S388" s="24">
        <f t="shared" si="395"/>
        <v>0</v>
      </c>
      <c r="T388" s="24">
        <f t="shared" si="395"/>
        <v>40057.5</v>
      </c>
      <c r="U388" s="24"/>
      <c r="V388" s="20"/>
      <c r="W388" s="20"/>
      <c r="X388" s="20"/>
      <c r="Y388" s="20"/>
      <c r="Z388" s="20"/>
      <c r="AA388" s="20"/>
      <c r="AB388" s="20"/>
      <c r="AC388" s="24"/>
      <c r="AD388" s="24"/>
      <c r="AE388" s="24"/>
      <c r="AF388" s="24"/>
      <c r="AG388" s="24"/>
      <c r="AH388" s="50">
        <f t="shared" si="2"/>
        <v>0</v>
      </c>
      <c r="AI388" s="50">
        <v>0</v>
      </c>
      <c r="AJ388" s="50">
        <v>0</v>
      </c>
      <c r="AK388" s="50">
        <v>0</v>
      </c>
      <c r="AL388" s="50">
        <v>0</v>
      </c>
      <c r="AM388" s="50"/>
      <c r="AN388" s="24">
        <f t="shared" si="3"/>
        <v>0</v>
      </c>
      <c r="AO388" s="50">
        <v>0</v>
      </c>
      <c r="AP388" s="50">
        <v>0</v>
      </c>
      <c r="AQ388" s="50">
        <v>0</v>
      </c>
      <c r="AR388" s="50">
        <v>0</v>
      </c>
      <c r="AS388" s="50"/>
      <c r="AT388" s="50">
        <f t="shared" si="4"/>
        <v>106820</v>
      </c>
      <c r="AU388" s="50">
        <v>0</v>
      </c>
      <c r="AV388" s="45">
        <v>66762.5</v>
      </c>
      <c r="AW388" s="50">
        <v>0</v>
      </c>
      <c r="AX388" s="45">
        <v>40057.5</v>
      </c>
      <c r="AY388" s="45"/>
      <c r="AZ388" s="50">
        <f t="shared" si="227"/>
        <v>0</v>
      </c>
      <c r="BA388" s="50">
        <v>0</v>
      </c>
      <c r="BB388" s="50">
        <v>0</v>
      </c>
      <c r="BC388" s="50">
        <v>0</v>
      </c>
      <c r="BD388" s="50">
        <v>0</v>
      </c>
      <c r="BE388" s="50"/>
      <c r="BF388" s="50">
        <f t="shared" si="6"/>
        <v>0</v>
      </c>
      <c r="BG388" s="50">
        <v>0</v>
      </c>
      <c r="BH388" s="50">
        <v>0</v>
      </c>
      <c r="BI388" s="50">
        <v>0</v>
      </c>
      <c r="BJ388" s="50">
        <v>0</v>
      </c>
      <c r="BK388" s="50"/>
      <c r="BL388" s="20"/>
    </row>
    <row r="389" spans="1:64" ht="336" x14ac:dyDescent="0.2">
      <c r="A389" s="69">
        <v>385</v>
      </c>
      <c r="B389" s="46" t="str">
        <f ca="1">IFERROR(__xludf.DUMMYFUNCTION("""COMPUTED_VALUE"""),"г.о. Черноголовка")</f>
        <v>г.о. Черноголовка</v>
      </c>
      <c r="C38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89" s="46" t="str">
        <f ca="1">IFERROR(__xludf.DUMMYFUNCTION("""COMPUTED_VALUE"""),"МинЖКХ")</f>
        <v>МинЖКХ</v>
      </c>
      <c r="E389" s="45" t="s">
        <v>418</v>
      </c>
      <c r="F389" s="46" t="str">
        <f ca="1">IFERROR(__xludf.DUMMYFUNCTION("""COMPUTED_VALUE"""),"Сети")</f>
        <v>Сети</v>
      </c>
      <c r="G389" s="46">
        <f ca="1">IFERROR(__xludf.DUMMYFUNCTION("""COMPUTED_VALUE"""),2020)</f>
        <v>2020</v>
      </c>
      <c r="H389" s="48" t="str">
        <f ca="1">IFERROR(__xludf.DUMMYFUNCTION("""COMPUTED_VALUE"""),"По тепловым сетям:
1. Общая сумма контракта 60 691 276,81 ₽ (в эту сумму входит реконструкция 2 участков протяженностью 478 м и 23 м)
2. Выполнено работ на общую сумму 50 575 572,16  ₽ (на эту сумму провели реконструкцию основного участка протяженностью"&amp;" 478 м, сейчас производят работы по планировки территории и приемке исполнительной документации, думаю оплата будет произведена в течении месяца)
3. Часть работ до отопительного сезона выполнить не успели (участок протяженностью 23 м), в связи с чем конт"&amp;"ракт через расторжение будет закрываться на меньшую сумму.
4. Т.к. подрядчик для незавершенного участка закупил дорогостоящее оборудование изготовленное на заказ (запорную арматуру на общую сумму примерно 7 млн), он передаст это по накладной. Это тоже бу"&amp;"дет оплачено. Данное оборудование будет применено в следующем году по новому контракту.
5. Незавершенные работы на общую сумму примерно 3 млн будут разыграны в следующем году.")</f>
        <v>По тепловым сетям:
1. Общая сумма контракта 60 691 276,81 ₽ (в эту сумму входит реконструкция 2 участков протяженностью 478 м и 23 м)
2. Выполнено работ на общую сумму 50 575 572,16  ₽ (на эту сумму провели реконструкцию основного участка протяженностью 478 м, сейчас производят работы по планировки территории и приемке исполнительной документации, думаю оплата будет произведена в течении месяца)
3. Часть работ до отопительного сезона выполнить не успели (участок протяженностью 23 м), в связи с чем контракт через расторжение будет закрываться на меньшую сумму.
4. Т.к. подрядчик для незавершенного участка закупил дорогостоящее оборудование изготовленное на заказ (запорную арматуру на общую сумму примерно 7 млн), он передаст это по накладной. Это тоже будет оплачено. Данное оборудование будет применено в следующем году по новому контракту.
5. Незавершенные работы на общую сумму примерно 3 млн будут разыграны в следующем году.</v>
      </c>
      <c r="I389" s="48" t="str">
        <f ca="1">IFERROR(__xludf.DUMMYFUNCTION("""COMPUTED_VALUE"""),"СМР")</f>
        <v>СМР</v>
      </c>
      <c r="J389" s="48">
        <f ca="1">IFERROR(__xludf.DUMMYFUNCTION("""COMPUTED_VALUE"""),100)</f>
        <v>100</v>
      </c>
      <c r="K389" s="48">
        <f ca="1">IFERROR(__xludf.DUMMYFUNCTION("""COMPUTED_VALUE"""),20000)</f>
        <v>20000</v>
      </c>
      <c r="L389" s="48">
        <f ca="1">IFERROR(__xludf.DUMMYFUNCTION("""COMPUTED_VALUE"""),20000)</f>
        <v>20000</v>
      </c>
      <c r="M389" s="48"/>
      <c r="N389" s="48" t="str">
        <f ca="1">IFERROR(__xludf.DUMMYFUNCTION("""COMPUTED_VALUE"""),"10 3 02 64080")</f>
        <v>10 3 02 64080</v>
      </c>
      <c r="O389" s="48">
        <f ca="1">IFERROR(__xludf.DUMMYFUNCTION("""COMPUTED_VALUE"""),522)</f>
        <v>522</v>
      </c>
      <c r="P389" s="24">
        <f t="shared" ref="P389:T389" si="396">SUM(V389,AB389,AH389,AN389,AT389,AZ389,BF389)</f>
        <v>63528.07</v>
      </c>
      <c r="Q389" s="24">
        <f t="shared" si="396"/>
        <v>0</v>
      </c>
      <c r="R389" s="24">
        <f t="shared" si="396"/>
        <v>0</v>
      </c>
      <c r="S389" s="24">
        <f t="shared" si="396"/>
        <v>0</v>
      </c>
      <c r="T389" s="24">
        <f t="shared" si="396"/>
        <v>63528.07</v>
      </c>
      <c r="U389" s="24"/>
      <c r="V389" s="20"/>
      <c r="W389" s="20"/>
      <c r="X389" s="20"/>
      <c r="Y389" s="20"/>
      <c r="Z389" s="20"/>
      <c r="AA389" s="20"/>
      <c r="AB389" s="20"/>
      <c r="AC389" s="24"/>
      <c r="AD389" s="24"/>
      <c r="AE389" s="24"/>
      <c r="AF389" s="24"/>
      <c r="AG389" s="24"/>
      <c r="AH389" s="50">
        <f t="shared" si="2"/>
        <v>63528.07</v>
      </c>
      <c r="AI389" s="50">
        <v>0</v>
      </c>
      <c r="AJ389" s="50">
        <v>0</v>
      </c>
      <c r="AK389" s="50">
        <v>0</v>
      </c>
      <c r="AL389" s="50">
        <v>63528.07</v>
      </c>
      <c r="AM389" s="50"/>
      <c r="AN389" s="24">
        <f t="shared" si="3"/>
        <v>0</v>
      </c>
      <c r="AO389" s="50">
        <v>0</v>
      </c>
      <c r="AP389" s="50">
        <v>0</v>
      </c>
      <c r="AQ389" s="50">
        <v>0</v>
      </c>
      <c r="AR389" s="50">
        <v>0</v>
      </c>
      <c r="AS389" s="50"/>
      <c r="AT389" s="50">
        <f t="shared" si="4"/>
        <v>0</v>
      </c>
      <c r="AU389" s="50">
        <v>0</v>
      </c>
      <c r="AV389" s="50">
        <v>0</v>
      </c>
      <c r="AW389" s="50">
        <v>0</v>
      </c>
      <c r="AX389" s="50">
        <v>0</v>
      </c>
      <c r="AY389" s="50"/>
      <c r="AZ389" s="50">
        <f t="shared" si="227"/>
        <v>0</v>
      </c>
      <c r="BA389" s="50">
        <v>0</v>
      </c>
      <c r="BB389" s="50">
        <v>0</v>
      </c>
      <c r="BC389" s="50">
        <v>0</v>
      </c>
      <c r="BD389" s="50">
        <v>0</v>
      </c>
      <c r="BE389" s="50"/>
      <c r="BF389" s="50">
        <f t="shared" si="6"/>
        <v>0</v>
      </c>
      <c r="BG389" s="50">
        <v>0</v>
      </c>
      <c r="BH389" s="50">
        <v>0</v>
      </c>
      <c r="BI389" s="50">
        <v>0</v>
      </c>
      <c r="BJ389" s="50">
        <v>0</v>
      </c>
      <c r="BK389" s="50"/>
      <c r="BL389" s="20"/>
    </row>
    <row r="390" spans="1:64" ht="84" x14ac:dyDescent="0.2">
      <c r="A390" s="69">
        <v>386</v>
      </c>
      <c r="B390" s="46" t="str">
        <f ca="1">IFERROR(__xludf.DUMMYFUNCTION("""COMPUTED_VALUE"""),"г.о. Шатура")</f>
        <v>г.о. Шатура</v>
      </c>
      <c r="C390"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0" s="52" t="str">
        <f ca="1">IFERROR(__xludf.DUMMYFUNCTION("""COMPUTED_VALUE"""),"МинЖКХ ""ТОП 5 (1 этап)""")</f>
        <v>МинЖКХ "ТОП 5 (1 этап)"</v>
      </c>
      <c r="E390" s="45" t="s">
        <v>605</v>
      </c>
      <c r="F390" s="46" t="str">
        <f ca="1">IFERROR(__xludf.DUMMYFUNCTION("""COMPUTED_VALUE"""),"Котельная")</f>
        <v>Котельная</v>
      </c>
      <c r="G390" s="46" t="str">
        <f ca="1">IFERROR(__xludf.DUMMYFUNCTION("""COMPUTED_VALUE"""),"2020-2021")</f>
        <v>2020-2021</v>
      </c>
      <c r="H390" s="48" t="str">
        <f ca="1">IFERROR(__xludf.DUMMYFUNCTION("""COMPUTED_VALUE"""),"Находится в МОГЭ. Предварительная дата выхода 03.12.2020")</f>
        <v>Находится в МОГЭ. Предварительная дата выхода 03.12.2020</v>
      </c>
      <c r="I390" s="48" t="str">
        <f ca="1">IFERROR(__xludf.DUMMYFUNCTION("""COMPUTED_VALUE"""),"СМР")</f>
        <v>СМР</v>
      </c>
      <c r="J390" s="48"/>
      <c r="K390" s="48">
        <f ca="1">IFERROR(__xludf.DUMMYFUNCTION("""COMPUTED_VALUE"""),27)</f>
        <v>27</v>
      </c>
      <c r="L390" s="48">
        <f ca="1">IFERROR(__xludf.DUMMYFUNCTION("""COMPUTED_VALUE"""),27)</f>
        <v>27</v>
      </c>
      <c r="M390" s="48"/>
      <c r="N390" s="48" t="str">
        <f ca="1">IFERROR(__xludf.DUMMYFUNCTION("""COMPUTED_VALUE"""),"10 3 02 64080")</f>
        <v>10 3 02 64080</v>
      </c>
      <c r="O390" s="48">
        <f ca="1">IFERROR(__xludf.DUMMYFUNCTION("""COMPUTED_VALUE"""),522)</f>
        <v>522</v>
      </c>
      <c r="P390" s="24">
        <f t="shared" ref="P390:T390" si="397">SUM(V390,AB390,AH390,AN390,AT390,AZ390,BF390)</f>
        <v>2700</v>
      </c>
      <c r="Q390" s="24">
        <f t="shared" si="397"/>
        <v>0</v>
      </c>
      <c r="R390" s="24">
        <f t="shared" si="397"/>
        <v>0</v>
      </c>
      <c r="S390" s="24">
        <f t="shared" si="397"/>
        <v>2473.1999999999998</v>
      </c>
      <c r="T390" s="24">
        <f t="shared" si="397"/>
        <v>226.8</v>
      </c>
      <c r="U390" s="24"/>
      <c r="V390" s="24"/>
      <c r="W390" s="24"/>
      <c r="X390" s="24"/>
      <c r="Y390" s="24"/>
      <c r="Z390" s="24"/>
      <c r="AA390" s="24"/>
      <c r="AB390" s="24"/>
      <c r="AC390" s="50"/>
      <c r="AD390" s="50"/>
      <c r="AE390" s="50"/>
      <c r="AF390" s="50"/>
      <c r="AG390" s="50"/>
      <c r="AH390" s="50">
        <f t="shared" si="2"/>
        <v>500</v>
      </c>
      <c r="AI390" s="50">
        <v>0</v>
      </c>
      <c r="AJ390" s="50">
        <v>0</v>
      </c>
      <c r="AK390" s="50">
        <v>458</v>
      </c>
      <c r="AL390" s="50">
        <v>42</v>
      </c>
      <c r="AM390" s="50"/>
      <c r="AN390" s="24">
        <f t="shared" si="3"/>
        <v>2200</v>
      </c>
      <c r="AO390" s="50">
        <v>0</v>
      </c>
      <c r="AP390" s="50">
        <v>0</v>
      </c>
      <c r="AQ390" s="50">
        <v>2015.2</v>
      </c>
      <c r="AR390" s="50">
        <v>184.8</v>
      </c>
      <c r="AS390" s="50"/>
      <c r="AT390" s="50">
        <f t="shared" si="4"/>
        <v>0</v>
      </c>
      <c r="AU390" s="50">
        <v>0</v>
      </c>
      <c r="AV390" s="50">
        <v>0</v>
      </c>
      <c r="AW390" s="50">
        <v>0</v>
      </c>
      <c r="AX390" s="50">
        <v>0</v>
      </c>
      <c r="AY390" s="50"/>
      <c r="AZ390" s="50">
        <f t="shared" si="227"/>
        <v>0</v>
      </c>
      <c r="BA390" s="50">
        <v>0</v>
      </c>
      <c r="BB390" s="50">
        <v>0</v>
      </c>
      <c r="BC390" s="50">
        <v>0</v>
      </c>
      <c r="BD390" s="50">
        <v>0</v>
      </c>
      <c r="BE390" s="50"/>
      <c r="BF390" s="50">
        <f t="shared" si="6"/>
        <v>0</v>
      </c>
      <c r="BG390" s="50">
        <v>0</v>
      </c>
      <c r="BH390" s="50">
        <v>0</v>
      </c>
      <c r="BI390" s="50">
        <v>0</v>
      </c>
      <c r="BJ390" s="50">
        <v>0</v>
      </c>
      <c r="BK390" s="50"/>
      <c r="BL390" s="20"/>
    </row>
    <row r="391" spans="1:64" ht="84" x14ac:dyDescent="0.2">
      <c r="A391" s="69">
        <v>387</v>
      </c>
      <c r="B391" s="46" t="str">
        <f ca="1">IFERROR(__xludf.DUMMYFUNCTION("""COMPUTED_VALUE"""),"г.о. Шатура")</f>
        <v>г.о. Шатура</v>
      </c>
      <c r="C391"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1" s="52" t="str">
        <f ca="1">IFERROR(__xludf.DUMMYFUNCTION("""COMPUTED_VALUE"""),"МинЖКХ ""ТОП 5 (1 этап)""")</f>
        <v>МинЖКХ "ТОП 5 (1 этап)"</v>
      </c>
      <c r="E391" s="45" t="s">
        <v>419</v>
      </c>
      <c r="F391" s="46" t="str">
        <f ca="1">IFERROR(__xludf.DUMMYFUNCTION("""COMPUTED_VALUE"""),"Котельная")</f>
        <v>Котельная</v>
      </c>
      <c r="G391" s="46" t="str">
        <f ca="1">IFERROR(__xludf.DUMMYFUNCTION("""COMPUTED_VALUE"""),"2020-2021")</f>
        <v>2020-2021</v>
      </c>
      <c r="H391" s="48" t="str">
        <f ca="1">IFERROR(__xludf.DUMMYFUNCTION("""COMPUTED_VALUE"""),"Находится в МОГЭ. Предварительная дата выхода 03.12.2020")</f>
        <v>Находится в МОГЭ. Предварительная дата выхода 03.12.2020</v>
      </c>
      <c r="I391" s="48" t="str">
        <f ca="1">IFERROR(__xludf.DUMMYFUNCTION("""COMPUTED_VALUE"""),"СМР")</f>
        <v>СМР</v>
      </c>
      <c r="J391" s="48"/>
      <c r="K391" s="48">
        <f ca="1">IFERROR(__xludf.DUMMYFUNCTION("""COMPUTED_VALUE"""),273)</f>
        <v>273</v>
      </c>
      <c r="L391" s="48">
        <f ca="1">IFERROR(__xludf.DUMMYFUNCTION("""COMPUTED_VALUE"""),273)</f>
        <v>273</v>
      </c>
      <c r="M391" s="48"/>
      <c r="N391" s="48" t="str">
        <f ca="1">IFERROR(__xludf.DUMMYFUNCTION("""COMPUTED_VALUE"""),"10 3 02 64080")</f>
        <v>10 3 02 64080</v>
      </c>
      <c r="O391" s="48">
        <f ca="1">IFERROR(__xludf.DUMMYFUNCTION("""COMPUTED_VALUE"""),522)</f>
        <v>522</v>
      </c>
      <c r="P391" s="24">
        <f t="shared" ref="P391:T391" si="398">SUM(V391,AB391,AH391,AN391,AT391,AZ391,BF391)</f>
        <v>9200</v>
      </c>
      <c r="Q391" s="24">
        <f t="shared" si="398"/>
        <v>0</v>
      </c>
      <c r="R391" s="24">
        <f t="shared" si="398"/>
        <v>4213.6000000000004</v>
      </c>
      <c r="S391" s="24">
        <f t="shared" si="398"/>
        <v>4213.6000000000004</v>
      </c>
      <c r="T391" s="24">
        <f t="shared" si="398"/>
        <v>772.8</v>
      </c>
      <c r="U391" s="24"/>
      <c r="V391" s="24"/>
      <c r="W391" s="24"/>
      <c r="X391" s="24"/>
      <c r="Y391" s="24"/>
      <c r="Z391" s="24"/>
      <c r="AA391" s="24"/>
      <c r="AB391" s="24"/>
      <c r="AC391" s="50"/>
      <c r="AD391" s="50"/>
      <c r="AE391" s="50"/>
      <c r="AF391" s="50"/>
      <c r="AG391" s="50"/>
      <c r="AH391" s="50">
        <f t="shared" si="2"/>
        <v>4600</v>
      </c>
      <c r="AI391" s="50">
        <v>0</v>
      </c>
      <c r="AJ391" s="50">
        <v>0</v>
      </c>
      <c r="AK391" s="50">
        <v>4213.6000000000004</v>
      </c>
      <c r="AL391" s="59">
        <v>386.4</v>
      </c>
      <c r="AM391" s="59"/>
      <c r="AN391" s="24">
        <f t="shared" si="3"/>
        <v>4600</v>
      </c>
      <c r="AO391" s="50">
        <v>0</v>
      </c>
      <c r="AP391" s="50">
        <v>4213.6000000000004</v>
      </c>
      <c r="AQ391" s="50">
        <v>0</v>
      </c>
      <c r="AR391" s="50">
        <v>386.4</v>
      </c>
      <c r="AS391" s="50"/>
      <c r="AT391" s="50">
        <f t="shared" si="4"/>
        <v>0</v>
      </c>
      <c r="AU391" s="50">
        <v>0</v>
      </c>
      <c r="AV391" s="50">
        <v>0</v>
      </c>
      <c r="AW391" s="50">
        <v>0</v>
      </c>
      <c r="AX391" s="50">
        <v>0</v>
      </c>
      <c r="AY391" s="50"/>
      <c r="AZ391" s="50">
        <f t="shared" si="227"/>
        <v>0</v>
      </c>
      <c r="BA391" s="50">
        <v>0</v>
      </c>
      <c r="BB391" s="50">
        <v>0</v>
      </c>
      <c r="BC391" s="50">
        <v>0</v>
      </c>
      <c r="BD391" s="50">
        <v>0</v>
      </c>
      <c r="BE391" s="50"/>
      <c r="BF391" s="50">
        <f t="shared" si="6"/>
        <v>0</v>
      </c>
      <c r="BG391" s="50">
        <v>0</v>
      </c>
      <c r="BH391" s="50">
        <v>0</v>
      </c>
      <c r="BI391" s="50">
        <v>0</v>
      </c>
      <c r="BJ391" s="50">
        <v>0</v>
      </c>
      <c r="BK391" s="50"/>
      <c r="BL391" s="20"/>
    </row>
    <row r="392" spans="1:64" ht="84" x14ac:dyDescent="0.2">
      <c r="A392" s="69">
        <v>388</v>
      </c>
      <c r="B392" s="46" t="str">
        <f ca="1">IFERROR(__xludf.DUMMYFUNCTION("""COMPUTED_VALUE"""),"г.о. Шатура")</f>
        <v>г.о. Шатура</v>
      </c>
      <c r="C392"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2" s="52" t="str">
        <f ca="1">IFERROR(__xludf.DUMMYFUNCTION("""COMPUTED_VALUE"""),"МинЖКХ ""ТОП 5 (1 этап)""")</f>
        <v>МинЖКХ "ТОП 5 (1 этап)"</v>
      </c>
      <c r="E392" s="45" t="s">
        <v>420</v>
      </c>
      <c r="F392" s="46" t="str">
        <f ca="1">IFERROR(__xludf.DUMMYFUNCTION("""COMPUTED_VALUE"""),"Котельная")</f>
        <v>Котельная</v>
      </c>
      <c r="G392" s="46" t="str">
        <f ca="1">IFERROR(__xludf.DUMMYFUNCTION("""COMPUTED_VALUE"""),"2020-2021")</f>
        <v>2020-2021</v>
      </c>
      <c r="H392" s="48" t="str">
        <f ca="1">IFERROR(__xludf.DUMMYFUNCTION("""COMPUTED_VALUE"""),"Находится в МОГЭ. Предварительная дата выхода03.12.2020")</f>
        <v>Находится в МОГЭ. Предварительная дата выхода03.12.2020</v>
      </c>
      <c r="I392" s="48" t="str">
        <f ca="1">IFERROR(__xludf.DUMMYFUNCTION("""COMPUTED_VALUE"""),"СМР")</f>
        <v>СМР</v>
      </c>
      <c r="J392" s="48"/>
      <c r="K392" s="48" t="str">
        <f ca="1">IFERROR(__xludf.DUMMYFUNCTION("""COMPUTED_VALUE"""),"0(школа)")</f>
        <v>0(школа)</v>
      </c>
      <c r="L392" s="48" t="str">
        <f ca="1">IFERROR(__xludf.DUMMYFUNCTION("""COMPUTED_VALUE"""),"0(школа)")</f>
        <v>0(школа)</v>
      </c>
      <c r="M392" s="48"/>
      <c r="N392" s="48" t="str">
        <f ca="1">IFERROR(__xludf.DUMMYFUNCTION("""COMPUTED_VALUE"""),"10 3 02 64080")</f>
        <v>10 3 02 64080</v>
      </c>
      <c r="O392" s="48">
        <f ca="1">IFERROR(__xludf.DUMMYFUNCTION("""COMPUTED_VALUE"""),522)</f>
        <v>522</v>
      </c>
      <c r="P392" s="24">
        <f t="shared" ref="P392:T392" si="399">SUM(V392,AB392,AH392,AN392,AT392,AZ392,BF392)</f>
        <v>3700</v>
      </c>
      <c r="Q392" s="24">
        <f t="shared" si="399"/>
        <v>0</v>
      </c>
      <c r="R392" s="24">
        <f t="shared" si="399"/>
        <v>1694.6</v>
      </c>
      <c r="S392" s="24">
        <f t="shared" si="399"/>
        <v>1694.6</v>
      </c>
      <c r="T392" s="24">
        <f t="shared" si="399"/>
        <v>310.8</v>
      </c>
      <c r="U392" s="24"/>
      <c r="V392" s="24"/>
      <c r="W392" s="24"/>
      <c r="X392" s="24"/>
      <c r="Y392" s="24"/>
      <c r="Z392" s="24"/>
      <c r="AA392" s="24"/>
      <c r="AB392" s="24"/>
      <c r="AC392" s="50"/>
      <c r="AD392" s="50"/>
      <c r="AE392" s="50"/>
      <c r="AF392" s="50"/>
      <c r="AG392" s="50"/>
      <c r="AH392" s="50">
        <f t="shared" si="2"/>
        <v>1850</v>
      </c>
      <c r="AI392" s="50">
        <v>0</v>
      </c>
      <c r="AJ392" s="50">
        <v>0</v>
      </c>
      <c r="AK392" s="50">
        <v>1694.6</v>
      </c>
      <c r="AL392" s="50">
        <v>155.4</v>
      </c>
      <c r="AM392" s="50"/>
      <c r="AN392" s="24">
        <f t="shared" si="3"/>
        <v>1850</v>
      </c>
      <c r="AO392" s="50">
        <v>0</v>
      </c>
      <c r="AP392" s="50">
        <v>1694.6</v>
      </c>
      <c r="AQ392" s="50">
        <v>0</v>
      </c>
      <c r="AR392" s="50">
        <v>155.4</v>
      </c>
      <c r="AS392" s="50"/>
      <c r="AT392" s="50">
        <f t="shared" si="4"/>
        <v>0</v>
      </c>
      <c r="AU392" s="50">
        <v>0</v>
      </c>
      <c r="AV392" s="50">
        <v>0</v>
      </c>
      <c r="AW392" s="50">
        <v>0</v>
      </c>
      <c r="AX392" s="50">
        <v>0</v>
      </c>
      <c r="AY392" s="50"/>
      <c r="AZ392" s="50">
        <f t="shared" si="227"/>
        <v>0</v>
      </c>
      <c r="BA392" s="50">
        <v>0</v>
      </c>
      <c r="BB392" s="50">
        <v>0</v>
      </c>
      <c r="BC392" s="50">
        <v>0</v>
      </c>
      <c r="BD392" s="50">
        <v>0</v>
      </c>
      <c r="BE392" s="50"/>
      <c r="BF392" s="50">
        <f t="shared" si="6"/>
        <v>0</v>
      </c>
      <c r="BG392" s="50">
        <v>0</v>
      </c>
      <c r="BH392" s="50">
        <v>0</v>
      </c>
      <c r="BI392" s="50">
        <v>0</v>
      </c>
      <c r="BJ392" s="50">
        <v>0</v>
      </c>
      <c r="BK392" s="50"/>
      <c r="BL392" s="20"/>
    </row>
    <row r="393" spans="1:64" ht="84" x14ac:dyDescent="0.2">
      <c r="A393" s="69">
        <v>389</v>
      </c>
      <c r="B393" s="46" t="str">
        <f ca="1">IFERROR(__xludf.DUMMYFUNCTION("""COMPUTED_VALUE"""),"г.о. Шатура")</f>
        <v>г.о. Шатура</v>
      </c>
      <c r="C393"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3" s="52" t="str">
        <f ca="1">IFERROR(__xludf.DUMMYFUNCTION("""COMPUTED_VALUE"""),"МинЖКХ ""ТОП 5 (1 этап)""")</f>
        <v>МинЖКХ "ТОП 5 (1 этап)"</v>
      </c>
      <c r="E393" s="45" t="s">
        <v>421</v>
      </c>
      <c r="F393" s="46" t="str">
        <f ca="1">IFERROR(__xludf.DUMMYFUNCTION("""COMPUTED_VALUE"""),"БМК")</f>
        <v>БМК</v>
      </c>
      <c r="G393" s="46" t="str">
        <f ca="1">IFERROR(__xludf.DUMMYFUNCTION("""COMPUTED_VALUE"""),"2020-2021")</f>
        <v>2020-2021</v>
      </c>
      <c r="H393" s="48" t="str">
        <f ca="1">IFERROR(__xludf.DUMMYFUNCTION("""COMPUTED_VALUE"""),"Находится в МОГЭ. Предварительная дата выхода 03.12.2020")</f>
        <v>Находится в МОГЭ. Предварительная дата выхода 03.12.2020</v>
      </c>
      <c r="I393" s="48" t="str">
        <f ca="1">IFERROR(__xludf.DUMMYFUNCTION("""COMPUTED_VALUE"""),"СМР")</f>
        <v>СМР</v>
      </c>
      <c r="J393" s="48"/>
      <c r="K393" s="48">
        <f ca="1">IFERROR(__xludf.DUMMYFUNCTION("""COMPUTED_VALUE"""),0)</f>
        <v>0</v>
      </c>
      <c r="L393" s="48">
        <f ca="1">IFERROR(__xludf.DUMMYFUNCTION("""COMPUTED_VALUE"""),688)</f>
        <v>688</v>
      </c>
      <c r="M393" s="48"/>
      <c r="N393" s="48" t="str">
        <f ca="1">IFERROR(__xludf.DUMMYFUNCTION("""COMPUTED_VALUE"""),"10 3 02 64080")</f>
        <v>10 3 02 64080</v>
      </c>
      <c r="O393" s="48">
        <f ca="1">IFERROR(__xludf.DUMMYFUNCTION("""COMPUTED_VALUE"""),522)</f>
        <v>522</v>
      </c>
      <c r="P393" s="24">
        <f t="shared" ref="P393:T393" si="400">SUM(V393,AB393,AH393,AN393,AT393,AZ393,BF393)</f>
        <v>28500</v>
      </c>
      <c r="Q393" s="24">
        <f t="shared" si="400"/>
        <v>0</v>
      </c>
      <c r="R393" s="24">
        <f t="shared" si="400"/>
        <v>0</v>
      </c>
      <c r="S393" s="24">
        <f t="shared" si="400"/>
        <v>26106</v>
      </c>
      <c r="T393" s="24">
        <f t="shared" si="400"/>
        <v>2394</v>
      </c>
      <c r="U393" s="24"/>
      <c r="V393" s="24"/>
      <c r="W393" s="24"/>
      <c r="X393" s="24"/>
      <c r="Y393" s="24"/>
      <c r="Z393" s="24"/>
      <c r="AA393" s="24"/>
      <c r="AB393" s="24"/>
      <c r="AC393" s="50"/>
      <c r="AD393" s="50"/>
      <c r="AE393" s="50"/>
      <c r="AF393" s="50"/>
      <c r="AG393" s="50"/>
      <c r="AH393" s="50">
        <f t="shared" si="2"/>
        <v>2500</v>
      </c>
      <c r="AI393" s="50">
        <v>0</v>
      </c>
      <c r="AJ393" s="50">
        <v>0</v>
      </c>
      <c r="AK393" s="50">
        <v>2290</v>
      </c>
      <c r="AL393" s="50">
        <v>210</v>
      </c>
      <c r="AM393" s="50"/>
      <c r="AN393" s="24">
        <f t="shared" si="3"/>
        <v>26000</v>
      </c>
      <c r="AO393" s="50">
        <v>0</v>
      </c>
      <c r="AP393" s="50">
        <v>0</v>
      </c>
      <c r="AQ393" s="50">
        <v>23816</v>
      </c>
      <c r="AR393" s="50">
        <v>2184</v>
      </c>
      <c r="AS393" s="50"/>
      <c r="AT393" s="50">
        <f t="shared" si="4"/>
        <v>0</v>
      </c>
      <c r="AU393" s="50">
        <v>0</v>
      </c>
      <c r="AV393" s="50">
        <v>0</v>
      </c>
      <c r="AW393" s="50">
        <v>0</v>
      </c>
      <c r="AX393" s="50">
        <v>0</v>
      </c>
      <c r="AY393" s="50"/>
      <c r="AZ393" s="50">
        <f t="shared" si="227"/>
        <v>0</v>
      </c>
      <c r="BA393" s="50">
        <v>0</v>
      </c>
      <c r="BB393" s="50">
        <v>0</v>
      </c>
      <c r="BC393" s="50">
        <v>0</v>
      </c>
      <c r="BD393" s="50">
        <v>0</v>
      </c>
      <c r="BE393" s="50"/>
      <c r="BF393" s="50">
        <f t="shared" si="6"/>
        <v>0</v>
      </c>
      <c r="BG393" s="50">
        <v>0</v>
      </c>
      <c r="BH393" s="50">
        <v>0</v>
      </c>
      <c r="BI393" s="50">
        <v>0</v>
      </c>
      <c r="BJ393" s="50">
        <v>0</v>
      </c>
      <c r="BK393" s="50"/>
      <c r="BL393" s="20"/>
    </row>
    <row r="394" spans="1:64" ht="84" x14ac:dyDescent="0.2">
      <c r="A394" s="69">
        <v>390</v>
      </c>
      <c r="B394" s="46" t="str">
        <f ca="1">IFERROR(__xludf.DUMMYFUNCTION("""COMPUTED_VALUE"""),"г.о. Шатура")</f>
        <v>г.о. Шатура</v>
      </c>
      <c r="C394"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4" s="52" t="str">
        <f ca="1">IFERROR(__xludf.DUMMYFUNCTION("""COMPUTED_VALUE"""),"МинЖКХ ""ТОП 5 (1 этап)""")</f>
        <v>МинЖКХ "ТОП 5 (1 этап)"</v>
      </c>
      <c r="E394" s="45" t="s">
        <v>422</v>
      </c>
      <c r="F394" s="46" t="str">
        <f ca="1">IFERROR(__xludf.DUMMYFUNCTION("""COMPUTED_VALUE"""),"Котельная")</f>
        <v>Котельная</v>
      </c>
      <c r="G394" s="46" t="str">
        <f ca="1">IFERROR(__xludf.DUMMYFUNCTION("""COMPUTED_VALUE"""),"2020-2021")</f>
        <v>2020-2021</v>
      </c>
      <c r="H394" s="48" t="str">
        <f ca="1">IFERROR(__xludf.DUMMYFUNCTION("""COMPUTED_VALUE"""),"Находится в МОГЭ. Предварительная дата выхода 03.12.2020")</f>
        <v>Находится в МОГЭ. Предварительная дата выхода 03.12.2020</v>
      </c>
      <c r="I394" s="48" t="str">
        <f ca="1">IFERROR(__xludf.DUMMYFUNCTION("""COMPUTED_VALUE"""),"СМР")</f>
        <v>СМР</v>
      </c>
      <c r="J394" s="48"/>
      <c r="K394" s="48">
        <f ca="1">IFERROR(__xludf.DUMMYFUNCTION("""COMPUTED_VALUE"""),0)</f>
        <v>0</v>
      </c>
      <c r="L394" s="48">
        <f ca="1">IFERROR(__xludf.DUMMYFUNCTION("""COMPUTED_VALUE"""),24)</f>
        <v>24</v>
      </c>
      <c r="M394" s="48"/>
      <c r="N394" s="48" t="str">
        <f ca="1">IFERROR(__xludf.DUMMYFUNCTION("""COMPUTED_VALUE"""),"10 3 02 64080")</f>
        <v>10 3 02 64080</v>
      </c>
      <c r="O394" s="48">
        <f ca="1">IFERROR(__xludf.DUMMYFUNCTION("""COMPUTED_VALUE"""),522)</f>
        <v>522</v>
      </c>
      <c r="P394" s="24">
        <f t="shared" ref="P394:T394" si="401">SUM(V394,AB394,AH394,AN394,AT394,AZ394,BF394)</f>
        <v>3500</v>
      </c>
      <c r="Q394" s="24">
        <f t="shared" si="401"/>
        <v>0</v>
      </c>
      <c r="R394" s="24">
        <f t="shared" si="401"/>
        <v>0</v>
      </c>
      <c r="S394" s="24">
        <f t="shared" si="401"/>
        <v>3206</v>
      </c>
      <c r="T394" s="24">
        <f t="shared" si="401"/>
        <v>294</v>
      </c>
      <c r="U394" s="24"/>
      <c r="V394" s="24"/>
      <c r="W394" s="24"/>
      <c r="X394" s="24"/>
      <c r="Y394" s="24"/>
      <c r="Z394" s="24"/>
      <c r="AA394" s="24"/>
      <c r="AB394" s="24"/>
      <c r="AC394" s="50"/>
      <c r="AD394" s="50"/>
      <c r="AE394" s="50"/>
      <c r="AF394" s="50"/>
      <c r="AG394" s="50"/>
      <c r="AH394" s="50">
        <f t="shared" si="2"/>
        <v>500</v>
      </c>
      <c r="AI394" s="50">
        <v>0</v>
      </c>
      <c r="AJ394" s="50">
        <v>0</v>
      </c>
      <c r="AK394" s="50">
        <v>458</v>
      </c>
      <c r="AL394" s="50">
        <v>42</v>
      </c>
      <c r="AM394" s="50"/>
      <c r="AN394" s="24">
        <f t="shared" si="3"/>
        <v>3000</v>
      </c>
      <c r="AO394" s="50">
        <v>0</v>
      </c>
      <c r="AP394" s="50">
        <v>0</v>
      </c>
      <c r="AQ394" s="50">
        <v>2748</v>
      </c>
      <c r="AR394" s="50">
        <v>252</v>
      </c>
      <c r="AS394" s="50"/>
      <c r="AT394" s="50">
        <f t="shared" si="4"/>
        <v>0</v>
      </c>
      <c r="AU394" s="50">
        <v>0</v>
      </c>
      <c r="AV394" s="50">
        <v>0</v>
      </c>
      <c r="AW394" s="50">
        <v>0</v>
      </c>
      <c r="AX394" s="50">
        <v>0</v>
      </c>
      <c r="AY394" s="50"/>
      <c r="AZ394" s="50">
        <f t="shared" si="227"/>
        <v>0</v>
      </c>
      <c r="BA394" s="50">
        <v>0</v>
      </c>
      <c r="BB394" s="50">
        <v>0</v>
      </c>
      <c r="BC394" s="50">
        <v>0</v>
      </c>
      <c r="BD394" s="50">
        <v>0</v>
      </c>
      <c r="BE394" s="50"/>
      <c r="BF394" s="50">
        <f t="shared" si="6"/>
        <v>0</v>
      </c>
      <c r="BG394" s="50">
        <v>0</v>
      </c>
      <c r="BH394" s="50">
        <v>0</v>
      </c>
      <c r="BI394" s="50">
        <v>0</v>
      </c>
      <c r="BJ394" s="50">
        <v>0</v>
      </c>
      <c r="BK394" s="50"/>
      <c r="BL394" s="20"/>
    </row>
    <row r="395" spans="1:64" ht="84" x14ac:dyDescent="0.2">
      <c r="A395" s="69">
        <v>391</v>
      </c>
      <c r="B395" s="46" t="str">
        <f ca="1">IFERROR(__xludf.DUMMYFUNCTION("""COMPUTED_VALUE"""),"г.о. Шатура")</f>
        <v>г.о. Шатура</v>
      </c>
      <c r="C395"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5" s="52" t="str">
        <f ca="1">IFERROR(__xludf.DUMMYFUNCTION("""COMPUTED_VALUE"""),"МинЖКХ ""ТОП 5 (1 этап)""")</f>
        <v>МинЖКХ "ТОП 5 (1 этап)"</v>
      </c>
      <c r="E395" s="45" t="s">
        <v>423</v>
      </c>
      <c r="F395" s="46" t="str">
        <f ca="1">IFERROR(__xludf.DUMMYFUNCTION("""COMPUTED_VALUE"""),"Котельная")</f>
        <v>Котельная</v>
      </c>
      <c r="G395" s="46" t="str">
        <f ca="1">IFERROR(__xludf.DUMMYFUNCTION("""COMPUTED_VALUE"""),"2020-2021")</f>
        <v>2020-2021</v>
      </c>
      <c r="H395" s="48" t="str">
        <f ca="1">IFERROR(__xludf.DUMMYFUNCTION("""COMPUTED_VALUE"""),"Находится в МОГЭ. Предварительная дата выхода 03.12.2020")</f>
        <v>Находится в МОГЭ. Предварительная дата выхода 03.12.2020</v>
      </c>
      <c r="I395" s="48" t="str">
        <f ca="1">IFERROR(__xludf.DUMMYFUNCTION("""COMPUTED_VALUE"""),"СМР")</f>
        <v>СМР</v>
      </c>
      <c r="J395" s="48"/>
      <c r="K395" s="48">
        <f ca="1">IFERROR(__xludf.DUMMYFUNCTION("""COMPUTED_VALUE"""),0)</f>
        <v>0</v>
      </c>
      <c r="L395" s="48">
        <f ca="1">IFERROR(__xludf.DUMMYFUNCTION("""COMPUTED_VALUE"""),192)</f>
        <v>192</v>
      </c>
      <c r="M395" s="48"/>
      <c r="N395" s="48" t="str">
        <f ca="1">IFERROR(__xludf.DUMMYFUNCTION("""COMPUTED_VALUE"""),"10 3 02 64080")</f>
        <v>10 3 02 64080</v>
      </c>
      <c r="O395" s="48">
        <f ca="1">IFERROR(__xludf.DUMMYFUNCTION("""COMPUTED_VALUE"""),522)</f>
        <v>522</v>
      </c>
      <c r="P395" s="24">
        <f t="shared" ref="P395:T395" si="402">SUM(V395,AB395,AH395,AN395,AT395,AZ395,BF395)</f>
        <v>7900</v>
      </c>
      <c r="Q395" s="24">
        <f t="shared" si="402"/>
        <v>0</v>
      </c>
      <c r="R395" s="24">
        <f t="shared" si="402"/>
        <v>0</v>
      </c>
      <c r="S395" s="24">
        <f t="shared" si="402"/>
        <v>7236.4</v>
      </c>
      <c r="T395" s="24">
        <f t="shared" si="402"/>
        <v>663.6</v>
      </c>
      <c r="U395" s="24"/>
      <c r="V395" s="24"/>
      <c r="W395" s="24"/>
      <c r="X395" s="24"/>
      <c r="Y395" s="24"/>
      <c r="Z395" s="24"/>
      <c r="AA395" s="24"/>
      <c r="AB395" s="24"/>
      <c r="AC395" s="50"/>
      <c r="AD395" s="50"/>
      <c r="AE395" s="50"/>
      <c r="AF395" s="50"/>
      <c r="AG395" s="50"/>
      <c r="AH395" s="50">
        <f t="shared" si="2"/>
        <v>1600</v>
      </c>
      <c r="AI395" s="50">
        <v>0</v>
      </c>
      <c r="AJ395" s="50">
        <v>0</v>
      </c>
      <c r="AK395" s="50">
        <v>1465.6</v>
      </c>
      <c r="AL395" s="50">
        <v>134.4</v>
      </c>
      <c r="AM395" s="50"/>
      <c r="AN395" s="24">
        <f t="shared" si="3"/>
        <v>6300</v>
      </c>
      <c r="AO395" s="50">
        <v>0</v>
      </c>
      <c r="AP395" s="50">
        <v>0</v>
      </c>
      <c r="AQ395" s="50">
        <v>5770.8</v>
      </c>
      <c r="AR395" s="50">
        <v>529.20000000000005</v>
      </c>
      <c r="AS395" s="50"/>
      <c r="AT395" s="50">
        <f t="shared" si="4"/>
        <v>0</v>
      </c>
      <c r="AU395" s="50">
        <v>0</v>
      </c>
      <c r="AV395" s="50">
        <v>0</v>
      </c>
      <c r="AW395" s="50">
        <v>0</v>
      </c>
      <c r="AX395" s="50">
        <v>0</v>
      </c>
      <c r="AY395" s="50"/>
      <c r="AZ395" s="50">
        <f t="shared" si="227"/>
        <v>0</v>
      </c>
      <c r="BA395" s="50">
        <v>0</v>
      </c>
      <c r="BB395" s="50">
        <v>0</v>
      </c>
      <c r="BC395" s="50">
        <v>0</v>
      </c>
      <c r="BD395" s="50">
        <v>0</v>
      </c>
      <c r="BE395" s="50"/>
      <c r="BF395" s="50">
        <f t="shared" si="6"/>
        <v>0</v>
      </c>
      <c r="BG395" s="50">
        <v>0</v>
      </c>
      <c r="BH395" s="50">
        <v>0</v>
      </c>
      <c r="BI395" s="50">
        <v>0</v>
      </c>
      <c r="BJ395" s="50">
        <v>0</v>
      </c>
      <c r="BK395" s="50"/>
      <c r="BL395" s="20"/>
    </row>
    <row r="396" spans="1:64" ht="84" x14ac:dyDescent="0.2">
      <c r="A396" s="69">
        <v>392</v>
      </c>
      <c r="B396" s="46" t="str">
        <f ca="1">IFERROR(__xludf.DUMMYFUNCTION("""COMPUTED_VALUE"""),"г.о. Шатура")</f>
        <v>г.о. Шатура</v>
      </c>
      <c r="C396"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6" s="52" t="str">
        <f ca="1">IFERROR(__xludf.DUMMYFUNCTION("""COMPUTED_VALUE"""),"МинЖКХ ""ТОП 5 (1 этап)""")</f>
        <v>МинЖКХ "ТОП 5 (1 этап)"</v>
      </c>
      <c r="E396" s="45" t="s">
        <v>424</v>
      </c>
      <c r="F396" s="46" t="str">
        <f ca="1">IFERROR(__xludf.DUMMYFUNCTION("""COMPUTED_VALUE"""),"Котельная")</f>
        <v>Котельная</v>
      </c>
      <c r="G396" s="46" t="str">
        <f ca="1">IFERROR(__xludf.DUMMYFUNCTION("""COMPUTED_VALUE"""),"2020-2021")</f>
        <v>2020-2021</v>
      </c>
      <c r="H396" s="48" t="str">
        <f ca="1">IFERROR(__xludf.DUMMYFUNCTION("""COMPUTED_VALUE"""),"Находится в МОГЭ. Предварительная дата выхода 03.12.2020")</f>
        <v>Находится в МОГЭ. Предварительная дата выхода 03.12.2020</v>
      </c>
      <c r="I396" s="48" t="str">
        <f ca="1">IFERROR(__xludf.DUMMYFUNCTION("""COMPUTED_VALUE"""),"СМР")</f>
        <v>СМР</v>
      </c>
      <c r="J396" s="48"/>
      <c r="K396" s="48">
        <f ca="1">IFERROR(__xludf.DUMMYFUNCTION("""COMPUTED_VALUE"""),0)</f>
        <v>0</v>
      </c>
      <c r="L396" s="48">
        <f ca="1">IFERROR(__xludf.DUMMYFUNCTION("""COMPUTED_VALUE"""),109)</f>
        <v>109</v>
      </c>
      <c r="M396" s="48"/>
      <c r="N396" s="48" t="str">
        <f ca="1">IFERROR(__xludf.DUMMYFUNCTION("""COMPUTED_VALUE"""),"10 3 02 64080")</f>
        <v>10 3 02 64080</v>
      </c>
      <c r="O396" s="48">
        <f ca="1">IFERROR(__xludf.DUMMYFUNCTION("""COMPUTED_VALUE"""),522)</f>
        <v>522</v>
      </c>
      <c r="P396" s="24">
        <f t="shared" ref="P396:T396" si="403">SUM(V396,AB396,AH396,AN396,AT396,AZ396,BF396)</f>
        <v>7300</v>
      </c>
      <c r="Q396" s="24">
        <f t="shared" si="403"/>
        <v>0</v>
      </c>
      <c r="R396" s="24">
        <f t="shared" si="403"/>
        <v>0</v>
      </c>
      <c r="S396" s="24">
        <f t="shared" si="403"/>
        <v>6686.8</v>
      </c>
      <c r="T396" s="24">
        <f t="shared" si="403"/>
        <v>613.20000000000005</v>
      </c>
      <c r="U396" s="24"/>
      <c r="V396" s="24"/>
      <c r="W396" s="24"/>
      <c r="X396" s="24"/>
      <c r="Y396" s="24"/>
      <c r="Z396" s="24"/>
      <c r="AA396" s="24"/>
      <c r="AB396" s="24"/>
      <c r="AC396" s="50"/>
      <c r="AD396" s="50"/>
      <c r="AE396" s="50"/>
      <c r="AF396" s="50"/>
      <c r="AG396" s="50"/>
      <c r="AH396" s="50">
        <f t="shared" si="2"/>
        <v>1500</v>
      </c>
      <c r="AI396" s="50">
        <v>0</v>
      </c>
      <c r="AJ396" s="50">
        <v>0</v>
      </c>
      <c r="AK396" s="50">
        <v>1374</v>
      </c>
      <c r="AL396" s="50">
        <v>126</v>
      </c>
      <c r="AM396" s="50"/>
      <c r="AN396" s="24">
        <f t="shared" si="3"/>
        <v>5800</v>
      </c>
      <c r="AO396" s="50">
        <v>0</v>
      </c>
      <c r="AP396" s="50">
        <v>0</v>
      </c>
      <c r="AQ396" s="50">
        <v>5312.8</v>
      </c>
      <c r="AR396" s="50">
        <v>487.2</v>
      </c>
      <c r="AS396" s="50"/>
      <c r="AT396" s="50">
        <f t="shared" si="4"/>
        <v>0</v>
      </c>
      <c r="AU396" s="50">
        <v>0</v>
      </c>
      <c r="AV396" s="50">
        <v>0</v>
      </c>
      <c r="AW396" s="50">
        <v>0</v>
      </c>
      <c r="AX396" s="50">
        <v>0</v>
      </c>
      <c r="AY396" s="50"/>
      <c r="AZ396" s="50">
        <f t="shared" si="227"/>
        <v>0</v>
      </c>
      <c r="BA396" s="50">
        <v>0</v>
      </c>
      <c r="BB396" s="50">
        <v>0</v>
      </c>
      <c r="BC396" s="50">
        <v>0</v>
      </c>
      <c r="BD396" s="50">
        <v>0</v>
      </c>
      <c r="BE396" s="50"/>
      <c r="BF396" s="50">
        <f t="shared" si="6"/>
        <v>0</v>
      </c>
      <c r="BG396" s="50">
        <v>0</v>
      </c>
      <c r="BH396" s="50">
        <v>0</v>
      </c>
      <c r="BI396" s="50">
        <v>0</v>
      </c>
      <c r="BJ396" s="50">
        <v>0</v>
      </c>
      <c r="BK396" s="50"/>
      <c r="BL396" s="20"/>
    </row>
    <row r="397" spans="1:64" ht="84" x14ac:dyDescent="0.2">
      <c r="A397" s="69">
        <v>393</v>
      </c>
      <c r="B397" s="46" t="str">
        <f ca="1">IFERROR(__xludf.DUMMYFUNCTION("""COMPUTED_VALUE"""),"г.о. Шатура")</f>
        <v>г.о. Шатура</v>
      </c>
      <c r="C397"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7" s="52" t="str">
        <f ca="1">IFERROR(__xludf.DUMMYFUNCTION("""COMPUTED_VALUE"""),"МинЖКХ ""ТОП 5 (1 этап)""")</f>
        <v>МинЖКХ "ТОП 5 (1 этап)"</v>
      </c>
      <c r="E397" s="45" t="s">
        <v>425</v>
      </c>
      <c r="F397" s="46" t="str">
        <f ca="1">IFERROR(__xludf.DUMMYFUNCTION("""COMPUTED_VALUE"""),"Котельная")</f>
        <v>Котельная</v>
      </c>
      <c r="G397" s="46" t="str">
        <f ca="1">IFERROR(__xludf.DUMMYFUNCTION("""COMPUTED_VALUE"""),"2020-2021")</f>
        <v>2020-2021</v>
      </c>
      <c r="H397" s="48" t="str">
        <f ca="1">IFERROR(__xludf.DUMMYFUNCTION("""COMPUTED_VALUE"""),"Выход из МОГЭ 03.12.2020 с увелечением лимитов на 3 825,14 тыс. руб. Котлы закуплены и находятся на территории районной эксплуатационной службе филиала МОСОБЛГАЗ.")</f>
        <v>Выход из МОГЭ 03.12.2020 с увелечением лимитов на 3 825,14 тыс. руб. Котлы закуплены и находятся на территории районной эксплуатационной службе филиала МОСОБЛГАЗ.</v>
      </c>
      <c r="I397" s="48" t="str">
        <f ca="1">IFERROR(__xludf.DUMMYFUNCTION("""COMPUTED_VALUE"""),"СМР")</f>
        <v>СМР</v>
      </c>
      <c r="J397" s="48"/>
      <c r="K397" s="48" t="str">
        <f ca="1">IFERROR(__xludf.DUMMYFUNCTION("""COMPUTED_VALUE"""),"0(ДК)")</f>
        <v>0(ДК)</v>
      </c>
      <c r="L397" s="48" t="str">
        <f ca="1">IFERROR(__xludf.DUMMYFUNCTION("""COMPUTED_VALUE"""),"0(ДК)")</f>
        <v>0(ДК)</v>
      </c>
      <c r="M397" s="48"/>
      <c r="N397" s="48" t="str">
        <f ca="1">IFERROR(__xludf.DUMMYFUNCTION("""COMPUTED_VALUE"""),"10 3 02 64080")</f>
        <v>10 3 02 64080</v>
      </c>
      <c r="O397" s="48">
        <f ca="1">IFERROR(__xludf.DUMMYFUNCTION("""COMPUTED_VALUE"""),522)</f>
        <v>522</v>
      </c>
      <c r="P397" s="24">
        <f t="shared" ref="P397:T397" si="404">SUM(V397,AB397,AH397,AN397,AT397,AZ397,BF397)</f>
        <v>3300</v>
      </c>
      <c r="Q397" s="24">
        <f t="shared" si="404"/>
        <v>0</v>
      </c>
      <c r="R397" s="24">
        <f t="shared" si="404"/>
        <v>1511.4</v>
      </c>
      <c r="S397" s="24">
        <f t="shared" si="404"/>
        <v>1511.4</v>
      </c>
      <c r="T397" s="24">
        <f t="shared" si="404"/>
        <v>277.2</v>
      </c>
      <c r="U397" s="24"/>
      <c r="V397" s="24"/>
      <c r="W397" s="24"/>
      <c r="X397" s="24"/>
      <c r="Y397" s="24"/>
      <c r="Z397" s="24"/>
      <c r="AA397" s="24"/>
      <c r="AB397" s="24"/>
      <c r="AC397" s="50"/>
      <c r="AD397" s="50"/>
      <c r="AE397" s="50"/>
      <c r="AF397" s="50"/>
      <c r="AG397" s="50"/>
      <c r="AH397" s="50">
        <f t="shared" si="2"/>
        <v>1650</v>
      </c>
      <c r="AI397" s="50">
        <v>0</v>
      </c>
      <c r="AJ397" s="50">
        <v>0</v>
      </c>
      <c r="AK397" s="50">
        <v>1511.4</v>
      </c>
      <c r="AL397" s="50">
        <v>138.6</v>
      </c>
      <c r="AM397" s="50"/>
      <c r="AN397" s="24">
        <f t="shared" si="3"/>
        <v>1650</v>
      </c>
      <c r="AO397" s="50">
        <v>0</v>
      </c>
      <c r="AP397" s="50">
        <v>1511.4</v>
      </c>
      <c r="AQ397" s="50">
        <v>0</v>
      </c>
      <c r="AR397" s="50">
        <v>138.6</v>
      </c>
      <c r="AS397" s="50"/>
      <c r="AT397" s="50">
        <f t="shared" si="4"/>
        <v>0</v>
      </c>
      <c r="AU397" s="50">
        <v>0</v>
      </c>
      <c r="AV397" s="50">
        <v>0</v>
      </c>
      <c r="AW397" s="50">
        <v>0</v>
      </c>
      <c r="AX397" s="50">
        <v>0</v>
      </c>
      <c r="AY397" s="50"/>
      <c r="AZ397" s="50">
        <f t="shared" si="227"/>
        <v>0</v>
      </c>
      <c r="BA397" s="50">
        <v>0</v>
      </c>
      <c r="BB397" s="50">
        <v>0</v>
      </c>
      <c r="BC397" s="50">
        <v>0</v>
      </c>
      <c r="BD397" s="50">
        <v>0</v>
      </c>
      <c r="BE397" s="50"/>
      <c r="BF397" s="50">
        <f t="shared" si="6"/>
        <v>0</v>
      </c>
      <c r="BG397" s="50">
        <v>0</v>
      </c>
      <c r="BH397" s="50">
        <v>0</v>
      </c>
      <c r="BI397" s="50">
        <v>0</v>
      </c>
      <c r="BJ397" s="50">
        <v>0</v>
      </c>
      <c r="BK397" s="50"/>
      <c r="BL397" s="20"/>
    </row>
    <row r="398" spans="1:64" ht="84" x14ac:dyDescent="0.2">
      <c r="A398" s="69">
        <v>394</v>
      </c>
      <c r="B398" s="46" t="str">
        <f ca="1">IFERROR(__xludf.DUMMYFUNCTION("""COMPUTED_VALUE"""),"г.о. Шатура")</f>
        <v>г.о. Шатура</v>
      </c>
      <c r="C398"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8" s="52" t="str">
        <f ca="1">IFERROR(__xludf.DUMMYFUNCTION("""COMPUTED_VALUE"""),"МинЖКХ ""ТОП 5 (1 этап)""")</f>
        <v>МинЖКХ "ТОП 5 (1 этап)"</v>
      </c>
      <c r="E398" s="45" t="s">
        <v>426</v>
      </c>
      <c r="F398" s="46" t="str">
        <f ca="1">IFERROR(__xludf.DUMMYFUNCTION("""COMPUTED_VALUE"""),"Котельная")</f>
        <v>Котельная</v>
      </c>
      <c r="G398" s="46" t="str">
        <f ca="1">IFERROR(__xludf.DUMMYFUNCTION("""COMPUTED_VALUE"""),"2020-2021")</f>
        <v>2020-2021</v>
      </c>
      <c r="H398" s="48" t="str">
        <f ca="1">IFERROR(__xludf.DUMMYFUNCTION("""COMPUTED_VALUE"""),"Выход из МОГЭ 03.12.2020 с увелечением лимитов на 8 693,98 тыс. руб. Котлы закуплены и находятся на территории районной эксплуатационной службе филиала МОСОБЛГАЗ.")</f>
        <v>Выход из МОГЭ 03.12.2020 с увелечением лимитов на 8 693,98 тыс. руб. Котлы закуплены и находятся на территории районной эксплуатационной службе филиала МОСОБЛГАЗ.</v>
      </c>
      <c r="I398" s="48" t="str">
        <f ca="1">IFERROR(__xludf.DUMMYFUNCTION("""COMPUTED_VALUE"""),"СМР")</f>
        <v>СМР</v>
      </c>
      <c r="J398" s="48"/>
      <c r="K398" s="48">
        <f ca="1">IFERROR(__xludf.DUMMYFUNCTION("""COMPUTED_VALUE"""),0)</f>
        <v>0</v>
      </c>
      <c r="L398" s="48">
        <f ca="1">IFERROR(__xludf.DUMMYFUNCTION("""COMPUTED_VALUE"""),24)</f>
        <v>24</v>
      </c>
      <c r="M398" s="48"/>
      <c r="N398" s="48" t="str">
        <f ca="1">IFERROR(__xludf.DUMMYFUNCTION("""COMPUTED_VALUE"""),"10 3 02 64080")</f>
        <v>10 3 02 64080</v>
      </c>
      <c r="O398" s="48">
        <f ca="1">IFERROR(__xludf.DUMMYFUNCTION("""COMPUTED_VALUE"""),522)</f>
        <v>522</v>
      </c>
      <c r="P398" s="24">
        <f t="shared" ref="P398:T398" si="405">SUM(V398,AB398,AH398,AN398,AT398,AZ398,BF398)</f>
        <v>3300</v>
      </c>
      <c r="Q398" s="24">
        <f t="shared" si="405"/>
        <v>0</v>
      </c>
      <c r="R398" s="24">
        <f t="shared" si="405"/>
        <v>1511.4</v>
      </c>
      <c r="S398" s="24">
        <f t="shared" si="405"/>
        <v>1511.4</v>
      </c>
      <c r="T398" s="24">
        <f t="shared" si="405"/>
        <v>277.2</v>
      </c>
      <c r="U398" s="24"/>
      <c r="V398" s="24"/>
      <c r="W398" s="24"/>
      <c r="X398" s="24"/>
      <c r="Y398" s="24"/>
      <c r="Z398" s="24"/>
      <c r="AA398" s="24"/>
      <c r="AB398" s="24"/>
      <c r="AC398" s="50"/>
      <c r="AD398" s="50"/>
      <c r="AE398" s="50"/>
      <c r="AF398" s="50"/>
      <c r="AG398" s="50"/>
      <c r="AH398" s="50">
        <f t="shared" si="2"/>
        <v>1650</v>
      </c>
      <c r="AI398" s="50">
        <v>0</v>
      </c>
      <c r="AJ398" s="50">
        <v>0</v>
      </c>
      <c r="AK398" s="50">
        <v>1511.4</v>
      </c>
      <c r="AL398" s="50">
        <v>138.6</v>
      </c>
      <c r="AM398" s="50"/>
      <c r="AN398" s="24">
        <f t="shared" si="3"/>
        <v>1650</v>
      </c>
      <c r="AO398" s="50">
        <v>0</v>
      </c>
      <c r="AP398" s="50">
        <v>1511.4</v>
      </c>
      <c r="AQ398" s="50">
        <v>0</v>
      </c>
      <c r="AR398" s="50">
        <v>138.6</v>
      </c>
      <c r="AS398" s="50"/>
      <c r="AT398" s="50">
        <f t="shared" si="4"/>
        <v>0</v>
      </c>
      <c r="AU398" s="50">
        <v>0</v>
      </c>
      <c r="AV398" s="50">
        <v>0</v>
      </c>
      <c r="AW398" s="50">
        <v>0</v>
      </c>
      <c r="AX398" s="50">
        <v>0</v>
      </c>
      <c r="AY398" s="50"/>
      <c r="AZ398" s="50">
        <f t="shared" si="227"/>
        <v>0</v>
      </c>
      <c r="BA398" s="50">
        <v>0</v>
      </c>
      <c r="BB398" s="50">
        <v>0</v>
      </c>
      <c r="BC398" s="50">
        <v>0</v>
      </c>
      <c r="BD398" s="50">
        <v>0</v>
      </c>
      <c r="BE398" s="50"/>
      <c r="BF398" s="50">
        <f t="shared" si="6"/>
        <v>0</v>
      </c>
      <c r="BG398" s="50">
        <v>0</v>
      </c>
      <c r="BH398" s="50">
        <v>0</v>
      </c>
      <c r="BI398" s="50">
        <v>0</v>
      </c>
      <c r="BJ398" s="50">
        <v>0</v>
      </c>
      <c r="BK398" s="50"/>
      <c r="BL398" s="20"/>
    </row>
    <row r="399" spans="1:64" ht="84" x14ac:dyDescent="0.2">
      <c r="A399" s="69">
        <v>395</v>
      </c>
      <c r="B399" s="46" t="str">
        <f ca="1">IFERROR(__xludf.DUMMYFUNCTION("""COMPUTED_VALUE"""),"г.о. Шатура")</f>
        <v>г.о. Шатура</v>
      </c>
      <c r="C399" s="46" t="str">
        <f ca="1">IFERROR(__xludf.DUMMYFUNCTION("""COMPUTED_VALUE"""),"Предоставление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f>
        <v xml:space="preserve">Предоставление субсидий из бюджета Московской области бюджетам муниципальных образований Московской области на строительство и реконструкцию объектов коммунальной инфраструктуры </v>
      </c>
      <c r="D399" s="52" t="str">
        <f ca="1">IFERROR(__xludf.DUMMYFUNCTION("""COMPUTED_VALUE"""),"МинЖКХ ""ТОП 5 (1 этап)""")</f>
        <v>МинЖКХ "ТОП 5 (1 этап)"</v>
      </c>
      <c r="E399" s="45" t="s">
        <v>427</v>
      </c>
      <c r="F399" s="46" t="str">
        <f ca="1">IFERROR(__xludf.DUMMYFUNCTION("""COMPUTED_VALUE"""),"Котельная")</f>
        <v>Котельная</v>
      </c>
      <c r="G399" s="46" t="str">
        <f ca="1">IFERROR(__xludf.DUMMYFUNCTION("""COMPUTED_VALUE"""),"2020-2021")</f>
        <v>2020-2021</v>
      </c>
      <c r="H399" s="48" t="str">
        <f ca="1">IFERROR(__xludf.DUMMYFUNCTION("""COMPUTED_VALUE"""),"Находится в МОГЭ. Предварительная дата выхода 03.12.2020")</f>
        <v>Находится в МОГЭ. Предварительная дата выхода 03.12.2020</v>
      </c>
      <c r="I399" s="48" t="str">
        <f ca="1">IFERROR(__xludf.DUMMYFUNCTION("""COMPUTED_VALUE"""),"СМР")</f>
        <v>СМР</v>
      </c>
      <c r="J399" s="48"/>
      <c r="K399" s="48">
        <f ca="1">IFERROR(__xludf.DUMMYFUNCTION("""COMPUTED_VALUE"""),0)</f>
        <v>0</v>
      </c>
      <c r="L399" s="48">
        <f ca="1">IFERROR(__xludf.DUMMYFUNCTION("""COMPUTED_VALUE"""),108)</f>
        <v>108</v>
      </c>
      <c r="M399" s="48"/>
      <c r="N399" s="48" t="str">
        <f ca="1">IFERROR(__xludf.DUMMYFUNCTION("""COMPUTED_VALUE"""),"10 3 02 64080")</f>
        <v>10 3 02 64080</v>
      </c>
      <c r="O399" s="48">
        <f ca="1">IFERROR(__xludf.DUMMYFUNCTION("""COMPUTED_VALUE"""),522)</f>
        <v>522</v>
      </c>
      <c r="P399" s="24">
        <f t="shared" ref="P399:T399" si="406">SUM(V399,AB399,AH399,AN399,AT399,AZ399,BF399)</f>
        <v>7800</v>
      </c>
      <c r="Q399" s="24">
        <f t="shared" si="406"/>
        <v>0</v>
      </c>
      <c r="R399" s="24">
        <f t="shared" si="406"/>
        <v>0</v>
      </c>
      <c r="S399" s="24">
        <f t="shared" si="406"/>
        <v>7144.8</v>
      </c>
      <c r="T399" s="24">
        <f t="shared" si="406"/>
        <v>655.20000000000005</v>
      </c>
      <c r="U399" s="24"/>
      <c r="V399" s="24"/>
      <c r="W399" s="24"/>
      <c r="X399" s="24"/>
      <c r="Y399" s="24"/>
      <c r="Z399" s="24"/>
      <c r="AA399" s="24"/>
      <c r="AB399" s="24"/>
      <c r="AC399" s="50"/>
      <c r="AD399" s="50"/>
      <c r="AE399" s="50"/>
      <c r="AF399" s="50"/>
      <c r="AG399" s="50"/>
      <c r="AH399" s="50">
        <f t="shared" si="2"/>
        <v>1500</v>
      </c>
      <c r="AI399" s="50">
        <v>0</v>
      </c>
      <c r="AJ399" s="50">
        <v>0</v>
      </c>
      <c r="AK399" s="50">
        <v>1374</v>
      </c>
      <c r="AL399" s="50">
        <v>126</v>
      </c>
      <c r="AM399" s="50"/>
      <c r="AN399" s="24">
        <f t="shared" si="3"/>
        <v>6300</v>
      </c>
      <c r="AO399" s="50">
        <v>0</v>
      </c>
      <c r="AP399" s="50">
        <v>0</v>
      </c>
      <c r="AQ399" s="50">
        <v>5770.8</v>
      </c>
      <c r="AR399" s="50">
        <v>529.20000000000005</v>
      </c>
      <c r="AS399" s="50"/>
      <c r="AT399" s="50">
        <f t="shared" si="4"/>
        <v>0</v>
      </c>
      <c r="AU399" s="50">
        <v>0</v>
      </c>
      <c r="AV399" s="50">
        <v>0</v>
      </c>
      <c r="AW399" s="50">
        <v>0</v>
      </c>
      <c r="AX399" s="50">
        <v>0</v>
      </c>
      <c r="AY399" s="50"/>
      <c r="AZ399" s="50">
        <f t="shared" si="227"/>
        <v>0</v>
      </c>
      <c r="BA399" s="50">
        <v>0</v>
      </c>
      <c r="BB399" s="50">
        <v>0</v>
      </c>
      <c r="BC399" s="50">
        <v>0</v>
      </c>
      <c r="BD399" s="50">
        <v>0</v>
      </c>
      <c r="BE399" s="50"/>
      <c r="BF399" s="50">
        <f t="shared" si="6"/>
        <v>0</v>
      </c>
      <c r="BG399" s="50">
        <v>0</v>
      </c>
      <c r="BH399" s="50">
        <v>0</v>
      </c>
      <c r="BI399" s="50">
        <v>0</v>
      </c>
      <c r="BJ399" s="50">
        <v>0</v>
      </c>
      <c r="BK399" s="50"/>
      <c r="BL399" s="20"/>
    </row>
    <row r="400" spans="1:64" ht="96" x14ac:dyDescent="0.2">
      <c r="A400" s="69">
        <v>396</v>
      </c>
      <c r="B400" s="46" t="str">
        <f ca="1">IFERROR(__xludf.DUMMYFUNCTION("""COMPUTED_VALUE"""),"г.о. Орехово-Зуево")</f>
        <v>г.о. Орехово-Зуево</v>
      </c>
      <c r="C400"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00" s="46" t="str">
        <f ca="1">IFERROR(__xludf.DUMMYFUNCTION("""COMPUTED_VALUE"""),"МинЖКХ")</f>
        <v>МинЖКХ</v>
      </c>
      <c r="E400" s="45" t="s">
        <v>428</v>
      </c>
      <c r="F400" s="46" t="str">
        <f ca="1">IFERROR(__xludf.DUMMYFUNCTION("""COMPUTED_VALUE"""),"Сети")</f>
        <v>Сети</v>
      </c>
      <c r="G400" s="46">
        <f ca="1">IFERROR(__xludf.DUMMYFUNCTION("""COMPUTED_VALUE"""),2020)</f>
        <v>2020</v>
      </c>
      <c r="H400" s="48" t="str">
        <f ca="1">IFERROR(__xludf.DUMMYFUNCTION("""COMPUTED_VALUE"""),"ЗАВЕРШЕНО
Готовится пакет на оплату 3 этапа в срок до 18.11.2020.")</f>
        <v>ЗАВЕРШЕНО
Готовится пакет на оплату 3 этапа в срок до 18.11.2020.</v>
      </c>
      <c r="I400" s="48" t="str">
        <f ca="1">IFERROR(__xludf.DUMMYFUNCTION("""COMPUTED_VALUE"""),"СМР")</f>
        <v>СМР</v>
      </c>
      <c r="J400" s="48"/>
      <c r="K400" s="48">
        <f ca="1">IFERROR(__xludf.DUMMYFUNCTION("""COMPUTED_VALUE"""),120000)</f>
        <v>120000</v>
      </c>
      <c r="L400" s="48">
        <f ca="1">IFERROR(__xludf.DUMMYFUNCTION("""COMPUTED_VALUE"""),120000)</f>
        <v>120000</v>
      </c>
      <c r="M400" s="48"/>
      <c r="N400" s="48" t="str">
        <f ca="1">IFERROR(__xludf.DUMMYFUNCTION("""COMPUTED_VALUE"""),"10 3 02 60320")</f>
        <v>10 3 02 60320</v>
      </c>
      <c r="O400" s="48">
        <f ca="1">IFERROR(__xludf.DUMMYFUNCTION("""COMPUTED_VALUE"""),521)</f>
        <v>521</v>
      </c>
      <c r="P400" s="24">
        <f t="shared" ref="P400:T400" si="407">SUM(V400,AB400,AH400,AN400,AT400,AZ400,BF400)</f>
        <v>306045.32</v>
      </c>
      <c r="Q400" s="24">
        <f t="shared" si="407"/>
        <v>0</v>
      </c>
      <c r="R400" s="24">
        <f t="shared" si="407"/>
        <v>0</v>
      </c>
      <c r="S400" s="24">
        <f t="shared" si="407"/>
        <v>290743</v>
      </c>
      <c r="T400" s="24">
        <f t="shared" si="407"/>
        <v>15302.32</v>
      </c>
      <c r="U400" s="24"/>
      <c r="V400" s="20"/>
      <c r="W400" s="20"/>
      <c r="X400" s="20"/>
      <c r="Y400" s="20"/>
      <c r="Z400" s="20"/>
      <c r="AA400" s="20"/>
      <c r="AB400" s="20"/>
      <c r="AC400" s="24"/>
      <c r="AD400" s="24"/>
      <c r="AE400" s="24"/>
      <c r="AF400" s="24"/>
      <c r="AG400" s="24"/>
      <c r="AH400" s="50">
        <f t="shared" si="2"/>
        <v>306045.32</v>
      </c>
      <c r="AI400" s="50">
        <v>0</v>
      </c>
      <c r="AJ400" s="50">
        <v>0</v>
      </c>
      <c r="AK400" s="50">
        <v>290743</v>
      </c>
      <c r="AL400" s="50">
        <v>15302.32</v>
      </c>
      <c r="AM400" s="50"/>
      <c r="AN400" s="24">
        <f t="shared" si="3"/>
        <v>0</v>
      </c>
      <c r="AO400" s="50">
        <v>0</v>
      </c>
      <c r="AP400" s="50">
        <v>0</v>
      </c>
      <c r="AQ400" s="50">
        <v>0</v>
      </c>
      <c r="AR400" s="50">
        <v>0</v>
      </c>
      <c r="AS400" s="50"/>
      <c r="AT400" s="50">
        <f t="shared" si="4"/>
        <v>0</v>
      </c>
      <c r="AU400" s="50">
        <v>0</v>
      </c>
      <c r="AV400" s="50">
        <v>0</v>
      </c>
      <c r="AW400" s="50">
        <v>0</v>
      </c>
      <c r="AX400" s="50">
        <v>0</v>
      </c>
      <c r="AY400" s="50"/>
      <c r="AZ400" s="50">
        <f t="shared" si="227"/>
        <v>0</v>
      </c>
      <c r="BA400" s="50">
        <v>0</v>
      </c>
      <c r="BB400" s="50">
        <v>0</v>
      </c>
      <c r="BC400" s="50">
        <v>0</v>
      </c>
      <c r="BD400" s="50">
        <v>0</v>
      </c>
      <c r="BE400" s="50"/>
      <c r="BF400" s="50">
        <f t="shared" si="6"/>
        <v>0</v>
      </c>
      <c r="BG400" s="50">
        <v>0</v>
      </c>
      <c r="BH400" s="50">
        <v>0</v>
      </c>
      <c r="BI400" s="50">
        <v>0</v>
      </c>
      <c r="BJ400" s="50">
        <v>0</v>
      </c>
      <c r="BK400" s="50"/>
      <c r="BL400" s="20"/>
    </row>
    <row r="401" spans="1:64" ht="60" x14ac:dyDescent="0.2">
      <c r="A401" s="69">
        <v>397</v>
      </c>
      <c r="B401" s="46" t="str">
        <f ca="1">IFERROR(__xludf.DUMMYFUNCTION("""COMPUTED_VALUE"""),"МОС АВС")</f>
        <v>МОС АВС</v>
      </c>
      <c r="C401"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1" s="46" t="str">
        <f ca="1">IFERROR(__xludf.DUMMYFUNCTION("""COMPUTED_VALUE"""),"МинЖКХ")</f>
        <v>МинЖКХ</v>
      </c>
      <c r="E401" s="45" t="s">
        <v>606</v>
      </c>
      <c r="F401" s="46" t="str">
        <f ca="1">IFERROR(__xludf.DUMMYFUNCTION("""COMPUTED_VALUE"""),"БМК")</f>
        <v>БМК</v>
      </c>
      <c r="G401" s="46" t="str">
        <f ca="1">IFERROR(__xludf.DUMMYFUNCTION("""COMPUTED_VALUE"""),"2020-2021")</f>
        <v>2020-2021</v>
      </c>
      <c r="H401" s="48" t="str">
        <f ca="1">IFERROR(__xludf.DUMMYFUNCTION("""COMPUTED_VALUE"""),"Отсутствует техническая возможность подключения к сетям газоснабжения. ")</f>
        <v xml:space="preserve">Отсутствует техническая возможность подключения к сетям газоснабжения. </v>
      </c>
      <c r="I401" s="48" t="str">
        <f ca="1">IFERROR(__xludf.DUMMYFUNCTION("""COMPUTED_VALUE"""),"ПИР")</f>
        <v>ПИР</v>
      </c>
      <c r="J401" s="48"/>
      <c r="K401" s="48" t="str">
        <f ca="1">IFERROR(__xludf.DUMMYFUNCTION("""COMPUTED_VALUE"""),"-")</f>
        <v>-</v>
      </c>
      <c r="L401" s="48" t="str">
        <f ca="1">IFERROR(__xludf.DUMMYFUNCTION("""COMPUTED_VALUE"""),"-")</f>
        <v>-</v>
      </c>
      <c r="M401" s="48"/>
      <c r="N401" s="48" t="str">
        <f ca="1">IFERROR(__xludf.DUMMYFUNCTION("""COMPUTED_VALUE"""),"10 3 02 40010")</f>
        <v>10 3 02 40010</v>
      </c>
      <c r="O401" s="48">
        <f ca="1">IFERROR(__xludf.DUMMYFUNCTION("""COMPUTED_VALUE"""),414)</f>
        <v>414</v>
      </c>
      <c r="P401" s="24">
        <f t="shared" ref="P401:T401" si="408">SUM(V401,AB401,AH401,AN401,AT401,AZ401,BF401)</f>
        <v>2554.5</v>
      </c>
      <c r="Q401" s="24">
        <f t="shared" si="408"/>
        <v>0</v>
      </c>
      <c r="R401" s="24">
        <f t="shared" si="408"/>
        <v>2554.5</v>
      </c>
      <c r="S401" s="24">
        <f t="shared" si="408"/>
        <v>0</v>
      </c>
      <c r="T401" s="24">
        <f t="shared" si="408"/>
        <v>0</v>
      </c>
      <c r="U401" s="24"/>
      <c r="V401" s="20"/>
      <c r="W401" s="20"/>
      <c r="X401" s="20"/>
      <c r="Y401" s="20"/>
      <c r="Z401" s="20"/>
      <c r="AA401" s="20"/>
      <c r="AB401" s="20"/>
      <c r="AC401" s="24"/>
      <c r="AD401" s="24"/>
      <c r="AE401" s="24"/>
      <c r="AF401" s="24"/>
      <c r="AG401" s="24"/>
      <c r="AH401" s="50">
        <f t="shared" si="2"/>
        <v>742.19</v>
      </c>
      <c r="AI401" s="50">
        <v>0</v>
      </c>
      <c r="AJ401" s="50">
        <v>742.19</v>
      </c>
      <c r="AK401" s="50">
        <v>0</v>
      </c>
      <c r="AL401" s="50">
        <v>0</v>
      </c>
      <c r="AM401" s="50"/>
      <c r="AN401" s="24">
        <f t="shared" si="3"/>
        <v>1812.31</v>
      </c>
      <c r="AO401" s="50">
        <v>0</v>
      </c>
      <c r="AP401" s="50">
        <v>1812.31</v>
      </c>
      <c r="AQ401" s="50">
        <v>0</v>
      </c>
      <c r="AR401" s="50">
        <v>0</v>
      </c>
      <c r="AS401" s="50"/>
      <c r="AT401" s="50">
        <f t="shared" si="4"/>
        <v>0</v>
      </c>
      <c r="AU401" s="50">
        <v>0</v>
      </c>
      <c r="AV401" s="50">
        <v>0</v>
      </c>
      <c r="AW401" s="50">
        <v>0</v>
      </c>
      <c r="AX401" s="50">
        <v>0</v>
      </c>
      <c r="AY401" s="50"/>
      <c r="AZ401" s="50">
        <f t="shared" si="227"/>
        <v>0</v>
      </c>
      <c r="BA401" s="50">
        <v>0</v>
      </c>
      <c r="BB401" s="50">
        <v>0</v>
      </c>
      <c r="BC401" s="50">
        <v>0</v>
      </c>
      <c r="BD401" s="50">
        <v>0</v>
      </c>
      <c r="BE401" s="50"/>
      <c r="BF401" s="50">
        <f t="shared" si="6"/>
        <v>0</v>
      </c>
      <c r="BG401" s="50">
        <v>0</v>
      </c>
      <c r="BH401" s="50">
        <v>0</v>
      </c>
      <c r="BI401" s="50">
        <v>0</v>
      </c>
      <c r="BJ401" s="50">
        <v>0</v>
      </c>
      <c r="BK401" s="50"/>
      <c r="BL401" s="20"/>
    </row>
    <row r="402" spans="1:64" ht="84" x14ac:dyDescent="0.2">
      <c r="A402" s="69">
        <v>398</v>
      </c>
      <c r="B402" s="46" t="str">
        <f ca="1">IFERROR(__xludf.DUMMYFUNCTION("""COMPUTED_VALUE"""),"МОС АВС")</f>
        <v>МОС АВС</v>
      </c>
      <c r="C402"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2" s="46" t="str">
        <f ca="1">IFERROR(__xludf.DUMMYFUNCTION("""COMPUTED_VALUE"""),"МинЖКХ")</f>
        <v>МинЖКХ</v>
      </c>
      <c r="E402" s="45" t="s">
        <v>429</v>
      </c>
      <c r="F402" s="46" t="str">
        <f ca="1">IFERROR(__xludf.DUMMYFUNCTION("""COMPUTED_VALUE"""),"БМК")</f>
        <v>БМК</v>
      </c>
      <c r="G402" s="46" t="str">
        <f ca="1">IFERROR(__xludf.DUMMYFUNCTION("""COMPUTED_VALUE"""),"2020-2021")</f>
        <v>2020-2021</v>
      </c>
      <c r="H402" s="48" t="str">
        <f ca="1">IFERROR(__xludf.DUMMYFUNCTION("""COMPUTED_VALUE"""),"Изменение условий оплаты в связи с вводом в эксплуатацию в 2021.")</f>
        <v>Изменение условий оплаты в связи с вводом в эксплуатацию в 2021.</v>
      </c>
      <c r="I402" s="48" t="str">
        <f ca="1">IFERROR(__xludf.DUMMYFUNCTION("""COMPUTED_VALUE"""),"СМР")</f>
        <v>СМР</v>
      </c>
      <c r="J402" s="48"/>
      <c r="K402" s="48"/>
      <c r="L402" s="48"/>
      <c r="M402" s="48"/>
      <c r="N402" s="48" t="str">
        <f ca="1">IFERROR(__xludf.DUMMYFUNCTION("""COMPUTED_VALUE"""),"10 3 02 40010")</f>
        <v>10 3 02 40010</v>
      </c>
      <c r="O402" s="48">
        <f ca="1">IFERROR(__xludf.DUMMYFUNCTION("""COMPUTED_VALUE"""),414)</f>
        <v>414</v>
      </c>
      <c r="P402" s="24">
        <f t="shared" ref="P402:T402" si="409">SUM(V402,AB402,AH402,AN402,AT402,AZ402,BF402)</f>
        <v>57917.979999999996</v>
      </c>
      <c r="Q402" s="24">
        <f t="shared" si="409"/>
        <v>0</v>
      </c>
      <c r="R402" s="24">
        <f t="shared" si="409"/>
        <v>57917.979999999996</v>
      </c>
      <c r="S402" s="24">
        <f t="shared" si="409"/>
        <v>0</v>
      </c>
      <c r="T402" s="24">
        <f t="shared" si="409"/>
        <v>0</v>
      </c>
      <c r="U402" s="24"/>
      <c r="V402" s="20"/>
      <c r="W402" s="20"/>
      <c r="X402" s="20"/>
      <c r="Y402" s="20"/>
      <c r="Z402" s="20"/>
      <c r="AA402" s="20"/>
      <c r="AB402" s="20"/>
      <c r="AC402" s="24"/>
      <c r="AD402" s="24"/>
      <c r="AE402" s="24"/>
      <c r="AF402" s="24"/>
      <c r="AG402" s="24"/>
      <c r="AH402" s="50">
        <f t="shared" si="2"/>
        <v>56817.56</v>
      </c>
      <c r="AI402" s="50">
        <v>0</v>
      </c>
      <c r="AJ402" s="50">
        <v>56817.56</v>
      </c>
      <c r="AK402" s="50">
        <v>0</v>
      </c>
      <c r="AL402" s="50">
        <v>0</v>
      </c>
      <c r="AM402" s="50"/>
      <c r="AN402" s="24">
        <f t="shared" si="3"/>
        <v>1100.42</v>
      </c>
      <c r="AO402" s="50">
        <v>0</v>
      </c>
      <c r="AP402" s="50">
        <v>1100.42</v>
      </c>
      <c r="AQ402" s="50">
        <v>0</v>
      </c>
      <c r="AR402" s="50">
        <v>0</v>
      </c>
      <c r="AS402" s="50"/>
      <c r="AT402" s="50">
        <f t="shared" si="4"/>
        <v>0</v>
      </c>
      <c r="AU402" s="50">
        <v>0</v>
      </c>
      <c r="AV402" s="50">
        <v>0</v>
      </c>
      <c r="AW402" s="50">
        <v>0</v>
      </c>
      <c r="AX402" s="50">
        <v>0</v>
      </c>
      <c r="AY402" s="50"/>
      <c r="AZ402" s="50">
        <f t="shared" si="227"/>
        <v>0</v>
      </c>
      <c r="BA402" s="50">
        <v>0</v>
      </c>
      <c r="BB402" s="50">
        <v>0</v>
      </c>
      <c r="BC402" s="50">
        <v>0</v>
      </c>
      <c r="BD402" s="50">
        <v>0</v>
      </c>
      <c r="BE402" s="50"/>
      <c r="BF402" s="50">
        <f t="shared" si="6"/>
        <v>0</v>
      </c>
      <c r="BG402" s="50">
        <v>0</v>
      </c>
      <c r="BH402" s="50">
        <v>0</v>
      </c>
      <c r="BI402" s="50">
        <v>0</v>
      </c>
      <c r="BJ402" s="50">
        <v>0</v>
      </c>
      <c r="BK402" s="50"/>
      <c r="BL402" s="20"/>
    </row>
    <row r="403" spans="1:64" ht="72" x14ac:dyDescent="0.2">
      <c r="A403" s="69">
        <v>399</v>
      </c>
      <c r="B403" s="46" t="str">
        <f ca="1">IFERROR(__xludf.DUMMYFUNCTION("""COMPUTED_VALUE"""),"МОС АВС")</f>
        <v>МОС АВС</v>
      </c>
      <c r="C403"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3" s="46" t="str">
        <f ca="1">IFERROR(__xludf.DUMMYFUNCTION("""COMPUTED_VALUE"""),"МинЖКХ")</f>
        <v>МинЖКХ</v>
      </c>
      <c r="E403" s="45" t="s">
        <v>430</v>
      </c>
      <c r="F403" s="46" t="str">
        <f ca="1">IFERROR(__xludf.DUMMYFUNCTION("""COMPUTED_VALUE"""),"БМК")</f>
        <v>БМК</v>
      </c>
      <c r="G403" s="46" t="str">
        <f ca="1">IFERROR(__xludf.DUMMYFUNCTION("""COMPUTED_VALUE"""),"2020-2022")</f>
        <v>2020-2022</v>
      </c>
      <c r="H403" s="48" t="str">
        <f ca="1">IFERROR(__xludf.DUMMYFUNCTION("""COMPUTED_VALUE"""),"Изменение условий оплаты в связи с вводом в эксплуатацию в 2021.")</f>
        <v>Изменение условий оплаты в связи с вводом в эксплуатацию в 2021.</v>
      </c>
      <c r="I403" s="48" t="str">
        <f ca="1">IFERROR(__xludf.DUMMYFUNCTION("""COMPUTED_VALUE"""),"ПИР")</f>
        <v>ПИР</v>
      </c>
      <c r="J403" s="48"/>
      <c r="K403" s="48" t="str">
        <f ca="1">IFERROR(__xludf.DUMMYFUNCTION("""COMPUTED_VALUE"""),"-")</f>
        <v>-</v>
      </c>
      <c r="L403" s="48" t="str">
        <f ca="1">IFERROR(__xludf.DUMMYFUNCTION("""COMPUTED_VALUE"""),"-")</f>
        <v>-</v>
      </c>
      <c r="M403" s="48"/>
      <c r="N403" s="48" t="str">
        <f ca="1">IFERROR(__xludf.DUMMYFUNCTION("""COMPUTED_VALUE"""),"10 3 02 40010")</f>
        <v>10 3 02 40010</v>
      </c>
      <c r="O403" s="48">
        <f ca="1">IFERROR(__xludf.DUMMYFUNCTION("""COMPUTED_VALUE"""),414)</f>
        <v>414</v>
      </c>
      <c r="P403" s="24">
        <f t="shared" ref="P403:T403" si="410">SUM(V403,AB403,AH403,AN403,AT403,AZ403,BF403)</f>
        <v>2768.04</v>
      </c>
      <c r="Q403" s="24">
        <f t="shared" si="410"/>
        <v>0</v>
      </c>
      <c r="R403" s="24">
        <f t="shared" si="410"/>
        <v>2768.04</v>
      </c>
      <c r="S403" s="24">
        <f t="shared" si="410"/>
        <v>0</v>
      </c>
      <c r="T403" s="24">
        <f t="shared" si="410"/>
        <v>0</v>
      </c>
      <c r="U403" s="24"/>
      <c r="V403" s="20"/>
      <c r="W403" s="20"/>
      <c r="X403" s="20"/>
      <c r="Y403" s="20"/>
      <c r="Z403" s="20"/>
      <c r="AA403" s="20"/>
      <c r="AB403" s="20"/>
      <c r="AC403" s="24"/>
      <c r="AD403" s="24"/>
      <c r="AE403" s="24"/>
      <c r="AF403" s="24"/>
      <c r="AG403" s="24"/>
      <c r="AH403" s="50">
        <f t="shared" si="2"/>
        <v>158.05000000000001</v>
      </c>
      <c r="AI403" s="50">
        <v>0</v>
      </c>
      <c r="AJ403" s="50">
        <v>158.05000000000001</v>
      </c>
      <c r="AK403" s="50">
        <v>0</v>
      </c>
      <c r="AL403" s="50">
        <v>0</v>
      </c>
      <c r="AM403" s="50"/>
      <c r="AN403" s="24">
        <f t="shared" si="3"/>
        <v>2455.89</v>
      </c>
      <c r="AO403" s="50">
        <v>0</v>
      </c>
      <c r="AP403" s="50">
        <v>2455.89</v>
      </c>
      <c r="AQ403" s="50">
        <v>0</v>
      </c>
      <c r="AR403" s="50">
        <v>0</v>
      </c>
      <c r="AS403" s="50"/>
      <c r="AT403" s="50">
        <f t="shared" si="4"/>
        <v>154.1</v>
      </c>
      <c r="AU403" s="50">
        <v>0</v>
      </c>
      <c r="AV403" s="45">
        <v>154.1</v>
      </c>
      <c r="AW403" s="50">
        <v>0</v>
      </c>
      <c r="AX403" s="50">
        <v>0</v>
      </c>
      <c r="AY403" s="50"/>
      <c r="AZ403" s="50">
        <f t="shared" si="227"/>
        <v>0</v>
      </c>
      <c r="BA403" s="50">
        <v>0</v>
      </c>
      <c r="BB403" s="50">
        <v>0</v>
      </c>
      <c r="BC403" s="50">
        <v>0</v>
      </c>
      <c r="BD403" s="50">
        <v>0</v>
      </c>
      <c r="BE403" s="50"/>
      <c r="BF403" s="50">
        <f t="shared" si="6"/>
        <v>0</v>
      </c>
      <c r="BG403" s="50">
        <v>0</v>
      </c>
      <c r="BH403" s="50">
        <v>0</v>
      </c>
      <c r="BI403" s="50">
        <v>0</v>
      </c>
      <c r="BJ403" s="50">
        <v>0</v>
      </c>
      <c r="BK403" s="50"/>
      <c r="BL403" s="20"/>
    </row>
    <row r="404" spans="1:64" ht="60" x14ac:dyDescent="0.2">
      <c r="A404" s="69">
        <v>400</v>
      </c>
      <c r="B404" s="46" t="str">
        <f ca="1">IFERROR(__xludf.DUMMYFUNCTION("""COMPUTED_VALUE"""),"МОС АВС")</f>
        <v>МОС АВС</v>
      </c>
      <c r="C404"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4" s="46" t="str">
        <f ca="1">IFERROR(__xludf.DUMMYFUNCTION("""COMPUTED_VALUE"""),"МинЖКХ")</f>
        <v>МинЖКХ</v>
      </c>
      <c r="E404" s="45" t="s">
        <v>431</v>
      </c>
      <c r="F404" s="46" t="str">
        <f ca="1">IFERROR(__xludf.DUMMYFUNCTION("""COMPUTED_VALUE"""),"БМК")</f>
        <v>БМК</v>
      </c>
      <c r="G404" s="46" t="str">
        <f ca="1">IFERROR(__xludf.DUMMYFUNCTION("""COMPUTED_VALUE"""),"2020-2021")</f>
        <v>2020-2021</v>
      </c>
      <c r="H404" s="48" t="str">
        <f ca="1">IFERROR(__xludf.DUMMYFUNCTION("""COMPUTED_VALUE"""),"Изменение условий оплаты в связи с вводом в эксплуатацию в 2021.")</f>
        <v>Изменение условий оплаты в связи с вводом в эксплуатацию в 2021.</v>
      </c>
      <c r="I404" s="48" t="str">
        <f ca="1">IFERROR(__xludf.DUMMYFUNCTION("""COMPUTED_VALUE"""),"ПИР")</f>
        <v>ПИР</v>
      </c>
      <c r="J404" s="48"/>
      <c r="K404" s="48" t="str">
        <f ca="1">IFERROR(__xludf.DUMMYFUNCTION("""COMPUTED_VALUE"""),"-")</f>
        <v>-</v>
      </c>
      <c r="L404" s="48" t="str">
        <f ca="1">IFERROR(__xludf.DUMMYFUNCTION("""COMPUTED_VALUE"""),"-")</f>
        <v>-</v>
      </c>
      <c r="M404" s="48"/>
      <c r="N404" s="48" t="str">
        <f ca="1">IFERROR(__xludf.DUMMYFUNCTION("""COMPUTED_VALUE"""),"10 3 02 40010")</f>
        <v>10 3 02 40010</v>
      </c>
      <c r="O404" s="48">
        <f ca="1">IFERROR(__xludf.DUMMYFUNCTION("""COMPUTED_VALUE"""),414)</f>
        <v>414</v>
      </c>
      <c r="P404" s="24">
        <f t="shared" ref="P404:T404" si="411">SUM(V404,AB404,AH404,AN404,AT404,AZ404,BF404)</f>
        <v>2719.79</v>
      </c>
      <c r="Q404" s="24">
        <f t="shared" si="411"/>
        <v>0</v>
      </c>
      <c r="R404" s="24">
        <f t="shared" si="411"/>
        <v>2719.79</v>
      </c>
      <c r="S404" s="24">
        <f t="shared" si="411"/>
        <v>0</v>
      </c>
      <c r="T404" s="24">
        <f t="shared" si="411"/>
        <v>0</v>
      </c>
      <c r="U404" s="24"/>
      <c r="V404" s="20"/>
      <c r="W404" s="20"/>
      <c r="X404" s="20"/>
      <c r="Y404" s="20"/>
      <c r="Z404" s="20"/>
      <c r="AA404" s="20"/>
      <c r="AB404" s="20"/>
      <c r="AC404" s="24"/>
      <c r="AD404" s="24"/>
      <c r="AE404" s="24"/>
      <c r="AF404" s="24"/>
      <c r="AG404" s="24"/>
      <c r="AH404" s="50">
        <f t="shared" si="2"/>
        <v>214.65</v>
      </c>
      <c r="AI404" s="50">
        <v>0</v>
      </c>
      <c r="AJ404" s="50">
        <v>214.65</v>
      </c>
      <c r="AK404" s="50">
        <v>0</v>
      </c>
      <c r="AL404" s="50">
        <v>0</v>
      </c>
      <c r="AM404" s="50"/>
      <c r="AN404" s="24">
        <f t="shared" si="3"/>
        <v>2505.14</v>
      </c>
      <c r="AO404" s="50">
        <v>0</v>
      </c>
      <c r="AP404" s="50">
        <v>2505.14</v>
      </c>
      <c r="AQ404" s="50">
        <v>0</v>
      </c>
      <c r="AR404" s="50">
        <v>0</v>
      </c>
      <c r="AS404" s="50"/>
      <c r="AT404" s="50">
        <f t="shared" si="4"/>
        <v>0</v>
      </c>
      <c r="AU404" s="50">
        <v>0</v>
      </c>
      <c r="AV404" s="50">
        <v>0</v>
      </c>
      <c r="AW404" s="50">
        <v>0</v>
      </c>
      <c r="AX404" s="50">
        <v>0</v>
      </c>
      <c r="AY404" s="50"/>
      <c r="AZ404" s="50">
        <f t="shared" si="227"/>
        <v>0</v>
      </c>
      <c r="BA404" s="50">
        <v>0</v>
      </c>
      <c r="BB404" s="50">
        <v>0</v>
      </c>
      <c r="BC404" s="50">
        <v>0</v>
      </c>
      <c r="BD404" s="50">
        <v>0</v>
      </c>
      <c r="BE404" s="50"/>
      <c r="BF404" s="50">
        <f t="shared" si="6"/>
        <v>0</v>
      </c>
      <c r="BG404" s="50">
        <v>0</v>
      </c>
      <c r="BH404" s="50">
        <v>0</v>
      </c>
      <c r="BI404" s="50">
        <v>0</v>
      </c>
      <c r="BJ404" s="50">
        <v>0</v>
      </c>
      <c r="BK404" s="50"/>
      <c r="BL404" s="20"/>
    </row>
    <row r="405" spans="1:64" ht="60" x14ac:dyDescent="0.2">
      <c r="A405" s="69">
        <v>401</v>
      </c>
      <c r="B405" s="46" t="str">
        <f ca="1">IFERROR(__xludf.DUMMYFUNCTION("""COMPUTED_VALUE"""),"МОС АВС")</f>
        <v>МОС АВС</v>
      </c>
      <c r="C405"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5" s="46" t="str">
        <f ca="1">IFERROR(__xludf.DUMMYFUNCTION("""COMPUTED_VALUE"""),"МинЖКХ")</f>
        <v>МинЖКХ</v>
      </c>
      <c r="E405" s="45" t="s">
        <v>432</v>
      </c>
      <c r="F405" s="46" t="str">
        <f ca="1">IFERROR(__xludf.DUMMYFUNCTION("""COMPUTED_VALUE"""),"БМК")</f>
        <v>БМК</v>
      </c>
      <c r="G405" s="46" t="str">
        <f ca="1">IFERROR(__xludf.DUMMYFUNCTION("""COMPUTED_VALUE"""),"2020-2021")</f>
        <v>2020-2021</v>
      </c>
      <c r="H405" s="48" t="str">
        <f ca="1">IFERROR(__xludf.DUMMYFUNCTION("""COMPUTED_VALUE"""),"Отсутствует техническая возможность подключения к сетям газоснабжения. ")</f>
        <v xml:space="preserve">Отсутствует техническая возможность подключения к сетям газоснабжения. </v>
      </c>
      <c r="I405" s="48" t="str">
        <f ca="1">IFERROR(__xludf.DUMMYFUNCTION("""COMPUTED_VALUE"""),"ПИР")</f>
        <v>ПИР</v>
      </c>
      <c r="J405" s="48"/>
      <c r="K405" s="48" t="str">
        <f ca="1">IFERROR(__xludf.DUMMYFUNCTION("""COMPUTED_VALUE"""),"-")</f>
        <v>-</v>
      </c>
      <c r="L405" s="48" t="str">
        <f ca="1">IFERROR(__xludf.DUMMYFUNCTION("""COMPUTED_VALUE"""),"-")</f>
        <v>-</v>
      </c>
      <c r="M405" s="48"/>
      <c r="N405" s="48" t="str">
        <f ca="1">IFERROR(__xludf.DUMMYFUNCTION("""COMPUTED_VALUE"""),"10 3 02 40010")</f>
        <v>10 3 02 40010</v>
      </c>
      <c r="O405" s="48">
        <f ca="1">IFERROR(__xludf.DUMMYFUNCTION("""COMPUTED_VALUE"""),414)</f>
        <v>414</v>
      </c>
      <c r="P405" s="24">
        <f t="shared" ref="P405:T405" si="412">SUM(V405,AB405,AH405,AN405,AT405,AZ405,BF405)</f>
        <v>2211.1</v>
      </c>
      <c r="Q405" s="24">
        <f t="shared" si="412"/>
        <v>0</v>
      </c>
      <c r="R405" s="24">
        <f t="shared" si="412"/>
        <v>2211.1</v>
      </c>
      <c r="S405" s="24">
        <f t="shared" si="412"/>
        <v>0</v>
      </c>
      <c r="T405" s="24">
        <f t="shared" si="412"/>
        <v>0</v>
      </c>
      <c r="U405" s="24"/>
      <c r="V405" s="20"/>
      <c r="W405" s="20"/>
      <c r="X405" s="20"/>
      <c r="Y405" s="20"/>
      <c r="Z405" s="20"/>
      <c r="AA405" s="20"/>
      <c r="AB405" s="20"/>
      <c r="AC405" s="24"/>
      <c r="AD405" s="24"/>
      <c r="AE405" s="24"/>
      <c r="AF405" s="24"/>
      <c r="AG405" s="24"/>
      <c r="AH405" s="50">
        <f t="shared" si="2"/>
        <v>50.1</v>
      </c>
      <c r="AI405" s="50">
        <v>0</v>
      </c>
      <c r="AJ405" s="50">
        <v>50.1</v>
      </c>
      <c r="AK405" s="50">
        <v>0</v>
      </c>
      <c r="AL405" s="50">
        <v>0</v>
      </c>
      <c r="AM405" s="50"/>
      <c r="AN405" s="24">
        <f t="shared" si="3"/>
        <v>2161</v>
      </c>
      <c r="AO405" s="50">
        <v>0</v>
      </c>
      <c r="AP405" s="50">
        <v>2161</v>
      </c>
      <c r="AQ405" s="50">
        <v>0</v>
      </c>
      <c r="AR405" s="50">
        <v>0</v>
      </c>
      <c r="AS405" s="50"/>
      <c r="AT405" s="50">
        <f t="shared" si="4"/>
        <v>0</v>
      </c>
      <c r="AU405" s="50">
        <v>0</v>
      </c>
      <c r="AV405" s="50">
        <v>0</v>
      </c>
      <c r="AW405" s="50">
        <v>0</v>
      </c>
      <c r="AX405" s="50">
        <v>0</v>
      </c>
      <c r="AY405" s="50"/>
      <c r="AZ405" s="50">
        <f t="shared" si="227"/>
        <v>0</v>
      </c>
      <c r="BA405" s="50">
        <v>0</v>
      </c>
      <c r="BB405" s="50">
        <v>0</v>
      </c>
      <c r="BC405" s="50">
        <v>0</v>
      </c>
      <c r="BD405" s="50">
        <v>0</v>
      </c>
      <c r="BE405" s="50"/>
      <c r="BF405" s="50">
        <f t="shared" si="6"/>
        <v>0</v>
      </c>
      <c r="BG405" s="50">
        <v>0</v>
      </c>
      <c r="BH405" s="50">
        <v>0</v>
      </c>
      <c r="BI405" s="50">
        <v>0</v>
      </c>
      <c r="BJ405" s="50">
        <v>0</v>
      </c>
      <c r="BK405" s="50"/>
      <c r="BL405" s="20"/>
    </row>
    <row r="406" spans="1:64" ht="72" x14ac:dyDescent="0.2">
      <c r="A406" s="69">
        <v>402</v>
      </c>
      <c r="B406" s="46" t="str">
        <f ca="1">IFERROR(__xludf.DUMMYFUNCTION("""COMPUTED_VALUE"""),"МОС АВС")</f>
        <v>МОС АВС</v>
      </c>
      <c r="C406"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6" s="46" t="str">
        <f ca="1">IFERROR(__xludf.DUMMYFUNCTION("""COMPUTED_VALUE"""),"МинЖКХ")</f>
        <v>МинЖКХ</v>
      </c>
      <c r="E406" s="45" t="s">
        <v>433</v>
      </c>
      <c r="F406" s="46" t="str">
        <f ca="1">IFERROR(__xludf.DUMMYFUNCTION("""COMPUTED_VALUE"""),"БМК")</f>
        <v>БМК</v>
      </c>
      <c r="G406" s="46" t="str">
        <f ca="1">IFERROR(__xludf.DUMMYFUNCTION("""COMPUTED_VALUE"""),"2020-2022")</f>
        <v>2020-2022</v>
      </c>
      <c r="H406" s="48" t="str">
        <f ca="1">IFERROR(__xludf.DUMMYFUNCTION("""COMPUTED_VALUE"""),"Участок не передан в безвозмездное пользовние . ")</f>
        <v xml:space="preserve">Участок не передан в безвозмездное пользовние . </v>
      </c>
      <c r="I406" s="48" t="str">
        <f ca="1">IFERROR(__xludf.DUMMYFUNCTION("""COMPUTED_VALUE"""),"ПИР")</f>
        <v>ПИР</v>
      </c>
      <c r="J406" s="48"/>
      <c r="K406" s="48" t="str">
        <f ca="1">IFERROR(__xludf.DUMMYFUNCTION("""COMPUTED_VALUE"""),"-")</f>
        <v>-</v>
      </c>
      <c r="L406" s="48" t="str">
        <f ca="1">IFERROR(__xludf.DUMMYFUNCTION("""COMPUTED_VALUE"""),"-")</f>
        <v>-</v>
      </c>
      <c r="M406" s="48"/>
      <c r="N406" s="48" t="str">
        <f ca="1">IFERROR(__xludf.DUMMYFUNCTION("""COMPUTED_VALUE"""),"10 3 02 40010")</f>
        <v>10 3 02 40010</v>
      </c>
      <c r="O406" s="48">
        <f ca="1">IFERROR(__xludf.DUMMYFUNCTION("""COMPUTED_VALUE"""),414)</f>
        <v>414</v>
      </c>
      <c r="P406" s="24">
        <f t="shared" ref="P406:T406" si="413">SUM(V406,AB406,AH406,AN406,AT406,AZ406,BF406)</f>
        <v>2372.38</v>
      </c>
      <c r="Q406" s="24">
        <f t="shared" si="413"/>
        <v>0</v>
      </c>
      <c r="R406" s="24">
        <f t="shared" si="413"/>
        <v>2372.38</v>
      </c>
      <c r="S406" s="24">
        <f t="shared" si="413"/>
        <v>0</v>
      </c>
      <c r="T406" s="24">
        <f t="shared" si="413"/>
        <v>0</v>
      </c>
      <c r="U406" s="24"/>
      <c r="V406" s="20"/>
      <c r="W406" s="20"/>
      <c r="X406" s="20"/>
      <c r="Y406" s="20"/>
      <c r="Z406" s="20"/>
      <c r="AA406" s="20"/>
      <c r="AB406" s="20"/>
      <c r="AC406" s="24"/>
      <c r="AD406" s="24"/>
      <c r="AE406" s="24"/>
      <c r="AF406" s="24"/>
      <c r="AG406" s="24"/>
      <c r="AH406" s="50">
        <f t="shared" si="2"/>
        <v>658.32</v>
      </c>
      <c r="AI406" s="50">
        <v>0</v>
      </c>
      <c r="AJ406" s="50">
        <v>658.32</v>
      </c>
      <c r="AK406" s="50">
        <v>0</v>
      </c>
      <c r="AL406" s="50">
        <v>0</v>
      </c>
      <c r="AM406" s="50"/>
      <c r="AN406" s="24">
        <f t="shared" si="3"/>
        <v>1486.1</v>
      </c>
      <c r="AO406" s="50">
        <v>0</v>
      </c>
      <c r="AP406" s="50">
        <v>1486.1</v>
      </c>
      <c r="AQ406" s="50">
        <v>0</v>
      </c>
      <c r="AR406" s="50">
        <v>0</v>
      </c>
      <c r="AS406" s="50"/>
      <c r="AT406" s="50">
        <f t="shared" si="4"/>
        <v>227.96</v>
      </c>
      <c r="AU406" s="50">
        <v>0</v>
      </c>
      <c r="AV406" s="45">
        <v>227.96</v>
      </c>
      <c r="AW406" s="50">
        <v>0</v>
      </c>
      <c r="AX406" s="50">
        <v>0</v>
      </c>
      <c r="AY406" s="50"/>
      <c r="AZ406" s="50">
        <f t="shared" si="227"/>
        <v>0</v>
      </c>
      <c r="BA406" s="50">
        <v>0</v>
      </c>
      <c r="BB406" s="50">
        <v>0</v>
      </c>
      <c r="BC406" s="50">
        <v>0</v>
      </c>
      <c r="BD406" s="50">
        <v>0</v>
      </c>
      <c r="BE406" s="50"/>
      <c r="BF406" s="50">
        <f t="shared" si="6"/>
        <v>0</v>
      </c>
      <c r="BG406" s="50">
        <v>0</v>
      </c>
      <c r="BH406" s="50">
        <v>0</v>
      </c>
      <c r="BI406" s="50">
        <v>0</v>
      </c>
      <c r="BJ406" s="50">
        <v>0</v>
      </c>
      <c r="BK406" s="50"/>
      <c r="BL406" s="20"/>
    </row>
    <row r="407" spans="1:64" ht="96" x14ac:dyDescent="0.2">
      <c r="A407" s="69">
        <v>403</v>
      </c>
      <c r="B407" s="48" t="str">
        <f ca="1">IFERROR(__xludf.DUMMYFUNCTION("""COMPUTED_VALUE"""),"г.о. Коломенский")</f>
        <v>г.о. Коломенский</v>
      </c>
      <c r="C407"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07" s="46" t="str">
        <f ca="1">IFERROR(__xludf.DUMMYFUNCTION("""COMPUTED_VALUE"""),"МинЖКХ")</f>
        <v>МинЖКХ</v>
      </c>
      <c r="E407" s="45" t="s">
        <v>434</v>
      </c>
      <c r="F407" s="46" t="str">
        <f ca="1">IFERROR(__xludf.DUMMYFUNCTION("""COMPUTED_VALUE"""),"Сети")</f>
        <v>Сети</v>
      </c>
      <c r="G407" s="46">
        <f ca="1">IFERROR(__xludf.DUMMYFUNCTION("""COMPUTED_VALUE"""),2021)</f>
        <v>2021</v>
      </c>
      <c r="H407" s="48"/>
      <c r="I407" s="48" t="str">
        <f ca="1">IFERROR(__xludf.DUMMYFUNCTION("""COMPUTED_VALUE"""),"СМР")</f>
        <v>СМР</v>
      </c>
      <c r="J407" s="48"/>
      <c r="K407" s="48"/>
      <c r="L407" s="48"/>
      <c r="M407" s="48"/>
      <c r="N407" s="48"/>
      <c r="O407" s="48"/>
      <c r="P407" s="24">
        <f t="shared" ref="P407:Q407" si="414">SUM(V407,AB407,AH407,AN407,AT407,AZ407,BF407)</f>
        <v>1176.77</v>
      </c>
      <c r="Q407" s="24">
        <f t="shared" si="414"/>
        <v>0</v>
      </c>
      <c r="R407" s="24">
        <f>SUM(X407,AD407,AJ407,AV407,BB407,BH407)</f>
        <v>1118</v>
      </c>
      <c r="S407" s="24">
        <f>SUM(Y407,AE407,AK407,AQ407,AW407,BC407,BI407)</f>
        <v>0</v>
      </c>
      <c r="T407" s="24">
        <f>SUM(Z407,AF407,AL407,AX407,BD407,BJ407)</f>
        <v>58.77</v>
      </c>
      <c r="U407" s="24"/>
      <c r="V407" s="20"/>
      <c r="W407" s="20"/>
      <c r="X407" s="20"/>
      <c r="Y407" s="20"/>
      <c r="Z407" s="20"/>
      <c r="AA407" s="20"/>
      <c r="AB407" s="20"/>
      <c r="AC407" s="24"/>
      <c r="AD407" s="24"/>
      <c r="AE407" s="24"/>
      <c r="AF407" s="24"/>
      <c r="AG407" s="24"/>
      <c r="AH407" s="50">
        <f t="shared" si="2"/>
        <v>0</v>
      </c>
      <c r="AI407" s="50">
        <v>0</v>
      </c>
      <c r="AJ407" s="50">
        <v>0</v>
      </c>
      <c r="AK407" s="50">
        <v>0</v>
      </c>
      <c r="AL407" s="50">
        <v>0</v>
      </c>
      <c r="AM407" s="50"/>
      <c r="AN407" s="24">
        <f t="shared" si="3"/>
        <v>0</v>
      </c>
      <c r="AO407" s="50">
        <v>0</v>
      </c>
      <c r="AP407" s="50">
        <v>0</v>
      </c>
      <c r="AQ407" s="50">
        <v>0</v>
      </c>
      <c r="AR407" s="50">
        <v>0</v>
      </c>
      <c r="AS407" s="50"/>
      <c r="AT407" s="50">
        <f t="shared" si="4"/>
        <v>1176.77</v>
      </c>
      <c r="AU407" s="50">
        <v>0</v>
      </c>
      <c r="AV407" s="50">
        <v>1118</v>
      </c>
      <c r="AW407" s="50">
        <v>0</v>
      </c>
      <c r="AX407" s="50">
        <v>58.77</v>
      </c>
      <c r="AY407" s="50"/>
      <c r="AZ407" s="50">
        <f t="shared" si="227"/>
        <v>0</v>
      </c>
      <c r="BA407" s="50">
        <v>0</v>
      </c>
      <c r="BB407" s="50">
        <v>0</v>
      </c>
      <c r="BC407" s="50">
        <v>0</v>
      </c>
      <c r="BD407" s="50">
        <v>0</v>
      </c>
      <c r="BE407" s="50"/>
      <c r="BF407" s="50">
        <f t="shared" si="6"/>
        <v>0</v>
      </c>
      <c r="BG407" s="50">
        <v>0</v>
      </c>
      <c r="BH407" s="50">
        <v>0</v>
      </c>
      <c r="BI407" s="50">
        <v>0</v>
      </c>
      <c r="BJ407" s="50">
        <v>0</v>
      </c>
      <c r="BK407" s="50"/>
      <c r="BL407" s="45" t="s">
        <v>435</v>
      </c>
    </row>
    <row r="408" spans="1:64" ht="60" x14ac:dyDescent="0.2">
      <c r="A408" s="69">
        <v>404</v>
      </c>
      <c r="B408" s="46" t="str">
        <f ca="1">IFERROR(__xludf.DUMMYFUNCTION("""COMPUTED_VALUE"""),"МОС АВС")</f>
        <v>МОС АВС</v>
      </c>
      <c r="C408"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8" s="46" t="str">
        <f ca="1">IFERROR(__xludf.DUMMYFUNCTION("""COMPUTED_VALUE"""),"МинЖКХ")</f>
        <v>МинЖКХ</v>
      </c>
      <c r="E408" s="45" t="s">
        <v>436</v>
      </c>
      <c r="F408" s="46" t="str">
        <f ca="1">IFERROR(__xludf.DUMMYFUNCTION("""COMPUTED_VALUE"""),"БМК")</f>
        <v>БМК</v>
      </c>
      <c r="G408" s="46" t="str">
        <f ca="1">IFERROR(__xludf.DUMMYFUNCTION("""COMPUTED_VALUE"""),"2020-2021")</f>
        <v>2020-2021</v>
      </c>
      <c r="H408" s="48" t="str">
        <f ca="1">IFERROR(__xludf.DUMMYFUNCTION("""COMPUTED_VALUE"""),"Изменение условий оплаты в связи с вводом в эксплуатацию в 2021.")</f>
        <v>Изменение условий оплаты в связи с вводом в эксплуатацию в 2021.</v>
      </c>
      <c r="I408" s="48" t="str">
        <f ca="1">IFERROR(__xludf.DUMMYFUNCTION("""COMPUTED_VALUE"""),"СМР")</f>
        <v>СМР</v>
      </c>
      <c r="J408" s="48"/>
      <c r="K408" s="48"/>
      <c r="L408" s="48"/>
      <c r="M408" s="48"/>
      <c r="N408" s="48" t="str">
        <f ca="1">IFERROR(__xludf.DUMMYFUNCTION("""COMPUTED_VALUE"""),"10 3 02 40010")</f>
        <v>10 3 02 40010</v>
      </c>
      <c r="O408" s="48">
        <f ca="1">IFERROR(__xludf.DUMMYFUNCTION("""COMPUTED_VALUE"""),414)</f>
        <v>414</v>
      </c>
      <c r="P408" s="24">
        <f t="shared" ref="P408:T408" si="415">SUM(V408,AB408,AH408,AN408,AT408,AZ408,BF408)</f>
        <v>12881.25</v>
      </c>
      <c r="Q408" s="24">
        <f t="shared" si="415"/>
        <v>0</v>
      </c>
      <c r="R408" s="24">
        <f t="shared" si="415"/>
        <v>12881.25</v>
      </c>
      <c r="S408" s="24">
        <f t="shared" si="415"/>
        <v>0</v>
      </c>
      <c r="T408" s="24">
        <f t="shared" si="415"/>
        <v>0</v>
      </c>
      <c r="U408" s="24"/>
      <c r="V408" s="20"/>
      <c r="W408" s="20"/>
      <c r="X408" s="20"/>
      <c r="Y408" s="20"/>
      <c r="Z408" s="20"/>
      <c r="AA408" s="20"/>
      <c r="AB408" s="20"/>
      <c r="AC408" s="24"/>
      <c r="AD408" s="24"/>
      <c r="AE408" s="24"/>
      <c r="AF408" s="24"/>
      <c r="AG408" s="24"/>
      <c r="AH408" s="50">
        <f t="shared" si="2"/>
        <v>12361.85</v>
      </c>
      <c r="AI408" s="50">
        <v>0</v>
      </c>
      <c r="AJ408" s="50">
        <v>12361.85</v>
      </c>
      <c r="AK408" s="50">
        <v>0</v>
      </c>
      <c r="AL408" s="50">
        <v>0</v>
      </c>
      <c r="AM408" s="50"/>
      <c r="AN408" s="24">
        <f t="shared" si="3"/>
        <v>519.4</v>
      </c>
      <c r="AO408" s="50">
        <v>0</v>
      </c>
      <c r="AP408" s="50">
        <v>519.4</v>
      </c>
      <c r="AQ408" s="50">
        <v>0</v>
      </c>
      <c r="AR408" s="50">
        <v>0</v>
      </c>
      <c r="AS408" s="50"/>
      <c r="AT408" s="50">
        <f t="shared" si="4"/>
        <v>0</v>
      </c>
      <c r="AU408" s="50">
        <v>0</v>
      </c>
      <c r="AV408" s="50">
        <v>0</v>
      </c>
      <c r="AW408" s="50">
        <v>0</v>
      </c>
      <c r="AX408" s="50">
        <v>0</v>
      </c>
      <c r="AY408" s="50"/>
      <c r="AZ408" s="50">
        <f t="shared" si="227"/>
        <v>0</v>
      </c>
      <c r="BA408" s="50">
        <v>0</v>
      </c>
      <c r="BB408" s="50">
        <v>0</v>
      </c>
      <c r="BC408" s="50">
        <v>0</v>
      </c>
      <c r="BD408" s="50">
        <v>0</v>
      </c>
      <c r="BE408" s="50"/>
      <c r="BF408" s="50">
        <f t="shared" si="6"/>
        <v>0</v>
      </c>
      <c r="BG408" s="50">
        <v>0</v>
      </c>
      <c r="BH408" s="50">
        <v>0</v>
      </c>
      <c r="BI408" s="50">
        <v>0</v>
      </c>
      <c r="BJ408" s="50">
        <v>0</v>
      </c>
      <c r="BK408" s="50"/>
      <c r="BL408" s="20"/>
    </row>
    <row r="409" spans="1:64" ht="48" x14ac:dyDescent="0.2">
      <c r="A409" s="69">
        <v>405</v>
      </c>
      <c r="B409" s="46" t="str">
        <f ca="1">IFERROR(__xludf.DUMMYFUNCTION("""COMPUTED_VALUE"""),"МОС АВС")</f>
        <v>МОС АВС</v>
      </c>
      <c r="C409"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09" s="46" t="str">
        <f ca="1">IFERROR(__xludf.DUMMYFUNCTION("""COMPUTED_VALUE"""),"МинЖКХ")</f>
        <v>МинЖКХ</v>
      </c>
      <c r="E409" s="45" t="s">
        <v>437</v>
      </c>
      <c r="F409" s="46" t="str">
        <f ca="1">IFERROR(__xludf.DUMMYFUNCTION("""COMPUTED_VALUE"""),"БМК")</f>
        <v>БМК</v>
      </c>
      <c r="G409" s="46" t="str">
        <f ca="1">IFERROR(__xludf.DUMMYFUNCTION("""COMPUTED_VALUE"""),"2020-2022")</f>
        <v>2020-2022</v>
      </c>
      <c r="H409" s="48" t="str">
        <f ca="1">IFERROR(__xludf.DUMMYFUNCTION("""COMPUTED_VALUE"""),"Участок не передан в безвозмездное пользовние . ")</f>
        <v xml:space="preserve">Участок не передан в безвозмездное пользовние . </v>
      </c>
      <c r="I409" s="48" t="str">
        <f ca="1">IFERROR(__xludf.DUMMYFUNCTION("""COMPUTED_VALUE"""),"ПИР")</f>
        <v>ПИР</v>
      </c>
      <c r="J409" s="48"/>
      <c r="K409" s="48" t="str">
        <f ca="1">IFERROR(__xludf.DUMMYFUNCTION("""COMPUTED_VALUE"""),"-")</f>
        <v>-</v>
      </c>
      <c r="L409" s="48" t="str">
        <f ca="1">IFERROR(__xludf.DUMMYFUNCTION("""COMPUTED_VALUE"""),"-")</f>
        <v>-</v>
      </c>
      <c r="M409" s="48"/>
      <c r="N409" s="48" t="str">
        <f ca="1">IFERROR(__xludf.DUMMYFUNCTION("""COMPUTED_VALUE"""),"10 3 02 40010")</f>
        <v>10 3 02 40010</v>
      </c>
      <c r="O409" s="48">
        <f ca="1">IFERROR(__xludf.DUMMYFUNCTION("""COMPUTED_VALUE"""),414)</f>
        <v>414</v>
      </c>
      <c r="P409" s="24">
        <f t="shared" ref="P409:T409" si="416">SUM(V409,AB409,AH409,AN409,AT409,AZ409,BF409)</f>
        <v>11278.840000000002</v>
      </c>
      <c r="Q409" s="24">
        <f t="shared" si="416"/>
        <v>0</v>
      </c>
      <c r="R409" s="24">
        <f t="shared" si="416"/>
        <v>11278.840000000002</v>
      </c>
      <c r="S409" s="24">
        <f t="shared" si="416"/>
        <v>0</v>
      </c>
      <c r="T409" s="24">
        <f t="shared" si="416"/>
        <v>0</v>
      </c>
      <c r="U409" s="24"/>
      <c r="V409" s="20"/>
      <c r="W409" s="20"/>
      <c r="X409" s="20"/>
      <c r="Y409" s="20"/>
      <c r="Z409" s="20"/>
      <c r="AA409" s="20"/>
      <c r="AB409" s="20"/>
      <c r="AC409" s="24"/>
      <c r="AD409" s="24"/>
      <c r="AE409" s="24"/>
      <c r="AF409" s="24"/>
      <c r="AG409" s="24"/>
      <c r="AH409" s="50">
        <f t="shared" si="2"/>
        <v>4918.8500000000004</v>
      </c>
      <c r="AI409" s="50">
        <v>0</v>
      </c>
      <c r="AJ409" s="50">
        <v>4918.8500000000004</v>
      </c>
      <c r="AK409" s="50">
        <v>0</v>
      </c>
      <c r="AL409" s="50">
        <v>0</v>
      </c>
      <c r="AM409" s="50"/>
      <c r="AN409" s="24">
        <f t="shared" si="3"/>
        <v>4885.8900000000003</v>
      </c>
      <c r="AO409" s="50">
        <v>0</v>
      </c>
      <c r="AP409" s="50">
        <v>4885.8900000000003</v>
      </c>
      <c r="AQ409" s="50">
        <v>0</v>
      </c>
      <c r="AR409" s="50">
        <v>0</v>
      </c>
      <c r="AS409" s="50"/>
      <c r="AT409" s="50">
        <f t="shared" si="4"/>
        <v>1474.1</v>
      </c>
      <c r="AU409" s="50">
        <v>0</v>
      </c>
      <c r="AV409" s="45">
        <v>1474.1</v>
      </c>
      <c r="AW409" s="50">
        <v>0</v>
      </c>
      <c r="AX409" s="50">
        <v>0</v>
      </c>
      <c r="AY409" s="50"/>
      <c r="AZ409" s="50">
        <f t="shared" si="227"/>
        <v>0</v>
      </c>
      <c r="BA409" s="50">
        <v>0</v>
      </c>
      <c r="BB409" s="50">
        <v>0</v>
      </c>
      <c r="BC409" s="50">
        <v>0</v>
      </c>
      <c r="BD409" s="50">
        <v>0</v>
      </c>
      <c r="BE409" s="50"/>
      <c r="BF409" s="50">
        <f t="shared" si="6"/>
        <v>0</v>
      </c>
      <c r="BG409" s="50">
        <v>0</v>
      </c>
      <c r="BH409" s="50">
        <v>0</v>
      </c>
      <c r="BI409" s="50">
        <v>0</v>
      </c>
      <c r="BJ409" s="50">
        <v>0</v>
      </c>
      <c r="BK409" s="50"/>
      <c r="BL409" s="20"/>
    </row>
    <row r="410" spans="1:64" ht="96" x14ac:dyDescent="0.2">
      <c r="A410" s="69">
        <v>406</v>
      </c>
      <c r="B410" s="48" t="str">
        <f ca="1">IFERROR(__xludf.DUMMYFUNCTION("""COMPUTED_VALUE"""),"г.о. Солнечногорск")</f>
        <v>г.о. Солнечногорск</v>
      </c>
      <c r="C410" s="46" t="str">
        <f ca="1">IFERROR(__xludf.DUMMYFUNCTION("""COMPUTED_VALUE"""),"Предоставление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капитальный ремонт , приобретение , монтаж и ввод в эксплуатацию объектов коммунальной инфраструктуры</v>
      </c>
      <c r="D410" s="46" t="str">
        <f ca="1">IFERROR(__xludf.DUMMYFUNCTION("""COMPUTED_VALUE"""),"МинЖКХ")</f>
        <v>МинЖКХ</v>
      </c>
      <c r="E410" s="45" t="s">
        <v>438</v>
      </c>
      <c r="F410" s="46" t="str">
        <f ca="1">IFERROR(__xludf.DUMMYFUNCTION("""COMPUTED_VALUE"""),"Сети")</f>
        <v>Сети</v>
      </c>
      <c r="G410" s="46">
        <f ca="1">IFERROR(__xludf.DUMMYFUNCTION("""COMPUTED_VALUE"""),2022)</f>
        <v>2022</v>
      </c>
      <c r="H410" s="48"/>
      <c r="I410" s="48" t="str">
        <f ca="1">IFERROR(__xludf.DUMMYFUNCTION("""COMPUTED_VALUE"""),"СМР")</f>
        <v>СМР</v>
      </c>
      <c r="J410" s="48"/>
      <c r="K410" s="48"/>
      <c r="L410" s="48"/>
      <c r="M410" s="48"/>
      <c r="N410" s="48" t="str">
        <f ca="1">IFERROR(__xludf.DUMMYFUNCTION("""COMPUTED_VALUE"""),"10 3 02 60320")</f>
        <v>10 3 02 60320</v>
      </c>
      <c r="O410" s="48">
        <f ca="1">IFERROR(__xludf.DUMMYFUNCTION("""COMPUTED_VALUE"""),521)</f>
        <v>521</v>
      </c>
      <c r="P410" s="24">
        <f t="shared" ref="P410:T410" si="417">SUM(V410,AB410,AH410,AN410,AT410,AZ410,BF410)</f>
        <v>15000</v>
      </c>
      <c r="Q410" s="24">
        <f t="shared" si="417"/>
        <v>0</v>
      </c>
      <c r="R410" s="24">
        <f t="shared" si="417"/>
        <v>11175</v>
      </c>
      <c r="S410" s="24">
        <f t="shared" si="417"/>
        <v>0</v>
      </c>
      <c r="T410" s="24">
        <f t="shared" si="417"/>
        <v>3825</v>
      </c>
      <c r="U410" s="24"/>
      <c r="V410" s="20"/>
      <c r="W410" s="20"/>
      <c r="X410" s="20"/>
      <c r="Y410" s="20"/>
      <c r="Z410" s="20"/>
      <c r="AA410" s="20"/>
      <c r="AB410" s="20"/>
      <c r="AC410" s="24"/>
      <c r="AD410" s="24"/>
      <c r="AE410" s="24"/>
      <c r="AF410" s="24"/>
      <c r="AG410" s="24"/>
      <c r="AH410" s="50">
        <f t="shared" si="2"/>
        <v>0</v>
      </c>
      <c r="AI410" s="50">
        <v>0</v>
      </c>
      <c r="AJ410" s="50">
        <v>0</v>
      </c>
      <c r="AK410" s="50">
        <v>0</v>
      </c>
      <c r="AL410" s="50">
        <v>0</v>
      </c>
      <c r="AM410" s="50"/>
      <c r="AN410" s="24">
        <f t="shared" si="3"/>
        <v>0</v>
      </c>
      <c r="AO410" s="50">
        <v>0</v>
      </c>
      <c r="AP410" s="50">
        <v>0</v>
      </c>
      <c r="AQ410" s="50">
        <v>0</v>
      </c>
      <c r="AR410" s="50">
        <v>0</v>
      </c>
      <c r="AS410" s="50"/>
      <c r="AT410" s="50">
        <f t="shared" si="4"/>
        <v>15000</v>
      </c>
      <c r="AU410" s="50">
        <v>0</v>
      </c>
      <c r="AV410" s="45">
        <v>11175</v>
      </c>
      <c r="AW410" s="50">
        <v>0</v>
      </c>
      <c r="AX410" s="45">
        <v>3825</v>
      </c>
      <c r="AY410" s="45"/>
      <c r="AZ410" s="50">
        <f t="shared" si="227"/>
        <v>0</v>
      </c>
      <c r="BA410" s="50">
        <v>0</v>
      </c>
      <c r="BB410" s="50">
        <v>0</v>
      </c>
      <c r="BC410" s="50">
        <v>0</v>
      </c>
      <c r="BD410" s="50">
        <v>0</v>
      </c>
      <c r="BE410" s="50"/>
      <c r="BF410" s="50">
        <f t="shared" si="6"/>
        <v>0</v>
      </c>
      <c r="BG410" s="50">
        <v>0</v>
      </c>
      <c r="BH410" s="50">
        <v>0</v>
      </c>
      <c r="BI410" s="50">
        <v>0</v>
      </c>
      <c r="BJ410" s="50">
        <v>0</v>
      </c>
      <c r="BK410" s="50"/>
      <c r="BL410" s="20"/>
    </row>
    <row r="411" spans="1:64" ht="48" x14ac:dyDescent="0.2">
      <c r="A411" s="69">
        <v>407</v>
      </c>
      <c r="B411" s="46" t="str">
        <f ca="1">IFERROR(__xludf.DUMMYFUNCTION("""COMPUTED_VALUE"""),"МОС АВС")</f>
        <v>МОС АВС</v>
      </c>
      <c r="C411"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1" s="46" t="str">
        <f ca="1">IFERROR(__xludf.DUMMYFUNCTION("""COMPUTED_VALUE"""),"МинЖКХ")</f>
        <v>МинЖКХ</v>
      </c>
      <c r="E411" s="45" t="s">
        <v>439</v>
      </c>
      <c r="F411" s="46" t="str">
        <f ca="1">IFERROR(__xludf.DUMMYFUNCTION("""COMPUTED_VALUE"""),"БМК")</f>
        <v>БМК</v>
      </c>
      <c r="G411" s="46" t="str">
        <f ca="1">IFERROR(__xludf.DUMMYFUNCTION("""COMPUTED_VALUE"""),"2020-2021")</f>
        <v>2020-2021</v>
      </c>
      <c r="H411" s="48" t="str">
        <f ca="1">IFERROR(__xludf.DUMMYFUNCTION("""COMPUTED_VALUE"""),"Изменение размера платы по договору на ТП. ")</f>
        <v xml:space="preserve">Изменение размера платы по договору на ТП. </v>
      </c>
      <c r="I411" s="48" t="str">
        <f ca="1">IFERROR(__xludf.DUMMYFUNCTION("""COMPUTED_VALUE"""),"СМР")</f>
        <v>СМР</v>
      </c>
      <c r="J411" s="48"/>
      <c r="K411" s="48"/>
      <c r="L411" s="48"/>
      <c r="M411" s="48"/>
      <c r="N411" s="48" t="str">
        <f ca="1">IFERROR(__xludf.DUMMYFUNCTION("""COMPUTED_VALUE"""),"10 3 02 40010")</f>
        <v>10 3 02 40010</v>
      </c>
      <c r="O411" s="48">
        <f ca="1">IFERROR(__xludf.DUMMYFUNCTION("""COMPUTED_VALUE"""),414)</f>
        <v>414</v>
      </c>
      <c r="P411" s="24">
        <f t="shared" ref="P411:T411" si="418">SUM(V411,AB411,AH411,AN411,AT411,AZ411,BF411)</f>
        <v>3271.8</v>
      </c>
      <c r="Q411" s="24">
        <f t="shared" si="418"/>
        <v>0</v>
      </c>
      <c r="R411" s="24">
        <f t="shared" si="418"/>
        <v>3271.8</v>
      </c>
      <c r="S411" s="24">
        <f t="shared" si="418"/>
        <v>0</v>
      </c>
      <c r="T411" s="24">
        <f t="shared" si="418"/>
        <v>0</v>
      </c>
      <c r="U411" s="24"/>
      <c r="V411" s="20"/>
      <c r="W411" s="20"/>
      <c r="X411" s="20"/>
      <c r="Y411" s="20"/>
      <c r="Z411" s="20"/>
      <c r="AA411" s="20"/>
      <c r="AB411" s="20"/>
      <c r="AC411" s="24"/>
      <c r="AD411" s="24"/>
      <c r="AE411" s="24"/>
      <c r="AF411" s="24"/>
      <c r="AG411" s="24"/>
      <c r="AH411" s="50">
        <f t="shared" si="2"/>
        <v>2726.84</v>
      </c>
      <c r="AI411" s="50">
        <v>0</v>
      </c>
      <c r="AJ411" s="50">
        <v>2726.84</v>
      </c>
      <c r="AK411" s="50">
        <v>0</v>
      </c>
      <c r="AL411" s="50">
        <v>0</v>
      </c>
      <c r="AM411" s="50"/>
      <c r="AN411" s="24">
        <f t="shared" si="3"/>
        <v>544.96</v>
      </c>
      <c r="AO411" s="50">
        <v>0</v>
      </c>
      <c r="AP411" s="50">
        <v>544.96</v>
      </c>
      <c r="AQ411" s="50">
        <v>0</v>
      </c>
      <c r="AR411" s="50">
        <v>0</v>
      </c>
      <c r="AS411" s="50"/>
      <c r="AT411" s="50">
        <f t="shared" si="4"/>
        <v>0</v>
      </c>
      <c r="AU411" s="50">
        <v>0</v>
      </c>
      <c r="AV411" s="50">
        <v>0</v>
      </c>
      <c r="AW411" s="50">
        <v>0</v>
      </c>
      <c r="AX411" s="50">
        <v>0</v>
      </c>
      <c r="AY411" s="50"/>
      <c r="AZ411" s="50">
        <f t="shared" si="227"/>
        <v>0</v>
      </c>
      <c r="BA411" s="50">
        <v>0</v>
      </c>
      <c r="BB411" s="50">
        <v>0</v>
      </c>
      <c r="BC411" s="50">
        <v>0</v>
      </c>
      <c r="BD411" s="50">
        <v>0</v>
      </c>
      <c r="BE411" s="50"/>
      <c r="BF411" s="50">
        <f t="shared" si="6"/>
        <v>0</v>
      </c>
      <c r="BG411" s="50">
        <v>0</v>
      </c>
      <c r="BH411" s="50">
        <v>0</v>
      </c>
      <c r="BI411" s="50">
        <v>0</v>
      </c>
      <c r="BJ411" s="50">
        <v>0</v>
      </c>
      <c r="BK411" s="50"/>
      <c r="BL411" s="20"/>
    </row>
    <row r="412" spans="1:64" ht="48" x14ac:dyDescent="0.2">
      <c r="A412" s="69">
        <v>408</v>
      </c>
      <c r="B412" s="46" t="str">
        <f ca="1">IFERROR(__xludf.DUMMYFUNCTION("""COMPUTED_VALUE"""),"МОС АВС")</f>
        <v>МОС АВС</v>
      </c>
      <c r="C412"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2" s="46" t="str">
        <f ca="1">IFERROR(__xludf.DUMMYFUNCTION("""COMPUTED_VALUE"""),"МинЖКХ")</f>
        <v>МинЖКХ</v>
      </c>
      <c r="E412" s="45" t="s">
        <v>440</v>
      </c>
      <c r="F412" s="46" t="str">
        <f ca="1">IFERROR(__xludf.DUMMYFUNCTION("""COMPUTED_VALUE"""),"БМК")</f>
        <v>БМК</v>
      </c>
      <c r="G412" s="46">
        <f ca="1">IFERROR(__xludf.DUMMYFUNCTION("""COMPUTED_VALUE"""),2020)</f>
        <v>2020</v>
      </c>
      <c r="H412" s="48" t="str">
        <f ca="1">IFERROR(__xludf.DUMMYFUNCTION("""COMPUTED_VALUE"""),"Участок не передан в безвозмездное пользовние . Перенос на 2021 год.")</f>
        <v>Участок не передан в безвозмездное пользовние . Перенос на 2021 год.</v>
      </c>
      <c r="I412" s="48" t="str">
        <f ca="1">IFERROR(__xludf.DUMMYFUNCTION("""COMPUTED_VALUE"""),"ПИР")</f>
        <v>ПИР</v>
      </c>
      <c r="J412" s="48"/>
      <c r="K412" s="48" t="str">
        <f ca="1">IFERROR(__xludf.DUMMYFUNCTION("""COMPUTED_VALUE"""),"-")</f>
        <v>-</v>
      </c>
      <c r="L412" s="48" t="str">
        <f ca="1">IFERROR(__xludf.DUMMYFUNCTION("""COMPUTED_VALUE"""),"-")</f>
        <v>-</v>
      </c>
      <c r="M412" s="48"/>
      <c r="N412" s="48" t="str">
        <f ca="1">IFERROR(__xludf.DUMMYFUNCTION("""COMPUTED_VALUE"""),"10 3 02 40010")</f>
        <v>10 3 02 40010</v>
      </c>
      <c r="O412" s="48">
        <f ca="1">IFERROR(__xludf.DUMMYFUNCTION("""COMPUTED_VALUE"""),414)</f>
        <v>414</v>
      </c>
      <c r="P412" s="24">
        <f t="shared" ref="P412:T412" si="419">SUM(V412,AB412,AH412,AN412,AT412,AZ412,BF412)</f>
        <v>5800</v>
      </c>
      <c r="Q412" s="24">
        <f t="shared" si="419"/>
        <v>0</v>
      </c>
      <c r="R412" s="24">
        <f t="shared" si="419"/>
        <v>5800</v>
      </c>
      <c r="S412" s="24">
        <f t="shared" si="419"/>
        <v>0</v>
      </c>
      <c r="T412" s="24">
        <f t="shared" si="419"/>
        <v>0</v>
      </c>
      <c r="U412" s="24"/>
      <c r="V412" s="20"/>
      <c r="W412" s="20"/>
      <c r="X412" s="20"/>
      <c r="Y412" s="20"/>
      <c r="Z412" s="20"/>
      <c r="AA412" s="20"/>
      <c r="AB412" s="20"/>
      <c r="AC412" s="24"/>
      <c r="AD412" s="24"/>
      <c r="AE412" s="24"/>
      <c r="AF412" s="24"/>
      <c r="AG412" s="24"/>
      <c r="AH412" s="50">
        <f t="shared" si="2"/>
        <v>5800</v>
      </c>
      <c r="AI412" s="50">
        <v>0</v>
      </c>
      <c r="AJ412" s="50">
        <v>5800</v>
      </c>
      <c r="AK412" s="50">
        <v>0</v>
      </c>
      <c r="AL412" s="50">
        <v>0</v>
      </c>
      <c r="AM412" s="50"/>
      <c r="AN412" s="24">
        <f t="shared" si="3"/>
        <v>0</v>
      </c>
      <c r="AO412" s="50">
        <v>0</v>
      </c>
      <c r="AP412" s="50">
        <v>0</v>
      </c>
      <c r="AQ412" s="50">
        <v>0</v>
      </c>
      <c r="AR412" s="50">
        <v>0</v>
      </c>
      <c r="AS412" s="50"/>
      <c r="AT412" s="50">
        <f t="shared" si="4"/>
        <v>0</v>
      </c>
      <c r="AU412" s="50">
        <v>0</v>
      </c>
      <c r="AV412" s="50">
        <v>0</v>
      </c>
      <c r="AW412" s="50">
        <v>0</v>
      </c>
      <c r="AX412" s="50">
        <v>0</v>
      </c>
      <c r="AY412" s="50"/>
      <c r="AZ412" s="50">
        <f t="shared" si="227"/>
        <v>0</v>
      </c>
      <c r="BA412" s="50">
        <v>0</v>
      </c>
      <c r="BB412" s="50">
        <v>0</v>
      </c>
      <c r="BC412" s="50">
        <v>0</v>
      </c>
      <c r="BD412" s="50">
        <v>0</v>
      </c>
      <c r="BE412" s="50"/>
      <c r="BF412" s="50">
        <f t="shared" si="6"/>
        <v>0</v>
      </c>
      <c r="BG412" s="50">
        <v>0</v>
      </c>
      <c r="BH412" s="50">
        <v>0</v>
      </c>
      <c r="BI412" s="50">
        <v>0</v>
      </c>
      <c r="BJ412" s="50">
        <v>0</v>
      </c>
      <c r="BK412" s="50"/>
      <c r="BL412" s="20"/>
    </row>
    <row r="413" spans="1:64" ht="72" x14ac:dyDescent="0.2">
      <c r="A413" s="69">
        <v>409</v>
      </c>
      <c r="B413" s="46" t="str">
        <f ca="1">IFERROR(__xludf.DUMMYFUNCTION("""COMPUTED_VALUE"""),"МОС АВС")</f>
        <v>МОС АВС</v>
      </c>
      <c r="C413"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3" s="46" t="str">
        <f ca="1">IFERROR(__xludf.DUMMYFUNCTION("""COMPUTED_VALUE"""),"МинЖКХ")</f>
        <v>МинЖКХ</v>
      </c>
      <c r="E413" s="45" t="s">
        <v>441</v>
      </c>
      <c r="F413" s="46" t="str">
        <f ca="1">IFERROR(__xludf.DUMMYFUNCTION("""COMPUTED_VALUE"""),"БМК")</f>
        <v>БМК</v>
      </c>
      <c r="G413" s="46">
        <f ca="1">IFERROR(__xludf.DUMMYFUNCTION("""COMPUTED_VALUE"""),2020)</f>
        <v>2020</v>
      </c>
      <c r="H413" s="48" t="str">
        <f ca="1">IFERROR(__xludf.DUMMYFUNCTION("""COMPUTED_VALUE"""),"Участок не передан в безвозмездное пользовние . Перенос на 2021 год.")</f>
        <v>Участок не передан в безвозмездное пользовние . Перенос на 2021 год.</v>
      </c>
      <c r="I413" s="48" t="str">
        <f ca="1">IFERROR(__xludf.DUMMYFUNCTION("""COMPUTED_VALUE"""),"ПИР")</f>
        <v>ПИР</v>
      </c>
      <c r="J413" s="48"/>
      <c r="K413" s="48" t="str">
        <f ca="1">IFERROR(__xludf.DUMMYFUNCTION("""COMPUTED_VALUE"""),"-")</f>
        <v>-</v>
      </c>
      <c r="L413" s="48" t="str">
        <f ca="1">IFERROR(__xludf.DUMMYFUNCTION("""COMPUTED_VALUE"""),"-")</f>
        <v>-</v>
      </c>
      <c r="M413" s="48"/>
      <c r="N413" s="48" t="str">
        <f ca="1">IFERROR(__xludf.DUMMYFUNCTION("""COMPUTED_VALUE"""),"10 3 02 40010")</f>
        <v>10 3 02 40010</v>
      </c>
      <c r="O413" s="48">
        <f ca="1">IFERROR(__xludf.DUMMYFUNCTION("""COMPUTED_VALUE"""),414)</f>
        <v>414</v>
      </c>
      <c r="P413" s="24">
        <f t="shared" ref="P413:T413" si="420">SUM(V413,AB413,AH413,AN413,AT413,AZ413,BF413)</f>
        <v>7211.71</v>
      </c>
      <c r="Q413" s="24">
        <f t="shared" si="420"/>
        <v>0</v>
      </c>
      <c r="R413" s="24">
        <f t="shared" si="420"/>
        <v>7211.71</v>
      </c>
      <c r="S413" s="24">
        <f t="shared" si="420"/>
        <v>0</v>
      </c>
      <c r="T413" s="24">
        <f t="shared" si="420"/>
        <v>0</v>
      </c>
      <c r="U413" s="24"/>
      <c r="V413" s="20"/>
      <c r="W413" s="20"/>
      <c r="X413" s="20"/>
      <c r="Y413" s="20"/>
      <c r="Z413" s="20"/>
      <c r="AA413" s="20"/>
      <c r="AB413" s="20"/>
      <c r="AC413" s="24"/>
      <c r="AD413" s="24"/>
      <c r="AE413" s="24"/>
      <c r="AF413" s="24"/>
      <c r="AG413" s="24"/>
      <c r="AH413" s="50">
        <f t="shared" si="2"/>
        <v>7211.71</v>
      </c>
      <c r="AI413" s="50">
        <v>0</v>
      </c>
      <c r="AJ413" s="50">
        <v>7211.71</v>
      </c>
      <c r="AK413" s="50">
        <v>0</v>
      </c>
      <c r="AL413" s="50">
        <v>0</v>
      </c>
      <c r="AM413" s="50"/>
      <c r="AN413" s="24">
        <f t="shared" si="3"/>
        <v>0</v>
      </c>
      <c r="AO413" s="50">
        <v>0</v>
      </c>
      <c r="AP413" s="50">
        <v>0</v>
      </c>
      <c r="AQ413" s="50">
        <v>0</v>
      </c>
      <c r="AR413" s="50">
        <v>0</v>
      </c>
      <c r="AS413" s="50"/>
      <c r="AT413" s="50">
        <f t="shared" si="4"/>
        <v>0</v>
      </c>
      <c r="AU413" s="50">
        <v>0</v>
      </c>
      <c r="AV413" s="50">
        <v>0</v>
      </c>
      <c r="AW413" s="50">
        <v>0</v>
      </c>
      <c r="AX413" s="50">
        <v>0</v>
      </c>
      <c r="AY413" s="50"/>
      <c r="AZ413" s="50">
        <f t="shared" si="227"/>
        <v>0</v>
      </c>
      <c r="BA413" s="50">
        <v>0</v>
      </c>
      <c r="BB413" s="50">
        <v>0</v>
      </c>
      <c r="BC413" s="50">
        <v>0</v>
      </c>
      <c r="BD413" s="50">
        <v>0</v>
      </c>
      <c r="BE413" s="50"/>
      <c r="BF413" s="50">
        <f t="shared" si="6"/>
        <v>0</v>
      </c>
      <c r="BG413" s="50">
        <v>0</v>
      </c>
      <c r="BH413" s="50">
        <v>0</v>
      </c>
      <c r="BI413" s="50">
        <v>0</v>
      </c>
      <c r="BJ413" s="50">
        <v>0</v>
      </c>
      <c r="BK413" s="50"/>
      <c r="BL413" s="20"/>
    </row>
    <row r="414" spans="1:64" ht="48" x14ac:dyDescent="0.2">
      <c r="A414" s="69">
        <v>410</v>
      </c>
      <c r="B414" s="46" t="str">
        <f ca="1">IFERROR(__xludf.DUMMYFUNCTION("""COMPUTED_VALUE"""),"МОС АВС")</f>
        <v>МОС АВС</v>
      </c>
      <c r="C414"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4" s="46" t="str">
        <f ca="1">IFERROR(__xludf.DUMMYFUNCTION("""COMPUTED_VALUE"""),"МинЖКХ")</f>
        <v>МинЖКХ</v>
      </c>
      <c r="E414" s="45" t="s">
        <v>442</v>
      </c>
      <c r="F414" s="46" t="str">
        <f ca="1">IFERROR(__xludf.DUMMYFUNCTION("""COMPUTED_VALUE"""),"БМК")</f>
        <v>БМК</v>
      </c>
      <c r="G414" s="46" t="str">
        <f ca="1">IFERROR(__xludf.DUMMYFUNCTION("""COMPUTED_VALUE"""),"2020-2021")</f>
        <v>2020-2021</v>
      </c>
      <c r="H414" s="48" t="str">
        <f ca="1">IFERROR(__xludf.DUMMYFUNCTION("""COMPUTED_VALUE"""),"Возврат ЛБО на БМК Денежниково")</f>
        <v>Возврат ЛБО на БМК Денежниково</v>
      </c>
      <c r="I414" s="48" t="str">
        <f ca="1">IFERROR(__xludf.DUMMYFUNCTION("""COMPUTED_VALUE"""),"СМР")</f>
        <v>СМР</v>
      </c>
      <c r="J414" s="48"/>
      <c r="K414" s="48"/>
      <c r="L414" s="48"/>
      <c r="M414" s="48"/>
      <c r="N414" s="48" t="str">
        <f ca="1">IFERROR(__xludf.DUMMYFUNCTION("""COMPUTED_VALUE"""),"10 3 02 40010")</f>
        <v>10 3 02 40010</v>
      </c>
      <c r="O414" s="48">
        <f ca="1">IFERROR(__xludf.DUMMYFUNCTION("""COMPUTED_VALUE"""),414)</f>
        <v>414</v>
      </c>
      <c r="P414" s="24">
        <f t="shared" ref="P414:T414" si="421">SUM(V414,AB414,AH414,AN414,AT414,AZ414,BF414)</f>
        <v>23544.62</v>
      </c>
      <c r="Q414" s="24">
        <f t="shared" si="421"/>
        <v>0</v>
      </c>
      <c r="R414" s="24">
        <f t="shared" si="421"/>
        <v>23544.62</v>
      </c>
      <c r="S414" s="24">
        <f t="shared" si="421"/>
        <v>0</v>
      </c>
      <c r="T414" s="24">
        <f t="shared" si="421"/>
        <v>0</v>
      </c>
      <c r="U414" s="24"/>
      <c r="V414" s="20"/>
      <c r="W414" s="20"/>
      <c r="X414" s="20"/>
      <c r="Y414" s="20"/>
      <c r="Z414" s="20"/>
      <c r="AA414" s="20"/>
      <c r="AB414" s="20"/>
      <c r="AC414" s="24"/>
      <c r="AD414" s="24"/>
      <c r="AE414" s="24"/>
      <c r="AF414" s="24"/>
      <c r="AG414" s="24"/>
      <c r="AH414" s="50">
        <f t="shared" si="2"/>
        <v>23223.78</v>
      </c>
      <c r="AI414" s="50">
        <v>0</v>
      </c>
      <c r="AJ414" s="50">
        <v>23223.78</v>
      </c>
      <c r="AK414" s="50">
        <v>0</v>
      </c>
      <c r="AL414" s="50">
        <v>0</v>
      </c>
      <c r="AM414" s="50"/>
      <c r="AN414" s="24">
        <f t="shared" si="3"/>
        <v>320.83999999999997</v>
      </c>
      <c r="AO414" s="50">
        <v>0</v>
      </c>
      <c r="AP414" s="50">
        <v>320.83999999999997</v>
      </c>
      <c r="AQ414" s="50">
        <v>0</v>
      </c>
      <c r="AR414" s="50">
        <v>0</v>
      </c>
      <c r="AS414" s="50"/>
      <c r="AT414" s="50">
        <f t="shared" si="4"/>
        <v>0</v>
      </c>
      <c r="AU414" s="50">
        <v>0</v>
      </c>
      <c r="AV414" s="50">
        <v>0</v>
      </c>
      <c r="AW414" s="50">
        <v>0</v>
      </c>
      <c r="AX414" s="50">
        <v>0</v>
      </c>
      <c r="AY414" s="50"/>
      <c r="AZ414" s="50">
        <f t="shared" si="227"/>
        <v>0</v>
      </c>
      <c r="BA414" s="50">
        <v>0</v>
      </c>
      <c r="BB414" s="50">
        <v>0</v>
      </c>
      <c r="BC414" s="50">
        <v>0</v>
      </c>
      <c r="BD414" s="50">
        <v>0</v>
      </c>
      <c r="BE414" s="50"/>
      <c r="BF414" s="50">
        <f t="shared" si="6"/>
        <v>0</v>
      </c>
      <c r="BG414" s="50">
        <v>0</v>
      </c>
      <c r="BH414" s="50">
        <v>0</v>
      </c>
      <c r="BI414" s="50">
        <v>0</v>
      </c>
      <c r="BJ414" s="50">
        <v>0</v>
      </c>
      <c r="BK414" s="50"/>
      <c r="BL414" s="20"/>
    </row>
    <row r="415" spans="1:64" ht="60" x14ac:dyDescent="0.2">
      <c r="A415" s="69">
        <v>411</v>
      </c>
      <c r="B415" s="46" t="str">
        <f ca="1">IFERROR(__xludf.DUMMYFUNCTION("""COMPUTED_VALUE"""),"МОС АВС")</f>
        <v>МОС АВС</v>
      </c>
      <c r="C415"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5" s="46" t="str">
        <f ca="1">IFERROR(__xludf.DUMMYFUNCTION("""COMPUTED_VALUE"""),"МинЖКХ")</f>
        <v>МинЖКХ</v>
      </c>
      <c r="E415" s="45" t="s">
        <v>443</v>
      </c>
      <c r="F415" s="46" t="str">
        <f ca="1">IFERROR(__xludf.DUMMYFUNCTION("""COMPUTED_VALUE"""),"БМК")</f>
        <v>БМК</v>
      </c>
      <c r="G415" s="46" t="str">
        <f ca="1">IFERROR(__xludf.DUMMYFUNCTION("""COMPUTED_VALUE"""),"2020-2021")</f>
        <v>2020-2021</v>
      </c>
      <c r="H415" s="48" t="str">
        <f ca="1">IFERROR(__xludf.DUMMYFUNCTION("""COMPUTED_VALUE"""),"Изменение размера платы по договору на ТП. Перенос на 2021 год.")</f>
        <v>Изменение размера платы по договору на ТП. Перенос на 2021 год.</v>
      </c>
      <c r="I415" s="48" t="str">
        <f ca="1">IFERROR(__xludf.DUMMYFUNCTION("""COMPUTED_VALUE"""),"ПИР")</f>
        <v>ПИР</v>
      </c>
      <c r="J415" s="48"/>
      <c r="K415" s="48" t="str">
        <f ca="1">IFERROR(__xludf.DUMMYFUNCTION("""COMPUTED_VALUE"""),"-")</f>
        <v>-</v>
      </c>
      <c r="L415" s="48" t="str">
        <f ca="1">IFERROR(__xludf.DUMMYFUNCTION("""COMPUTED_VALUE"""),"-")</f>
        <v>-</v>
      </c>
      <c r="M415" s="48"/>
      <c r="N415" s="48" t="str">
        <f ca="1">IFERROR(__xludf.DUMMYFUNCTION("""COMPUTED_VALUE"""),"10 3 02 40010")</f>
        <v>10 3 02 40010</v>
      </c>
      <c r="O415" s="48">
        <f ca="1">IFERROR(__xludf.DUMMYFUNCTION("""COMPUTED_VALUE"""),414)</f>
        <v>414</v>
      </c>
      <c r="P415" s="24">
        <f t="shared" ref="P415:T415" si="422">SUM(V415,AB415,AH415,AN415,AT415,AZ415,BF415)</f>
        <v>3312.7200000000003</v>
      </c>
      <c r="Q415" s="24">
        <f t="shared" si="422"/>
        <v>0</v>
      </c>
      <c r="R415" s="24">
        <f t="shared" si="422"/>
        <v>3312.7200000000003</v>
      </c>
      <c r="S415" s="24">
        <f t="shared" si="422"/>
        <v>0</v>
      </c>
      <c r="T415" s="24">
        <f t="shared" si="422"/>
        <v>0</v>
      </c>
      <c r="U415" s="24"/>
      <c r="V415" s="20"/>
      <c r="W415" s="20"/>
      <c r="X415" s="20"/>
      <c r="Y415" s="20"/>
      <c r="Z415" s="20"/>
      <c r="AA415" s="20"/>
      <c r="AB415" s="20"/>
      <c r="AC415" s="24"/>
      <c r="AD415" s="24"/>
      <c r="AE415" s="24"/>
      <c r="AF415" s="24"/>
      <c r="AG415" s="24"/>
      <c r="AH415" s="50">
        <f t="shared" si="2"/>
        <v>61.36</v>
      </c>
      <c r="AI415" s="50">
        <v>0</v>
      </c>
      <c r="AJ415" s="50">
        <v>61.36</v>
      </c>
      <c r="AK415" s="50">
        <v>0</v>
      </c>
      <c r="AL415" s="50">
        <v>0</v>
      </c>
      <c r="AM415" s="50"/>
      <c r="AN415" s="24">
        <f t="shared" si="3"/>
        <v>3251.36</v>
      </c>
      <c r="AO415" s="50">
        <v>0</v>
      </c>
      <c r="AP415" s="50">
        <v>3251.36</v>
      </c>
      <c r="AQ415" s="50">
        <v>0</v>
      </c>
      <c r="AR415" s="50">
        <v>0</v>
      </c>
      <c r="AS415" s="50"/>
      <c r="AT415" s="50">
        <f t="shared" si="4"/>
        <v>0</v>
      </c>
      <c r="AU415" s="50">
        <v>0</v>
      </c>
      <c r="AV415" s="50">
        <v>0</v>
      </c>
      <c r="AW415" s="50">
        <v>0</v>
      </c>
      <c r="AX415" s="50">
        <v>0</v>
      </c>
      <c r="AY415" s="50"/>
      <c r="AZ415" s="50">
        <f t="shared" si="227"/>
        <v>0</v>
      </c>
      <c r="BA415" s="50">
        <v>0</v>
      </c>
      <c r="BB415" s="50">
        <v>0</v>
      </c>
      <c r="BC415" s="50">
        <v>0</v>
      </c>
      <c r="BD415" s="50">
        <v>0</v>
      </c>
      <c r="BE415" s="50"/>
      <c r="BF415" s="50">
        <f t="shared" si="6"/>
        <v>0</v>
      </c>
      <c r="BG415" s="50">
        <v>0</v>
      </c>
      <c r="BH415" s="50">
        <v>0</v>
      </c>
      <c r="BI415" s="50">
        <v>0</v>
      </c>
      <c r="BJ415" s="50">
        <v>0</v>
      </c>
      <c r="BK415" s="50"/>
      <c r="BL415" s="20"/>
    </row>
    <row r="416" spans="1:64" ht="48" x14ac:dyDescent="0.2">
      <c r="A416" s="69">
        <v>412</v>
      </c>
      <c r="B416" s="46" t="str">
        <f ca="1">IFERROR(__xludf.DUMMYFUNCTION("""COMPUTED_VALUE"""),"МОС АВС")</f>
        <v>МОС АВС</v>
      </c>
      <c r="C416"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6" s="46" t="str">
        <f ca="1">IFERROR(__xludf.DUMMYFUNCTION("""COMPUTED_VALUE"""),"МинЖКХ")</f>
        <v>МинЖКХ</v>
      </c>
      <c r="E416" s="45" t="s">
        <v>444</v>
      </c>
      <c r="F416" s="46" t="str">
        <f ca="1">IFERROR(__xludf.DUMMYFUNCTION("""COMPUTED_VALUE"""),"БМК")</f>
        <v>БМК</v>
      </c>
      <c r="G416" s="46" t="str">
        <f ca="1">IFERROR(__xludf.DUMMYFUNCTION("""COMPUTED_VALUE"""),"2020-2022")</f>
        <v>2020-2022</v>
      </c>
      <c r="H416" s="48" t="str">
        <f ca="1">IFERROR(__xludf.DUMMYFUNCTION("""COMPUTED_VALUE"""),"Отсутствуют сведения об утверждении платы по индивидуальному проекту. Перенос на 2021 год.")</f>
        <v>Отсутствуют сведения об утверждении платы по индивидуальному проекту. Перенос на 2021 год.</v>
      </c>
      <c r="I416" s="48" t="str">
        <f ca="1">IFERROR(__xludf.DUMMYFUNCTION("""COMPUTED_VALUE"""),"ПИР")</f>
        <v>ПИР</v>
      </c>
      <c r="J416" s="48"/>
      <c r="K416" s="48" t="str">
        <f ca="1">IFERROR(__xludf.DUMMYFUNCTION("""COMPUTED_VALUE"""),"-")</f>
        <v>-</v>
      </c>
      <c r="L416" s="48" t="str">
        <f ca="1">IFERROR(__xludf.DUMMYFUNCTION("""COMPUTED_VALUE"""),"-")</f>
        <v>-</v>
      </c>
      <c r="M416" s="48"/>
      <c r="N416" s="48" t="str">
        <f ca="1">IFERROR(__xludf.DUMMYFUNCTION("""COMPUTED_VALUE"""),"10 3 02 40010")</f>
        <v>10 3 02 40010</v>
      </c>
      <c r="O416" s="48">
        <f ca="1">IFERROR(__xludf.DUMMYFUNCTION("""COMPUTED_VALUE"""),414)</f>
        <v>414</v>
      </c>
      <c r="P416" s="24">
        <f t="shared" ref="P416:T416" si="423">SUM(V416,AB416,AH416,AN416,AT416,AZ416,BF416)</f>
        <v>6466.88</v>
      </c>
      <c r="Q416" s="24">
        <f t="shared" si="423"/>
        <v>0</v>
      </c>
      <c r="R416" s="24">
        <f t="shared" si="423"/>
        <v>6466.88</v>
      </c>
      <c r="S416" s="24">
        <f t="shared" si="423"/>
        <v>0</v>
      </c>
      <c r="T416" s="24">
        <f t="shared" si="423"/>
        <v>0</v>
      </c>
      <c r="U416" s="24"/>
      <c r="V416" s="20"/>
      <c r="W416" s="20"/>
      <c r="X416" s="20"/>
      <c r="Y416" s="20"/>
      <c r="Z416" s="20"/>
      <c r="AA416" s="20"/>
      <c r="AB416" s="20"/>
      <c r="AC416" s="24"/>
      <c r="AD416" s="24"/>
      <c r="AE416" s="24"/>
      <c r="AF416" s="24"/>
      <c r="AG416" s="24"/>
      <c r="AH416" s="50">
        <f t="shared" si="2"/>
        <v>2269.4699999999998</v>
      </c>
      <c r="AI416" s="50">
        <v>0</v>
      </c>
      <c r="AJ416" s="50">
        <v>2269.4699999999998</v>
      </c>
      <c r="AK416" s="50">
        <v>0</v>
      </c>
      <c r="AL416" s="50">
        <v>0</v>
      </c>
      <c r="AM416" s="50"/>
      <c r="AN416" s="24">
        <f t="shared" si="3"/>
        <v>3230.82</v>
      </c>
      <c r="AO416" s="50">
        <v>0</v>
      </c>
      <c r="AP416" s="50">
        <v>3230.82</v>
      </c>
      <c r="AQ416" s="50">
        <v>0</v>
      </c>
      <c r="AR416" s="50">
        <v>0</v>
      </c>
      <c r="AS416" s="50"/>
      <c r="AT416" s="50">
        <f t="shared" si="4"/>
        <v>966.59</v>
      </c>
      <c r="AU416" s="50">
        <v>0</v>
      </c>
      <c r="AV416" s="45">
        <v>966.59</v>
      </c>
      <c r="AW416" s="50">
        <v>0</v>
      </c>
      <c r="AX416" s="50">
        <v>0</v>
      </c>
      <c r="AY416" s="50"/>
      <c r="AZ416" s="50">
        <f t="shared" si="227"/>
        <v>0</v>
      </c>
      <c r="BA416" s="50">
        <v>0</v>
      </c>
      <c r="BB416" s="50">
        <v>0</v>
      </c>
      <c r="BC416" s="50">
        <v>0</v>
      </c>
      <c r="BD416" s="50">
        <v>0</v>
      </c>
      <c r="BE416" s="50"/>
      <c r="BF416" s="50">
        <f t="shared" si="6"/>
        <v>0</v>
      </c>
      <c r="BG416" s="50">
        <v>0</v>
      </c>
      <c r="BH416" s="50">
        <v>0</v>
      </c>
      <c r="BI416" s="50">
        <v>0</v>
      </c>
      <c r="BJ416" s="50">
        <v>0</v>
      </c>
      <c r="BK416" s="50"/>
      <c r="BL416" s="20"/>
    </row>
    <row r="417" spans="1:64" ht="72" x14ac:dyDescent="0.2">
      <c r="A417" s="69">
        <v>413</v>
      </c>
      <c r="B417" s="48" t="str">
        <f ca="1">IFERROR(__xludf.DUMMYFUNCTION("""COMPUTED_VALUE"""),"г.о. Дмитровский")</f>
        <v>г.о. Дмитровский</v>
      </c>
      <c r="C417" s="46" t="str">
        <f ca="1">IFERROR(__xludf.DUMMYFUNCTION("""COMPUTED_VALUE"""),"Предоставление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f>
        <v>Предоставление субсидий из бюджета Московской области  бюджетам муниципальных образований Московской области на приобретение объектов коммунальной инфраструктуры</v>
      </c>
      <c r="D417" s="46" t="str">
        <f ca="1">IFERROR(__xludf.DUMMYFUNCTION("""COMPUTED_VALUE"""),"МинЖКХ")</f>
        <v>МинЖКХ</v>
      </c>
      <c r="E417" s="45" t="s">
        <v>445</v>
      </c>
      <c r="F417" s="46" t="str">
        <f ca="1">IFERROR(__xludf.DUMMYFUNCTION("""COMPUTED_VALUE"""),"Сети")</f>
        <v>Сети</v>
      </c>
      <c r="G417" s="46">
        <f ca="1">IFERROR(__xludf.DUMMYFUNCTION("""COMPUTED_VALUE"""),2021)</f>
        <v>2021</v>
      </c>
      <c r="H417" s="48"/>
      <c r="I417" s="48" t="str">
        <f ca="1">IFERROR(__xludf.DUMMYFUNCTION("""COMPUTED_VALUE"""),"СМР")</f>
        <v>СМР</v>
      </c>
      <c r="J417" s="48"/>
      <c r="K417" s="48"/>
      <c r="L417" s="48"/>
      <c r="M417" s="48"/>
      <c r="N417" s="48"/>
      <c r="O417" s="48"/>
      <c r="P417" s="24">
        <f t="shared" ref="P417:T417" si="424">SUM(V417,AB417,AH417,AN417,AT417,AZ417,BF417)</f>
        <v>80000</v>
      </c>
      <c r="Q417" s="24">
        <f t="shared" si="424"/>
        <v>0</v>
      </c>
      <c r="R417" s="24">
        <f t="shared" si="424"/>
        <v>66720</v>
      </c>
      <c r="S417" s="24">
        <f t="shared" si="424"/>
        <v>0</v>
      </c>
      <c r="T417" s="24">
        <f t="shared" si="424"/>
        <v>13280</v>
      </c>
      <c r="U417" s="24"/>
      <c r="V417" s="20"/>
      <c r="W417" s="20"/>
      <c r="X417" s="20"/>
      <c r="Y417" s="20"/>
      <c r="Z417" s="20"/>
      <c r="AA417" s="20"/>
      <c r="AB417" s="20"/>
      <c r="AC417" s="24"/>
      <c r="AD417" s="24"/>
      <c r="AE417" s="24"/>
      <c r="AF417" s="24"/>
      <c r="AG417" s="24"/>
      <c r="AH417" s="50">
        <f t="shared" si="2"/>
        <v>0</v>
      </c>
      <c r="AI417" s="50">
        <v>0</v>
      </c>
      <c r="AJ417" s="50">
        <v>0</v>
      </c>
      <c r="AK417" s="50">
        <v>0</v>
      </c>
      <c r="AL417" s="50">
        <v>0</v>
      </c>
      <c r="AM417" s="50"/>
      <c r="AN417" s="24">
        <f t="shared" si="3"/>
        <v>80000</v>
      </c>
      <c r="AO417" s="50">
        <v>0</v>
      </c>
      <c r="AP417" s="50">
        <v>66720</v>
      </c>
      <c r="AQ417" s="50">
        <v>0</v>
      </c>
      <c r="AR417" s="50">
        <v>13280</v>
      </c>
      <c r="AS417" s="50"/>
      <c r="AT417" s="50">
        <f t="shared" si="4"/>
        <v>0</v>
      </c>
      <c r="AU417" s="50">
        <v>0</v>
      </c>
      <c r="AV417" s="50">
        <v>0</v>
      </c>
      <c r="AW417" s="50">
        <v>0</v>
      </c>
      <c r="AX417" s="50">
        <v>0</v>
      </c>
      <c r="AY417" s="50"/>
      <c r="AZ417" s="50">
        <f t="shared" si="227"/>
        <v>0</v>
      </c>
      <c r="BA417" s="50">
        <v>0</v>
      </c>
      <c r="BB417" s="50">
        <v>0</v>
      </c>
      <c r="BC417" s="50">
        <v>0</v>
      </c>
      <c r="BD417" s="50">
        <v>0</v>
      </c>
      <c r="BE417" s="50"/>
      <c r="BF417" s="50">
        <f t="shared" si="6"/>
        <v>0</v>
      </c>
      <c r="BG417" s="50">
        <v>0</v>
      </c>
      <c r="BH417" s="50">
        <v>0</v>
      </c>
      <c r="BI417" s="50">
        <v>0</v>
      </c>
      <c r="BJ417" s="50">
        <v>0</v>
      </c>
      <c r="BK417" s="50"/>
      <c r="BL417" s="20"/>
    </row>
    <row r="418" spans="1:64" ht="48" x14ac:dyDescent="0.2">
      <c r="A418" s="69">
        <v>414</v>
      </c>
      <c r="B418" s="46" t="str">
        <f ca="1">IFERROR(__xludf.DUMMYFUNCTION("""COMPUTED_VALUE"""),"МОС АВС")</f>
        <v>МОС АВС</v>
      </c>
      <c r="C418"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8" s="46" t="str">
        <f ca="1">IFERROR(__xludf.DUMMYFUNCTION("""COMPUTED_VALUE"""),"МинЖКХ")</f>
        <v>МинЖКХ</v>
      </c>
      <c r="E418" s="45" t="s">
        <v>446</v>
      </c>
      <c r="F418" s="46" t="str">
        <f ca="1">IFERROR(__xludf.DUMMYFUNCTION("""COMPUTED_VALUE"""),"БМК")</f>
        <v>БМК</v>
      </c>
      <c r="G418" s="46" t="str">
        <f ca="1">IFERROR(__xludf.DUMMYFUNCTION("""COMPUTED_VALUE"""),"2020-2022")</f>
        <v>2020-2022</v>
      </c>
      <c r="H418" s="48" t="str">
        <f ca="1">IFERROR(__xludf.DUMMYFUNCTION("""COMPUTED_VALUE"""),"Расторжение контракта на ПИР.")</f>
        <v>Расторжение контракта на ПИР.</v>
      </c>
      <c r="I418" s="48" t="str">
        <f ca="1">IFERROR(__xludf.DUMMYFUNCTION("""COMPUTED_VALUE"""),"ПИР")</f>
        <v>ПИР</v>
      </c>
      <c r="J418" s="48"/>
      <c r="K418" s="48" t="str">
        <f ca="1">IFERROR(__xludf.DUMMYFUNCTION("""COMPUTED_VALUE"""),"-")</f>
        <v>-</v>
      </c>
      <c r="L418" s="48" t="str">
        <f ca="1">IFERROR(__xludf.DUMMYFUNCTION("""COMPUTED_VALUE"""),"-")</f>
        <v>-</v>
      </c>
      <c r="M418" s="48"/>
      <c r="N418" s="48" t="str">
        <f ca="1">IFERROR(__xludf.DUMMYFUNCTION("""COMPUTED_VALUE"""),"10 3 02 40010")</f>
        <v>10 3 02 40010</v>
      </c>
      <c r="O418" s="48">
        <f ca="1">IFERROR(__xludf.DUMMYFUNCTION("""COMPUTED_VALUE"""),414)</f>
        <v>414</v>
      </c>
      <c r="P418" s="24">
        <f t="shared" ref="P418:T418" si="425">SUM(V418,AB418,AH418,AN418,AT418,AZ418,BF418)</f>
        <v>1124.01</v>
      </c>
      <c r="Q418" s="24">
        <f t="shared" si="425"/>
        <v>0</v>
      </c>
      <c r="R418" s="24">
        <f t="shared" si="425"/>
        <v>1124.01</v>
      </c>
      <c r="S418" s="24">
        <f t="shared" si="425"/>
        <v>0</v>
      </c>
      <c r="T418" s="24">
        <f t="shared" si="425"/>
        <v>0</v>
      </c>
      <c r="U418" s="24"/>
      <c r="V418" s="20"/>
      <c r="W418" s="20"/>
      <c r="X418" s="20"/>
      <c r="Y418" s="20"/>
      <c r="Z418" s="20"/>
      <c r="AA418" s="20"/>
      <c r="AB418" s="20"/>
      <c r="AC418" s="24"/>
      <c r="AD418" s="24"/>
      <c r="AE418" s="24"/>
      <c r="AF418" s="24"/>
      <c r="AG418" s="24"/>
      <c r="AH418" s="50">
        <f t="shared" si="2"/>
        <v>182.5</v>
      </c>
      <c r="AI418" s="50">
        <v>0</v>
      </c>
      <c r="AJ418" s="50">
        <v>182.5</v>
      </c>
      <c r="AK418" s="50">
        <v>0</v>
      </c>
      <c r="AL418" s="50">
        <v>0</v>
      </c>
      <c r="AM418" s="50"/>
      <c r="AN418" s="24">
        <f t="shared" si="3"/>
        <v>870.27</v>
      </c>
      <c r="AO418" s="50">
        <v>0</v>
      </c>
      <c r="AP418" s="50">
        <v>870.27</v>
      </c>
      <c r="AQ418" s="50">
        <v>0</v>
      </c>
      <c r="AR418" s="50">
        <v>0</v>
      </c>
      <c r="AS418" s="50"/>
      <c r="AT418" s="50">
        <f t="shared" si="4"/>
        <v>71.239999999999995</v>
      </c>
      <c r="AU418" s="50">
        <v>0</v>
      </c>
      <c r="AV418" s="45">
        <v>71.239999999999995</v>
      </c>
      <c r="AW418" s="50">
        <v>0</v>
      </c>
      <c r="AX418" s="50">
        <v>0</v>
      </c>
      <c r="AY418" s="50"/>
      <c r="AZ418" s="50">
        <f t="shared" si="227"/>
        <v>0</v>
      </c>
      <c r="BA418" s="50">
        <v>0</v>
      </c>
      <c r="BB418" s="50">
        <v>0</v>
      </c>
      <c r="BC418" s="50">
        <v>0</v>
      </c>
      <c r="BD418" s="50">
        <v>0</v>
      </c>
      <c r="BE418" s="50"/>
      <c r="BF418" s="50">
        <f t="shared" si="6"/>
        <v>0</v>
      </c>
      <c r="BG418" s="50">
        <v>0</v>
      </c>
      <c r="BH418" s="50">
        <v>0</v>
      </c>
      <c r="BI418" s="50">
        <v>0</v>
      </c>
      <c r="BJ418" s="50">
        <v>0</v>
      </c>
      <c r="BK418" s="50"/>
      <c r="BL418" s="20"/>
    </row>
    <row r="419" spans="1:64" ht="48" x14ac:dyDescent="0.2">
      <c r="A419" s="69">
        <v>415</v>
      </c>
      <c r="B419" s="46" t="str">
        <f ca="1">IFERROR(__xludf.DUMMYFUNCTION("""COMPUTED_VALUE"""),"МОС АВС")</f>
        <v>МОС АВС</v>
      </c>
      <c r="C419"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19" s="46" t="str">
        <f ca="1">IFERROR(__xludf.DUMMYFUNCTION("""COMPUTED_VALUE"""),"МинЖКХ")</f>
        <v>МинЖКХ</v>
      </c>
      <c r="E419" s="45" t="s">
        <v>447</v>
      </c>
      <c r="F419" s="46" t="str">
        <f ca="1">IFERROR(__xludf.DUMMYFUNCTION("""COMPUTED_VALUE"""),"БМК")</f>
        <v>БМК</v>
      </c>
      <c r="G419" s="46" t="str">
        <f ca="1">IFERROR(__xludf.DUMMYFUNCTION("""COMPUTED_VALUE"""),"2020-2021")</f>
        <v>2020-2021</v>
      </c>
      <c r="H419" s="48" t="str">
        <f ca="1">IFERROR(__xludf.DUMMYFUNCTION("""COMPUTED_VALUE"""),"Расторжение контракта на ПИР.")</f>
        <v>Расторжение контракта на ПИР.</v>
      </c>
      <c r="I419" s="48" t="str">
        <f ca="1">IFERROR(__xludf.DUMMYFUNCTION("""COMPUTED_VALUE"""),"СМР")</f>
        <v>СМР</v>
      </c>
      <c r="J419" s="48"/>
      <c r="K419" s="48"/>
      <c r="L419" s="48"/>
      <c r="M419" s="48"/>
      <c r="N419" s="48" t="str">
        <f ca="1">IFERROR(__xludf.DUMMYFUNCTION("""COMPUTED_VALUE"""),"10 3 02 40010")</f>
        <v>10 3 02 40010</v>
      </c>
      <c r="O419" s="48">
        <f ca="1">IFERROR(__xludf.DUMMYFUNCTION("""COMPUTED_VALUE"""),414)</f>
        <v>414</v>
      </c>
      <c r="P419" s="24">
        <f t="shared" ref="P419:T419" si="426">SUM(V419,AB419,AH419,AN419,AT419,AZ419,BF419)</f>
        <v>38093.370000000003</v>
      </c>
      <c r="Q419" s="24">
        <f t="shared" si="426"/>
        <v>0</v>
      </c>
      <c r="R419" s="24">
        <f t="shared" si="426"/>
        <v>38093.370000000003</v>
      </c>
      <c r="S419" s="24">
        <f t="shared" si="426"/>
        <v>0</v>
      </c>
      <c r="T419" s="24">
        <f t="shared" si="426"/>
        <v>0</v>
      </c>
      <c r="U419" s="24"/>
      <c r="V419" s="20"/>
      <c r="W419" s="20"/>
      <c r="X419" s="20"/>
      <c r="Y419" s="20"/>
      <c r="Z419" s="20"/>
      <c r="AA419" s="20"/>
      <c r="AB419" s="20"/>
      <c r="AC419" s="24"/>
      <c r="AD419" s="24"/>
      <c r="AE419" s="24"/>
      <c r="AF419" s="24"/>
      <c r="AG419" s="24"/>
      <c r="AH419" s="50">
        <f t="shared" si="2"/>
        <v>2578.6799999999998</v>
      </c>
      <c r="AI419" s="50">
        <v>0</v>
      </c>
      <c r="AJ419" s="50">
        <v>2578.6799999999998</v>
      </c>
      <c r="AK419" s="50">
        <v>0</v>
      </c>
      <c r="AL419" s="50">
        <v>0</v>
      </c>
      <c r="AM419" s="50"/>
      <c r="AN419" s="24">
        <f t="shared" si="3"/>
        <v>35514.69</v>
      </c>
      <c r="AO419" s="50">
        <v>0</v>
      </c>
      <c r="AP419" s="50">
        <v>35514.69</v>
      </c>
      <c r="AQ419" s="50">
        <v>0</v>
      </c>
      <c r="AR419" s="50">
        <v>0</v>
      </c>
      <c r="AS419" s="50"/>
      <c r="AT419" s="50">
        <f t="shared" si="4"/>
        <v>0</v>
      </c>
      <c r="AU419" s="50">
        <v>0</v>
      </c>
      <c r="AV419" s="50">
        <v>0</v>
      </c>
      <c r="AW419" s="50">
        <v>0</v>
      </c>
      <c r="AX419" s="50">
        <v>0</v>
      </c>
      <c r="AY419" s="50"/>
      <c r="AZ419" s="50">
        <f t="shared" si="227"/>
        <v>0</v>
      </c>
      <c r="BA419" s="50">
        <v>0</v>
      </c>
      <c r="BB419" s="50">
        <v>0</v>
      </c>
      <c r="BC419" s="50">
        <v>0</v>
      </c>
      <c r="BD419" s="50">
        <v>0</v>
      </c>
      <c r="BE419" s="50"/>
      <c r="BF419" s="50">
        <f t="shared" si="6"/>
        <v>0</v>
      </c>
      <c r="BG419" s="50">
        <v>0</v>
      </c>
      <c r="BH419" s="50">
        <v>0</v>
      </c>
      <c r="BI419" s="50">
        <v>0</v>
      </c>
      <c r="BJ419" s="50">
        <v>0</v>
      </c>
      <c r="BK419" s="50"/>
      <c r="BL419" s="20"/>
    </row>
    <row r="420" spans="1:64" ht="62.25" customHeight="1" x14ac:dyDescent="0.2">
      <c r="A420" s="69">
        <v>416</v>
      </c>
      <c r="B420" s="46" t="str">
        <f ca="1">IFERROR(__xludf.DUMMYFUNCTION("""COMPUTED_VALUE"""),"МОС АВС")</f>
        <v>МОС АВС</v>
      </c>
      <c r="C420" s="46" t="str">
        <f ca="1">IFERROR(__xludf.DUMMYFUNCTION("""COMPUTED_VALUE"""),"Бюджетные инвестиции в обьекты капитального строителсьтва  государственной собственности Московской области")</f>
        <v>Бюджетные инвестиции в обьекты капитального строителсьтва  государственной собственности Московской области</v>
      </c>
      <c r="D420" s="46" t="str">
        <f ca="1">IFERROR(__xludf.DUMMYFUNCTION("""COMPUTED_VALUE"""),"МинЖКХ")</f>
        <v>МинЖКХ</v>
      </c>
      <c r="E420" s="45" t="s">
        <v>448</v>
      </c>
      <c r="F420" s="46" t="str">
        <f ca="1">IFERROR(__xludf.DUMMYFUNCTION("""COMPUTED_VALUE"""),"БМК")</f>
        <v>БМК</v>
      </c>
      <c r="G420" s="46" t="str">
        <f ca="1">IFERROR(__xludf.DUMMYFUNCTION("""COMPUTED_VALUE"""),"2020-2022")</f>
        <v>2020-2022</v>
      </c>
      <c r="H420" s="48" t="str">
        <f ca="1">IFERROR(__xludf.DUMMYFUNCTION("""COMPUTED_VALUE"""),"Участок не передан в безвозмездное пользовние .")</f>
        <v>Участок не передан в безвозмездное пользовние .</v>
      </c>
      <c r="I420" s="48" t="str">
        <f ca="1">IFERROR(__xludf.DUMMYFUNCTION("""COMPUTED_VALUE"""),"СМР")</f>
        <v>СМР</v>
      </c>
      <c r="J420" s="48"/>
      <c r="K420" s="48"/>
      <c r="L420" s="48"/>
      <c r="M420" s="48"/>
      <c r="N420" s="48" t="str">
        <f ca="1">IFERROR(__xludf.DUMMYFUNCTION("""COMPUTED_VALUE"""),"10 3 02 40010")</f>
        <v>10 3 02 40010</v>
      </c>
      <c r="O420" s="48">
        <f ca="1">IFERROR(__xludf.DUMMYFUNCTION("""COMPUTED_VALUE"""),414)</f>
        <v>414</v>
      </c>
      <c r="P420" s="24">
        <f t="shared" ref="P420:T420" si="427">SUM(V420,AB420,AH420,AN420,AT420,AZ420,BF420)</f>
        <v>5775.6</v>
      </c>
      <c r="Q420" s="24">
        <f t="shared" si="427"/>
        <v>0</v>
      </c>
      <c r="R420" s="24">
        <f t="shared" si="427"/>
        <v>5775.6</v>
      </c>
      <c r="S420" s="24">
        <f t="shared" si="427"/>
        <v>0</v>
      </c>
      <c r="T420" s="24">
        <f t="shared" si="427"/>
        <v>0</v>
      </c>
      <c r="U420" s="24"/>
      <c r="V420" s="20"/>
      <c r="W420" s="20"/>
      <c r="X420" s="20"/>
      <c r="Y420" s="20"/>
      <c r="Z420" s="20"/>
      <c r="AA420" s="20"/>
      <c r="AB420" s="20"/>
      <c r="AC420" s="24"/>
      <c r="AD420" s="24"/>
      <c r="AE420" s="24"/>
      <c r="AF420" s="24"/>
      <c r="AG420" s="24"/>
      <c r="AH420" s="50">
        <f t="shared" si="2"/>
        <v>804.6</v>
      </c>
      <c r="AI420" s="50">
        <v>0</v>
      </c>
      <c r="AJ420" s="50">
        <v>804.6</v>
      </c>
      <c r="AK420" s="50">
        <v>0</v>
      </c>
      <c r="AL420" s="50">
        <v>0</v>
      </c>
      <c r="AM420" s="50"/>
      <c r="AN420" s="24">
        <f t="shared" si="3"/>
        <v>4365.0600000000004</v>
      </c>
      <c r="AO420" s="50">
        <v>0</v>
      </c>
      <c r="AP420" s="50">
        <v>4365.0600000000004</v>
      </c>
      <c r="AQ420" s="50">
        <v>0</v>
      </c>
      <c r="AR420" s="50">
        <v>0</v>
      </c>
      <c r="AS420" s="50"/>
      <c r="AT420" s="50">
        <f t="shared" si="4"/>
        <v>605.94000000000005</v>
      </c>
      <c r="AU420" s="50">
        <v>0</v>
      </c>
      <c r="AV420" s="45">
        <v>605.94000000000005</v>
      </c>
      <c r="AW420" s="50">
        <v>0</v>
      </c>
      <c r="AX420" s="50">
        <v>0</v>
      </c>
      <c r="AY420" s="50"/>
      <c r="AZ420" s="50">
        <f t="shared" si="227"/>
        <v>0</v>
      </c>
      <c r="BA420" s="50">
        <v>0</v>
      </c>
      <c r="BB420" s="50">
        <v>0</v>
      </c>
      <c r="BC420" s="50">
        <v>0</v>
      </c>
      <c r="BD420" s="50">
        <v>0</v>
      </c>
      <c r="BE420" s="50"/>
      <c r="BF420" s="50">
        <f t="shared" si="6"/>
        <v>0</v>
      </c>
      <c r="BG420" s="50">
        <v>0</v>
      </c>
      <c r="BH420" s="50">
        <v>0</v>
      </c>
      <c r="BI420" s="50">
        <v>0</v>
      </c>
      <c r="BJ420" s="50">
        <v>0</v>
      </c>
      <c r="BK420" s="50"/>
      <c r="BL420" s="20"/>
    </row>
    <row r="421" spans="1:64" ht="144" x14ac:dyDescent="0.2">
      <c r="A421" s="63">
        <v>417</v>
      </c>
      <c r="B421" s="60" t="str">
        <f ca="1">IFERROR(__xludf.DUMMYFUNCTION("""COMPUTED_VALUE"""),"г.о. Ступино")</f>
        <v>г.о. Ступино</v>
      </c>
      <c r="C421" s="60"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1" s="78" t="str">
        <f ca="1">IFERROR(__xludf.DUMMYFUNCTION("""COMPUTED_VALUE"""),"Минобр")</f>
        <v>Минобр</v>
      </c>
      <c r="E421" s="60" t="s">
        <v>449</v>
      </c>
      <c r="F421" s="62"/>
      <c r="G421" s="62">
        <f ca="1">IFERROR(__xludf.DUMMYFUNCTION("""COMPUTED_VALUE"""),2020)</f>
        <v>2020</v>
      </c>
      <c r="H421" s="76" t="str">
        <f ca="1">IFERROR(__xludf.DUMMYFUNCTION("""COMPUTED_VALUE"""),"открыты")</f>
        <v>открыты</v>
      </c>
      <c r="I421" s="78" t="str">
        <f ca="1">IFERROR(__xludf.DUMMYFUNCTION("""COMPUTED_VALUE"""),"Вып")</f>
        <v>Вып</v>
      </c>
      <c r="J421" s="76"/>
      <c r="K421" s="76"/>
      <c r="L421" s="76"/>
      <c r="M421" s="76"/>
      <c r="N421" s="76"/>
      <c r="O421" s="76"/>
      <c r="P421" s="78">
        <f t="shared" ref="P421:P465" si="428">SUM(R421:T421)</f>
        <v>53928</v>
      </c>
      <c r="Q421" s="78"/>
      <c r="R421" s="78">
        <f t="shared" ref="R421:R465" si="429">SUM(X421,AD421,AJ421,AP421,AV421,BB421)</f>
        <v>51231</v>
      </c>
      <c r="S421" s="78">
        <f t="shared" ref="S421:S465" si="430">SUM(AE421,Y421,AK421,AQ421,AW421,BC421)</f>
        <v>0</v>
      </c>
      <c r="T421" s="78">
        <f t="shared" ref="T421:T465" si="431">SUM(Z421,AF421,AL421,AR421,AX421,BD421)</f>
        <v>2697</v>
      </c>
      <c r="U421" s="78"/>
      <c r="V421" s="78">
        <f t="shared" ref="V421:V465" si="432">SUM(X421:Z421)</f>
        <v>0</v>
      </c>
      <c r="W421" s="78"/>
      <c r="X421" s="78">
        <v>0</v>
      </c>
      <c r="Y421" s="78">
        <v>0</v>
      </c>
      <c r="Z421" s="78">
        <v>0</v>
      </c>
      <c r="AA421" s="78"/>
      <c r="AB421" s="78">
        <f t="shared" ref="AB421:AB465" si="433">SUM(AD421:AF421)</f>
        <v>0</v>
      </c>
      <c r="AC421" s="78"/>
      <c r="AD421" s="78">
        <v>0</v>
      </c>
      <c r="AE421" s="78">
        <v>0</v>
      </c>
      <c r="AF421" s="78">
        <v>0</v>
      </c>
      <c r="AG421" s="78"/>
      <c r="AH421" s="78">
        <f t="shared" ref="AH421:AH465" si="434">SUM(AJ421:AL421)</f>
        <v>53928</v>
      </c>
      <c r="AI421" s="78"/>
      <c r="AJ421" s="78">
        <v>51231</v>
      </c>
      <c r="AK421" s="78">
        <v>0</v>
      </c>
      <c r="AL421" s="78">
        <v>2697</v>
      </c>
      <c r="AM421" s="78"/>
      <c r="AN421" s="78">
        <f t="shared" ref="AN421:AN465" si="435">SUM(AP421:AR421)</f>
        <v>0</v>
      </c>
      <c r="AO421" s="78"/>
      <c r="AP421" s="78">
        <v>0</v>
      </c>
      <c r="AQ421" s="78">
        <v>0</v>
      </c>
      <c r="AR421" s="78">
        <v>0</v>
      </c>
      <c r="AS421" s="78"/>
      <c r="AT421" s="78">
        <f t="shared" ref="AT421:AT465" si="436">SUM(AV421:AX421)</f>
        <v>0</v>
      </c>
      <c r="AU421" s="78"/>
      <c r="AV421" s="78">
        <v>0</v>
      </c>
      <c r="AW421" s="78">
        <v>0</v>
      </c>
      <c r="AX421" s="78">
        <v>0</v>
      </c>
      <c r="AY421" s="78"/>
      <c r="AZ421" s="78">
        <f t="shared" ref="AZ421:AZ465" si="437">SUM(BB421:BD421)</f>
        <v>0</v>
      </c>
      <c r="BA421" s="78"/>
      <c r="BB421" s="78">
        <v>0</v>
      </c>
      <c r="BC421" s="78">
        <v>0</v>
      </c>
      <c r="BD421" s="78">
        <v>0</v>
      </c>
      <c r="BE421" s="78"/>
      <c r="BF421" s="78"/>
      <c r="BG421" s="78"/>
      <c r="BH421" s="78"/>
      <c r="BI421" s="78"/>
      <c r="BJ421" s="78"/>
      <c r="BK421" s="78"/>
      <c r="BL421" s="76"/>
    </row>
    <row r="422" spans="1:64" ht="144" x14ac:dyDescent="0.2">
      <c r="A422" s="69">
        <v>418</v>
      </c>
      <c r="B422" s="64" t="str">
        <f ca="1">IFERROR(__xludf.DUMMYFUNCTION("""COMPUTED_VALUE"""),"г.о. Балашиха")</f>
        <v>г.о. Балашиха</v>
      </c>
      <c r="C422"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2" s="47" t="str">
        <f ca="1">IFERROR(__xludf.DUMMYFUNCTION("""COMPUTED_VALUE"""),"МинЖКХ ")</f>
        <v xml:space="preserve">МинЖКХ </v>
      </c>
      <c r="E422" s="65" t="s">
        <v>450</v>
      </c>
      <c r="F422" s="68" t="str">
        <f ca="1">IFERROR(__xludf.DUMMYFUNCTION("""COMPUTED_VALUE"""),"Сети")</f>
        <v>Сети</v>
      </c>
      <c r="G422" s="68" t="str">
        <f ca="1">IFERROR(__xludf.DUMMYFUNCTION("""COMPUTED_VALUE"""),"2019-2020")</f>
        <v>2019-2020</v>
      </c>
      <c r="H422" s="48" t="str">
        <f ca="1">IFERROR(__xludf.DUMMYFUNCTION("""COMPUTED_VALUE"""),"Работы завершены.
 Кредиторская задолженность оплачена полностью.
Работы завершены. На данный момент идет итоговая приемка выполненных работ.
Тк РС не требуется, акта ввода объекта в эксплуатацию не будет. Только акт приемки. 
")</f>
        <v xml:space="preserve">Работы завершены.
 Кредиторская задолженность оплачена полностью.
Работы завершены. На данный момент идет итоговая приемка выполненных работ.
Тк РС не требуется, акта ввода объекта в эксплуатацию не будет. Только акт приемки. 
</v>
      </c>
      <c r="I422" s="47" t="str">
        <f ca="1">IFERROR(__xludf.DUMMYFUNCTION("""COMPUTED_VALUE"""),"Вып")</f>
        <v>Вып</v>
      </c>
      <c r="J422" s="48">
        <f ca="1">IFERROR(__xludf.DUMMYFUNCTION("""COMPUTED_VALUE"""),100)</f>
        <v>100</v>
      </c>
      <c r="K422" s="48">
        <f ca="1">IFERROR(__xludf.DUMMYFUNCTION("""COMPUTED_VALUE"""),2045)</f>
        <v>2045</v>
      </c>
      <c r="L422" s="48">
        <f ca="1">IFERROR(__xludf.DUMMYFUNCTION("""COMPUTED_VALUE"""),2045)</f>
        <v>2045</v>
      </c>
      <c r="M422" s="48"/>
      <c r="N422" s="47" t="str">
        <f ca="1">IFERROR(__xludf.DUMMYFUNCTION("""COMPUTED_VALUE"""),"10 3 03 60300")</f>
        <v>10 3 03 60300</v>
      </c>
      <c r="O422" s="48">
        <f ca="1">IFERROR(__xludf.DUMMYFUNCTION("""COMPUTED_VALUE"""),521)</f>
        <v>521</v>
      </c>
      <c r="P422" s="66">
        <f t="shared" si="428"/>
        <v>104172.91</v>
      </c>
      <c r="Q422" s="66"/>
      <c r="R422" s="66">
        <f t="shared" si="429"/>
        <v>93755.61</v>
      </c>
      <c r="S422" s="66">
        <f t="shared" si="430"/>
        <v>0</v>
      </c>
      <c r="T422" s="66">
        <f t="shared" si="431"/>
        <v>10417.299999999999</v>
      </c>
      <c r="U422" s="66"/>
      <c r="V422" s="66">
        <f t="shared" si="432"/>
        <v>0</v>
      </c>
      <c r="W422" s="66"/>
      <c r="X422" s="66">
        <v>0</v>
      </c>
      <c r="Y422" s="66">
        <v>0</v>
      </c>
      <c r="Z422" s="66">
        <v>0</v>
      </c>
      <c r="AA422" s="66"/>
      <c r="AB422" s="66">
        <f t="shared" si="433"/>
        <v>12418.099999999999</v>
      </c>
      <c r="AC422" s="66"/>
      <c r="AD422" s="66">
        <v>11176.3</v>
      </c>
      <c r="AE422" s="66">
        <v>0</v>
      </c>
      <c r="AF422" s="66">
        <v>1241.8</v>
      </c>
      <c r="AG422" s="66"/>
      <c r="AH422" s="66">
        <f t="shared" si="434"/>
        <v>91754.81</v>
      </c>
      <c r="AI422" s="66"/>
      <c r="AJ422" s="66">
        <v>82579.31</v>
      </c>
      <c r="AK422" s="66">
        <v>0</v>
      </c>
      <c r="AL422" s="59">
        <v>9175.5</v>
      </c>
      <c r="AM422" s="59"/>
      <c r="AN422" s="66">
        <f t="shared" si="435"/>
        <v>0</v>
      </c>
      <c r="AO422" s="66"/>
      <c r="AP422" s="66">
        <v>0</v>
      </c>
      <c r="AQ422" s="66">
        <v>0</v>
      </c>
      <c r="AR422" s="66">
        <v>0</v>
      </c>
      <c r="AS422" s="66"/>
      <c r="AT422" s="66">
        <f t="shared" si="436"/>
        <v>0</v>
      </c>
      <c r="AU422" s="66"/>
      <c r="AV422" s="66">
        <v>0</v>
      </c>
      <c r="AW422" s="66">
        <v>0</v>
      </c>
      <c r="AX422" s="66">
        <v>0</v>
      </c>
      <c r="AY422" s="66"/>
      <c r="AZ422" s="66">
        <f t="shared" si="437"/>
        <v>0</v>
      </c>
      <c r="BA422" s="66"/>
      <c r="BB422" s="66">
        <v>0</v>
      </c>
      <c r="BC422" s="66">
        <v>0</v>
      </c>
      <c r="BD422" s="66">
        <v>0</v>
      </c>
      <c r="BE422" s="66"/>
      <c r="BF422" s="66"/>
      <c r="BG422" s="66"/>
      <c r="BH422" s="66"/>
      <c r="BI422" s="66"/>
      <c r="BJ422" s="66"/>
      <c r="BK422" s="66"/>
      <c r="BL422" s="20"/>
    </row>
    <row r="423" spans="1:64" ht="144" x14ac:dyDescent="0.2">
      <c r="A423" s="69">
        <v>419</v>
      </c>
      <c r="B423" s="64" t="str">
        <f ca="1">IFERROR(__xludf.DUMMYFUNCTION("""COMPUTED_VALUE"""),"г.о. Балашиха")</f>
        <v>г.о. Балашиха</v>
      </c>
      <c r="C423"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3" s="47" t="str">
        <f ca="1">IFERROR(__xludf.DUMMYFUNCTION("""COMPUTED_VALUE"""),"МинЖКХ ")</f>
        <v xml:space="preserve">МинЖКХ </v>
      </c>
      <c r="E423" s="65" t="s">
        <v>451</v>
      </c>
      <c r="F423" s="68" t="str">
        <f ca="1">IFERROR(__xludf.DUMMYFUNCTION("""COMPUTED_VALUE"""),"Сети")</f>
        <v>Сети</v>
      </c>
      <c r="G423" s="68" t="str">
        <f ca="1">IFERROR(__xludf.DUMMYFUNCTION("""COMPUTED_VALUE"""),"2019-2020")</f>
        <v>2019-2020</v>
      </c>
      <c r="H423" s="48" t="str">
        <f ca="1">IFERROR(__xludf.DUMMYFUNCTION("""COMPUTED_VALUE"""),"
Завершение работ 30.12.2020.
Неосвоение - 34 005 тыс.руб. Будут не выполнены работы по благоустройству и врезки по теплу по причине зимнего периода. Возможно ли эти перенести на 2021 год по гарантийному письму? ОМСУ отказывается переносить эти работы по "&amp;"гарантийке.
От 25.12.2020 заявка на 62 млн руб")</f>
        <v xml:space="preserve">
Завершение работ 30.12.2020.
Неосвоение - 34 005 тыс.руб. Будут не выполнены работы по благоустройству и врезки по теплу по причине зимнего периода. Возможно ли эти перенести на 2021 год по гарантийному письму? ОМСУ отказывается переносить эти работы по гарантийке.
От 25.12.2020 заявка на 62 млн руб</v>
      </c>
      <c r="I423" s="47" t="str">
        <f ca="1">IFERROR(__xludf.DUMMYFUNCTION("""COMPUTED_VALUE"""),"СМР")</f>
        <v>СМР</v>
      </c>
      <c r="J423" s="48">
        <f ca="1">IFERROR(__xludf.DUMMYFUNCTION("""COMPUTED_VALUE"""),88)</f>
        <v>88</v>
      </c>
      <c r="K423" s="48">
        <f ca="1">IFERROR(__xludf.DUMMYFUNCTION("""COMPUTED_VALUE"""),17000)</f>
        <v>17000</v>
      </c>
      <c r="L423" s="48">
        <f ca="1">IFERROR(__xludf.DUMMYFUNCTION("""COMPUTED_VALUE"""),17000)</f>
        <v>17000</v>
      </c>
      <c r="M423" s="48"/>
      <c r="N423" s="47" t="str">
        <f ca="1">IFERROR(__xludf.DUMMYFUNCTION("""COMPUTED_VALUE"""),"10 3 03 60300")</f>
        <v>10 3 03 60300</v>
      </c>
      <c r="O423" s="48">
        <f ca="1">IFERROR(__xludf.DUMMYFUNCTION("""COMPUTED_VALUE"""),521)</f>
        <v>521</v>
      </c>
      <c r="P423" s="66">
        <f t="shared" si="428"/>
        <v>230196.84</v>
      </c>
      <c r="Q423" s="66"/>
      <c r="R423" s="66">
        <f t="shared" si="429"/>
        <v>205337.49</v>
      </c>
      <c r="S423" s="66">
        <f t="shared" si="430"/>
        <v>0</v>
      </c>
      <c r="T423" s="66">
        <f t="shared" si="431"/>
        <v>24859.35</v>
      </c>
      <c r="U423" s="66"/>
      <c r="V423" s="66">
        <f t="shared" si="432"/>
        <v>0</v>
      </c>
      <c r="W423" s="66"/>
      <c r="X423" s="66">
        <v>0</v>
      </c>
      <c r="Y423" s="66">
        <v>0</v>
      </c>
      <c r="Z423" s="66">
        <v>0</v>
      </c>
      <c r="AA423" s="66"/>
      <c r="AB423" s="66">
        <f t="shared" si="433"/>
        <v>9013.1</v>
      </c>
      <c r="AC423" s="66"/>
      <c r="AD423" s="66">
        <v>8111.8</v>
      </c>
      <c r="AE423" s="66">
        <v>0</v>
      </c>
      <c r="AF423" s="66">
        <v>901.3</v>
      </c>
      <c r="AG423" s="66"/>
      <c r="AH423" s="66">
        <f t="shared" si="434"/>
        <v>221183.74</v>
      </c>
      <c r="AI423" s="66"/>
      <c r="AJ423" s="66">
        <v>197225.69</v>
      </c>
      <c r="AK423" s="66">
        <v>0</v>
      </c>
      <c r="AL423" s="66">
        <v>23958.05</v>
      </c>
      <c r="AM423" s="66"/>
      <c r="AN423" s="66">
        <f t="shared" si="435"/>
        <v>0</v>
      </c>
      <c r="AO423" s="66"/>
      <c r="AP423" s="66">
        <v>0</v>
      </c>
      <c r="AQ423" s="66">
        <v>0</v>
      </c>
      <c r="AR423" s="66">
        <v>0</v>
      </c>
      <c r="AS423" s="66"/>
      <c r="AT423" s="66">
        <f t="shared" si="436"/>
        <v>0</v>
      </c>
      <c r="AU423" s="66"/>
      <c r="AV423" s="66">
        <v>0</v>
      </c>
      <c r="AW423" s="66">
        <v>0</v>
      </c>
      <c r="AX423" s="66">
        <v>0</v>
      </c>
      <c r="AY423" s="66"/>
      <c r="AZ423" s="66">
        <f t="shared" si="437"/>
        <v>0</v>
      </c>
      <c r="BA423" s="66"/>
      <c r="BB423" s="66">
        <v>0</v>
      </c>
      <c r="BC423" s="66">
        <v>0</v>
      </c>
      <c r="BD423" s="66">
        <v>0</v>
      </c>
      <c r="BE423" s="66"/>
      <c r="BF423" s="66"/>
      <c r="BG423" s="66"/>
      <c r="BH423" s="66"/>
      <c r="BI423" s="66"/>
      <c r="BJ423" s="66"/>
      <c r="BK423" s="66"/>
      <c r="BL423" s="20"/>
    </row>
    <row r="424" spans="1:64" ht="144" x14ac:dyDescent="0.2">
      <c r="A424" s="69">
        <v>420</v>
      </c>
      <c r="B424" s="64" t="str">
        <f ca="1">IFERROR(__xludf.DUMMYFUNCTION("""COMPUTED_VALUE"""),"г.о. Балашиха")</f>
        <v>г.о. Балашиха</v>
      </c>
      <c r="C424"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4" s="47" t="str">
        <f ca="1">IFERROR(__xludf.DUMMYFUNCTION("""COMPUTED_VALUE"""),"Минкульт")</f>
        <v>Минкульт</v>
      </c>
      <c r="E424" s="65" t="s">
        <v>452</v>
      </c>
      <c r="F424" s="68"/>
      <c r="G424" s="68" t="str">
        <f ca="1">IFERROR(__xludf.DUMMYFUNCTION("""COMPUTED_VALUE"""),"2018-2020")</f>
        <v>2018-2020</v>
      </c>
      <c r="H424" s="48"/>
      <c r="I424" s="48"/>
      <c r="J424" s="48"/>
      <c r="K424" s="48"/>
      <c r="L424" s="48"/>
      <c r="M424" s="48"/>
      <c r="N424" s="48"/>
      <c r="O424" s="48"/>
      <c r="P424" s="66">
        <f t="shared" si="428"/>
        <v>108216.27</v>
      </c>
      <c r="Q424" s="66"/>
      <c r="R424" s="66">
        <f t="shared" si="429"/>
        <v>101737.27</v>
      </c>
      <c r="S424" s="66">
        <f t="shared" si="430"/>
        <v>0</v>
      </c>
      <c r="T424" s="66">
        <f t="shared" si="431"/>
        <v>6479</v>
      </c>
      <c r="U424" s="66"/>
      <c r="V424" s="66">
        <f t="shared" si="432"/>
        <v>1128.3</v>
      </c>
      <c r="W424" s="66"/>
      <c r="X424" s="66">
        <v>0</v>
      </c>
      <c r="Y424" s="66">
        <v>0</v>
      </c>
      <c r="Z424" s="66">
        <v>1128.3</v>
      </c>
      <c r="AA424" s="66"/>
      <c r="AB424" s="66">
        <f t="shared" si="433"/>
        <v>30935.02</v>
      </c>
      <c r="AC424" s="66"/>
      <c r="AD424" s="66">
        <v>29388.27</v>
      </c>
      <c r="AE424" s="66">
        <v>0</v>
      </c>
      <c r="AF424" s="66">
        <v>1546.75</v>
      </c>
      <c r="AG424" s="66"/>
      <c r="AH424" s="66">
        <f t="shared" si="434"/>
        <v>76152.95</v>
      </c>
      <c r="AI424" s="66"/>
      <c r="AJ424" s="66">
        <v>72349</v>
      </c>
      <c r="AK424" s="66">
        <v>0</v>
      </c>
      <c r="AL424" s="66">
        <v>3803.95</v>
      </c>
      <c r="AM424" s="66"/>
      <c r="AN424" s="66">
        <f t="shared" si="435"/>
        <v>0</v>
      </c>
      <c r="AO424" s="66"/>
      <c r="AP424" s="66">
        <v>0</v>
      </c>
      <c r="AQ424" s="66">
        <v>0</v>
      </c>
      <c r="AR424" s="66">
        <v>0</v>
      </c>
      <c r="AS424" s="66"/>
      <c r="AT424" s="66">
        <f t="shared" si="436"/>
        <v>0</v>
      </c>
      <c r="AU424" s="66"/>
      <c r="AV424" s="66">
        <v>0</v>
      </c>
      <c r="AW424" s="66">
        <v>0</v>
      </c>
      <c r="AX424" s="66">
        <v>0</v>
      </c>
      <c r="AY424" s="66"/>
      <c r="AZ424" s="66">
        <f t="shared" si="437"/>
        <v>0</v>
      </c>
      <c r="BA424" s="66"/>
      <c r="BB424" s="66">
        <v>0</v>
      </c>
      <c r="BC424" s="66">
        <v>0</v>
      </c>
      <c r="BD424" s="66">
        <v>0</v>
      </c>
      <c r="BE424" s="66"/>
      <c r="BF424" s="66"/>
      <c r="BG424" s="66"/>
      <c r="BH424" s="66"/>
      <c r="BI424" s="66"/>
      <c r="BJ424" s="66"/>
      <c r="BK424" s="66"/>
      <c r="BL424" s="20"/>
    </row>
    <row r="425" spans="1:64" ht="180" x14ac:dyDescent="0.2">
      <c r="A425" s="69">
        <v>421</v>
      </c>
      <c r="B425" s="64" t="str">
        <f ca="1">IFERROR(__xludf.DUMMYFUNCTION("""COMPUTED_VALUE"""),"г.о. Балашиха")</f>
        <v>г.о. Балашиха</v>
      </c>
      <c r="C425"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25" s="47" t="str">
        <f ca="1">IFERROR(__xludf.DUMMYFUNCTION("""COMPUTED_VALUE"""),"МинЖКХ ")</f>
        <v xml:space="preserve">МинЖКХ </v>
      </c>
      <c r="E425" s="65" t="s">
        <v>453</v>
      </c>
      <c r="F425" s="80" t="str">
        <f ca="1">IFERROR(__xludf.DUMMYFUNCTION("""COMPUTED_VALUE"""),"Котельная")</f>
        <v>Котельная</v>
      </c>
      <c r="G425" s="80" t="str">
        <f ca="1">IFERROR(__xludf.DUMMYFUNCTION("""COMPUTED_VALUE"""),"2018, 2021, 2022")</f>
        <v>2018, 2021, 2022</v>
      </c>
      <c r="H425" s="48" t="str">
        <f ca="1">IFERROR(__xludf.DUMMYFUNCTION("""COMPUTED_VALUE"""),"Для проведения закупки на СМР необходимо решить вопрос с выносом сетей находящихся в собственности Мособлгаз. В свою очередь, 04.09.2020 Мособлгаз предоставил технические решения для выноса газопровода. Требуется корректировка проекта (~1,5 месяца) + МОГЭ"&amp;" (~1.5 месяца). Ориентировочный выход из МОГЭ - 25.12.2020. В бюджетной заявке ГРБС предусмотрен перенос средств финансирования (77,77 млн.руб.) на 2022 год.
В конце февраля -  откорректированный проект. Начало марта - экспертиза. Начало апреля - конкурс "&amp;"на СМР.")</f>
        <v>Для проведения закупки на СМР необходимо решить вопрос с выносом сетей находящихся в собственности Мособлгаз. В свою очередь, 04.09.2020 Мособлгаз предоставил технические решения для выноса газопровода. Требуется корректировка проекта (~1,5 месяца) + МОГЭ (~1.5 месяца). Ориентировочный выход из МОГЭ - 25.12.2020. В бюджетной заявке ГРБС предусмотрен перенос средств финансирования (77,77 млн.руб.) на 2022 год.
В конце февраля -  откорректированный проект. Начало марта - экспертиза. Начало апреля - конкурс на СМР.</v>
      </c>
      <c r="I425" s="47" t="str">
        <f ca="1">IFERROR(__xludf.DUMMYFUNCTION("""COMPUTED_VALUE"""),"ПИР")</f>
        <v>ПИР</v>
      </c>
      <c r="J425" s="48">
        <f ca="1">IFERROR(__xludf.DUMMYFUNCTION("""COMPUTED_VALUE"""),0)</f>
        <v>0</v>
      </c>
      <c r="K425" s="48">
        <f ca="1">IFERROR(__xludf.DUMMYFUNCTION("""COMPUTED_VALUE"""),2045)</f>
        <v>2045</v>
      </c>
      <c r="L425" s="48">
        <f ca="1">IFERROR(__xludf.DUMMYFUNCTION("""COMPUTED_VALUE"""),2045)</f>
        <v>2045</v>
      </c>
      <c r="M425" s="48"/>
      <c r="N425" s="48"/>
      <c r="O425" s="48"/>
      <c r="P425" s="66">
        <f t="shared" si="428"/>
        <v>227468.88</v>
      </c>
      <c r="Q425" s="66"/>
      <c r="R425" s="66">
        <f t="shared" si="429"/>
        <v>70000</v>
      </c>
      <c r="S425" s="66">
        <f t="shared" si="430"/>
        <v>127522</v>
      </c>
      <c r="T425" s="66">
        <f t="shared" si="431"/>
        <v>29946.879999999997</v>
      </c>
      <c r="U425" s="66"/>
      <c r="V425" s="66">
        <f t="shared" si="432"/>
        <v>8000</v>
      </c>
      <c r="W425" s="66"/>
      <c r="X425" s="66">
        <v>0</v>
      </c>
      <c r="Y425" s="66">
        <v>0</v>
      </c>
      <c r="Z425" s="66">
        <v>8000</v>
      </c>
      <c r="AA425" s="66"/>
      <c r="AB425" s="66">
        <f t="shared" si="433"/>
        <v>0</v>
      </c>
      <c r="AC425" s="66"/>
      <c r="AD425" s="66">
        <v>0</v>
      </c>
      <c r="AE425" s="66">
        <v>0</v>
      </c>
      <c r="AF425" s="66">
        <v>0</v>
      </c>
      <c r="AG425" s="66"/>
      <c r="AH425" s="66">
        <f t="shared" si="434"/>
        <v>0</v>
      </c>
      <c r="AI425" s="66"/>
      <c r="AJ425" s="66">
        <v>0</v>
      </c>
      <c r="AK425" s="66">
        <v>0</v>
      </c>
      <c r="AL425" s="66">
        <v>0</v>
      </c>
      <c r="AM425" s="66"/>
      <c r="AN425" s="66">
        <f t="shared" si="435"/>
        <v>141691.1</v>
      </c>
      <c r="AO425" s="66"/>
      <c r="AP425" s="66">
        <v>0</v>
      </c>
      <c r="AQ425" s="66">
        <v>127522</v>
      </c>
      <c r="AR425" s="81">
        <v>14169.1</v>
      </c>
      <c r="AS425" s="81"/>
      <c r="AT425" s="66">
        <f t="shared" si="436"/>
        <v>77777.78</v>
      </c>
      <c r="AU425" s="66"/>
      <c r="AV425" s="66">
        <v>70000</v>
      </c>
      <c r="AW425" s="66">
        <v>0</v>
      </c>
      <c r="AX425" s="66">
        <v>7777.78</v>
      </c>
      <c r="AY425" s="66"/>
      <c r="AZ425" s="66">
        <f t="shared" si="437"/>
        <v>0</v>
      </c>
      <c r="BA425" s="66"/>
      <c r="BB425" s="66">
        <v>0</v>
      </c>
      <c r="BC425" s="66">
        <v>0</v>
      </c>
      <c r="BD425" s="66">
        <v>0</v>
      </c>
      <c r="BE425" s="66"/>
      <c r="BF425" s="66"/>
      <c r="BG425" s="66"/>
      <c r="BH425" s="66"/>
      <c r="BI425" s="66"/>
      <c r="BJ425" s="66"/>
      <c r="BK425" s="66"/>
      <c r="BL425" s="20"/>
    </row>
    <row r="426" spans="1:64" ht="120" x14ac:dyDescent="0.2">
      <c r="A426" s="69">
        <v>422</v>
      </c>
      <c r="B426" s="64" t="str">
        <f ca="1">IFERROR(__xludf.DUMMYFUNCTION("""COMPUTED_VALUE"""),"г.о. Богородский")</f>
        <v>г.о. Богородский</v>
      </c>
      <c r="C426"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26" s="47" t="str">
        <f ca="1">IFERROR(__xludf.DUMMYFUNCTION("""COMPUTED_VALUE"""),"МинЖКХ ")</f>
        <v xml:space="preserve">МинЖКХ </v>
      </c>
      <c r="E426" s="65" t="s">
        <v>454</v>
      </c>
      <c r="F426" s="68" t="str">
        <f ca="1">IFERROR(__xludf.DUMMYFUNCTION("""COMPUTED_VALUE"""),"Котельная")</f>
        <v>Котельная</v>
      </c>
      <c r="G426" s="68" t="str">
        <f ca="1">IFERROR(__xludf.DUMMYFUNCTION("""COMPUTED_VALUE"""),"2018-2020")</f>
        <v>2018-2020</v>
      </c>
      <c r="H426" s="48" t="str">
        <f ca="1">IFERROR(__xludf.DUMMYFUNCTION("""COMPUTED_VALUE"""),"Тепловые сети: 
Общий показатель выполненных работ - 100%
Котельная:
Общий показатель выполненных работ - 100%
Завершение работ 23.12.2020
Запросить заключение МОГЭ с учетом увеличения бюджета.
")</f>
        <v xml:space="preserve">Тепловые сети: 
Общий показатель выполненных работ - 100%
Котельная:
Общий показатель выполненных работ - 100%
Завершение работ 23.12.2020
Запросить заключение МОГЭ с учетом увеличения бюджета.
</v>
      </c>
      <c r="I426" s="47" t="str">
        <f ca="1">IFERROR(__xludf.DUMMYFUNCTION("""COMPUTED_VALUE"""),"Вып")</f>
        <v>Вып</v>
      </c>
      <c r="J426" s="48">
        <f ca="1">IFERROR(__xludf.DUMMYFUNCTION("""COMPUTED_VALUE"""),100)</f>
        <v>100</v>
      </c>
      <c r="K426" s="48">
        <f ca="1">IFERROR(__xludf.DUMMYFUNCTION("""COMPUTED_VALUE"""),6500)</f>
        <v>6500</v>
      </c>
      <c r="L426" s="48">
        <f ca="1">IFERROR(__xludf.DUMMYFUNCTION("""COMPUTED_VALUE"""),6500)</f>
        <v>6500</v>
      </c>
      <c r="M426" s="48"/>
      <c r="N426" s="48" t="str">
        <f ca="1">IFERROR(__xludf.DUMMYFUNCTION("""COMPUTED_VALUE"""),"10 3 03 64460")</f>
        <v>10 3 03 64460</v>
      </c>
      <c r="O426" s="48">
        <f ca="1">IFERROR(__xludf.DUMMYFUNCTION("""COMPUTED_VALUE"""),522)</f>
        <v>522</v>
      </c>
      <c r="P426" s="66">
        <f t="shared" si="428"/>
        <v>349609.58999999997</v>
      </c>
      <c r="Q426" s="66"/>
      <c r="R426" s="66">
        <f t="shared" si="429"/>
        <v>150453.29999999999</v>
      </c>
      <c r="S426" s="66">
        <f t="shared" si="430"/>
        <v>182162</v>
      </c>
      <c r="T426" s="66">
        <f t="shared" si="431"/>
        <v>16994.29</v>
      </c>
      <c r="U426" s="66"/>
      <c r="V426" s="66">
        <f t="shared" si="432"/>
        <v>23793.5</v>
      </c>
      <c r="W426" s="66"/>
      <c r="X426" s="66">
        <v>21631.83</v>
      </c>
      <c r="Y426" s="66">
        <v>0</v>
      </c>
      <c r="Z426" s="66">
        <v>2161.67</v>
      </c>
      <c r="AA426" s="66"/>
      <c r="AB426" s="66">
        <f t="shared" si="433"/>
        <v>135386.09</v>
      </c>
      <c r="AC426" s="66"/>
      <c r="AD426" s="66">
        <v>128821.47</v>
      </c>
      <c r="AE426" s="66">
        <v>0</v>
      </c>
      <c r="AF426" s="66">
        <v>6564.62</v>
      </c>
      <c r="AG426" s="66"/>
      <c r="AH426" s="66">
        <f t="shared" si="434"/>
        <v>190430</v>
      </c>
      <c r="AI426" s="66"/>
      <c r="AJ426" s="66">
        <v>0</v>
      </c>
      <c r="AK426" s="66">
        <v>182162</v>
      </c>
      <c r="AL426" s="66">
        <v>8268</v>
      </c>
      <c r="AM426" s="66"/>
      <c r="AN426" s="66">
        <f t="shared" si="435"/>
        <v>0</v>
      </c>
      <c r="AO426" s="66"/>
      <c r="AP426" s="66">
        <v>0</v>
      </c>
      <c r="AQ426" s="66">
        <v>0</v>
      </c>
      <c r="AR426" s="66">
        <v>0</v>
      </c>
      <c r="AS426" s="66"/>
      <c r="AT426" s="66">
        <f t="shared" si="436"/>
        <v>0</v>
      </c>
      <c r="AU426" s="66"/>
      <c r="AV426" s="66">
        <v>0</v>
      </c>
      <c r="AW426" s="66">
        <v>0</v>
      </c>
      <c r="AX426" s="66">
        <v>0</v>
      </c>
      <c r="AY426" s="66"/>
      <c r="AZ426" s="66">
        <f t="shared" si="437"/>
        <v>0</v>
      </c>
      <c r="BA426" s="66"/>
      <c r="BB426" s="66">
        <v>0</v>
      </c>
      <c r="BC426" s="66">
        <v>0</v>
      </c>
      <c r="BD426" s="66">
        <v>0</v>
      </c>
      <c r="BE426" s="66"/>
      <c r="BF426" s="66"/>
      <c r="BG426" s="66"/>
      <c r="BH426" s="66"/>
      <c r="BI426" s="66"/>
      <c r="BJ426" s="66"/>
      <c r="BK426" s="66"/>
      <c r="BL426" s="20"/>
    </row>
    <row r="427" spans="1:64" ht="144" x14ac:dyDescent="0.2">
      <c r="A427" s="69">
        <v>423</v>
      </c>
      <c r="B427" s="64" t="str">
        <f ca="1">IFERROR(__xludf.DUMMYFUNCTION("""COMPUTED_VALUE"""),"г.о. Богородский")</f>
        <v>г.о. Богородский</v>
      </c>
      <c r="C427"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7" s="47" t="str">
        <f ca="1">IFERROR(__xludf.DUMMYFUNCTION("""COMPUTED_VALUE"""),"МинЖКХ ")</f>
        <v xml:space="preserve">МинЖКХ </v>
      </c>
      <c r="E427" s="65" t="s">
        <v>455</v>
      </c>
      <c r="F427" s="68" t="str">
        <f ca="1">IFERROR(__xludf.DUMMYFUNCTION("""COMPUTED_VALUE"""),"Сети")</f>
        <v>Сети</v>
      </c>
      <c r="G427" s="68">
        <f ca="1">IFERROR(__xludf.DUMMYFUNCTION("""COMPUTED_VALUE"""),2021)</f>
        <v>2021</v>
      </c>
      <c r="H427" s="48" t="str">
        <f ca="1">IFERROR(__xludf.DUMMYFUNCTION("""COMPUTED_VALUE"""),"Лимиты заблокированы МЭФ по причине Covid-19. В данный момент Администрация готова размещать закупку на капремонт. Имеются сметы и заключение МОГЭ. МинЖКХ не согласовывает конкурсную документацию по причине блокировки лимитов МЭФ.
")</f>
        <v xml:space="preserve">Лимиты заблокированы МЭФ по причине Covid-19. В данный момент Администрация готова размещать закупку на капремонт. Имеются сметы и заключение МОГЭ. МинЖКХ не согласовывает конкурсную документацию по причине блокировки лимитов МЭФ.
</v>
      </c>
      <c r="I427" s="48"/>
      <c r="J427" s="48">
        <f ca="1">IFERROR(__xludf.DUMMYFUNCTION("""COMPUTED_VALUE"""),0)</f>
        <v>0</v>
      </c>
      <c r="K427" s="48">
        <f ca="1">IFERROR(__xludf.DUMMYFUNCTION("""COMPUTED_VALUE"""),6500)</f>
        <v>6500</v>
      </c>
      <c r="L427" s="48">
        <f ca="1">IFERROR(__xludf.DUMMYFUNCTION("""COMPUTED_VALUE"""),6500)</f>
        <v>6500</v>
      </c>
      <c r="M427" s="48"/>
      <c r="N427" s="48"/>
      <c r="O427" s="48"/>
      <c r="P427" s="66">
        <f t="shared" si="428"/>
        <v>36390.480000000003</v>
      </c>
      <c r="Q427" s="66"/>
      <c r="R427" s="66">
        <f t="shared" si="429"/>
        <v>34571</v>
      </c>
      <c r="S427" s="66">
        <f t="shared" si="430"/>
        <v>0</v>
      </c>
      <c r="T427" s="66">
        <f t="shared" si="431"/>
        <v>1819.48</v>
      </c>
      <c r="U427" s="66"/>
      <c r="V427" s="66">
        <f t="shared" si="432"/>
        <v>0</v>
      </c>
      <c r="W427" s="66"/>
      <c r="X427" s="66">
        <v>0</v>
      </c>
      <c r="Y427" s="66">
        <v>0</v>
      </c>
      <c r="Z427" s="66">
        <v>0</v>
      </c>
      <c r="AA427" s="66"/>
      <c r="AB427" s="66">
        <f t="shared" si="433"/>
        <v>0</v>
      </c>
      <c r="AC427" s="66"/>
      <c r="AD427" s="66">
        <v>0</v>
      </c>
      <c r="AE427" s="66">
        <v>0</v>
      </c>
      <c r="AF427" s="66">
        <v>0</v>
      </c>
      <c r="AG427" s="66"/>
      <c r="AH427" s="66">
        <f t="shared" si="434"/>
        <v>0</v>
      </c>
      <c r="AI427" s="66"/>
      <c r="AJ427" s="66">
        <v>0</v>
      </c>
      <c r="AK427" s="66">
        <v>0</v>
      </c>
      <c r="AL427" s="66">
        <v>0</v>
      </c>
      <c r="AM427" s="66"/>
      <c r="AN427" s="66">
        <f t="shared" si="435"/>
        <v>36390.480000000003</v>
      </c>
      <c r="AO427" s="66"/>
      <c r="AP427" s="66">
        <v>34571</v>
      </c>
      <c r="AQ427" s="66">
        <v>0</v>
      </c>
      <c r="AR427" s="66">
        <v>1819.48</v>
      </c>
      <c r="AS427" s="66"/>
      <c r="AT427" s="66">
        <f t="shared" si="436"/>
        <v>0</v>
      </c>
      <c r="AU427" s="66"/>
      <c r="AV427" s="66">
        <v>0</v>
      </c>
      <c r="AW427" s="66">
        <v>0</v>
      </c>
      <c r="AX427" s="66">
        <v>0</v>
      </c>
      <c r="AY427" s="66"/>
      <c r="AZ427" s="66">
        <f t="shared" si="437"/>
        <v>0</v>
      </c>
      <c r="BA427" s="66"/>
      <c r="BB427" s="66">
        <v>0</v>
      </c>
      <c r="BC427" s="66">
        <v>0</v>
      </c>
      <c r="BD427" s="66">
        <v>0</v>
      </c>
      <c r="BE427" s="66"/>
      <c r="BF427" s="66"/>
      <c r="BG427" s="66"/>
      <c r="BH427" s="66"/>
      <c r="BI427" s="66"/>
      <c r="BJ427" s="66"/>
      <c r="BK427" s="66"/>
      <c r="BL427" s="20"/>
    </row>
    <row r="428" spans="1:64" ht="144" x14ac:dyDescent="0.2">
      <c r="A428" s="69">
        <v>424</v>
      </c>
      <c r="B428" s="64" t="str">
        <f ca="1">IFERROR(__xludf.DUMMYFUNCTION("""COMPUTED_VALUE"""),"г.о. Богородский")</f>
        <v>г.о. Богородский</v>
      </c>
      <c r="C428"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8" s="47" t="str">
        <f ca="1">IFERROR(__xludf.DUMMYFUNCTION("""COMPUTED_VALUE"""),"МинЖКХ ")</f>
        <v xml:space="preserve">МинЖКХ </v>
      </c>
      <c r="E428" s="65" t="s">
        <v>456</v>
      </c>
      <c r="F428" s="68" t="str">
        <f ca="1">IFERROR(__xludf.DUMMYFUNCTION("""COMPUTED_VALUE"""),"Сети")</f>
        <v>Сети</v>
      </c>
      <c r="G428" s="68">
        <f ca="1">IFERROR(__xludf.DUMMYFUNCTION("""COMPUTED_VALUE"""),2021)</f>
        <v>2021</v>
      </c>
      <c r="H428" s="48" t="str">
        <f ca="1">IFERROR(__xludf.DUMMYFUNCTION("""COMPUTED_VALUE"""),"Лимиты заблокированы МЭФ по причине Covid-19. В данный момент Администрация готова размещать закупку на капремонт. Имеются сметы и заключение МОГЭ. МинЖКХ не согласовывает конкурсную документацию по причине блокировки лимитов МЭФ.")</f>
        <v>Лимиты заблокированы МЭФ по причине Covid-19. В данный момент Администрация готова размещать закупку на капремонт. Имеются сметы и заключение МОГЭ. МинЖКХ не согласовывает конкурсную документацию по причине блокировки лимитов МЭФ.</v>
      </c>
      <c r="I428" s="48"/>
      <c r="J428" s="48">
        <f ca="1">IFERROR(__xludf.DUMMYFUNCTION("""COMPUTED_VALUE"""),0)</f>
        <v>0</v>
      </c>
      <c r="K428" s="48">
        <f ca="1">IFERROR(__xludf.DUMMYFUNCTION("""COMPUTED_VALUE"""),6500)</f>
        <v>6500</v>
      </c>
      <c r="L428" s="48">
        <f ca="1">IFERROR(__xludf.DUMMYFUNCTION("""COMPUTED_VALUE"""),6500)</f>
        <v>6500</v>
      </c>
      <c r="M428" s="48"/>
      <c r="N428" s="48"/>
      <c r="O428" s="48"/>
      <c r="P428" s="66">
        <f t="shared" si="428"/>
        <v>34408.03</v>
      </c>
      <c r="Q428" s="66"/>
      <c r="R428" s="66">
        <f t="shared" si="429"/>
        <v>32687.77</v>
      </c>
      <c r="S428" s="66">
        <f t="shared" si="430"/>
        <v>0</v>
      </c>
      <c r="T428" s="66">
        <f t="shared" si="431"/>
        <v>1720.26</v>
      </c>
      <c r="U428" s="66"/>
      <c r="V428" s="66">
        <f t="shared" si="432"/>
        <v>0</v>
      </c>
      <c r="W428" s="66"/>
      <c r="X428" s="66">
        <v>0</v>
      </c>
      <c r="Y428" s="66">
        <v>0</v>
      </c>
      <c r="Z428" s="66">
        <v>0</v>
      </c>
      <c r="AA428" s="66"/>
      <c r="AB428" s="66">
        <f t="shared" si="433"/>
        <v>0</v>
      </c>
      <c r="AC428" s="66"/>
      <c r="AD428" s="66">
        <v>0</v>
      </c>
      <c r="AE428" s="66">
        <v>0</v>
      </c>
      <c r="AF428" s="66">
        <v>0</v>
      </c>
      <c r="AG428" s="66"/>
      <c r="AH428" s="66">
        <f t="shared" si="434"/>
        <v>0</v>
      </c>
      <c r="AI428" s="66"/>
      <c r="AJ428" s="66">
        <v>0</v>
      </c>
      <c r="AK428" s="66">
        <v>0</v>
      </c>
      <c r="AL428" s="66">
        <v>0</v>
      </c>
      <c r="AM428" s="66"/>
      <c r="AN428" s="66">
        <f t="shared" si="435"/>
        <v>34408.03</v>
      </c>
      <c r="AO428" s="66"/>
      <c r="AP428" s="66">
        <v>32687.77</v>
      </c>
      <c r="AQ428" s="66">
        <v>0</v>
      </c>
      <c r="AR428" s="66">
        <v>1720.26</v>
      </c>
      <c r="AS428" s="66"/>
      <c r="AT428" s="66">
        <f t="shared" si="436"/>
        <v>0</v>
      </c>
      <c r="AU428" s="66"/>
      <c r="AV428" s="66">
        <v>0</v>
      </c>
      <c r="AW428" s="66">
        <v>0</v>
      </c>
      <c r="AX428" s="66">
        <v>0</v>
      </c>
      <c r="AY428" s="66"/>
      <c r="AZ428" s="66">
        <f t="shared" si="437"/>
        <v>0</v>
      </c>
      <c r="BA428" s="66"/>
      <c r="BB428" s="66">
        <v>0</v>
      </c>
      <c r="BC428" s="66">
        <v>0</v>
      </c>
      <c r="BD428" s="66">
        <v>0</v>
      </c>
      <c r="BE428" s="66"/>
      <c r="BF428" s="66"/>
      <c r="BG428" s="66"/>
      <c r="BH428" s="66"/>
      <c r="BI428" s="66"/>
      <c r="BJ428" s="66"/>
      <c r="BK428" s="66"/>
      <c r="BL428" s="20"/>
    </row>
    <row r="429" spans="1:64" ht="144" x14ac:dyDescent="0.2">
      <c r="A429" s="69">
        <v>425</v>
      </c>
      <c r="B429" s="64" t="str">
        <f ca="1">IFERROR(__xludf.DUMMYFUNCTION("""COMPUTED_VALUE"""),"г.о. Электросталь")</f>
        <v>г.о. Электросталь</v>
      </c>
      <c r="C429"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29" s="47" t="str">
        <f ca="1">IFERROR(__xludf.DUMMYFUNCTION("""COMPUTED_VALUE"""),"МинЖКХ ")</f>
        <v xml:space="preserve">МинЖКХ </v>
      </c>
      <c r="E429" s="65" t="s">
        <v>457</v>
      </c>
      <c r="F429" s="68" t="str">
        <f ca="1">IFERROR(__xludf.DUMMYFUNCTION("""COMPUTED_VALUE"""),"Сети")</f>
        <v>Сети</v>
      </c>
      <c r="G429" s="68">
        <f ca="1">IFERROR(__xludf.DUMMYFUNCTION("""COMPUTED_VALUE"""),2019)</f>
        <v>2019</v>
      </c>
      <c r="H429" s="48"/>
      <c r="I429" s="48"/>
      <c r="J429" s="48"/>
      <c r="K429" s="48"/>
      <c r="L429" s="48"/>
      <c r="M429" s="48"/>
      <c r="N429" s="48"/>
      <c r="O429" s="48"/>
      <c r="P429" s="66">
        <f t="shared" si="428"/>
        <v>89495.06</v>
      </c>
      <c r="Q429" s="66"/>
      <c r="R429" s="66">
        <f t="shared" si="429"/>
        <v>85020.68</v>
      </c>
      <c r="S429" s="66">
        <f t="shared" si="430"/>
        <v>0</v>
      </c>
      <c r="T429" s="66">
        <f t="shared" si="431"/>
        <v>4474.38</v>
      </c>
      <c r="U429" s="66"/>
      <c r="V429" s="66">
        <f t="shared" si="432"/>
        <v>0</v>
      </c>
      <c r="W429" s="66"/>
      <c r="X429" s="66">
        <v>0</v>
      </c>
      <c r="Y429" s="66">
        <v>0</v>
      </c>
      <c r="Z429" s="66">
        <v>0</v>
      </c>
      <c r="AA429" s="66"/>
      <c r="AB429" s="66">
        <f t="shared" si="433"/>
        <v>89495.06</v>
      </c>
      <c r="AC429" s="66"/>
      <c r="AD429" s="66">
        <v>85020.68</v>
      </c>
      <c r="AE429" s="66">
        <v>0</v>
      </c>
      <c r="AF429" s="66">
        <v>4474.38</v>
      </c>
      <c r="AG429" s="66"/>
      <c r="AH429" s="66">
        <f t="shared" si="434"/>
        <v>0</v>
      </c>
      <c r="AI429" s="66"/>
      <c r="AJ429" s="66">
        <v>0</v>
      </c>
      <c r="AK429" s="66">
        <v>0</v>
      </c>
      <c r="AL429" s="66">
        <v>0</v>
      </c>
      <c r="AM429" s="66"/>
      <c r="AN429" s="66">
        <f t="shared" si="435"/>
        <v>0</v>
      </c>
      <c r="AO429" s="66"/>
      <c r="AP429" s="66">
        <v>0</v>
      </c>
      <c r="AQ429" s="66">
        <v>0</v>
      </c>
      <c r="AR429" s="66">
        <v>0</v>
      </c>
      <c r="AS429" s="66"/>
      <c r="AT429" s="66">
        <f t="shared" si="436"/>
        <v>0</v>
      </c>
      <c r="AU429" s="66"/>
      <c r="AV429" s="66">
        <v>0</v>
      </c>
      <c r="AW429" s="66">
        <v>0</v>
      </c>
      <c r="AX429" s="66">
        <v>0</v>
      </c>
      <c r="AY429" s="66"/>
      <c r="AZ429" s="66">
        <f t="shared" si="437"/>
        <v>0</v>
      </c>
      <c r="BA429" s="66"/>
      <c r="BB429" s="66">
        <v>0</v>
      </c>
      <c r="BC429" s="66">
        <v>0</v>
      </c>
      <c r="BD429" s="66">
        <v>0</v>
      </c>
      <c r="BE429" s="66"/>
      <c r="BF429" s="66"/>
      <c r="BG429" s="66"/>
      <c r="BH429" s="66"/>
      <c r="BI429" s="66"/>
      <c r="BJ429" s="66"/>
      <c r="BK429" s="66"/>
      <c r="BL429" s="20"/>
    </row>
    <row r="430" spans="1:64" ht="108" x14ac:dyDescent="0.2">
      <c r="A430" s="69">
        <v>426</v>
      </c>
      <c r="B430" s="64" t="str">
        <f ca="1">IFERROR(__xludf.DUMMYFUNCTION("""COMPUTED_VALUE"""),"ЗАТО Власиха")</f>
        <v>ЗАТО Власиха</v>
      </c>
      <c r="C430"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0" s="47" t="str">
        <f ca="1">IFERROR(__xludf.DUMMYFUNCTION("""COMPUTED_VALUE"""),"МинЖКХ ")</f>
        <v xml:space="preserve">МинЖКХ </v>
      </c>
      <c r="E430" s="65" t="s">
        <v>458</v>
      </c>
      <c r="F430" s="82" t="str">
        <f ca="1">IFERROR(__xludf.DUMMYFUNCTION("""COMPUTED_VALUE"""),"Сети")</f>
        <v>Сети</v>
      </c>
      <c r="G430" s="82" t="str">
        <f ca="1">IFERROR(__xludf.DUMMYFUNCTION("""COMPUTED_VALUE"""),"2021-2022")</f>
        <v>2021-2022</v>
      </c>
      <c r="H430" s="48" t="str">
        <f ca="1">IFERROR(__xludf.DUMMYFUNCTION("""COMPUTED_VALUE"""),"До 27.11.2020 направление конкурсной документации на проверку в МинЖКХ.
Заключение контракта и корректировка проекта в МОГЭ планируется в 2021 году.
 Финансирование перенесено на 2022 год")</f>
        <v>До 27.11.2020 направление конкурсной документации на проверку в МинЖКХ.
Заключение контракта и корректировка проекта в МОГЭ планируется в 2021 году.
 Финансирование перенесено на 2022 год</v>
      </c>
      <c r="I430" s="48"/>
      <c r="J430" s="48">
        <f ca="1">IFERROR(__xludf.DUMMYFUNCTION("""COMPUTED_VALUE"""),0)</f>
        <v>0</v>
      </c>
      <c r="K430" s="48">
        <f ca="1">IFERROR(__xludf.DUMMYFUNCTION("""COMPUTED_VALUE"""),3130)</f>
        <v>3130</v>
      </c>
      <c r="L430" s="48">
        <f ca="1">IFERROR(__xludf.DUMMYFUNCTION("""COMPUTED_VALUE"""),3130)</f>
        <v>3130</v>
      </c>
      <c r="M430" s="48"/>
      <c r="N430" s="48"/>
      <c r="O430" s="48"/>
      <c r="P430" s="66">
        <f t="shared" si="428"/>
        <v>105547.08</v>
      </c>
      <c r="Q430" s="66"/>
      <c r="R430" s="66">
        <f t="shared" si="429"/>
        <v>88817</v>
      </c>
      <c r="S430" s="66">
        <f t="shared" si="430"/>
        <v>9869</v>
      </c>
      <c r="T430" s="66">
        <f t="shared" si="431"/>
        <v>6861.08</v>
      </c>
      <c r="U430" s="66"/>
      <c r="V430" s="66">
        <f t="shared" si="432"/>
        <v>0</v>
      </c>
      <c r="W430" s="66"/>
      <c r="X430" s="66">
        <v>0</v>
      </c>
      <c r="Y430" s="66">
        <v>0</v>
      </c>
      <c r="Z430" s="66">
        <v>0</v>
      </c>
      <c r="AA430" s="66"/>
      <c r="AB430" s="66">
        <f t="shared" si="433"/>
        <v>0</v>
      </c>
      <c r="AC430" s="66"/>
      <c r="AD430" s="66">
        <v>0</v>
      </c>
      <c r="AE430" s="66">
        <v>0</v>
      </c>
      <c r="AF430" s="66">
        <v>0</v>
      </c>
      <c r="AG430" s="66"/>
      <c r="AH430" s="66">
        <f t="shared" si="434"/>
        <v>0</v>
      </c>
      <c r="AI430" s="66"/>
      <c r="AJ430" s="66">
        <v>0</v>
      </c>
      <c r="AK430" s="66">
        <v>0</v>
      </c>
      <c r="AL430" s="66">
        <v>0</v>
      </c>
      <c r="AM430" s="66"/>
      <c r="AN430" s="66">
        <f t="shared" si="435"/>
        <v>10555.09</v>
      </c>
      <c r="AO430" s="66"/>
      <c r="AP430" s="66">
        <v>0</v>
      </c>
      <c r="AQ430" s="66">
        <v>9869</v>
      </c>
      <c r="AR430" s="66">
        <v>686.09</v>
      </c>
      <c r="AS430" s="66"/>
      <c r="AT430" s="66">
        <f t="shared" si="436"/>
        <v>94991.99</v>
      </c>
      <c r="AU430" s="66"/>
      <c r="AV430" s="66">
        <v>88817</v>
      </c>
      <c r="AW430" s="66">
        <v>0</v>
      </c>
      <c r="AX430" s="66">
        <v>6174.99</v>
      </c>
      <c r="AY430" s="66"/>
      <c r="AZ430" s="66">
        <f t="shared" si="437"/>
        <v>0</v>
      </c>
      <c r="BA430" s="66"/>
      <c r="BB430" s="66">
        <v>0</v>
      </c>
      <c r="BC430" s="66">
        <v>0</v>
      </c>
      <c r="BD430" s="66">
        <v>0</v>
      </c>
      <c r="BE430" s="66"/>
      <c r="BF430" s="66"/>
      <c r="BG430" s="66"/>
      <c r="BH430" s="66"/>
      <c r="BI430" s="66"/>
      <c r="BJ430" s="66"/>
      <c r="BK430" s="66"/>
      <c r="BL430" s="20"/>
    </row>
    <row r="431" spans="1:64" ht="144" x14ac:dyDescent="0.2">
      <c r="A431" s="69">
        <v>427</v>
      </c>
      <c r="B431" s="64" t="str">
        <f ca="1">IFERROR(__xludf.DUMMYFUNCTION("""COMPUTED_VALUE"""),"г.о. Балашиха")</f>
        <v>г.о. Балашиха</v>
      </c>
      <c r="C431"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1" s="47" t="str">
        <f ca="1">IFERROR(__xludf.DUMMYFUNCTION("""COMPUTED_VALUE"""),"Минкульт")</f>
        <v>Минкульт</v>
      </c>
      <c r="E431" s="65" t="s">
        <v>459</v>
      </c>
      <c r="F431" s="68"/>
      <c r="G431" s="68" t="str">
        <f ca="1">IFERROR(__xludf.DUMMYFUNCTION("""COMPUTED_VALUE"""),"2019-2020")</f>
        <v>2019-2020</v>
      </c>
      <c r="H431" s="48"/>
      <c r="I431" s="48"/>
      <c r="J431" s="48"/>
      <c r="K431" s="48"/>
      <c r="L431" s="48"/>
      <c r="M431" s="48"/>
      <c r="N431" s="48"/>
      <c r="O431" s="48"/>
      <c r="P431" s="66">
        <f t="shared" si="428"/>
        <v>1163</v>
      </c>
      <c r="Q431" s="66"/>
      <c r="R431" s="66">
        <f t="shared" si="429"/>
        <v>0</v>
      </c>
      <c r="S431" s="66">
        <f t="shared" si="430"/>
        <v>0</v>
      </c>
      <c r="T431" s="66">
        <f t="shared" si="431"/>
        <v>1163</v>
      </c>
      <c r="U431" s="66"/>
      <c r="V431" s="66">
        <f t="shared" si="432"/>
        <v>0</v>
      </c>
      <c r="W431" s="66"/>
      <c r="X431" s="66">
        <v>0</v>
      </c>
      <c r="Y431" s="66">
        <v>0</v>
      </c>
      <c r="Z431" s="66">
        <v>0</v>
      </c>
      <c r="AA431" s="66"/>
      <c r="AB431" s="66">
        <f t="shared" si="433"/>
        <v>1163</v>
      </c>
      <c r="AC431" s="66"/>
      <c r="AD431" s="66">
        <v>0</v>
      </c>
      <c r="AE431" s="66">
        <v>0</v>
      </c>
      <c r="AF431" s="66">
        <v>1163</v>
      </c>
      <c r="AG431" s="66"/>
      <c r="AH431" s="66">
        <f t="shared" si="434"/>
        <v>0</v>
      </c>
      <c r="AI431" s="66"/>
      <c r="AJ431" s="66">
        <v>0</v>
      </c>
      <c r="AK431" s="66">
        <v>0</v>
      </c>
      <c r="AL431" s="66">
        <v>0</v>
      </c>
      <c r="AM431" s="66"/>
      <c r="AN431" s="66">
        <f t="shared" si="435"/>
        <v>0</v>
      </c>
      <c r="AO431" s="66"/>
      <c r="AP431" s="66">
        <v>0</v>
      </c>
      <c r="AQ431" s="66">
        <v>0</v>
      </c>
      <c r="AR431" s="66">
        <v>0</v>
      </c>
      <c r="AS431" s="66"/>
      <c r="AT431" s="66">
        <f t="shared" si="436"/>
        <v>0</v>
      </c>
      <c r="AU431" s="66"/>
      <c r="AV431" s="66">
        <v>0</v>
      </c>
      <c r="AW431" s="66">
        <v>0</v>
      </c>
      <c r="AX431" s="66">
        <v>0</v>
      </c>
      <c r="AY431" s="66"/>
      <c r="AZ431" s="66">
        <f t="shared" si="437"/>
        <v>0</v>
      </c>
      <c r="BA431" s="66"/>
      <c r="BB431" s="66">
        <v>0</v>
      </c>
      <c r="BC431" s="66">
        <v>0</v>
      </c>
      <c r="BD431" s="66">
        <v>0</v>
      </c>
      <c r="BE431" s="66"/>
      <c r="BF431" s="66"/>
      <c r="BG431" s="66"/>
      <c r="BH431" s="66"/>
      <c r="BI431" s="66"/>
      <c r="BJ431" s="66"/>
      <c r="BK431" s="66"/>
      <c r="BL431" s="20"/>
    </row>
    <row r="432" spans="1:64" ht="108" x14ac:dyDescent="0.2">
      <c r="A432" s="69">
        <v>428</v>
      </c>
      <c r="B432" s="64" t="str">
        <f ca="1">IFERROR(__xludf.DUMMYFUNCTION("""COMPUTED_VALUE"""),"ЗАТО Власиха")</f>
        <v>ЗАТО Власиха</v>
      </c>
      <c r="C432"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2" s="47" t="str">
        <f ca="1">IFERROR(__xludf.DUMMYFUNCTION("""COMPUTED_VALUE"""),"МинЖКХ ")</f>
        <v xml:space="preserve">МинЖКХ </v>
      </c>
      <c r="E432" s="65" t="s">
        <v>460</v>
      </c>
      <c r="F432" s="83" t="str">
        <f ca="1">IFERROR(__xludf.DUMMYFUNCTION("""COMPUTED_VALUE"""),"Котельная")</f>
        <v>Котельная</v>
      </c>
      <c r="G432" s="83" t="str">
        <f ca="1">IFERROR(__xludf.DUMMYFUNCTION("""COMPUTED_VALUE"""),"2019")</f>
        <v>2019</v>
      </c>
      <c r="H432" s="48"/>
      <c r="I432" s="48"/>
      <c r="J432" s="48"/>
      <c r="K432" s="48">
        <f ca="1">IFERROR(__xludf.DUMMYFUNCTION("""COMPUTED_VALUE"""),3130)</f>
        <v>3130</v>
      </c>
      <c r="L432" s="48">
        <f ca="1">IFERROR(__xludf.DUMMYFUNCTION("""COMPUTED_VALUE"""),3130)</f>
        <v>3130</v>
      </c>
      <c r="M432" s="48"/>
      <c r="N432" s="48"/>
      <c r="O432" s="48"/>
      <c r="P432" s="66">
        <f t="shared" si="428"/>
        <v>14779.28</v>
      </c>
      <c r="Q432" s="66"/>
      <c r="R432" s="66">
        <f t="shared" si="429"/>
        <v>14779</v>
      </c>
      <c r="S432" s="66">
        <f t="shared" si="430"/>
        <v>0</v>
      </c>
      <c r="T432" s="66">
        <f t="shared" si="431"/>
        <v>0.28000000000000003</v>
      </c>
      <c r="U432" s="66"/>
      <c r="V432" s="66">
        <f t="shared" si="432"/>
        <v>0</v>
      </c>
      <c r="W432" s="66"/>
      <c r="X432" s="66">
        <v>0</v>
      </c>
      <c r="Y432" s="66">
        <v>0</v>
      </c>
      <c r="Z432" s="66">
        <v>0</v>
      </c>
      <c r="AA432" s="66"/>
      <c r="AB432" s="66">
        <f t="shared" si="433"/>
        <v>14779.28</v>
      </c>
      <c r="AC432" s="66"/>
      <c r="AD432" s="66">
        <v>14779</v>
      </c>
      <c r="AE432" s="66">
        <v>0</v>
      </c>
      <c r="AF432" s="66">
        <v>0.28000000000000003</v>
      </c>
      <c r="AG432" s="66"/>
      <c r="AH432" s="66">
        <f t="shared" si="434"/>
        <v>0</v>
      </c>
      <c r="AI432" s="66"/>
      <c r="AJ432" s="66">
        <v>0</v>
      </c>
      <c r="AK432" s="66">
        <v>0</v>
      </c>
      <c r="AL432" s="66">
        <v>0</v>
      </c>
      <c r="AM432" s="66"/>
      <c r="AN432" s="66">
        <f t="shared" si="435"/>
        <v>0</v>
      </c>
      <c r="AO432" s="66"/>
      <c r="AP432" s="66">
        <v>0</v>
      </c>
      <c r="AQ432" s="66">
        <v>0</v>
      </c>
      <c r="AR432" s="66">
        <v>0</v>
      </c>
      <c r="AS432" s="66"/>
      <c r="AT432" s="66">
        <f t="shared" si="436"/>
        <v>0</v>
      </c>
      <c r="AU432" s="66"/>
      <c r="AV432" s="66">
        <v>0</v>
      </c>
      <c r="AW432" s="66">
        <v>0</v>
      </c>
      <c r="AX432" s="66">
        <v>0</v>
      </c>
      <c r="AY432" s="66"/>
      <c r="AZ432" s="66">
        <f t="shared" si="437"/>
        <v>0</v>
      </c>
      <c r="BA432" s="66"/>
      <c r="BB432" s="66">
        <v>0</v>
      </c>
      <c r="BC432" s="66">
        <v>0</v>
      </c>
      <c r="BD432" s="66">
        <v>0</v>
      </c>
      <c r="BE432" s="66"/>
      <c r="BF432" s="66"/>
      <c r="BG432" s="66"/>
      <c r="BH432" s="66"/>
      <c r="BI432" s="66"/>
      <c r="BJ432" s="66"/>
      <c r="BK432" s="66"/>
      <c r="BL432" s="20"/>
    </row>
    <row r="433" spans="1:64" ht="144" x14ac:dyDescent="0.2">
      <c r="A433" s="69">
        <v>429</v>
      </c>
      <c r="B433" s="64" t="str">
        <f ca="1">IFERROR(__xludf.DUMMYFUNCTION("""COMPUTED_VALUE"""),"ЗАТО Власиха")</f>
        <v>ЗАТО Власиха</v>
      </c>
      <c r="C433"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3" s="47" t="str">
        <f ca="1">IFERROR(__xludf.DUMMYFUNCTION("""COMPUTED_VALUE"""),"МинЖКХ ")</f>
        <v xml:space="preserve">МинЖКХ </v>
      </c>
      <c r="E433" s="65" t="s">
        <v>461</v>
      </c>
      <c r="F433" s="68" t="str">
        <f ca="1">IFERROR(__xludf.DUMMYFUNCTION("""COMPUTED_VALUE"""),"Сети")</f>
        <v>Сети</v>
      </c>
      <c r="G433" s="68">
        <f ca="1">IFERROR(__xludf.DUMMYFUNCTION("""COMPUTED_VALUE"""),2019)</f>
        <v>2019</v>
      </c>
      <c r="H433" s="48"/>
      <c r="I433" s="48"/>
      <c r="J433" s="48"/>
      <c r="K433" s="48"/>
      <c r="L433" s="48"/>
      <c r="M433" s="48"/>
      <c r="N433" s="48"/>
      <c r="O433" s="48"/>
      <c r="P433" s="66">
        <f t="shared" si="428"/>
        <v>37743.269999999997</v>
      </c>
      <c r="Q433" s="66"/>
      <c r="R433" s="66">
        <f t="shared" si="429"/>
        <v>35856</v>
      </c>
      <c r="S433" s="66">
        <f t="shared" si="430"/>
        <v>0</v>
      </c>
      <c r="T433" s="66">
        <f t="shared" si="431"/>
        <v>1887.27</v>
      </c>
      <c r="U433" s="66"/>
      <c r="V433" s="66">
        <f t="shared" si="432"/>
        <v>0</v>
      </c>
      <c r="W433" s="66"/>
      <c r="X433" s="66">
        <v>0</v>
      </c>
      <c r="Y433" s="66">
        <v>0</v>
      </c>
      <c r="Z433" s="66">
        <v>0</v>
      </c>
      <c r="AA433" s="66"/>
      <c r="AB433" s="66">
        <f t="shared" si="433"/>
        <v>37743.269999999997</v>
      </c>
      <c r="AC433" s="66"/>
      <c r="AD433" s="66">
        <v>35856</v>
      </c>
      <c r="AE433" s="66">
        <v>0</v>
      </c>
      <c r="AF433" s="66">
        <v>1887.27</v>
      </c>
      <c r="AG433" s="66"/>
      <c r="AH433" s="66">
        <f t="shared" si="434"/>
        <v>0</v>
      </c>
      <c r="AI433" s="66"/>
      <c r="AJ433" s="66">
        <v>0</v>
      </c>
      <c r="AK433" s="66">
        <v>0</v>
      </c>
      <c r="AL433" s="66">
        <v>0</v>
      </c>
      <c r="AM433" s="66"/>
      <c r="AN433" s="66">
        <f t="shared" si="435"/>
        <v>0</v>
      </c>
      <c r="AO433" s="66"/>
      <c r="AP433" s="66">
        <v>0</v>
      </c>
      <c r="AQ433" s="66">
        <v>0</v>
      </c>
      <c r="AR433" s="66">
        <v>0</v>
      </c>
      <c r="AS433" s="66"/>
      <c r="AT433" s="66">
        <f t="shared" si="436"/>
        <v>0</v>
      </c>
      <c r="AU433" s="66"/>
      <c r="AV433" s="66">
        <v>0</v>
      </c>
      <c r="AW433" s="66">
        <v>0</v>
      </c>
      <c r="AX433" s="66">
        <v>0</v>
      </c>
      <c r="AY433" s="66"/>
      <c r="AZ433" s="66">
        <f t="shared" si="437"/>
        <v>0</v>
      </c>
      <c r="BA433" s="66"/>
      <c r="BB433" s="66">
        <v>0</v>
      </c>
      <c r="BC433" s="66">
        <v>0</v>
      </c>
      <c r="BD433" s="66">
        <v>0</v>
      </c>
      <c r="BE433" s="66"/>
      <c r="BF433" s="66"/>
      <c r="BG433" s="66"/>
      <c r="BH433" s="66"/>
      <c r="BI433" s="66"/>
      <c r="BJ433" s="66"/>
      <c r="BK433" s="66"/>
      <c r="BL433" s="20"/>
    </row>
    <row r="434" spans="1:64" ht="144" x14ac:dyDescent="0.2">
      <c r="A434" s="69">
        <v>430</v>
      </c>
      <c r="B434" s="64" t="str">
        <f ca="1">IFERROR(__xludf.DUMMYFUNCTION("""COMPUTED_VALUE"""),"ЗАТО Власиха")</f>
        <v>ЗАТО Власиха</v>
      </c>
      <c r="C434"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4" s="47" t="str">
        <f ca="1">IFERROR(__xludf.DUMMYFUNCTION("""COMPUTED_VALUE"""),"Минкульт")</f>
        <v>Минкульт</v>
      </c>
      <c r="E434" s="65" t="s">
        <v>462</v>
      </c>
      <c r="F434" s="68"/>
      <c r="G434" s="68" t="str">
        <f ca="1">IFERROR(__xludf.DUMMYFUNCTION("""COMPUTED_VALUE"""),"2018-2020")</f>
        <v>2018-2020</v>
      </c>
      <c r="H434" s="48"/>
      <c r="I434" s="48"/>
      <c r="J434" s="48"/>
      <c r="K434" s="48"/>
      <c r="L434" s="48"/>
      <c r="M434" s="48"/>
      <c r="N434" s="48"/>
      <c r="O434" s="48"/>
      <c r="P434" s="66">
        <f t="shared" si="428"/>
        <v>126565.62999999999</v>
      </c>
      <c r="Q434" s="66"/>
      <c r="R434" s="66">
        <f t="shared" si="429"/>
        <v>119901.15</v>
      </c>
      <c r="S434" s="66">
        <f t="shared" si="430"/>
        <v>0</v>
      </c>
      <c r="T434" s="66">
        <f t="shared" si="431"/>
        <v>6664.48</v>
      </c>
      <c r="U434" s="66"/>
      <c r="V434" s="66">
        <f t="shared" si="432"/>
        <v>16418.11</v>
      </c>
      <c r="W434" s="66"/>
      <c r="X434" s="66">
        <v>15517.41</v>
      </c>
      <c r="Y434" s="66">
        <v>0</v>
      </c>
      <c r="Z434" s="66">
        <v>900.7</v>
      </c>
      <c r="AA434" s="66"/>
      <c r="AB434" s="66">
        <f t="shared" si="433"/>
        <v>47511.93</v>
      </c>
      <c r="AC434" s="66"/>
      <c r="AD434" s="66">
        <v>44879.93</v>
      </c>
      <c r="AE434" s="66">
        <v>0</v>
      </c>
      <c r="AF434" s="66">
        <v>2632</v>
      </c>
      <c r="AG434" s="66"/>
      <c r="AH434" s="66">
        <f t="shared" si="434"/>
        <v>62635.59</v>
      </c>
      <c r="AI434" s="66"/>
      <c r="AJ434" s="66">
        <v>59503.81</v>
      </c>
      <c r="AK434" s="66">
        <v>0</v>
      </c>
      <c r="AL434" s="66">
        <v>3131.7799999999997</v>
      </c>
      <c r="AM434" s="66"/>
      <c r="AN434" s="66">
        <f t="shared" si="435"/>
        <v>0</v>
      </c>
      <c r="AO434" s="66"/>
      <c r="AP434" s="66">
        <v>0</v>
      </c>
      <c r="AQ434" s="66">
        <v>0</v>
      </c>
      <c r="AR434" s="66">
        <v>0</v>
      </c>
      <c r="AS434" s="66"/>
      <c r="AT434" s="66">
        <f t="shared" si="436"/>
        <v>0</v>
      </c>
      <c r="AU434" s="66"/>
      <c r="AV434" s="66">
        <v>0</v>
      </c>
      <c r="AW434" s="66">
        <v>0</v>
      </c>
      <c r="AX434" s="66">
        <v>0</v>
      </c>
      <c r="AY434" s="66"/>
      <c r="AZ434" s="66">
        <f t="shared" si="437"/>
        <v>0</v>
      </c>
      <c r="BA434" s="66"/>
      <c r="BB434" s="66">
        <v>0</v>
      </c>
      <c r="BC434" s="66">
        <v>0</v>
      </c>
      <c r="BD434" s="66">
        <v>0</v>
      </c>
      <c r="BE434" s="66"/>
      <c r="BF434" s="66"/>
      <c r="BG434" s="66"/>
      <c r="BH434" s="66"/>
      <c r="BI434" s="66"/>
      <c r="BJ434" s="66"/>
      <c r="BK434" s="66"/>
      <c r="BL434" s="20"/>
    </row>
    <row r="435" spans="1:64" ht="276" x14ac:dyDescent="0.2">
      <c r="A435" s="69">
        <v>431</v>
      </c>
      <c r="B435" s="64" t="str">
        <f ca="1">IFERROR(__xludf.DUMMYFUNCTION("""COMPUTED_VALUE"""),"ЗАТО Молодежный")</f>
        <v>ЗАТО Молодежный</v>
      </c>
      <c r="C435"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5" s="47" t="str">
        <f ca="1">IFERROR(__xludf.DUMMYFUNCTION("""COMPUTED_VALUE"""),"МинЖКХ ")</f>
        <v xml:space="preserve">МинЖКХ </v>
      </c>
      <c r="E435" s="65" t="s">
        <v>463</v>
      </c>
      <c r="F435" s="84" t="str">
        <f ca="1">IFERROR(__xludf.DUMMYFUNCTION("""COMPUTED_VALUE"""),"ОС")</f>
        <v>ОС</v>
      </c>
      <c r="G435" s="84" t="str">
        <f ca="1">IFERROR(__xludf.DUMMYFUNCTION("""COMPUTED_VALUE"""),"2016, 2022")</f>
        <v>2016, 2022</v>
      </c>
      <c r="H435" s="48" t="str">
        <f ca="1">IFERROR(__xludf.DUMMYFUNCTION("""COMPUTED_VALUE"""),"Судебное заседание состоялось 21.07.2020, по итогам, которого подрядчику 
было отказано в иске. Ожидается ответный иск от Администрации. 
Был заключен контракт на проведение 
технического обследования объекта с целью установления 
объемов, качества и стои"&amp;"мости выполненных работ с 
последующим предъявлением подрядчику в суде. 
В результате проведенной экспертизы ГБУ МО ""МОСОБЛСТРОЙЦНИЛ"" 
выявлены нарушения технологических процессов и отступления 
от проектной документации. Заказчик готовит иск в суд с тр"&amp;"ебованием 
о расторжении контракта с устранением всех выявленных недостатков. 
Иск был направлен в суд 24.09.2020 г. 
 17.11.2020 назначены предварительные слушания
 Финансирование перенесено на 2022 год")</f>
        <v>Судебное заседание состоялось 21.07.2020, по итогам, которого подрядчику 
было отказано в иске. Ожидается ответный иск от Администрации. 
Был заключен контракт на проведение 
технического обследования объекта с целью установления 
объемов, качества и стоимости выполненных работ с 
последующим предъявлением подрядчику в суде. 
В результате проведенной экспертизы ГБУ МО "МОСОБЛСТРОЙЦНИЛ" 
выявлены нарушения технологических процессов и отступления 
от проектной документации. Заказчик готовит иск в суд с требованием 
о расторжении контракта с устранением всех выявленных недостатков. 
Иск был направлен в суд 24.09.2020 г. 
 17.11.2020 назначены предварительные слушания
 Финансирование перенесено на 2022 год</v>
      </c>
      <c r="I435" s="48"/>
      <c r="J435" s="70">
        <f ca="1">IFERROR(__xludf.DUMMYFUNCTION("""COMPUTED_VALUE"""),0)</f>
        <v>0</v>
      </c>
      <c r="K435" s="48">
        <f ca="1">IFERROR(__xludf.DUMMYFUNCTION("""COMPUTED_VALUE"""),2849)</f>
        <v>2849</v>
      </c>
      <c r="L435" s="48">
        <f ca="1">IFERROR(__xludf.DUMMYFUNCTION("""COMPUTED_VALUE"""),2849)</f>
        <v>2849</v>
      </c>
      <c r="M435" s="48"/>
      <c r="N435" s="48"/>
      <c r="O435" s="48"/>
      <c r="P435" s="66">
        <f t="shared" si="428"/>
        <v>111735.62000000001</v>
      </c>
      <c r="Q435" s="66"/>
      <c r="R435" s="66">
        <f t="shared" si="429"/>
        <v>106148.1</v>
      </c>
      <c r="S435" s="66">
        <f t="shared" si="430"/>
        <v>0</v>
      </c>
      <c r="T435" s="66">
        <f t="shared" si="431"/>
        <v>5587.52</v>
      </c>
      <c r="U435" s="66"/>
      <c r="V435" s="66">
        <f t="shared" si="432"/>
        <v>50840.57</v>
      </c>
      <c r="W435" s="66"/>
      <c r="X435" s="66">
        <v>48298.54</v>
      </c>
      <c r="Y435" s="66">
        <v>0</v>
      </c>
      <c r="Z435" s="66">
        <v>2542.0300000000002</v>
      </c>
      <c r="AA435" s="66"/>
      <c r="AB435" s="66">
        <f t="shared" si="433"/>
        <v>13879.4</v>
      </c>
      <c r="AC435" s="66"/>
      <c r="AD435" s="66">
        <v>13184.56</v>
      </c>
      <c r="AE435" s="66">
        <v>0</v>
      </c>
      <c r="AF435" s="66">
        <v>694.84</v>
      </c>
      <c r="AG435" s="66"/>
      <c r="AH435" s="66">
        <f t="shared" si="434"/>
        <v>0</v>
      </c>
      <c r="AI435" s="66"/>
      <c r="AJ435" s="66">
        <v>0</v>
      </c>
      <c r="AK435" s="66">
        <v>0</v>
      </c>
      <c r="AL435" s="66">
        <v>0</v>
      </c>
      <c r="AM435" s="66"/>
      <c r="AN435" s="66">
        <f t="shared" si="435"/>
        <v>0</v>
      </c>
      <c r="AO435" s="66"/>
      <c r="AP435" s="66">
        <v>0</v>
      </c>
      <c r="AQ435" s="66">
        <v>0</v>
      </c>
      <c r="AR435" s="66">
        <v>0</v>
      </c>
      <c r="AS435" s="66"/>
      <c r="AT435" s="66">
        <f t="shared" si="436"/>
        <v>47015.65</v>
      </c>
      <c r="AU435" s="66"/>
      <c r="AV435" s="66">
        <v>44665</v>
      </c>
      <c r="AW435" s="66">
        <v>0</v>
      </c>
      <c r="AX435" s="66">
        <v>2350.65</v>
      </c>
      <c r="AY435" s="66"/>
      <c r="AZ435" s="66">
        <f t="shared" si="437"/>
        <v>0</v>
      </c>
      <c r="BA435" s="66"/>
      <c r="BB435" s="66">
        <v>0</v>
      </c>
      <c r="BC435" s="66">
        <v>0</v>
      </c>
      <c r="BD435" s="66">
        <v>0</v>
      </c>
      <c r="BE435" s="66"/>
      <c r="BF435" s="66"/>
      <c r="BG435" s="66"/>
      <c r="BH435" s="66"/>
      <c r="BI435" s="66"/>
      <c r="BJ435" s="66"/>
      <c r="BK435" s="66"/>
      <c r="BL435" s="20"/>
    </row>
    <row r="436" spans="1:64" ht="108" x14ac:dyDescent="0.2">
      <c r="A436" s="69">
        <v>432</v>
      </c>
      <c r="B436" s="64" t="str">
        <f ca="1">IFERROR(__xludf.DUMMYFUNCTION("""COMPUTED_VALUE"""),"ЗАТО Молодежный")</f>
        <v>ЗАТО Молодежный</v>
      </c>
      <c r="C436"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6" s="47" t="str">
        <f ca="1">IFERROR(__xludf.DUMMYFUNCTION("""COMPUTED_VALUE"""),"Минстрой")</f>
        <v>Минстрой</v>
      </c>
      <c r="E436" s="65" t="s">
        <v>464</v>
      </c>
      <c r="F436" s="68"/>
      <c r="G436" s="68" t="str">
        <f ca="1">IFERROR(__xludf.DUMMYFUNCTION("""COMPUTED_VALUE"""),"2018-2020")</f>
        <v>2018-2020</v>
      </c>
      <c r="H436" s="48"/>
      <c r="I436" s="48"/>
      <c r="J436" s="48"/>
      <c r="K436" s="48"/>
      <c r="L436" s="48"/>
      <c r="M436" s="48"/>
      <c r="N436" s="48"/>
      <c r="O436" s="48"/>
      <c r="P436" s="66">
        <f t="shared" si="428"/>
        <v>15000</v>
      </c>
      <c r="Q436" s="66"/>
      <c r="R436" s="66">
        <f t="shared" si="429"/>
        <v>14250</v>
      </c>
      <c r="S436" s="66">
        <f t="shared" si="430"/>
        <v>0</v>
      </c>
      <c r="T436" s="66">
        <f t="shared" si="431"/>
        <v>750</v>
      </c>
      <c r="U436" s="66"/>
      <c r="V436" s="66">
        <f t="shared" si="432"/>
        <v>15000</v>
      </c>
      <c r="W436" s="66"/>
      <c r="X436" s="66">
        <v>14250</v>
      </c>
      <c r="Y436" s="66">
        <v>0</v>
      </c>
      <c r="Z436" s="66">
        <v>750</v>
      </c>
      <c r="AA436" s="66"/>
      <c r="AB436" s="66">
        <f t="shared" si="433"/>
        <v>0</v>
      </c>
      <c r="AC436" s="66"/>
      <c r="AD436" s="66">
        <v>0</v>
      </c>
      <c r="AE436" s="66">
        <v>0</v>
      </c>
      <c r="AF436" s="66">
        <v>0</v>
      </c>
      <c r="AG436" s="66"/>
      <c r="AH436" s="66">
        <f t="shared" si="434"/>
        <v>0</v>
      </c>
      <c r="AI436" s="66"/>
      <c r="AJ436" s="66">
        <v>0</v>
      </c>
      <c r="AK436" s="66">
        <v>0</v>
      </c>
      <c r="AL436" s="66">
        <v>0</v>
      </c>
      <c r="AM436" s="66"/>
      <c r="AN436" s="66">
        <f t="shared" si="435"/>
        <v>0</v>
      </c>
      <c r="AO436" s="66"/>
      <c r="AP436" s="66">
        <v>0</v>
      </c>
      <c r="AQ436" s="66">
        <v>0</v>
      </c>
      <c r="AR436" s="66">
        <v>0</v>
      </c>
      <c r="AS436" s="66"/>
      <c r="AT436" s="66">
        <f t="shared" si="436"/>
        <v>0</v>
      </c>
      <c r="AU436" s="66"/>
      <c r="AV436" s="66">
        <v>0</v>
      </c>
      <c r="AW436" s="66">
        <v>0</v>
      </c>
      <c r="AX436" s="66">
        <v>0</v>
      </c>
      <c r="AY436" s="66"/>
      <c r="AZ436" s="66">
        <f t="shared" si="437"/>
        <v>0</v>
      </c>
      <c r="BA436" s="66"/>
      <c r="BB436" s="66">
        <v>0</v>
      </c>
      <c r="BC436" s="66">
        <v>0</v>
      </c>
      <c r="BD436" s="66">
        <v>0</v>
      </c>
      <c r="BE436" s="66"/>
      <c r="BF436" s="66"/>
      <c r="BG436" s="66"/>
      <c r="BH436" s="66"/>
      <c r="BI436" s="66"/>
      <c r="BJ436" s="66"/>
      <c r="BK436" s="66"/>
      <c r="BL436" s="20"/>
    </row>
    <row r="437" spans="1:64" ht="69.75" customHeight="1" x14ac:dyDescent="0.2">
      <c r="A437" s="69">
        <v>433</v>
      </c>
      <c r="B437" s="64" t="str">
        <f ca="1">IFERROR(__xludf.DUMMYFUNCTION("""COMPUTED_VALUE"""),"г.о. Коломенский")</f>
        <v>г.о. Коломенский</v>
      </c>
      <c r="C437"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37" s="47" t="str">
        <f ca="1">IFERROR(__xludf.DUMMYFUNCTION("""COMPUTED_VALUE"""),"МинЖКХ ")</f>
        <v xml:space="preserve">МинЖКХ </v>
      </c>
      <c r="E437" s="65" t="s">
        <v>465</v>
      </c>
      <c r="F437" s="83" t="str">
        <f ca="1">IFERROR(__xludf.DUMMYFUNCTION("""COMPUTED_VALUE"""),"Сети")</f>
        <v>Сети</v>
      </c>
      <c r="G437" s="83" t="str">
        <f ca="1">IFERROR(__xludf.DUMMYFUNCTION("""COMPUTED_VALUE"""),"2019-2020")</f>
        <v>2019-2020</v>
      </c>
      <c r="H437" s="48" t="str">
        <f ca="1">IFERROR(__xludf.DUMMYFUNCTION("""COMPUTED_VALUE"""),"Объект введен в эксплуатацию 24.08.2020
Кредиторская задолженность за 2019 год оплачена 
(377,72 тыс. руб. в 2020 году). 
Работы выполнены в 2020 году. 
Документы на оплату работ за 2020 год 
подвешены в ПИК (41 179 274,79 руб.) 
Письмо  разбивкой денежн"&amp;"ых средств и экономией в ходе СМР от 28.12.2020 115Исх-13979/2020")</f>
        <v>Объект введен в эксплуатацию 24.08.2020
Кредиторская задолженность за 2019 год оплачена 
(377,72 тыс. руб. в 2020 году). 
Работы выполнены в 2020 году. 
Документы на оплату работ за 2020 год 
подвешены в ПИК (41 179 274,79 руб.) 
Письмо  разбивкой денежных средств и экономией в ходе СМР от 28.12.2020 115Исх-13979/2020</v>
      </c>
      <c r="I437" s="47" t="str">
        <f ca="1">IFERROR(__xludf.DUMMYFUNCTION("""COMPUTED_VALUE"""),"Вып")</f>
        <v>Вып</v>
      </c>
      <c r="J437" s="48">
        <f ca="1">IFERROR(__xludf.DUMMYFUNCTION("""COMPUTED_VALUE"""),100)</f>
        <v>100</v>
      </c>
      <c r="K437" s="48">
        <f ca="1">IFERROR(__xludf.DUMMYFUNCTION("""COMPUTED_VALUE"""),1935)</f>
        <v>1935</v>
      </c>
      <c r="L437" s="48">
        <f ca="1">IFERROR(__xludf.DUMMYFUNCTION("""COMPUTED_VALUE"""),1935)</f>
        <v>1935</v>
      </c>
      <c r="M437" s="48"/>
      <c r="N437" s="48" t="str">
        <f ca="1">IFERROR(__xludf.DUMMYFUNCTION("""COMPUTED_VALUE"""),"10 3 03 64460")</f>
        <v>10 3 03 64460</v>
      </c>
      <c r="O437" s="48">
        <f ca="1">IFERROR(__xludf.DUMMYFUNCTION("""COMPUTED_VALUE"""),522)</f>
        <v>522</v>
      </c>
      <c r="P437" s="66">
        <f t="shared" si="428"/>
        <v>63910.29</v>
      </c>
      <c r="Q437" s="66"/>
      <c r="R437" s="66">
        <f t="shared" si="429"/>
        <v>19548.060000000001</v>
      </c>
      <c r="S437" s="66">
        <f t="shared" si="430"/>
        <v>41166.720000000001</v>
      </c>
      <c r="T437" s="66">
        <f t="shared" si="431"/>
        <v>3195.5099999999998</v>
      </c>
      <c r="U437" s="66"/>
      <c r="V437" s="66">
        <f t="shared" si="432"/>
        <v>0</v>
      </c>
      <c r="W437" s="66"/>
      <c r="X437" s="66">
        <v>0</v>
      </c>
      <c r="Y437" s="66">
        <v>0</v>
      </c>
      <c r="Z437" s="66">
        <v>0</v>
      </c>
      <c r="AA437" s="66"/>
      <c r="AB437" s="66">
        <f t="shared" si="433"/>
        <v>20596.93</v>
      </c>
      <c r="AC437" s="66"/>
      <c r="AD437" s="66">
        <v>19548.060000000001</v>
      </c>
      <c r="AE437" s="66">
        <v>0</v>
      </c>
      <c r="AF437" s="66">
        <v>1048.8699999999999</v>
      </c>
      <c r="AG437" s="66"/>
      <c r="AH437" s="66">
        <f t="shared" si="434"/>
        <v>43313.36</v>
      </c>
      <c r="AI437" s="66"/>
      <c r="AJ437" s="66">
        <v>0</v>
      </c>
      <c r="AK437" s="66">
        <v>41166.720000000001</v>
      </c>
      <c r="AL437" s="66">
        <v>2146.64</v>
      </c>
      <c r="AM437" s="66"/>
      <c r="AN437" s="66">
        <f t="shared" si="435"/>
        <v>0</v>
      </c>
      <c r="AO437" s="66"/>
      <c r="AP437" s="66">
        <v>0</v>
      </c>
      <c r="AQ437" s="66">
        <v>0</v>
      </c>
      <c r="AR437" s="66">
        <v>0</v>
      </c>
      <c r="AS437" s="66"/>
      <c r="AT437" s="66">
        <f t="shared" si="436"/>
        <v>0</v>
      </c>
      <c r="AU437" s="66"/>
      <c r="AV437" s="66">
        <v>0</v>
      </c>
      <c r="AW437" s="66">
        <v>0</v>
      </c>
      <c r="AX437" s="66">
        <v>0</v>
      </c>
      <c r="AY437" s="66"/>
      <c r="AZ437" s="66">
        <f t="shared" si="437"/>
        <v>0</v>
      </c>
      <c r="BA437" s="66"/>
      <c r="BB437" s="66">
        <v>0</v>
      </c>
      <c r="BC437" s="66">
        <v>0</v>
      </c>
      <c r="BD437" s="66">
        <v>0</v>
      </c>
      <c r="BE437" s="66"/>
      <c r="BF437" s="66"/>
      <c r="BG437" s="66"/>
      <c r="BH437" s="66"/>
      <c r="BI437" s="66"/>
      <c r="BJ437" s="66"/>
      <c r="BK437" s="66"/>
      <c r="BL437" s="20"/>
    </row>
    <row r="438" spans="1:64" ht="96" x14ac:dyDescent="0.2">
      <c r="A438" s="69">
        <v>434</v>
      </c>
      <c r="B438" s="64" t="str">
        <f ca="1">IFERROR(__xludf.DUMMYFUNCTION("""COMPUTED_VALUE"""),"г.о. Звездный городок")</f>
        <v>г.о. Звездный городок</v>
      </c>
      <c r="C438"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38" s="47" t="str">
        <f ca="1">IFERROR(__xludf.DUMMYFUNCTION("""COMPUTED_VALUE"""),"МинЖКХ ")</f>
        <v xml:space="preserve">МинЖКХ </v>
      </c>
      <c r="E438" s="65" t="s">
        <v>466</v>
      </c>
      <c r="F438" s="68" t="str">
        <f ca="1">IFERROR(__xludf.DUMMYFUNCTION("""COMPUTED_VALUE"""),"Сети")</f>
        <v>Сети</v>
      </c>
      <c r="G438" s="68">
        <f ca="1">IFERROR(__xludf.DUMMYFUNCTION("""COMPUTED_VALUE"""),2019)</f>
        <v>2019</v>
      </c>
      <c r="H438" s="48"/>
      <c r="I438" s="48"/>
      <c r="J438" s="48"/>
      <c r="K438" s="48"/>
      <c r="L438" s="48"/>
      <c r="M438" s="48"/>
      <c r="N438" s="48"/>
      <c r="O438" s="48"/>
      <c r="P438" s="66">
        <f t="shared" si="428"/>
        <v>29892.910000000003</v>
      </c>
      <c r="Q438" s="66"/>
      <c r="R438" s="66">
        <f t="shared" si="429"/>
        <v>28398.240000000002</v>
      </c>
      <c r="S438" s="66">
        <f t="shared" si="430"/>
        <v>0</v>
      </c>
      <c r="T438" s="66">
        <f t="shared" si="431"/>
        <v>1494.67</v>
      </c>
      <c r="U438" s="66"/>
      <c r="V438" s="66">
        <f t="shared" si="432"/>
        <v>0</v>
      </c>
      <c r="W438" s="66"/>
      <c r="X438" s="66">
        <v>0</v>
      </c>
      <c r="Y438" s="66">
        <v>0</v>
      </c>
      <c r="Z438" s="66">
        <v>0</v>
      </c>
      <c r="AA438" s="66"/>
      <c r="AB438" s="66">
        <f t="shared" si="433"/>
        <v>29892.910000000003</v>
      </c>
      <c r="AC438" s="66"/>
      <c r="AD438" s="66">
        <v>28398.240000000002</v>
      </c>
      <c r="AE438" s="66">
        <v>0</v>
      </c>
      <c r="AF438" s="66">
        <v>1494.67</v>
      </c>
      <c r="AG438" s="66"/>
      <c r="AH438" s="66">
        <f t="shared" si="434"/>
        <v>0</v>
      </c>
      <c r="AI438" s="66"/>
      <c r="AJ438" s="66">
        <v>0</v>
      </c>
      <c r="AK438" s="66">
        <v>0</v>
      </c>
      <c r="AL438" s="66">
        <v>0</v>
      </c>
      <c r="AM438" s="66"/>
      <c r="AN438" s="66">
        <f t="shared" si="435"/>
        <v>0</v>
      </c>
      <c r="AO438" s="66"/>
      <c r="AP438" s="66">
        <v>0</v>
      </c>
      <c r="AQ438" s="66">
        <v>0</v>
      </c>
      <c r="AR438" s="66">
        <v>0</v>
      </c>
      <c r="AS438" s="66"/>
      <c r="AT438" s="66">
        <f t="shared" si="436"/>
        <v>0</v>
      </c>
      <c r="AU438" s="66"/>
      <c r="AV438" s="66">
        <v>0</v>
      </c>
      <c r="AW438" s="66">
        <v>0</v>
      </c>
      <c r="AX438" s="66">
        <v>0</v>
      </c>
      <c r="AY438" s="66"/>
      <c r="AZ438" s="66">
        <f t="shared" si="437"/>
        <v>0</v>
      </c>
      <c r="BA438" s="66"/>
      <c r="BB438" s="66">
        <v>0</v>
      </c>
      <c r="BC438" s="66">
        <v>0</v>
      </c>
      <c r="BD438" s="66">
        <v>0</v>
      </c>
      <c r="BE438" s="66"/>
      <c r="BF438" s="66"/>
      <c r="BG438" s="66"/>
      <c r="BH438" s="66"/>
      <c r="BI438" s="66"/>
      <c r="BJ438" s="66"/>
      <c r="BK438" s="66"/>
      <c r="BL438" s="20"/>
    </row>
    <row r="439" spans="1:64" ht="144" x14ac:dyDescent="0.2">
      <c r="A439" s="69">
        <v>435</v>
      </c>
      <c r="B439" s="64" t="str">
        <f ca="1">IFERROR(__xludf.DUMMYFUNCTION("""COMPUTED_VALUE"""),"г.о. Звездный городок")</f>
        <v>г.о. Звездный городок</v>
      </c>
      <c r="C439"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39" s="47" t="str">
        <f ca="1">IFERROR(__xludf.DUMMYFUNCTION("""COMPUTED_VALUE"""),"МинЖКХ")</f>
        <v>МинЖКХ</v>
      </c>
      <c r="E439" s="65" t="s">
        <v>467</v>
      </c>
      <c r="F439" s="68" t="str">
        <f ca="1">IFERROR(__xludf.DUMMYFUNCTION("""COMPUTED_VALUE"""),"Сети")</f>
        <v>Сети</v>
      </c>
      <c r="G439" s="68" t="str">
        <f ca="1">IFERROR(__xludf.DUMMYFUNCTION("""COMPUTED_VALUE"""),"2018-2019")</f>
        <v>2018-2019</v>
      </c>
      <c r="H439" s="48"/>
      <c r="I439" s="48"/>
      <c r="J439" s="48"/>
      <c r="K439" s="48"/>
      <c r="L439" s="48"/>
      <c r="M439" s="48"/>
      <c r="N439" s="48"/>
      <c r="O439" s="48"/>
      <c r="P439" s="66">
        <f t="shared" si="428"/>
        <v>31009.13</v>
      </c>
      <c r="Q439" s="66"/>
      <c r="R439" s="66">
        <f t="shared" si="429"/>
        <v>29458.68</v>
      </c>
      <c r="S439" s="66">
        <f t="shared" si="430"/>
        <v>0</v>
      </c>
      <c r="T439" s="66">
        <f t="shared" si="431"/>
        <v>1550.45</v>
      </c>
      <c r="U439" s="66"/>
      <c r="V439" s="66">
        <f t="shared" si="432"/>
        <v>27125</v>
      </c>
      <c r="W439" s="66"/>
      <c r="X439" s="66">
        <v>25768.76</v>
      </c>
      <c r="Y439" s="66">
        <v>0</v>
      </c>
      <c r="Z439" s="66">
        <v>1356.24</v>
      </c>
      <c r="AA439" s="66"/>
      <c r="AB439" s="66">
        <f t="shared" si="433"/>
        <v>3884.13</v>
      </c>
      <c r="AC439" s="66"/>
      <c r="AD439" s="66">
        <v>3689.92</v>
      </c>
      <c r="AE439" s="66">
        <v>0</v>
      </c>
      <c r="AF439" s="66">
        <v>194.21</v>
      </c>
      <c r="AG439" s="66"/>
      <c r="AH439" s="66">
        <f t="shared" si="434"/>
        <v>0</v>
      </c>
      <c r="AI439" s="66"/>
      <c r="AJ439" s="66">
        <v>0</v>
      </c>
      <c r="AK439" s="66">
        <v>0</v>
      </c>
      <c r="AL439" s="66">
        <v>0</v>
      </c>
      <c r="AM439" s="66"/>
      <c r="AN439" s="66">
        <f t="shared" si="435"/>
        <v>0</v>
      </c>
      <c r="AO439" s="66"/>
      <c r="AP439" s="66">
        <v>0</v>
      </c>
      <c r="AQ439" s="66">
        <v>0</v>
      </c>
      <c r="AR439" s="66">
        <v>0</v>
      </c>
      <c r="AS439" s="66"/>
      <c r="AT439" s="66">
        <f t="shared" si="436"/>
        <v>0</v>
      </c>
      <c r="AU439" s="66"/>
      <c r="AV439" s="66">
        <v>0</v>
      </c>
      <c r="AW439" s="66">
        <v>0</v>
      </c>
      <c r="AX439" s="66">
        <v>0</v>
      </c>
      <c r="AY439" s="66"/>
      <c r="AZ439" s="66">
        <f t="shared" si="437"/>
        <v>0</v>
      </c>
      <c r="BA439" s="66"/>
      <c r="BB439" s="66">
        <v>0</v>
      </c>
      <c r="BC439" s="66">
        <v>0</v>
      </c>
      <c r="BD439" s="66">
        <v>0</v>
      </c>
      <c r="BE439" s="66"/>
      <c r="BF439" s="66"/>
      <c r="BG439" s="66"/>
      <c r="BH439" s="66"/>
      <c r="BI439" s="66"/>
      <c r="BJ439" s="66"/>
      <c r="BK439" s="66"/>
      <c r="BL439" s="20"/>
    </row>
    <row r="440" spans="1:64" ht="144" x14ac:dyDescent="0.2">
      <c r="A440" s="69">
        <v>436</v>
      </c>
      <c r="B440" s="64" t="str">
        <f ca="1">IFERROR(__xludf.DUMMYFUNCTION("""COMPUTED_VALUE"""),"г.о. Клин")</f>
        <v>г.о. Клин</v>
      </c>
      <c r="C440"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0" s="47" t="str">
        <f ca="1">IFERROR(__xludf.DUMMYFUNCTION("""COMPUTED_VALUE"""),"МинЖКХ ")</f>
        <v xml:space="preserve">МинЖКХ </v>
      </c>
      <c r="E440" s="65" t="s">
        <v>468</v>
      </c>
      <c r="F440" s="68" t="str">
        <f ca="1">IFERROR(__xludf.DUMMYFUNCTION("""COMPUTED_VALUE"""),"ВЗУ")</f>
        <v>ВЗУ</v>
      </c>
      <c r="G440" s="68">
        <f ca="1">IFERROR(__xludf.DUMMYFUNCTION("""COMPUTED_VALUE"""),2019)</f>
        <v>2019</v>
      </c>
      <c r="H440" s="48"/>
      <c r="I440" s="48"/>
      <c r="J440" s="48"/>
      <c r="K440" s="48"/>
      <c r="L440" s="48"/>
      <c r="M440" s="48"/>
      <c r="N440" s="48"/>
      <c r="O440" s="48"/>
      <c r="P440" s="66">
        <f t="shared" si="428"/>
        <v>9849.4699999999993</v>
      </c>
      <c r="Q440" s="66"/>
      <c r="R440" s="66">
        <f t="shared" si="429"/>
        <v>9310</v>
      </c>
      <c r="S440" s="66">
        <f t="shared" si="430"/>
        <v>0</v>
      </c>
      <c r="T440" s="66">
        <f t="shared" si="431"/>
        <v>539.47</v>
      </c>
      <c r="U440" s="66"/>
      <c r="V440" s="66">
        <f t="shared" si="432"/>
        <v>0</v>
      </c>
      <c r="W440" s="66"/>
      <c r="X440" s="66">
        <v>0</v>
      </c>
      <c r="Y440" s="66">
        <v>0</v>
      </c>
      <c r="Z440" s="66">
        <v>0</v>
      </c>
      <c r="AA440" s="66"/>
      <c r="AB440" s="66">
        <f t="shared" si="433"/>
        <v>9849.4699999999993</v>
      </c>
      <c r="AC440" s="66"/>
      <c r="AD440" s="66">
        <v>9310</v>
      </c>
      <c r="AE440" s="66">
        <v>0</v>
      </c>
      <c r="AF440" s="66">
        <v>539.47</v>
      </c>
      <c r="AG440" s="66"/>
      <c r="AH440" s="66">
        <f t="shared" si="434"/>
        <v>0</v>
      </c>
      <c r="AI440" s="66"/>
      <c r="AJ440" s="66">
        <v>0</v>
      </c>
      <c r="AK440" s="66">
        <v>0</v>
      </c>
      <c r="AL440" s="66">
        <v>0</v>
      </c>
      <c r="AM440" s="66"/>
      <c r="AN440" s="66">
        <f t="shared" si="435"/>
        <v>0</v>
      </c>
      <c r="AO440" s="66"/>
      <c r="AP440" s="66">
        <v>0</v>
      </c>
      <c r="AQ440" s="66">
        <v>0</v>
      </c>
      <c r="AR440" s="66">
        <v>0</v>
      </c>
      <c r="AS440" s="66"/>
      <c r="AT440" s="66">
        <f t="shared" si="436"/>
        <v>0</v>
      </c>
      <c r="AU440" s="66"/>
      <c r="AV440" s="66">
        <v>0</v>
      </c>
      <c r="AW440" s="66">
        <v>0</v>
      </c>
      <c r="AX440" s="66">
        <v>0</v>
      </c>
      <c r="AY440" s="66"/>
      <c r="AZ440" s="66">
        <f t="shared" si="437"/>
        <v>0</v>
      </c>
      <c r="BA440" s="66"/>
      <c r="BB440" s="66">
        <v>0</v>
      </c>
      <c r="BC440" s="66">
        <v>0</v>
      </c>
      <c r="BD440" s="66">
        <v>0</v>
      </c>
      <c r="BE440" s="66"/>
      <c r="BF440" s="66"/>
      <c r="BG440" s="66"/>
      <c r="BH440" s="66"/>
      <c r="BI440" s="66"/>
      <c r="BJ440" s="66"/>
      <c r="BK440" s="66"/>
      <c r="BL440" s="20"/>
    </row>
    <row r="441" spans="1:64" ht="132" x14ac:dyDescent="0.2">
      <c r="A441" s="69">
        <v>437</v>
      </c>
      <c r="B441" s="64" t="str">
        <f ca="1">IFERROR(__xludf.DUMMYFUNCTION("""COMPUTED_VALUE"""),"г.о. Коломенский")</f>
        <v>г.о. Коломенский</v>
      </c>
      <c r="C441"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1" s="47" t="str">
        <f ca="1">IFERROR(__xludf.DUMMYFUNCTION("""COMPUTED_VALUE"""),"МинЖКХ ")</f>
        <v xml:space="preserve">МинЖКХ </v>
      </c>
      <c r="E441" s="65" t="s">
        <v>469</v>
      </c>
      <c r="F441" s="83" t="str">
        <f ca="1">IFERROR(__xludf.DUMMYFUNCTION("""COMPUTED_VALUE"""),"БМК")</f>
        <v>БМК</v>
      </c>
      <c r="G441" s="83" t="str">
        <f ca="1">IFERROR(__xludf.DUMMYFUNCTION("""COMPUTED_VALUE"""),"2020-2022")</f>
        <v>2020-2022</v>
      </c>
      <c r="H441" s="48" t="str">
        <f ca="1">IFERROR(__xludf.DUMMYFUNCTION("""COMPUTED_VALUE"""),"Проект разработан, получено положительное заключение 
ГАУ МО ""Мособлэкспертиза"" № 50-1-1-3-0636-20 от 02.04.2020. 
Муниципальный контракт на ПИР оплачен полностью. 
 Перенос лимитов финансирования СМР на 2022 год
07.10.2020 был направлен запрос на доп.ф"&amp;"инансирование, письмо №115исх-10414/2020")</f>
        <v>Проект разработан, получено положительное заключение 
ГАУ МО "Мособлэкспертиза" № 50-1-1-3-0636-20 от 02.04.2020. 
Муниципальный контракт на ПИР оплачен полностью. 
 Перенос лимитов финансирования СМР на 2022 год
07.10.2020 был направлен запрос на доп.финансирование, письмо №115исх-10414/2020</v>
      </c>
      <c r="I441" s="47" t="str">
        <f ca="1">IFERROR(__xludf.DUMMYFUNCTION("""COMPUTED_VALUE"""),"ПИР")</f>
        <v>ПИР</v>
      </c>
      <c r="J441" s="48">
        <f ca="1">IFERROR(__xludf.DUMMYFUNCTION("""COMPUTED_VALUE"""),100)</f>
        <v>100</v>
      </c>
      <c r="K441" s="48">
        <f ca="1">IFERROR(__xludf.DUMMYFUNCTION("""COMPUTED_VALUE"""),1935)</f>
        <v>1935</v>
      </c>
      <c r="L441" s="48">
        <f ca="1">IFERROR(__xludf.DUMMYFUNCTION("""COMPUTED_VALUE"""),1935)</f>
        <v>1935</v>
      </c>
      <c r="M441" s="48"/>
      <c r="N441" s="48"/>
      <c r="O441" s="48"/>
      <c r="P441" s="66">
        <f t="shared" si="428"/>
        <v>77635.679999999993</v>
      </c>
      <c r="Q441" s="66"/>
      <c r="R441" s="66">
        <f t="shared" si="429"/>
        <v>70001.149999999994</v>
      </c>
      <c r="S441" s="66">
        <f t="shared" si="430"/>
        <v>3752.5</v>
      </c>
      <c r="T441" s="66">
        <f t="shared" si="431"/>
        <v>3882.0299999999997</v>
      </c>
      <c r="U441" s="66"/>
      <c r="V441" s="66">
        <f t="shared" si="432"/>
        <v>0</v>
      </c>
      <c r="W441" s="66"/>
      <c r="X441" s="66">
        <v>0</v>
      </c>
      <c r="Y441" s="66">
        <v>0</v>
      </c>
      <c r="Z441" s="66">
        <v>0</v>
      </c>
      <c r="AA441" s="66"/>
      <c r="AB441" s="66">
        <f t="shared" si="433"/>
        <v>0</v>
      </c>
      <c r="AC441" s="66"/>
      <c r="AD441" s="66">
        <v>0</v>
      </c>
      <c r="AE441" s="66">
        <v>0</v>
      </c>
      <c r="AF441" s="66">
        <v>0</v>
      </c>
      <c r="AG441" s="66"/>
      <c r="AH441" s="66">
        <f t="shared" si="434"/>
        <v>3950</v>
      </c>
      <c r="AI441" s="66"/>
      <c r="AJ441" s="66">
        <v>0</v>
      </c>
      <c r="AK441" s="66">
        <v>3752.5</v>
      </c>
      <c r="AL441" s="66">
        <v>197.5</v>
      </c>
      <c r="AM441" s="66"/>
      <c r="AN441" s="66">
        <f t="shared" si="435"/>
        <v>33685.53</v>
      </c>
      <c r="AO441" s="66"/>
      <c r="AP441" s="66">
        <v>32001</v>
      </c>
      <c r="AQ441" s="66">
        <v>0</v>
      </c>
      <c r="AR441" s="66">
        <v>1684.53</v>
      </c>
      <c r="AS441" s="66"/>
      <c r="AT441" s="66">
        <f t="shared" si="436"/>
        <v>40000.15</v>
      </c>
      <c r="AU441" s="66"/>
      <c r="AV441" s="66">
        <v>38000.15</v>
      </c>
      <c r="AW441" s="66">
        <v>0</v>
      </c>
      <c r="AX441" s="66">
        <v>2000</v>
      </c>
      <c r="AY441" s="66"/>
      <c r="AZ441" s="66">
        <f t="shared" si="437"/>
        <v>0</v>
      </c>
      <c r="BA441" s="66"/>
      <c r="BB441" s="66">
        <v>0</v>
      </c>
      <c r="BC441" s="66">
        <v>0</v>
      </c>
      <c r="BD441" s="66">
        <v>0</v>
      </c>
      <c r="BE441" s="66"/>
      <c r="BF441" s="66"/>
      <c r="BG441" s="66"/>
      <c r="BH441" s="66"/>
      <c r="BI441" s="66"/>
      <c r="BJ441" s="66"/>
      <c r="BK441" s="66"/>
      <c r="BL441" s="20"/>
    </row>
    <row r="442" spans="1:64" ht="108" x14ac:dyDescent="0.2">
      <c r="A442" s="69">
        <v>438</v>
      </c>
      <c r="B442" s="64" t="str">
        <f ca="1">IFERROR(__xludf.DUMMYFUNCTION("""COMPUTED_VALUE"""),"г.о. Орехово-Зуево")</f>
        <v>г.о. Орехово-Зуево</v>
      </c>
      <c r="C442"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2" s="47" t="str">
        <f ca="1">IFERROR(__xludf.DUMMYFUNCTION("""COMPUTED_VALUE"""),"МинЖКХ ")</f>
        <v xml:space="preserve">МинЖКХ </v>
      </c>
      <c r="E442" s="65" t="s">
        <v>470</v>
      </c>
      <c r="F442" s="68" t="str">
        <f ca="1">IFERROR(__xludf.DUMMYFUNCTION("""COMPUTED_VALUE"""),"ВЗУ")</f>
        <v>ВЗУ</v>
      </c>
      <c r="G442" s="68">
        <f ca="1">IFERROR(__xludf.DUMMYFUNCTION("""COMPUTED_VALUE"""),2023)</f>
        <v>2023</v>
      </c>
      <c r="H442" s="48" t="str">
        <f ca="1">IFERROR(__xludf.DUMMYFUNCTION("""COMPUTED_VALUE"""),"Ведутся работы по оформлению земельного 
участка. 
 В бюджетной заявке ГРБС на 2020 год учтен перенос 
лимитов финансирования на 2023 год")</f>
        <v>Ведутся работы по оформлению земельного 
участка. 
 В бюджетной заявке ГРБС на 2020 год учтен перенос 
лимитов финансирования на 2023 год</v>
      </c>
      <c r="I442" s="48"/>
      <c r="J442" s="48">
        <f ca="1">IFERROR(__xludf.DUMMYFUNCTION("""COMPUTED_VALUE"""),0)</f>
        <v>0</v>
      </c>
      <c r="K442" s="48">
        <f ca="1">IFERROR(__xludf.DUMMYFUNCTION("""COMPUTED_VALUE"""),75)</f>
        <v>75</v>
      </c>
      <c r="L442" s="48">
        <f ca="1">IFERROR(__xludf.DUMMYFUNCTION("""COMPUTED_VALUE"""),75)</f>
        <v>75</v>
      </c>
      <c r="M442" s="48"/>
      <c r="N442" s="48"/>
      <c r="O442" s="48"/>
      <c r="P442" s="66">
        <f t="shared" si="428"/>
        <v>3500</v>
      </c>
      <c r="Q442" s="66"/>
      <c r="R442" s="66">
        <f t="shared" si="429"/>
        <v>3325</v>
      </c>
      <c r="S442" s="66">
        <f t="shared" si="430"/>
        <v>0</v>
      </c>
      <c r="T442" s="66">
        <f t="shared" si="431"/>
        <v>175</v>
      </c>
      <c r="U442" s="66"/>
      <c r="V442" s="66">
        <f t="shared" si="432"/>
        <v>0</v>
      </c>
      <c r="W442" s="66"/>
      <c r="X442" s="66">
        <v>0</v>
      </c>
      <c r="Y442" s="66">
        <v>0</v>
      </c>
      <c r="Z442" s="66">
        <v>0</v>
      </c>
      <c r="AA442" s="66"/>
      <c r="AB442" s="66">
        <f t="shared" si="433"/>
        <v>0</v>
      </c>
      <c r="AC442" s="66"/>
      <c r="AD442" s="66">
        <v>0</v>
      </c>
      <c r="AE442" s="66">
        <v>0</v>
      </c>
      <c r="AF442" s="66">
        <v>0</v>
      </c>
      <c r="AG442" s="66"/>
      <c r="AH442" s="66">
        <f t="shared" si="434"/>
        <v>0</v>
      </c>
      <c r="AI442" s="66"/>
      <c r="AJ442" s="66">
        <v>0</v>
      </c>
      <c r="AK442" s="66">
        <v>0</v>
      </c>
      <c r="AL442" s="66">
        <v>0</v>
      </c>
      <c r="AM442" s="66"/>
      <c r="AN442" s="66">
        <f t="shared" si="435"/>
        <v>0</v>
      </c>
      <c r="AO442" s="66"/>
      <c r="AP442" s="66">
        <v>0</v>
      </c>
      <c r="AQ442" s="66">
        <v>0</v>
      </c>
      <c r="AR442" s="66">
        <v>0</v>
      </c>
      <c r="AS442" s="66"/>
      <c r="AT442" s="66">
        <f t="shared" si="436"/>
        <v>0</v>
      </c>
      <c r="AU442" s="66"/>
      <c r="AV442" s="66">
        <v>0</v>
      </c>
      <c r="AW442" s="66">
        <v>0</v>
      </c>
      <c r="AX442" s="66">
        <v>0</v>
      </c>
      <c r="AY442" s="66"/>
      <c r="AZ442" s="66">
        <f t="shared" si="437"/>
        <v>3500</v>
      </c>
      <c r="BA442" s="66"/>
      <c r="BB442" s="66">
        <v>3325</v>
      </c>
      <c r="BC442" s="66">
        <v>0</v>
      </c>
      <c r="BD442" s="66">
        <v>175</v>
      </c>
      <c r="BE442" s="66"/>
      <c r="BF442" s="66"/>
      <c r="BG442" s="66"/>
      <c r="BH442" s="66"/>
      <c r="BI442" s="66"/>
      <c r="BJ442" s="66"/>
      <c r="BK442" s="66"/>
      <c r="BL442" s="20"/>
    </row>
    <row r="443" spans="1:64" ht="144" x14ac:dyDescent="0.2">
      <c r="A443" s="69">
        <v>439</v>
      </c>
      <c r="B443" s="64" t="str">
        <f ca="1">IFERROR(__xludf.DUMMYFUNCTION("""COMPUTED_VALUE"""),"г.о. Краснознаменск")</f>
        <v>г.о. Краснознаменск</v>
      </c>
      <c r="C443"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3" s="47" t="str">
        <f ca="1">IFERROR(__xludf.DUMMYFUNCTION("""COMPUTED_VALUE"""),"Минкульт")</f>
        <v>Минкульт</v>
      </c>
      <c r="E443" s="65" t="s">
        <v>471</v>
      </c>
      <c r="F443" s="68"/>
      <c r="G443" s="68" t="str">
        <f ca="1">IFERROR(__xludf.DUMMYFUNCTION("""COMPUTED_VALUE"""),"2017-2020")</f>
        <v>2017-2020</v>
      </c>
      <c r="H443" s="48"/>
      <c r="I443" s="48"/>
      <c r="J443" s="48"/>
      <c r="K443" s="48"/>
      <c r="L443" s="48"/>
      <c r="M443" s="48"/>
      <c r="N443" s="48"/>
      <c r="O443" s="48"/>
      <c r="P443" s="66">
        <f t="shared" si="428"/>
        <v>209878.69</v>
      </c>
      <c r="Q443" s="66"/>
      <c r="R443" s="66">
        <f t="shared" si="429"/>
        <v>197428.76</v>
      </c>
      <c r="S443" s="66">
        <f t="shared" si="430"/>
        <v>1562.63</v>
      </c>
      <c r="T443" s="66">
        <f t="shared" si="431"/>
        <v>10887.3</v>
      </c>
      <c r="U443" s="66"/>
      <c r="V443" s="66">
        <f t="shared" si="432"/>
        <v>94742.86</v>
      </c>
      <c r="W443" s="66"/>
      <c r="X443" s="66">
        <v>89534.26</v>
      </c>
      <c r="Y443" s="66">
        <v>0</v>
      </c>
      <c r="Z443" s="66">
        <v>5208.6000000000004</v>
      </c>
      <c r="AA443" s="66"/>
      <c r="AB443" s="66">
        <f t="shared" si="433"/>
        <v>112010.57</v>
      </c>
      <c r="AC443" s="66"/>
      <c r="AD443" s="66">
        <v>106410</v>
      </c>
      <c r="AE443" s="66">
        <v>0</v>
      </c>
      <c r="AF443" s="66">
        <v>5600.57</v>
      </c>
      <c r="AG443" s="66"/>
      <c r="AH443" s="66">
        <f t="shared" si="434"/>
        <v>3125.26</v>
      </c>
      <c r="AI443" s="66"/>
      <c r="AJ443" s="66">
        <v>1484.5</v>
      </c>
      <c r="AK443" s="66">
        <v>1562.63</v>
      </c>
      <c r="AL443" s="66">
        <v>78.13</v>
      </c>
      <c r="AM443" s="66"/>
      <c r="AN443" s="66">
        <f t="shared" si="435"/>
        <v>0</v>
      </c>
      <c r="AO443" s="66"/>
      <c r="AP443" s="66">
        <v>0</v>
      </c>
      <c r="AQ443" s="66">
        <v>0</v>
      </c>
      <c r="AR443" s="66">
        <v>0</v>
      </c>
      <c r="AS443" s="66"/>
      <c r="AT443" s="66">
        <f t="shared" si="436"/>
        <v>0</v>
      </c>
      <c r="AU443" s="66"/>
      <c r="AV443" s="66">
        <v>0</v>
      </c>
      <c r="AW443" s="66">
        <v>0</v>
      </c>
      <c r="AX443" s="66">
        <v>0</v>
      </c>
      <c r="AY443" s="66"/>
      <c r="AZ443" s="66">
        <f t="shared" si="437"/>
        <v>0</v>
      </c>
      <c r="BA443" s="66"/>
      <c r="BB443" s="66">
        <v>0</v>
      </c>
      <c r="BC443" s="66">
        <v>0</v>
      </c>
      <c r="BD443" s="66">
        <v>0</v>
      </c>
      <c r="BE443" s="66"/>
      <c r="BF443" s="66"/>
      <c r="BG443" s="66"/>
      <c r="BH443" s="66"/>
      <c r="BI443" s="66"/>
      <c r="BJ443" s="66"/>
      <c r="BK443" s="66"/>
      <c r="BL443" s="20"/>
    </row>
    <row r="444" spans="1:64" ht="144" x14ac:dyDescent="0.2">
      <c r="A444" s="69">
        <v>440</v>
      </c>
      <c r="B444" s="64" t="str">
        <f ca="1">IFERROR(__xludf.DUMMYFUNCTION("""COMPUTED_VALUE"""),"г.о. Одинцово")</f>
        <v>г.о. Одинцово</v>
      </c>
      <c r="C444"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4" s="47" t="str">
        <f ca="1">IFERROR(__xludf.DUMMYFUNCTION("""COMPUTED_VALUE"""),"Минобр")</f>
        <v>Минобр</v>
      </c>
      <c r="E444" s="65" t="s">
        <v>472</v>
      </c>
      <c r="F444" s="68"/>
      <c r="G444" s="68">
        <f ca="1">IFERROR(__xludf.DUMMYFUNCTION("""COMPUTED_VALUE"""),2020)</f>
        <v>2020</v>
      </c>
      <c r="H444" s="48"/>
      <c r="I444" s="47" t="str">
        <f ca="1">IFERROR(__xludf.DUMMYFUNCTION("""COMPUTED_VALUE"""),"Вып")</f>
        <v>Вып</v>
      </c>
      <c r="J444" s="48"/>
      <c r="K444" s="48"/>
      <c r="L444" s="48"/>
      <c r="M444" s="48"/>
      <c r="N444" s="48"/>
      <c r="O444" s="48"/>
      <c r="P444" s="66">
        <f t="shared" si="428"/>
        <v>149508</v>
      </c>
      <c r="Q444" s="66"/>
      <c r="R444" s="66">
        <f t="shared" si="429"/>
        <v>142032</v>
      </c>
      <c r="S444" s="66">
        <f t="shared" si="430"/>
        <v>0</v>
      </c>
      <c r="T444" s="66">
        <f t="shared" si="431"/>
        <v>7476</v>
      </c>
      <c r="U444" s="66"/>
      <c r="V444" s="66">
        <f t="shared" si="432"/>
        <v>0</v>
      </c>
      <c r="W444" s="66"/>
      <c r="X444" s="66">
        <v>0</v>
      </c>
      <c r="Y444" s="66">
        <v>0</v>
      </c>
      <c r="Z444" s="66">
        <v>0</v>
      </c>
      <c r="AA444" s="66"/>
      <c r="AB444" s="66">
        <f t="shared" si="433"/>
        <v>0</v>
      </c>
      <c r="AC444" s="66"/>
      <c r="AD444" s="66">
        <v>0</v>
      </c>
      <c r="AE444" s="66">
        <v>0</v>
      </c>
      <c r="AF444" s="66">
        <v>0</v>
      </c>
      <c r="AG444" s="66"/>
      <c r="AH444" s="66">
        <f t="shared" si="434"/>
        <v>149508</v>
      </c>
      <c r="AI444" s="66"/>
      <c r="AJ444" s="66">
        <v>142032</v>
      </c>
      <c r="AK444" s="66">
        <v>0</v>
      </c>
      <c r="AL444" s="66">
        <v>7476</v>
      </c>
      <c r="AM444" s="66"/>
      <c r="AN444" s="66">
        <f t="shared" si="435"/>
        <v>0</v>
      </c>
      <c r="AO444" s="66"/>
      <c r="AP444" s="66">
        <v>0</v>
      </c>
      <c r="AQ444" s="66">
        <v>0</v>
      </c>
      <c r="AR444" s="66">
        <v>0</v>
      </c>
      <c r="AS444" s="66"/>
      <c r="AT444" s="66">
        <f t="shared" si="436"/>
        <v>0</v>
      </c>
      <c r="AU444" s="66"/>
      <c r="AV444" s="66">
        <v>0</v>
      </c>
      <c r="AW444" s="66">
        <v>0</v>
      </c>
      <c r="AX444" s="66">
        <v>0</v>
      </c>
      <c r="AY444" s="66"/>
      <c r="AZ444" s="66">
        <f t="shared" si="437"/>
        <v>0</v>
      </c>
      <c r="BA444" s="66"/>
      <c r="BB444" s="66">
        <v>0</v>
      </c>
      <c r="BC444" s="66">
        <v>0</v>
      </c>
      <c r="BD444" s="66">
        <v>0</v>
      </c>
      <c r="BE444" s="66"/>
      <c r="BF444" s="66"/>
      <c r="BG444" s="66"/>
      <c r="BH444" s="66"/>
      <c r="BI444" s="66"/>
      <c r="BJ444" s="66"/>
      <c r="BK444" s="66"/>
      <c r="BL444" s="20"/>
    </row>
    <row r="445" spans="1:64" ht="144" x14ac:dyDescent="0.2">
      <c r="A445" s="69">
        <v>441</v>
      </c>
      <c r="B445" s="64" t="str">
        <f ca="1">IFERROR(__xludf.DUMMYFUNCTION("""COMPUTED_VALUE"""),"г.о. Одинцово")</f>
        <v>г.о. Одинцово</v>
      </c>
      <c r="C445"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5" s="47" t="str">
        <f ca="1">IFERROR(__xludf.DUMMYFUNCTION("""COMPUTED_VALUE"""),"Минобр")</f>
        <v>Минобр</v>
      </c>
      <c r="E445" s="65" t="s">
        <v>473</v>
      </c>
      <c r="F445" s="68"/>
      <c r="G445" s="68" t="str">
        <f ca="1">IFERROR(__xludf.DUMMYFUNCTION("""COMPUTED_VALUE"""),"2019-2020")</f>
        <v>2019-2020</v>
      </c>
      <c r="H445" s="48" t="str">
        <f ca="1">IFERROR(__xludf.DUMMYFUNCTION("""COMPUTED_VALUE"""),"открыты")</f>
        <v>открыты</v>
      </c>
      <c r="I445" s="47" t="str">
        <f ca="1">IFERROR(__xludf.DUMMYFUNCTION("""COMPUTED_VALUE"""),"Вып")</f>
        <v>Вып</v>
      </c>
      <c r="J445" s="48"/>
      <c r="K445" s="48"/>
      <c r="L445" s="48"/>
      <c r="M445" s="48"/>
      <c r="N445" s="48"/>
      <c r="O445" s="48"/>
      <c r="P445" s="66">
        <f t="shared" si="428"/>
        <v>307330.99</v>
      </c>
      <c r="Q445" s="66"/>
      <c r="R445" s="66">
        <f t="shared" si="429"/>
        <v>276596.99</v>
      </c>
      <c r="S445" s="66">
        <f t="shared" si="430"/>
        <v>0</v>
      </c>
      <c r="T445" s="66">
        <f t="shared" si="431"/>
        <v>30734</v>
      </c>
      <c r="U445" s="66"/>
      <c r="V445" s="66">
        <f t="shared" si="432"/>
        <v>0</v>
      </c>
      <c r="W445" s="66"/>
      <c r="X445" s="66">
        <v>0</v>
      </c>
      <c r="Y445" s="66">
        <v>0</v>
      </c>
      <c r="Z445" s="66">
        <v>0</v>
      </c>
      <c r="AA445" s="66"/>
      <c r="AB445" s="66">
        <f t="shared" si="433"/>
        <v>79089.990000000005</v>
      </c>
      <c r="AC445" s="66"/>
      <c r="AD445" s="66">
        <v>71180.990000000005</v>
      </c>
      <c r="AE445" s="66">
        <v>0</v>
      </c>
      <c r="AF445" s="66">
        <v>7909</v>
      </c>
      <c r="AG445" s="66"/>
      <c r="AH445" s="66">
        <f t="shared" si="434"/>
        <v>228241</v>
      </c>
      <c r="AI445" s="66"/>
      <c r="AJ445" s="66">
        <v>205416</v>
      </c>
      <c r="AK445" s="66">
        <v>0</v>
      </c>
      <c r="AL445" s="66">
        <v>22825</v>
      </c>
      <c r="AM445" s="66"/>
      <c r="AN445" s="66">
        <f t="shared" si="435"/>
        <v>0</v>
      </c>
      <c r="AO445" s="66"/>
      <c r="AP445" s="66">
        <v>0</v>
      </c>
      <c r="AQ445" s="66">
        <v>0</v>
      </c>
      <c r="AR445" s="66">
        <v>0</v>
      </c>
      <c r="AS445" s="66"/>
      <c r="AT445" s="66">
        <f t="shared" si="436"/>
        <v>0</v>
      </c>
      <c r="AU445" s="66"/>
      <c r="AV445" s="66">
        <v>0</v>
      </c>
      <c r="AW445" s="66">
        <v>0</v>
      </c>
      <c r="AX445" s="66">
        <v>0</v>
      </c>
      <c r="AY445" s="66"/>
      <c r="AZ445" s="66">
        <f t="shared" si="437"/>
        <v>0</v>
      </c>
      <c r="BA445" s="66"/>
      <c r="BB445" s="66">
        <v>0</v>
      </c>
      <c r="BC445" s="66">
        <v>0</v>
      </c>
      <c r="BD445" s="66">
        <v>0</v>
      </c>
      <c r="BE445" s="66"/>
      <c r="BF445" s="66"/>
      <c r="BG445" s="66"/>
      <c r="BH445" s="66"/>
      <c r="BI445" s="66"/>
      <c r="BJ445" s="66"/>
      <c r="BK445" s="66"/>
      <c r="BL445" s="20"/>
    </row>
    <row r="446" spans="1:64" ht="144" x14ac:dyDescent="0.2">
      <c r="A446" s="69">
        <v>442</v>
      </c>
      <c r="B446" s="64" t="str">
        <f ca="1">IFERROR(__xludf.DUMMYFUNCTION("""COMPUTED_VALUE"""),"г.о. Орехово-Зуево")</f>
        <v>г.о. Орехово-Зуево</v>
      </c>
      <c r="C446"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6" s="47" t="str">
        <f ca="1">IFERROR(__xludf.DUMMYFUNCTION("""COMPUTED_VALUE"""),"МинЖКХ ")</f>
        <v xml:space="preserve">МинЖКХ </v>
      </c>
      <c r="E446" s="65" t="s">
        <v>474</v>
      </c>
      <c r="F446" s="68" t="str">
        <f ca="1">IFERROR(__xludf.DUMMYFUNCTION("""COMPUTED_VALUE"""),"ОС")</f>
        <v>ОС</v>
      </c>
      <c r="G446" s="68">
        <f ca="1">IFERROR(__xludf.DUMMYFUNCTION("""COMPUTED_VALUE"""),2023)</f>
        <v>2023</v>
      </c>
      <c r="H446" s="48" t="str">
        <f ca="1">IFERROR(__xludf.DUMMYFUNCTION("""COMPUTED_VALUE"""),"Выполнение мероприятия переностится с 2021 года на 2023 год в соответствии с выпиской из проекта постановления Правительства МО ""О внесении изменений в госудаственную программу Московской области ""Развитие инженерной инфраструктуры и энергоэффективности"&amp;""" на 2018-2024 годы"". Объем финансирования в 2023 году составит 4995,24 тыс.руб, в том числе БМО - 4745,00 тыс.руб., бюджет ОМСУ - 250,24 тыс.руб.")</f>
        <v>Выполнение мероприятия переностится с 2021 года на 2023 год в соответствии с выпиской из проекта постановления Правительства МО "О внесении изменений в госудаственную программу Московской области "Развитие инженерной инфраструктуры и энергоэффективности" на 2018-2024 годы". Объем финансирования в 2023 году составит 4995,24 тыс.руб, в том числе БМО - 4745,00 тыс.руб., бюджет ОМСУ - 250,24 тыс.руб.</v>
      </c>
      <c r="I446" s="48"/>
      <c r="J446" s="48">
        <f ca="1">IFERROR(__xludf.DUMMYFUNCTION("""COMPUTED_VALUE"""),0)</f>
        <v>0</v>
      </c>
      <c r="K446" s="48">
        <f ca="1">IFERROR(__xludf.DUMMYFUNCTION("""COMPUTED_VALUE"""),75)</f>
        <v>75</v>
      </c>
      <c r="L446" s="48">
        <f ca="1">IFERROR(__xludf.DUMMYFUNCTION("""COMPUTED_VALUE"""),75)</f>
        <v>75</v>
      </c>
      <c r="M446" s="48"/>
      <c r="N446" s="48"/>
      <c r="O446" s="48"/>
      <c r="P446" s="66">
        <f t="shared" si="428"/>
        <v>4995.24</v>
      </c>
      <c r="Q446" s="66"/>
      <c r="R446" s="66">
        <f t="shared" si="429"/>
        <v>4745</v>
      </c>
      <c r="S446" s="66">
        <f t="shared" si="430"/>
        <v>0</v>
      </c>
      <c r="T446" s="66">
        <f t="shared" si="431"/>
        <v>250.24</v>
      </c>
      <c r="U446" s="66"/>
      <c r="V446" s="66">
        <f t="shared" si="432"/>
        <v>0</v>
      </c>
      <c r="W446" s="66"/>
      <c r="X446" s="66">
        <v>0</v>
      </c>
      <c r="Y446" s="66">
        <v>0</v>
      </c>
      <c r="Z446" s="66">
        <v>0</v>
      </c>
      <c r="AA446" s="66"/>
      <c r="AB446" s="66">
        <f t="shared" si="433"/>
        <v>0</v>
      </c>
      <c r="AC446" s="66"/>
      <c r="AD446" s="66">
        <v>0</v>
      </c>
      <c r="AE446" s="66">
        <v>0</v>
      </c>
      <c r="AF446" s="66">
        <v>0</v>
      </c>
      <c r="AG446" s="66"/>
      <c r="AH446" s="66">
        <f t="shared" si="434"/>
        <v>0</v>
      </c>
      <c r="AI446" s="66"/>
      <c r="AJ446" s="66">
        <v>0</v>
      </c>
      <c r="AK446" s="66">
        <v>0</v>
      </c>
      <c r="AL446" s="66">
        <v>0</v>
      </c>
      <c r="AM446" s="66"/>
      <c r="AN446" s="66">
        <f t="shared" si="435"/>
        <v>0</v>
      </c>
      <c r="AO446" s="66"/>
      <c r="AP446" s="66">
        <v>0</v>
      </c>
      <c r="AQ446" s="66">
        <v>0</v>
      </c>
      <c r="AR446" s="66">
        <v>0</v>
      </c>
      <c r="AS446" s="66"/>
      <c r="AT446" s="66">
        <f t="shared" si="436"/>
        <v>0</v>
      </c>
      <c r="AU446" s="66"/>
      <c r="AV446" s="66">
        <v>0</v>
      </c>
      <c r="AW446" s="66">
        <v>0</v>
      </c>
      <c r="AX446" s="66">
        <v>0</v>
      </c>
      <c r="AY446" s="66"/>
      <c r="AZ446" s="66">
        <f t="shared" si="437"/>
        <v>4995.24</v>
      </c>
      <c r="BA446" s="66"/>
      <c r="BB446" s="66">
        <v>4745</v>
      </c>
      <c r="BC446" s="66">
        <v>0</v>
      </c>
      <c r="BD446" s="66">
        <v>250.24</v>
      </c>
      <c r="BE446" s="66"/>
      <c r="BF446" s="66"/>
      <c r="BG446" s="66"/>
      <c r="BH446" s="66"/>
      <c r="BI446" s="66"/>
      <c r="BJ446" s="66"/>
      <c r="BK446" s="66"/>
      <c r="BL446" s="20"/>
    </row>
    <row r="447" spans="1:64" ht="312" x14ac:dyDescent="0.2">
      <c r="A447" s="69">
        <v>443</v>
      </c>
      <c r="B447" s="64" t="str">
        <f ca="1">IFERROR(__xludf.DUMMYFUNCTION("""COMPUTED_VALUE"""),"г.о. Ступино")</f>
        <v>г.о. Ступино</v>
      </c>
      <c r="C447"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47" s="47" t="str">
        <f ca="1">IFERROR(__xludf.DUMMYFUNCTION("""COMPUTED_VALUE"""),"МинЖКХ ")</f>
        <v xml:space="preserve">МинЖКХ </v>
      </c>
      <c r="E447" s="65" t="s">
        <v>475</v>
      </c>
      <c r="F447" s="83" t="str">
        <f ca="1">IFERROR(__xludf.DUMMYFUNCTION("""COMPUTED_VALUE"""),"БМК")</f>
        <v>БМК</v>
      </c>
      <c r="G447" s="83" t="str">
        <f ca="1">IFERROR(__xludf.DUMMYFUNCTION("""COMPUTED_VALUE"""),"2020")</f>
        <v>2020</v>
      </c>
      <c r="H447" s="48" t="str">
        <f ca="1">IFERROR(__xludf.DUMMYFUNCTION("""COMPUTED_VALUE"""),"￼Календарным планом выполнения работ предусмотрено изготовление котельной с доставкой в течение 10 дней с момента заключения контракта и 40 дней на строительно-монтажные работы. Данные сроки Подрядной организацией нарушены. 09.10.2020 г. выставлена претен"&amp;"зия и штрафные санкции на сумму 361 722,4 руб. Принято решение  расторгнуть контракт в одностороннем порядке. Общий показатель выполненных работ - 10%
29.10.2020 на имя Министра МО Велиховского А.А направлено письмо 14.1-15/1862 с просьбой переноса лимито"&amp;"в 2020 года на 2021 год по причине нарушения сроков подрядной организацией ООО ""СТРОИТЕЛЬНАЯ КОМПАНИЯ ""МАСТЕР"" и расторжения контракта с подрядчиком.
Направили подрядчику почтовое письмо с информацией об одностороннем расторжении контракта. Планируетс"&amp;"я корректировка проекта + экспертиза. Будет направлено письмо с обоснованием увеличения бюджета.")</f>
        <v>￼Календарным планом выполнения работ предусмотрено изготовление котельной с доставкой в течение 10 дней с момента заключения контракта и 40 дней на строительно-монтажные работы. Данные сроки Подрядной организацией нарушены. 09.10.2020 г. выставлена претензия и штрафные санкции на сумму 361 722,4 руб. Принято решение  расторгнуть контракт в одностороннем порядке. Общий показатель выполненных работ - 10%
29.10.2020 на имя Министра МО Велиховского А.А направлено письмо 14.1-15/1862 с просьбой переноса лимитов 2020 года на 2021 год по причине нарушения сроков подрядной организацией ООО "СТРОИТЕЛЬНАЯ КОМПАНИЯ "МАСТЕР" и расторжения контракта с подрядчиком.
Направили подрядчику почтовое письмо с информацией об одностороннем расторжении контракта. Планируется корректировка проекта + экспертиза. Будет направлено письмо с обоснованием увеличения бюджета.</v>
      </c>
      <c r="I447" s="47" t="str">
        <f ca="1">IFERROR(__xludf.DUMMYFUNCTION("""COMPUTED_VALUE"""),"СМР")</f>
        <v>СМР</v>
      </c>
      <c r="J447" s="48">
        <f ca="1">IFERROR(__xludf.DUMMYFUNCTION("""COMPUTED_VALUE"""),10)</f>
        <v>10</v>
      </c>
      <c r="K447" s="48">
        <f ca="1">IFERROR(__xludf.DUMMYFUNCTION("""COMPUTED_VALUE"""),500)</f>
        <v>500</v>
      </c>
      <c r="L447" s="48">
        <f ca="1">IFERROR(__xludf.DUMMYFUNCTION("""COMPUTED_VALUE"""),500)</f>
        <v>500</v>
      </c>
      <c r="M447" s="49" t="str">
        <f ca="1">IFERROR(__xludf.DUMMYFUNCTION("""COMPUTED_VALUE"""),"https://drive.google.com/drive/folders/17oRbTRK7o2kb9erkQxxvOOq4dqZ-KsxI?usp=sharing")</f>
        <v>https://drive.google.com/drive/folders/17oRbTRK7o2kb9erkQxxvOOq4dqZ-KsxI?usp=sharing</v>
      </c>
      <c r="N447" s="48" t="str">
        <f ca="1">IFERROR(__xludf.DUMMYFUNCTION("""COMPUTED_VALUE"""),"10 3 03 64460")</f>
        <v>10 3 03 64460</v>
      </c>
      <c r="O447" s="48">
        <f ca="1">IFERROR(__xludf.DUMMYFUNCTION("""COMPUTED_VALUE"""),522)</f>
        <v>522</v>
      </c>
      <c r="P447" s="66">
        <f t="shared" si="428"/>
        <v>16105.45</v>
      </c>
      <c r="Q447" s="66"/>
      <c r="R447" s="66">
        <f t="shared" si="429"/>
        <v>5205.49</v>
      </c>
      <c r="S447" s="66">
        <f t="shared" si="430"/>
        <v>7163.5</v>
      </c>
      <c r="T447" s="66">
        <f t="shared" si="431"/>
        <v>3736.46</v>
      </c>
      <c r="U447" s="66"/>
      <c r="V447" s="66">
        <f t="shared" si="432"/>
        <v>2617.5500000000002</v>
      </c>
      <c r="W447" s="66"/>
      <c r="X447" s="66">
        <v>2010.28</v>
      </c>
      <c r="Y447" s="66">
        <v>0</v>
      </c>
      <c r="Z447" s="66">
        <v>607.27</v>
      </c>
      <c r="AA447" s="66"/>
      <c r="AB447" s="66">
        <f t="shared" si="433"/>
        <v>4160.43</v>
      </c>
      <c r="AC447" s="66"/>
      <c r="AD447" s="66">
        <v>3195.21</v>
      </c>
      <c r="AE447" s="66">
        <v>0</v>
      </c>
      <c r="AF447" s="59">
        <v>965.22</v>
      </c>
      <c r="AG447" s="59"/>
      <c r="AH447" s="66">
        <f t="shared" si="434"/>
        <v>9327.4699999999993</v>
      </c>
      <c r="AI447" s="66"/>
      <c r="AJ447" s="66">
        <v>0</v>
      </c>
      <c r="AK447" s="66">
        <v>7163.5</v>
      </c>
      <c r="AL447" s="66">
        <v>2163.9699999999998</v>
      </c>
      <c r="AM447" s="66"/>
      <c r="AN447" s="66">
        <f t="shared" si="435"/>
        <v>0</v>
      </c>
      <c r="AO447" s="66"/>
      <c r="AP447" s="66">
        <v>0</v>
      </c>
      <c r="AQ447" s="66">
        <v>0</v>
      </c>
      <c r="AR447" s="66">
        <v>0</v>
      </c>
      <c r="AS447" s="66"/>
      <c r="AT447" s="66">
        <f t="shared" si="436"/>
        <v>0</v>
      </c>
      <c r="AU447" s="66"/>
      <c r="AV447" s="66">
        <v>0</v>
      </c>
      <c r="AW447" s="66">
        <v>0</v>
      </c>
      <c r="AX447" s="66">
        <v>0</v>
      </c>
      <c r="AY447" s="66"/>
      <c r="AZ447" s="66">
        <f t="shared" si="437"/>
        <v>0</v>
      </c>
      <c r="BA447" s="66"/>
      <c r="BB447" s="66">
        <v>0</v>
      </c>
      <c r="BC447" s="66">
        <v>0</v>
      </c>
      <c r="BD447" s="66">
        <v>0</v>
      </c>
      <c r="BE447" s="66"/>
      <c r="BF447" s="66"/>
      <c r="BG447" s="66"/>
      <c r="BH447" s="66"/>
      <c r="BI447" s="66"/>
      <c r="BJ447" s="66"/>
      <c r="BK447" s="66"/>
      <c r="BL447" s="20"/>
    </row>
    <row r="448" spans="1:64" ht="144" x14ac:dyDescent="0.2">
      <c r="A448" s="69">
        <v>444</v>
      </c>
      <c r="B448" s="64" t="str">
        <f ca="1">IFERROR(__xludf.DUMMYFUNCTION("""COMPUTED_VALUE"""),"г.о. Серпухов")</f>
        <v>г.о. Серпухов</v>
      </c>
      <c r="C448"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8" s="47" t="str">
        <f ca="1">IFERROR(__xludf.DUMMYFUNCTION("""COMPUTED_VALUE"""),"Минобр")</f>
        <v>Минобр</v>
      </c>
      <c r="E448" s="65" t="s">
        <v>476</v>
      </c>
      <c r="F448" s="68"/>
      <c r="G448" s="68" t="str">
        <f ca="1">IFERROR(__xludf.DUMMYFUNCTION("""COMPUTED_VALUE"""),"2019-2020")</f>
        <v>2019-2020</v>
      </c>
      <c r="H448" s="48"/>
      <c r="I448" s="47" t="str">
        <f ca="1">IFERROR(__xludf.DUMMYFUNCTION("""COMPUTED_VALUE"""),"Вып")</f>
        <v>Вып</v>
      </c>
      <c r="J448" s="48"/>
      <c r="K448" s="48"/>
      <c r="L448" s="48"/>
      <c r="M448" s="48"/>
      <c r="N448" s="48"/>
      <c r="O448" s="48"/>
      <c r="P448" s="66">
        <f t="shared" si="428"/>
        <v>75804.800000000003</v>
      </c>
      <c r="Q448" s="66"/>
      <c r="R448" s="66">
        <f t="shared" si="429"/>
        <v>56724</v>
      </c>
      <c r="S448" s="66">
        <f t="shared" si="430"/>
        <v>8047.4</v>
      </c>
      <c r="T448" s="66">
        <f t="shared" si="431"/>
        <v>11033.4</v>
      </c>
      <c r="U448" s="66"/>
      <c r="V448" s="66">
        <f t="shared" si="432"/>
        <v>0</v>
      </c>
      <c r="W448" s="66"/>
      <c r="X448" s="66">
        <v>0</v>
      </c>
      <c r="Y448" s="66">
        <v>0</v>
      </c>
      <c r="Z448" s="66">
        <v>0</v>
      </c>
      <c r="AA448" s="66"/>
      <c r="AB448" s="66">
        <f t="shared" si="433"/>
        <v>59710</v>
      </c>
      <c r="AC448" s="66"/>
      <c r="AD448" s="66">
        <f>58897-2173</f>
        <v>56724</v>
      </c>
      <c r="AE448" s="66">
        <v>0</v>
      </c>
      <c r="AF448" s="66">
        <f>3100-114</f>
        <v>2986</v>
      </c>
      <c r="AG448" s="66"/>
      <c r="AH448" s="66">
        <f t="shared" si="434"/>
        <v>16094.8</v>
      </c>
      <c r="AI448" s="66"/>
      <c r="AJ448" s="66">
        <v>0</v>
      </c>
      <c r="AK448" s="66">
        <v>8047.4</v>
      </c>
      <c r="AL448" s="66">
        <v>8047.4</v>
      </c>
      <c r="AM448" s="66"/>
      <c r="AN448" s="66">
        <f t="shared" si="435"/>
        <v>0</v>
      </c>
      <c r="AO448" s="66"/>
      <c r="AP448" s="66">
        <v>0</v>
      </c>
      <c r="AQ448" s="66">
        <v>0</v>
      </c>
      <c r="AR448" s="66">
        <v>0</v>
      </c>
      <c r="AS448" s="66"/>
      <c r="AT448" s="66">
        <f t="shared" si="436"/>
        <v>0</v>
      </c>
      <c r="AU448" s="66"/>
      <c r="AV448" s="66">
        <v>0</v>
      </c>
      <c r="AW448" s="66">
        <v>0</v>
      </c>
      <c r="AX448" s="66">
        <v>0</v>
      </c>
      <c r="AY448" s="66"/>
      <c r="AZ448" s="66">
        <f t="shared" si="437"/>
        <v>0</v>
      </c>
      <c r="BA448" s="66"/>
      <c r="BB448" s="66">
        <v>0</v>
      </c>
      <c r="BC448" s="66">
        <v>0</v>
      </c>
      <c r="BD448" s="66">
        <v>0</v>
      </c>
      <c r="BE448" s="66"/>
      <c r="BF448" s="66"/>
      <c r="BG448" s="66"/>
      <c r="BH448" s="66"/>
      <c r="BI448" s="66"/>
      <c r="BJ448" s="66"/>
      <c r="BK448" s="66"/>
      <c r="BL448" s="20"/>
    </row>
    <row r="449" spans="1:64" ht="144" x14ac:dyDescent="0.2">
      <c r="A449" s="69">
        <v>445</v>
      </c>
      <c r="B449" s="64" t="str">
        <f ca="1">IFERROR(__xludf.DUMMYFUNCTION("""COMPUTED_VALUE"""),"г.о. Солнечногорск")</f>
        <v>г.о. Солнечногорск</v>
      </c>
      <c r="C449"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49" s="47" t="str">
        <f ca="1">IFERROR(__xludf.DUMMYFUNCTION("""COMPUTED_VALUE"""),"Минкульт")</f>
        <v>Минкульт</v>
      </c>
      <c r="E449" s="65" t="s">
        <v>477</v>
      </c>
      <c r="F449" s="68"/>
      <c r="G449" s="68" t="str">
        <f ca="1">IFERROR(__xludf.DUMMYFUNCTION("""COMPUTED_VALUE"""),"2019-2020")</f>
        <v>2019-2020</v>
      </c>
      <c r="H449" s="48"/>
      <c r="I449" s="48"/>
      <c r="J449" s="48"/>
      <c r="K449" s="48"/>
      <c r="L449" s="48"/>
      <c r="M449" s="48"/>
      <c r="N449" s="48"/>
      <c r="O449" s="48"/>
      <c r="P449" s="66">
        <f t="shared" si="428"/>
        <v>185161.61000000002</v>
      </c>
      <c r="Q449" s="66"/>
      <c r="R449" s="66">
        <f t="shared" si="429"/>
        <v>175903.54</v>
      </c>
      <c r="S449" s="66">
        <f t="shared" si="430"/>
        <v>0</v>
      </c>
      <c r="T449" s="66">
        <f t="shared" si="431"/>
        <v>9258.07</v>
      </c>
      <c r="U449" s="66"/>
      <c r="V449" s="66">
        <f t="shared" si="432"/>
        <v>0</v>
      </c>
      <c r="W449" s="66"/>
      <c r="X449" s="66">
        <v>0</v>
      </c>
      <c r="Y449" s="66">
        <v>0</v>
      </c>
      <c r="Z449" s="66">
        <v>0</v>
      </c>
      <c r="AA449" s="66"/>
      <c r="AB449" s="66">
        <f t="shared" si="433"/>
        <v>34693.200000000004</v>
      </c>
      <c r="AC449" s="66"/>
      <c r="AD449" s="66">
        <v>32958.54</v>
      </c>
      <c r="AE449" s="66">
        <v>0</v>
      </c>
      <c r="AF449" s="66">
        <v>1734.66</v>
      </c>
      <c r="AG449" s="66"/>
      <c r="AH449" s="66">
        <f t="shared" si="434"/>
        <v>150468.41</v>
      </c>
      <c r="AI449" s="66"/>
      <c r="AJ449" s="66">
        <v>142945</v>
      </c>
      <c r="AK449" s="66">
        <v>0</v>
      </c>
      <c r="AL449" s="66">
        <v>7523.41</v>
      </c>
      <c r="AM449" s="66"/>
      <c r="AN449" s="66">
        <f t="shared" si="435"/>
        <v>0</v>
      </c>
      <c r="AO449" s="66"/>
      <c r="AP449" s="66">
        <v>0</v>
      </c>
      <c r="AQ449" s="66">
        <v>0</v>
      </c>
      <c r="AR449" s="66">
        <v>0</v>
      </c>
      <c r="AS449" s="66"/>
      <c r="AT449" s="66">
        <f t="shared" si="436"/>
        <v>0</v>
      </c>
      <c r="AU449" s="66"/>
      <c r="AV449" s="66">
        <v>0</v>
      </c>
      <c r="AW449" s="66">
        <v>0</v>
      </c>
      <c r="AX449" s="66">
        <v>0</v>
      </c>
      <c r="AY449" s="66"/>
      <c r="AZ449" s="66">
        <f t="shared" si="437"/>
        <v>0</v>
      </c>
      <c r="BA449" s="66"/>
      <c r="BB449" s="66">
        <v>0</v>
      </c>
      <c r="BC449" s="66">
        <v>0</v>
      </c>
      <c r="BD449" s="66">
        <v>0</v>
      </c>
      <c r="BE449" s="66"/>
      <c r="BF449" s="66"/>
      <c r="BG449" s="66"/>
      <c r="BH449" s="66"/>
      <c r="BI449" s="66"/>
      <c r="BJ449" s="66"/>
      <c r="BK449" s="66"/>
      <c r="BL449" s="20"/>
    </row>
    <row r="450" spans="1:64" ht="192" x14ac:dyDescent="0.2">
      <c r="A450" s="69">
        <v>446</v>
      </c>
      <c r="B450" s="64" t="str">
        <f ca="1">IFERROR(__xludf.DUMMYFUNCTION("""COMPUTED_VALUE"""),"г.о. Черноголовка")</f>
        <v>г.о. Черноголовка</v>
      </c>
      <c r="C450"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50" s="47" t="str">
        <f ca="1">IFERROR(__xludf.DUMMYFUNCTION("""COMPUTED_VALUE"""),"МинЖКХ ")</f>
        <v xml:space="preserve">МинЖКХ </v>
      </c>
      <c r="E450" s="65" t="s">
        <v>478</v>
      </c>
      <c r="F450" s="83" t="str">
        <f ca="1">IFERROR(__xludf.DUMMYFUNCTION("""COMPUTED_VALUE"""),"ОС")</f>
        <v>ОС</v>
      </c>
      <c r="G450" s="83" t="str">
        <f ca="1">IFERROR(__xludf.DUMMYFUNCTION("""COMPUTED_VALUE"""),"2020-2021")</f>
        <v>2020-2021</v>
      </c>
      <c r="H450" s="48" t="str">
        <f ca="1">IFERROR(__xludf.DUMMYFUNCTION("""COMPUTED_VALUE"""),"Положительное заключение МОГЭ не получено. Готовится расторжение контракта с подрядной организацией ООО ""МЕЩЕРСКАЯ АКВАРЕЛЬ"". Новый заход в МОГЭ ориентировочно в конце 2021 года.
Проектная организация во время не завершила обязательства по договору, в с"&amp;"вязи с чем заключить договор на строительство канализационных очистных сооружений в 2020 году не представляется возможным. Заключение договора предполагается в 2021 году.
25.12.2020 направлено письмо ГКУ-04-8295/20
")</f>
        <v xml:space="preserve">Положительное заключение МОГЭ не получено. Готовится расторжение контракта с подрядной организацией ООО "МЕЩЕРСКАЯ АКВАРЕЛЬ". Новый заход в МОГЭ ориентировочно в конце 2021 года.
Проектная организация во время не завершила обязательства по договору, в связи с чем заключить договор на строительство канализационных очистных сооружений в 2020 году не представляется возможным. Заключение договора предполагается в 2021 году.
25.12.2020 направлено письмо ГКУ-04-8295/20
</v>
      </c>
      <c r="I450" s="47" t="str">
        <f ca="1">IFERROR(__xludf.DUMMYFUNCTION("""COMPUTED_VALUE"""),"ПИР")</f>
        <v>ПИР</v>
      </c>
      <c r="J450" s="48">
        <f ca="1">IFERROR(__xludf.DUMMYFUNCTION("""COMPUTED_VALUE"""),0)</f>
        <v>0</v>
      </c>
      <c r="K450" s="48">
        <f ca="1">IFERROR(__xludf.DUMMYFUNCTION("""COMPUTED_VALUE"""),0)</f>
        <v>0</v>
      </c>
      <c r="L450" s="48">
        <f ca="1">IFERROR(__xludf.DUMMYFUNCTION("""COMPUTED_VALUE"""),1000)</f>
        <v>1000</v>
      </c>
      <c r="M450" s="48"/>
      <c r="N450" s="48" t="str">
        <f ca="1">IFERROR(__xludf.DUMMYFUNCTION("""COMPUTED_VALUE"""),"10 3 03 64460")</f>
        <v>10 3 03 64460</v>
      </c>
      <c r="O450" s="48"/>
      <c r="P450" s="66">
        <f t="shared" si="428"/>
        <v>42985</v>
      </c>
      <c r="Q450" s="66"/>
      <c r="R450" s="66">
        <f t="shared" si="429"/>
        <v>17681</v>
      </c>
      <c r="S450" s="66">
        <f t="shared" si="430"/>
        <v>20319</v>
      </c>
      <c r="T450" s="66">
        <f t="shared" si="431"/>
        <v>4985</v>
      </c>
      <c r="U450" s="66"/>
      <c r="V450" s="66">
        <f t="shared" si="432"/>
        <v>0</v>
      </c>
      <c r="W450" s="66"/>
      <c r="X450" s="66">
        <v>0</v>
      </c>
      <c r="Y450" s="66">
        <v>0</v>
      </c>
      <c r="Z450" s="66">
        <v>0</v>
      </c>
      <c r="AA450" s="66"/>
      <c r="AB450" s="66">
        <f t="shared" si="433"/>
        <v>0</v>
      </c>
      <c r="AC450" s="66"/>
      <c r="AD450" s="66">
        <v>0</v>
      </c>
      <c r="AE450" s="66">
        <v>0</v>
      </c>
      <c r="AF450" s="66">
        <v>0</v>
      </c>
      <c r="AG450" s="66"/>
      <c r="AH450" s="66">
        <f t="shared" si="434"/>
        <v>22985.29</v>
      </c>
      <c r="AI450" s="66"/>
      <c r="AJ450" s="66">
        <v>0</v>
      </c>
      <c r="AK450" s="59">
        <v>20319</v>
      </c>
      <c r="AL450" s="59">
        <v>2666.29</v>
      </c>
      <c r="AM450" s="59"/>
      <c r="AN450" s="66">
        <f t="shared" si="435"/>
        <v>19999.71</v>
      </c>
      <c r="AO450" s="66"/>
      <c r="AP450" s="59">
        <v>17681</v>
      </c>
      <c r="AQ450" s="66">
        <v>0</v>
      </c>
      <c r="AR450" s="59">
        <v>2318.71</v>
      </c>
      <c r="AS450" s="59"/>
      <c r="AT450" s="66">
        <f t="shared" si="436"/>
        <v>0</v>
      </c>
      <c r="AU450" s="66"/>
      <c r="AV450" s="66">
        <v>0</v>
      </c>
      <c r="AW450" s="66">
        <v>0</v>
      </c>
      <c r="AX450" s="66">
        <v>0</v>
      </c>
      <c r="AY450" s="66"/>
      <c r="AZ450" s="66">
        <f t="shared" si="437"/>
        <v>0</v>
      </c>
      <c r="BA450" s="66"/>
      <c r="BB450" s="66">
        <v>0</v>
      </c>
      <c r="BC450" s="66">
        <v>0</v>
      </c>
      <c r="BD450" s="66">
        <v>0</v>
      </c>
      <c r="BE450" s="66"/>
      <c r="BF450" s="66"/>
      <c r="BG450" s="66"/>
      <c r="BH450" s="66"/>
      <c r="BI450" s="66"/>
      <c r="BJ450" s="66"/>
      <c r="BK450" s="66"/>
      <c r="BL450" s="20"/>
    </row>
    <row r="451" spans="1:64" ht="144" x14ac:dyDescent="0.2">
      <c r="A451" s="69">
        <v>447</v>
      </c>
      <c r="B451" s="64" t="str">
        <f ca="1">IFERROR(__xludf.DUMMYFUNCTION("""COMPUTED_VALUE"""),"г.о. Ступино")</f>
        <v>г.о. Ступино</v>
      </c>
      <c r="C451"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1" s="47" t="str">
        <f ca="1">IFERROR(__xludf.DUMMYFUNCTION("""COMPUTED_VALUE"""),"Минобр")</f>
        <v>Минобр</v>
      </c>
      <c r="E451" s="65" t="s">
        <v>479</v>
      </c>
      <c r="F451" s="68"/>
      <c r="G451" s="68">
        <f ca="1">IFERROR(__xludf.DUMMYFUNCTION("""COMPUTED_VALUE"""),2020)</f>
        <v>2020</v>
      </c>
      <c r="H451" s="48"/>
      <c r="I451" s="47" t="str">
        <f ca="1">IFERROR(__xludf.DUMMYFUNCTION("""COMPUTED_VALUE"""),"Вып")</f>
        <v>Вып</v>
      </c>
      <c r="J451" s="48"/>
      <c r="K451" s="48"/>
      <c r="L451" s="48"/>
      <c r="M451" s="48"/>
      <c r="N451" s="48"/>
      <c r="O451" s="48"/>
      <c r="P451" s="66">
        <f t="shared" si="428"/>
        <v>27195</v>
      </c>
      <c r="Q451" s="66"/>
      <c r="R451" s="66">
        <f t="shared" si="429"/>
        <v>25835</v>
      </c>
      <c r="S451" s="66">
        <f t="shared" si="430"/>
        <v>0</v>
      </c>
      <c r="T451" s="66">
        <f t="shared" si="431"/>
        <v>1360</v>
      </c>
      <c r="U451" s="66"/>
      <c r="V451" s="66">
        <f t="shared" si="432"/>
        <v>0</v>
      </c>
      <c r="W451" s="66"/>
      <c r="X451" s="66">
        <v>0</v>
      </c>
      <c r="Y451" s="66">
        <v>0</v>
      </c>
      <c r="Z451" s="66">
        <v>0</v>
      </c>
      <c r="AA451" s="66"/>
      <c r="AB451" s="66">
        <f t="shared" si="433"/>
        <v>0</v>
      </c>
      <c r="AC451" s="66"/>
      <c r="AD451" s="66">
        <v>0</v>
      </c>
      <c r="AE451" s="66">
        <v>0</v>
      </c>
      <c r="AF451" s="66">
        <v>0</v>
      </c>
      <c r="AG451" s="66"/>
      <c r="AH451" s="66">
        <f t="shared" si="434"/>
        <v>27195</v>
      </c>
      <c r="AI451" s="66"/>
      <c r="AJ451" s="66">
        <v>25835</v>
      </c>
      <c r="AK451" s="66">
        <v>0</v>
      </c>
      <c r="AL451" s="66">
        <v>1360</v>
      </c>
      <c r="AM451" s="66"/>
      <c r="AN451" s="66">
        <f t="shared" si="435"/>
        <v>0</v>
      </c>
      <c r="AO451" s="66"/>
      <c r="AP451" s="66">
        <v>0</v>
      </c>
      <c r="AQ451" s="66">
        <v>0</v>
      </c>
      <c r="AR451" s="66">
        <v>0</v>
      </c>
      <c r="AS451" s="66"/>
      <c r="AT451" s="66">
        <f t="shared" si="436"/>
        <v>0</v>
      </c>
      <c r="AU451" s="66"/>
      <c r="AV451" s="66">
        <v>0</v>
      </c>
      <c r="AW451" s="66">
        <v>0</v>
      </c>
      <c r="AX451" s="66">
        <v>0</v>
      </c>
      <c r="AY451" s="66"/>
      <c r="AZ451" s="66">
        <f t="shared" si="437"/>
        <v>0</v>
      </c>
      <c r="BA451" s="66"/>
      <c r="BB451" s="66">
        <v>0</v>
      </c>
      <c r="BC451" s="66">
        <v>0</v>
      </c>
      <c r="BD451" s="66">
        <v>0</v>
      </c>
      <c r="BE451" s="66"/>
      <c r="BF451" s="66"/>
      <c r="BG451" s="66"/>
      <c r="BH451" s="66"/>
      <c r="BI451" s="66"/>
      <c r="BJ451" s="66"/>
      <c r="BK451" s="66"/>
      <c r="BL451" s="20"/>
    </row>
    <row r="452" spans="1:64" ht="144" x14ac:dyDescent="0.2">
      <c r="A452" s="69">
        <v>448</v>
      </c>
      <c r="B452" s="64" t="str">
        <f ca="1">IFERROR(__xludf.DUMMYFUNCTION("""COMPUTED_VALUE"""),"г.о. Ступино")</f>
        <v>г.о. Ступино</v>
      </c>
      <c r="C452"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2" s="47" t="str">
        <f ca="1">IFERROR(__xludf.DUMMYFUNCTION("""COMPUTED_VALUE"""),"Минобр")</f>
        <v>Минобр</v>
      </c>
      <c r="E452" s="65" t="s">
        <v>480</v>
      </c>
      <c r="F452" s="68"/>
      <c r="G452" s="68">
        <f ca="1">IFERROR(__xludf.DUMMYFUNCTION("""COMPUTED_VALUE"""),2020)</f>
        <v>2020</v>
      </c>
      <c r="H452" s="48" t="str">
        <f ca="1">IFERROR(__xludf.DUMMYFUNCTION("""COMPUTED_VALUE"""),"не откроется, есть письмо ")</f>
        <v xml:space="preserve">не откроется, есть письмо </v>
      </c>
      <c r="I452" s="48"/>
      <c r="J452" s="48"/>
      <c r="K452" s="48"/>
      <c r="L452" s="48"/>
      <c r="M452" s="48"/>
      <c r="N452" s="48"/>
      <c r="O452" s="48"/>
      <c r="P452" s="66">
        <f t="shared" si="428"/>
        <v>22987</v>
      </c>
      <c r="Q452" s="66"/>
      <c r="R452" s="66">
        <f t="shared" si="429"/>
        <v>21837</v>
      </c>
      <c r="S452" s="66">
        <f t="shared" si="430"/>
        <v>0</v>
      </c>
      <c r="T452" s="66">
        <f t="shared" si="431"/>
        <v>1150</v>
      </c>
      <c r="U452" s="66"/>
      <c r="V452" s="66">
        <f t="shared" si="432"/>
        <v>0</v>
      </c>
      <c r="W452" s="66"/>
      <c r="X452" s="66">
        <v>0</v>
      </c>
      <c r="Y452" s="66">
        <v>0</v>
      </c>
      <c r="Z452" s="66">
        <v>0</v>
      </c>
      <c r="AA452" s="66"/>
      <c r="AB452" s="66">
        <f t="shared" si="433"/>
        <v>0</v>
      </c>
      <c r="AC452" s="66"/>
      <c r="AD452" s="66">
        <v>0</v>
      </c>
      <c r="AE452" s="66">
        <v>0</v>
      </c>
      <c r="AF452" s="66">
        <v>0</v>
      </c>
      <c r="AG452" s="66"/>
      <c r="AH452" s="66">
        <f t="shared" si="434"/>
        <v>22987</v>
      </c>
      <c r="AI452" s="66"/>
      <c r="AJ452" s="66">
        <v>21837</v>
      </c>
      <c r="AK452" s="66">
        <v>0</v>
      </c>
      <c r="AL452" s="66">
        <v>1150</v>
      </c>
      <c r="AM452" s="66"/>
      <c r="AN452" s="66">
        <f t="shared" si="435"/>
        <v>0</v>
      </c>
      <c r="AO452" s="66"/>
      <c r="AP452" s="66">
        <v>0</v>
      </c>
      <c r="AQ452" s="66">
        <v>0</v>
      </c>
      <c r="AR452" s="66">
        <v>0</v>
      </c>
      <c r="AS452" s="66"/>
      <c r="AT452" s="66">
        <f t="shared" si="436"/>
        <v>0</v>
      </c>
      <c r="AU452" s="66"/>
      <c r="AV452" s="66">
        <v>0</v>
      </c>
      <c r="AW452" s="66">
        <v>0</v>
      </c>
      <c r="AX452" s="66">
        <v>0</v>
      </c>
      <c r="AY452" s="66"/>
      <c r="AZ452" s="66">
        <f t="shared" si="437"/>
        <v>0</v>
      </c>
      <c r="BA452" s="66"/>
      <c r="BB452" s="66">
        <v>0</v>
      </c>
      <c r="BC452" s="66">
        <v>0</v>
      </c>
      <c r="BD452" s="66">
        <v>0</v>
      </c>
      <c r="BE452" s="66"/>
      <c r="BF452" s="66"/>
      <c r="BG452" s="66"/>
      <c r="BH452" s="66"/>
      <c r="BI452" s="66"/>
      <c r="BJ452" s="66"/>
      <c r="BK452" s="66"/>
      <c r="BL452" s="20"/>
    </row>
    <row r="453" spans="1:64" ht="408" x14ac:dyDescent="0.2">
      <c r="A453" s="69">
        <v>449</v>
      </c>
      <c r="B453" s="64" t="str">
        <f ca="1">IFERROR(__xludf.DUMMYFUNCTION("""COMPUTED_VALUE"""),"г.о. Чехов")</f>
        <v>г.о. Чехов</v>
      </c>
      <c r="C453" s="46"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3" s="47" t="str">
        <f ca="1">IFERROR(__xludf.DUMMYFUNCTION("""COMPUTED_VALUE"""),"МинЖКХ ")</f>
        <v xml:space="preserve">МинЖКХ </v>
      </c>
      <c r="E453" s="65" t="s">
        <v>481</v>
      </c>
      <c r="F453" s="68" t="str">
        <f ca="1">IFERROR(__xludf.DUMMYFUNCTION("""COMPUTED_VALUE"""),"ОС")</f>
        <v>ОС</v>
      </c>
      <c r="G453" s="68" t="str">
        <f ca="1">IFERROR(__xludf.DUMMYFUNCTION("""COMPUTED_VALUE"""),"2019-2022")</f>
        <v>2019-2022</v>
      </c>
      <c r="H453" s="48" t="str">
        <f ca="1">IFERROR(__xludf.DUMMYFUNCTION("""COMPUTED_VALUE"""),"
В настоящее время ведутся работы по демонтажу здания, устройству ограждения территории. Работы ведутся в соответствии с графиком производства работ.
Информационный стенд с паспортом объекта установлен.
РС отсутствует. 
Документация направлена на получени"&amp;"е РС в ИСОГД – 09.11.2020 (возможны замечания, потребуется время на их устранение). При предварительной подаче на РС в 2019 году были получены замечания, касающиеся правок в проекте и получения согласований с ГУКН МО и МОКТУ (Московско-Окское территориаль"&amp;"ное управление Федерального агентства по рыболовству).  03.12.2020 в ИСОГД будут загружены документы, с учетом устраненных замечаний от 09.11.2020. 
В ходе выполнения работ по данному контракту заказчиком МУП «Чеховский водоканал» заказчиком принято решен"&amp;"ие о перепроектировании, в ходе которого будут получены согласования ГУКН МО и МОКТУ.  Необходимы подтверждающие документы
Ориентировочный заход в МОГЭ – 24.12.2020. Ориентировочный срок выхода из МОГЭ – февраль 2021 г. 
 Завершение работ 23.05.2022
До 11"&amp;".12.2020 планируется заявка на сумму 31 млн руб")</f>
        <v xml:space="preserve">
В настоящее время ведутся работы по демонтажу здания, устройству ограждения территории. Работы ведутся в соответствии с графиком производства работ.
Информационный стенд с паспортом объекта установлен.
РС отсутствует. 
Документация направлена на получение РС в ИСОГД – 09.11.2020 (возможны замечания, потребуется время на их устранение). При предварительной подаче на РС в 2019 году были получены замечания, касающиеся правок в проекте и получения согласований с ГУКН МО и МОКТУ (Московско-Окское территориальное управление Федерального агентства по рыболовству).  03.12.2020 в ИСОГД будут загружены документы, с учетом устраненных замечаний от 09.11.2020. 
В ходе выполнения работ по данному контракту заказчиком МУП «Чеховский водоканал» заказчиком принято решение о перепроектировании, в ходе которого будут получены согласования ГУКН МО и МОКТУ.  Необходимы подтверждающие документы
Ориентировочный заход в МОГЭ – 24.12.2020. Ориентировочный срок выхода из МОГЭ – февраль 2021 г. 
 Завершение работ 23.05.2022
До 11.12.2020 планируется заявка на сумму 31 млн руб</v>
      </c>
      <c r="I453" s="47" t="str">
        <f ca="1">IFERROR(__xludf.DUMMYFUNCTION("""COMPUTED_VALUE"""),"СМР")</f>
        <v>СМР</v>
      </c>
      <c r="J453" s="48">
        <f ca="1">IFERROR(__xludf.DUMMYFUNCTION("""COMPUTED_VALUE"""),5)</f>
        <v>5</v>
      </c>
      <c r="K453" s="48">
        <f ca="1">IFERROR(__xludf.DUMMYFUNCTION("""COMPUTED_VALUE"""),5000)</f>
        <v>5000</v>
      </c>
      <c r="L453" s="48">
        <f ca="1">IFERROR(__xludf.DUMMYFUNCTION("""COMPUTED_VALUE"""),5000)</f>
        <v>5000</v>
      </c>
      <c r="M453" s="49" t="str">
        <f ca="1">IFERROR(__xludf.DUMMYFUNCTION("""COMPUTED_VALUE"""),"https://drive.google.com/drive/folders/1c614LYlV-DyKK8fYuzo9TOyjm5_GcfPa?usp=sharing")</f>
        <v>https://drive.google.com/drive/folders/1c614LYlV-DyKK8fYuzo9TOyjm5_GcfPa?usp=sharing</v>
      </c>
      <c r="N453" s="48" t="str">
        <f ca="1">IFERROR(__xludf.DUMMYFUNCTION("""COMPUTED_VALUE"""),"10 3 03 64460")</f>
        <v>10 3 03 64460</v>
      </c>
      <c r="O453" s="48">
        <f ca="1">IFERROR(__xludf.DUMMYFUNCTION("""COMPUTED_VALUE"""),522)</f>
        <v>522</v>
      </c>
      <c r="P453" s="66">
        <f t="shared" si="428"/>
        <v>295859.37999999995</v>
      </c>
      <c r="Q453" s="66"/>
      <c r="R453" s="66">
        <f t="shared" si="429"/>
        <v>179600.8</v>
      </c>
      <c r="S453" s="66">
        <f t="shared" si="430"/>
        <v>101465.53</v>
      </c>
      <c r="T453" s="66">
        <f t="shared" si="431"/>
        <v>14793.05</v>
      </c>
      <c r="U453" s="66"/>
      <c r="V453" s="66">
        <f t="shared" si="432"/>
        <v>0</v>
      </c>
      <c r="W453" s="66"/>
      <c r="X453" s="66">
        <v>0</v>
      </c>
      <c r="Y453" s="66">
        <v>0</v>
      </c>
      <c r="Z453" s="66">
        <v>0</v>
      </c>
      <c r="AA453" s="66"/>
      <c r="AB453" s="66">
        <f t="shared" si="433"/>
        <v>3400</v>
      </c>
      <c r="AC453" s="66"/>
      <c r="AD453" s="66">
        <v>3230</v>
      </c>
      <c r="AE453" s="66">
        <v>0</v>
      </c>
      <c r="AF453" s="66">
        <v>170</v>
      </c>
      <c r="AG453" s="66"/>
      <c r="AH453" s="66">
        <f t="shared" si="434"/>
        <v>106805.8</v>
      </c>
      <c r="AI453" s="66"/>
      <c r="AJ453" s="66">
        <v>0</v>
      </c>
      <c r="AK453" s="59">
        <v>101465.53</v>
      </c>
      <c r="AL453" s="59">
        <v>5340.27</v>
      </c>
      <c r="AM453" s="59"/>
      <c r="AN453" s="66">
        <f t="shared" si="435"/>
        <v>10526.220000000001</v>
      </c>
      <c r="AO453" s="66"/>
      <c r="AP453" s="66">
        <v>10000</v>
      </c>
      <c r="AQ453" s="66">
        <v>0</v>
      </c>
      <c r="AR453" s="66">
        <v>526.22000000000025</v>
      </c>
      <c r="AS453" s="66"/>
      <c r="AT453" s="66">
        <f t="shared" si="436"/>
        <v>175127.36</v>
      </c>
      <c r="AU453" s="66"/>
      <c r="AV453" s="59">
        <v>166370.79999999999</v>
      </c>
      <c r="AW453" s="66">
        <v>0</v>
      </c>
      <c r="AX453" s="59">
        <v>8756.56</v>
      </c>
      <c r="AY453" s="59"/>
      <c r="AZ453" s="66">
        <f t="shared" si="437"/>
        <v>0</v>
      </c>
      <c r="BA453" s="66"/>
      <c r="BB453" s="66">
        <v>0</v>
      </c>
      <c r="BC453" s="66">
        <v>0</v>
      </c>
      <c r="BD453" s="66">
        <v>0</v>
      </c>
      <c r="BE453" s="66"/>
      <c r="BF453" s="66"/>
      <c r="BG453" s="66"/>
      <c r="BH453" s="66"/>
      <c r="BI453" s="66"/>
      <c r="BJ453" s="66"/>
      <c r="BK453" s="66"/>
      <c r="BL453" s="20"/>
    </row>
    <row r="454" spans="1:64" ht="396" x14ac:dyDescent="0.2">
      <c r="A454" s="69">
        <v>450</v>
      </c>
      <c r="B454" s="64" t="str">
        <f ca="1">IFERROR(__xludf.DUMMYFUNCTION("""COMPUTED_VALUE"""),"г.о. Чехов")</f>
        <v>г.о. Чехов</v>
      </c>
      <c r="C454" s="46"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4" s="47" t="str">
        <f ca="1">IFERROR(__xludf.DUMMYFUNCTION("""COMPUTED_VALUE"""),"МинЖКХ ")</f>
        <v xml:space="preserve">МинЖКХ </v>
      </c>
      <c r="E454" s="58" t="s">
        <v>482</v>
      </c>
      <c r="F454" s="68" t="str">
        <f ca="1">IFERROR(__xludf.DUMMYFUNCTION("""COMPUTED_VALUE"""),"Котельная")</f>
        <v>Котельная</v>
      </c>
      <c r="G454" s="68" t="str">
        <f ca="1">IFERROR(__xludf.DUMMYFUNCTION("""COMPUTED_VALUE"""),"2019-2022")</f>
        <v>2019-2022</v>
      </c>
      <c r="H454" s="48" t="str">
        <f ca="1">IFERROR(__xludf.DUMMYFUNCTION("""COMPUTED_VALUE"""),"В настоящее время ведутся работы по демонтажу котла, утеплению фасада здания, ремонту кровли, замена окон и витражей. Работы ведутся в соответствии с графиком производства работ.
РС отсутствует. ТУ согласованы.
Получены замечания от ИСОГД. В настоящий мом"&amp;"ент замечания устраняются.
Ориентировочный срок внесения исправлений и новой подачи документов составляет 15-25 дней.
Котел заказан 15.09.2020. (запросить договор организацией, кот. 
должна предоставить оборудование, +  счет на оплату котла).
 Поставка ко"&amp;"тла должна произойти до 10.11.2020. 
Монтаж котла планируется в период с 20.11.2020 по 30.11.2020. 
В декабре планируется ""косметика"" до 15.12.2020. 
Завершение работ по замене котла 20.12.2020 
Авансирование не предусмотерно контрактом. 
 Завершение ра"&amp;"бот 10.09.2022
03.12.2020 получено письмо из Минжилполитики, что РС не требуется, планируется оплата для закупки оборудования. 08.12.2020 завка на 7 млн руб.
До 11.12.2020 планируется заявка на сумму 6 млн руб, остаток - оплата оборудования")</f>
        <v>В настоящее время ведутся работы по демонтажу котла, утеплению фасада здания, ремонту кровли, замена окон и витражей. Работы ведутся в соответствии с графиком производства работ.
РС отсутствует. ТУ согласованы.
Получены замечания от ИСОГД. В настоящий момент замечания устраняются.
Ориентировочный срок внесения исправлений и новой подачи документов составляет 15-25 дней.
Котел заказан 15.09.2020. (запросить договор организацией, кот. 
должна предоставить оборудование, +  счет на оплату котла).
 Поставка котла должна произойти до 10.11.2020. 
Монтаж котла планируется в период с 20.11.2020 по 30.11.2020. 
В декабре планируется "косметика" до 15.12.2020. 
Завершение работ по замене котла 20.12.2020 
Авансирование не предусмотерно контрактом. 
 Завершение работ 10.09.2022
03.12.2020 получено письмо из Минжилполитики, что РС не требуется, планируется оплата для закупки оборудования. 08.12.2020 завка на 7 млн руб.
До 11.12.2020 планируется заявка на сумму 6 млн руб, остаток - оплата оборудования</v>
      </c>
      <c r="I454" s="47" t="str">
        <f ca="1">IFERROR(__xludf.DUMMYFUNCTION("""COMPUTED_VALUE"""),"СМР")</f>
        <v>СМР</v>
      </c>
      <c r="J454" s="48">
        <f ca="1">IFERROR(__xludf.DUMMYFUNCTION("""COMPUTED_VALUE"""),15)</f>
        <v>15</v>
      </c>
      <c r="K454" s="48">
        <f ca="1">IFERROR(__xludf.DUMMYFUNCTION("""COMPUTED_VALUE"""),5000)</f>
        <v>5000</v>
      </c>
      <c r="L454" s="48">
        <f ca="1">IFERROR(__xludf.DUMMYFUNCTION("""COMPUTED_VALUE"""),5000)</f>
        <v>5000</v>
      </c>
      <c r="M454" s="49" t="str">
        <f ca="1">IFERROR(__xludf.DUMMYFUNCTION("""COMPUTED_VALUE"""),"https://drive.google.com/drive/folders/1CD6P0gNQl0u0Fvx95N33zFIHzjAiGPSp?usp=sharing")</f>
        <v>https://drive.google.com/drive/folders/1CD6P0gNQl0u0Fvx95N33zFIHzjAiGPSp?usp=sharing</v>
      </c>
      <c r="N454" s="48" t="str">
        <f ca="1">IFERROR(__xludf.DUMMYFUNCTION("""COMPUTED_VALUE"""),"10 3 03 64460")</f>
        <v>10 3 03 64460</v>
      </c>
      <c r="O454" s="48">
        <f ca="1">IFERROR(__xludf.DUMMYFUNCTION("""COMPUTED_VALUE"""),522)</f>
        <v>522</v>
      </c>
      <c r="P454" s="66">
        <f t="shared" si="428"/>
        <v>134782.56</v>
      </c>
      <c r="Q454" s="66"/>
      <c r="R454" s="66">
        <f t="shared" si="429"/>
        <v>31549.85</v>
      </c>
      <c r="S454" s="66">
        <f t="shared" si="430"/>
        <v>96492.65</v>
      </c>
      <c r="T454" s="66">
        <f t="shared" si="431"/>
        <v>6740.06</v>
      </c>
      <c r="U454" s="66"/>
      <c r="V454" s="66">
        <f t="shared" si="432"/>
        <v>0</v>
      </c>
      <c r="W454" s="66"/>
      <c r="X454" s="66">
        <v>0</v>
      </c>
      <c r="Y454" s="66">
        <v>0</v>
      </c>
      <c r="Z454" s="66">
        <v>0</v>
      </c>
      <c r="AA454" s="66"/>
      <c r="AB454" s="66">
        <f t="shared" si="433"/>
        <v>9492.5500000000011</v>
      </c>
      <c r="AC454" s="66"/>
      <c r="AD454" s="66">
        <v>9017.85</v>
      </c>
      <c r="AE454" s="66">
        <v>0</v>
      </c>
      <c r="AF454" s="66">
        <v>474.7</v>
      </c>
      <c r="AG454" s="66"/>
      <c r="AH454" s="66">
        <f t="shared" si="434"/>
        <v>37587</v>
      </c>
      <c r="AI454" s="66"/>
      <c r="AJ454" s="66">
        <v>0</v>
      </c>
      <c r="AK454" s="66">
        <v>35707.65</v>
      </c>
      <c r="AL454" s="66">
        <v>1879.35</v>
      </c>
      <c r="AM454" s="66"/>
      <c r="AN454" s="66">
        <f t="shared" si="435"/>
        <v>63985.120000000003</v>
      </c>
      <c r="AO454" s="66"/>
      <c r="AP454" s="66">
        <v>0</v>
      </c>
      <c r="AQ454" s="66">
        <v>60785</v>
      </c>
      <c r="AR454" s="66">
        <v>3200.12</v>
      </c>
      <c r="AS454" s="66"/>
      <c r="AT454" s="66">
        <f t="shared" si="436"/>
        <v>23717.89</v>
      </c>
      <c r="AU454" s="66"/>
      <c r="AV454" s="66">
        <v>22532</v>
      </c>
      <c r="AW454" s="66">
        <v>0</v>
      </c>
      <c r="AX454" s="66">
        <v>1185.8900000000001</v>
      </c>
      <c r="AY454" s="66"/>
      <c r="AZ454" s="66">
        <f t="shared" si="437"/>
        <v>0</v>
      </c>
      <c r="BA454" s="66"/>
      <c r="BB454" s="66">
        <v>0</v>
      </c>
      <c r="BC454" s="66">
        <v>0</v>
      </c>
      <c r="BD454" s="66">
        <v>0</v>
      </c>
      <c r="BE454" s="66"/>
      <c r="BF454" s="66"/>
      <c r="BG454" s="66"/>
      <c r="BH454" s="66"/>
      <c r="BI454" s="66"/>
      <c r="BJ454" s="66"/>
      <c r="BK454" s="66"/>
      <c r="BL454" s="20"/>
    </row>
    <row r="455" spans="1:64" ht="96" x14ac:dyDescent="0.2">
      <c r="A455" s="69">
        <v>451</v>
      </c>
      <c r="B455" s="64" t="str">
        <f ca="1">IFERROR(__xludf.DUMMYFUNCTION("""COMPUTED_VALUE"""),"г.о. Чехов")</f>
        <v>г.о. Чехов</v>
      </c>
      <c r="C455"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5" s="47" t="str">
        <f ca="1">IFERROR(__xludf.DUMMYFUNCTION("""COMPUTED_VALUE"""),"МинЖКХ ")</f>
        <v xml:space="preserve">МинЖКХ </v>
      </c>
      <c r="E455" s="65" t="s">
        <v>483</v>
      </c>
      <c r="F455" s="68" t="str">
        <f ca="1">IFERROR(__xludf.DUMMYFUNCTION("""COMPUTED_VALUE"""),"ВЗУ")</f>
        <v>ВЗУ</v>
      </c>
      <c r="G455" s="68" t="str">
        <f ca="1">IFERROR(__xludf.DUMMYFUNCTION("""COMPUTED_VALUE"""),"2018-2020")</f>
        <v>2018-2020</v>
      </c>
      <c r="H455" s="48" t="str">
        <f ca="1">IFERROR(__xludf.DUMMYFUNCTION("""COMPUTED_VALUE"""),"Кредиторская задолженность оплачена. 
Работы выполнены в 2019 году.")</f>
        <v>Кредиторская задолженность оплачена. 
Работы выполнены в 2019 году.</v>
      </c>
      <c r="I455" s="47" t="str">
        <f ca="1">IFERROR(__xludf.DUMMYFUNCTION("""COMPUTED_VALUE"""),"Вып")</f>
        <v>Вып</v>
      </c>
      <c r="J455" s="48">
        <f ca="1">IFERROR(__xludf.DUMMYFUNCTION("""COMPUTED_VALUE"""),100)</f>
        <v>100</v>
      </c>
      <c r="K455" s="48">
        <f ca="1">IFERROR(__xludf.DUMMYFUNCTION("""COMPUTED_VALUE"""),5000)</f>
        <v>5000</v>
      </c>
      <c r="L455" s="48">
        <f ca="1">IFERROR(__xludf.DUMMYFUNCTION("""COMPUTED_VALUE"""),5000)</f>
        <v>5000</v>
      </c>
      <c r="M455" s="48"/>
      <c r="N455" s="48"/>
      <c r="O455" s="48"/>
      <c r="P455" s="66">
        <f t="shared" si="428"/>
        <v>22235.49</v>
      </c>
      <c r="Q455" s="66"/>
      <c r="R455" s="66">
        <f t="shared" si="429"/>
        <v>3131.25</v>
      </c>
      <c r="S455" s="66">
        <f t="shared" si="430"/>
        <v>17992</v>
      </c>
      <c r="T455" s="66">
        <f t="shared" si="431"/>
        <v>1112.24</v>
      </c>
      <c r="U455" s="66"/>
      <c r="V455" s="66">
        <f t="shared" si="432"/>
        <v>165</v>
      </c>
      <c r="W455" s="66"/>
      <c r="X455" s="66">
        <v>0</v>
      </c>
      <c r="Y455" s="66">
        <v>0</v>
      </c>
      <c r="Z455" s="66">
        <v>165</v>
      </c>
      <c r="AA455" s="66"/>
      <c r="AB455" s="66">
        <f t="shared" si="433"/>
        <v>4078.21</v>
      </c>
      <c r="AC455" s="66"/>
      <c r="AD455" s="66">
        <v>3131.25</v>
      </c>
      <c r="AE455" s="66">
        <v>0</v>
      </c>
      <c r="AF455" s="66">
        <v>946.96</v>
      </c>
      <c r="AG455" s="66"/>
      <c r="AH455" s="66">
        <f t="shared" si="434"/>
        <v>17992.28</v>
      </c>
      <c r="AI455" s="66"/>
      <c r="AJ455" s="66">
        <v>0</v>
      </c>
      <c r="AK455" s="66">
        <v>17992</v>
      </c>
      <c r="AL455" s="66">
        <v>0.28000000000000003</v>
      </c>
      <c r="AM455" s="66"/>
      <c r="AN455" s="66">
        <f t="shared" si="435"/>
        <v>0</v>
      </c>
      <c r="AO455" s="66"/>
      <c r="AP455" s="66">
        <v>0</v>
      </c>
      <c r="AQ455" s="66">
        <v>0</v>
      </c>
      <c r="AR455" s="66">
        <v>0</v>
      </c>
      <c r="AS455" s="66"/>
      <c r="AT455" s="66">
        <f t="shared" si="436"/>
        <v>0</v>
      </c>
      <c r="AU455" s="66"/>
      <c r="AV455" s="66">
        <v>0</v>
      </c>
      <c r="AW455" s="66">
        <v>0</v>
      </c>
      <c r="AX455" s="66">
        <v>0</v>
      </c>
      <c r="AY455" s="66"/>
      <c r="AZ455" s="66">
        <f t="shared" si="437"/>
        <v>0</v>
      </c>
      <c r="BA455" s="66"/>
      <c r="BB455" s="66">
        <v>0</v>
      </c>
      <c r="BC455" s="66">
        <v>0</v>
      </c>
      <c r="BD455" s="66">
        <v>0</v>
      </c>
      <c r="BE455" s="66"/>
      <c r="BF455" s="66"/>
      <c r="BG455" s="66"/>
      <c r="BH455" s="66"/>
      <c r="BI455" s="66"/>
      <c r="BJ455" s="66"/>
      <c r="BK455" s="66"/>
      <c r="BL455" s="20"/>
    </row>
    <row r="456" spans="1:64" ht="204" x14ac:dyDescent="0.2">
      <c r="A456" s="69">
        <v>452</v>
      </c>
      <c r="B456" s="64" t="str">
        <f ca="1">IFERROR(__xludf.DUMMYFUNCTION("""COMPUTED_VALUE"""),"г.о. Чехов")</f>
        <v>г.о. Чехов</v>
      </c>
      <c r="C456" s="46"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56" s="47" t="str">
        <f ca="1">IFERROR(__xludf.DUMMYFUNCTION("""COMPUTED_VALUE"""),"МинЖКХ ")</f>
        <v xml:space="preserve">МинЖКХ </v>
      </c>
      <c r="E456" s="65" t="s">
        <v>484</v>
      </c>
      <c r="F456" s="68" t="str">
        <f ca="1">IFERROR(__xludf.DUMMYFUNCTION("""COMPUTED_VALUE"""),"Сети")</f>
        <v>Сети</v>
      </c>
      <c r="G456" s="68" t="str">
        <f ca="1">IFERROR(__xludf.DUMMYFUNCTION("""COMPUTED_VALUE"""),"2019-2020")</f>
        <v>2019-2020</v>
      </c>
      <c r="H456" s="48" t="str">
        <f ca="1">IFERROR(__xludf.DUMMYFUNCTION("""COMPUTED_VALUE"""),"Работы завершены.
Кредиторская задолженность (26 366,86 тыс.руб.) оплачена. 
 Поэтапная оплата работ согласно муниципальному контракту
 Завершение работ 30.11.2020 (есть доп.соглашение, продлевающее срок действия контракта до 30.12.2020 в связи с Kovid-19"&amp;")
В настоящий момент ведутся работы  по монтажу ж/б лотков теплосети и работы по бетонированию теплосети.
Общий километраж сетей - 2,968 метров, из них 1500 метров проложено. 
 07.12.2020 принесли КС на проверку, заявка ожидается до 10.12.2020 на сумму 31"&amp;" млн. руб.")</f>
        <v>Работы завершены.
Кредиторская задолженность (26 366,86 тыс.руб.) оплачена. 
 Поэтапная оплата работ согласно муниципальному контракту
 Завершение работ 30.11.2020 (есть доп.соглашение, продлевающее срок действия контракта до 30.12.2020 в связи с Kovid-19)
В настоящий момент ведутся работы  по монтажу ж/б лотков теплосети и работы по бетонированию теплосети.
Общий километраж сетей - 2,968 метров, из них 1500 метров проложено. 
 07.12.2020 принесли КС на проверку, заявка ожидается до 10.12.2020 на сумму 31 млн. руб.</v>
      </c>
      <c r="I456" s="47" t="str">
        <f ca="1">IFERROR(__xludf.DUMMYFUNCTION("""COMPUTED_VALUE"""),"Вып")</f>
        <v>Вып</v>
      </c>
      <c r="J456" s="48">
        <f ca="1">IFERROR(__xludf.DUMMYFUNCTION("""COMPUTED_VALUE"""),100)</f>
        <v>100</v>
      </c>
      <c r="K456" s="48">
        <f ca="1">IFERROR(__xludf.DUMMYFUNCTION("""COMPUTED_VALUE"""),5000)</f>
        <v>5000</v>
      </c>
      <c r="L456" s="48">
        <f ca="1">IFERROR(__xludf.DUMMYFUNCTION("""COMPUTED_VALUE"""),5000)</f>
        <v>5000</v>
      </c>
      <c r="M456" s="49" t="str">
        <f ca="1">IFERROR(__xludf.DUMMYFUNCTION("""COMPUTED_VALUE"""),"https://drive.google.com/drive/folders/1BKhtX24QMmvAokCE7UM1jBbROzdlDhk-?usp=sharing")</f>
        <v>https://drive.google.com/drive/folders/1BKhtX24QMmvAokCE7UM1jBbROzdlDhk-?usp=sharing</v>
      </c>
      <c r="N456" s="47" t="str">
        <f ca="1">IFERROR(__xludf.DUMMYFUNCTION("""COMPUTED_VALUE"""),"10 3 03 64460")</f>
        <v>10 3 03 64460</v>
      </c>
      <c r="O456" s="48">
        <f ca="1">IFERROR(__xludf.DUMMYFUNCTION("""COMPUTED_VALUE"""),522)</f>
        <v>522</v>
      </c>
      <c r="P456" s="66">
        <f t="shared" si="428"/>
        <v>105223.32</v>
      </c>
      <c r="Q456" s="66"/>
      <c r="R456" s="66">
        <f t="shared" si="429"/>
        <v>4631.59</v>
      </c>
      <c r="S456" s="66">
        <f t="shared" si="430"/>
        <v>95347.66</v>
      </c>
      <c r="T456" s="66">
        <f t="shared" si="431"/>
        <v>5244.07</v>
      </c>
      <c r="U456" s="66"/>
      <c r="V456" s="66">
        <f t="shared" si="432"/>
        <v>0</v>
      </c>
      <c r="W456" s="66"/>
      <c r="X456" s="66">
        <v>0</v>
      </c>
      <c r="Y456" s="66">
        <v>0</v>
      </c>
      <c r="Z456" s="66">
        <v>0</v>
      </c>
      <c r="AA456" s="66"/>
      <c r="AB456" s="66">
        <f t="shared" si="433"/>
        <v>6245.09</v>
      </c>
      <c r="AC456" s="66"/>
      <c r="AD456" s="66">
        <v>4631.59</v>
      </c>
      <c r="AE456" s="66">
        <v>0</v>
      </c>
      <c r="AF456" s="66">
        <v>1613.5</v>
      </c>
      <c r="AG456" s="66"/>
      <c r="AH456" s="66">
        <f t="shared" si="434"/>
        <v>98978.23000000001</v>
      </c>
      <c r="AI456" s="66"/>
      <c r="AJ456" s="66">
        <v>0</v>
      </c>
      <c r="AK456" s="66">
        <v>95347.66</v>
      </c>
      <c r="AL456" s="66">
        <v>3630.57</v>
      </c>
      <c r="AM456" s="66"/>
      <c r="AN456" s="66">
        <f t="shared" si="435"/>
        <v>0</v>
      </c>
      <c r="AO456" s="66"/>
      <c r="AP456" s="66">
        <v>0</v>
      </c>
      <c r="AQ456" s="66">
        <v>0</v>
      </c>
      <c r="AR456" s="66">
        <v>0</v>
      </c>
      <c r="AS456" s="66"/>
      <c r="AT456" s="66">
        <f t="shared" si="436"/>
        <v>0</v>
      </c>
      <c r="AU456" s="66"/>
      <c r="AV456" s="66">
        <v>0</v>
      </c>
      <c r="AW456" s="66">
        <v>0</v>
      </c>
      <c r="AX456" s="66">
        <v>0</v>
      </c>
      <c r="AY456" s="66"/>
      <c r="AZ456" s="66">
        <f t="shared" si="437"/>
        <v>0</v>
      </c>
      <c r="BA456" s="66"/>
      <c r="BB456" s="66">
        <v>0</v>
      </c>
      <c r="BC456" s="66">
        <v>0</v>
      </c>
      <c r="BD456" s="66">
        <v>0</v>
      </c>
      <c r="BE456" s="66"/>
      <c r="BF456" s="66"/>
      <c r="BG456" s="66"/>
      <c r="BH456" s="66"/>
      <c r="BI456" s="66"/>
      <c r="BJ456" s="66"/>
      <c r="BK456" s="66"/>
      <c r="BL456" s="20"/>
    </row>
    <row r="457" spans="1:64" ht="264" x14ac:dyDescent="0.2">
      <c r="A457" s="69">
        <v>453</v>
      </c>
      <c r="B457" s="64" t="str">
        <f ca="1">IFERROR(__xludf.DUMMYFUNCTION("""COMPUTED_VALUE"""),"г.о. Щелково")</f>
        <v>г.о. Щелково</v>
      </c>
      <c r="C457" s="64"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f>
        <v xml:space="preserv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
</v>
      </c>
      <c r="D457" s="47" t="str">
        <f ca="1">IFERROR(__xludf.DUMMYFUNCTION("""COMPUTED_VALUE"""),"МинЖКХ ")</f>
        <v xml:space="preserve">МинЖКХ </v>
      </c>
      <c r="E457" s="65" t="s">
        <v>485</v>
      </c>
      <c r="F457" s="80" t="str">
        <f ca="1">IFERROR(__xludf.DUMMYFUNCTION("""COMPUTED_VALUE"""),"Котельная")</f>
        <v>Котельная</v>
      </c>
      <c r="G457" s="80" t="str">
        <f ca="1">IFERROR(__xludf.DUMMYFUNCTION("""COMPUTED_VALUE"""),"2021-2022")</f>
        <v>2021-2022</v>
      </c>
      <c r="H457" s="48" t="str">
        <f ca="1">IFERROR(__xludf.DUMMYFUNCTION("""COMPUTED_VALUE"""),"Земельный участок попадает в зону владения Министерства обороны. 
Судебное заседание состоялось 22.09.2020. 
По итогам заседания истцу (Минобороны) полностью отказано. 
В настоящее время ожидается публикация решения судьи.
 По итогам публикации, ОМСУ буду"&amp;"т обращаться для регистрации в ИСОГД. 
Назначено совещание на 28.08.2020 совместно с 
Минобороны и МинЖКХ, на котором будут приняты решения.
26.10. Минобороны подали апелляцию в 10-ый Арбитражный Апелляционный суд. 
Заседание назначено на 03.12.2020  в 15"&amp;":20. Аппеляция отклонена, участок будет присвоен г.о. Щелково.
До 31.01.2021 будут загружены документы в ИСОГД, после чего будут подаваться на РС.
")</f>
        <v xml:space="preserve">Земельный участок попадает в зону владения Министерства обороны. 
Судебное заседание состоялось 22.09.2020. 
По итогам заседания истцу (Минобороны) полностью отказано. 
В настоящее время ожидается публикация решения судьи.
 По итогам публикации, ОМСУ будут обращаться для регистрации в ИСОГД. 
Назначено совещание на 28.08.2020 совместно с 
Минобороны и МинЖКХ, на котором будут приняты решения.
26.10. Минобороны подали апелляцию в 10-ый Арбитражный Апелляционный суд. 
Заседание назначено на 03.12.2020  в 15:20. Аппеляция отклонена, участок будет присвоен г.о. Щелково.
До 31.01.2021 будут загружены документы в ИСОГД, после чего будут подаваться на РС.
</v>
      </c>
      <c r="I457" s="48"/>
      <c r="J457" s="48">
        <f ca="1">IFERROR(__xludf.DUMMYFUNCTION("""COMPUTED_VALUE"""),0)</f>
        <v>0</v>
      </c>
      <c r="K457" s="48">
        <f ca="1">IFERROR(__xludf.DUMMYFUNCTION("""COMPUTED_VALUE"""),3161)</f>
        <v>3161</v>
      </c>
      <c r="L457" s="48">
        <f ca="1">IFERROR(__xludf.DUMMYFUNCTION("""COMPUTED_VALUE"""),3161)</f>
        <v>3161</v>
      </c>
      <c r="M457" s="48"/>
      <c r="N457" s="48"/>
      <c r="O457" s="48"/>
      <c r="P457" s="66">
        <f t="shared" si="428"/>
        <v>169828.93000000002</v>
      </c>
      <c r="Q457" s="66"/>
      <c r="R457" s="66">
        <f t="shared" si="429"/>
        <v>72053.27</v>
      </c>
      <c r="S457" s="66">
        <f t="shared" si="430"/>
        <v>80792</v>
      </c>
      <c r="T457" s="66">
        <f t="shared" si="431"/>
        <v>16983.66</v>
      </c>
      <c r="U457" s="66"/>
      <c r="V457" s="66">
        <f t="shared" si="432"/>
        <v>0</v>
      </c>
      <c r="W457" s="66"/>
      <c r="X457" s="66">
        <v>0</v>
      </c>
      <c r="Y457" s="66">
        <v>0</v>
      </c>
      <c r="Z457" s="66">
        <v>0</v>
      </c>
      <c r="AA457" s="66"/>
      <c r="AB457" s="66">
        <f t="shared" si="433"/>
        <v>0</v>
      </c>
      <c r="AC457" s="66"/>
      <c r="AD457" s="66">
        <v>0</v>
      </c>
      <c r="AE457" s="66">
        <v>0</v>
      </c>
      <c r="AF457" s="66">
        <v>0</v>
      </c>
      <c r="AG457" s="66"/>
      <c r="AH457" s="66">
        <f t="shared" si="434"/>
        <v>0</v>
      </c>
      <c r="AI457" s="66"/>
      <c r="AJ457" s="66">
        <v>0</v>
      </c>
      <c r="AK457" s="66">
        <v>0</v>
      </c>
      <c r="AL457" s="66">
        <v>0</v>
      </c>
      <c r="AM457" s="66"/>
      <c r="AN457" s="66">
        <f t="shared" si="435"/>
        <v>89768.92</v>
      </c>
      <c r="AO457" s="66"/>
      <c r="AP457" s="66">
        <v>0</v>
      </c>
      <c r="AQ457" s="66">
        <v>80792</v>
      </c>
      <c r="AR457" s="66">
        <v>8976.92</v>
      </c>
      <c r="AS457" s="66"/>
      <c r="AT457" s="66">
        <f t="shared" si="436"/>
        <v>80060.010000000009</v>
      </c>
      <c r="AU457" s="66"/>
      <c r="AV457" s="66">
        <v>72053.27</v>
      </c>
      <c r="AW457" s="66">
        <v>0</v>
      </c>
      <c r="AX457" s="66">
        <v>8006.74</v>
      </c>
      <c r="AY457" s="66"/>
      <c r="AZ457" s="66">
        <f t="shared" si="437"/>
        <v>0</v>
      </c>
      <c r="BA457" s="66"/>
      <c r="BB457" s="66">
        <v>0</v>
      </c>
      <c r="BC457" s="66">
        <v>0</v>
      </c>
      <c r="BD457" s="66">
        <v>0</v>
      </c>
      <c r="BE457" s="66"/>
      <c r="BF457" s="66"/>
      <c r="BG457" s="66"/>
      <c r="BH457" s="66"/>
      <c r="BI457" s="66"/>
      <c r="BJ457" s="66"/>
      <c r="BK457" s="66"/>
      <c r="BL457" s="20"/>
    </row>
    <row r="458" spans="1:64" ht="144" x14ac:dyDescent="0.2">
      <c r="A458" s="69">
        <v>454</v>
      </c>
      <c r="B458" s="64" t="str">
        <f ca="1">IFERROR(__xludf.DUMMYFUNCTION("""COMPUTED_VALUE"""),"г.о. Щелково ")</f>
        <v xml:space="preserve">г.о. Щелково </v>
      </c>
      <c r="C458"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8" s="47" t="str">
        <f ca="1">IFERROR(__xludf.DUMMYFUNCTION("""COMPUTED_VALUE"""),"Минкульт")</f>
        <v>Минкульт</v>
      </c>
      <c r="E458" s="65" t="s">
        <v>486</v>
      </c>
      <c r="F458" s="64"/>
      <c r="G458" s="64" t="str">
        <f ca="1">IFERROR(__xludf.DUMMYFUNCTION("""COMPUTED_VALUE"""),"2016-2022")</f>
        <v>2016-2022</v>
      </c>
      <c r="H458" s="48"/>
      <c r="I458" s="48"/>
      <c r="J458" s="48"/>
      <c r="K458" s="48">
        <f ca="1">IFERROR(__xludf.DUMMYFUNCTION("""COMPUTED_VALUE"""),22512)</f>
        <v>22512</v>
      </c>
      <c r="L458" s="48"/>
      <c r="M458" s="48"/>
      <c r="N458" s="48"/>
      <c r="O458" s="48"/>
      <c r="P458" s="66">
        <f t="shared" si="428"/>
        <v>261696.28</v>
      </c>
      <c r="Q458" s="66"/>
      <c r="R458" s="66">
        <f t="shared" si="429"/>
        <v>248357.08</v>
      </c>
      <c r="S458" s="66">
        <f t="shared" si="430"/>
        <v>0</v>
      </c>
      <c r="T458" s="66">
        <f t="shared" si="431"/>
        <v>13339.2</v>
      </c>
      <c r="U458" s="66"/>
      <c r="V458" s="66">
        <f t="shared" si="432"/>
        <v>93638.19</v>
      </c>
      <c r="W458" s="66"/>
      <c r="X458" s="66">
        <v>88609.69</v>
      </c>
      <c r="Y458" s="66">
        <v>0</v>
      </c>
      <c r="Z458" s="66">
        <v>5028.5</v>
      </c>
      <c r="AA458" s="66"/>
      <c r="AB458" s="66">
        <f t="shared" si="433"/>
        <v>25789.88</v>
      </c>
      <c r="AC458" s="66"/>
      <c r="AD458" s="66">
        <v>24500.39</v>
      </c>
      <c r="AE458" s="66">
        <v>0</v>
      </c>
      <c r="AF458" s="66">
        <v>1289.49</v>
      </c>
      <c r="AG458" s="66"/>
      <c r="AH458" s="66">
        <f t="shared" si="434"/>
        <v>14150.899999999998</v>
      </c>
      <c r="AI458" s="66"/>
      <c r="AJ458" s="66">
        <v>13535.599999999999</v>
      </c>
      <c r="AK458" s="66">
        <v>0</v>
      </c>
      <c r="AL458" s="66">
        <v>615.29999999999995</v>
      </c>
      <c r="AM458" s="66"/>
      <c r="AN458" s="66">
        <f t="shared" si="435"/>
        <v>74110.989999999991</v>
      </c>
      <c r="AO458" s="66"/>
      <c r="AP458" s="66">
        <v>70405.399999999994</v>
      </c>
      <c r="AQ458" s="66">
        <v>0</v>
      </c>
      <c r="AR458" s="66">
        <v>3705.59</v>
      </c>
      <c r="AS458" s="66"/>
      <c r="AT458" s="66">
        <f t="shared" si="436"/>
        <v>54006.32</v>
      </c>
      <c r="AU458" s="66"/>
      <c r="AV458" s="66">
        <v>51306</v>
      </c>
      <c r="AW458" s="66">
        <v>0</v>
      </c>
      <c r="AX458" s="66">
        <v>2700.32</v>
      </c>
      <c r="AY458" s="66"/>
      <c r="AZ458" s="66">
        <f t="shared" si="437"/>
        <v>0</v>
      </c>
      <c r="BA458" s="66"/>
      <c r="BB458" s="66">
        <v>0</v>
      </c>
      <c r="BC458" s="66">
        <v>0</v>
      </c>
      <c r="BD458" s="66">
        <v>0</v>
      </c>
      <c r="BE458" s="66"/>
      <c r="BF458" s="66"/>
      <c r="BG458" s="66"/>
      <c r="BH458" s="66"/>
      <c r="BI458" s="66"/>
      <c r="BJ458" s="66"/>
      <c r="BK458" s="66"/>
      <c r="BL458" s="20"/>
    </row>
    <row r="459" spans="1:64" ht="144" x14ac:dyDescent="0.2">
      <c r="A459" s="69">
        <v>455</v>
      </c>
      <c r="B459" s="64" t="str">
        <f ca="1">IFERROR(__xludf.DUMMYFUNCTION("""COMPUTED_VALUE"""),"г.о. Щелково ")</f>
        <v xml:space="preserve">г.о. Щелково </v>
      </c>
      <c r="C459"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59" s="47" t="str">
        <f ca="1">IFERROR(__xludf.DUMMYFUNCTION("""COMPUTED_VALUE"""),"Минкульт")</f>
        <v>Минкульт</v>
      </c>
      <c r="E459" s="65" t="s">
        <v>487</v>
      </c>
      <c r="F459" s="64"/>
      <c r="G459" s="64" t="str">
        <f ca="1">IFERROR(__xludf.DUMMYFUNCTION("""COMPUTED_VALUE"""),"2019-2021")</f>
        <v>2019-2021</v>
      </c>
      <c r="H459" s="48"/>
      <c r="I459" s="48"/>
      <c r="J459" s="48"/>
      <c r="K459" s="48">
        <f ca="1">IFERROR(__xludf.DUMMYFUNCTION("""COMPUTED_VALUE"""),30000)</f>
        <v>30000</v>
      </c>
      <c r="L459" s="48"/>
      <c r="M459" s="48"/>
      <c r="N459" s="48"/>
      <c r="O459" s="48"/>
      <c r="P459" s="66">
        <f t="shared" si="428"/>
        <v>194168.82</v>
      </c>
      <c r="Q459" s="66"/>
      <c r="R459" s="66">
        <f t="shared" si="429"/>
        <v>184460.34</v>
      </c>
      <c r="S459" s="66">
        <f t="shared" si="430"/>
        <v>0</v>
      </c>
      <c r="T459" s="66">
        <f t="shared" si="431"/>
        <v>9708.48</v>
      </c>
      <c r="U459" s="66"/>
      <c r="V459" s="66">
        <f t="shared" si="432"/>
        <v>0</v>
      </c>
      <c r="W459" s="66"/>
      <c r="X459" s="66">
        <v>0</v>
      </c>
      <c r="Y459" s="66">
        <v>0</v>
      </c>
      <c r="Z459" s="66">
        <v>0</v>
      </c>
      <c r="AA459" s="66"/>
      <c r="AB459" s="66">
        <f t="shared" si="433"/>
        <v>20872.63</v>
      </c>
      <c r="AC459" s="66"/>
      <c r="AD459" s="66">
        <v>19829</v>
      </c>
      <c r="AE459" s="66">
        <v>0</v>
      </c>
      <c r="AF459" s="66">
        <v>1043.6300000000001</v>
      </c>
      <c r="AG459" s="66"/>
      <c r="AH459" s="66">
        <f t="shared" si="434"/>
        <v>80826.669999999984</v>
      </c>
      <c r="AI459" s="66"/>
      <c r="AJ459" s="66">
        <v>76785.299999999988</v>
      </c>
      <c r="AK459" s="66">
        <v>0</v>
      </c>
      <c r="AL459" s="66">
        <v>4041.37</v>
      </c>
      <c r="AM459" s="66"/>
      <c r="AN459" s="66">
        <f t="shared" si="435"/>
        <v>92469.52</v>
      </c>
      <c r="AO459" s="66"/>
      <c r="AP459" s="66">
        <f>59900.44+27945.6</f>
        <v>87846.040000000008</v>
      </c>
      <c r="AQ459" s="66">
        <v>0</v>
      </c>
      <c r="AR459" s="66">
        <f>3152.66+1470.82</f>
        <v>4623.4799999999996</v>
      </c>
      <c r="AS459" s="66"/>
      <c r="AT459" s="66">
        <f t="shared" si="436"/>
        <v>0</v>
      </c>
      <c r="AU459" s="66"/>
      <c r="AV459" s="66">
        <v>0</v>
      </c>
      <c r="AW459" s="66">
        <v>0</v>
      </c>
      <c r="AX459" s="66">
        <v>0</v>
      </c>
      <c r="AY459" s="66"/>
      <c r="AZ459" s="66">
        <f t="shared" si="437"/>
        <v>0</v>
      </c>
      <c r="BA459" s="66"/>
      <c r="BB459" s="66">
        <v>0</v>
      </c>
      <c r="BC459" s="66">
        <v>0</v>
      </c>
      <c r="BD459" s="66">
        <v>0</v>
      </c>
      <c r="BE459" s="66"/>
      <c r="BF459" s="66"/>
      <c r="BG459" s="66"/>
      <c r="BH459" s="66"/>
      <c r="BI459" s="66"/>
      <c r="BJ459" s="66"/>
      <c r="BK459" s="66"/>
      <c r="BL459" s="20"/>
    </row>
    <row r="460" spans="1:64" ht="102.75" customHeight="1" x14ac:dyDescent="0.2">
      <c r="A460" s="69">
        <v>456</v>
      </c>
      <c r="B460" s="64" t="str">
        <f ca="1">IFERROR(__xludf.DUMMYFUNCTION("""COMPUTED_VALUE"""),"г.о. Щелково")</f>
        <v>г.о. Щелково</v>
      </c>
      <c r="C460"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0" s="47" t="str">
        <f ca="1">IFERROR(__xludf.DUMMYFUNCTION("""COMPUTED_VALUE"""),"МинЖКХ")</f>
        <v>МинЖКХ</v>
      </c>
      <c r="E460" s="58" t="s">
        <v>488</v>
      </c>
      <c r="F460" s="68" t="str">
        <f ca="1">IFERROR(__xludf.DUMMYFUNCTION("""COMPUTED_VALUE"""),"КНК")</f>
        <v>КНК</v>
      </c>
      <c r="G460" s="68" t="str">
        <f ca="1">IFERROR(__xludf.DUMMYFUNCTION("""COMPUTED_VALUE"""),"2019-2020")</f>
        <v>2019-2020</v>
      </c>
      <c r="H460" s="48" t="str">
        <f ca="1">IFERROR(__xludf.DUMMYFUNCTION("""COMPUTED_VALUE"""),"Работы завершены.
22.12.2020 будет повторно направлена заявка на сумму 300.000 руб за СК. Остаток 3,5 мнл.руб, экономия, планируется расторжение контракта. 
25.12.2020 направят письмо о расторжении контракта по соглашению сторон. ")</f>
        <v xml:space="preserve">Работы завершены.
22.12.2020 будет повторно направлена заявка на сумму 300.000 руб за СК. Остаток 3,5 мнл.руб, экономия, планируется расторжение контракта. 
25.12.2020 направят письмо о расторжении контракта по соглашению сторон. </v>
      </c>
      <c r="I460" s="47" t="str">
        <f ca="1">IFERROR(__xludf.DUMMYFUNCTION("""COMPUTED_VALUE"""),"Вып")</f>
        <v>Вып</v>
      </c>
      <c r="J460" s="48">
        <f ca="1">IFERROR(__xludf.DUMMYFUNCTION("""COMPUTED_VALUE"""),100)</f>
        <v>100</v>
      </c>
      <c r="K460" s="48">
        <f ca="1">IFERROR(__xludf.DUMMYFUNCTION("""COMPUTED_VALUE"""),13000)</f>
        <v>13000</v>
      </c>
      <c r="L460" s="48">
        <f ca="1">IFERROR(__xludf.DUMMYFUNCTION("""COMPUTED_VALUE"""),13000)</f>
        <v>13000</v>
      </c>
      <c r="M460" s="48"/>
      <c r="N460" s="48" t="str">
        <f ca="1">IFERROR(__xludf.DUMMYFUNCTION("""COMPUTED_VALUE"""),"10 3 03 60300")</f>
        <v>10 3 03 60300</v>
      </c>
      <c r="O460" s="48">
        <f ca="1">IFERROR(__xludf.DUMMYFUNCTION("""COMPUTED_VALUE"""),521)</f>
        <v>521</v>
      </c>
      <c r="P460" s="66">
        <f t="shared" si="428"/>
        <v>126893.53000000001</v>
      </c>
      <c r="Q460" s="66"/>
      <c r="R460" s="66">
        <f t="shared" si="429"/>
        <v>114205.04000000001</v>
      </c>
      <c r="S460" s="66">
        <f t="shared" si="430"/>
        <v>0</v>
      </c>
      <c r="T460" s="66">
        <f t="shared" si="431"/>
        <v>12688.490000000002</v>
      </c>
      <c r="U460" s="66"/>
      <c r="V460" s="66">
        <f t="shared" si="432"/>
        <v>0</v>
      </c>
      <c r="W460" s="66"/>
      <c r="X460" s="66">
        <v>0</v>
      </c>
      <c r="Y460" s="66">
        <v>0</v>
      </c>
      <c r="Z460" s="66">
        <v>0</v>
      </c>
      <c r="AA460" s="66"/>
      <c r="AB460" s="66">
        <f t="shared" si="433"/>
        <v>36153.340000000004</v>
      </c>
      <c r="AC460" s="66"/>
      <c r="AD460" s="66">
        <v>32538.04</v>
      </c>
      <c r="AE460" s="66">
        <v>0</v>
      </c>
      <c r="AF460" s="66">
        <v>3615.3</v>
      </c>
      <c r="AG460" s="66"/>
      <c r="AH460" s="66">
        <f t="shared" si="434"/>
        <v>90740.19</v>
      </c>
      <c r="AI460" s="66"/>
      <c r="AJ460" s="66">
        <v>81667</v>
      </c>
      <c r="AK460" s="66">
        <v>0</v>
      </c>
      <c r="AL460" s="66">
        <v>9073.19</v>
      </c>
      <c r="AM460" s="66"/>
      <c r="AN460" s="66">
        <f t="shared" si="435"/>
        <v>0</v>
      </c>
      <c r="AO460" s="66"/>
      <c r="AP460" s="66">
        <v>0</v>
      </c>
      <c r="AQ460" s="66">
        <v>0</v>
      </c>
      <c r="AR460" s="66">
        <v>0</v>
      </c>
      <c r="AS460" s="66"/>
      <c r="AT460" s="66">
        <f t="shared" si="436"/>
        <v>0</v>
      </c>
      <c r="AU460" s="66"/>
      <c r="AV460" s="66">
        <v>0</v>
      </c>
      <c r="AW460" s="66">
        <v>0</v>
      </c>
      <c r="AX460" s="66">
        <v>0</v>
      </c>
      <c r="AY460" s="66"/>
      <c r="AZ460" s="66">
        <f t="shared" si="437"/>
        <v>0</v>
      </c>
      <c r="BA460" s="66"/>
      <c r="BB460" s="66">
        <v>0</v>
      </c>
      <c r="BC460" s="66">
        <v>0</v>
      </c>
      <c r="BD460" s="66">
        <v>0</v>
      </c>
      <c r="BE460" s="66"/>
      <c r="BF460" s="66"/>
      <c r="BG460" s="66"/>
      <c r="BH460" s="66"/>
      <c r="BI460" s="66"/>
      <c r="BJ460" s="66"/>
      <c r="BK460" s="66"/>
      <c r="BL460" s="20"/>
    </row>
    <row r="461" spans="1:64" ht="144" x14ac:dyDescent="0.2">
      <c r="A461" s="69">
        <v>457</v>
      </c>
      <c r="B461" s="64" t="str">
        <f ca="1">IFERROR(__xludf.DUMMYFUNCTION("""COMPUTED_VALUE"""),"г.о. Электросталь ")</f>
        <v xml:space="preserve">г.о. Электросталь </v>
      </c>
      <c r="C461"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1" s="47" t="str">
        <f ca="1">IFERROR(__xludf.DUMMYFUNCTION("""COMPUTED_VALUE"""),"МинЖКХ ")</f>
        <v xml:space="preserve">МинЖКХ </v>
      </c>
      <c r="E461" s="58" t="s">
        <v>489</v>
      </c>
      <c r="F461" s="68" t="str">
        <f ca="1">IFERROR(__xludf.DUMMYFUNCTION("""COMPUTED_VALUE"""),"Сети")</f>
        <v>Сети</v>
      </c>
      <c r="G461" s="68">
        <f ca="1">IFERROR(__xludf.DUMMYFUNCTION("""COMPUTED_VALUE"""),2022)</f>
        <v>2022</v>
      </c>
      <c r="H461" s="48" t="str">
        <f ca="1">IFERROR(__xludf.DUMMYFUNCTION("""COMPUTED_VALUE"""),"Лимиты заблокированы МЭФ по причине Covid-19. 
 Финансирование перенесено на 2022 год
До 25.11.2020 направят письмо на увеличние бюджета лимитов на реализацию мероприятия.")</f>
        <v>Лимиты заблокированы МЭФ по причине Covid-19. 
 Финансирование перенесено на 2022 год
До 25.11.2020 направят письмо на увеличние бюджета лимитов на реализацию мероприятия.</v>
      </c>
      <c r="I461" s="48"/>
      <c r="J461" s="48">
        <f ca="1">IFERROR(__xludf.DUMMYFUNCTION("""COMPUTED_VALUE"""),0)</f>
        <v>0</v>
      </c>
      <c r="K461" s="48">
        <f ca="1">IFERROR(__xludf.DUMMYFUNCTION("""COMPUTED_VALUE"""),3133)</f>
        <v>3133</v>
      </c>
      <c r="L461" s="48">
        <f ca="1">IFERROR(__xludf.DUMMYFUNCTION("""COMPUTED_VALUE"""),3133)</f>
        <v>3133</v>
      </c>
      <c r="M461" s="48"/>
      <c r="N461" s="48"/>
      <c r="O461" s="48"/>
      <c r="P461" s="66">
        <f t="shared" si="428"/>
        <v>10898.03</v>
      </c>
      <c r="Q461" s="66"/>
      <c r="R461" s="66">
        <f t="shared" si="429"/>
        <v>10353</v>
      </c>
      <c r="S461" s="66">
        <f t="shared" si="430"/>
        <v>0</v>
      </c>
      <c r="T461" s="66">
        <f t="shared" si="431"/>
        <v>545.03</v>
      </c>
      <c r="U461" s="66"/>
      <c r="V461" s="66">
        <f t="shared" si="432"/>
        <v>0</v>
      </c>
      <c r="W461" s="66"/>
      <c r="X461" s="66">
        <v>0</v>
      </c>
      <c r="Y461" s="66">
        <v>0</v>
      </c>
      <c r="Z461" s="66">
        <v>0</v>
      </c>
      <c r="AA461" s="66"/>
      <c r="AB461" s="66">
        <f t="shared" si="433"/>
        <v>0</v>
      </c>
      <c r="AC461" s="66"/>
      <c r="AD461" s="66">
        <v>0</v>
      </c>
      <c r="AE461" s="66">
        <v>0</v>
      </c>
      <c r="AF461" s="66">
        <v>0</v>
      </c>
      <c r="AG461" s="66"/>
      <c r="AH461" s="66">
        <f t="shared" si="434"/>
        <v>0</v>
      </c>
      <c r="AI461" s="66"/>
      <c r="AJ461" s="66">
        <v>0</v>
      </c>
      <c r="AK461" s="66">
        <v>0</v>
      </c>
      <c r="AL461" s="66">
        <v>0</v>
      </c>
      <c r="AM461" s="66"/>
      <c r="AN461" s="66">
        <f t="shared" si="435"/>
        <v>0</v>
      </c>
      <c r="AO461" s="66"/>
      <c r="AP461" s="66">
        <v>0</v>
      </c>
      <c r="AQ461" s="66">
        <v>0</v>
      </c>
      <c r="AR461" s="66">
        <v>0</v>
      </c>
      <c r="AS461" s="66"/>
      <c r="AT461" s="66">
        <f t="shared" si="436"/>
        <v>10898.03</v>
      </c>
      <c r="AU461" s="66"/>
      <c r="AV461" s="66">
        <v>10353</v>
      </c>
      <c r="AW461" s="66">
        <v>0</v>
      </c>
      <c r="AX461" s="66">
        <v>545.03</v>
      </c>
      <c r="AY461" s="66"/>
      <c r="AZ461" s="66">
        <f t="shared" si="437"/>
        <v>0</v>
      </c>
      <c r="BA461" s="66"/>
      <c r="BB461" s="66">
        <v>0</v>
      </c>
      <c r="BC461" s="66">
        <v>0</v>
      </c>
      <c r="BD461" s="66">
        <v>0</v>
      </c>
      <c r="BE461" s="66"/>
      <c r="BF461" s="66"/>
      <c r="BG461" s="66"/>
      <c r="BH461" s="66"/>
      <c r="BI461" s="66"/>
      <c r="BJ461" s="66"/>
      <c r="BK461" s="66"/>
      <c r="BL461" s="20"/>
    </row>
    <row r="462" spans="1:64" ht="144" x14ac:dyDescent="0.2">
      <c r="A462" s="69">
        <v>458</v>
      </c>
      <c r="B462" s="64" t="str">
        <f ca="1">IFERROR(__xludf.DUMMYFUNCTION("""COMPUTED_VALUE""")," г.о. Электросталь")</f>
        <v xml:space="preserve"> г.о. Электросталь</v>
      </c>
      <c r="C462"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2" s="47" t="str">
        <f ca="1">IFERROR(__xludf.DUMMYFUNCTION("""COMPUTED_VALUE"""),"Минкульт")</f>
        <v>Минкульт</v>
      </c>
      <c r="E462" s="65" t="s">
        <v>490</v>
      </c>
      <c r="F462" s="68"/>
      <c r="G462" s="68" t="str">
        <f ca="1">IFERROR(__xludf.DUMMYFUNCTION("""COMPUTED_VALUE"""),"2018-2020")</f>
        <v>2018-2020</v>
      </c>
      <c r="H462" s="48"/>
      <c r="I462" s="48"/>
      <c r="J462" s="48"/>
      <c r="K462" s="48"/>
      <c r="L462" s="48"/>
      <c r="M462" s="48"/>
      <c r="N462" s="48"/>
      <c r="O462" s="48"/>
      <c r="P462" s="66">
        <f t="shared" si="428"/>
        <v>152839.49</v>
      </c>
      <c r="Q462" s="66"/>
      <c r="R462" s="66">
        <f t="shared" si="429"/>
        <v>100707.93</v>
      </c>
      <c r="S462" s="66">
        <f t="shared" si="430"/>
        <v>46341.05</v>
      </c>
      <c r="T462" s="66">
        <f t="shared" si="431"/>
        <v>5790.51</v>
      </c>
      <c r="U462" s="66"/>
      <c r="V462" s="66">
        <f t="shared" si="432"/>
        <v>490.1</v>
      </c>
      <c r="W462" s="66"/>
      <c r="X462" s="66">
        <v>0</v>
      </c>
      <c r="Y462" s="66">
        <v>0</v>
      </c>
      <c r="Z462" s="66">
        <v>490.1</v>
      </c>
      <c r="AA462" s="66"/>
      <c r="AB462" s="66">
        <f t="shared" si="433"/>
        <v>59667.29</v>
      </c>
      <c r="AC462" s="66"/>
      <c r="AD462" s="66">
        <v>56683.93</v>
      </c>
      <c r="AE462" s="66">
        <v>0</v>
      </c>
      <c r="AF462" s="66">
        <v>2983.36</v>
      </c>
      <c r="AG462" s="66"/>
      <c r="AH462" s="66">
        <f t="shared" si="434"/>
        <v>92682.1</v>
      </c>
      <c r="AI462" s="66"/>
      <c r="AJ462" s="66">
        <v>44024</v>
      </c>
      <c r="AK462" s="66">
        <v>46341.05</v>
      </c>
      <c r="AL462" s="66">
        <v>2317.0500000000002</v>
      </c>
      <c r="AM462" s="66"/>
      <c r="AN462" s="66">
        <f t="shared" si="435"/>
        <v>0</v>
      </c>
      <c r="AO462" s="66"/>
      <c r="AP462" s="66">
        <v>0</v>
      </c>
      <c r="AQ462" s="66">
        <v>0</v>
      </c>
      <c r="AR462" s="66">
        <v>0</v>
      </c>
      <c r="AS462" s="66"/>
      <c r="AT462" s="66">
        <f t="shared" si="436"/>
        <v>0</v>
      </c>
      <c r="AU462" s="66"/>
      <c r="AV462" s="66">
        <v>0</v>
      </c>
      <c r="AW462" s="66">
        <v>0</v>
      </c>
      <c r="AX462" s="66">
        <v>0</v>
      </c>
      <c r="AY462" s="66"/>
      <c r="AZ462" s="66">
        <f t="shared" si="437"/>
        <v>0</v>
      </c>
      <c r="BA462" s="66"/>
      <c r="BB462" s="66">
        <v>0</v>
      </c>
      <c r="BC462" s="66">
        <v>0</v>
      </c>
      <c r="BD462" s="66">
        <v>0</v>
      </c>
      <c r="BE462" s="66"/>
      <c r="BF462" s="66"/>
      <c r="BG462" s="66"/>
      <c r="BH462" s="66"/>
      <c r="BI462" s="66"/>
      <c r="BJ462" s="66"/>
      <c r="BK462" s="66"/>
      <c r="BL462" s="20"/>
    </row>
    <row r="463" spans="1:64" ht="96" x14ac:dyDescent="0.2">
      <c r="A463" s="69">
        <v>459</v>
      </c>
      <c r="B463" s="64" t="str">
        <f ca="1">IFERROR(__xludf.DUMMYFUNCTION("""COMPUTED_VALUE"""),"г.о. Электросталь ")</f>
        <v xml:space="preserve">г.о. Электросталь </v>
      </c>
      <c r="C463" s="46" t="str">
        <f ca="1">IFERROR(__xludf.DUMMYFUNCTION("""COMPUTED_VALUE"""),"03.03 -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f>
        <v>03.03 - Предоставление субсидий из бюджета Московской области бюджетам муниципальных образований Московской области на капитальные вложения в объекты инженерной инфраструктуры на территории военных городков</v>
      </c>
      <c r="D463" s="47" t="str">
        <f ca="1">IFERROR(__xludf.DUMMYFUNCTION("""COMPUTED_VALUE"""),"МинЖКХ ")</f>
        <v xml:space="preserve">МинЖКХ </v>
      </c>
      <c r="E463" s="65" t="s">
        <v>491</v>
      </c>
      <c r="F463" s="83" t="str">
        <f ca="1">IFERROR(__xludf.DUMMYFUNCTION("""COMPUTED_VALUE"""),"ОС")</f>
        <v>ОС</v>
      </c>
      <c r="G463" s="83" t="str">
        <f ca="1">IFERROR(__xludf.DUMMYFUNCTION("""COMPUTED_VALUE"""),"2019-2022")</f>
        <v>2019-2022</v>
      </c>
      <c r="H463" s="48" t="str">
        <f ca="1">IFERROR(__xludf.DUMMYFUNCTION("""COMPUTED_VALUE"""),"Положительное заключение МОГЭ от 23.12.2020
 Дата ввода объекта 2022 год
24.12.2020 направлена заявка на сумму 17 584 тыс руб
(Ожидается выход из МОГЭ с потенциальным увеличением бюджета на реализацию мероприятия)")</f>
        <v>Положительное заключение МОГЭ от 23.12.2020
 Дата ввода объекта 2022 год
24.12.2020 направлена заявка на сумму 17 584 тыс руб
(Ожидается выход из МОГЭ с потенциальным увеличением бюджета на реализацию мероприятия)</v>
      </c>
      <c r="I463" s="47" t="str">
        <f ca="1">IFERROR(__xludf.DUMMYFUNCTION("""COMPUTED_VALUE"""),"ПИР")</f>
        <v>ПИР</v>
      </c>
      <c r="J463" s="48">
        <f ca="1">IFERROR(__xludf.DUMMYFUNCTION("""COMPUTED_VALUE"""),100)</f>
        <v>100</v>
      </c>
      <c r="K463" s="48">
        <f ca="1">IFERROR(__xludf.DUMMYFUNCTION("""COMPUTED_VALUE"""),3133)</f>
        <v>3133</v>
      </c>
      <c r="L463" s="48">
        <f ca="1">IFERROR(__xludf.DUMMYFUNCTION("""COMPUTED_VALUE"""),3133)</f>
        <v>3133</v>
      </c>
      <c r="M463" s="48"/>
      <c r="N463" s="48"/>
      <c r="O463" s="48"/>
      <c r="P463" s="66">
        <f t="shared" si="428"/>
        <v>220974.18</v>
      </c>
      <c r="Q463" s="66"/>
      <c r="R463" s="66">
        <f t="shared" si="429"/>
        <v>191416</v>
      </c>
      <c r="S463" s="66">
        <f t="shared" si="430"/>
        <v>17584</v>
      </c>
      <c r="T463" s="66">
        <f t="shared" si="431"/>
        <v>11974.18</v>
      </c>
      <c r="U463" s="66"/>
      <c r="V463" s="66">
        <f t="shared" si="432"/>
        <v>0</v>
      </c>
      <c r="W463" s="66"/>
      <c r="X463" s="66">
        <v>0</v>
      </c>
      <c r="Y463" s="66">
        <v>0</v>
      </c>
      <c r="Z463" s="66">
        <v>0</v>
      </c>
      <c r="AA463" s="66"/>
      <c r="AB463" s="66">
        <f t="shared" si="433"/>
        <v>974.18</v>
      </c>
      <c r="AC463" s="66"/>
      <c r="AD463" s="66">
        <v>0</v>
      </c>
      <c r="AE463" s="66">
        <v>0</v>
      </c>
      <c r="AF463" s="66">
        <v>974.18</v>
      </c>
      <c r="AG463" s="66"/>
      <c r="AH463" s="66">
        <f t="shared" si="434"/>
        <v>18509.47</v>
      </c>
      <c r="AI463" s="66"/>
      <c r="AJ463" s="66">
        <v>0</v>
      </c>
      <c r="AK463" s="66">
        <v>17584</v>
      </c>
      <c r="AL463" s="66">
        <v>925.47</v>
      </c>
      <c r="AM463" s="66"/>
      <c r="AN463" s="66">
        <f t="shared" si="435"/>
        <v>51490.53</v>
      </c>
      <c r="AO463" s="66"/>
      <c r="AP463" s="66">
        <v>48916</v>
      </c>
      <c r="AQ463" s="66">
        <v>0</v>
      </c>
      <c r="AR463" s="66">
        <v>2574.5299999999997</v>
      </c>
      <c r="AS463" s="66"/>
      <c r="AT463" s="66">
        <f t="shared" si="436"/>
        <v>150000</v>
      </c>
      <c r="AU463" s="66"/>
      <c r="AV463" s="66">
        <v>142500</v>
      </c>
      <c r="AW463" s="66">
        <v>0</v>
      </c>
      <c r="AX463" s="66">
        <v>7500</v>
      </c>
      <c r="AY463" s="66"/>
      <c r="AZ463" s="66">
        <f t="shared" si="437"/>
        <v>0</v>
      </c>
      <c r="BA463" s="66"/>
      <c r="BB463" s="66">
        <v>0</v>
      </c>
      <c r="BC463" s="66">
        <v>0</v>
      </c>
      <c r="BD463" s="66">
        <v>0</v>
      </c>
      <c r="BE463" s="66"/>
      <c r="BF463" s="66"/>
      <c r="BG463" s="66"/>
      <c r="BH463" s="66"/>
      <c r="BI463" s="66"/>
      <c r="BJ463" s="66"/>
      <c r="BK463" s="66"/>
      <c r="BL463" s="20"/>
    </row>
    <row r="464" spans="1:64" ht="144" x14ac:dyDescent="0.2">
      <c r="A464" s="69">
        <v>460</v>
      </c>
      <c r="B464" s="64" t="str">
        <f ca="1">IFERROR(__xludf.DUMMYFUNCTION("""COMPUTED_VALUE"""),"г.о. Электросталь ")</f>
        <v xml:space="preserve">г.о. Электросталь </v>
      </c>
      <c r="C464"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4" s="47" t="str">
        <f ca="1">IFERROR(__xludf.DUMMYFUNCTION("""COMPUTED_VALUE"""),"МинЖКХ ")</f>
        <v xml:space="preserve">МинЖКХ </v>
      </c>
      <c r="E464" s="65" t="s">
        <v>492</v>
      </c>
      <c r="F464" s="68" t="str">
        <f ca="1">IFERROR(__xludf.DUMMYFUNCTION("""COMPUTED_VALUE"""),"КНК")</f>
        <v>КНК</v>
      </c>
      <c r="G464" s="68">
        <f ca="1">IFERROR(__xludf.DUMMYFUNCTION("""COMPUTED_VALUE"""),2019)</f>
        <v>2019</v>
      </c>
      <c r="H464" s="48"/>
      <c r="I464" s="48"/>
      <c r="J464" s="48"/>
      <c r="K464" s="48"/>
      <c r="L464" s="48"/>
      <c r="M464" s="48"/>
      <c r="N464" s="48"/>
      <c r="O464" s="48"/>
      <c r="P464" s="66">
        <f t="shared" si="428"/>
        <v>89394.9</v>
      </c>
      <c r="Q464" s="66"/>
      <c r="R464" s="66">
        <f t="shared" si="429"/>
        <v>84925.15</v>
      </c>
      <c r="S464" s="66">
        <f t="shared" si="430"/>
        <v>0</v>
      </c>
      <c r="T464" s="66">
        <f t="shared" si="431"/>
        <v>4469.75</v>
      </c>
      <c r="U464" s="66"/>
      <c r="V464" s="66">
        <f t="shared" si="432"/>
        <v>0</v>
      </c>
      <c r="W464" s="66"/>
      <c r="X464" s="66">
        <v>0</v>
      </c>
      <c r="Y464" s="66">
        <v>0</v>
      </c>
      <c r="Z464" s="66">
        <v>0</v>
      </c>
      <c r="AA464" s="66"/>
      <c r="AB464" s="66">
        <f t="shared" si="433"/>
        <v>89394.9</v>
      </c>
      <c r="AC464" s="66"/>
      <c r="AD464" s="66">
        <v>84925.15</v>
      </c>
      <c r="AE464" s="66">
        <v>0</v>
      </c>
      <c r="AF464" s="66">
        <v>4469.75</v>
      </c>
      <c r="AG464" s="66"/>
      <c r="AH464" s="66">
        <f t="shared" si="434"/>
        <v>0</v>
      </c>
      <c r="AI464" s="66"/>
      <c r="AJ464" s="66">
        <v>0</v>
      </c>
      <c r="AK464" s="66">
        <v>0</v>
      </c>
      <c r="AL464" s="66">
        <v>0</v>
      </c>
      <c r="AM464" s="66"/>
      <c r="AN464" s="66">
        <f t="shared" si="435"/>
        <v>0</v>
      </c>
      <c r="AO464" s="66"/>
      <c r="AP464" s="66">
        <v>0</v>
      </c>
      <c r="AQ464" s="66">
        <v>0</v>
      </c>
      <c r="AR464" s="66">
        <v>0</v>
      </c>
      <c r="AS464" s="66"/>
      <c r="AT464" s="66">
        <f t="shared" si="436"/>
        <v>0</v>
      </c>
      <c r="AU464" s="66"/>
      <c r="AV464" s="66">
        <v>0</v>
      </c>
      <c r="AW464" s="66">
        <v>0</v>
      </c>
      <c r="AX464" s="66">
        <v>0</v>
      </c>
      <c r="AY464" s="66"/>
      <c r="AZ464" s="66">
        <f t="shared" si="437"/>
        <v>0</v>
      </c>
      <c r="BA464" s="66"/>
      <c r="BB464" s="66">
        <v>0</v>
      </c>
      <c r="BC464" s="66">
        <v>0</v>
      </c>
      <c r="BD464" s="66">
        <v>0</v>
      </c>
      <c r="BE464" s="66"/>
      <c r="BF464" s="66"/>
      <c r="BG464" s="66"/>
      <c r="BH464" s="66"/>
      <c r="BI464" s="66"/>
      <c r="BJ464" s="66"/>
      <c r="BK464" s="66"/>
      <c r="BL464" s="20"/>
    </row>
    <row r="465" spans="1:64" ht="144" x14ac:dyDescent="0.2">
      <c r="A465" s="69">
        <v>461</v>
      </c>
      <c r="B465" s="64" t="str">
        <f ca="1">IFERROR(__xludf.DUMMYFUNCTION("""COMPUTED_VALUE"""),"г.о. Электросталь ")</f>
        <v xml:space="preserve">г.о. Электросталь </v>
      </c>
      <c r="C465" s="64" t="str">
        <f ca="1">IFERROR(__xludf.DUMMYFUNCTION("""COMPUTED_VALUE"""),"03.01 -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М"&amp;"осковской области, переданных из федеральной собственности
")</f>
        <v xml:space="preserve">03.01 - Предоставление субсидий из бюджета Московской области бюджетам муниципальных образований Московской области на проведение первоочередных мероприятий по восстановлению объектов социальной и инженерной инфраструктуры военных городков на территории Московской области, переданных из федеральной собственности
</v>
      </c>
      <c r="D465" s="47" t="str">
        <f ca="1">IFERROR(__xludf.DUMMYFUNCTION("""COMPUTED_VALUE"""),"МинЖКХ ")</f>
        <v xml:space="preserve">МинЖКХ </v>
      </c>
      <c r="E465" s="65" t="s">
        <v>493</v>
      </c>
      <c r="F465" s="68" t="str">
        <f ca="1">IFERROR(__xludf.DUMMYFUNCTION("""COMPUTED_VALUE"""),"Котельная")</f>
        <v>Котельная</v>
      </c>
      <c r="G465" s="68">
        <f ca="1">IFERROR(__xludf.DUMMYFUNCTION("""COMPUTED_VALUE"""),2022)</f>
        <v>2022</v>
      </c>
      <c r="H465" s="48" t="str">
        <f ca="1">IFERROR(__xludf.DUMMYFUNCTION("""COMPUTED_VALUE"""),"Лимиты заблокированы МЭФ по причине Covid-19. 
 Финансирование перенесено на 2022 год
До 25.11.2020 направят письмо на увеличние бюджета лимитов на реализацию мероприятия.")</f>
        <v>Лимиты заблокированы МЭФ по причине Covid-19. 
 Финансирование перенесено на 2022 год
До 25.11.2020 направят письмо на увеличние бюджета лимитов на реализацию мероприятия.</v>
      </c>
      <c r="I465" s="48"/>
      <c r="J465" s="48">
        <f ca="1">IFERROR(__xludf.DUMMYFUNCTION("""COMPUTED_VALUE"""),0)</f>
        <v>0</v>
      </c>
      <c r="K465" s="48">
        <f ca="1">IFERROR(__xludf.DUMMYFUNCTION("""COMPUTED_VALUE"""),3133)</f>
        <v>3133</v>
      </c>
      <c r="L465" s="48">
        <f ca="1">IFERROR(__xludf.DUMMYFUNCTION("""COMPUTED_VALUE"""),3133)</f>
        <v>3133</v>
      </c>
      <c r="M465" s="48"/>
      <c r="N465" s="48"/>
      <c r="O465" s="48"/>
      <c r="P465" s="66">
        <f t="shared" si="428"/>
        <v>17377.740000000002</v>
      </c>
      <c r="Q465" s="66"/>
      <c r="R465" s="66">
        <f t="shared" si="429"/>
        <v>16509</v>
      </c>
      <c r="S465" s="66">
        <f t="shared" si="430"/>
        <v>0</v>
      </c>
      <c r="T465" s="66">
        <f t="shared" si="431"/>
        <v>868.74</v>
      </c>
      <c r="U465" s="66"/>
      <c r="V465" s="66">
        <f t="shared" si="432"/>
        <v>0</v>
      </c>
      <c r="W465" s="66"/>
      <c r="X465" s="66">
        <v>0</v>
      </c>
      <c r="Y465" s="66">
        <v>0</v>
      </c>
      <c r="Z465" s="66">
        <v>0</v>
      </c>
      <c r="AA465" s="66"/>
      <c r="AB465" s="66">
        <f t="shared" si="433"/>
        <v>0</v>
      </c>
      <c r="AC465" s="66"/>
      <c r="AD465" s="66">
        <v>0</v>
      </c>
      <c r="AE465" s="66">
        <v>0</v>
      </c>
      <c r="AF465" s="66">
        <v>0</v>
      </c>
      <c r="AG465" s="66"/>
      <c r="AH465" s="66">
        <f t="shared" si="434"/>
        <v>0</v>
      </c>
      <c r="AI465" s="66"/>
      <c r="AJ465" s="66">
        <v>0</v>
      </c>
      <c r="AK465" s="66">
        <v>0</v>
      </c>
      <c r="AL465" s="66">
        <v>0</v>
      </c>
      <c r="AM465" s="66"/>
      <c r="AN465" s="66">
        <f t="shared" si="435"/>
        <v>0</v>
      </c>
      <c r="AO465" s="66"/>
      <c r="AP465" s="66">
        <v>0</v>
      </c>
      <c r="AQ465" s="66">
        <v>0</v>
      </c>
      <c r="AR465" s="66">
        <v>0</v>
      </c>
      <c r="AS465" s="66"/>
      <c r="AT465" s="66">
        <f t="shared" si="436"/>
        <v>17377.740000000002</v>
      </c>
      <c r="AU465" s="66"/>
      <c r="AV465" s="66">
        <v>16509</v>
      </c>
      <c r="AW465" s="66">
        <v>0</v>
      </c>
      <c r="AX465" s="66">
        <v>868.74</v>
      </c>
      <c r="AY465" s="66"/>
      <c r="AZ465" s="66">
        <f t="shared" si="437"/>
        <v>0</v>
      </c>
      <c r="BA465" s="66"/>
      <c r="BB465" s="66">
        <v>0</v>
      </c>
      <c r="BC465" s="66">
        <v>0</v>
      </c>
      <c r="BD465" s="66">
        <v>0</v>
      </c>
      <c r="BE465" s="66"/>
      <c r="BF465" s="66"/>
      <c r="BG465" s="66"/>
      <c r="BH465" s="66"/>
      <c r="BI465" s="66"/>
      <c r="BJ465" s="66"/>
      <c r="BK465" s="66"/>
      <c r="BL465" s="20"/>
    </row>
    <row r="466" spans="1:64" ht="96" x14ac:dyDescent="0.25">
      <c r="A466" s="85"/>
      <c r="B466" s="61" t="s">
        <v>55</v>
      </c>
      <c r="C466" s="61" t="s">
        <v>494</v>
      </c>
      <c r="D466" s="85"/>
      <c r="E466" s="61" t="s">
        <v>495</v>
      </c>
      <c r="F466" s="85" t="str">
        <f ca="1">IFERROR(__xludf.DUMMYFUNCTION("""COMPUTED_VALUE"""),"ВЗУ")</f>
        <v>ВЗУ</v>
      </c>
      <c r="G466" s="85" t="str">
        <f ca="1">IFERROR(__xludf.DUMMYFUNCTION("""COMPUTED_VALUE"""),"2020-2021")</f>
        <v>2020-2021</v>
      </c>
      <c r="H466" s="85"/>
      <c r="I466" s="85" t="str">
        <f ca="1">IFERROR(__xludf.DUMMYFUNCTION("""COMPUTED_VALUE"""),"СМР")</f>
        <v>СМР</v>
      </c>
      <c r="J466" s="85"/>
      <c r="K466" s="85"/>
      <c r="L466" s="85"/>
      <c r="M466" s="85"/>
      <c r="N466" s="85"/>
      <c r="O466" s="85"/>
      <c r="P466" s="128"/>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row>
    <row r="467" spans="1:64" ht="96" x14ac:dyDescent="0.25">
      <c r="A467" s="86"/>
      <c r="B467" s="45" t="s">
        <v>55</v>
      </c>
      <c r="C467" s="45" t="s">
        <v>494</v>
      </c>
      <c r="D467" s="86"/>
      <c r="E467" s="46" t="s">
        <v>496</v>
      </c>
      <c r="F467" s="86" t="str">
        <f ca="1">IFERROR(__xludf.DUMMYFUNCTION("""COMPUTED_VALUE"""),"ВЗУ")</f>
        <v>ВЗУ</v>
      </c>
      <c r="G467" s="86" t="str">
        <f ca="1">IFERROR(__xludf.DUMMYFUNCTION("""COMPUTED_VALUE"""),"2020-2021")</f>
        <v>2020-2021</v>
      </c>
      <c r="H467" s="86"/>
      <c r="I467" s="86" t="str">
        <f ca="1">IFERROR(__xludf.DUMMYFUNCTION("""COMPUTED_VALUE"""),"СМР")</f>
        <v>СМР</v>
      </c>
      <c r="J467" s="86"/>
      <c r="K467" s="86"/>
      <c r="L467" s="86"/>
      <c r="M467" s="86"/>
      <c r="N467" s="86"/>
      <c r="O467" s="86"/>
      <c r="P467" s="86"/>
      <c r="Q467" s="86"/>
      <c r="R467" s="86"/>
      <c r="S467" s="86"/>
      <c r="T467" s="86"/>
      <c r="U467" s="86"/>
      <c r="V467" s="86"/>
      <c r="W467" s="86"/>
      <c r="X467" s="86"/>
      <c r="Y467" s="86"/>
      <c r="Z467" s="86"/>
      <c r="AA467" s="86"/>
      <c r="AB467" s="86"/>
      <c r="AC467" s="86"/>
      <c r="AD467" s="86"/>
      <c r="AE467" s="86"/>
      <c r="AF467" s="86"/>
      <c r="AG467" s="86"/>
      <c r="AH467" s="86"/>
      <c r="AI467" s="86"/>
      <c r="AJ467" s="86"/>
      <c r="AK467" s="86"/>
      <c r="AL467" s="86"/>
      <c r="AM467" s="86"/>
      <c r="AN467" s="86"/>
      <c r="AO467" s="86"/>
      <c r="AP467" s="86"/>
      <c r="AQ467" s="86"/>
      <c r="AR467" s="86"/>
      <c r="AS467" s="86"/>
      <c r="AT467" s="86"/>
      <c r="AU467" s="86"/>
      <c r="AV467" s="86"/>
      <c r="AW467" s="86"/>
      <c r="AX467" s="86"/>
      <c r="AY467" s="86"/>
      <c r="AZ467" s="86"/>
      <c r="BA467" s="86"/>
      <c r="BB467" s="86"/>
      <c r="BC467" s="86"/>
      <c r="BD467" s="86"/>
      <c r="BE467" s="86"/>
      <c r="BF467" s="86"/>
      <c r="BG467" s="86"/>
      <c r="BH467" s="86"/>
      <c r="BI467" s="86"/>
      <c r="BJ467" s="86"/>
      <c r="BK467" s="86"/>
      <c r="BL467" s="86"/>
    </row>
    <row r="468" spans="1:64" ht="96" x14ac:dyDescent="0.25">
      <c r="A468" s="86"/>
      <c r="B468" s="45" t="s">
        <v>55</v>
      </c>
      <c r="C468" s="45" t="s">
        <v>494</v>
      </c>
      <c r="D468" s="86"/>
      <c r="E468" s="46" t="s">
        <v>497</v>
      </c>
      <c r="F468" s="86" t="str">
        <f ca="1">IFERROR(__xludf.DUMMYFUNCTION("""COMPUTED_VALUE"""),"КНС")</f>
        <v>КНС</v>
      </c>
      <c r="G468" s="86" t="str">
        <f ca="1">IFERROR(__xludf.DUMMYFUNCTION("""COMPUTED_VALUE"""),"2020-2021")</f>
        <v>2020-2021</v>
      </c>
      <c r="H468" s="86"/>
      <c r="I468" s="86" t="str">
        <f ca="1">IFERROR(__xludf.DUMMYFUNCTION("""COMPUTED_VALUE"""),"СМР")</f>
        <v>СМР</v>
      </c>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c r="AK468" s="86"/>
      <c r="AL468" s="86"/>
      <c r="AM468" s="86"/>
      <c r="AN468" s="86"/>
      <c r="AO468" s="86"/>
      <c r="AP468" s="86"/>
      <c r="AQ468" s="86"/>
      <c r="AR468" s="86"/>
      <c r="AS468" s="86"/>
      <c r="AT468" s="86"/>
      <c r="AU468" s="86"/>
      <c r="AV468" s="86"/>
      <c r="AW468" s="86"/>
      <c r="AX468" s="86"/>
      <c r="AY468" s="86"/>
      <c r="AZ468" s="86"/>
      <c r="BA468" s="86"/>
      <c r="BB468" s="86"/>
      <c r="BC468" s="86"/>
      <c r="BD468" s="86"/>
      <c r="BE468" s="86"/>
      <c r="BF468" s="86"/>
      <c r="BG468" s="86"/>
      <c r="BH468" s="86"/>
      <c r="BI468" s="86"/>
      <c r="BJ468" s="86"/>
      <c r="BK468" s="86"/>
      <c r="BL468" s="86"/>
    </row>
    <row r="469" spans="1:64" ht="96" x14ac:dyDescent="0.25">
      <c r="A469" s="86"/>
      <c r="B469" s="45" t="s">
        <v>57</v>
      </c>
      <c r="C469" s="45" t="s">
        <v>494</v>
      </c>
      <c r="D469" s="86"/>
      <c r="E469" s="46" t="s">
        <v>498</v>
      </c>
      <c r="F469" s="86" t="str">
        <f ca="1">IFERROR(__xludf.DUMMYFUNCTION("""COMPUTED_VALUE"""),"ВЗУ")</f>
        <v>ВЗУ</v>
      </c>
      <c r="G469" s="86" t="str">
        <f ca="1">IFERROR(__xludf.DUMMYFUNCTION("""COMPUTED_VALUE"""),"2020-2021")</f>
        <v>2020-2021</v>
      </c>
      <c r="H469" s="86"/>
      <c r="I469" s="86" t="str">
        <f ca="1">IFERROR(__xludf.DUMMYFUNCTION("""COMPUTED_VALUE"""),"СМР")</f>
        <v>СМР</v>
      </c>
      <c r="J469" s="86"/>
      <c r="K469" s="86"/>
      <c r="L469" s="86"/>
      <c r="M469" s="86"/>
      <c r="N469" s="86"/>
      <c r="O469" s="86"/>
      <c r="P469" s="86"/>
      <c r="Q469" s="86"/>
      <c r="R469" s="86"/>
      <c r="S469" s="86"/>
      <c r="T469" s="86"/>
      <c r="U469" s="86"/>
      <c r="V469" s="86"/>
      <c r="W469" s="86"/>
      <c r="X469" s="86"/>
      <c r="Y469" s="86"/>
      <c r="Z469" s="86"/>
      <c r="AA469" s="86"/>
      <c r="AB469" s="86"/>
      <c r="AC469" s="86"/>
      <c r="AD469" s="86"/>
      <c r="AE469" s="86"/>
      <c r="AF469" s="86"/>
      <c r="AG469" s="86"/>
      <c r="AH469" s="86"/>
      <c r="AI469" s="86"/>
      <c r="AJ469" s="86"/>
      <c r="AK469" s="86"/>
      <c r="AL469" s="86"/>
      <c r="AM469" s="86"/>
      <c r="AN469" s="86"/>
      <c r="AO469" s="86"/>
      <c r="AP469" s="86"/>
      <c r="AQ469" s="86"/>
      <c r="AR469" s="86"/>
      <c r="AS469" s="86"/>
      <c r="AT469" s="86"/>
      <c r="AU469" s="86"/>
      <c r="AV469" s="86"/>
      <c r="AW469" s="86"/>
      <c r="AX469" s="86"/>
      <c r="AY469" s="86"/>
      <c r="AZ469" s="86"/>
      <c r="BA469" s="86"/>
      <c r="BB469" s="86"/>
      <c r="BC469" s="86"/>
      <c r="BD469" s="86"/>
      <c r="BE469" s="86"/>
      <c r="BF469" s="86"/>
      <c r="BG469" s="86"/>
      <c r="BH469" s="86"/>
      <c r="BI469" s="86"/>
      <c r="BJ469" s="86"/>
      <c r="BK469" s="86"/>
      <c r="BL469" s="86"/>
    </row>
    <row r="470" spans="1:64" ht="108" x14ac:dyDescent="0.25">
      <c r="A470" s="86"/>
      <c r="B470" s="45" t="s">
        <v>57</v>
      </c>
      <c r="C470" s="45" t="s">
        <v>494</v>
      </c>
      <c r="D470" s="86"/>
      <c r="E470" s="46" t="s">
        <v>499</v>
      </c>
      <c r="F470" s="86" t="str">
        <f ca="1">IFERROR(__xludf.DUMMYFUNCTION("""COMPUTED_VALUE"""),"КНК")</f>
        <v>КНК</v>
      </c>
      <c r="G470" s="86" t="str">
        <f ca="1">IFERROR(__xludf.DUMMYFUNCTION("""COMPUTED_VALUE"""),"2020-2021")</f>
        <v>2020-2021</v>
      </c>
      <c r="H470" s="86"/>
      <c r="I470" s="86" t="str">
        <f ca="1">IFERROR(__xludf.DUMMYFUNCTION("""COMPUTED_VALUE"""),"СМР")</f>
        <v>СМР</v>
      </c>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c r="AK470" s="86"/>
      <c r="AL470" s="86"/>
      <c r="AM470" s="86"/>
      <c r="AN470" s="86"/>
      <c r="AO470" s="86"/>
      <c r="AP470" s="86"/>
      <c r="AQ470" s="86"/>
      <c r="AR470" s="86"/>
      <c r="AS470" s="86"/>
      <c r="AT470" s="86"/>
      <c r="AU470" s="86"/>
      <c r="AV470" s="86"/>
      <c r="AW470" s="86"/>
      <c r="AX470" s="86"/>
      <c r="AY470" s="86"/>
      <c r="AZ470" s="86"/>
      <c r="BA470" s="86"/>
      <c r="BB470" s="86"/>
      <c r="BC470" s="86"/>
      <c r="BD470" s="86"/>
      <c r="BE470" s="86"/>
      <c r="BF470" s="86"/>
      <c r="BG470" s="86"/>
      <c r="BH470" s="86"/>
      <c r="BI470" s="86"/>
      <c r="BJ470" s="86"/>
      <c r="BK470" s="86"/>
      <c r="BL470" s="86"/>
    </row>
    <row r="471" spans="1:64" ht="96" x14ac:dyDescent="0.25">
      <c r="A471" s="86"/>
      <c r="B471" s="45" t="s">
        <v>57</v>
      </c>
      <c r="C471" s="45" t="s">
        <v>494</v>
      </c>
      <c r="D471" s="86"/>
      <c r="E471" s="46" t="s">
        <v>500</v>
      </c>
      <c r="F471" s="86" t="str">
        <f ca="1">IFERROR(__xludf.DUMMYFUNCTION("""COMPUTED_VALUE"""),"КНС")</f>
        <v>КНС</v>
      </c>
      <c r="G471" s="86">
        <f ca="1">IFERROR(__xludf.DUMMYFUNCTION("""COMPUTED_VALUE"""),2020)</f>
        <v>2020</v>
      </c>
      <c r="H471" s="86"/>
      <c r="I471" s="86" t="str">
        <f ca="1">IFERROR(__xludf.DUMMYFUNCTION("""COMPUTED_VALUE"""),"СМР")</f>
        <v>СМР</v>
      </c>
      <c r="J471" s="86"/>
      <c r="K471" s="86"/>
      <c r="L471" s="86"/>
      <c r="M471" s="86"/>
      <c r="N471" s="86"/>
      <c r="O471" s="86"/>
      <c r="P471" s="86"/>
      <c r="Q471" s="86"/>
      <c r="R471" s="86"/>
      <c r="S471" s="86"/>
      <c r="T471" s="86"/>
      <c r="U471" s="86"/>
      <c r="V471" s="86"/>
      <c r="W471" s="86"/>
      <c r="X471" s="86"/>
      <c r="Y471" s="86"/>
      <c r="Z471" s="86"/>
      <c r="AA471" s="86"/>
      <c r="AB471" s="86"/>
      <c r="AC471" s="86"/>
      <c r="AD471" s="86"/>
      <c r="AE471" s="86"/>
      <c r="AF471" s="86"/>
      <c r="AG471" s="86"/>
      <c r="AH471" s="86"/>
      <c r="AI471" s="86"/>
      <c r="AJ471" s="86"/>
      <c r="AK471" s="86"/>
      <c r="AL471" s="86"/>
      <c r="AM471" s="86"/>
      <c r="AN471" s="86"/>
      <c r="AO471" s="86"/>
      <c r="AP471" s="86"/>
      <c r="AQ471" s="86"/>
      <c r="AR471" s="86"/>
      <c r="AS471" s="86"/>
      <c r="AT471" s="86"/>
      <c r="AU471" s="86"/>
      <c r="AV471" s="86"/>
      <c r="AW471" s="86"/>
      <c r="AX471" s="86"/>
      <c r="AY471" s="86"/>
      <c r="AZ471" s="86"/>
      <c r="BA471" s="86"/>
      <c r="BB471" s="86"/>
      <c r="BC471" s="86"/>
      <c r="BD471" s="86"/>
      <c r="BE471" s="86"/>
      <c r="BF471" s="86"/>
      <c r="BG471" s="86"/>
      <c r="BH471" s="86"/>
      <c r="BI471" s="86"/>
      <c r="BJ471" s="86"/>
      <c r="BK471" s="86"/>
      <c r="BL471" s="86"/>
    </row>
    <row r="472" spans="1:64" ht="96" x14ac:dyDescent="0.25">
      <c r="A472" s="86"/>
      <c r="B472" s="45" t="s">
        <v>56</v>
      </c>
      <c r="C472" s="45" t="s">
        <v>494</v>
      </c>
      <c r="D472" s="86"/>
      <c r="E472" s="46" t="s">
        <v>501</v>
      </c>
      <c r="F472" s="86" t="str">
        <f ca="1">IFERROR(__xludf.DUMMYFUNCTION("""COMPUTED_VALUE"""),"ВЗУ")</f>
        <v>ВЗУ</v>
      </c>
      <c r="G472" s="86" t="str">
        <f ca="1">IFERROR(__xludf.DUMMYFUNCTION("""COMPUTED_VALUE"""),"2020-2021")</f>
        <v>2020-2021</v>
      </c>
      <c r="H472" s="86"/>
      <c r="I472" s="86" t="str">
        <f ca="1">IFERROR(__xludf.DUMMYFUNCTION("""COMPUTED_VALUE"""),"СМР")</f>
        <v>СМР</v>
      </c>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86"/>
      <c r="AN472" s="86"/>
      <c r="AO472" s="86"/>
      <c r="AP472" s="86"/>
      <c r="AQ472" s="86"/>
      <c r="AR472" s="86"/>
      <c r="AS472" s="86"/>
      <c r="AT472" s="86"/>
      <c r="AU472" s="86"/>
      <c r="AV472" s="86"/>
      <c r="AW472" s="86"/>
      <c r="AX472" s="86"/>
      <c r="AY472" s="86"/>
      <c r="AZ472" s="86"/>
      <c r="BA472" s="86"/>
      <c r="BB472" s="86"/>
      <c r="BC472" s="86"/>
      <c r="BD472" s="86"/>
      <c r="BE472" s="86"/>
      <c r="BF472" s="86"/>
      <c r="BG472" s="86"/>
      <c r="BH472" s="86"/>
      <c r="BI472" s="86"/>
      <c r="BJ472" s="86"/>
      <c r="BK472" s="86"/>
      <c r="BL472" s="86"/>
    </row>
    <row r="473" spans="1:64" ht="96" x14ac:dyDescent="0.25">
      <c r="A473" s="86"/>
      <c r="B473" s="45" t="s">
        <v>56</v>
      </c>
      <c r="C473" s="45" t="s">
        <v>494</v>
      </c>
      <c r="D473" s="86"/>
      <c r="E473" s="46" t="s">
        <v>502</v>
      </c>
      <c r="F473" s="86" t="str">
        <f ca="1">IFERROR(__xludf.DUMMYFUNCTION("""COMPUTED_VALUE"""),"Сети")</f>
        <v>Сети</v>
      </c>
      <c r="G473" s="86" t="str">
        <f ca="1">IFERROR(__xludf.DUMMYFUNCTION("""COMPUTED_VALUE"""),"2020-2021")</f>
        <v>2020-2021</v>
      </c>
      <c r="H473" s="86"/>
      <c r="I473" s="86" t="str">
        <f ca="1">IFERROR(__xludf.DUMMYFUNCTION("""COMPUTED_VALUE"""),"СМР")</f>
        <v>СМР</v>
      </c>
      <c r="J473" s="86"/>
      <c r="K473" s="86"/>
      <c r="L473" s="86"/>
      <c r="M473" s="86"/>
      <c r="N473" s="86"/>
      <c r="O473" s="86"/>
      <c r="P473" s="86"/>
      <c r="Q473" s="86"/>
      <c r="R473" s="86"/>
      <c r="S473" s="86"/>
      <c r="T473" s="86"/>
      <c r="U473" s="86"/>
      <c r="V473" s="86"/>
      <c r="W473" s="86"/>
      <c r="X473" s="86"/>
      <c r="Y473" s="86"/>
      <c r="Z473" s="86"/>
      <c r="AA473" s="86"/>
      <c r="AB473" s="86"/>
      <c r="AC473" s="86"/>
      <c r="AD473" s="86"/>
      <c r="AE473" s="86"/>
      <c r="AF473" s="86"/>
      <c r="AG473" s="86"/>
      <c r="AH473" s="86"/>
      <c r="AI473" s="86"/>
      <c r="AJ473" s="86"/>
      <c r="AK473" s="86"/>
      <c r="AL473" s="86"/>
      <c r="AM473" s="86"/>
      <c r="AN473" s="86"/>
      <c r="AO473" s="86"/>
      <c r="AP473" s="86"/>
      <c r="AQ473" s="86"/>
      <c r="AR473" s="86"/>
      <c r="AS473" s="86"/>
      <c r="AT473" s="86"/>
      <c r="AU473" s="86"/>
      <c r="AV473" s="86"/>
      <c r="AW473" s="86"/>
      <c r="AX473" s="86"/>
      <c r="AY473" s="86"/>
      <c r="AZ473" s="86"/>
      <c r="BA473" s="86"/>
      <c r="BB473" s="86"/>
      <c r="BC473" s="86"/>
      <c r="BD473" s="86"/>
      <c r="BE473" s="86"/>
      <c r="BF473" s="86"/>
      <c r="BG473" s="86"/>
      <c r="BH473" s="86"/>
      <c r="BI473" s="86"/>
      <c r="BJ473" s="86"/>
      <c r="BK473" s="86"/>
      <c r="BL473" s="86"/>
    </row>
    <row r="474" spans="1:64" ht="96" x14ac:dyDescent="0.25">
      <c r="A474" s="86"/>
      <c r="B474" s="45" t="s">
        <v>56</v>
      </c>
      <c r="C474" s="45" t="s">
        <v>494</v>
      </c>
      <c r="D474" s="86"/>
      <c r="E474" s="46" t="s">
        <v>503</v>
      </c>
      <c r="F474" s="86" t="str">
        <f ca="1">IFERROR(__xludf.DUMMYFUNCTION("""COMPUTED_VALUE"""),"КНК")</f>
        <v>КНК</v>
      </c>
      <c r="G474" s="86" t="str">
        <f ca="1">IFERROR(__xludf.DUMMYFUNCTION("""COMPUTED_VALUE"""),"2020-2021")</f>
        <v>2020-2021</v>
      </c>
      <c r="H474" s="86"/>
      <c r="I474" s="86" t="str">
        <f ca="1">IFERROR(__xludf.DUMMYFUNCTION("""COMPUTED_VALUE"""),"СМР")</f>
        <v>СМР</v>
      </c>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c r="AK474" s="86"/>
      <c r="AL474" s="86"/>
      <c r="AM474" s="86"/>
      <c r="AN474" s="86"/>
      <c r="AO474" s="86"/>
      <c r="AP474" s="86"/>
      <c r="AQ474" s="86"/>
      <c r="AR474" s="86"/>
      <c r="AS474" s="86"/>
      <c r="AT474" s="86"/>
      <c r="AU474" s="86"/>
      <c r="AV474" s="86"/>
      <c r="AW474" s="86"/>
      <c r="AX474" s="86"/>
      <c r="AY474" s="86"/>
      <c r="AZ474" s="86"/>
      <c r="BA474" s="86"/>
      <c r="BB474" s="86"/>
      <c r="BC474" s="86"/>
      <c r="BD474" s="86"/>
      <c r="BE474" s="86"/>
      <c r="BF474" s="86"/>
      <c r="BG474" s="86"/>
      <c r="BH474" s="86"/>
      <c r="BI474" s="86"/>
      <c r="BJ474" s="86"/>
      <c r="BK474" s="86"/>
      <c r="BL474" s="86"/>
    </row>
    <row r="475" spans="1:64" ht="96" x14ac:dyDescent="0.25">
      <c r="A475" s="86"/>
      <c r="B475" s="45" t="s">
        <v>58</v>
      </c>
      <c r="C475" s="45" t="s">
        <v>494</v>
      </c>
      <c r="D475" s="86"/>
      <c r="E475" s="46" t="s">
        <v>504</v>
      </c>
      <c r="F475" s="86" t="str">
        <f ca="1">IFERROR(__xludf.DUMMYFUNCTION("""COMPUTED_VALUE"""),"ВЗУ")</f>
        <v>ВЗУ</v>
      </c>
      <c r="G475" s="86" t="str">
        <f ca="1">IFERROR(__xludf.DUMMYFUNCTION("""COMPUTED_VALUE"""),"2020-2021")</f>
        <v>2020-2021</v>
      </c>
      <c r="H475" s="86"/>
      <c r="I475" s="86" t="str">
        <f ca="1">IFERROR(__xludf.DUMMYFUNCTION("""COMPUTED_VALUE"""),"СМР")</f>
        <v>СМР</v>
      </c>
      <c r="J475" s="86"/>
      <c r="K475" s="86"/>
      <c r="L475" s="86"/>
      <c r="M475" s="86"/>
      <c r="N475" s="86"/>
      <c r="O475" s="86"/>
      <c r="P475" s="86"/>
      <c r="Q475" s="86"/>
      <c r="R475" s="86"/>
      <c r="S475" s="86"/>
      <c r="T475" s="86"/>
      <c r="U475" s="86"/>
      <c r="V475" s="86"/>
      <c r="W475" s="86"/>
      <c r="X475" s="86"/>
      <c r="Y475" s="86"/>
      <c r="Z475" s="86"/>
      <c r="AA475" s="86"/>
      <c r="AB475" s="86"/>
      <c r="AC475" s="86"/>
      <c r="AD475" s="86"/>
      <c r="AE475" s="86"/>
      <c r="AF475" s="86"/>
      <c r="AG475" s="86"/>
      <c r="AH475" s="86"/>
      <c r="AI475" s="86"/>
      <c r="AJ475" s="86"/>
      <c r="AK475" s="86"/>
      <c r="AL475" s="86"/>
      <c r="AM475" s="86"/>
      <c r="AN475" s="86"/>
      <c r="AO475" s="86"/>
      <c r="AP475" s="86"/>
      <c r="AQ475" s="86"/>
      <c r="AR475" s="86"/>
      <c r="AS475" s="86"/>
      <c r="AT475" s="86"/>
      <c r="AU475" s="86"/>
      <c r="AV475" s="86"/>
      <c r="AW475" s="86"/>
      <c r="AX475" s="86"/>
      <c r="AY475" s="86"/>
      <c r="AZ475" s="86"/>
      <c r="BA475" s="86"/>
      <c r="BB475" s="86"/>
      <c r="BC475" s="86"/>
      <c r="BD475" s="86"/>
      <c r="BE475" s="86"/>
      <c r="BF475" s="86"/>
      <c r="BG475" s="86"/>
      <c r="BH475" s="86"/>
      <c r="BI475" s="86"/>
      <c r="BJ475" s="86"/>
      <c r="BK475" s="86"/>
      <c r="BL475" s="86"/>
    </row>
    <row r="476" spans="1:64" ht="96" x14ac:dyDescent="0.25">
      <c r="A476" s="86"/>
      <c r="B476" s="45" t="s">
        <v>58</v>
      </c>
      <c r="C476" s="45" t="s">
        <v>494</v>
      </c>
      <c r="D476" s="86"/>
      <c r="E476" s="46" t="s">
        <v>607</v>
      </c>
      <c r="F476" s="86" t="str">
        <f ca="1">IFERROR(__xludf.DUMMYFUNCTION("""COMPUTED_VALUE"""),"КНК")</f>
        <v>КНК</v>
      </c>
      <c r="G476" s="86" t="str">
        <f ca="1">IFERROR(__xludf.DUMMYFUNCTION("""COMPUTED_VALUE"""),"2020-2021")</f>
        <v>2020-2021</v>
      </c>
      <c r="H476" s="86"/>
      <c r="I476" s="86" t="str">
        <f ca="1">IFERROR(__xludf.DUMMYFUNCTION("""COMPUTED_VALUE"""),"СМР")</f>
        <v>СМР</v>
      </c>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c r="AK476" s="86"/>
      <c r="AL476" s="86"/>
      <c r="AM476" s="86"/>
      <c r="AN476" s="86"/>
      <c r="AO476" s="86"/>
      <c r="AP476" s="86"/>
      <c r="AQ476" s="86"/>
      <c r="AR476" s="86"/>
      <c r="AS476" s="86"/>
      <c r="AT476" s="86"/>
      <c r="AU476" s="86"/>
      <c r="AV476" s="86"/>
      <c r="AW476" s="86"/>
      <c r="AX476" s="86"/>
      <c r="AY476" s="86"/>
      <c r="AZ476" s="86"/>
      <c r="BA476" s="86"/>
      <c r="BB476" s="86"/>
      <c r="BC476" s="86"/>
      <c r="BD476" s="86"/>
      <c r="BE476" s="86"/>
      <c r="BF476" s="86"/>
      <c r="BG476" s="86"/>
      <c r="BH476" s="86"/>
      <c r="BI476" s="86"/>
      <c r="BJ476" s="86"/>
      <c r="BK476" s="86"/>
      <c r="BL476" s="86"/>
    </row>
    <row r="477" spans="1:64" ht="96" x14ac:dyDescent="0.25">
      <c r="A477" s="86"/>
      <c r="B477" s="45" t="s">
        <v>58</v>
      </c>
      <c r="C477" s="45" t="s">
        <v>494</v>
      </c>
      <c r="D477" s="86"/>
      <c r="E477" s="46" t="s">
        <v>505</v>
      </c>
      <c r="F477" s="86" t="str">
        <f ca="1">IFERROR(__xludf.DUMMYFUNCTION("""COMPUTED_VALUE"""),"ВЗУ")</f>
        <v>ВЗУ</v>
      </c>
      <c r="G477" s="86" t="str">
        <f ca="1">IFERROR(__xludf.DUMMYFUNCTION("""COMPUTED_VALUE"""),"2020-2021")</f>
        <v>2020-2021</v>
      </c>
      <c r="H477" s="86"/>
      <c r="I477" s="86" t="str">
        <f ca="1">IFERROR(__xludf.DUMMYFUNCTION("""COMPUTED_VALUE"""),"СМР")</f>
        <v>СМР</v>
      </c>
      <c r="J477" s="86"/>
      <c r="K477" s="86"/>
      <c r="L477" s="86"/>
      <c r="M477" s="86"/>
      <c r="N477" s="86"/>
      <c r="O477" s="86"/>
      <c r="P477" s="86"/>
      <c r="Q477" s="86"/>
      <c r="R477" s="86"/>
      <c r="S477" s="86"/>
      <c r="T477" s="86"/>
      <c r="U477" s="86"/>
      <c r="V477" s="86"/>
      <c r="W477" s="86"/>
      <c r="X477" s="86"/>
      <c r="Y477" s="86"/>
      <c r="Z477" s="86"/>
      <c r="AA477" s="86"/>
      <c r="AB477" s="86"/>
      <c r="AC477" s="86"/>
      <c r="AD477" s="86"/>
      <c r="AE477" s="86"/>
      <c r="AF477" s="86"/>
      <c r="AG477" s="86"/>
      <c r="AH477" s="86"/>
      <c r="AI477" s="86"/>
      <c r="AJ477" s="86"/>
      <c r="AK477" s="86"/>
      <c r="AL477" s="86"/>
      <c r="AM477" s="86"/>
      <c r="AN477" s="86"/>
      <c r="AO477" s="86"/>
      <c r="AP477" s="86"/>
      <c r="AQ477" s="86"/>
      <c r="AR477" s="86"/>
      <c r="AS477" s="86"/>
      <c r="AT477" s="86"/>
      <c r="AU477" s="86"/>
      <c r="AV477" s="86"/>
      <c r="AW477" s="86"/>
      <c r="AX477" s="86"/>
      <c r="AY477" s="86"/>
      <c r="AZ477" s="86"/>
      <c r="BA477" s="86"/>
      <c r="BB477" s="86"/>
      <c r="BC477" s="86"/>
      <c r="BD477" s="86"/>
      <c r="BE477" s="86"/>
      <c r="BF477" s="86"/>
      <c r="BG477" s="86"/>
      <c r="BH477" s="86"/>
      <c r="BI477" s="86"/>
      <c r="BJ477" s="86"/>
      <c r="BK477" s="86"/>
      <c r="BL477" s="86"/>
    </row>
    <row r="478" spans="1:64" ht="72" x14ac:dyDescent="0.25">
      <c r="A478" s="86"/>
      <c r="B478" s="45" t="s">
        <v>506</v>
      </c>
      <c r="C478" s="45" t="s">
        <v>507</v>
      </c>
      <c r="D478" s="86"/>
      <c r="E478" s="46" t="s">
        <v>508</v>
      </c>
      <c r="F478" s="86" t="str">
        <f ca="1">IFERROR(__xludf.DUMMYFUNCTION("""COMPUTED_VALUE"""),"ОС")</f>
        <v>ОС</v>
      </c>
      <c r="G478" s="86">
        <f ca="1">IFERROR(__xludf.DUMMYFUNCTION("""COMPUTED_VALUE"""),2020)</f>
        <v>2020</v>
      </c>
      <c r="H478" s="86"/>
      <c r="I478" s="86" t="str">
        <f ca="1">IFERROR(__xludf.DUMMYFUNCTION("""COMPUTED_VALUE"""),"ПИР")</f>
        <v>ПИР</v>
      </c>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c r="AK478" s="86"/>
      <c r="AL478" s="86"/>
      <c r="AM478" s="86"/>
      <c r="AN478" s="86"/>
      <c r="AO478" s="86"/>
      <c r="AP478" s="86"/>
      <c r="AQ478" s="86"/>
      <c r="AR478" s="86"/>
      <c r="AS478" s="86"/>
      <c r="AT478" s="86"/>
      <c r="AU478" s="86"/>
      <c r="AV478" s="86"/>
      <c r="AW478" s="86"/>
      <c r="AX478" s="86"/>
      <c r="AY478" s="86"/>
      <c r="AZ478" s="86"/>
      <c r="BA478" s="86"/>
      <c r="BB478" s="86"/>
      <c r="BC478" s="86"/>
      <c r="BD478" s="86"/>
      <c r="BE478" s="86"/>
      <c r="BF478" s="86"/>
      <c r="BG478" s="86"/>
      <c r="BH478" s="86"/>
      <c r="BI478" s="86"/>
      <c r="BJ478" s="86"/>
      <c r="BK478" s="86"/>
      <c r="BL478" s="86"/>
    </row>
    <row r="479" spans="1:64" ht="72" x14ac:dyDescent="0.25">
      <c r="A479" s="86"/>
      <c r="B479" s="45" t="s">
        <v>506</v>
      </c>
      <c r="C479" s="45" t="s">
        <v>507</v>
      </c>
      <c r="D479" s="86"/>
      <c r="E479" s="46" t="s">
        <v>509</v>
      </c>
      <c r="F479" s="86" t="str">
        <f ca="1">IFERROR(__xludf.DUMMYFUNCTION("""COMPUTED_VALUE"""),"Сети")</f>
        <v>Сети</v>
      </c>
      <c r="G479" s="86" t="str">
        <f ca="1">IFERROR(__xludf.DUMMYFUNCTION("""COMPUTED_VALUE"""),"2019-2020")</f>
        <v>2019-2020</v>
      </c>
      <c r="H479" s="86"/>
      <c r="I479" s="86" t="str">
        <f ca="1">IFERROR(__xludf.DUMMYFUNCTION("""COMPUTED_VALUE"""),"СМР")</f>
        <v>СМР</v>
      </c>
      <c r="J479" s="86"/>
      <c r="K479" s="86"/>
      <c r="L479" s="86"/>
      <c r="M479" s="86"/>
      <c r="N479" s="86"/>
      <c r="O479" s="86"/>
      <c r="P479" s="86"/>
      <c r="Q479" s="86"/>
      <c r="R479" s="86"/>
      <c r="S479" s="86"/>
      <c r="T479" s="86"/>
      <c r="U479" s="86"/>
      <c r="V479" s="86"/>
      <c r="W479" s="86"/>
      <c r="X479" s="86"/>
      <c r="Y479" s="86"/>
      <c r="Z479" s="86"/>
      <c r="AA479" s="86"/>
      <c r="AB479" s="86"/>
      <c r="AC479" s="86"/>
      <c r="AD479" s="86"/>
      <c r="AE479" s="86"/>
      <c r="AF479" s="86"/>
      <c r="AG479" s="86"/>
      <c r="AH479" s="86"/>
      <c r="AI479" s="86"/>
      <c r="AJ479" s="86"/>
      <c r="AK479" s="86"/>
      <c r="AL479" s="86"/>
      <c r="AM479" s="86"/>
      <c r="AN479" s="86"/>
      <c r="AO479" s="86"/>
      <c r="AP479" s="86"/>
      <c r="AQ479" s="86"/>
      <c r="AR479" s="86"/>
      <c r="AS479" s="86"/>
      <c r="AT479" s="86"/>
      <c r="AU479" s="86"/>
      <c r="AV479" s="86"/>
      <c r="AW479" s="86"/>
      <c r="AX479" s="86"/>
      <c r="AY479" s="86"/>
      <c r="AZ479" s="86"/>
      <c r="BA479" s="86"/>
      <c r="BB479" s="86"/>
      <c r="BC479" s="86"/>
      <c r="BD479" s="86"/>
      <c r="BE479" s="86"/>
      <c r="BF479" s="86"/>
      <c r="BG479" s="86"/>
      <c r="BH479" s="86"/>
      <c r="BI479" s="86"/>
      <c r="BJ479" s="86"/>
      <c r="BK479" s="86"/>
      <c r="BL479" s="86"/>
    </row>
    <row r="480" spans="1:64" ht="72" x14ac:dyDescent="0.25">
      <c r="A480" s="86"/>
      <c r="B480" s="45" t="s">
        <v>506</v>
      </c>
      <c r="C480" s="45" t="s">
        <v>507</v>
      </c>
      <c r="D480" s="86"/>
      <c r="E480" s="46" t="s">
        <v>510</v>
      </c>
      <c r="F480" s="86" t="str">
        <f ca="1">IFERROR(__xludf.DUMMYFUNCTION("""COMPUTED_VALUE"""),"Сети")</f>
        <v>Сети</v>
      </c>
      <c r="G480" s="86" t="str">
        <f ca="1">IFERROR(__xludf.DUMMYFUNCTION("""COMPUTED_VALUE"""),"2019-2020")</f>
        <v>2019-2020</v>
      </c>
      <c r="H480" s="86"/>
      <c r="I480" s="86" t="str">
        <f ca="1">IFERROR(__xludf.DUMMYFUNCTION("""COMPUTED_VALUE"""),"СМР")</f>
        <v>СМР</v>
      </c>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c r="AK480" s="86"/>
      <c r="AL480" s="86"/>
      <c r="AM480" s="86"/>
      <c r="AN480" s="86"/>
      <c r="AO480" s="86"/>
      <c r="AP480" s="86"/>
      <c r="AQ480" s="86"/>
      <c r="AR480" s="86"/>
      <c r="AS480" s="86"/>
      <c r="AT480" s="86"/>
      <c r="AU480" s="86"/>
      <c r="AV480" s="86"/>
      <c r="AW480" s="86"/>
      <c r="AX480" s="86"/>
      <c r="AY480" s="86"/>
      <c r="AZ480" s="86"/>
      <c r="BA480" s="86"/>
      <c r="BB480" s="86"/>
      <c r="BC480" s="86"/>
      <c r="BD480" s="86"/>
      <c r="BE480" s="86"/>
      <c r="BF480" s="86"/>
      <c r="BG480" s="86"/>
      <c r="BH480" s="86"/>
      <c r="BI480" s="86"/>
      <c r="BJ480" s="86"/>
      <c r="BK480" s="86"/>
      <c r="BL480" s="86"/>
    </row>
    <row r="481" spans="1:64" ht="36" x14ac:dyDescent="0.25">
      <c r="A481" s="86"/>
      <c r="B481" s="45" t="s">
        <v>68</v>
      </c>
      <c r="C481" s="86"/>
      <c r="D481" s="86"/>
      <c r="E481" s="46" t="s">
        <v>511</v>
      </c>
      <c r="F481" s="86"/>
      <c r="G481" s="86"/>
      <c r="H481" s="86"/>
      <c r="I481" s="86"/>
      <c r="J481" s="86"/>
      <c r="K481" s="86"/>
      <c r="L481" s="86"/>
      <c r="M481" s="86"/>
      <c r="N481" s="86"/>
      <c r="O481" s="86"/>
      <c r="P481" s="86"/>
      <c r="Q481" s="86"/>
      <c r="R481" s="86"/>
      <c r="S481" s="86"/>
      <c r="T481" s="86"/>
      <c r="U481" s="86"/>
      <c r="V481" s="86"/>
      <c r="W481" s="86"/>
      <c r="X481" s="86"/>
      <c r="Y481" s="86"/>
      <c r="Z481" s="86"/>
      <c r="AA481" s="86"/>
      <c r="AB481" s="86"/>
      <c r="AC481" s="86"/>
      <c r="AD481" s="86"/>
      <c r="AE481" s="86"/>
      <c r="AF481" s="86"/>
      <c r="AG481" s="86"/>
      <c r="AH481" s="86"/>
      <c r="AI481" s="86"/>
      <c r="AJ481" s="86"/>
      <c r="AK481" s="86"/>
      <c r="AL481" s="86"/>
      <c r="AM481" s="86"/>
      <c r="AN481" s="86"/>
      <c r="AO481" s="86"/>
      <c r="AP481" s="86"/>
      <c r="AQ481" s="86"/>
      <c r="AR481" s="86"/>
      <c r="AS481" s="86"/>
      <c r="AT481" s="86"/>
      <c r="AU481" s="86"/>
      <c r="AV481" s="86"/>
      <c r="AW481" s="86"/>
      <c r="AX481" s="86"/>
      <c r="AY481" s="86"/>
      <c r="AZ481" s="86"/>
      <c r="BA481" s="86"/>
      <c r="BB481" s="86"/>
      <c r="BC481" s="86"/>
      <c r="BD481" s="86"/>
      <c r="BE481" s="86"/>
      <c r="BF481" s="86"/>
      <c r="BG481" s="86"/>
      <c r="BH481" s="86"/>
      <c r="BI481" s="86"/>
      <c r="BJ481" s="86"/>
      <c r="BK481" s="86"/>
      <c r="BL481" s="86"/>
    </row>
  </sheetData>
  <autoFilter ref="A4:BL481" xr:uid="{00000000-0009-0000-0000-000006000000}"/>
  <mergeCells count="23">
    <mergeCell ref="BL1:BL2"/>
    <mergeCell ref="P1:U1"/>
    <mergeCell ref="V1:AA1"/>
    <mergeCell ref="AB1:AG1"/>
    <mergeCell ref="AH1:AM1"/>
    <mergeCell ref="AN1:AS1"/>
    <mergeCell ref="AT1:AY1"/>
    <mergeCell ref="AZ1:BE1"/>
    <mergeCell ref="K1:L1"/>
    <mergeCell ref="M1:M2"/>
    <mergeCell ref="N1:N2"/>
    <mergeCell ref="O1:O2"/>
    <mergeCell ref="BF1:BK1"/>
    <mergeCell ref="F1:F2"/>
    <mergeCell ref="G1:G2"/>
    <mergeCell ref="H1:H2"/>
    <mergeCell ref="I1:I2"/>
    <mergeCell ref="J1:J2"/>
    <mergeCell ref="A1:A2"/>
    <mergeCell ref="B1:B2"/>
    <mergeCell ref="C1:C2"/>
    <mergeCell ref="D1:D2"/>
    <mergeCell ref="E1:E2"/>
  </mergeCells>
  <hyperlinks>
    <hyperlink ref="M447" r:id="rId1" display="https://drive.google.com/drive/folders/17oRbTRK7o2kb9erkQxxvOOq4dqZ-KsxI?usp=sharing" xr:uid="{00000000-0004-0000-0600-000000000000}"/>
    <hyperlink ref="M453" r:id="rId2" display="https://drive.google.com/drive/folders/1c614LYlV-DyKK8fYuzo9TOyjm5_GcfPa?usp=sharing" xr:uid="{00000000-0004-0000-0600-000001000000}"/>
    <hyperlink ref="M454" r:id="rId3" display="https://drive.google.com/drive/folders/1CD6P0gNQl0u0Fvx95N33zFIHzjAiGPSp?usp=sharing" xr:uid="{00000000-0004-0000-0600-000002000000}"/>
    <hyperlink ref="M456" r:id="rId4" display="https://drive.google.com/drive/folders/1BKhtX24QMmvAokCE7UM1jBbROzdlDhk-?usp=sharing" xr:uid="{00000000-0004-0000-0600-000003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O3"/>
  <sheetViews>
    <sheetView workbookViewId="0"/>
  </sheetViews>
  <sheetFormatPr defaultColWidth="12.625" defaultRowHeight="15" customHeight="1" x14ac:dyDescent="0.2"/>
  <sheetData>
    <row r="1" spans="1:15" ht="14.25" x14ac:dyDescent="0.2">
      <c r="A1" s="161" t="s">
        <v>608</v>
      </c>
      <c r="B1" s="143"/>
      <c r="C1" s="143"/>
      <c r="D1" s="143"/>
      <c r="E1" s="143"/>
      <c r="F1" s="143"/>
      <c r="G1" s="143"/>
      <c r="H1" s="143"/>
      <c r="I1" s="143"/>
      <c r="J1" s="143"/>
      <c r="K1" s="143"/>
      <c r="L1" s="143"/>
      <c r="M1" s="143"/>
      <c r="N1" s="143"/>
      <c r="O1" s="144"/>
    </row>
    <row r="2" spans="1:15" ht="102.75" customHeight="1" x14ac:dyDescent="0.2">
      <c r="A2" s="129" t="s">
        <v>0</v>
      </c>
      <c r="B2" s="130" t="s">
        <v>609</v>
      </c>
      <c r="C2" s="129" t="s">
        <v>610</v>
      </c>
      <c r="D2" s="129" t="s">
        <v>611</v>
      </c>
      <c r="E2" s="129" t="s">
        <v>612</v>
      </c>
      <c r="F2" s="129" t="s">
        <v>613</v>
      </c>
      <c r="G2" s="129" t="s">
        <v>614</v>
      </c>
      <c r="H2" s="130" t="s">
        <v>615</v>
      </c>
      <c r="I2" s="130" t="s">
        <v>616</v>
      </c>
      <c r="J2" s="129" t="s">
        <v>617</v>
      </c>
      <c r="K2" s="129" t="s">
        <v>618</v>
      </c>
      <c r="L2" s="130" t="s">
        <v>619</v>
      </c>
      <c r="M2" s="130" t="s">
        <v>620</v>
      </c>
      <c r="N2" s="130" t="s">
        <v>621</v>
      </c>
      <c r="O2" s="130" t="s">
        <v>9</v>
      </c>
    </row>
    <row r="3" spans="1:15" ht="14.25" x14ac:dyDescent="0.2">
      <c r="A3" s="131">
        <v>1</v>
      </c>
      <c r="B3" s="132">
        <v>2</v>
      </c>
      <c r="C3" s="131">
        <v>3</v>
      </c>
      <c r="D3" s="131" t="s">
        <v>622</v>
      </c>
      <c r="E3" s="131" t="s">
        <v>623</v>
      </c>
      <c r="F3" s="131" t="s">
        <v>624</v>
      </c>
      <c r="G3" s="131" t="s">
        <v>625</v>
      </c>
      <c r="H3" s="132">
        <v>4</v>
      </c>
      <c r="I3" s="132">
        <v>5</v>
      </c>
      <c r="J3" s="131">
        <v>6</v>
      </c>
      <c r="K3" s="133">
        <v>7</v>
      </c>
      <c r="L3" s="132">
        <v>8</v>
      </c>
      <c r="M3" s="132">
        <v>9</v>
      </c>
      <c r="N3" s="132">
        <v>10</v>
      </c>
      <c r="O3" s="132">
        <v>11</v>
      </c>
    </row>
  </sheetData>
  <mergeCells count="1">
    <mergeCell ref="A1:O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Лист1</vt:lpstr>
      <vt:lpstr>ГП</vt:lpstr>
      <vt:lpstr>Касса  </vt:lpstr>
      <vt:lpstr>Касса пр</vt:lpstr>
      <vt:lpstr>Рейтинг оплат</vt:lpstr>
      <vt:lpstr>Касса </vt:lpstr>
      <vt:lpstr>Экономика 1 копия</vt:lpstr>
      <vt:lpstr>Лист13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dc:description>exif_MSED_3a3ad0887589ecc71dcd5a6ce7eacf341a56bb8d346f4265e03fec2a4ccb30e2</dc:description>
  <cp:lastModifiedBy>admin</cp:lastModifiedBy>
  <cp:lastPrinted>2021-01-19T10:23:11Z</cp:lastPrinted>
  <dcterms:created xsi:type="dcterms:W3CDTF">2021-01-19T08:51:57Z</dcterms:created>
  <dcterms:modified xsi:type="dcterms:W3CDTF">2021-05-13T07:29:46Z</dcterms:modified>
</cp:coreProperties>
</file>